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Blad9" sheetId="1" r:id="rId3"/>
    <sheet state="visible" name="2019" sheetId="2" r:id="rId4"/>
    <sheet state="visible" name="2018" sheetId="3" r:id="rId5"/>
    <sheet state="visible" name="2017" sheetId="4" r:id="rId6"/>
    <sheet state="visible" name="Marketingproces (stappen)" sheetId="5" r:id="rId7"/>
    <sheet state="visible" name="Social - 2019" sheetId="6" r:id="rId8"/>
    <sheet state="visible" name="Promotiekalender (Paid channels" sheetId="7" r:id="rId9"/>
    <sheet state="hidden" name="2015" sheetId="8" r:id="rId10"/>
  </sheets>
  <definedNames>
    <definedName hidden="1" localSheetId="6" name="_xlnm._FilterDatabase">'Promotiekalender (Paid channels'!$A$1:$R$548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KJ14">
      <text>
        <t xml:space="preserve">is dit 22-8 december of een extra campagne week 43-44?</t>
      </text>
    </comment>
  </commentList>
</comments>
</file>

<file path=xl/comments2.xml><?xml version="1.0" encoding="utf-8"?>
<comments xmlns:r="http://schemas.openxmlformats.org/officeDocument/2006/relationships" xmlns="http://schemas.openxmlformats.org/spreadsheetml/2006/main">
  <authors>
    <author/>
  </authors>
  <commentList>
    <comment authorId="0" ref="KJ17">
      <text>
        <t xml:space="preserve">is dit 22-8 december of een extra campagne week 43-44?</t>
      </text>
    </comment>
  </commentList>
</comments>
</file>

<file path=xl/comments3.xml><?xml version="1.0" encoding="utf-8"?>
<comments xmlns:r="http://schemas.openxmlformats.org/officeDocument/2006/relationships" xmlns="http://schemas.openxmlformats.org/spreadsheetml/2006/main">
  <authors>
    <author/>
  </authors>
  <commentList>
    <comment authorId="0" ref="D55">
      <text>
        <t xml:space="preserve">+tabitha.van.der.sloot@greetz.com klopt het dat de voucher t/m 31 december 2019 geldig is?
_Toegewezen aan Tabitha van der Sloot_
	-Laura Spruijt</t>
      </text>
    </comment>
    <comment authorId="0" ref="I58">
      <text>
        <t xml:space="preserve">@evi.van.der.burg@greetz.com - Kan je aangeven wat voor soort actie het is? Voucher/onsite etc. En graag de rest ook invullen. Dank!
_Toegewezen aan Evi van der Burg_
	-Ron Beentjes</t>
      </text>
    </comment>
    <comment authorId="0" ref="H67">
      <text>
        <t xml:space="preserve">Communicatie moet nog helemaal def gemaakt worden . Het thema is ontspanning. Zal iets worden als - Nu gratis bezorging t.w.v. 5,95 van al onze "ontspannende" verrassingen
	-Ron Beentjes</t>
      </text>
    </comment>
    <comment authorId="0" ref="H80">
      <text>
        <t xml:space="preserve">voor BE : Gratis bezorging (t.w.v. € 6,95) van alle bloemen en planten
	-Daniek van Wijk</t>
      </text>
    </comment>
    <comment authorId="0" ref="H52">
      <text>
        <t xml:space="preserve">In onze store wordt de korting pas vanaf 30 april geladen!
	-Stephanie Reintjens</t>
      </text>
    </comment>
    <comment authorId="0" ref="O52">
      <text>
        <t xml:space="preserve">+Jill.Schuitemaker@greetz.com zou je de code en de rest van de landingspagina &amp; voorwaarden willen invullen?
_Toegewezen aan jill.schuitemaker@greetz.com_
	-Laura Spruijt</t>
      </text>
    </comment>
    <comment authorId="0" ref="R49">
      <text>
        <t xml:space="preserve">+Jill.Schuitemaker@greetz.com +stephanie.reintjens@greetz.com zouden jullie de actievoorwaarden willen aanvullen?
_Toegewezen aan jill.schuitemaker@greetz.com_
	-Laura Spruijt</t>
      </text>
    </comment>
    <comment authorId="0" ref="M42">
      <text>
        <t xml:space="preserve">Test in week 16 op Facebook
	-Ron Beentjes</t>
      </text>
    </comment>
    <comment authorId="0" ref="O43">
      <text>
        <t xml:space="preserve">@stephanie.reintjens@greetz.com kun je deze acties verder aanvullen?
_Toegewezen aan stephanie.reintjens@greetz.com_
	-Philip Waverijn
jill.schuitemaker@greetz.com zou jij de codes kunnen aanvullen?
	-Stephanie Reintjens
philip.waverijn@greetz.com Jill vult de codes/landingspagina/actievoorwaarden in, omdat zij de codes ook aanmaakt.
	-Stephanie Reintjens
prima! @jill.schuitemaker@greetz.com, zorg jij ervoor dat de acties zo vroeg mogelijk volledig ingevuld zijn? 
FYI: Online marketing team bespreekt dit wekelijks op vrijdag.
_Opnieuw toegewezen aan jill.schuitemaker@greetz.com_
	-Philip Waverijn</t>
      </text>
    </comment>
    <comment authorId="0" ref="H38">
      <text>
        <t xml:space="preserve">+sanne.van.dijk@greetz.com +donna.reijgwart@greetz.com wordt dit de definitieve communicatie?
_Toegewezen aan Donna Reijgwart_
	-Laura Spruijt</t>
      </text>
    </comment>
    <comment authorId="0" ref="R32">
      <text>
        <t xml:space="preserve">+tabitha.van.der.sloot@greetz.com is deze actie voor alle klanten of alleen nieuw. Klopt de looptijd hier? Rechts staat t/m 31 maart 2019.
_Toegewezen aan Tabitha van der Sloot_
	-Laura Spruijt
De actiecode loopt t/m 30 april. Maar jullie hebben de actie live t/m 31 maart. Dat zijn 2 verschillende dingen.
	-Tabitha van der Sloot
Dan verlengen wij hem ook t/m 30 april om verwarring te voorkomen.
	-Laura Spruijt</t>
      </text>
    </comment>
    <comment authorId="0" ref="H35">
      <text>
        <t xml:space="preserve">+donna.reijgwart@greetz.com gaan we het zo verwoorden op de site?
_Toegewezen aan Donna Reijgwart_
	-Laura Spruijt</t>
      </text>
    </comment>
    <comment authorId="0" ref="H18">
      <text>
        <t xml:space="preserve">voor BE excl. rode envelop
	-Daniek van Wijk</t>
      </text>
    </comment>
    <comment authorId="0" ref="H1">
      <text>
        <t xml:space="preserve">Verwoord 'exact' hoe je het op de website gaat laden.
	-Alwin Greetz</t>
      </text>
    </comment>
    <comment authorId="0" ref="J1">
      <text>
        <t xml:space="preserve">Alleen in te vullen bij exclusieve voucher actie type
	-Laura Spruijt</t>
      </text>
    </comment>
    <comment authorId="0" ref="J1">
      <text>
        <t xml:space="preserve">Door OM te bepalen
	-Laura Spruijt</t>
      </text>
    </comment>
  </commentList>
</comments>
</file>

<file path=xl/sharedStrings.xml><?xml version="1.0" encoding="utf-8"?>
<sst xmlns="http://schemas.openxmlformats.org/spreadsheetml/2006/main" count="5751" uniqueCount="2671">
  <si>
    <t xml:space="preserve">NL </t>
  </si>
  <si>
    <t>NL Januari: € 3.131.956 (+22%)</t>
  </si>
  <si>
    <t>NL Februari: € 4.288.864 (+17%)</t>
  </si>
  <si>
    <t>Seizoen: Najaar - Al het moois voor binnen</t>
  </si>
  <si>
    <t>NL Maart: € 3.485.594 (+13%)</t>
  </si>
  <si>
    <t>NL April: ...</t>
  </si>
  <si>
    <t>NL Mei: €...</t>
  </si>
  <si>
    <t>NL Juni: €...</t>
  </si>
  <si>
    <t>NL Juli: €...</t>
  </si>
  <si>
    <t>NL Augustus: €...</t>
  </si>
  <si>
    <t>NL September: €...</t>
  </si>
  <si>
    <t>NL Oktober: €...</t>
  </si>
  <si>
    <t>NL November: €...</t>
  </si>
  <si>
    <t>NL December: €...</t>
  </si>
  <si>
    <t>NL</t>
  </si>
  <si>
    <t>Januari: €2.224.333: +29,09%</t>
  </si>
  <si>
    <t>Februari: €3.016.854: +20,55%</t>
  </si>
  <si>
    <t>BE</t>
  </si>
  <si>
    <t>BE Januari: € 53.869 (+41%)</t>
  </si>
  <si>
    <t>BE Februari: € 74.488 (+41%</t>
  </si>
  <si>
    <t>Maart: €2.558.732, +25,83%</t>
  </si>
  <si>
    <t>BE Maart:...</t>
  </si>
  <si>
    <t>BE April: ...</t>
  </si>
  <si>
    <t>BE Mei: €...</t>
  </si>
  <si>
    <t>BE Juni: €...</t>
  </si>
  <si>
    <t>BE Juli: €...</t>
  </si>
  <si>
    <t>BE Augustus: €...</t>
  </si>
  <si>
    <t>April: €2.517.565, +35,76%</t>
  </si>
  <si>
    <t>BE September: €...</t>
  </si>
  <si>
    <t>NL Januari: €2.489.216</t>
  </si>
  <si>
    <t>Mei: €3.382.584, +30,44%</t>
  </si>
  <si>
    <t>BE Oktober: €...</t>
  </si>
  <si>
    <t>Juni: €3.018.531, +27,13%</t>
  </si>
  <si>
    <t>BE November: €...</t>
  </si>
  <si>
    <t>NL Februari: €3.561.301</t>
  </si>
  <si>
    <t>Juli: €2.442.021, +32,47%</t>
  </si>
  <si>
    <t>BE December: €...</t>
  </si>
  <si>
    <t>Augustus: €2.432.875, +25,15%</t>
  </si>
  <si>
    <t>NL Maart: €2.972.807</t>
  </si>
  <si>
    <t>September: €2.810.761, +36,39%</t>
  </si>
  <si>
    <t>Oktober: €2.816.431, +40,10%</t>
  </si>
  <si>
    <t>NL April: €2.583.759</t>
  </si>
  <si>
    <t>November: €2.875.787, +49,34%</t>
  </si>
  <si>
    <t>Week 1</t>
  </si>
  <si>
    <t>December: €4.282.453, +46,35%</t>
  </si>
  <si>
    <t>NL Mei: €3.961.471</t>
  </si>
  <si>
    <t>Week 2</t>
  </si>
  <si>
    <t>Week 3</t>
  </si>
  <si>
    <t>Week 4</t>
  </si>
  <si>
    <t>Week 5</t>
  </si>
  <si>
    <t>Week 6</t>
  </si>
  <si>
    <t>Week 7</t>
  </si>
  <si>
    <t>Week 8</t>
  </si>
  <si>
    <t>Week 9</t>
  </si>
  <si>
    <t>Week 10</t>
  </si>
  <si>
    <t>Week 11</t>
  </si>
  <si>
    <t>Week 12</t>
  </si>
  <si>
    <t>Week 13</t>
  </si>
  <si>
    <t>Week 14</t>
  </si>
  <si>
    <t>Week 15</t>
  </si>
  <si>
    <t>Week 16</t>
  </si>
  <si>
    <t>Week 17</t>
  </si>
  <si>
    <t>Week 18</t>
  </si>
  <si>
    <t>NL Juni: €3.457.248</t>
  </si>
  <si>
    <t>Week 19</t>
  </si>
  <si>
    <t>Week 20</t>
  </si>
  <si>
    <t>Week 21</t>
  </si>
  <si>
    <t>Week 22</t>
  </si>
  <si>
    <t>Week 23</t>
  </si>
  <si>
    <t>Week 24</t>
  </si>
  <si>
    <t>Week 25</t>
  </si>
  <si>
    <t>Week 26</t>
  </si>
  <si>
    <t>Week 27</t>
  </si>
  <si>
    <t>Januari: €30.604, +47,99%</t>
  </si>
  <si>
    <t>Week 28</t>
  </si>
  <si>
    <t>Week 29</t>
  </si>
  <si>
    <t>Week 30</t>
  </si>
  <si>
    <t>Week 31</t>
  </si>
  <si>
    <t>Week 32</t>
  </si>
  <si>
    <t>Week 33</t>
  </si>
  <si>
    <t>Week 34</t>
  </si>
  <si>
    <t>NL Juli: €2.819.659</t>
  </si>
  <si>
    <t>Week 35</t>
  </si>
  <si>
    <t>Week 36</t>
  </si>
  <si>
    <t>Week 37</t>
  </si>
  <si>
    <t>Week 38</t>
  </si>
  <si>
    <t>Week 39</t>
  </si>
  <si>
    <t>Week 40</t>
  </si>
  <si>
    <t>Week 41</t>
  </si>
  <si>
    <t>Week 42</t>
  </si>
  <si>
    <t>Week 43</t>
  </si>
  <si>
    <t>Week 44</t>
  </si>
  <si>
    <t>Week 45</t>
  </si>
  <si>
    <t>Week 46</t>
  </si>
  <si>
    <t>Week 47</t>
  </si>
  <si>
    <t>Week 48</t>
  </si>
  <si>
    <t>Februari: €35.137, +18,81%</t>
  </si>
  <si>
    <t>Week 49</t>
  </si>
  <si>
    <t>Week 50</t>
  </si>
  <si>
    <t>Week 51</t>
  </si>
  <si>
    <t>NL Augustus: €2.786.220</t>
  </si>
  <si>
    <t>Week 52</t>
  </si>
  <si>
    <t>Maart: €33.801, +26,02%</t>
  </si>
  <si>
    <t>NL September: €3.044.354</t>
  </si>
  <si>
    <t>April: €41.702, +31,22%</t>
  </si>
  <si>
    <t>NL Oktober: €3.138.878</t>
  </si>
  <si>
    <t>NL November: €3.144.052</t>
  </si>
  <si>
    <t>Mei: €78.242, +38,85%</t>
  </si>
  <si>
    <t>ma</t>
  </si>
  <si>
    <t>di</t>
  </si>
  <si>
    <t>wo</t>
  </si>
  <si>
    <t>do</t>
  </si>
  <si>
    <t>vr</t>
  </si>
  <si>
    <t>za</t>
  </si>
  <si>
    <t>zo</t>
  </si>
  <si>
    <t>NL December: €4.473.506</t>
  </si>
  <si>
    <t>Juni: €67.587, +56,01%</t>
  </si>
  <si>
    <t>Juli: €51.445, +80,38%</t>
  </si>
  <si>
    <t>Augustus: €56.467, +57,88%</t>
  </si>
  <si>
    <t>BE Januari: 27.771</t>
  </si>
  <si>
    <t>September: €70.093, +125,98%</t>
  </si>
  <si>
    <t>BE Februari: €51.138</t>
  </si>
  <si>
    <t>Oktober: €71.931, +118,59%</t>
  </si>
  <si>
    <t>November: €76.196, +135,31%</t>
  </si>
  <si>
    <t>BE April: €30.191</t>
  </si>
  <si>
    <t>December: €99.115, +27,88%</t>
  </si>
  <si>
    <t>BE Mei: €105.333</t>
  </si>
  <si>
    <t>BE Juni: €50.823</t>
  </si>
  <si>
    <t>BE Juli: €33.563</t>
  </si>
  <si>
    <t>BE Augustus: €51.188</t>
  </si>
  <si>
    <t>BE September: €39.571</t>
  </si>
  <si>
    <t>BE Oktober: €44.852</t>
  </si>
  <si>
    <t>BE November: €42.397</t>
  </si>
  <si>
    <t>BE December: €72.242</t>
  </si>
  <si>
    <t>Momenten of inhakers</t>
  </si>
  <si>
    <t>Nieuwjaarsdag (1)
Drie koningen (6)
Kerstvakantie (t/m 6)
Cuddle up Day (6)</t>
  </si>
  <si>
    <t>Ruim je bureau op dag (14)
Dag van de taal, kunst en cultuur (18)
Popcorn dag (19)
Nationale tulpendag (19)</t>
  </si>
  <si>
    <t>In te vullen door:
Overall - Brand Campaign Manager
Shop/markt specifiek - Verantw. Marketeer/S&amp;C</t>
  </si>
  <si>
    <t>Blue monday (21)
Wereld knuffeldag (21)
Chocoladecake dag (27)</t>
  </si>
  <si>
    <t>Gedichtendag (31)
Dag van de directeur (31)
Carrot Cake Dag (3)</t>
  </si>
  <si>
    <t>Chinees Nieuwjaar (5)
Pizza dag (9)
Wereld dag van het huwelijk (10)</t>
  </si>
  <si>
    <t xml:space="preserve">Maak vrienden dag (11)
Wereld radio dag (13)
Valentijn (14)
Doe vriendelijk dag (17)
</t>
  </si>
  <si>
    <t>Voorjaarsvakantie zuid
Drink wijn dag (18)</t>
  </si>
  <si>
    <t>Nationale complimentendag (1)
Carnaval (3)
Voorjaarsvakantie midden, noord</t>
  </si>
  <si>
    <t>Carnaval (4-5)
Internationale vrouwendag (8)</t>
  </si>
  <si>
    <t>Pyjamadag (15)</t>
  </si>
  <si>
    <t>Awkward moments day (18)
Vaderdag Antwerpen (19)
Start lente (20)
Wereld vrolijkheidsdag (20)</t>
  </si>
  <si>
    <t>Boekenweek (23 t/m 31)
Wereld Theaterdag (27)
Begin zomertijd (31)</t>
  </si>
  <si>
    <t>Dag van de grap (1)
Wereld feest dag (3)
Caramel dag (5)
Hart week (8 t/m 14)</t>
  </si>
  <si>
    <t>Girlsday (11)
Dag van de drop (12)
Scrabbledag (13)
That sucks day (15)</t>
  </si>
  <si>
    <t>Nationale secretaressedag (18)
Goede vrijdag (19)
1e Paasdag (21)
2e Paasdag (22)</t>
  </si>
  <si>
    <t xml:space="preserve">
Dag van het Duitse bier (23)
Wereld boeken nacht (23)
Neem je dochters en zonen mee naar het werk dag (26)
Koningsdag (27)
Start meivakantie (27)
Wereld wens dag (29)
</t>
  </si>
  <si>
    <t>Mei-Vakantie - Alle Regio's
Dag van de arbeid (1)
Dodenherdenking (4)
Bevrijdingsdag (5)
Einde meivakantie (5)
Dag van de lach (6)</t>
  </si>
  <si>
    <t xml:space="preserve">
Eet wat je wilt dag (11)
Dag van de verpleging (12) --&gt; B2B
Moederdag (12) </t>
  </si>
  <si>
    <t xml:space="preserve">Centrale eindexamens voortgezet 
onderwijs (14 t/m 29 mei)
Internationale dag van het gezin (15)
Wereld Wiskeydag (18)
</t>
  </si>
  <si>
    <t xml:space="preserve">
Nederlands Bierproeffestival 24 t/m 26
Europese dag van de buren (26)</t>
  </si>
  <si>
    <t>Hemelvaartsdag (30)
Wereld dag van de ouders (1) 
Say something nice day (1) 
Rocky Road day (2)
Donut day (1)
Dag van de bouw (2) --&gt; B2B</t>
  </si>
  <si>
    <t>Opa- en omadag (4)
Suikerfeest (5)
Donut dag (7)
Best friends day (8)
1e pinksterdag (9)
Vaderdag België (9)</t>
  </si>
  <si>
    <t xml:space="preserve">
2e Pinksterdag (10)
Dag van de rode rozen (12) 
Examenuitslagdag (13/14)
Vaderdag (16)</t>
  </si>
  <si>
    <t xml:space="preserve">Herexamens?
Langste dag van het jaar (21) Nationale selfie dag (21)
Start zomer (21)
Bonbon dag (24) </t>
  </si>
  <si>
    <t>Herexamens?
CAPSLOCK DAY (28)
Social media day (30)</t>
  </si>
  <si>
    <t xml:space="preserve">Wereld kus dag (6)
Wereld chocoladedag (7)
Dag van het sprookje (7) 
</t>
  </si>
  <si>
    <t>Hoveniersmaandag (9) --&gt;B2B
Vrijdag de 13e 
Zomervakantie Regio Zuid</t>
  </si>
  <si>
    <t>Wereld emoji dag (17)
Nijmeegse Vierdaagse: gladiolen? (17 t/m 20 juli)
Junkfood dag (21) 
Belgische nationale feestdag (21)
Zomervakantie Regio Zuid, Midden</t>
  </si>
  <si>
    <t xml:space="preserve">Neven- en nichtendag (24)
Oom- en tantedag (26)
Systeembeheerdersdag (27) --&gt; B2B
Melkchocolade dag (28)
Amsterdam Gay Pride (28 t/m 5 augustus)
Zomervakantie alle regio's </t>
  </si>
  <si>
    <t xml:space="preserve">Internationale dag van de vriendschap (30)
Dag van de schoonvader (30)
Internationale bierdag (2)
Zussendag (5)
Zomervakantie alle regio's </t>
  </si>
  <si>
    <t xml:space="preserve">Mooiste trouwdatum van het jaar (8)
World Cat Day (8)
Zoon- en dochterdag (11) 
Zomervakantie alle regio's </t>
  </si>
  <si>
    <t>Zomervakantie alle regio's Moederdag belgie Antwerpen (15)
Vertel een grap dag (16)</t>
  </si>
  <si>
    <t>Internationale dag van de ondernemer --&gt; B2B (21)
Zomervakantie Regio Midden, Noord</t>
  </si>
  <si>
    <t xml:space="preserve">Internationale dag van de kokosnoot (2)
Zomervakantie Regio Noord
</t>
  </si>
  <si>
    <t>Duurzame dinsdag (3)
Internationale dag van het goede doel (4)
Internationale dag van de orchidee (7)</t>
  </si>
  <si>
    <t xml:space="preserve">Dag van het positief denken (13)  - B2B
Vrijdag de 13e (13)
</t>
  </si>
  <si>
    <t xml:space="preserve">Prinsjesdag (17)
Start van de herfst (21) 
Witte chocolade dag (22) 
Oktoberfest (21 sep. t/m 6 okt.)
</t>
  </si>
  <si>
    <t>Burendag (28)
Broer- en zusdag (30)</t>
  </si>
  <si>
    <t xml:space="preserve">
Stoptober (maand oktober)
Dierendag (4) 
Internationale ouderendag (4) 
</t>
  </si>
  <si>
    <t xml:space="preserve">Dag van de leraar (7)
Dag van de duurzaamheid (10)
Nationale Bokbier Dag (13)
</t>
  </si>
  <si>
    <t>Herfstvakantie Regio Zuid
Boss's Day (16)</t>
  </si>
  <si>
    <t>CAPS LOCK day (22)
Nationale dag van de vlaai (24)
Wintertijd (27) 
Herfstvakantie Regio Noord, Midden</t>
  </si>
  <si>
    <t xml:space="preserve">Halloween (31)
Start Movember (maand november)
</t>
  </si>
  <si>
    <t>Dag van de mantelzorg (10)
Sint Maarten (11)
Singles Day (11)</t>
  </si>
  <si>
    <t xml:space="preserve">World Kindness Day (13)
I love to write day (15) 
Koningsdag Belgie (15) 
Dag van de ondernemer (16)
</t>
  </si>
  <si>
    <t xml:space="preserve">Internationale dag van de man (19)
Wereld Hallo dag (21) 
Thanksgiving day (22) 
Black Friday (23) </t>
  </si>
  <si>
    <t>Cyber Monday (26)
Giving Tuesday (27)
Thanksgiving day (28)
Throwback Thursday (29)</t>
  </si>
  <si>
    <t>Pakjesavond (5)
Sinterklaas (Belgie) (6)</t>
  </si>
  <si>
    <t>Foute kersttruiendag (13)</t>
  </si>
  <si>
    <t xml:space="preserve">Start winter (21) 
Kortste dag van het jaar (21)
Free Shipping Day (21) 
</t>
  </si>
  <si>
    <t>Kerstvakantie Alle Regio's
Kerstavond (24)
1e kerstdag (25) 
2e kerstdag (26)
Oudjaarsdag (31)</t>
  </si>
  <si>
    <t>Nieuwe jaar</t>
  </si>
  <si>
    <t>Blue Monday</t>
  </si>
  <si>
    <t>Valentijn</t>
  </si>
  <si>
    <t>Carnaval</t>
  </si>
  <si>
    <t>Campagne (Retail Campaign Manager)</t>
  </si>
  <si>
    <t>Internationale Vrouwendag</t>
  </si>
  <si>
    <t>Vaderdag BE Antwerpen</t>
  </si>
  <si>
    <t>Start Lente 
Zomertijd</t>
  </si>
  <si>
    <t>1 april (humor)</t>
  </si>
  <si>
    <t>Dag van het bier (7)</t>
  </si>
  <si>
    <t>Pasen (16,17) / 20e Secretaressedag</t>
  </si>
  <si>
    <t>Meivakantie / Koningsdag (27), Worl Wish Day (29)</t>
  </si>
  <si>
    <t>Bevrijdingsdag, Dag van de lach (7)</t>
  </si>
  <si>
    <t>Moederdag (14), Dag van de receptionisten (10), Dag van de verpleging (12)</t>
  </si>
  <si>
    <t>Week van NL bier</t>
  </si>
  <si>
    <t>Hemelvaartsdag</t>
  </si>
  <si>
    <t>Pinksteren, Best Friends Day (8)</t>
  </si>
  <si>
    <t>Examenuitslag (14), Vaderdag (18), Dag van de rode rozen (12)</t>
  </si>
  <si>
    <t>Start zomer &amp; langste dag (21), Bonbondag (24), Roze zaterdag (24)</t>
  </si>
  <si>
    <t>Happy Half Year (1)</t>
  </si>
  <si>
    <t>Vakantie</t>
  </si>
  <si>
    <t>Zomervakantie midden NL</t>
  </si>
  <si>
    <t>Zomervakantie midden, zuid NL, Wereld Emoji dag (17), Nijmeegse Vierdaagse (t/m 21 juli), Nationale Feestdag BE (21)</t>
  </si>
  <si>
    <t>Zomervakantie midden, zuid, noord NL, Neven &amp; Nichten dag (24), Roze Maandag (24), Oom &amp; Tante dag (26), Melkchocoladedag (28)</t>
  </si>
  <si>
    <t>Zomervakantie midden, zuid, noord NL, GayPride, Internationale vriendschap dag (30), Schoonvader dag (30), Internationale Bier dag (4), Zussendag (6)</t>
  </si>
  <si>
    <t>Zomervakantie midden, zuid, noord NL, Linkshandigendag (13)</t>
  </si>
  <si>
    <t>Zomervakantie midden, zuid, noord NL/ Moederdag België A'werpen</t>
  </si>
  <si>
    <t>Zomervakantie zuid, noord NL</t>
  </si>
  <si>
    <t>Zomervakantie noord NL</t>
  </si>
  <si>
    <t>Internationale Chocoladedag (13)</t>
  </si>
  <si>
    <t>Prinsjesdag (19), Witte chocolade dag (21), Start herfst (22), Burendag (23)</t>
  </si>
  <si>
    <t>Nationale broer/zus dag (30), Dag van de Ouderen (1)</t>
  </si>
  <si>
    <t>Dierendag (4), Dag van de leraar (5), Wold Smile Day (6), Nationale Ouderendag (6), Bokbierdag (8)</t>
  </si>
  <si>
    <t>Dag van de post (9)</t>
  </si>
  <si>
    <t>Dag van de baas (16), Dag van de schoonmoeder (22), CAPSLOCKDAY (22)</t>
  </si>
  <si>
    <t>Wintertijd (29)</t>
  </si>
  <si>
    <t xml:space="preserve">Halloween (31), Movember (hele maand), </t>
  </si>
  <si>
    <t>Dag van de mantelzorg (10), Sint Maarten (11), Tongbrekerdag (12)</t>
  </si>
  <si>
    <t>Koningsdag België (15), Studentendag (17), Intocht Sinterklaas (18), Mannendag (19)</t>
  </si>
  <si>
    <t>Thanksgivingday (23), Black Friday (24)</t>
  </si>
  <si>
    <t>Cybermonday (27)</t>
  </si>
  <si>
    <t>Pakjesavond (5)</t>
  </si>
  <si>
    <t>Kortste dag + start winter (21), Kerstavond (24)</t>
  </si>
  <si>
    <t>Eerste kerstdag (25), Tweede kerstdag (26), Oudejaaravond (31)</t>
  </si>
  <si>
    <t>Campagne</t>
  </si>
  <si>
    <t xml:space="preserve">Nieuwjaarsdag (1)
Kerstvakantie alle regio's </t>
  </si>
  <si>
    <t>Zomercampagne "Vier de zomer"</t>
  </si>
  <si>
    <t>Blue Monday (15)
Niksdag (16)
Wereld Knuffeldag (21)
Nationale Tulpendag (21)</t>
  </si>
  <si>
    <t>Beatrix jarig - 80 jaar (31)
Trouwdag Willem-Alexander &amp; Maxima (2)
Wereld Kankerdag (4)</t>
  </si>
  <si>
    <t>Begin Olympische Winterspelen (9)
Start Carnaval (10 t/m 13 februari)</t>
  </si>
  <si>
    <t>Valentijn (14)
Chinees Nieuwjaar (16)
World Cat day (17)
Doe vriendelijk dag (17)
Drink wijn dag (18)
Voorjaarsvakantie - Regio Zuid</t>
  </si>
  <si>
    <t>Voorjaarsvakantie - Regio Zuid</t>
  </si>
  <si>
    <t>Voorjaarsvakantie - Regio Noord &amp; Midden
Nationale Complimentendag (1)</t>
  </si>
  <si>
    <t>Internationale Vrouwendag (8) 
Boekenweek (10 t/m 18 maart)</t>
  </si>
  <si>
    <t>Nationale vriendinnendag (17)
Dag van de zorg (18)</t>
  </si>
  <si>
    <t>Vaderdag Antwerpen (19)
World happiness day (20)
Eerste dag van de lente (20)
Gemeenteraadsverkiezingen (21)
Zomertijd gaat in (25)</t>
  </si>
  <si>
    <t xml:space="preserve">Internationale broer en zus dag (31)
Wereld back-up dag (31)
Dag van de grap(1)
</t>
  </si>
  <si>
    <t>1e paasdag (1) 
2e paasdag (2)
Wereld feest dag (3)
Caramel dag (5)
Dag van het bier (7)
Hart week (8 t/m 14)</t>
  </si>
  <si>
    <t xml:space="preserve">
Girlsday (12)
Dag van de drop (12)
Vrijdag de 13e (13)
Scrabbledag (13)
That sucks day (15)</t>
  </si>
  <si>
    <t>Secretaressedag (19)
Jelly Beandag (22)</t>
  </si>
  <si>
    <t>Dag van het Duitse bier (23)
Neem je dochters en zonen mee naar het werk dag (26)
Koningsdag (27)
Wereld wens dag (29)</t>
  </si>
  <si>
    <t>Mei-Vakantie - Alle Regio's
Bevrijdingsdag (5)
Anti-Dieet dag (6)
Dag van de lach (6)</t>
  </si>
  <si>
    <t xml:space="preserve">Hemelvaartsdag (10)
Eet wat je wilt dag (11)
Dag van de verpleging (12) --&gt; B2B
Moederdag (13) </t>
  </si>
  <si>
    <t>Centrale eindexamens voortgezet 
onderwijs (14 t/m 29 mei)
Internationale dag van het gezin (15)
Wereld Wiskeydag (19)
1e Pinksterdag (20)</t>
  </si>
  <si>
    <t>2e Pinksterdag (21)
Nederlands Bierproeffestival 24 t/m 26
Europese dag van de buren (26)</t>
  </si>
  <si>
    <t>Wereld dag van de ouders (1) 
Say something nice day (1) 
Rocky Road day (2)
Donut day (1)
Dag van de bouw (2) --&gt; B2B</t>
  </si>
  <si>
    <t>Opa- en omadag (4)
Best friends day (8)
Donald Duck Day (9)
Vaderdag België (10)</t>
  </si>
  <si>
    <t>Thema</t>
  </si>
  <si>
    <t>Dag van de rode rozen (12) 
Examenuitslagdag (13/14)
Suikerfeest (15 t/m 17 juni)
Vaderdag (17)</t>
  </si>
  <si>
    <t>Herexamens?
Social media day (30)</t>
  </si>
  <si>
    <t>Nieuwjaar</t>
  </si>
  <si>
    <t xml:space="preserve">Wereld kus dag (6)
Wereld chocoladedag (7)
Dag van het sprookje (7) </t>
  </si>
  <si>
    <t>Verjaardag</t>
  </si>
  <si>
    <t xml:space="preserve">Internationale dag van de vriendschap (30)
Dag van de schoonvader (30)
Internationale bierdag (3)
Zussendag (5)
Zomervakantie alle regio's </t>
  </si>
  <si>
    <t>Zomervakantie alle regio's Moederdag belgie Antwerpen (15)</t>
  </si>
  <si>
    <t>Liefde</t>
  </si>
  <si>
    <t>Dag van het positief denken (13)  - B2B
Internationale chocoladedag (13)</t>
  </si>
  <si>
    <t xml:space="preserve">Prinsjesdag (18)
Werelddag van de dankbaarheid (21)
Burendag (22) 
Witte chocolade dag (22) 
Oktoberfest (22 sep. t/m 7 okt.)
Start van de herfst (23) </t>
  </si>
  <si>
    <t>Broer- en zusdag (30)</t>
  </si>
  <si>
    <t>Internationale ouderendag (1) 
Stoptober (maand oktober)
Dierendag (4) 
World smile day (5)
Dag van de leraar (5)</t>
  </si>
  <si>
    <t>Feestdagen</t>
  </si>
  <si>
    <t>Internationale dag van de post (9)
Wereld meisjesdag (11)</t>
  </si>
  <si>
    <t>Vriendschap</t>
  </si>
  <si>
    <t>Herfstvakantie Regio Zuid</t>
  </si>
  <si>
    <t>CAPS LOCK day (22)
Nationale dag van de vlaai (24)
Wintertijd (28) 
Herfstvakantie Regio Noord, Midden</t>
  </si>
  <si>
    <t xml:space="preserve">Kidsweek </t>
  </si>
  <si>
    <t>Een beetje extra aandacht doet een ieder goed</t>
  </si>
  <si>
    <t>Halloween (31)
Start Movember (maand november)
Clichédag (3)</t>
  </si>
  <si>
    <t>Singles Day (11)</t>
  </si>
  <si>
    <t>Nieuwe merkcampagne Greetz</t>
  </si>
  <si>
    <t>World Kindness Day (13)
I love to write day (15) 
Koningsdag Belgie (15) 
Dag van de ondernemer (16)
Intocht van Sinterklaas (17)</t>
  </si>
  <si>
    <t xml:space="preserve">Seizoen Lente - Nieuw bij Greetz                                                                                                        </t>
  </si>
  <si>
    <t>Koningsdag/ oranje</t>
  </si>
  <si>
    <t xml:space="preserve">Moederdag </t>
  </si>
  <si>
    <t>Cyber Monday (26)
Giving Tuesday (27)
Throwback Thursday (29)</t>
  </si>
  <si>
    <t xml:space="preserve">Verrassende Voornemens </t>
  </si>
  <si>
    <t>Verjaardag: dit jaar is iedereen weer jarig
MyGreetz Kalender</t>
  </si>
  <si>
    <t>Denken aan</t>
  </si>
  <si>
    <t>Een echte kaart is zoveel leuker :-)</t>
  </si>
  <si>
    <t>We blijven verversen ;-) Nieuw jaar = nieuwe verrassingen</t>
  </si>
  <si>
    <t>Kidsweek</t>
  </si>
  <si>
    <t>Verrassingen voor haar</t>
  </si>
  <si>
    <t>Start winter (21) 
Kortste dag van het jaar (21)
Free Shipping Day (21) 
Super Saturday (22)</t>
  </si>
  <si>
    <t>Vaderdag &amp; examen uitslagen</t>
  </si>
  <si>
    <t>Voorjaar - nieuw</t>
  </si>
  <si>
    <t>Hi-ha-humorweek</t>
  </si>
  <si>
    <t>Verrassingen van dit moment</t>
  </si>
  <si>
    <t>Kerstavond (24)
1e kerstdag (25) 
2e kerstdag (26)
Kerstvakantie Alle Regio's
Oudjaarsdag (31)</t>
  </si>
  <si>
    <t>Zomer</t>
  </si>
  <si>
    <t>Verrassen tijdens Pasen is een eitje bij Greetz</t>
  </si>
  <si>
    <t>Met een verrassing van Greetz zit je altijd goed (USP's uitlichten)
-&gt; Secundair: Secretaressedag</t>
  </si>
  <si>
    <t>Wat wens jij?</t>
  </si>
  <si>
    <t>Moois voor mamma</t>
  </si>
  <si>
    <t>Een onvergetelijke dag: Moederdag</t>
  </si>
  <si>
    <t>Nederlands goed :-)</t>
  </si>
  <si>
    <t>Jouw favoriete karakters nu ook bij Greetz: Disney!</t>
  </si>
  <si>
    <t>Maak er een onvergetelijk feestje van met een Greetz verrassing</t>
  </si>
  <si>
    <t>Wie is jouw beste? Beste... Vriend, vriendin, vader, tante, oma, neefje</t>
  </si>
  <si>
    <t>Verrassingen voor vaders
Grote prestatie = grote verrassing</t>
  </si>
  <si>
    <t>Zomerse verrassingen (al het moois van buiten voor binnen)</t>
  </si>
  <si>
    <t>Maak er een onvergetelijk feestje van (en maak het feest compleet met een taart)</t>
  </si>
  <si>
    <t>Vakantie &amp; Vooruitplannen... - Goed voorbereid op vakantie gaan</t>
  </si>
  <si>
    <t>Jarig in de zomer</t>
  </si>
  <si>
    <t>Greetz heeft alles in huis voor een zomers feestje</t>
  </si>
  <si>
    <t>Iemand in het zonnetje zetten</t>
  </si>
  <si>
    <t xml:space="preserve">Zomerkriebels met #zomerselfies
</t>
  </si>
  <si>
    <t>Tropische temperaturen 
Let op BE: Moederdag Antwerpen</t>
  </si>
  <si>
    <t>Jouw favoriete karakters nu ook bij Greetz: Disney!
Let op BE: Moederdag Antwerpen</t>
  </si>
  <si>
    <t>Back to school/work</t>
  </si>
  <si>
    <t>Smakelijke verrassingen (Internationale Chocoladedag)</t>
  </si>
  <si>
    <t>Nieuwe najaarscollectie</t>
  </si>
  <si>
    <t>Familie moet je vieren! Broer &amp; Zus dag</t>
  </si>
  <si>
    <t>Een glimlach door de brievenbus</t>
  </si>
  <si>
    <t>Dit doet de zieke goed (beterschap/sterkte)</t>
  </si>
  <si>
    <t>Voorbereiding op de feestdagen</t>
  </si>
  <si>
    <t>Sinterklaas</t>
  </si>
  <si>
    <t>Kerst</t>
  </si>
  <si>
    <t>Kerst &amp; de jarige in december</t>
  </si>
  <si>
    <t>Oud &amp; Nieuw</t>
  </si>
  <si>
    <t>Categorie (primair)</t>
  </si>
  <si>
    <t>Multi-category: primair bubbels</t>
  </si>
  <si>
    <t>Bloemen, Kaarten, Ballonnen, Chocolade</t>
  </si>
  <si>
    <t>Kaarten</t>
  </si>
  <si>
    <t>Bloemen &amp; Planten</t>
  </si>
  <si>
    <t>Kaarten, Chocolade, Ballonnen, Bloemen</t>
  </si>
  <si>
    <t>Primair kaarten, sec. ballonnen</t>
  </si>
  <si>
    <t>Multi-Category: Chocolade &amp; Dranken</t>
  </si>
  <si>
    <t>Bloemen &amp; Kaarten</t>
  </si>
  <si>
    <t>Bloemen</t>
  </si>
  <si>
    <t>Kaarten, Ballonnen</t>
  </si>
  <si>
    <t>Multi-category (primair chocolade, secundair bloemen &amp; kaarten)</t>
  </si>
  <si>
    <t>Chocolade</t>
  </si>
  <si>
    <t>Multi-cat Moederdagassortiment</t>
  </si>
  <si>
    <t>Bloemen &amp; Kaarten &amp; Chocolade</t>
  </si>
  <si>
    <t>Multi-category (Kaarten, Dranken, Ballonnen, Bloemen)</t>
  </si>
  <si>
    <t>Kaarten (primair), Ballonnen (sec.)</t>
  </si>
  <si>
    <t>Ballonnen</t>
  </si>
  <si>
    <t>Multi-category: Dranken, Kaarten, Bloemen (examen), Ballonnen</t>
  </si>
  <si>
    <t>Kaarten &amp; Invitations</t>
  </si>
  <si>
    <t>Taarten (Sub: Bloemen)</t>
  </si>
  <si>
    <t>Kaarten (sub. Bloemen)</t>
  </si>
  <si>
    <t>Uitleg Thema</t>
  </si>
  <si>
    <t>Multi-category: bloemen, dranken, kaarten, taarten</t>
  </si>
  <si>
    <t>Doorvertaling thema week 52: al het leuks voor het nieuwe jaar om deze goed te beginnen! Wij helpen je natuurlijk om er in 2019 weer een heel verrassend jaar van te maken en je meest attente zelf te zijn.</t>
  </si>
  <si>
    <t xml:space="preserve">Nieuw jaar nieuwe ronde: iedereen is dit jaar weer jarig! En met het oog op goede voornemens, is januari dé maand om je daarvan bewust te zijn. Want een verjaardag? Die begint natuurlijk pas bij verjaardagspost. Of met een ballon waar jij als jarige zelf op staat, of met je lievelingsbloemen en die kaart met fijne verjaardagswens. Wat je ook bezorgt, er is altijd die 'wow' bij de jarige ontvanger. En die maken we deze maand zichtbaar. </t>
  </si>
  <si>
    <t>Kaarten (collagemaker?)</t>
  </si>
  <si>
    <t>Multi-cat: Kaarten, Planten, Kokosnoten, Dranken</t>
  </si>
  <si>
    <t xml:space="preserve">14 februari is dé dag dat je je iemand die je lief hebt, extra aandacht geeft. Dat kan je prille lief zijn, de liefde van je leven, je allerliefste mamma, jouw beste vriendin of je geheime lover. Dit jaar willen we uitstralen dat we er voor elke ontvanger waar je 'ik vind je lief, ik vind je leuk of ik hou van je' wil zeggen, er zijn. En dat Valentijn de dag is om jouw hart te laten spreken op jouw manier. </t>
  </si>
  <si>
    <t>Multi-category: Chocolade, Ballonnen, Bloemen, Taarten</t>
  </si>
  <si>
    <t xml:space="preserve">Een echte vriend(in) geeft je energie, is eerlijk – en wil dat jij dat ook bent. Een echte vriend(in) kent ook je lelijke kanten. Met een echte vriend(in) kun je samen zwijgen. Met een echte vriend(in) deel je oneindig veel.        </t>
  </si>
  <si>
    <t>Chocolade + Taart &amp; Gebak</t>
  </si>
  <si>
    <t>Multi-category: Bloemen, Dranken (nieuwe wijnen), Ballonnen, Taarten</t>
  </si>
  <si>
    <t>Kaarten (primair), ander Disney assortiment (sec.)</t>
  </si>
  <si>
    <t xml:space="preserve">Na al die liefde staat de liefde voor de kleintjes centraal. Eigen kid(s), maar ook neefje/nichtje, of buurjongen/meisje. Voor de kleintjes hebben we de leukste verrassingen voor de mooiste momenten van behalen zwemdiploma tot kinderfeestje. </t>
  </si>
  <si>
    <t>Het is leuk om iemand te verrassen met een leuk moment als verjaardag, geboorte of huwelijk. Maar nog mooier zijn onze verrassingen die iemand een hart onder de riem kunnen steken. Juist op die moeilijke momenten doet een beetje extra aandacht een ieder goed.</t>
  </si>
  <si>
    <t>Kaarten, gifts door de brievenbus (BBB, assorti BCB, brownies)</t>
  </si>
  <si>
    <t>Verjaardagstraktatie (lekkers voor de jarige)</t>
  </si>
  <si>
    <t>Wat is nu het échte verhaal achter al onze mooie verrassingen? Deze weken gaat onze nieuwe TVC merkcampagne live waarin onze eigen klanten schitteren om het verhaal achter hun verrassing(en) te vertellen, wow!</t>
  </si>
  <si>
    <t>Multi-category</t>
  </si>
  <si>
    <t>Chocolade (letters), ander sintassortiment</t>
  </si>
  <si>
    <t>Multi-category (zie kerstplan)</t>
  </si>
  <si>
    <t xml:space="preserve">Al het moois van het voorjaar! Wij hebben natuurlijk niet stil gezeten om een nieuw assortiment samen te stellen en willen jou graag lentekriebels geven. Wat is nieuw bij Greetz? Wat is hip dit seizoen? Welke gave functionaliteiten hebben we ontwikkeld om jou nóg leuker te laten verrassen? </t>
  </si>
  <si>
    <t xml:space="preserve">Primair: dranken, Secundair: taart &amp; gebak (oliebollen en appelbeignets) </t>
  </si>
  <si>
    <t>Bij Greetz is het een eitje om iemand te verrassen én zeker met Pasen ;-)</t>
  </si>
  <si>
    <t>Actie (termijn van/tot)</t>
  </si>
  <si>
    <t xml:space="preserve">Onze koninKlijke hoogvliegers zetten we extra in het oranje zonnetje. </t>
  </si>
  <si>
    <t>Winactie Verras-tegoed</t>
  </si>
  <si>
    <t>Echte moeders... al je leven lang bezorg je ze als kind een heleboel. Met Moederdag bezorg je haar iets moois. Gewoon omdat ze er altijd voor je is. Bij ons zeg je het op jouw manier. Met haar lievelingsbloemen of bijvoorbeeld lievelingschocolade. En een mooie kaart met jullie foto natuurlijk! Meer uitwerking in moederdagplan.</t>
  </si>
  <si>
    <t>Chocolade gratis kaart</t>
  </si>
  <si>
    <t>Bloemen gratis kaart</t>
  </si>
  <si>
    <t xml:space="preserve">Allemaal hebben we hopelijk wel iemand en misschien wel meer mensen om ons heen die veel voor ons betekenen maar hoevaak laat jij ze dat eigenlijk weten? Een kaartje sturen om iemand op te vrolijken of een heerlijk beautypakket of heerlijk boek om iemand in een drukke periode te 'verplichten om te relaxen' ;-) Zeg op jouw manier 'je bent belangrijk voor mij'. </t>
  </si>
  <si>
    <t>Postzegelweek</t>
  </si>
  <si>
    <t>Inspiratie</t>
  </si>
  <si>
    <t>Vaderdag &amp; Examens: 2 momenten in één week... wow! ;-) Hoe gaan we dit jaar die stoere, lieve of grappige vaders verrassen? Met zijn favoriete drank? of wellicht een cadeaukaart voor een stoer uitje? Examen uitslagen... spannend! Iedereen leeft mee én wil graag de geslaagde 'feliciteren' op de dag van de examenuitslagen of misschien net een dagje later. Eerst nog even herkansen? Wens ze succes!</t>
  </si>
  <si>
    <t>In commercieel plan
10e: Free Shipment Valentijnbloemen</t>
  </si>
  <si>
    <t>X</t>
  </si>
  <si>
    <t>Vrijdag 21 juni start van de zomer, heerlijk! De ideale periode om die vriend(in)en te verrassen met een leuke fotokaart van dat geslaagde festival of opa &amp; oma met een leuke gezinsfoto van vakantie :-). Onze boeketten hebben ook de meest prachtige zomerse kleuren daarmee geef je direct een beetje zomer cadeau.</t>
  </si>
  <si>
    <t>25% korting op kaarten</t>
  </si>
  <si>
    <t>Gratis kaart bij verrassing t.w.v. 2,50</t>
  </si>
  <si>
    <t xml:space="preserve">Free shipment bloemen + Blond Amsterdam gratis postzegel + 10% korting op gepersonaliseerde ballonnen en dranken van Blond Amsterdam
</t>
  </si>
  <si>
    <t>Free shipment (maandag 20e LD)</t>
  </si>
  <si>
    <t xml:space="preserve">2=1 </t>
  </si>
  <si>
    <t>Alle smiley ballonnen €10,- (reguliere en ook nieuwe emoticons)</t>
  </si>
  <si>
    <t>Tulpendeal</t>
  </si>
  <si>
    <t>Vriendschap (Verschillende type ontvangers centraal)</t>
  </si>
  <si>
    <t>In shop acties assortiment Pasen (Let op: In email een dagknaller 50% korting kaarten op maandag 10 april)</t>
  </si>
  <si>
    <t>Seizoen: Lente - Nieuw bij Greetz</t>
  </si>
  <si>
    <t>Koningsdag</t>
  </si>
  <si>
    <t>Free shipment chocolade</t>
  </si>
  <si>
    <t>Gratis postzegels (voor al jouw mooie momenten)</t>
  </si>
  <si>
    <t>Geen prijsactie maar wel exclusiviteit &amp; vast urgentie claimen d.m.v. beperkt assortiment, op=op, van/voor</t>
  </si>
  <si>
    <t>Moederdag</t>
  </si>
  <si>
    <t>Ambacht &amp; Kwaliteit</t>
  </si>
  <si>
    <t>Vaderdag &amp; Examens</t>
  </si>
  <si>
    <t>Dinsdag (9) of woensdag (10) dagknaller free shipment op bezorging Moederdagboeket zaterdag</t>
  </si>
  <si>
    <t>In store acties op Nederlands goed</t>
  </si>
  <si>
    <t xml:space="preserve">Vriendjeskorting Disney + Disneyland bestaat dit jaar 25 jaar! Winactie (product development)
Bij 'GO' Disney: alle Disney kaarten voor 2,- p.s.                                                 </t>
  </si>
  <si>
    <t>Laat de zomer maar komen</t>
  </si>
  <si>
    <t>Gratis bezorging op ballonnen</t>
  </si>
  <si>
    <t>Pioenrozendeal - 12 euro, 10 stelen</t>
  </si>
  <si>
    <t>In store kleinere acties/afprijzingen maar geen grote
Kaarten: SS offer</t>
  </si>
  <si>
    <t>20% korting op fotokaarten</t>
  </si>
  <si>
    <t>Feestelijke aanbieding taarten? Winactie bij elke x bestelde verrassing een taart?</t>
  </si>
  <si>
    <t>3=2 op kaarten</t>
  </si>
  <si>
    <t>Free shipment ballonnen + ballonvaart winactie</t>
  </si>
  <si>
    <t>Thema zomer i.v.m. wegvallen focus 'Wow: nieuw personal wrapping'</t>
  </si>
  <si>
    <t xml:space="preserve">VIER-daagse (vier kortingen om te vieren):
1. Bloemen: 4 euro korting
2. Dranken: 4 euro korting
3. Kaarten: XL 4,00/SS 4,44 
4. Taarten: 4 euro korting - BE Ballonnen
</t>
  </si>
  <si>
    <t xml:space="preserve">Verjaardag </t>
  </si>
  <si>
    <t>Zonnebloemdeal: van 14,95 voor 10,95</t>
  </si>
  <si>
    <t>Broer- en zusdag</t>
  </si>
  <si>
    <t>Gratis postzegels</t>
  </si>
  <si>
    <t>Gradenkorting (minimaal 20% korting)</t>
  </si>
  <si>
    <t xml:space="preserve">Inspiratie + Winactie Disneyland bestaat dit jaar 25 jaar!              
Let op bij korting formuleren: niet alleen op Disney i.v.m. guidelines                          </t>
  </si>
  <si>
    <t>Gratis kaart t.w.v. 2,50 bij je verrassing</t>
  </si>
  <si>
    <t>Actiemechanisme ATL bloemen
Dagknaller 28e: 50% korting op kaarten</t>
  </si>
  <si>
    <t>Herfst</t>
  </si>
  <si>
    <t>Actiemechanisme ATL bloemen</t>
  </si>
  <si>
    <t>Gratis bezorging van alles met chocolade (let op max. 5,95 i.v.m. taarten)</t>
  </si>
  <si>
    <t>Personalised wrapping</t>
  </si>
  <si>
    <t>2=1</t>
  </si>
  <si>
    <t xml:space="preserve">Bedankt (ATL). Laatste dagen: Single's weekend in kader van Single's day op zondag </t>
  </si>
  <si>
    <t>Gratis bezorging van je cadeautje (geen kaart only) op zaterdag 30 september - Broer &amp; Zus-dag (t.w.v. 4,95 gifts en 5,95 taarten)</t>
  </si>
  <si>
    <t>Beterschap</t>
  </si>
  <si>
    <t>Gratis verzending (let op bij kaarten benoemen gratis postzegel, anders spreekt het niet tot de verbeelding)</t>
  </si>
  <si>
    <t>(Kamer)plantdeal</t>
  </si>
  <si>
    <t xml:space="preserve">Gratis bezorging op ballonnen -&gt; LET OP LOOPT TOT EN MET MAANDAG 30 OKTOBER </t>
  </si>
  <si>
    <t>Nieuw assortiment laden: Tony's nieuw, halloweenchocolade, taart &amp; gebak</t>
  </si>
  <si>
    <t>25% korting kaarten</t>
  </si>
  <si>
    <t>Gratis kaart t.w.v. 2,50 bij bloemen + fruitpakket</t>
  </si>
  <si>
    <t>Early bird (20 kaarten = 20% korting, of eindelijk die staffelkorting) + Bloemen amaryllisdeal (zie vorig jaar)</t>
  </si>
  <si>
    <t>Price offs en op=op communicatie in shop</t>
  </si>
  <si>
    <t>Geen</t>
  </si>
  <si>
    <t>1+1 op EVD kaarten</t>
  </si>
  <si>
    <t>25% price-off gepersonaliseerde bubbels</t>
  </si>
  <si>
    <t>Brand/ATL</t>
  </si>
  <si>
    <t>Categorieën:</t>
  </si>
  <si>
    <t>Multi-category
Speciale aandacht: bubbels</t>
  </si>
  <si>
    <t>Medium: Radio
Message: Verjaardag
Categorie: Bloemen, Kaarten, Ballonnen, Chocolade
Note: 3 weken + B2B tag-on</t>
  </si>
  <si>
    <t>Doorvertaling thema week 52: al het leuks voor het nieuwe jaar om deze goed te beginnen! Wij helpen je natuurlijk om er in 2018 weer een heel verrassend jaar van te maken.</t>
  </si>
  <si>
    <t>Nieuw jaar nieuwe ronde: iedereen is dit jaar weer jarig! En met het oog op goede voornemens, is januari dé maand om je daarvan bewust te zijn. Want een verjaardag? Die begint natuurlijk pas bij verjaardagspost. Of met een ballon waar jij als jarige zelf op staat, of met je lievelingsbloemen en die kaart met fijne verjaardagswens. Wat je ook bezorgd, er is altijd die 'wow' bij de jarige ontvanger. En die maken we deze maand zichtbaar. Winactie #greetzmoment: deel jouw moment met Greetz via Instagram en maak kans op €25,- verrastegoed.</t>
  </si>
  <si>
    <t>De liefde is het mooiste dat er is! Een verrassing bij Greetz is een boodschapdrager, want wat zegt jouw verrassing over jouw lief? Romantisch met rozen, snoeperd met chocolade, vliegende verrassing voor de vrolijkerd. Met welke verrassing je het ook zegt, je zegt het altijd op jouw manier. Pre-order mechanisme bloemen om vooruit te kunnen plannen.</t>
  </si>
  <si>
    <t>Medium: TV &amp; Radio
Message: Valentijn
Categorie: Kaarten, Bloemen, Chocolade, Dranken, Ballonnen
Note: Radio looptijd van 10 t/m 14 februari</t>
  </si>
  <si>
    <t>Multi-Category
Speciale aandacht: Kaarten</t>
  </si>
  <si>
    <t xml:space="preserve">Vriendschappen zijn er in verschillende soorten en maten. Voor elke geldt: wat fijn dat jij er bent. En die kan je vieren! Door bijvoorbeeld te proosten op vriendschap. Of jouw vriendin een onverwacht complimentje te sturen met de post. Of die lieve vriendin verrassen met haar lievelingsbloemen. Met Nationale Complimentendag, Internationale Vrouwendag en Vriendinnendag deze maand worden deze relaties extra benadrukt. </t>
  </si>
  <si>
    <t>Multi-Category
Speciale aandacht: 'Lekkers'</t>
  </si>
  <si>
    <t>Al het moois van het voorjaar! Wij hebben natuurlijk niet stil gezeten om een nieuw assortiment samen te stellen en willen jou graag lentekriebels geven. Wat is nieuw bij Greetz? Wat is hip dit seizoen? Welke gave functionaliteiten hebben we ontwikkeld om jou nóg leuker te laten verrassen? Bij Greetz is het een eitje om iemand te verrassen, zeker met het oog op Pasen ;-)</t>
  </si>
  <si>
    <t>Mamma's, al je leven lang bezorg je ze als kind een heleboel. Met Moederdag bezorg je haar iets moois. Gewoon omdat ze er altijd voor je is. Bij ons zeg je het op jouw manier. Met haar lievelingsbloemen of bijvoorbeeld lievelingschocolade. En een mooie kaart met jullie foto natuurlijk! Meer uitwerking in moederdagplan.</t>
  </si>
  <si>
    <t>Multi-Category
Speciale aandacht: Bloemen</t>
  </si>
  <si>
    <t>De gaaftse kaartmerken, de lekkerste chocolade, de mooiste taarten en gebakjes. Wat doen wij om de meest smakelijke verrassingen aan te bieden? Veel voorproeven natuurlijk, maar ook met de grootste zorg opzoek gaan naar de beste merken. Kijkje in de keuken bij Greetz &amp; leveranciers bieden, want waar komt toch al dat moois en lekkers vandaan?</t>
  </si>
  <si>
    <t>Medium: TV
Message: Vriendinnen
Categorie: Bloemen
Note: Free shipment - let op pas vanaf week 10 (6 maart t/m 20 maart)</t>
  </si>
  <si>
    <t>Vaderdag &amp; Examens: nadere uitwerking in het plan. Vaderdag = een mooi drankenmoment, heel veel nieuw assortiment toegevoegd sinds vorig jaar. Examens echt een ballonnen en een bloemenmoment. Niet vergeten dit keer: gezakt!</t>
  </si>
  <si>
    <t>Multi-Category
Speciale aandacht: Ballon (verjaardag)</t>
  </si>
  <si>
    <t>Het zonnetje schijnt en we hebben er allemaal weer zin in! Zo ook onze nieuwe collectie. Echte zomerbloemen voor deze periode en de leukste kaarten maak je natuurlijk met jouw zomerse selfie erop.</t>
  </si>
  <si>
    <t>Multi-Category
Speciale aandacht: Kaarten, Bloemen en Chocolade</t>
  </si>
  <si>
    <t>Inspiratie: Yes, zomervakantie! Dat betekent pauze van school maar ook van al die leuke sportclubs. Het ideale moment om die leuke juf, vrolijke meester, stoere voetbalcoach, lieve dansjuf met een verrassing te bedanken, dankjewel!</t>
  </si>
  <si>
    <t>Hallo (bijna) vakantie! Ook voor vakantie geldt een goede voorbereiding is het halve werk.. Wij van Greetz helpen je graag relaxen ;-) Nu de 3de kaart gratis. Ideaal voor als je graag goed voorbereid op vakantie gaat en je alvast kaarten wilt klaarzetten.</t>
  </si>
  <si>
    <t xml:space="preserve">Medium: TV (2,5 week: wo 5 t/m vrij 21 april)
Message: Sorry (Buren) + categoriespecifieke add on (versie merken en versie personalized)
Categorie: Chocolade 
</t>
  </si>
  <si>
    <t>Multi Category
Speciale aandacht: ballonnen, kaarten, speelgoed en kinderboeken</t>
  </si>
  <si>
    <t>Die heerlijke zomerdagen worden pas écht een feestje met de Greetz VIER-daagse! Met de code VIER krijg je 4,- korting op alle bloemen (gladiolen), dranken, beauty en ballonnen.
Met welke feestaanbieding ga jij verrassen?</t>
  </si>
  <si>
    <t>Beauty verras die vriend(in) met een lekker relax momentje</t>
  </si>
  <si>
    <t>Multi Category: personalised
Inspiratie: de mooiste foto én tekstcadeaus, persolised wrapping én wijnkistjes.</t>
  </si>
  <si>
    <t xml:space="preserve">Proost! Op de zomer met onze zomerbieren in zinken emmer (keep it cool ;-)),  fruitige rosé's of heerlijke witte wijnen met eigen etiket. Kies je eerst je fles wijn én daarna je eigen persoonlijke etiket (test Kiki). </t>
  </si>
  <si>
    <t>Multi Category: Gift + kaart
Speciale aandacht: snoeppot of australian hart i.v.m. tag-on tvc</t>
  </si>
  <si>
    <t xml:space="preserve">Medium: TV
Message: Moederdag Julia (25 sec)
Categorie: Bloemen
</t>
  </si>
  <si>
    <t>Categorie: Bloemen</t>
  </si>
  <si>
    <t xml:space="preserve">Zomerkriebels! Ze zijn er weer. En hoe leuker dan ze vast te leggen met een #zomerselfie. Haakje internatinale dag van de vriendschap en zussendag.                    </t>
  </si>
  <si>
    <t>Multi-Category
Speciale aandacht: new bij Greetz (thee/koffie, wijnen, taarten, giftcards.</t>
  </si>
  <si>
    <t>Multi-Category
Speciale aandacht: Ballonnen</t>
  </si>
  <si>
    <t>Medium: radio
Message: Vaderdag (+ 1 dag full focus examen)
Categorie: Drank (bierpakket), kaarten, ballonnen (+ bloemen examen)
Note: Vaderdag zelfde campagne als LY / examen nog te maken</t>
  </si>
  <si>
    <t>Multi-Category
Speciale aandacht: Chocolade</t>
  </si>
  <si>
    <t>Iemand in het zonnetje zetten is het leukste wat er is en hoe kan dit beter dan met het zonnetje in huis zelf? Zonnebloemen! Ook: veldboeketten, nieuwe collectie, tips om je bloemetjes te verzorgen in de zomer</t>
  </si>
  <si>
    <t xml:space="preserve">Multi-Category
Speciale aandacht: Kaarten </t>
  </si>
  <si>
    <t>Jarig zijn is het leukste dat er is. Want vakantie of niet, de jarige vergeet je natuurlijk niet! Met onze leuke zomerse verrassingen zet jij de jarige extra in het zonnetje. En hoe leuk is het om die vrolijke zomerse foto te gebruiken, instant summer party feeling! :-)</t>
  </si>
  <si>
    <t>Multi-Category
Speciale aandacht: Bloemen + pers wrap</t>
  </si>
  <si>
    <t>Multi-Category
Speciale aandacht: bloemen + kaart</t>
  </si>
  <si>
    <t>Gebruik die leuke vakantie- of festivalfoto én maak zo'n heerlijke zomerse kaart! Met zo'n leuke foto verandert een kaart in een verrassing om te bewaren. Ideaal om de jarige mee te verrassen of die girlsquad ;-)</t>
  </si>
  <si>
    <t>Multi-Category
Speciale aandacht: food</t>
  </si>
  <si>
    <t xml:space="preserve">Billboarding RTL 90 GRP's
Message: "Dit programma wordt mede mogelijk gemaakt door de verjaardagsverrassingen/persoonlijke verrassingen van Greetz"
Categorie: versie mobile/persoonlijke verrassingen = personalized balloons, versie desktop/verjaardagsverrassingen = bloemen + kaarten + taart 
</t>
  </si>
  <si>
    <t>De jarige! Nog steeds een van de allerbelangrijkste (en leukste) ontvangers bij Greetz. Deze vier weken gaan we het thema verjaardag' weer uitlichten. Elke week met een andere categorie + actie in de spotlight. Doordat we het thema wat langer laden kunnen we het ook beter laden in meerdere channels. De verjaardagspagina wordt vernieuwd en natuurlijk gaat de tab aan. Alles om de jarige een hele fijne verjaardag te wensen!</t>
  </si>
  <si>
    <t xml:space="preserve">Billboarding RTL 90 GRP's
Message: "Dit programma wordt mede mogelijk gemaakt door de verjaardagsverrassingen/persoonlijke verrassingen van Greetz"
Categorie: versie mobile/persoonlijke verrassingen = personalized balloons, versie desktop/verjaardagsverrassingen = bloemen + kaarten + taart </t>
  </si>
  <si>
    <t>Multi-Category: me time :-)
Speciale aandacht: Beauty/books/thee/Chocolade</t>
  </si>
  <si>
    <t xml:space="preserve">Multi-Category
Speciale aandacht: Stoere producten (man &amp; jongeren) </t>
  </si>
  <si>
    <t>Nationale broer en zus-dag. Is de dag waar je de waardering voor jouw broer of zus kan uiten met een leuke verrassing. Broer en zus-dag is bij uitstek een dag waarop je jouw waardering met een knipoog kan uiten. Want zeg nou zelf... jij was vroeger thuis altijd de leukste, slimste en knapste ;-)</t>
  </si>
  <si>
    <t xml:space="preserve">TV 25" spot - 25 aug t/m17 sept
Radio 20" spot - 4 t/m 11 sept
Message: Vriendschap - verjaardag
Categorie: Bloemen
Note: actiemechanisme t.b.d. Alleen op radio / online (geen actie tag on TV) </t>
  </si>
  <si>
    <t>Dranken (Vaderdag) Ballonnen (examen)</t>
  </si>
  <si>
    <t>LET OP: Week 43, 44, 45
Medium: Radio
Message: Verjaardagscampagne
Categorie: Multi-category
Note: Tag-on B2B</t>
  </si>
  <si>
    <t xml:space="preserve">Herfst: Alles waar jij het thuis gezellig mee kan maken, kan je ook versturen. Met een herfstgroet en veel liefs natuurlijk. Zo hebben we de heerlijkste wijnen, de warmste boeketten en de leukste kaarten. Dat is heel fijn thuiskomen voor de ontvanger. </t>
  </si>
  <si>
    <t>Multi-Category
Speciale aandacht: bloemen</t>
  </si>
  <si>
    <t>Een glimlach kan door de brievenbus komen! Want met onze leuke kaarten collecties die verstuurd worden in een vrolijk gekleurde envelop ben je verzekerd van een glimlach ;-) Deze week extra leuk met het haakje 'Dag van de post' op dinsdag de 9e. Gratis postzegels maakt het thema mooi af.</t>
  </si>
  <si>
    <t>TBD LOOPTIJD
Medium: TV
Message: Wie heeft jou een mooi jaar bezorgd?
Categorie: Mutli-category
Note: Campagne van 2016</t>
  </si>
  <si>
    <t xml:space="preserve">"Multi-Category
Speciale aandacht: Baby &amp; kids						</t>
  </si>
  <si>
    <t>O'jee, het waait hard... houd deze verrassingen goed vast! ;-) Want ze staan garant voor heel veel (ontvangst) plezier en brengen veel kleur in die donkere dagen tijdens de herfst. Ze zijn geschikt voor alle momenten: van verjaardag tot om iemand beterschap te wensen. We hebben het hier over onze ballonnen van gezonde brocolli tot betoverende uni-corn.</t>
  </si>
  <si>
    <t xml:space="preserve">"Multi-Category
Speciale aandacht: Dranken                                               </t>
  </si>
  <si>
    <t>Het staat elk jaar hoog op de goede voornemens-lijstjes: attenter zijn! Wij helpen je er graag een handje bij. Bij elke bestelling die je deze week plaatst maak je kans op €2017,- verrastegoed.</t>
  </si>
  <si>
    <t>Met Greetz kan ik altijd en overal op een impactvolle en unieke manier verrassen' én uniek zijn we zeker met: personal wrapping! Gebruik die leuke foto en/of tekst en zelfs het cadeaupapier veranderd in een verrassing om te bewaren.</t>
  </si>
  <si>
    <t>Dit jaar is iedereen weer een keertje jarig... En voor elke jarige hebben we een passende verrassing. Multi-category thema met verschillende ontvangers. In de eerste week staat de zoetekauw centraal (gratis kaart bij chocolade) en in de tweede week primair de fleurige ontvanger (gratis kaart bij bloemen)</t>
  </si>
  <si>
    <t>Er zijn bijna net zoveel redenen om iemand te bedanken als verrassingen waarmee je kan bedanken ;-) Bedankt behoeft enkel wel wat meer toelichting in woorden, daarom deze weken een gratis kaart bij alle cadeaus om kwijt te kunnen waarom je zo graag wilt bedanken.</t>
  </si>
  <si>
    <t>De klassieker in een gaaf jasje. Met uitloop van verjaardagsthema kunnen hier allerlei ontvangers worden uitgelicht. Het grootste verrassingsmoment op je verjaardag blijft toch echt de post</t>
  </si>
  <si>
    <t xml:space="preserve">Wat hebben we de laatste tijd allemaal gedaan om zo vernieuwend mogelijk te zijn? En hoe zorgen we ervoor dat we alleen het beste van het beste hebben? En jou ook te kunnen verrassen?                                   </t>
  </si>
  <si>
    <t>Liefde... Houd je het dit jaar lekker luchtig (ballon), gaat het door de maag (chocolade), op een vaas (bloemen) of met hele lieve woorden (kaart). Hoe zeg jij het dit jaar?</t>
  </si>
  <si>
    <t>Na al die liefde staat de liefde voor de kleintjes centraal. Eigen zoon of dochter, maar ook neefje/nichtje, of buurjongen/meisje. Voor de kleintjes hebben we de leukste verrassingen. Baby &amp; kids live? XL ballonnendoos?</t>
  </si>
  <si>
    <t>Moe, hangerig, snot, niet lekker. De tijd van griep begint helaas weer maar natuurlijk zijn er ook andere momenten waarop je iemand 'sterkte' kan wensen. Zo'n vrolijk kaartje doet al snel goed. Beterschap!</t>
  </si>
  <si>
    <t>Vrouwen... Wat moeten we zonder ze? We hebben heel veel moois in huis om hun dag te maken. Met heerlijke chocolade bijvoorbeeld, voor de echte smikkelkonten. Of heerlijke bubbels/witte wijn, om samen te proosten. Alles waar vrouwen blij van worden</t>
  </si>
  <si>
    <t>Wie staat er altijd voor jou klaar? Welke vriendin heeft jou al veel mooie momenten bezorgd? Deze weken is het tijd om diegene ook iets moois te bezorgen. En met een vrolijke bos bloemen mét gratis bezorging wordt dat heel leuk.
Let op: zondag 19 maart is het Vaderdag in Antwerpen en staat week 11 in BE dus in het teken van Vaderdag</t>
  </si>
  <si>
    <t>We zijn wel weer toe aan wat nieuws! Nieuwe voorjaarskleren, grote schoonmaak: nieuwe kaartcollecties? Zijn er toffe toevoegingen qua leveranciers? Tijd om een beetje voorjaar in huis te halen.</t>
  </si>
  <si>
    <t xml:space="preserve">Een lach per post/pakketje. Kaarten of cadeautjes met een knipoog. Een lachwekkende tekst op de voorkant (Magic), face in hole kaart met foto ontvanger of een grappig design (nieuwe emoticon ballonnen). Dat brengt gegarandeerd een glimlach van oor tot oor. </t>
  </si>
  <si>
    <t>Wat leeft er nu zo begin april? De tulpen schieten weer uit de grond (tulpendeal), maar misschien zijn er ook andere bijpassende verrassingen voor dit moment die hip &amp; happening zijn. Bekijk zoekvolume begin april en hierop inspelen.</t>
  </si>
  <si>
    <t>Je verrast niet met het moment Pasen, maar wel tijdens het moment Pasen. Leuk dus als we alles in huis hebben om er een eitje van te maken. Multi-cat. met chocolade (meer assortiment dan vorig jaar), bloemen (paastakken, narcissen), en kaarten met pastelkleuren</t>
  </si>
  <si>
    <t>Een verrassing is altijd leuk. Maar met een verrassing van Greetz weet je zeker dat je altijd goed zit. Welke USP's hebben wij om onze verrassingen zo onderscheidend (en daarmee zo verrassend mogelijk) te bezorgen bij de ontvanger? Specifieke focus chocolade deze week, free shipment. Focus op gepersonaliseerd met foto en tekst en van de beste merken, kwaliteit.
--&gt; Secundair Secretaressedag</t>
  </si>
  <si>
    <t xml:space="preserve">Veel leuke momenten deze week - inhaken op 'Wens' - ze heten niet voor niets wenskaarten :-) Misschien wens vervullen? Evt. samenwerking Make-A-Wish
Leuk haakje: Koningsdag </t>
  </si>
  <si>
    <t>Moois voor mams. Nadere uitwerking in commerciële plan</t>
  </si>
  <si>
    <t>Wow! Weer een mooie nieuwe categorie, books! Books vallen binnen de top 5 cadeaus voor verjaardagen maar ook voor Sint en kerst is het een ideaal cadeau. Let op: hoe gaan we books introduceren?? Komt er een tussenliggende pagina waar er uitgelegd word hoe je kan personaliseren??</t>
  </si>
  <si>
    <t>Hoe bezorg jij haar een fijne Moederdag? We hebben alles in huis om haar een onvergetelijke dag te bezorgen. Nadere uitwerking in commerciële plan</t>
  </si>
  <si>
    <t xml:space="preserve">Oh kom er eens kijken... Multicategorie-insteek op sint. Sint als seasonality, niet als moment. Chocolade (letters), B&amp;K, Ballonnen en kaarten primair. </t>
  </si>
  <si>
    <t>Made in Holland! Verschillende mooie Nederlandse proposities uitlichten: Loesje kaarten (echt Hollands), de lekkerste NL'se biertje (price off i.v.m. week NL bier), Nederlandse ballonnen, typische Nederlandse bloemen (is de tulp er dan nog?)</t>
  </si>
  <si>
    <t>Mickey, Elsa, alle Disney karakters kunnen niet wachten om iemand blij te maken met een verrassing. Kan een hele gave campagne worden met verrijking 25-jarig bestaan Disneyland Paris (partnership)</t>
  </si>
  <si>
    <t>Wie heeft jou zo'n mooi jaar bezorgd? En wie ga jij daarom bedanken? Rond deze tijd blikken we graag terug op alles van het afgelopen jaar. Bedanken kan met een mooie kaart, een bloemetje, lekkere chocolade, taart, ballon, alles! Dus daarom ook het idee laden van kerst en niet direct een product in de spotlight. De kerstpagina is 'aan' en de tab ook.</t>
  </si>
  <si>
    <t xml:space="preserve">Maak het feestje compleet met een verrassing van Greetz. De ballon is toch de gast die je op je feestje wil hebben en maakt er altijd iets spectaculairs van. </t>
  </si>
  <si>
    <t>Feestdagen, het zou bijna al je tijd opslokken. Maar hallo, die jarige in december dan? Die verdient z'n eigen feestje. Speciaal daarom: de welbekende 1+1. Let op: learnings meenemen voor klachtbeperking. EN: vergeet niet in de shops ook aan meer te denken dan alleen kerst...</t>
  </si>
  <si>
    <t>Verschillende 'vriendschap' ontvangers uitlichten i.v.m. Best Friends day (8e). Dit laden primair met bloemen voor je bestie. Nathalie als bloemgezicht van Greetz naar voren schuiven.</t>
  </si>
  <si>
    <t>Vaderdag &amp; Examens. Let op: vorig jaar examens en bloemen was een goede match. In deze week dus (ook radio doen we dat) primaire focus op examens en bloemen en ballonnen. Nadere uitwerking in commerciële plan. Let op BE: geen examens dus primair Vaderdag. Sec.: haakje taarten examens?</t>
  </si>
  <si>
    <t>Met een knal het nieuwe jaar in (of het oude jaar uit)! In je ene hand een lekker drankje (personlised magnum flessen champagne!) en in die andere natuurlijk een oliebol of appelbeignet ;-)</t>
  </si>
  <si>
    <t>De zon laat zich weer zien! Het weer is lekker, de selfies en feestjes nemen weer toe... Tijd om ze op een leuke kaart te zetten! Collegemaker waar mogelijk live. Secundair: uitnodigingen voor feestje.</t>
  </si>
  <si>
    <t>Tijd voor taart! Introductie van deze supergave nieuwe propositie. Speciale aandacht voor B2B. Vooralsnog gaan we van deze planning uit (moet te halen zijn), dan thema verrijken met andere feestelijke verrassingen. Let op: niet in België - hier primair bloemen (actie: 5 euro korting op alle boekketten gedurende week 26)</t>
  </si>
  <si>
    <t>We helpen je graag op weg als je op vakantie gaat, waar moet je allemaal aan denken en wat kunnen wij voor je doen? Kalender uitleg MyGreetz. Ook: je bloemetje kan je ook vooruitplannen, deze gaat vers op weg naar de ontvanger.</t>
  </si>
  <si>
    <t>Iedereen heeft zomervakantie (midden, zuid, noord) en jij bent jarig? Dat is vaak niet leuk: er kunnen niet veel mensen bij zijn etc. Zeker voor kindjes niet leuk. We doen alles om het ook voor de jarige leuk te maken als je er niet bij kan zijn: tips &amp; tricks. Extra leuk voor ballonnen: 17 juli is het Emoji day!</t>
  </si>
  <si>
    <t>Alles in huis voor een zomers feestje. Een zomers dagje organiseren: start met je uitnodiging, neem een lekker (sterk) drankje mee, bedank met een bloemetje en stuur een toffe fotokaart van het feestje</t>
  </si>
  <si>
    <t xml:space="preserve">Iemand in het zonnetje zetten is het leukste wat er is en hoe kan dit beter dan met het zonnetje in huis zelf? Zonnebloemen! Ook: veldboeketten, nieuwe collectie, tips om je bloemetjes te verzorgen in de zomer
</t>
  </si>
  <si>
    <t xml:space="preserve">Zomerkriebels! Ze zijn er weer. En hoe leuker dan ze vast te leggen met een #zomerselfie. Haakje trouwen &amp; gay pride? Ook leuk: verlengde kaarten cut off naar 21:00u én de collagemaker die live is?                                 </t>
  </si>
  <si>
    <t xml:space="preserve">Tropische tintjes! Ibiza kaarten, flamingo’s, watermeloen, toekans… is er nieuwe content? Als je deze week een kaartje stuurt, dan moet ‘ie natuurlijk zitten in een tropisch jasje. Wij bieden inspiratie.
</t>
  </si>
  <si>
    <t>Mickey, Elsa, alle Disney karakters kunnen niet wachten om iemand blij te maken met een verrassing. Beetje een vreemde in de zomercampagne, maar die introductie van Disney behoeft zeker wat aandacht. Aankleden met zomerse elementen
Kan een hele gave campagne worden met verrijking 25-jarig bestaan Disneyland Paris (partnership)</t>
  </si>
  <si>
    <t xml:space="preserve">De zomer voorbij, aan het werk! Laatste week van de zomervakantie (Noord). Back to school, back to work. Nog één keer terugblikken op die heerlijke zomer en bedanken of succes wensen 
</t>
  </si>
  <si>
    <t>Vrienden voor het leven, wie staat er altijd voor jou klaar? Nieuwe najaarsassortiment voor bloemen uitlichten</t>
  </si>
  <si>
    <t>Multi-Category
Speciale aandacht: Bubbels</t>
  </si>
  <si>
    <t>Multi-Category
Speciale aandacht: Lekkers (Taart &amp; Gebak, Drank, Chocolade)</t>
  </si>
  <si>
    <t>Multi-category
Speciale aandacht: ballonnen</t>
  </si>
  <si>
    <t>Multi-Category
Speciale aandacht: Bloemen
Let op: België Antwerpen maandag 19 maart</t>
  </si>
  <si>
    <t>Woensdag 13 september is het Internationale Chocoladedag. Een mooie week dus om stil te staan bij het vernieuwde chocoladeassortiment, want voor elke smulpaap ontvanger is er wel wat wils.</t>
  </si>
  <si>
    <t>Trends &amp; tips! Inspiratie voor nieuwe (kaart)content. Design week koppeling?</t>
  </si>
  <si>
    <t>Multi-Category
Speciale aandacht: Nieuw bij Greetz (snoepotten, dranken, plantentrends, baby &amp; kids)</t>
  </si>
  <si>
    <t>Multi-Category
Speciale aandacht: Kaarten(trends)</t>
  </si>
  <si>
    <t>Broer &amp; Zus dag! Je krijgt ze cadeau ;-) maar wat fijn is het dat zij er zijn. Op 30 september vieren we broer &amp; zus dag</t>
  </si>
  <si>
    <t>Multi-Category
Speciale aandacht: Bloemen (tulpen)</t>
  </si>
  <si>
    <t>Multi-Category
Speciale aandacht: Kaarten, Taarten, Drank (Bier)</t>
  </si>
  <si>
    <t>Multi-Category
Speciale aandacht voor: Bloemen</t>
  </si>
  <si>
    <t>Multi-Category
Speciale aandacht: Kaart(merken)</t>
  </si>
  <si>
    <t>Multi-Category
Gratis kaart bij gift</t>
  </si>
  <si>
    <t>Multi-category: stoere mannen producten</t>
  </si>
  <si>
    <t>Een glimlach kan door de brievenbus komen! De mooiste kaarten, leukste bloemetjes (BBB), lekkerste chocolade, verste brownies: het past allemaal. Deze week extra leuk met het haakje 'Dag van de post' op maandag de 9e. Gratis bezorging van alles door de brievenbus maakt dat af.</t>
  </si>
  <si>
    <t>We gaan weer massaal naar binnen ;-) Het is dus tijd om lekker binnen te geniet van je verrassing! Laatste tijd weer veel (najaars)assortiment toegevoegd wat uitgelicht kan worden. Ook: gemak van Greetz - want je hoeft nooit je huis uit om een verrassing voor iemand te hebben.</t>
  </si>
  <si>
    <t>Multi-Category
Speciale aandacht: Kaarten &amp; Drank (Vaderdag) - Ballonnen &amp; Bloemen &amp; Taarten (Examens)</t>
  </si>
  <si>
    <t>De jarige! Nog steeds een van de allerbelangrijkste (en leukste) ontvangers bij Greetz. Deze drie weken gaan we het moment 'verjaardag' weer uitlichten. Elke week met een andere categorie + actie in de spotlight. Doordat we het thema wat langer laden kunnen we het ook beter laden in meerdere channels. De verjaardagspagina wordt vernieuwd en natuurlijk gaat de tab aan. Alles om de jarige een hele fijne verjaardag te wensen!</t>
  </si>
  <si>
    <t>Moe, hangerig, snot, niet lekker. De tijd van griep begint helaas weer maar natuurlijk zijn er ook andere momenten waarop je iemand 'sterkte' kan wensen. Met bloemen maak je dit (moeilijke) moment wat vrolijker. En een gratis kaart gebruik je natuurlijk voor je liefste wens.</t>
  </si>
  <si>
    <t xml:space="preserve">Natuurlijk hebben we heel veel leuks te vertellen in voorbereiding naar de feestdagen. Dus dat gaan we ook doen! Is het assortiment al tot stand gekomen? Hebben we een gave 'what-design-can-do' week erop zitten met mooie kerstcontent? Waarmee kan je deze kerst origineel zijn? Alles multi-category maar met focus voor kaarten op early bird en gift-minded op de amaryllisdeal primair. </t>
  </si>
  <si>
    <t>Multi-category
Speciale aandacht voor: Kaarten</t>
  </si>
  <si>
    <t>Hij komt hij komt, die lieve goede Sint. Maar wie brengt er de verrassingen mee? Dat doen wij ;-) Bij Greetz verras je niet primair voor het moment Sinterklaas, maar als er dan iemand jarig is/andere gelegenheid tijdens dit moment: dan is een sinterklaasverrassing extra leuk. Let op in België vieren ze het op 6 december.</t>
  </si>
  <si>
    <t>Multi-category
Speciale aandacht voor: Bloemen</t>
  </si>
  <si>
    <t xml:space="preserve">Met een knal het nieuwe jaar in (of het oude jaar uit)! In je ene hand een lekker drankje en in die andere natuurlijk een oliebol of appelbeignet. </t>
  </si>
  <si>
    <t>Channel Campaigning</t>
  </si>
  <si>
    <t>Category: Kaarten</t>
  </si>
  <si>
    <t>Multi-category: Bloemen (gladiolen), dranken, ballonnen en Beauty.</t>
  </si>
  <si>
    <t>Category: Dranken (wijn: wit of rosé)</t>
  </si>
  <si>
    <t>Categorie: Kaarten</t>
  </si>
  <si>
    <t>Home toppanel + landing</t>
  </si>
  <si>
    <t>Visueel: Bubbels
Landing: /nieuwjaar</t>
  </si>
  <si>
    <t xml:space="preserve">Category: Bloemen </t>
  </si>
  <si>
    <t>Visueel: kaarten (verjaardag)
Landing: /kaarten</t>
  </si>
  <si>
    <t xml:space="preserve">Category: multicat personalised </t>
  </si>
  <si>
    <t>Visueel: 
Landing: /chocola-gebak</t>
  </si>
  <si>
    <t xml:space="preserve">Category: Kaarten </t>
  </si>
  <si>
    <t>Visueel: Bloemen + kaart
Landing: /bloemen</t>
  </si>
  <si>
    <t>Visueel: ballonnen (verjaardag)
Landing: /ballonnen</t>
  </si>
  <si>
    <t>Visueel: choc. + kaart
Landng: /chocolade</t>
  </si>
  <si>
    <t xml:space="preserve">Category: Ballonnen </t>
  </si>
  <si>
    <t>Visueel: ballon
Landng: /valentijn</t>
  </si>
  <si>
    <t>Multi-category: taarten, chocolade en spoeppotten onder de noemer 'lekkers voor de jarige'</t>
  </si>
  <si>
    <t>Visueel: Kaarten
Landing: /kaarten</t>
  </si>
  <si>
    <t>Visueel: Kids gifts</t>
  </si>
  <si>
    <t xml:space="preserve">Multi-category: Ballonnen, bloemen, mokken en chocolade </t>
  </si>
  <si>
    <t>Visueel: The gift label
Landing: cadeaus/beauty</t>
  </si>
  <si>
    <t xml:space="preserve">Visueel: snoeppot
Landing: /fotocadeaus </t>
  </si>
  <si>
    <t>Multicat - thema herfst --&gt; bloemen (main), maar ook chocolade, mokken &amp; rode wijn</t>
  </si>
  <si>
    <t>Visueel: (Nieuw design) Australian hart + kaart
Landing: /cadeaus</t>
  </si>
  <si>
    <t>Visueel: Bloemen
Landing: /bloemen</t>
  </si>
  <si>
    <t>Category: Ballonnen</t>
  </si>
  <si>
    <t>Visueel: giftcards, drank, thee
Landing: /cadeaus?cadeauspecials=nieuw</t>
  </si>
  <si>
    <t>Visueel: Ballonnen
Landing: /ballonnen</t>
  </si>
  <si>
    <t xml:space="preserve">Multi-category: bloemen (main), chocolade, baby&amp; kids, beauty, bierpakket </t>
  </si>
  <si>
    <t>Visueel: (paas)chocolade + kaart
Landing: creeren d.m.v. tag (lente of pasen)</t>
  </si>
  <si>
    <t>Multi-category: alle categorien</t>
  </si>
  <si>
    <t>Visueel: kaarten (oranje/blauw)
Landing: /kaarten</t>
  </si>
  <si>
    <t>Visueel: Bloemen met pers wrap + kaart
Landing: /cadeaus?uitgelicht=cadeaus-met-gepersonaliseerd-cadeaupapier</t>
  </si>
  <si>
    <t>Visueel: 'Moederdag'
Landing: /moederdag, laatste dagen = wand</t>
  </si>
  <si>
    <t>Category: books</t>
  </si>
  <si>
    <t>Visueel: Food
Landing:'tagging'</t>
  </si>
  <si>
    <t>Multi-category: chocoladeletters in beeld</t>
  </si>
  <si>
    <t>Category: Chocolade (letters)</t>
  </si>
  <si>
    <t>Visueel: Beauty/books/thee/Chocolate (bath)
Landing: 'tagging' = mooi</t>
  </si>
  <si>
    <t>Category:</t>
  </si>
  <si>
    <t>Visueel: Drank
Landing: /tag t.b.d.</t>
  </si>
  <si>
    <t>Visueel: Vaderdag (drank) &amp; examen (ballon)
Landing: /vaderdag - /examen</t>
  </si>
  <si>
    <t>Visueel: Bloemen (zomers boeket)
Landing: /bloemen</t>
  </si>
  <si>
    <t>Home toppanel</t>
  </si>
  <si>
    <t>Bubbels 25%</t>
  </si>
  <si>
    <t>Verjaardagspost voor de jarige</t>
  </si>
  <si>
    <t>Gratis kaart (visueel bloemen)</t>
  </si>
  <si>
    <t>Verjaardagsballonnen vanaf €10,-</t>
  </si>
  <si>
    <t>Liefde zaden (bloemen)</t>
  </si>
  <si>
    <t>Pre-order Valentijn (overkoepelend)</t>
  </si>
  <si>
    <t>Valentijn multi-category naar /valentijn</t>
  </si>
  <si>
    <t>Lekkers: donuts link naar multi-cat</t>
  </si>
  <si>
    <t>SEA</t>
  </si>
  <si>
    <t>Kaarten 1+1 vriendschap</t>
  </si>
  <si>
    <t>Humorhaakje ballonnen</t>
  </si>
  <si>
    <t>Pasen</t>
  </si>
  <si>
    <t>Chocolade + secretaressedag</t>
  </si>
  <si>
    <t>Bloemencampagne free ship</t>
  </si>
  <si>
    <t>Kaarten en uitnodigingen 25%</t>
  </si>
  <si>
    <t>Nieuwe kaarten</t>
  </si>
  <si>
    <t>Multi cat. nieuw lente</t>
  </si>
  <si>
    <t>Display (retargeting campagne)</t>
  </si>
  <si>
    <t>Gratis postzegel</t>
  </si>
  <si>
    <t>Multicat orange</t>
  </si>
  <si>
    <t>Moederdag soft launch nieuw/ Wrapping go/no go</t>
  </si>
  <si>
    <t>Ambacht/kwaliteit chocolade</t>
  </si>
  <si>
    <t>Kaarten merken+ korting</t>
  </si>
  <si>
    <t>Home nieuw sub (standaard personalised)</t>
  </si>
  <si>
    <t>Personalised wijnkisten (o.v.b. van /wijnkisten)</t>
  </si>
  <si>
    <t>Gratis kaart bij gift</t>
  </si>
  <si>
    <t>Mannelijke producten, geen vaderdag</t>
  </si>
  <si>
    <t>Personalised: snoeppotten (intro korting)
Landing: /cadeaus/snoeppotten</t>
  </si>
  <si>
    <t>Vaderdag</t>
  </si>
  <si>
    <t>Examen</t>
  </si>
  <si>
    <t>Personalised: wrapping (verjaardag)
Landing: /cadeaupapier</t>
  </si>
  <si>
    <t xml:space="preserve">Gratis postzegel </t>
  </si>
  <si>
    <t>Affiliate</t>
  </si>
  <si>
    <t>Free shipment bloemen</t>
  </si>
  <si>
    <t>Personalised wrapping (liefde)</t>
  </si>
  <si>
    <t xml:space="preserve"> </t>
  </si>
  <si>
    <t xml:space="preserve">Kaarten laatste dag; kaaren valentijn (12 feb) en op 14 feb personalised wrapping. </t>
  </si>
  <si>
    <t>Kaart + bakmix 'super duper'</t>
  </si>
  <si>
    <t>Zomerse kaarten (o.a. verjaardag)</t>
  </si>
  <si>
    <t>Personalised: chocolade</t>
  </si>
  <si>
    <t>Nederlands goed acties</t>
  </si>
  <si>
    <t>4-daagse</t>
  </si>
  <si>
    <t>Landing: /baby-kids</t>
  </si>
  <si>
    <t>Freeshipment ballonnen</t>
  </si>
  <si>
    <t xml:space="preserve">Wijn test </t>
  </si>
  <si>
    <t xml:space="preserve">Free shipment ballon </t>
  </si>
  <si>
    <t>Personalised: 
Landing: /fotocadeaus (volgens nieuwe AOC grit)</t>
  </si>
  <si>
    <t>Vaderdag / pioenrozen</t>
  </si>
  <si>
    <t>Examen / Vaderdag</t>
  </si>
  <si>
    <t>Fotokaarten en uitnodigingen</t>
  </si>
  <si>
    <t>Taarten (NL) en bloemen (BE)</t>
  </si>
  <si>
    <t>Fotokaarten</t>
  </si>
  <si>
    <t>Personalised: Merci personalised
Landing: t.b.d. personalised of merci? A/B test??</t>
  </si>
  <si>
    <t>Personalised: wrapping
Landing: /cadeaupapier</t>
  </si>
  <si>
    <t>Multi cat. personalised</t>
  </si>
  <si>
    <t>Personalised: kaarten
Landing: /kaarten/fotokaarten</t>
  </si>
  <si>
    <t xml:space="preserve">Actie: 1+1 kaarten (min. 1 fotokaart) </t>
  </si>
  <si>
    <t xml:space="preserve">Bloemen </t>
  </si>
  <si>
    <t>Display (branding)</t>
  </si>
  <si>
    <t>Personalised: Gift + wrapping
Landing: idem als week 15</t>
  </si>
  <si>
    <t xml:space="preserve">Ballonnen </t>
  </si>
  <si>
    <t>Merci ivm marketing bijdrage</t>
  </si>
  <si>
    <t>Taart in beeld (don. chocolade)</t>
  </si>
  <si>
    <t>Visueel: Beauty combi
Landing: cadeaus/beauty</t>
  </si>
  <si>
    <t>Bloemen free shipment</t>
  </si>
  <si>
    <t>NVT</t>
  </si>
  <si>
    <t>Personalised: Standaard wrap panel
Landing: /cadeaupapier</t>
  </si>
  <si>
    <t>Personalised: Chocolade
Landing: /chocolade</t>
  </si>
  <si>
    <t>Disney lancering</t>
  </si>
  <si>
    <t>Examens &amp; Vaderdag</t>
  </si>
  <si>
    <t>Pioenrozendeal - 19 euro special edition</t>
  </si>
  <si>
    <t>Fotokaarten (koppeling selfie/camera)</t>
  </si>
  <si>
    <t>Personalised': 25% korting snoeppotten
Landing: /cadeaus/snoeppotten</t>
  </si>
  <si>
    <t>I.v.m. wisseling momenten plek vrijhouden.</t>
  </si>
  <si>
    <t xml:space="preserve">Chocolade + kaart </t>
  </si>
  <si>
    <t xml:space="preserve">Bloemen + kaart </t>
  </si>
  <si>
    <t xml:space="preserve">Personalised: Standaard wrap panel
Landing: </t>
  </si>
  <si>
    <t>Kaarten (beterschap)</t>
  </si>
  <si>
    <t>Facebook (hero campagne)</t>
  </si>
  <si>
    <t>Books</t>
  </si>
  <si>
    <t>Chocoladeletters</t>
  </si>
  <si>
    <t>Bloemen winacties</t>
  </si>
  <si>
    <t>Smilies ballonnen</t>
  </si>
  <si>
    <t>Tulpen</t>
  </si>
  <si>
    <t>Secretaressedag</t>
  </si>
  <si>
    <t>Secretaressedag, Bloemenstyliste</t>
  </si>
  <si>
    <t>Kaarten (verjaardag)</t>
  </si>
  <si>
    <t>Wenskaarten - Wens in vervulling?</t>
  </si>
  <si>
    <t>Introductie bloemenassortiment</t>
  </si>
  <si>
    <t xml:space="preserve">Kerstkaarten </t>
  </si>
  <si>
    <t>Intro taarten</t>
  </si>
  <si>
    <t>Besties</t>
  </si>
  <si>
    <t>Examenuitslag</t>
  </si>
  <si>
    <t xml:space="preserve">Kerst bloem + kaart </t>
  </si>
  <si>
    <t>Fotokaarten (mogelijk winactie)</t>
  </si>
  <si>
    <t>Coco kaartjes Disney meenemen</t>
  </si>
  <si>
    <t>Facebook (performance)</t>
  </si>
  <si>
    <t>Free shipment carousel</t>
  </si>
  <si>
    <t>Postzegelweek carousel</t>
  </si>
  <si>
    <t>Disney carousel</t>
  </si>
  <si>
    <t>YouTube</t>
  </si>
  <si>
    <t>Chocoade verkorte preroll (5")</t>
  </si>
  <si>
    <t>Chocolade verkorte preroll (5")</t>
  </si>
  <si>
    <t>Examenuitslagdag</t>
  </si>
  <si>
    <t>Activeringsmechanimse (termijn van/tot)</t>
  </si>
  <si>
    <t>Actie: 20.19% korting op bubbels én nieuwjaarskaarten (doortrekken uit week 52)
VOUCHER: NIEUWJAAR</t>
  </si>
  <si>
    <t>Actie: gratis postzegels
VOUCHER: POSTZEGEL</t>
  </si>
  <si>
    <t>PR/Influencers/Contentmarketing</t>
  </si>
  <si>
    <t>Actie: afprijzing (intro) snoeppottten.</t>
  </si>
  <si>
    <t>Actie: free shipment bloemen
VOUCHER: BLOEMEN</t>
  </si>
  <si>
    <t>Actie: 2,50 korting op alle ballonnen. 
VOUCHER: FEESTJE</t>
  </si>
  <si>
    <t>Actie: Gratis kaart bij choc. t/m. do. 7 februari. 
VOUCHER: LIEFDE</t>
  </si>
  <si>
    <t>Optie contentmarketing ontvangers</t>
  </si>
  <si>
    <t>Optie contentmarketing ontvangers / contentcampagne bier (t.b.d.)</t>
  </si>
  <si>
    <t>Mogelijk introstunt taarten &amp; PB</t>
  </si>
  <si>
    <t>Actie: 1+1 gratis kaart
VOUCHER: 2VOOR1 t/m 25 febr. 1 dag langer, zodat reminder op maandag kan</t>
  </si>
  <si>
    <t>Actie: 2,50 korting op kids gifts incl ballonnen 
VOUCHER: KIDS  - do t/m zo</t>
  </si>
  <si>
    <t>Actie: Free shipment beauty
VOUCHER: MOOI</t>
  </si>
  <si>
    <t xml:space="preserve"> Actie: Dagknaller kaarten 40% kaarten (e-mail only) 
VOUCHER: KAART40 (E-MAIL ONLY!)</t>
  </si>
  <si>
    <t>Actie: Gratis kaart bij gift
VOUCHER: KAART</t>
  </si>
  <si>
    <t>Actie: Free shipment bloemen
VOUCHER: BLOEMEN</t>
  </si>
  <si>
    <t>Activeringsmechanisme: nieuw en eventuele price off</t>
  </si>
  <si>
    <t xml:space="preserve">n.v.t. </t>
  </si>
  <si>
    <t>Video (Terence)</t>
  </si>
  <si>
    <t>Actie: Free shipment ballonnen
VOUCHER: LENTE</t>
  </si>
  <si>
    <t>check: nieuwe home live?</t>
  </si>
  <si>
    <t xml:space="preserve">Activeringsmechanisme: een paasverrassing om de jarige te feliciteren of te bedanken etc eventueel met price off. </t>
  </si>
  <si>
    <t>Actie: Gratis postzegels
VOUCHER: KONING</t>
  </si>
  <si>
    <t>Wijn test (/wijn/wijn-met-eigen-etiket)</t>
  </si>
  <si>
    <t>Actieveringsmechanisme: wrapping for 1 euro (actievoorwaarden t.b.d.)
VOUCHER: INPAKKEN</t>
  </si>
  <si>
    <t>snoeppot</t>
  </si>
  <si>
    <t>Bloemen Stylist</t>
  </si>
  <si>
    <t>Ambacht Taart &amp; Gebak / Bloemen</t>
  </si>
  <si>
    <t>Actieveringsmechanisme: maandag 6 mei 'Moederdag dagdeal' gratis kaart
VOUCHER: MAMA</t>
  </si>
  <si>
    <t>NL Greetz Lied.</t>
  </si>
  <si>
    <t>Bezorging in Disney Pak(on Hold)</t>
  </si>
  <si>
    <t>Viral Taart!</t>
  </si>
  <si>
    <t>Ballonnen Real Iphone content</t>
  </si>
  <si>
    <t>Actieveringsmechanisme: Een heerlijke verrassing om de jarige te feliciteren of te bedanken. 2,50 korting CODE: LEKKERS</t>
  </si>
  <si>
    <t xml:space="preserve">snoeppot </t>
  </si>
  <si>
    <t>Zomer, Selfie, Collage.</t>
  </si>
  <si>
    <t>Actie: 25% korting op kaarten
VOUCHER: VRIENDSCHAP</t>
  </si>
  <si>
    <t>Opleveren Fotokaart video</t>
  </si>
  <si>
    <t>Inzet Fotokaart.!?</t>
  </si>
  <si>
    <t>Actie: Free shipment beauty/books/thee/chocolate
VOUCHER: MOOI</t>
  </si>
  <si>
    <t xml:space="preserve">IETS MET DISNEY!! </t>
  </si>
  <si>
    <t>Actieveringsmechanisme: TBD
VOUCHER: TBD</t>
  </si>
  <si>
    <t>Actie: Gratis postzegel
VOUCHER:POSTZEGEL</t>
  </si>
  <si>
    <t>Chocolade steelbox (zie briefingsdocument w40)</t>
  </si>
  <si>
    <t>Chocolade steelbox</t>
  </si>
  <si>
    <t>Actie: Free shipment baby &amp; kids
VOUCHER:</t>
  </si>
  <si>
    <t>Zakelijk</t>
  </si>
  <si>
    <t>Tag-on radio /zakelijk verjaardag</t>
  </si>
  <si>
    <t xml:space="preserve">Postzegelweek en Bloemen FS </t>
  </si>
  <si>
    <t xml:space="preserve">Bloemen nieuwe collectie </t>
  </si>
  <si>
    <t>EVD</t>
  </si>
  <si>
    <t>EVD mail op maandag</t>
  </si>
  <si>
    <t>Bloemen Free Shipment</t>
  </si>
  <si>
    <t xml:space="preserve">Bloemen Free Shipment </t>
  </si>
  <si>
    <t xml:space="preserve">smillies ballonnen </t>
  </si>
  <si>
    <t xml:space="preserve">Tulpendeal </t>
  </si>
  <si>
    <t xml:space="preserve">Secretaressedag </t>
  </si>
  <si>
    <t>Personalised wrapping (sint design)</t>
  </si>
  <si>
    <t xml:space="preserve">Postzegelweek </t>
  </si>
  <si>
    <t xml:space="preserve">EVD </t>
  </si>
  <si>
    <t>Personalised wrapping (sint/ kerst design)</t>
  </si>
  <si>
    <t xml:space="preserve">Dag van de zorg </t>
  </si>
  <si>
    <t>25% korting alle kaarten</t>
  </si>
  <si>
    <t>kerstkaart 15%</t>
  </si>
  <si>
    <t xml:space="preserve">Free shipment ballonnen </t>
  </si>
  <si>
    <t>Personalised wrapping (kerst design)</t>
  </si>
  <si>
    <t xml:space="preserve">Pioenrozen </t>
  </si>
  <si>
    <t xml:space="preserve">Dranken </t>
  </si>
  <si>
    <t xml:space="preserve">20% korting op fotokaarten </t>
  </si>
  <si>
    <t xml:space="preserve">Taarten 5 euro korting </t>
  </si>
  <si>
    <t>Start kerst (secundair)</t>
  </si>
  <si>
    <t xml:space="preserve">Kerst (secundair) </t>
  </si>
  <si>
    <t xml:space="preserve">10% korting op kerstassortiment </t>
  </si>
  <si>
    <t xml:space="preserve">Early bird kerstkaarten </t>
  </si>
  <si>
    <t>België</t>
  </si>
  <si>
    <t xml:space="preserve">Campagnepanel landing </t>
  </si>
  <si>
    <t>€5 korting op alle boeketten gedurende week 26</t>
  </si>
  <si>
    <t>14 augustus Moederdag Antwerpen</t>
  </si>
  <si>
    <t>Store kalender</t>
  </si>
  <si>
    <t>TV commercial hockey meisjes: looptijd maandag 21 t/m maandag laatste dag 28 
- Tag-on met free shipment bloemen</t>
  </si>
  <si>
    <t xml:space="preserve">Radio commercial Valentijn. Looptijd van 4 februari t/m woe. 13 februari. Mogelijkheid tot laden van (pre-order)actie mechanisme. </t>
  </si>
  <si>
    <t>TVC: nieuwe merkcampagne Greetz + week 13 tag on free shipment bloemen</t>
  </si>
  <si>
    <t>/cadeaus/bedankt</t>
  </si>
  <si>
    <t>/kaarten</t>
  </si>
  <si>
    <t>/zomer</t>
  </si>
  <si>
    <t>Radio</t>
  </si>
  <si>
    <t>/wijn/wijn-met-eigen-etiket</t>
  </si>
  <si>
    <t>/ballonnen</t>
  </si>
  <si>
    <t>Radio en out of home
Looptijd evenals inhoud campagne t.b.d.</t>
  </si>
  <si>
    <t xml:space="preserve">/kaarten </t>
  </si>
  <si>
    <t>/bloemen</t>
  </si>
  <si>
    <t xml:space="preserve">Radio
Lootijd evenals inhoud campagne t.b.d.
</t>
  </si>
  <si>
    <t xml:space="preserve">Radio
</t>
  </si>
  <si>
    <t>/tagging??</t>
  </si>
  <si>
    <t>/broer-en-zus-dag</t>
  </si>
  <si>
    <t>/bloemen/herfst</t>
  </si>
  <si>
    <t>Cross-sell</t>
  </si>
  <si>
    <t>/?? (personalised wrapping)</t>
  </si>
  <si>
    <t>/bedankt (AOC)</t>
  </si>
  <si>
    <t>/boeken??</t>
  </si>
  <si>
    <t>/sinterklaas</t>
  </si>
  <si>
    <t>/kerst (vanaf woe. 16.00u)</t>
  </si>
  <si>
    <t xml:space="preserve">landing 1: /kaarten/kerst t/m woe. 17 dec.
landing 2: /kerst van do. t/m ma. 24 cutt of. </t>
  </si>
  <si>
    <t>/oud-en-nieuw</t>
  </si>
  <si>
    <t>Nieuwjaarskaarten gratis gouden/zilveren enveloppe + €1,50</t>
  </si>
  <si>
    <t>Gratis postzegels
Winactie social #greetzmoment</t>
  </si>
  <si>
    <t>"Gratis kaart  t.w.v. 2,50 bij verrassing
Winactie social #greetzmoment"</t>
  </si>
  <si>
    <t>Verjaardagsballonnen €10,-
Winactie social #greetzmoment</t>
  </si>
  <si>
    <t>Nieuw assortiment bloemen (TBD pre-order mechanisme van der Valk)</t>
  </si>
  <si>
    <t>Pre-order mechanisme gratis kaart bij valentijnscadeautjes</t>
  </si>
  <si>
    <t>Cards - EVD (baseline 220k) - promo</t>
  </si>
  <si>
    <t>Nieuwjaarskaarten vanaf €1,50</t>
  </si>
  <si>
    <t>Inspiratie verschillende type ontvangers: haar (zus, moeder, vriendin, tante, buurvrouw, collega) en hem (broer, vriend, opa, oom, buurman, collega)</t>
  </si>
  <si>
    <t xml:space="preserve"> 1+1 + laatste dag</t>
  </si>
  <si>
    <t>Verjaardagskaarten + SS actie</t>
  </si>
  <si>
    <t>Humorballonnen focus (20 voor 10 pricing)</t>
  </si>
  <si>
    <t>Verjaardagskaarten</t>
  </si>
  <si>
    <t>Gratis bezorging van jouw bloemen + laatste dag</t>
  </si>
  <si>
    <t>Price-off (Paas)Chocolade</t>
  </si>
  <si>
    <t>Postzegelweek (verjaardagskaarten)</t>
  </si>
  <si>
    <t>Nieuw (seizoens)assortiment uitlichten: trends</t>
  </si>
  <si>
    <t>Gratis postzegel 
(B2B: Secretaressedag)</t>
  </si>
  <si>
    <t>25%XL/SS + gratis rode envelop</t>
  </si>
  <si>
    <t>Tulpendeal
(B2B: Secretaressedag)</t>
  </si>
  <si>
    <t>kids kaarten uitlichten</t>
  </si>
  <si>
    <t>Notes</t>
  </si>
  <si>
    <t>Inspiratie nieuw assortiment</t>
  </si>
  <si>
    <t>Pre-order mechanisme TBD</t>
  </si>
  <si>
    <t>Geen (of price-offs binnen shop)</t>
  </si>
  <si>
    <t>Onder de noemer goede voornemens de Greetz kalender benoemen vergeet geen mooie momenten dit jaar (haakje voor e-mail)</t>
  </si>
  <si>
    <t>Vriendinnen als ontvanger in beeld</t>
  </si>
  <si>
    <t>Top : Let op, in BE geen taarten/gebak</t>
  </si>
  <si>
    <t>Gratis PZ bij alle Blond Amsterdam - haakje vriendinnen</t>
  </si>
  <si>
    <t>Sub : Let op, in BE geen personalized wrapping</t>
  </si>
  <si>
    <t>Gratis bezorging op alle chocolade t.w.v. 4,95</t>
  </si>
  <si>
    <t>E-mail: heads-up naar Valentijnballonnen maken (Donna).</t>
  </si>
  <si>
    <t>Percentage % korting op kaarten</t>
  </si>
  <si>
    <t>1+1 actie (t/m maandag)</t>
  </si>
  <si>
    <t>Indien bloemen achterblijft als noodsceanario een bloemen e-mail achter de hand hebben. Afstemmen met channel e-mail (Donna).                                                                     Sub : Let op, in BE geen personalized wrapping</t>
  </si>
  <si>
    <t>Gratis kaart t.w.v. 2,50 bij je gift</t>
  </si>
  <si>
    <t>Humorkaarten uitlichten</t>
  </si>
  <si>
    <t>Sub + Actie : Let op, in BE geen (kinder)boeken en speelgoed</t>
  </si>
  <si>
    <t>Blijf op Humor zitten</t>
  </si>
  <si>
    <t>Beauty shop moet goed staan + nieuw assortiment</t>
  </si>
  <si>
    <t>Actiemechanisme nodig voor pre-orders? TBD</t>
  </si>
  <si>
    <t>BE: FS Bloemen, ook op toppanel               Actie : Let op, in BE geen personalized wrapping + wijnkistjes</t>
  </si>
  <si>
    <t>Dagknaller per mail (10 april) - kaart pastel/lente feeling</t>
  </si>
  <si>
    <t>Gratis postzegel (foto)kaarten -&gt; aangepast naar alle kaarten</t>
  </si>
  <si>
    <t>BE: FS Bloemen, ook op toppanel</t>
  </si>
  <si>
    <t>Kaart pastel/lentekleuren / donderdag 20 april secretaressedag</t>
  </si>
  <si>
    <t>PZ-week / haakje wat wens jij kaarten</t>
  </si>
  <si>
    <t>BE: FS Bloemen, ook op toppanel               Sub : Let op, in BE geen wrapping 
subpanel was boeken, i.v.m. verplaatsen tvc gewijzigd naar personalised wrapping.</t>
  </si>
  <si>
    <t>Nieuwe zomercollectie bloemen
Pioenrozendeal -&gt; aangepast naar free shipment bloemen</t>
  </si>
  <si>
    <t>Moederdag: Gratis roze envelop + XL/SS promo</t>
  </si>
  <si>
    <t>BE: FS Flowers laatste week, ook op toppanel</t>
  </si>
  <si>
    <t>Inspiratie: Zomervakantie, bedank die lieve juf of toffe meester. + Gratis verzending van kus-ballon ivm wereld kus-dag</t>
  </si>
  <si>
    <t>Thema Nederland</t>
  </si>
  <si>
    <t>Actie: 3=2</t>
  </si>
  <si>
    <t>25% korting op alle kaarten (evt. Disney inspiratie)</t>
  </si>
  <si>
    <t>-&gt; kanaal e-mail heeft mogelijkheid bij reminder om linkje te maken naar moeder. 'Is jouw mama ook zo'n hoogvlier' ;-)</t>
  </si>
  <si>
    <t>23+24: SS in-store (4,99 euro)</t>
  </si>
  <si>
    <t>VIER-daagse (vier kortingen om te vieren):
1. Bloemen: 4 euro korting
2. Wijnen: 4 euro korting
3. Ballonnen: 4 euro korting 
4. Beauty: 4 euro korting
In-store --&gt; Kaarten XL = 4 euro</t>
  </si>
  <si>
    <t>Free shipment ballonnen én sub 5,- korting op 'Belle Emilie'  i.v.m. personalized wijn test (Test Kiki: start met keuze wijn en daarna etiket)</t>
  </si>
  <si>
    <t>20% korting op fotokaarten EVD én I&amp;A</t>
  </si>
  <si>
    <t>3=2</t>
  </si>
  <si>
    <t>Actie: temperatuur korting kaarten call temperatuur donderdag 26 juli (27 graden)
VOUCHER: ZOMER</t>
  </si>
  <si>
    <t>4-daagse (ma-do): XL 4,00/SS 4,44</t>
  </si>
  <si>
    <t>Gratis PZ</t>
  </si>
  <si>
    <t>Actie: Zomerse boeketten  + zonnebloem deal
VOUCHER:BLOEMKAART</t>
  </si>
  <si>
    <t>Haakje voor e-mail: boek klaarzetten voor Vader of geslaagde.</t>
  </si>
  <si>
    <r>
      <rPr>
        <b/>
      </rPr>
      <t xml:space="preserve">TBD: </t>
    </r>
    <r>
      <t>Gradenkorting?</t>
    </r>
  </si>
  <si>
    <t>Inspiratie: gepersonaliseerde (zomerse) verrassingen 10% korting op alle gepersonaliseerde verrassingen. 
VOUCHER: UNIEK</t>
  </si>
  <si>
    <t>In-store: 10% korting op fotokaarten (gehele zomer: focus = foto)</t>
  </si>
  <si>
    <t>Dagknaller 50%? (e-mail only)</t>
  </si>
  <si>
    <t>2 = 1</t>
  </si>
  <si>
    <t>@ Jaimy: liever geen gratis PZ</t>
  </si>
  <si>
    <t xml:space="preserve">Disney!!!! Win-actie! </t>
  </si>
  <si>
    <t>Actie: 1+1 kaarten 
VOUCHER: 2VOOR1</t>
  </si>
  <si>
    <t>Gratis PZ (in lijn met free shipment BB) / 20% fotokaarten (collagemaker)</t>
  </si>
  <si>
    <t>Radio: Verjaardag</t>
  </si>
  <si>
    <t>Free shipment: bloemen
VOUCHER: BLOEMEN</t>
  </si>
  <si>
    <t xml:space="preserve">25% korting op alle kaarten </t>
  </si>
  <si>
    <t>Early Bird E-mail Christmas</t>
  </si>
  <si>
    <t>Actie: free shipment ballonnen
VOUCHER: BALLON</t>
  </si>
  <si>
    <t>1+1 (4 dgn)</t>
  </si>
  <si>
    <t>van/voor op diverse producten + dagknaller do.13 september: free shipment chocolade
VOUCHER: CHOCO</t>
  </si>
  <si>
    <t xml:space="preserve">Kerstkaarten-maakdag! </t>
  </si>
  <si>
    <t>Actie: 25% korting op alle kaarten
VOUCHER: KAART25</t>
  </si>
  <si>
    <t>KerstPiek</t>
  </si>
  <si>
    <t>Cards - EVD - instore focus/promo</t>
  </si>
  <si>
    <t>Actie: Gratis kaart bij alle gifts, heel week 39.
VOUCHER: LEUK</t>
  </si>
  <si>
    <t>Actie: Nieuwe najaars/herfstboeketten 10/15 sku met 2.50 korting 
VOUCHER: NAJAAR</t>
  </si>
  <si>
    <t>Actie: Gratis postzegels
VOUCHER: POSTZEGEL</t>
  </si>
  <si>
    <t>Actie: 2.50 korting op alle ballonnen
VOUCHER: NAJAAR</t>
  </si>
  <si>
    <t>Actie: GEEN ACTIE i.v.m. aantallen regulatie</t>
  </si>
  <si>
    <t>in-store up-sell XL van 4,20 voor 3,95</t>
  </si>
  <si>
    <t>Actie: Gratis kaart
VOUCHER: BEDANKT</t>
  </si>
  <si>
    <t>Actie: Free shipment bloemen
VOUCHER: BOEKET</t>
  </si>
  <si>
    <t>Gehele maand aug: Vakantie fotokaarten: ansichtkaartpropositie (kaarten default 1-panel = 1,50 euro)</t>
  </si>
  <si>
    <t>Actie: Wij nemen de verzending van één kaart voor onze rekening. VOUCHER: LIEVEGROET</t>
  </si>
  <si>
    <t>Actie: early bird (in shop en segmentatie mail) VOUCHER: KERSTWENS</t>
  </si>
  <si>
    <t>Inspiratie: chocoladeletters</t>
  </si>
  <si>
    <t>Gratis PZ bij Blond Amsterdam</t>
  </si>
  <si>
    <t xml:space="preserve">Inspiratie: choc. letters t/m wo. 16.00u daarna over na kerst theming (choc). T.b.d. is afprijzing van choc. letters. </t>
  </si>
  <si>
    <t>Actie: Gratis kaart bij gift
VOUCHER: DECEMBER</t>
  </si>
  <si>
    <t>XL 3,95/SS 4,95 (haakje broer/zus)</t>
  </si>
  <si>
    <t>Actie: 1+1 
VOUCHER: 1GRATISKAART</t>
  </si>
  <si>
    <t>Actie: 15% korting op kerstkaarten Sfeerbeeld Kerst</t>
  </si>
  <si>
    <t>Disney focus: XL 3,95 / SS 4,95</t>
  </si>
  <si>
    <t>Actie: 5 gratis postzegels (e-mail only of onsite t.b.d)
VOUCHER:</t>
  </si>
  <si>
    <t>Inspiratie: Sfeerbeeld kerst t/m ma.16.00u daarna over op O&amp;N.: bubbels + nieuwjaarskaarten met 20,19% korting. VOUCHER: NIEUWJAAR</t>
  </si>
  <si>
    <t>Disney focus</t>
  </si>
  <si>
    <t>Shopkalender (Category Manager)</t>
  </si>
  <si>
    <t>20% korting fotokaarten</t>
  </si>
  <si>
    <t>Focus: Verjaardag</t>
  </si>
  <si>
    <t>Tip = Winactie: Coco-bioscoopkaartjes bij Disney</t>
  </si>
  <si>
    <t xml:space="preserve">Early Bird in-store t/m 3 dec (20% &gt; 20 kaarten) </t>
  </si>
  <si>
    <t>SS actie voor 5 euro</t>
  </si>
  <si>
    <r>
      <rPr>
        <b/>
      </rPr>
      <t>Vanaf maandag 4 dec</t>
    </r>
    <r>
      <t>: Kerstkaarten vanaf 0,49 euro incl. gratis rode envelop</t>
    </r>
  </si>
  <si>
    <t>Noodscenario's behalen target.</t>
  </si>
  <si>
    <t>Nieuwjaarskaarten incl. gratis zilver/gouden envelop</t>
  </si>
  <si>
    <t xml:space="preserve">Cards - EVD overig </t>
  </si>
  <si>
    <t xml:space="preserve">Vanaf 20 Nov: Kerstzegeltarief 0,73 bij "additional stamps", te bestellen t/m zondag 31 dec. </t>
  </si>
  <si>
    <t>Vanaf 4 dec: Kerstzegeltarief op Direct to Recipient t/m 6 januari (0,73 euro)</t>
  </si>
  <si>
    <t>Cards - I&amp;A (baseline 25k)</t>
  </si>
  <si>
    <t>20% korting op alle uitnodigingen, haakje verjaardagsfeest</t>
  </si>
  <si>
    <t>€5 bij €20, haakje kids feest</t>
  </si>
  <si>
    <t>20% korting &gt; 20 kaarten</t>
  </si>
  <si>
    <t xml:space="preserve">Free shipment ballonnen weekend DEFINITIEF -&gt; verlengd tot hele week </t>
  </si>
  <si>
    <t>Trial: 20% korting bij &gt; 20 kaarten / 30% korting bij &gt; 30 kaarten</t>
  </si>
  <si>
    <t xml:space="preserve">Inspiratie: Nieuwe fotokaarten! </t>
  </si>
  <si>
    <t>Gratis kaart bij alle bloemen DEFINITIEF (23.7.2018)</t>
  </si>
  <si>
    <t>Free shipment weekend (multic cat.) van vrij t/m zon. (ON HOLD)</t>
  </si>
  <si>
    <t>20% korting bij &gt; 20 uitnodigingen (let op: 2 dgn geen bezorging M-day)</t>
  </si>
  <si>
    <t>25% korting op I&amp;A (evt. Disney inspiratie)</t>
  </si>
  <si>
    <t>Examens / vaderdag</t>
  </si>
  <si>
    <t>20% korting op fotokaarten EVD én I&amp;A (tuinfeest + examen) t/m zondag</t>
  </si>
  <si>
    <t>25% korting op I&amp;A</t>
  </si>
  <si>
    <t>20% korting bij &gt; 20 kaarten / 30% korting bij &gt; 30 kaarten</t>
  </si>
  <si>
    <t>15% op foto uitnodigingen</t>
  </si>
  <si>
    <t xml:space="preserve"> Vanaf vrijdag BF/CM: AM actie verder uitbreidenen én promoten</t>
  </si>
  <si>
    <t>20% korting &gt; 20 uitnodigingen</t>
  </si>
  <si>
    <t xml:space="preserve">Cards - EVD </t>
  </si>
  <si>
    <t>Gratis kaart bij gift t.b.d. (is nu een AM only actie 10 t/m 23 december)</t>
  </si>
  <si>
    <t>Flowers (baseline 85k pw)</t>
  </si>
  <si>
    <t xml:space="preserve">Collectie wissel. Boeket warmte in theming. Geen van/voor  </t>
  </si>
  <si>
    <t>gratis kaart</t>
  </si>
  <si>
    <t xml:space="preserve">PZ-Week </t>
  </si>
  <si>
    <t xml:space="preserve">Nieuwe collectie planten (aparte winel vanaf 12 dec) </t>
  </si>
  <si>
    <t>Introductie nieuwe collectie bloemen</t>
  </si>
  <si>
    <t xml:space="preserve">Valentijn. Vrijdag dagdeal: Free Shipment op bezorging Valentijn </t>
  </si>
  <si>
    <t>XL/SS: 20% discount (XL van 4,60 voor 3,70 / SS van 6,25 voor 5,00)</t>
  </si>
  <si>
    <t xml:space="preserve">Sameday back-up scenario: 15% korting op alle bloemen </t>
  </si>
  <si>
    <t xml:space="preserve">EVD propositie </t>
  </si>
  <si>
    <t>1+1 actie</t>
  </si>
  <si>
    <t>Free Shipment (eerste week 135k tweede week 150k)</t>
  </si>
  <si>
    <t>TBD: DK (40% e-mail only)</t>
  </si>
  <si>
    <t xml:space="preserve">Nieuw lente assortiment </t>
  </si>
  <si>
    <t xml:space="preserve">Radio - Looptijd 8 t/m 28 januari - Multi-Category - Thema Verjaardag
Message: Iemand jarig? Doe écht iets! Bezorg een 'wow' met Greetz.
Tag ons: Kaarten, Bloemen, Ballonnen, B2B
</t>
  </si>
  <si>
    <t>TV &amp; Radio - Looptijd 1 t/m 13 februari - Multi-Category - Thema Valentijn</t>
  </si>
  <si>
    <t xml:space="preserve">Gratis PZ t/m maandag 29-4! </t>
  </si>
  <si>
    <t>Bloemist - tips en tricks (secundair secretaresse dag)</t>
  </si>
  <si>
    <t>Gratis roze &amp; gouden envelop + XL 4,60 voor 3,70 euro / SS 6,25 euro voor 5,00 euro</t>
  </si>
  <si>
    <t>TV &amp; Radio - Looptijd 15 t/m 26 maart - Bloemen - Thema Vriendschap</t>
  </si>
  <si>
    <t>Versheids garantie - EVD propositie van Hollandse bodem</t>
  </si>
  <si>
    <r>
      <t xml:space="preserve">Gratis blauwe envelop, SS </t>
    </r>
    <r>
      <rPr>
        <strike/>
      </rPr>
      <t>van 6,25 euro</t>
    </r>
    <r>
      <t xml:space="preserve"> voor 5 euro</t>
    </r>
  </si>
  <si>
    <t>Gratis vaas bij Safe 12</t>
  </si>
  <si>
    <t xml:space="preserve">Fotokaarten focus: Gratis PZ! </t>
  </si>
  <si>
    <t>Pioenrozen deal</t>
  </si>
  <si>
    <t>TV &amp; Radio - Looptijd 30 t/m 12 mei - Thema Moederdag</t>
  </si>
  <si>
    <t>3=2 (start zomer)</t>
  </si>
  <si>
    <t xml:space="preserve">Nijmeegse vierdaagse = XL 4 euro! </t>
  </si>
  <si>
    <t>designer launch met korting op 3 designer choice boeketten.</t>
  </si>
  <si>
    <t>Temperatuur korting</t>
  </si>
  <si>
    <t>Radio - Looptijd 7 t/m 15 juni (optioneel 16 juni) - Vaderdag &amp; Examen take-over op woensdag en/of donderdag</t>
  </si>
  <si>
    <t>1 + 1</t>
  </si>
  <si>
    <t>Spotlight: Nieuwe zomer collectie</t>
  </si>
  <si>
    <t>Spotlight:Nieuwe zomer collectie</t>
  </si>
  <si>
    <t>4 euro korting op bloemen</t>
  </si>
  <si>
    <t>Zonnebloemendeal</t>
  </si>
  <si>
    <t>Spotlight:Voor buiten op het terrras! Genieten van de zomer, breng binnen buiten. Denk aan lavendel</t>
  </si>
  <si>
    <t>Spotlight: Voor buiten op het terrras! Denk aan lavendel - 
1 dag graden korting over planten collectie of bloemen collectie/ TBD</t>
  </si>
  <si>
    <t>Iets vergeten tijdens de vakantie? Maakt het goed met een bloemetje</t>
  </si>
  <si>
    <r>
      <t xml:space="preserve">Iets vergeten tijdens de vakantie? Maakt het goed met een bloemetje - deze week met </t>
    </r>
    <r>
      <rPr>
        <b/>
      </rPr>
      <t>Gratis kaart actie</t>
    </r>
  </si>
  <si>
    <t>TVC</t>
  </si>
  <si>
    <t>Herfst collectie</t>
  </si>
  <si>
    <t>Kaarten: 25% korting</t>
  </si>
  <si>
    <t>zat. gratis bezorging. BROER ZUSDAG</t>
  </si>
  <si>
    <t>EVD - Nathalie content promotie</t>
  </si>
  <si>
    <t>Broer/Zus haakje: XL 3,75 / SS 5,00</t>
  </si>
  <si>
    <t>Free shipment Brievenbus producten (BE gratis kaart?)</t>
  </si>
  <si>
    <t xml:space="preserve">
Terug naar binnen: Luchtzuiverende plant - DEAL VAN DE WEEK - 12,95 EURO (zelfde aanpak als pioenrozen deal aub</t>
  </si>
  <si>
    <t>Verjaardag: Fleurige boeketten EvD</t>
  </si>
  <si>
    <t>Ziekte /Beterschap": Gratis Kaart bij bloemen</t>
  </si>
  <si>
    <t>Gratis PZ! (leuk om collecties in zonnetje te zetten)</t>
  </si>
  <si>
    <t>Early xmas: Amaryllis deal live!</t>
  </si>
  <si>
    <t>EVD - Nathalie content</t>
  </si>
  <si>
    <t>Kerst assortiment - stukjes</t>
  </si>
  <si>
    <t>Kerst assortiment - boeketten</t>
  </si>
  <si>
    <t>Oud en Nieuw - EVD of als het live is - zaaien voor het nieuwe jaar</t>
  </si>
  <si>
    <t>verzending van 1 kaart gratis (max. 2.49)</t>
  </si>
  <si>
    <t>Ballonnen (baseline 72k)</t>
  </si>
  <si>
    <t>Nieuwe XXL ballonnen (2017 ter illustratie)</t>
  </si>
  <si>
    <t>alle happy bday ballonnen</t>
  </si>
  <si>
    <t>geper. ballonnen gefeliciteerd</t>
  </si>
  <si>
    <t>Early Bird (ook per mail)</t>
  </si>
  <si>
    <t>NIEUWE NEDERLANDSE BALLONNEN INTRO KORTING NU 10e</t>
  </si>
  <si>
    <t>Radio - 27 t/m 13 sept. - Thema: Geboorte (incl. 1e, 2e, 3e verjaardag) - Multi-Cat (Kamiel)
Jaimy 31-05-18: Dit wordt een multi-category campagne met focus op verjaardag. Waar mogelijk kan er dus ook een actiemechanisme aan gekoppeld worden. +tag-on B2B</t>
  </si>
  <si>
    <t>Introductie sound ballonnen</t>
  </si>
  <si>
    <t>In-store: XL 3,50 / SS 5,00</t>
  </si>
  <si>
    <t>nederlandse Ballonnen donderdag op mail met korting 15%</t>
  </si>
  <si>
    <t>nieuwe nederlandse Ballonnen + 10% korting op gepersonaliseerde ballonnen van Blond Amsterdam</t>
  </si>
  <si>
    <t>20 ballonnen voor 10E</t>
  </si>
  <si>
    <t>XXL ballonnen</t>
  </si>
  <si>
    <t>Alle smiley;s+emoticon voor 10E</t>
  </si>
  <si>
    <t>Smiley/emoticon ballonnen</t>
  </si>
  <si>
    <t>Paasballonnen</t>
  </si>
  <si>
    <t>pers. ballonnen</t>
  </si>
  <si>
    <t>Nieuwe ballonnen</t>
  </si>
  <si>
    <t>1+1 (4 dagen)</t>
  </si>
  <si>
    <t>Nederlandse ballonnen</t>
  </si>
  <si>
    <t>Freeshipment</t>
  </si>
  <si>
    <t>verjaardagballonnen</t>
  </si>
  <si>
    <t>geslaagd &amp; vaderdag</t>
  </si>
  <si>
    <t>Verjaardagsballonnen</t>
  </si>
  <si>
    <t>B2B campagne: 1ste 2 weken radio, 3 weken display. Tag-on, breedte assortiment: kaart, bloemen &amp; wijn, logo op chocolade, logo op slagroomtaart &amp; verrassingsplanner</t>
  </si>
  <si>
    <t>Cijferballonnen (nieuw?) 25% korting</t>
  </si>
  <si>
    <t>Free shipment op alle ballonnen: jarig!</t>
  </si>
  <si>
    <t>Smileyballonnen</t>
  </si>
  <si>
    <t>NL ballonnen</t>
  </si>
  <si>
    <t>Sound ballonnen min 20% PO</t>
  </si>
  <si>
    <t>verjaardagsballonnen</t>
  </si>
  <si>
    <t>Gratis kaart</t>
  </si>
  <si>
    <t>Trosjes</t>
  </si>
  <si>
    <t>Alle Nederlandse ballonnen tien euro</t>
  </si>
  <si>
    <t>zat. gratis bezorging. BROER ZUSDAG  ballonnen</t>
  </si>
  <si>
    <t>Disney ballonnen</t>
  </si>
  <si>
    <r>
      <t xml:space="preserve">Bedankt - radiocampagne, contactfreq =  29 okt - 11 nov. Tag-ons: gratis kaart + cadeau, Pers wrapping,breedte assortiment, personalized in de breedte.
</t>
    </r>
    <r>
      <rPr>
        <i/>
      </rPr>
      <t>Additioneel display campagne Bedankt &amp; pers. wrapping</t>
    </r>
  </si>
  <si>
    <t>Ballonnnen Free shipment</t>
  </si>
  <si>
    <t>halloween ballonnen/XL ballonnen</t>
  </si>
  <si>
    <t>Sound ballonnen</t>
  </si>
  <si>
    <t>Beterschapballonnen met gratis kaart</t>
  </si>
  <si>
    <t>Sint ballonnen</t>
  </si>
  <si>
    <t>kerstballonnen</t>
  </si>
  <si>
    <t xml:space="preserve">Cards - EVD In-store </t>
  </si>
  <si>
    <t>eindejaarsballonnen</t>
  </si>
  <si>
    <t>Free Goud/Zilver envelop (NY) + tm vrijmiddag 4 jan: PZ 0,78 euro</t>
  </si>
  <si>
    <t>Dranken (baseline 18k)</t>
  </si>
  <si>
    <t>alle per. champagne 20% PO</t>
  </si>
  <si>
    <t>bierpakketten</t>
  </si>
  <si>
    <t>gepers, dranken (bier en wijn en cham)</t>
  </si>
  <si>
    <t>C4TRO's incl gepers</t>
  </si>
  <si>
    <r>
      <t xml:space="preserve">TV &amp; online video - Looptijd 7 t/m 21 december - Feestdagen Bedankt voor afgelopen jaar: Bloemen, Chocolade &amp; kaart. Chocolade eventueel alternerend met drank
</t>
    </r>
    <r>
      <rPr>
        <i/>
      </rPr>
      <t xml:space="preserve">Additioneel: display-ondersteuning (1) 
</t>
    </r>
    <r>
      <t>NB: kan operations extra druk aan?</t>
    </r>
  </si>
  <si>
    <t>PZ-Week (en XL vanaf nu naar 4,60 euro)</t>
  </si>
  <si>
    <t>rood</t>
  </si>
  <si>
    <t>Alle bierpakketten 25% korting</t>
  </si>
  <si>
    <t>Alle vriendinnendranken (rose en CU4tro)</t>
  </si>
  <si>
    <t>Alle vriendinnendranken (rose en CU4tro) + 10% korting op gepersonaliseerde Blond Amsterdam dranken</t>
  </si>
  <si>
    <t>gepersonaliseerde drank voor BE 20% po</t>
  </si>
  <si>
    <t>Bierpakketten</t>
  </si>
  <si>
    <t>Alle pers. dranken 15%</t>
  </si>
  <si>
    <t>In-store: SS van 6,00 voor 5,50 euro (vanwege haakje verjaardag, alleen bij up-sell aanpassen)</t>
  </si>
  <si>
    <t>Witte wijnen</t>
  </si>
  <si>
    <t>Pers. drank 10% PO</t>
  </si>
  <si>
    <t>Tubez</t>
  </si>
  <si>
    <t>20% korting op NL bieren</t>
  </si>
  <si>
    <t>Bieren</t>
  </si>
  <si>
    <t xml:space="preserve">XL/SS: 20% discount (XL van 4,60 voor 3,70 / SS van 6,25 voor 5,00) Actie loopt t/m 12 feb.
Rode enveloppen: t/m 14 februari gratis! </t>
  </si>
  <si>
    <t>15% korting mousserend</t>
  </si>
  <si>
    <t>SS blijft vanaf nu op 6,25 euro
TBD: 13 feb SS van 6,25 voor 5,50 euro (alleen in up-sell)</t>
  </si>
  <si>
    <t>Zomerse dranken</t>
  </si>
  <si>
    <t>bubbels met 10% korting</t>
  </si>
  <si>
    <t>pers. bier</t>
  </si>
  <si>
    <t>4 euro korting op alle dranken</t>
  </si>
  <si>
    <t>intro sterke drank 25% po</t>
  </si>
  <si>
    <t>Alle bieren met 25% PO ivm int. bierendag</t>
  </si>
  <si>
    <t>50 selectie zomerse drank 20% PO</t>
  </si>
  <si>
    <t xml:space="preserve">In-store: 20% Korting op Fotokaarten </t>
  </si>
  <si>
    <t>Free shipment op alle bubbels</t>
  </si>
  <si>
    <t>Uitverkoop wijn PO 30% gesel. wijnen</t>
  </si>
  <si>
    <t>introductie nieuw wijn assortiment</t>
  </si>
  <si>
    <t>zat. gratis bezorging. BROER ZUSDAG drank</t>
  </si>
  <si>
    <t>nieuwe wijnen</t>
  </si>
  <si>
    <t>In-store: XL kaart van 4,60 euro voor 3,95 euro (alleen bij up-sell aanpassen)</t>
  </si>
  <si>
    <t>Dag van de baas: wijn met eigen label</t>
  </si>
  <si>
    <t>Sterke drank in the picture! NEW</t>
  </si>
  <si>
    <t>15% PO op alle bierpakketten</t>
  </si>
  <si>
    <t>alle nieuwe wijnen</t>
  </si>
  <si>
    <t>Affiliate Only: 20% fotokaarten</t>
  </si>
  <si>
    <t>Kerst wijnen (gepersonaliseerd)</t>
  </si>
  <si>
    <t>Kerst wijnen (OTS)</t>
  </si>
  <si>
    <t xml:space="preserve">In-store SS van 6,25 euro voor 5,50 euro (alleen bij up-sell aanpassen)
</t>
  </si>
  <si>
    <t>Pers. Bubbels 25% korting</t>
  </si>
  <si>
    <t>Chocolade (baseline 40k)</t>
  </si>
  <si>
    <t>gepers. happy ny chocolade</t>
  </si>
  <si>
    <t>gratis kaart bij chocolade</t>
  </si>
  <si>
    <t>Bonbons</t>
  </si>
  <si>
    <t>brievenbus chocolade</t>
  </si>
  <si>
    <t>NIEUWE CHOCOLADE TONY + Valentijn</t>
  </si>
  <si>
    <t>Merci</t>
  </si>
  <si>
    <t>Alle Tony's met 15% PO</t>
  </si>
  <si>
    <t>25% korting op kaarten (houd rekening met overkoepelend "denken aan" thema</t>
  </si>
  <si>
    <t>australian harten 20% po pers.</t>
  </si>
  <si>
    <t>Leonidas en Lindt</t>
  </si>
  <si>
    <t>In-store: XL 4,60 voor 3,95 euro</t>
  </si>
  <si>
    <t xml:space="preserve">Tony's </t>
  </si>
  <si>
    <t>Paaschocolade</t>
  </si>
  <si>
    <t>free shipment chocolade</t>
  </si>
  <si>
    <t>Tony (is Nederlands)</t>
  </si>
  <si>
    <t>australian pers.</t>
  </si>
  <si>
    <t>Tony's nieuwe blikken</t>
  </si>
  <si>
    <t>15% korting op bonbons (warmte?)</t>
  </si>
  <si>
    <t>australian blikken pers.</t>
  </si>
  <si>
    <t>Tony's</t>
  </si>
  <si>
    <t>pers. merci 15% PO</t>
  </si>
  <si>
    <r>
      <t xml:space="preserve">Denk aan de </t>
    </r>
    <r>
      <rPr>
        <b/>
      </rPr>
      <t>collagemaker</t>
    </r>
    <r>
      <t>: de zomer komt er aan (er worden weer volop foto's gemaakt)</t>
    </r>
  </si>
  <si>
    <t xml:space="preserve">pers. merci </t>
  </si>
  <si>
    <t>Alle australian 20% PO</t>
  </si>
  <si>
    <t>Chocolade telegrammen 10% PO</t>
  </si>
  <si>
    <t>Alle chocolade gratis verzenden (t.w.v. 5,95)</t>
  </si>
  <si>
    <t>Leonidas + australian op BE</t>
  </si>
  <si>
    <t xml:space="preserve">zat. gratis bezorging. BROER ZUSDAG drankzat. gratis bezorging. </t>
  </si>
  <si>
    <t>Merci chocolade</t>
  </si>
  <si>
    <t>Australian Steelbox</t>
  </si>
  <si>
    <t>In-store Collagemaker (alleen Collage/Eigen ontwerp: XL 3,75 / SS 5,00)</t>
  </si>
  <si>
    <t>Lindt met 20% PO</t>
  </si>
  <si>
    <t>Leonidas herfst collectie + halloween</t>
  </si>
  <si>
    <t>NEW Tony intro  (TBD)</t>
  </si>
  <si>
    <t>Beterschap telegram</t>
  </si>
  <si>
    <t>Chocolade letters</t>
  </si>
  <si>
    <t>Chocolade letters (tot maandag) - daarna Leonidas kerst</t>
  </si>
  <si>
    <t>foto focus: 1-panel 1,50 euro / 10% korting fotokaarten (met code)</t>
  </si>
  <si>
    <t>Leonidas kerst + merci (back-up)</t>
  </si>
  <si>
    <t>choco telegram happy nyear</t>
  </si>
  <si>
    <t>Overige verrassingen (baseline 34k)</t>
  </si>
  <si>
    <t>mokken</t>
  </si>
  <si>
    <t xml:space="preserve">rituals </t>
  </si>
  <si>
    <t>rituals</t>
  </si>
  <si>
    <t xml:space="preserve">fruit </t>
  </si>
  <si>
    <t>fruit</t>
  </si>
  <si>
    <t>Bambam</t>
  </si>
  <si>
    <t>mokken 10 e</t>
  </si>
  <si>
    <t>mokken 10e</t>
  </si>
  <si>
    <t>Nieuwe rituals</t>
  </si>
  <si>
    <t>Paasmokken</t>
  </si>
  <si>
    <t>Beauty</t>
  </si>
  <si>
    <t>dove 15% PO</t>
  </si>
  <si>
    <t>In-store XL kaarten voor 3,75</t>
  </si>
  <si>
    <t>fruit via Fruit.nl</t>
  </si>
  <si>
    <t>speelgoed</t>
  </si>
  <si>
    <t>Kokosnoten</t>
  </si>
  <si>
    <t>Blond Amsterdam</t>
  </si>
  <si>
    <t>Rituals</t>
  </si>
  <si>
    <t>Disney mokken (?) Anders speelgoed</t>
  </si>
  <si>
    <t>Beterschap / Ik denk aan je</t>
  </si>
  <si>
    <t>Kokosnoten 21% korting</t>
  </si>
  <si>
    <t>Kokosnoten (geen korting meer)</t>
  </si>
  <si>
    <t>Bedankt / Let op: kerstzegel vanaf 5 november</t>
  </si>
  <si>
    <t>zat. gratis bezorging. BROER ZUSDAG mokken</t>
  </si>
  <si>
    <t>Disney mokken</t>
  </si>
  <si>
    <t>Early Bird (in-store) t/m maandag 3 december / kerstzegel vanaf 5 nov.</t>
  </si>
  <si>
    <t>pompoenen</t>
  </si>
  <si>
    <t>happy socks</t>
  </si>
  <si>
    <t>gratis kaart bij fruit</t>
  </si>
  <si>
    <t>Kerstkaarten: Vanaf 0,49 euro / rode envelop / D2R kerstzegel vanaf 1 dec</t>
  </si>
  <si>
    <t>Sinterklaas kado's en mokken</t>
  </si>
  <si>
    <t>Kerstmok (back-up Rituals)</t>
  </si>
  <si>
    <t>Oorspronkelijk personalised wrap.</t>
  </si>
  <si>
    <t>Happy socks</t>
  </si>
  <si>
    <t xml:space="preserve">Oorspronkelijk 'free shipment B&amp;K'' </t>
  </si>
  <si>
    <t>Taart &amp; Gebak</t>
  </si>
  <si>
    <t>Nieuwjaarskaarten</t>
  </si>
  <si>
    <t>Taart en gebak 4 euro korting dmv kortingscode</t>
  </si>
  <si>
    <t>Alle chocolade gratis bezorging tot €5,95</t>
  </si>
  <si>
    <t>Zat. gratis bezorging. pers. Hartsjestaart in campagne</t>
  </si>
  <si>
    <t>Disney taarten</t>
  </si>
  <si>
    <t>Free shipment Brievenbus producten (alleen brownies)</t>
  </si>
  <si>
    <t>Het is herfst! Dat betekent: een nieuw seizoen vol mooie warme kleuren. Onze bloemist heeft voor jou een gloednieuw herfstassortiment samengesteld. Boordevol typische najaarsbloemen en bijzondere planten.</t>
  </si>
  <si>
    <t>Dag vd baas, slagroomtaart met eigen ontwerp</t>
  </si>
  <si>
    <t>Verjaardag: mini taartje</t>
  </si>
  <si>
    <t>Verjaardag: donuts</t>
  </si>
  <si>
    <t>Verjaardag: pers taart</t>
  </si>
  <si>
    <t>Hartjes taart</t>
  </si>
  <si>
    <t>Sinterklaas assortiment</t>
  </si>
  <si>
    <t>Kerst assortiment</t>
  </si>
  <si>
    <t>O&amp;N assortiment, oliebollen?</t>
  </si>
  <si>
    <t xml:space="preserve">Choclade + gratis kaart </t>
  </si>
  <si>
    <t>Bloemen in beeld echter op de pagina waar we personalised wrapping gaan uitleggen zullen alle categorieen aanwezig zijn die we kunnen wrappgen.</t>
  </si>
  <si>
    <t xml:space="preserve">Bloemen + gratis kaart </t>
  </si>
  <si>
    <t>Cards - I&amp;A</t>
  </si>
  <si>
    <t xml:space="preserve">EVD, andere mail dan kidsweek </t>
  </si>
  <si>
    <t>Note: We moeten kijken hoe we Singles Day kunnen combineren met bovenstaande actie (commerciele kans).</t>
  </si>
  <si>
    <t>Free Shipment</t>
  </si>
  <si>
    <t>In-store: 10% korting op alle uitnodigingen! Vouchercode: FEESTELIJK10</t>
  </si>
  <si>
    <t>Sterkte wensen kan uiteraard ook met bloemen, fruitmanden, ballonnen, wellicht wel een lekkere taart om aan te sterken ;-) Dit doorvertalen on-site en in de diverse kanalen.</t>
  </si>
  <si>
    <t>Speelgoed prominent aandacht te geven op home (nieuwe aanwinsten + popuair) in aanloop naar Sint</t>
  </si>
  <si>
    <t xml:space="preserve">Free Shipment ballonnen </t>
  </si>
  <si>
    <t xml:space="preserve">Pioenrozendeal </t>
  </si>
  <si>
    <t>20% korting op fotokaarten (ook doorvertaling I&amp;A)</t>
  </si>
  <si>
    <t xml:space="preserve">Taarten en gebak 5 euro korting </t>
  </si>
  <si>
    <t>Shipment campaign order &gt; 20 euro</t>
  </si>
  <si>
    <t>3=2 kaarten</t>
  </si>
  <si>
    <t xml:space="preserve">FreeShipment ballonnen </t>
  </si>
  <si>
    <t xml:space="preserve">Vierdaagse </t>
  </si>
  <si>
    <t xml:space="preserve">Zonnebloemdeal </t>
  </si>
  <si>
    <t xml:space="preserve">Gratis kaart </t>
  </si>
  <si>
    <t xml:space="preserve">Bloemencampagne </t>
  </si>
  <si>
    <t>In-store: 20% korting op foto Uitnodigingen</t>
  </si>
  <si>
    <t xml:space="preserve">2=1 kaarten </t>
  </si>
  <si>
    <t xml:space="preserve">Taarten &amp; Gebak. Geen actiemechanisme </t>
  </si>
  <si>
    <t>Shipment campaign</t>
  </si>
  <si>
    <t xml:space="preserve">10 euro korting op taarten, start Kerst </t>
  </si>
  <si>
    <t>Free shipment Brievenbus producten</t>
  </si>
  <si>
    <t>20% order &gt;20 euro / 30% order &gt;30 euro</t>
  </si>
  <si>
    <t xml:space="preserve">Plantendeal en Dag van de baas </t>
  </si>
  <si>
    <t xml:space="preserve">Gratis bezorging op ballonnen. Introductie verjaardagstool? </t>
  </si>
  <si>
    <t xml:space="preserve">Kerst - bulkorders - 10%. Mail versturen op donderdag? </t>
  </si>
  <si>
    <t xml:space="preserve">25% korting op kaarten </t>
  </si>
  <si>
    <t xml:space="preserve">Gratis kaart bij bloemen </t>
  </si>
  <si>
    <t xml:space="preserve">Kerst - bulkorders </t>
  </si>
  <si>
    <t>Sinterklaas - chocolade letters</t>
  </si>
  <si>
    <t>Gratis PZ t/m maandag! (code werkbaar, kijk even naar uitwerking)</t>
  </si>
  <si>
    <t xml:space="preserve">Kerst </t>
  </si>
  <si>
    <t xml:space="preserve">Oud-nieuw- Champagne en oliebollen </t>
  </si>
  <si>
    <t>20% korting foto-uitnodigingen (+urgentie: laatste weekend)</t>
  </si>
  <si>
    <t>Focus nieuwjaarskaarten</t>
  </si>
  <si>
    <t>Gratis PZ! (code werkbaar maken vanuit EVD, kijk even naar uitwerking)</t>
  </si>
  <si>
    <t>Aanloop Vaderdag - 20% korting pers. drank</t>
  </si>
  <si>
    <t>Invitations: 15% korting foto</t>
  </si>
  <si>
    <t>Geen koningsdag/ WWD BE</t>
  </si>
  <si>
    <t>BE heeft geen taarten, dus campagne insteken op bloemen/kaarten</t>
  </si>
  <si>
    <t>Voor België mail met actie bloemen</t>
  </si>
  <si>
    <t>Moederdag Antwerpen</t>
  </si>
  <si>
    <t>Flowers</t>
  </si>
  <si>
    <t>Nieuwjaarsballonnen</t>
  </si>
  <si>
    <t>Verras de jarige met een boeket</t>
  </si>
  <si>
    <t>Schoentje zetten 6 dec (let op geen pakjesavond)</t>
  </si>
  <si>
    <t>Brievenbusbloemen</t>
  </si>
  <si>
    <t>Verras je vriendin met een bos bloemen</t>
  </si>
  <si>
    <t>Planten</t>
  </si>
  <si>
    <t>Zaden</t>
  </si>
  <si>
    <t>Homepage invulling (andere panels in briefingsdocumenten)</t>
  </si>
  <si>
    <t>Wie verras jij/aan wie denk jij? BE: FS</t>
  </si>
  <si>
    <t>NL: Gratis kaart bij gift/BE: FS</t>
  </si>
  <si>
    <t xml:space="preserve">NIeuw assortiment </t>
  </si>
  <si>
    <t>Pasen/Voorjaar</t>
  </si>
  <si>
    <t>Bloemen combi sku 2 the max voor moederdag</t>
  </si>
  <si>
    <t>Free pers wrapping dagdeal (Voucher: INPAKKEN), rest moederdag</t>
  </si>
  <si>
    <t>Waarom Greetz, USP promoten</t>
  </si>
  <si>
    <t>Grown for Greetz: Pioenen deal (check alwin)</t>
  </si>
  <si>
    <t>Examens - Combi SKU</t>
  </si>
  <si>
    <t>Bloemen tips van Bettine</t>
  </si>
  <si>
    <t>Toppanel 1</t>
  </si>
  <si>
    <t>Verrastegoed (actiepagina)</t>
  </si>
  <si>
    <t>Chocolade Verjaardag (gratis kaart)</t>
  </si>
  <si>
    <t>Bloemen Verjaardag (gratis kaart)</t>
  </si>
  <si>
    <t>Postzegelweek (Verjaardag)</t>
  </si>
  <si>
    <t>Bloemen intro nieuw assortiment</t>
  </si>
  <si>
    <t>Kaarten Valentijn</t>
  </si>
  <si>
    <t>Kaarten kidskarakters</t>
  </si>
  <si>
    <t>Kaarten kidskarakters 25%</t>
  </si>
  <si>
    <t>Choco of drank</t>
  </si>
  <si>
    <t>Free ship. bloemen</t>
  </si>
  <si>
    <t>Nieuwe kaarten 2=1 (Lucies)</t>
  </si>
  <si>
    <t>Kaarten Magic Humor</t>
  </si>
  <si>
    <t>Assortiment Chocolade breed (beeld Pasen)</t>
  </si>
  <si>
    <t>Chocolade free shipment</t>
  </si>
  <si>
    <t>Kaarten Postzegelweek</t>
  </si>
  <si>
    <t>Nieuw assortiment bloemen (niet specifiek Mday)</t>
  </si>
  <si>
    <t>Bloemen Moederdag</t>
  </si>
  <si>
    <t>Kaarten made in Holland</t>
  </si>
  <si>
    <t>Disney kaarten</t>
  </si>
  <si>
    <t>Pioenen</t>
  </si>
  <si>
    <t xml:space="preserve">Vaderdag multi-cat/Examens multi-cat                                                </t>
  </si>
  <si>
    <t>Introductie taarten</t>
  </si>
  <si>
    <t>Kaarten 3=2</t>
  </si>
  <si>
    <t>Jarig in de zomer: ballonnen (landing /zomer)</t>
  </si>
  <si>
    <t>Multi-cat beeld: zomer (landing /zomer)</t>
  </si>
  <si>
    <t>Bloemen visueel (landing /zomer)</t>
  </si>
  <si>
    <t>Zomerse fotokaarten</t>
  </si>
  <si>
    <t>Multi-cat: tropisch (gradenkorting)</t>
  </si>
  <si>
    <t>Back to school: multi-cat gratis kaart t.w.v. 2,50</t>
  </si>
  <si>
    <t>Vriendschap: bloemen</t>
  </si>
  <si>
    <t>Chocolade verrassingen - multicat choco &amp; taart</t>
  </si>
  <si>
    <t>Kaarten 2=1</t>
  </si>
  <si>
    <t>Broer &amp; Zus dag - nieuwe content doorlink landingspagina broer-zus-dag</t>
  </si>
  <si>
    <t>Disney introductie! Weekend weg</t>
  </si>
  <si>
    <t>Splitpanel 2: kaarten &amp; gifts</t>
  </si>
  <si>
    <t>Planten breed, kamerplant visueel</t>
  </si>
  <si>
    <t>Ballonnen VERJAARDAG</t>
  </si>
  <si>
    <t>Lekkers voor de jarige breed</t>
  </si>
  <si>
    <t>Bloemen + beterschap/sterkte kaart</t>
  </si>
  <si>
    <t>Card segment: early bird, Gift-segment: Amaryllis</t>
  </si>
  <si>
    <t>Sinterklaas - Chocolade met kaart</t>
  </si>
  <si>
    <t>Kerstkaart met bloemen (landing /kerst)</t>
  </si>
  <si>
    <t>Unieke Greetz ballonnen</t>
  </si>
  <si>
    <t>Drank</t>
  </si>
  <si>
    <t>(Toppanel 2)</t>
  </si>
  <si>
    <t>2,50 korting op ballonnen (preview Liefde)</t>
  </si>
  <si>
    <t>Ballonnen Valentijn</t>
  </si>
  <si>
    <t>Ballonnen voor kids</t>
  </si>
  <si>
    <t>x</t>
  </si>
  <si>
    <t>Ballonnen Smilies</t>
  </si>
  <si>
    <t>Bloemen Pasen (tak beeld)</t>
  </si>
  <si>
    <t>Bloemen inspiratie voorjaar</t>
  </si>
  <si>
    <t>Kaarten Moederdag</t>
  </si>
  <si>
    <t>Bier (Tip Nederlands)</t>
  </si>
  <si>
    <t xml:space="preserve">Vier de vriendschap! </t>
  </si>
  <si>
    <t>2,50 korting op ballonnen voor kinderen</t>
  </si>
  <si>
    <t>Boeketten designer</t>
  </si>
  <si>
    <t>Bloemen zomercollectie</t>
  </si>
  <si>
    <t>Gepersonaliseerde ballonnen</t>
  </si>
  <si>
    <t xml:space="preserve">Nieuwjaarskaarten vanaf €1,50						</t>
  </si>
  <si>
    <t>Verjaardagscampagne: gratis PZ</t>
  </si>
  <si>
    <t>Verjaardagscampagne: Kids (Disney)</t>
  </si>
  <si>
    <t xml:space="preserve">Verjaardagscampagne </t>
  </si>
  <si>
    <t>XL/SS campaign + rode envelop: vanaf 1 Feb met TV campagne mee</t>
  </si>
  <si>
    <t>Geboorteballonnen</t>
  </si>
  <si>
    <t>België (Uitzondering)</t>
  </si>
  <si>
    <t>Idem.</t>
  </si>
  <si>
    <t>1+1 campagne (Vriendschap), Foto focus</t>
  </si>
  <si>
    <t>Paas ballonnen / vrolijke ballonnen</t>
  </si>
  <si>
    <t>Top 2: Bloemen EVD</t>
  </si>
  <si>
    <t>Koningsdag /Vrolijke ballonenn</t>
  </si>
  <si>
    <t>In-store XL 4,20 euro voor 3,95 euro</t>
  </si>
  <si>
    <t>Moederdag ballonnen</t>
  </si>
  <si>
    <t xml:space="preserve">Actie: Gratis postzegel						</t>
  </si>
  <si>
    <t>Zomerboeketten</t>
  </si>
  <si>
    <t>Vaderdag (11 juni)</t>
  </si>
  <si>
    <t>E-mail: Dagknaller</t>
  </si>
  <si>
    <t>Bloemen EVD</t>
  </si>
  <si>
    <t>Gratis Kaart Ballonnen? (check alwin)</t>
  </si>
  <si>
    <t>Zomerse boeketten</t>
  </si>
  <si>
    <t>Gratis roze envelop + XL 3,50 euro / SS 5,00 euro</t>
  </si>
  <si>
    <t>2e panel: bloemen</t>
  </si>
  <si>
    <t>Taarten = Ballonnen</t>
  </si>
  <si>
    <t>2e panel: Moederdag Antwerpen</t>
  </si>
  <si>
    <t>Gratis Kaart Ballonnen? (check alwin) voucher: KAART handig in combi met 25% korting??</t>
  </si>
  <si>
    <t>Denken aan ballonnen</t>
  </si>
  <si>
    <t>Let op: alleen kaarten!! I.v.m. bezorging</t>
  </si>
  <si>
    <t>Stoere ballonnen/Vaderdag</t>
  </si>
  <si>
    <t>In-store: XL 4,20 voor 3,95 euro</t>
  </si>
  <si>
    <t>Examens/Vaderdag</t>
  </si>
  <si>
    <t>Trosjes (met korting, check alwin)  voucher: DRIE</t>
  </si>
  <si>
    <t>Tab</t>
  </si>
  <si>
    <r>
      <t xml:space="preserve">Gratis blauwe envelop, SS </t>
    </r>
    <r>
      <rPr>
        <strike/>
      </rPr>
      <t>van 6,25 euro</t>
    </r>
    <r>
      <t xml:space="preserve"> voor 5 euro</t>
    </r>
  </si>
  <si>
    <t>Gefeliciteerd ballonnen (te gebruiken ook voor herexamens)</t>
  </si>
  <si>
    <t>Valentijn - woensdag 1 februari aan</t>
  </si>
  <si>
    <t>Broer &amp; Zus dag</t>
  </si>
  <si>
    <t>Disney?</t>
  </si>
  <si>
    <t>Extra</t>
  </si>
  <si>
    <t>Secretaressedag B2B meenemen</t>
  </si>
  <si>
    <t>Let op: sameday delivery</t>
  </si>
  <si>
    <t>B2B begint met laden Kerst</t>
  </si>
  <si>
    <t>Dranken</t>
  </si>
  <si>
    <t>20,19% op bubbels. code NIEUWJAAR</t>
  </si>
  <si>
    <t>Gepersonaliseerde wijn verjaardag Belle Emilie PO voor 12,95</t>
  </si>
  <si>
    <t>Urgency toevoeging</t>
  </si>
  <si>
    <t>Gepersonaliseerde wijn verjaardag Belle Emilie PO voor 12,96</t>
  </si>
  <si>
    <r>
      <t xml:space="preserve">Gepersonaliseerde wijn verjaardag Belle Emilie PO voor 12,95 </t>
    </r>
    <r>
      <rPr>
        <color rgb="FFFF0000"/>
      </rPr>
      <t xml:space="preserve">(check voorraad) </t>
    </r>
  </si>
  <si>
    <t>CEC Email (X = verzenddag)</t>
  </si>
  <si>
    <t xml:space="preserve">Valentijn + 15% PO flavour packs (voor mannenlijke ontvangers) </t>
  </si>
  <si>
    <t>Speciaalbier (geen PO i.v.m. voorraad issues)</t>
  </si>
  <si>
    <t>S</t>
  </si>
  <si>
    <t>R</t>
  </si>
  <si>
    <t xml:space="preserve">Gepersonaliseerde wijnen </t>
  </si>
  <si>
    <t>N</t>
  </si>
  <si>
    <t>M</t>
  </si>
  <si>
    <t>H</t>
  </si>
  <si>
    <t>R?</t>
  </si>
  <si>
    <t xml:space="preserve">Nieuw Thee 20% introkorting </t>
  </si>
  <si>
    <t xml:space="preserve">R </t>
  </si>
  <si>
    <t>20% korting op rose</t>
  </si>
  <si>
    <t>B2B</t>
  </si>
  <si>
    <t>R.</t>
  </si>
  <si>
    <t>R. early</t>
  </si>
  <si>
    <t>b2b</t>
  </si>
  <si>
    <t>Message</t>
  </si>
  <si>
    <t>win verrastegoed 2017,-</t>
  </si>
  <si>
    <t xml:space="preserve">€3 korting gepersonaliseerde wijn </t>
  </si>
  <si>
    <t>Gratis kaart bij chocolade</t>
  </si>
  <si>
    <t>Gratis kaart bij bloemen</t>
  </si>
  <si>
    <t>Postzegel week + bloem intro/ freeshipment</t>
  </si>
  <si>
    <t>Reminder postzegelweek + SS</t>
  </si>
  <si>
    <t>Urgentie morgen = Valentijn</t>
  </si>
  <si>
    <t>Inspiratie kidscollecties</t>
  </si>
  <si>
    <t>Gratis kaart bij alle verrassingen</t>
  </si>
  <si>
    <t>Kaarten inspi + blond gratis postz.</t>
  </si>
  <si>
    <t>Bloemen freeshipment</t>
  </si>
  <si>
    <t xml:space="preserve">20% korting op bier </t>
  </si>
  <si>
    <t>Bloemen freeshipment reminder</t>
  </si>
  <si>
    <t xml:space="preserve">€2 euro korting op alle wijn </t>
  </si>
  <si>
    <t>ma. reminder 1+1</t>
  </si>
  <si>
    <t xml:space="preserve">15% korting op alle proeverijtjes. Gratis verzending Thee </t>
  </si>
  <si>
    <t>20% &gt; 20 kaarten / 30% &gt; 30 kaarten (Verjaardagen + Kids: Disney)</t>
  </si>
  <si>
    <t>Tulpendeal 20 tulpen 10,-</t>
  </si>
  <si>
    <t xml:space="preserve">Dagknaller 50% kaarten </t>
  </si>
  <si>
    <t xml:space="preserve">15% korting op alle proeverijtjes </t>
  </si>
  <si>
    <t xml:space="preserve">Vaderdag </t>
  </si>
  <si>
    <t>Kaarten SS actie</t>
  </si>
  <si>
    <t xml:space="preserve">20% korting op alle witte wijnen </t>
  </si>
  <si>
    <t>Free shipment bloemen 13mei.</t>
  </si>
  <si>
    <t>Made in Holland (multi cat.)</t>
  </si>
  <si>
    <t>Free shipment ballonnen</t>
  </si>
  <si>
    <t>Winactie: 5x ballon twv 25 euro</t>
  </si>
  <si>
    <t>Pioenrozen actie</t>
  </si>
  <si>
    <t>Examen + Vaderdag</t>
  </si>
  <si>
    <t>20% korting op fotokaarten + uitnodiging</t>
  </si>
  <si>
    <t>Vakantie vooruitplannen 3=2</t>
  </si>
  <si>
    <t>15% korting foto-uitnodigingen</t>
  </si>
  <si>
    <t>Korting 4-daagse</t>
  </si>
  <si>
    <t>20% Foto I&amp;A (haakje = examen)</t>
  </si>
  <si>
    <t>Zonnebloem deal</t>
  </si>
  <si>
    <t>Gradenkorting (minimaal 20%)</t>
  </si>
  <si>
    <t>Gratis kaart t.w.v. 2.50 bij verrassing</t>
  </si>
  <si>
    <t xml:space="preserve">Dagknaller (e-mail only) </t>
  </si>
  <si>
    <t>Koop een bloementje, krijg een bloem</t>
  </si>
  <si>
    <t>R TVC Bloem/ wo. chocolade frees.</t>
  </si>
  <si>
    <t>Kaarten 2 = 1</t>
  </si>
  <si>
    <t xml:space="preserve">Broer &amp; zusdag (freeship t.b.d). </t>
  </si>
  <si>
    <t xml:space="preserve">Disney kaarten intro </t>
  </si>
  <si>
    <t>Free shipment brievenbus producten</t>
  </si>
  <si>
    <t>Plantendeal</t>
  </si>
  <si>
    <t>Lekkers voor de jarige</t>
  </si>
  <si>
    <t>25% korting op alle kaarten</t>
  </si>
  <si>
    <t>Amaryllisdeal/early bird</t>
  </si>
  <si>
    <t>Multi cat. kerst intro.</t>
  </si>
  <si>
    <t>EVD 1+1</t>
  </si>
  <si>
    <t>Urgentie kerst</t>
  </si>
  <si>
    <t xml:space="preserve">Happy new year (designs Leonidas) </t>
  </si>
  <si>
    <t>Oud en Nieuw</t>
  </si>
  <si>
    <t xml:space="preserve">Nieuw kleine snoeppotten. 20% korting op alle snoeppotten. Price-off  </t>
  </si>
  <si>
    <t>NIeuw Jaar: Combi met bubbels</t>
  </si>
  <si>
    <t>Verjaardag: EVD?</t>
  </si>
  <si>
    <t>VJ campagne: Gratis kaart bij bloemen</t>
  </si>
  <si>
    <t>Verjaardag EVD?</t>
  </si>
  <si>
    <t>Zaden concepten? Geen Vday</t>
  </si>
  <si>
    <t>Categorie</t>
  </si>
  <si>
    <t>verjaardag</t>
  </si>
  <si>
    <t>chocolade</t>
  </si>
  <si>
    <t>Pre order maandag op vday: vday</t>
  </si>
  <si>
    <t>bloemen</t>
  </si>
  <si>
    <t>vday - daarna bloemen EVD (bollen)</t>
  </si>
  <si>
    <t>kaarten + bloemen</t>
  </si>
  <si>
    <t>BLoemen EVD (bollen)</t>
  </si>
  <si>
    <t>kaarten</t>
  </si>
  <si>
    <t>Gratis kaart bij Chocolade/Valentijn</t>
  </si>
  <si>
    <t>Kaarten, ballonnen, bloemen, choc.</t>
  </si>
  <si>
    <t>Free shipment - vanaf de 15e</t>
  </si>
  <si>
    <t>Valentijn/Nieuw Me&amp; Mats</t>
  </si>
  <si>
    <t>Voorjaarscollectie (geel pasen, paastakken)</t>
  </si>
  <si>
    <t>kaarten - 25% korting</t>
  </si>
  <si>
    <t xml:space="preserve">Planten trends </t>
  </si>
  <si>
    <t>Dranken en chocolade</t>
  </si>
  <si>
    <t xml:space="preserve">NIEUW: Me &amp; Mats </t>
  </si>
  <si>
    <t>BE Vaderdag</t>
  </si>
  <si>
    <t>Tulpen (gewone producten)</t>
  </si>
  <si>
    <t>do. humor kaarten en ballonnen</t>
  </si>
  <si>
    <t>EVD - vers &amp; vaasgarantie</t>
  </si>
  <si>
    <t>Kaarten + multi cat. (do.)</t>
  </si>
  <si>
    <t>Zomer collectie</t>
  </si>
  <si>
    <t>Examens (13 en 14 mei)</t>
  </si>
  <si>
    <t>Pioenrozen</t>
  </si>
  <si>
    <t>Do. + Zat. multi cat.</t>
  </si>
  <si>
    <t>25% korting op Merci (beeld van personalised)</t>
  </si>
  <si>
    <t>Zonnige boeketten</t>
  </si>
  <si>
    <t>4 euro korting bloemen, + gladiolen?</t>
  </si>
  <si>
    <t>Multi cat: bloem, drank. kaart, taart</t>
  </si>
  <si>
    <t>Paas assortiment choco</t>
  </si>
  <si>
    <t>(foto)kaarten</t>
  </si>
  <si>
    <t>Multi cat. Kaart, plant, drank</t>
  </si>
  <si>
    <t xml:space="preserve">Moederdag BE + Planten                        </t>
  </si>
  <si>
    <t xml:space="preserve">NIeuw assortiment: 20% korting op Tony's </t>
  </si>
  <si>
    <t>Planten + Free Shipment weekend</t>
  </si>
  <si>
    <t>Multi cat. Ballon, kaart, bloem</t>
  </si>
  <si>
    <t>Multi cat. Choc, ballon, bloem (vers)</t>
  </si>
  <si>
    <t>Herfstcollectie</t>
  </si>
  <si>
    <t>broer/zus + gratis kaart</t>
  </si>
  <si>
    <t>2.50 korting op herfstcollectie, code NAJAAR</t>
  </si>
  <si>
    <t xml:space="preserve">Bloem </t>
  </si>
  <si>
    <t>ma. bloem | wo. chocolade</t>
  </si>
  <si>
    <t xml:space="preserve">Paasassortiment + 25% korting Merci B2B only(voor secretaresse dag. Kunnen we laden in een subpanel op home en in B2B email voor marketingbijdrage?) </t>
  </si>
  <si>
    <t>Multi cat.</t>
  </si>
  <si>
    <t>Personalised Wrapping</t>
  </si>
  <si>
    <t>Multicat: brievenbus producten</t>
  </si>
  <si>
    <t>Bloemen + gratis kaart</t>
  </si>
  <si>
    <t>Sterkte wensen</t>
  </si>
  <si>
    <t>theming 46 doortrekken + black friday</t>
  </si>
  <si>
    <t>Pralibel (voorjaar)</t>
  </si>
  <si>
    <t>Multicat: choc en taart</t>
  </si>
  <si>
    <t>Combi SKU (boeket + chocoladeletter?)</t>
  </si>
  <si>
    <t>Nieuw (december) assortiment</t>
  </si>
  <si>
    <t>personalised wrapping/kerst in sub</t>
  </si>
  <si>
    <t>Moederdag - Wrapping voor €1,- + 25% korting op alle Merci</t>
  </si>
  <si>
    <t>Kerst &amp; nieuwjaar</t>
  </si>
  <si>
    <t>Merci (Moederdag)</t>
  </si>
  <si>
    <t xml:space="preserve">2,50 korting op geselecteerde 'lekkere' verrassingen (snoep, chocolade en taart) </t>
  </si>
  <si>
    <t xml:space="preserve">Categorie sub. </t>
  </si>
  <si>
    <t>Bubbels, bloemen en ballon</t>
  </si>
  <si>
    <t>Sub Valentijn</t>
  </si>
  <si>
    <t xml:space="preserve">25% korting op Australian </t>
  </si>
  <si>
    <t xml:space="preserve">Pralibel </t>
  </si>
  <si>
    <t>ballonnen</t>
  </si>
  <si>
    <t xml:space="preserve">25% korting op snoeppotten </t>
  </si>
  <si>
    <t xml:space="preserve">freeshipment bloemen </t>
  </si>
  <si>
    <t>Snoeppotten examens</t>
  </si>
  <si>
    <t>Hotchpotch zomerse designs</t>
  </si>
  <si>
    <t>do. = pasen thema (choc, bl, kr)</t>
  </si>
  <si>
    <t>Zo. sameday</t>
  </si>
  <si>
    <t>uitnodigingen</t>
  </si>
  <si>
    <t>intro taarten (gedeelte segment)</t>
  </si>
  <si>
    <t>nieuwjaars ballonnen</t>
  </si>
  <si>
    <t>Gratis kaart bij ballonnen</t>
  </si>
  <si>
    <t>Alle verjaardagsballonnen voor 10!</t>
  </si>
  <si>
    <t>planning e-mail n.t.b.</t>
  </si>
  <si>
    <t>Pre order Valentijn</t>
  </si>
  <si>
    <t>Valentijn - daarna nld ballonnen</t>
  </si>
  <si>
    <t>zomaarballonnen/vriendschapballonnen</t>
  </si>
  <si>
    <t>pers. ballonnen (25%PO)</t>
  </si>
  <si>
    <t>20 voor 10 (was XXL)</t>
  </si>
  <si>
    <t>Trosjes ballonnen</t>
  </si>
  <si>
    <t xml:space="preserve">Alle smiley;s+emoticon </t>
  </si>
  <si>
    <t xml:space="preserve">Ballonnen + Disney taarten </t>
  </si>
  <si>
    <t>Kaarten t.b.d.</t>
  </si>
  <si>
    <t>XL &amp; Soundballonnen</t>
  </si>
  <si>
    <t>Nieuwe NL ballonnen</t>
  </si>
  <si>
    <t>chocoladeletter intro</t>
  </si>
  <si>
    <t>card only - early bird + sub amaryl.</t>
  </si>
  <si>
    <t>Cijferballonnen</t>
  </si>
  <si>
    <t>Verjaardag ballonnen</t>
  </si>
  <si>
    <t>Trosjes/Wereld Kus-dag = gratis verzending kus-ballon</t>
  </si>
  <si>
    <t>4 euro korting ballonnen</t>
  </si>
  <si>
    <t>Geboorte + weekend FS</t>
  </si>
  <si>
    <t>Geboorte</t>
  </si>
  <si>
    <t>XL-ballonnen (met actie?)</t>
  </si>
  <si>
    <t>Moederdag BE + Nederlandse ballonnen (+ welkom thuis uitlichten)</t>
  </si>
  <si>
    <t>Personalised ballonnen (Nieuwe verjaardag designs?)</t>
  </si>
  <si>
    <t>Verjaardag (doorvertaling) OTS + P</t>
  </si>
  <si>
    <t>Free Shipment ballonnen (personalised uitlichten)</t>
  </si>
  <si>
    <t>Verjaardag (OTS + personalised)</t>
  </si>
  <si>
    <t xml:space="preserve">Taart &amp; gebak </t>
  </si>
  <si>
    <t xml:space="preserve">Wintercake PO (€8,95) </t>
  </si>
  <si>
    <t>Dierenballonnen (dierendag) 10% korting met code DIERENDAG</t>
  </si>
  <si>
    <t xml:space="preserve">Verjaardagstaart </t>
  </si>
  <si>
    <t>Vaderdag multi-cat (is daar 11 juni al)</t>
  </si>
  <si>
    <t>1. Bloemen EVD, 2. Examens</t>
  </si>
  <si>
    <t>2,50 korting op ballonnen, code NAJAAR</t>
  </si>
  <si>
    <t>Personalised balloons</t>
  </si>
  <si>
    <t>5,- korting op alle boeketten + R</t>
  </si>
  <si>
    <t>Ballonnen + gratis kaart</t>
  </si>
  <si>
    <t>Ik denk aan je ballonnen</t>
  </si>
  <si>
    <t>(nieuwe) geboorte ballonnen</t>
  </si>
  <si>
    <t>personalised balloons/kerst in sub</t>
  </si>
  <si>
    <t>Andere actie: freeshipment</t>
  </si>
  <si>
    <t xml:space="preserve">Niet als dag wegzetten </t>
  </si>
  <si>
    <t>Alleen kaarten</t>
  </si>
  <si>
    <t>Valentijn/Wintercake PO (8,95)</t>
  </si>
  <si>
    <t>Gepersonaliseerde taarten</t>
  </si>
  <si>
    <t xml:space="preserve">SS + Valentijnsmal verB2Ben </t>
  </si>
  <si>
    <t xml:space="preserve">Bloemen dagdeal mailen </t>
  </si>
  <si>
    <t>Vier de lente</t>
  </si>
  <si>
    <t>alle per. champagne 25% PO</t>
  </si>
  <si>
    <t>Introductie van Flavour comp</t>
  </si>
  <si>
    <t>Gratis kaart bij drank</t>
  </si>
  <si>
    <t xml:space="preserve">vier de lente </t>
  </si>
  <si>
    <t>eventueel andere b2b kaart</t>
  </si>
  <si>
    <t>kaart + b2b kaart don.</t>
  </si>
  <si>
    <t>Valentijn - daarna rode wijnen</t>
  </si>
  <si>
    <t>do. geen b2b maiing</t>
  </si>
  <si>
    <t>Alle vriendinnendranken (rose en CU4tro) + 10% korting op gepersonaliseerde dranken</t>
  </si>
  <si>
    <t xml:space="preserve">B2B kaarten. + op do. + Pasen chcolade mand meenemen + reminder sec. dag </t>
  </si>
  <si>
    <t xml:space="preserve">Secretaresse dag </t>
  </si>
  <si>
    <t>25% korting op witte wijn</t>
  </si>
  <si>
    <t xml:space="preserve">Postezegel week met B2B kaarten </t>
  </si>
  <si>
    <t>Lux + black Biacno
 + chardonnay bubblels</t>
  </si>
  <si>
    <t>ex soft intro moederdag</t>
  </si>
  <si>
    <t>ma. moeder panel + do. multi cat.</t>
  </si>
  <si>
    <t>Il miogusto - nieuw</t>
  </si>
  <si>
    <t>eventueel kaarten wisselen</t>
  </si>
  <si>
    <t>beterschap, personalised</t>
  </si>
  <si>
    <t>Whisky's</t>
  </si>
  <si>
    <t>Dranken variant gebruiken, za. niet.</t>
  </si>
  <si>
    <t>Alle bierpakketten 20% PO</t>
  </si>
  <si>
    <t>Mousserende wijnen</t>
  </si>
  <si>
    <t>10,- korting op een taart</t>
  </si>
  <si>
    <t>Dranken mail voor b2b o.v.b.</t>
  </si>
  <si>
    <t>Taarten panel voor b2b</t>
  </si>
  <si>
    <t>Rosé / zomerse dranken</t>
  </si>
  <si>
    <t>Sterke dranken</t>
  </si>
  <si>
    <t>B2B gelijk? checken Donna</t>
  </si>
  <si>
    <t>Pers. dranken</t>
  </si>
  <si>
    <t>Magnum wijnflessen</t>
  </si>
  <si>
    <t xml:space="preserve">4 euro korting op alle wijnen </t>
  </si>
  <si>
    <t>Nieuwe zakelijke kaarten</t>
  </si>
  <si>
    <t>Belle Emilie’s gepersonaliseerd – van 14,95 voor 9,95</t>
  </si>
  <si>
    <t>Zomerse wijncocktails</t>
  </si>
  <si>
    <t>Moederdag BE + pers. dranken</t>
  </si>
  <si>
    <t>Let op long copy en beeld.</t>
  </si>
  <si>
    <t>Personalised dranken/ wrapping</t>
  </si>
  <si>
    <t>Hamersma wijnen</t>
  </si>
  <si>
    <t xml:space="preserve">Bierpakketten (Oktoberfest) 25% korting op bieren </t>
  </si>
  <si>
    <t xml:space="preserve">Broer &amp; zussen beverage + gratis kaart </t>
  </si>
  <si>
    <t>Niet mailen</t>
  </si>
  <si>
    <t>Van/voor op herfstbieren 12,95 --&gt; 9,95</t>
  </si>
  <si>
    <t>Geen disney wel 10,- korting taarten</t>
  </si>
  <si>
    <t>Reminder vrijdag</t>
  </si>
  <si>
    <t>Gepersonaliseerde rode wijnen</t>
  </si>
  <si>
    <t>Haakje: Dag van de baas</t>
  </si>
  <si>
    <t xml:space="preserve">Kerst intro </t>
  </si>
  <si>
    <t xml:space="preserve">drank + gratis kaart </t>
  </si>
  <si>
    <t>Early bird (let op copy)</t>
  </si>
  <si>
    <t xml:space="preserve">Beterschap Yagermeister </t>
  </si>
  <si>
    <t xml:space="preserve">Proeverijen met 20% korting </t>
  </si>
  <si>
    <t>Idem als NL (check kaarten panel) + reminder early bird</t>
  </si>
  <si>
    <t xml:space="preserve">Pers. wijnkistjes </t>
  </si>
  <si>
    <t>Versie B (gift segment)</t>
  </si>
  <si>
    <t xml:space="preserve">Gepersonaliseerde dranken </t>
  </si>
  <si>
    <t>call later maken voor reminder</t>
  </si>
  <si>
    <t xml:space="preserve">20,19% korting op bubbels! </t>
  </si>
  <si>
    <t>mail van zondag 'ombouwen' ma verst.</t>
  </si>
  <si>
    <t>dranken, olliebollen, nieuwjaarskaarten</t>
  </si>
  <si>
    <t xml:space="preserve">10% korting op gepersonaliseerde taarten </t>
  </si>
  <si>
    <t>Orderbevestiging campagne</t>
  </si>
  <si>
    <t xml:space="preserve">Denk aan </t>
  </si>
  <si>
    <t>10% korting op slagroomtaarten</t>
  </si>
  <si>
    <t xml:space="preserve">Vaderdag en examens. €2 korting op donuts  </t>
  </si>
  <si>
    <t>Zomers assortiment</t>
  </si>
  <si>
    <t>telegram (verjaardag)</t>
  </si>
  <si>
    <t>Valentijn - daarna Tony 15%PO</t>
  </si>
  <si>
    <t>Merci (gepers)</t>
  </si>
  <si>
    <t>Lindt en Leonidas en Choc comp (alle bonbons) met 15%po</t>
  </si>
  <si>
    <t>paaseitjes in soorten en manden</t>
  </si>
  <si>
    <t>Pasen Pasen Pasen</t>
  </si>
  <si>
    <t xml:space="preserve">Snoeppotten in email ! met 20%po                                                </t>
  </si>
  <si>
    <t>snoeppotten</t>
  </si>
  <si>
    <t>JELLY BEANS!!!!!!!!!! free shipment</t>
  </si>
  <si>
    <t>Nieuw: Pralibel (anders bestaand)</t>
  </si>
  <si>
    <t>Snoeppotten</t>
  </si>
  <si>
    <t>Nieuw: Pralibel</t>
  </si>
  <si>
    <t>Pralibel</t>
  </si>
  <si>
    <t>Pralibel ('Zomer')</t>
  </si>
  <si>
    <t>Telegram ('Bedankt')</t>
  </si>
  <si>
    <t>Leonidas zomer assortiment</t>
  </si>
  <si>
    <t>Leonidas zomer assorti? Indien voorradig</t>
  </si>
  <si>
    <t>Leonidas zomer</t>
  </si>
  <si>
    <t>Pralibel (Leonidas zomer bijna OOS)</t>
  </si>
  <si>
    <t xml:space="preserve">Moederdag BE + pers. chocolade (10% korting?) </t>
  </si>
  <si>
    <t xml:space="preserve">Verjaardag en pers. chocolade </t>
  </si>
  <si>
    <t xml:space="preserve">Verjaadag en pers. chocolade </t>
  </si>
  <si>
    <t>Do 13e dagknaller gratis verzending</t>
  </si>
  <si>
    <t xml:space="preserve">25% korting op Merci  </t>
  </si>
  <si>
    <r>
      <t xml:space="preserve">Broer &amp; zussen choco + </t>
    </r>
    <r>
      <rPr/>
      <t xml:space="preserve">gratis kaart </t>
    </r>
  </si>
  <si>
    <t xml:space="preserve">Herfst choco </t>
  </si>
  <si>
    <t xml:space="preserve">Gratis bezorging brievenbuschocolade. Code CHOCO </t>
  </si>
  <si>
    <t>herfst choco</t>
  </si>
  <si>
    <t>pers. wrapping</t>
  </si>
  <si>
    <t xml:space="preserve">Choco + gratis kaart (australian voor 15% korting?) </t>
  </si>
  <si>
    <t xml:space="preserve">Choco + gratis kaart </t>
  </si>
  <si>
    <t xml:space="preserve">25% korting alle Merci </t>
  </si>
  <si>
    <t>België stuurt mail met bloemen deal ipv taarten mail.</t>
  </si>
  <si>
    <t xml:space="preserve">Chocolade letters </t>
  </si>
  <si>
    <t>Baby &amp; Kids</t>
  </si>
  <si>
    <t>Bordjes - eten en drinken</t>
  </si>
  <si>
    <t>Sub/ notes</t>
  </si>
  <si>
    <t>sms notificatie - orderbevestiging</t>
  </si>
  <si>
    <t>14de sameday prop mailen t.b.d.</t>
  </si>
  <si>
    <t>Overige verrassingen</t>
  </si>
  <si>
    <t>smiley ballonnen 10,-</t>
  </si>
  <si>
    <t>Gratis kaart bij gifts</t>
  </si>
  <si>
    <t>gepersonaliseerd (mok)</t>
  </si>
  <si>
    <t>Let op anders dan overkoepelend: dagknaller maandag &amp; Pasen op donderdag</t>
  </si>
  <si>
    <t>Valentijn - daarna fruit</t>
  </si>
  <si>
    <t>Moederdag sub</t>
  </si>
  <si>
    <t>paasmokken 10 e</t>
  </si>
  <si>
    <t>Bear boogy (Valentijn)</t>
  </si>
  <si>
    <t>Moederdag assortiment</t>
  </si>
  <si>
    <t>Beauty- Rituals</t>
  </si>
  <si>
    <t>Winactie: ballonvaart (emoij dag)</t>
  </si>
  <si>
    <t>Knuffel (beste vriend)</t>
  </si>
  <si>
    <t>Beauty €4 korting</t>
  </si>
  <si>
    <t>collagemaker/ nieuwe stickers</t>
  </si>
  <si>
    <t>20% korting op kokosnoten</t>
  </si>
  <si>
    <t>Do tm Zo Hele ass €2,50 korting (UV printing als hero?)</t>
  </si>
  <si>
    <t>Moederdag BE - beauty</t>
  </si>
  <si>
    <t>Beauty voor je broer of zus</t>
  </si>
  <si>
    <t>Personalised</t>
  </si>
  <si>
    <t>Win reis naar Disneyland</t>
  </si>
  <si>
    <t>Beauty: nieuw assortiment?</t>
  </si>
  <si>
    <t>UV printing</t>
  </si>
  <si>
    <t>Timer in verwerken</t>
  </si>
  <si>
    <t>Boekenweek - gratis kaart kinderboeken</t>
  </si>
  <si>
    <t xml:space="preserve">segmentatie card en gift </t>
  </si>
  <si>
    <t>Knuffel Lammy (Pasen)</t>
  </si>
  <si>
    <t>rode enveloppen</t>
  </si>
  <si>
    <t>BELANGRIJK DELIVERY!</t>
  </si>
  <si>
    <t>Overkoepelend thema</t>
  </si>
  <si>
    <t>Verrastegoed</t>
  </si>
  <si>
    <t>verjaardagsweken</t>
  </si>
  <si>
    <t>verjaardagweken</t>
  </si>
  <si>
    <t>verjaardagsweken uitloop</t>
  </si>
  <si>
    <t>Moederdag - pers bordje I love mama</t>
  </si>
  <si>
    <t>nieuw jaar = nieuwe verrassingen</t>
  </si>
  <si>
    <t>Speelgoed</t>
  </si>
  <si>
    <t>Meeliften verzorgingsproducten free shipment beauty</t>
  </si>
  <si>
    <t>Vaderdag - Pers I love papa bordje</t>
  </si>
  <si>
    <t>Zomer assortiment</t>
  </si>
  <si>
    <t>Oliebollen</t>
  </si>
  <si>
    <t>Verjaardagstaart</t>
  </si>
  <si>
    <t>Zomer: vooruitplannen</t>
  </si>
  <si>
    <t>Gratis kaart bij taart</t>
  </si>
  <si>
    <t>Zomer: jarig in de zomer</t>
  </si>
  <si>
    <t>Taart met steker</t>
  </si>
  <si>
    <t>Zomer: Greetz alles in huis voor een zomersfeestje</t>
  </si>
  <si>
    <t>Zomer: iemand in het zonnetje zetten</t>
  </si>
  <si>
    <t>Valentijn - daarna donuts</t>
  </si>
  <si>
    <t>Zomer: Zomerse selfies</t>
  </si>
  <si>
    <t>Donuts party time</t>
  </si>
  <si>
    <t>Zomer: tropische temperaturen</t>
  </si>
  <si>
    <t>Vriendschaps taart designs</t>
  </si>
  <si>
    <t>Hartjes taart (vriendschap)</t>
  </si>
  <si>
    <t>Zomers taartje of Paas assortiment</t>
  </si>
  <si>
    <t>Paas assortiment</t>
  </si>
  <si>
    <t>Zelf bak potten</t>
  </si>
  <si>
    <t>Secretaressedag taart</t>
  </si>
  <si>
    <t>Secretaressedag taart &amp; Oranje tompoucen</t>
  </si>
  <si>
    <t>Oranje tompoucen</t>
  </si>
  <si>
    <t>Foto slagroomtoefjes op taart door bakker</t>
  </si>
  <si>
    <t>Donuts</t>
  </si>
  <si>
    <t>Examen &amp; vaderdag taarten</t>
  </si>
  <si>
    <t>Dit doet de zieke goed</t>
  </si>
  <si>
    <t>Bakmix in pot</t>
  </si>
  <si>
    <t>Zomerse taartjes</t>
  </si>
  <si>
    <t>Bakmix bedankt + liefde korting</t>
  </si>
  <si>
    <t>Kerst intro</t>
  </si>
  <si>
    <t>"zomers" assortiment met eigen landing</t>
  </si>
  <si>
    <t>Gefeliciteerd assortiment</t>
  </si>
  <si>
    <t>Unicorntaart</t>
  </si>
  <si>
    <t>mini taartjes</t>
  </si>
  <si>
    <t>Pers. taarten</t>
  </si>
  <si>
    <t xml:space="preserve">Verjaadagstaarten </t>
  </si>
  <si>
    <t xml:space="preserve">Verjaadagstaarten - Lekkers op je verjaardag </t>
  </si>
  <si>
    <t>Partnerships</t>
  </si>
  <si>
    <t xml:space="preserve">Broer &amp; zusdag hartjes taarten + gratis kaart </t>
  </si>
  <si>
    <t xml:space="preserve">10% korting appelgebak </t>
  </si>
  <si>
    <t xml:space="preserve">Introductie brievenbus cake </t>
  </si>
  <si>
    <t xml:space="preserve">gebak + gratis kaart </t>
  </si>
  <si>
    <t xml:space="preserve">bakmixen speculaas van/voor </t>
  </si>
  <si>
    <t xml:space="preserve">Sint gebak </t>
  </si>
  <si>
    <t xml:space="preserve">Banketstaaf </t>
  </si>
  <si>
    <t>Meraki en The Gift Label (nieuw!)</t>
  </si>
  <si>
    <t>Meraki (nieuw!)</t>
  </si>
  <si>
    <t>Jellycat knuffels</t>
  </si>
  <si>
    <t>Knuffels</t>
  </si>
  <si>
    <t>Gratis kaart bij B&amp;K</t>
  </si>
  <si>
    <t>gepersonaliseerd (cadeau)</t>
  </si>
  <si>
    <t>Slapen</t>
  </si>
  <si>
    <t>Valentijn - daarna Vakantie assortiment</t>
  </si>
  <si>
    <t>The Gift Label - Valentijn pakket</t>
  </si>
  <si>
    <t>Eten en drinken</t>
  </si>
  <si>
    <t>Knuffel als beste vriend van de baby</t>
  </si>
  <si>
    <t>Knuffel lamb leo</t>
  </si>
  <si>
    <t>Pasen - daarna EVD</t>
  </si>
  <si>
    <t>kraamcadeau</t>
  </si>
  <si>
    <t>TGL - vriendschap</t>
  </si>
  <si>
    <t>Top 10 cadeaus</t>
  </si>
  <si>
    <t>TGL - Baby producten</t>
  </si>
  <si>
    <t>Combi beeld van div. producten</t>
  </si>
  <si>
    <t>Pers. - met zorg gepersonaliseerd</t>
  </si>
  <si>
    <t>,, zowel knuffels als bordjes als sleeves</t>
  </si>
  <si>
    <t>Hero - actie</t>
  </si>
  <si>
    <t>,,</t>
  </si>
  <si>
    <t>Zwangerschapsboek voor mannen</t>
  </si>
  <si>
    <t>Personalised? Anders TGL</t>
  </si>
  <si>
    <t>Cadeaus - buiten spelen</t>
  </si>
  <si>
    <t>Voor op vakantie (speelgoed)</t>
  </si>
  <si>
    <t>Meraki</t>
  </si>
  <si>
    <t>Lievelingsknuffel overal mee naartoe</t>
  </si>
  <si>
    <t>Eigen "servies" voor op vakantie</t>
  </si>
  <si>
    <t>Moederdag BE (pers. bordjes)</t>
  </si>
  <si>
    <t>Free shipment B&amp;K</t>
  </si>
  <si>
    <t>Kraamcadeaus</t>
  </si>
  <si>
    <t>Kraamcadeaus (ivm B2B mail)</t>
  </si>
  <si>
    <t>binnen spelen - kids cadeaus</t>
  </si>
  <si>
    <t>€2,50 korting op alle pers producten met de code BABYFOTO</t>
  </si>
  <si>
    <t>Speelgoed voor de herfstvakantie</t>
  </si>
  <si>
    <t>hele ass + gratis kaart</t>
  </si>
  <si>
    <t>Knuffel grootste vriend door dik en dun</t>
  </si>
  <si>
    <t>2,50 korting op speelgoed tm 5 dec</t>
  </si>
  <si>
    <t>Moederdag - TGL Moederdag pakket</t>
  </si>
  <si>
    <t>2,50 korting</t>
  </si>
  <si>
    <t>speelgoed - actie</t>
  </si>
  <si>
    <t>TGL denken aan boodschapdrager</t>
  </si>
  <si>
    <t>Categorie (kaarten, bloemen, mutli-category)</t>
  </si>
  <si>
    <t>Free shipment</t>
  </si>
  <si>
    <t>Dirk vd Broek - gratis kaartje</t>
  </si>
  <si>
    <t>Scheerpakket (ons eigen giftset) (sub TGL You Rock)</t>
  </si>
  <si>
    <t>TGL - You Rock</t>
  </si>
  <si>
    <t>Make-A-Wish - gratis kaartje</t>
  </si>
  <si>
    <t>Boeken</t>
  </si>
  <si>
    <t>Haust - €7,50 gratis uitnodigingen</t>
  </si>
  <si>
    <t>Standaard</t>
  </si>
  <si>
    <t>Pers wrapping</t>
  </si>
  <si>
    <t>HelloFresh: €5 korting bloemen</t>
  </si>
  <si>
    <t>Boeken in thema gezondheid</t>
  </si>
  <si>
    <t>KRO/NCRV: €5 bloemen/kerstkaarten</t>
  </si>
  <si>
    <t>Lancering!! Free pers wrapping</t>
  </si>
  <si>
    <t>Top lijst Sinterklaas</t>
  </si>
  <si>
    <t>Grote Clubactie: €5 bloemen en €5 Greetz tegoed</t>
  </si>
  <si>
    <t>Top kerst lijstje</t>
  </si>
  <si>
    <t>Hele ass + gratis kaart</t>
  </si>
  <si>
    <t>Top B2B lijstje</t>
  </si>
  <si>
    <t xml:space="preserve">Nieuwjaar </t>
  </si>
  <si>
    <t xml:space="preserve">Gratis Postzegel </t>
  </si>
  <si>
    <t>Heks'nkaas - €10 gratis uitnodigingen</t>
  </si>
  <si>
    <t>Managementboeken (nieuwjaarsgeschenk)</t>
  </si>
  <si>
    <t xml:space="preserve">Leuk om collega's te verrassen op Valentijsdag </t>
  </si>
  <si>
    <t>Valentijn - daarna kaartje voor collega</t>
  </si>
  <si>
    <t>kaartje voor je beste collega</t>
  </si>
  <si>
    <t xml:space="preserve">1 + 1 kaarten </t>
  </si>
  <si>
    <t>Gratis verzending bloemen</t>
  </si>
  <si>
    <t>Body &amp; Lifestyle (goede voornemens)</t>
  </si>
  <si>
    <t>Verrassingsplanner/ pasen</t>
  </si>
  <si>
    <t>Secretaressedag/ planten trends op kantoor</t>
  </si>
  <si>
    <t>Secretaressedag 19 april / tulpendeal</t>
  </si>
  <si>
    <t>Verrassingsplanner</t>
  </si>
  <si>
    <t>Verrassingsplanner/ dag van de verpleging</t>
  </si>
  <si>
    <t>Gratis bezorging chocolade (Tony's, Leonidas, Australian, Merci)</t>
  </si>
  <si>
    <t>Gratis kaart t.w.v. 2,50 bij je taart (leuk haakje met donut-day) + 5 euro korting</t>
  </si>
  <si>
    <t>-</t>
  </si>
  <si>
    <t>Free shipment zoals vorig jaar mogelijk voor ballonnen?</t>
  </si>
  <si>
    <t>Nieuwe zomercollectie bloemen
Pioenrozendeal</t>
  </si>
  <si>
    <t>Bucketlist voor koppels</t>
  </si>
  <si>
    <t xml:space="preserve">Uitgesteld: Dedicated mail: verrassingsplanner B2B en banner in B2C mail. </t>
  </si>
  <si>
    <t>Liefde &amp; vriendschap genre</t>
  </si>
  <si>
    <t>Kinderboeken</t>
  </si>
  <si>
    <t>Body &amp; Mind</t>
  </si>
  <si>
    <t>Intern. dag van de chocolade!</t>
  </si>
  <si>
    <t xml:space="preserve">Gratis verzending nieuwe kraampakketten </t>
  </si>
  <si>
    <t>LIVE nieuwe campagne laat greetz zakelijk voor je werken: ATL</t>
  </si>
  <si>
    <t>NS mailing: gratis kaartje, €5 bloemen en €5 Greetz tegoed</t>
  </si>
  <si>
    <t>Boekenweek - gratis kaart bij alle boeken - voucher GRATISKAART</t>
  </si>
  <si>
    <t>Grote Clubactie: gratis kaartje</t>
  </si>
  <si>
    <t>Kerstbrochure: Acquisitie + bestaande klanten                   Affiliate: 10% korting bij besteding van min. 20 euro</t>
  </si>
  <si>
    <t>Complimentos: gratis kaartje</t>
  </si>
  <si>
    <t>Affiliate: 10% korting bij besteding van min. 20 euro</t>
  </si>
  <si>
    <t>PostNL: 20K social budget kaarten</t>
  </si>
  <si>
    <t>Body &amp; mind</t>
  </si>
  <si>
    <t>Bookchoice: gratis kaart + bloemenwinactie</t>
  </si>
  <si>
    <t>Moederdag - hero boeken</t>
  </si>
  <si>
    <t>PayPal €5 korting bloemen</t>
  </si>
  <si>
    <t>Reizen</t>
  </si>
  <si>
    <t>50+ Beurs: €5 Greetz tegoed</t>
  </si>
  <si>
    <t>19 MAART VADERDAG ANTWERP.</t>
  </si>
  <si>
    <t>Nuon: gratis kaartje en 30% Greetz korting</t>
  </si>
  <si>
    <t>PayPal: 25% bloemen</t>
  </si>
  <si>
    <t>free shipment op emoij ballonnen?</t>
  </si>
  <si>
    <t xml:space="preserve">Moederdag Vlaams Belgie volgende week - free shipment op SKU: gift_flowers_bouquet_schitterend met australian heart?
</t>
  </si>
  <si>
    <t>Cadeaubonnen</t>
  </si>
  <si>
    <t>FrieslandCampina Decembershop: €7 bloemen bij besteding van €25</t>
  </si>
  <si>
    <t>Wellness &amp; Beauty</t>
  </si>
  <si>
    <t>Diner voor 2</t>
  </si>
  <si>
    <t>7 mei Albert Heijn België € 5,- korting op (moederdag)boeket</t>
  </si>
  <si>
    <t>Week 19 offline actie TUI, 8 mei e-mail TUI (€5,- korting bloemen)</t>
  </si>
  <si>
    <t>Bioscoop bon</t>
  </si>
  <si>
    <t>Bioscoop of speelgoedbon</t>
  </si>
  <si>
    <t>Sauna (ontspanning)</t>
  </si>
  <si>
    <t>Saunda (ontspanning)</t>
  </si>
  <si>
    <t>HelloFresh: gratis bezorging bloemen</t>
  </si>
  <si>
    <t>Channel Campaigning (Marketeers)</t>
  </si>
  <si>
    <t>Meerdere cadeaubonnen</t>
  </si>
  <si>
    <t>PayPal: gratis bezorging bloemen</t>
  </si>
  <si>
    <t>Nieuw - momento boxen</t>
  </si>
  <si>
    <t>Flair: €10 Greetz tegoed bij €15</t>
  </si>
  <si>
    <t>Moederdag - Voor mama giftbox</t>
  </si>
  <si>
    <t>Relax momentje - sauna/beauty/restuarant</t>
  </si>
  <si>
    <t>Kerstpakketten.nl €20 Greetz tegoed</t>
  </si>
  <si>
    <t>MKB: €10 Greetz tegoed</t>
  </si>
  <si>
    <t>Overig</t>
  </si>
  <si>
    <t>Bloemen actie</t>
  </si>
  <si>
    <t>Ballonnen actie</t>
  </si>
  <si>
    <t xml:space="preserve">25% korting Merci ivm secretaressedag! </t>
  </si>
  <si>
    <t>Gouden envelop XL kaarten</t>
  </si>
  <si>
    <t xml:space="preserve">Cards : Let op, geen gekleurde enveloppen                                            Beauty : Let op, geen nieuwe merken nog live                                      </t>
  </si>
  <si>
    <t xml:space="preserve">Beauty : Let op, geen nieuwe merken nog live                           </t>
  </si>
  <si>
    <t xml:space="preserve">Beauty : Let op, geen nieuwe merken nog live                           Baby&amp;Kids : Let op, nog geen nieuwe producten zoals Bear boogy live						</t>
  </si>
  <si>
    <t xml:space="preserve">Beauty : Let op, geen nieuwe merken nog live                           Baby&amp;Kids : Let op, nog geen nieuwe producten zoals Bear boogy live                                                </t>
  </si>
  <si>
    <t>Dranken : voor BE visual neutraal of Belgisch bier                                   Beauty : Let op, geen nieuwe merken nog live</t>
  </si>
  <si>
    <t>Dranken : voor BE visual neutraal of Belgisch bier                     Baby&amp;Kids : Let op, nog geen speelgoed live                             Beauty : Let op, geen nieuwe merken nog live</t>
  </si>
  <si>
    <t>Cadeaubonnen : Let op in BE geen Wellness bonnen!                               Beauty : Let op, geen nieuwe merken nog live</t>
  </si>
  <si>
    <t>Unieke BE Actie: FS Bloemen                Cadeaubonnen : Let op in BE geen Wellness bonnen!                                      Beauty : Let op, geen nieuwe merken nog live</t>
  </si>
  <si>
    <t xml:space="preserve">Unieke BE Actie: FS Bloemen                19 maart Vaderdag in Antwerpen               Cadeaubonnen : Let op in BE geen Wellness bonnen!                                     </t>
  </si>
  <si>
    <t xml:space="preserve">FS Bloemen                                            </t>
  </si>
  <si>
    <t>Unieke BE Actie: FS Bloemen (laatste week)</t>
  </si>
  <si>
    <t>Let op: in BE geen koningsdag</t>
  </si>
  <si>
    <t>Nieuwjaarskaarten + bubbels</t>
  </si>
  <si>
    <t>10% pralibel, tony &amp; snoep</t>
  </si>
  <si>
    <t>.</t>
  </si>
  <si>
    <t>15% korting op fotocadeaus</t>
  </si>
  <si>
    <t>B2B Kerst campagne</t>
  </si>
  <si>
    <t>b2b: Blue Monday</t>
  </si>
  <si>
    <t>b2b: 1 maart complimentendag</t>
  </si>
  <si>
    <t>Online Video</t>
  </si>
  <si>
    <t>HelloFresh: gratis bezorging ballonnen</t>
  </si>
  <si>
    <t>Thuisbezorgd (NL en BE): 30% korting bloemen (t/m eind maart)</t>
  </si>
  <si>
    <t>Dirk: gratis kaartje bij €10 boodschappen</t>
  </si>
  <si>
    <t>13 feb. PostNL KUS?!</t>
  </si>
  <si>
    <t>Unilever: bij aankoop van 2 Unilever producten bij Trekpleister ontvangt men gratis brievenbusbloemen (rozenmix) bij Greetz t.w.v. € 11,95. Excl verzendkosten). In te leveren t/m 31 juli 2018.</t>
  </si>
  <si>
    <t xml:space="preserve">PayPal NL+BE: 20% korting op Chocolade (exc. verzending) </t>
  </si>
  <si>
    <t>Thuisbezorgd.nl: 25% korting op bloemen + 25% korting op ballonnen - t/m eind december</t>
  </si>
  <si>
    <t>ING rentepunten: bon van € 10 voor ballonnen voor € 5, bon van € 10 voor bloemen voor € 5 - t/m eind december</t>
  </si>
  <si>
    <t>Tessa app (punten voor bonnetjes retailers inscannen): € 5 korting Greetz breed, bij minimale besteding van € 15 - t/m eind december</t>
  </si>
  <si>
    <t>Kerspakketten.nl: B2B aanbod bij besteding van € 250 op Kerstpakketen.nl, bon van Greetz t.w.v. € 20 - t/m 24 december</t>
  </si>
  <si>
    <t>Friesland Campina- Milner: 2,1 miljoen actieverpakkingen met actie: gratis Milner-kaart t.w.v. € 2,85, exclusief postzegel</t>
  </si>
  <si>
    <t>Social Deal: Bloemen bon van € 15 voor € 9,95</t>
  </si>
  <si>
    <t>NS Extra: Gratis kaart excl. postzegel</t>
  </si>
  <si>
    <t>13 t/m 17 oktober gratis verzending bloemen (Hello Fresh)</t>
  </si>
  <si>
    <t>Social Deal: chocolade van € 10 voor € 5</t>
  </si>
  <si>
    <t>Ticketmaster nieuwsbrief naar 5,6 miljoen mensen: gratis bezorging bloemen</t>
  </si>
  <si>
    <t>Actievandedag 1,5 milj: ballonnen € 15 voor € 7,50</t>
  </si>
  <si>
    <t>HelloFresh: 25K NL + 12,5K BE flyers met € 5 korting op Chocolade bij € 15, € 5 korting op dranken bij € 20 + Eliza was here Be: nieuwsbrief naar 23K mensen met € 5 korting op Greetz-assortiment bij € 15</t>
  </si>
  <si>
    <t>IWR: 237,5K flyers met gratis kaart exc. postzegel + Manfield: 50K flyers in winkels met gratis kaart exc. postzegel + Nuon Extra: e-mailnieuwsbrief naar 485K mensen, gratis kaart inc. postzegel en Tony's Chocolonely's giftbox + ANWB 3,5 oplage Kampioen en landingspagina 150K mensen, gratis kaart inc. postzegel + Jägermeister Social campagne 3 milj. bereik, gratis kaart excl. postzegel of kaart met mini-Jägermeister voor € 2,95, Van der Valk nieuwsbrief naar 360K mensen, gratis kaart excl. postzegel + PostNL, campagne met 10K budget.</t>
  </si>
  <si>
    <t>ING Rentenpuntenwinkel: €5 Taart&amp;Gebak (t/m eind maart)</t>
  </si>
  <si>
    <t>Nuon Zakelijk: €15 Greetz tegoed</t>
  </si>
  <si>
    <t>Libresse: gratis Australian chocolade bij 4-pack (Kruidvat+Trekpleister)</t>
  </si>
  <si>
    <t>New Skool Media: gratis kaartje, excl. postzegel</t>
  </si>
  <si>
    <t>6 t/m 10 januari gratis verzending bloemen (Hello Fresh)</t>
  </si>
  <si>
    <t>AndC: abonneebrief naar 10.000 abonnees met gratis kaartje t.w.v. € 2,50 (excl. verzending) In te leveren t/m 31 juli</t>
  </si>
  <si>
    <t>Manfield zomerkiekjes campagne: Gratis kaartje excl verzendkosten</t>
  </si>
  <si>
    <t xml:space="preserve">Ticketmaster: banner in nieuwsbrief naar 1,65 miljoen nieuwsbriefleden: gratis kaart exclusief postzegel </t>
  </si>
  <si>
    <t>Social Deal: bon van € 15 voor ballonnen nu voor € 7,50</t>
  </si>
  <si>
    <t>Dirk: 1,3 miljoen vouchers in supermarkten met actie: gratis Greetz kaart t.w.v. € 2,85 exclusief postzegel</t>
  </si>
  <si>
    <t>Grote clubactie: Gratis kaart, exclusief postzegel t/m eind december</t>
  </si>
  <si>
    <t>Dag van de Mantelzorg: Gratis kaart in Mantelzorg design, exclusief postzegel.</t>
  </si>
  <si>
    <t>Social Deal BE 1,4 milj: Bloemen € 15 voor € 7,50</t>
  </si>
  <si>
    <t>Kek Mama: 25% korting Baby &amp; Kids assortiment</t>
  </si>
  <si>
    <t>Paypal nieuwsbrief 1,2 miljoen mensen: 25% korting op bloemen en chocolade + IZZ magazine naar 200K mensen: € 5 korting bij € 15 hele Greetz assortiment.</t>
  </si>
  <si>
    <t>Thebe Extra magazine 200K + nieuwsbrief 25K: gratis vakantiekaart t.w.v. € 2,85, exclusief postzegel</t>
  </si>
  <si>
    <t>Doorloop 2018: Van der Valk, ANWB, IZZ, Manfield, KPN, Nuon, IWR, Kek Mama, Eurosparen, Helloprint, Social Deal, Datumprikker, ING Rentepunten, ICS Cards, Thuisbezorgd</t>
  </si>
  <si>
    <t>Datumprikker: gratis kaart t.w.v. € 2,60 excl. postzegel</t>
  </si>
  <si>
    <t>Hartstichting: DM naar 500K donateurs met actie: gratis Greetz kaart t.w.v. € 2,85 excl. postzegel</t>
  </si>
  <si>
    <t>Hello Fresh: flyer 25K NL en 12,5K BE: € 5 korting op ballonnen NL / gratis bezorging ballonnen BE</t>
  </si>
  <si>
    <t>Social Deal NL 4,8 milj: € 10 voor € 5 snoeppotten</t>
  </si>
  <si>
    <t xml:space="preserve">HelloPrint: Oktober: t/m 31 oktober: Verstuur nu 10 kaarten met 10% korting, 1 t/m 30 November: Verstuur nu 20 kaarten en ontvang 20% korting, 1 t/m 16 December: 15% korting op 15 kaarten, 17 t/m 31 December:10 kaarten met 10% korting </t>
  </si>
  <si>
    <t>Lucas &amp; Steve: Social aandacht naar 300K mensen, aanbod gratis kaart excl. postzegel</t>
  </si>
  <si>
    <t>&amp;Meer/ABN Amro: gratis verzending beauty</t>
  </si>
  <si>
    <t>Eurosparen: 25% korting op bloemen</t>
  </si>
  <si>
    <t>tag on</t>
  </si>
  <si>
    <t>IWR: nieuwsbrief naar 750K nieuwsbriefleden met actie: gratis Greetz kaart t.w.v. € 2,85 excl. postzegel</t>
  </si>
  <si>
    <t xml:space="preserve">tag on </t>
  </si>
  <si>
    <t>Ziengs oplage 200.000: Prijzenfestival met Greetz prijzen. Troostprijs: Gratis kaart t.w.v. € 2,85 ex. postzegel</t>
  </si>
  <si>
    <t>evd</t>
  </si>
  <si>
    <t>Gratis bezorging van jouw bloemen</t>
  </si>
  <si>
    <t>Secretaressedag. Pasen: uitlichten mand paaseitjes 59 euro</t>
  </si>
  <si>
    <t>Secretaressedag 19 april</t>
  </si>
  <si>
    <t>Pre-order mechanisme TBD/ DM acquisitie</t>
  </si>
  <si>
    <t>DM heractivatie</t>
  </si>
  <si>
    <t>Gratis kaart t.w.v. 2,50 bij je taart (leuk haakje met donut-day)/ 5 euro korting op je zakelijke bestelling. Acq. DM 19K adressen</t>
  </si>
  <si>
    <t>Nieuwe zomercollectie bloemen + DM acq. 50K
Pioenrozendeal</t>
  </si>
  <si>
    <t>Verrassingsplanner = nog niet!</t>
  </si>
  <si>
    <t>VIER-daagse (vier kortingen om te vieren):
1. Bloemen: 4 euro korting
2. Dranken: 4 euro korting
3. Ballonnen: 4 euro korting 
4. Beauty: 4 euro korting
In-store --&gt; Kaarten XL = 4 euro</t>
  </si>
  <si>
    <t xml:space="preserve"> Interssant B2B: Van/ voors op diverse zomerse dranken, waaronder de wijn van de personalized test (Test Kiki: start met keuze wijn en daarna etiket)</t>
  </si>
  <si>
    <t>Actie: Zomerse boeketten  + zonnebloem deal</t>
  </si>
  <si>
    <t>probeerkorting van/voor + Dag van de ONDERNEMER + verrassingsplanner LIVE!!!!</t>
  </si>
  <si>
    <t>September is de maand waarin de meeste verjaardagen 'nu gratis naam borduren t.b.d. (onsite only)' _ collega bevallen? + Verrassingsplanner live!</t>
  </si>
  <si>
    <t>Actie: free shipment ballonnen</t>
  </si>
  <si>
    <t>Leuke van/ voors - uit divers assortiment</t>
  </si>
  <si>
    <t xml:space="preserve">Actie: 25% korting op alle kaarten </t>
  </si>
  <si>
    <t>Gratis kaart bij je cadeau t.b.d. met bezorgdata 30 september of geen data aan koppelen. + Dag van de THUISZORG</t>
  </si>
  <si>
    <t>Dag van de leraar (5)</t>
  </si>
  <si>
    <t xml:space="preserve">Ticketmaster: e-mailing naar 1,65 Miljoen mensen. Aanbod gratis kaart exclusief postzegel </t>
  </si>
  <si>
    <t>Dag van de Baas: nieuw assorti 2018</t>
  </si>
  <si>
    <t>PayPal: 20% korting bloemen</t>
  </si>
  <si>
    <t>Jan Linders 200K: gratis kaart t.w.v. € 2,85 exc. postzegel</t>
  </si>
  <si>
    <t xml:space="preserve">Tony's Chocolonely/Pralibel in actie </t>
  </si>
  <si>
    <t>Alle combi deals (bloemen + gift) GRATIS VERZENDING met bezorgdag 15 AUG (Moederdag Antwerpen) Code: LIEVEMAMA</t>
  </si>
  <si>
    <t>Klarna: 20% korting chocolade</t>
  </si>
  <si>
    <t>Social Deal NL 4,8 milj: Bloemen van € 15 voor € 7,50</t>
  </si>
  <si>
    <t>Email (Marketeer)</t>
  </si>
  <si>
    <t>&amp;Meer/ABN Amro: 20% korting snoeppotten</t>
  </si>
  <si>
    <t>20,19% op bubbels. code NIEUWJAAR /  DM Verrassingsplanner</t>
  </si>
  <si>
    <t>Ballonnen 2,50</t>
  </si>
  <si>
    <t xml:space="preserve">Vier de vriendschap!  Op kantoor! </t>
  </si>
  <si>
    <t>Verzenddag</t>
  </si>
  <si>
    <t>Affiliate: 5 euro korting</t>
  </si>
  <si>
    <t xml:space="preserve">Wie verras jij/aan wie denk jij? </t>
  </si>
  <si>
    <t>V</t>
  </si>
  <si>
    <t>X+S</t>
  </si>
  <si>
    <t>SECRETARESSEDAG: 25 korting Merci</t>
  </si>
  <si>
    <t>X+ B</t>
  </si>
  <si>
    <t>B</t>
  </si>
  <si>
    <t xml:space="preserve">X </t>
  </si>
  <si>
    <t>X 50%</t>
  </si>
  <si>
    <t>X 50 +BE</t>
  </si>
  <si>
    <t xml:space="preserve">X 50% </t>
  </si>
  <si>
    <t>R/X</t>
  </si>
  <si>
    <t xml:space="preserve">R 80% </t>
  </si>
  <si>
    <t xml:space="preserve">R 20% </t>
  </si>
  <si>
    <t xml:space="preserve">X 15% </t>
  </si>
  <si>
    <t xml:space="preserve">X 85% </t>
  </si>
  <si>
    <t>Card kopers</t>
  </si>
  <si>
    <t>Gift kopers</t>
  </si>
  <si>
    <r>
      <t xml:space="preserve">R </t>
    </r>
    <r>
      <rPr>
        <sz val="6.0"/>
      </rPr>
      <t>Segment</t>
    </r>
  </si>
  <si>
    <t>Primaire category</t>
  </si>
  <si>
    <t>do. Kaarten + sub Valentijn</t>
  </si>
  <si>
    <t xml:space="preserve">Ma. multicat Valentijn | do. multicat. </t>
  </si>
  <si>
    <t>Urgentie woensdag = valentijn</t>
  </si>
  <si>
    <t>Multicat. choc, taart, drank</t>
  </si>
  <si>
    <t xml:space="preserve">Kaarten </t>
  </si>
  <si>
    <t>Humor/ vriendschap</t>
  </si>
  <si>
    <t>Kaarten sub: aus + rose</t>
  </si>
  <si>
    <t>Bloemen freeship reminder</t>
  </si>
  <si>
    <t>Multicat. nieuw bij Greetz</t>
  </si>
  <si>
    <t>Dagknaller 50% kaarten</t>
  </si>
  <si>
    <t>Afprijzing geselcteerde ballonnen</t>
  </si>
  <si>
    <t>MA 2.50 korting multi-cat 12 mei (zat)</t>
  </si>
  <si>
    <t xml:space="preserve">Chocolade </t>
  </si>
  <si>
    <t>Gifts</t>
  </si>
  <si>
    <t>ma. dagknaller do. snoeppotten</t>
  </si>
  <si>
    <t>WO; examen</t>
  </si>
  <si>
    <t>Gratis postzegel campagne</t>
  </si>
  <si>
    <t xml:space="preserve">FS bloemen </t>
  </si>
  <si>
    <t xml:space="preserve">moment bedankt </t>
  </si>
  <si>
    <t xml:space="preserve">4-daagse </t>
  </si>
  <si>
    <t>Ballonnen + dranken test</t>
  </si>
  <si>
    <t>Temperatuur korting kaarten</t>
  </si>
  <si>
    <t>Zonnebloemdeal</t>
  </si>
  <si>
    <t xml:space="preserve">Personalised mail </t>
  </si>
  <si>
    <t>1+1 kaarten</t>
  </si>
  <si>
    <t>Free shipping bloemen</t>
  </si>
  <si>
    <t>R= laatste dag free shipping bloemen + segmentatie B&amp;K + B2B verrassingsplanner</t>
  </si>
  <si>
    <t>Chocolade mail</t>
  </si>
  <si>
    <t>Gratis kaart + gift sub broer &amp; zusdag</t>
  </si>
  <si>
    <t>X Earlybird + boeken vs boeken + early bird</t>
  </si>
  <si>
    <t>Chocolade letter +  multicat</t>
  </si>
  <si>
    <t>x sinterklaas letters + multicat</t>
  </si>
  <si>
    <t>X 1+1 alle kaarten</t>
  </si>
  <si>
    <t>X multicat</t>
  </si>
  <si>
    <t>Nieuw jaar (kaarten + champagne)</t>
  </si>
  <si>
    <t>Actie</t>
  </si>
  <si>
    <t>Gratis kaart bij GIFT</t>
  </si>
  <si>
    <t>Alle verjaardagsballonnen voor 10,-</t>
  </si>
  <si>
    <t>20% korting XL + SS</t>
  </si>
  <si>
    <t>1+1 gratis</t>
  </si>
  <si>
    <t>Ballonnen en kaarten</t>
  </si>
  <si>
    <t>25% kaarten / 20% australian hart</t>
  </si>
  <si>
    <t>Do. Pasen</t>
  </si>
  <si>
    <t>Actie: Gratis postzegel</t>
  </si>
  <si>
    <t>Actie: Tulpendeal</t>
  </si>
  <si>
    <t>Multicat. (o.a. NL ballon + T&amp;G)</t>
  </si>
  <si>
    <t>SS actie do. sub Moederdag</t>
  </si>
  <si>
    <t>Ma apparte clv mail moederdagkopers</t>
  </si>
  <si>
    <t xml:space="preserve">free shipment chocolade </t>
  </si>
  <si>
    <t xml:space="preserve">25% korting op kaarten + R. </t>
  </si>
  <si>
    <t>Gratis kaart bij alle cadeaus..]</t>
  </si>
  <si>
    <t>(grote) kaarten /(grote) bieren/ sterke drank</t>
  </si>
  <si>
    <t>Verzenddagen</t>
  </si>
  <si>
    <t>VR; openers &amp; niet-kopers</t>
  </si>
  <si>
    <t xml:space="preserve">Vrijdag free shipping ballonnen </t>
  </si>
  <si>
    <t>S?</t>
  </si>
  <si>
    <t>1+1 reminder</t>
  </si>
  <si>
    <t>X = Baby en kids segment mail</t>
  </si>
  <si>
    <t>Reminder koring op alle kaarten</t>
  </si>
  <si>
    <t>1 gratis kaart bij gift</t>
  </si>
  <si>
    <t>1x gratis kaart versturen</t>
  </si>
  <si>
    <t>X early bird reminder</t>
  </si>
  <si>
    <t>x intro kerst multicat</t>
  </si>
  <si>
    <t>R 1+1 alle kaarten reminder</t>
  </si>
  <si>
    <t>X Laatste kerstkaarten</t>
  </si>
  <si>
    <t>Primaire category mail 1</t>
  </si>
  <si>
    <t xml:space="preserve">Nieuwjaarsmail </t>
  </si>
  <si>
    <t xml:space="preserve">Beverage </t>
  </si>
  <si>
    <t>Maandag</t>
  </si>
  <si>
    <t xml:space="preserve">Maandag &amp; woensdag </t>
  </si>
  <si>
    <t>Reminder om ma. 29 op te vangen?</t>
  </si>
  <si>
    <t>Maandag 1+1 reminder</t>
  </si>
  <si>
    <t xml:space="preserve">Kaarten dagdeal </t>
  </si>
  <si>
    <t>Maandag bloemen free shipping</t>
  </si>
  <si>
    <t>Reminder bloemen free shipping</t>
  </si>
  <si>
    <t>geen taart (vervangen snoep)</t>
  </si>
  <si>
    <t>Vaderdag BE Antw.</t>
  </si>
  <si>
    <t xml:space="preserve">Woe. personalised/ vrij bloem </t>
  </si>
  <si>
    <t>DO + zat Vaderdag</t>
  </si>
  <si>
    <t>GRATIS verzendingen op combipakket</t>
  </si>
  <si>
    <t>BE moederdag</t>
  </si>
  <si>
    <t>x = free shipping ballonnen</t>
  </si>
  <si>
    <t>Verschuiving naar dinsdag</t>
  </si>
  <si>
    <t>X kerstkaarten maken dag</t>
  </si>
  <si>
    <t xml:space="preserve">X last change multicat </t>
  </si>
  <si>
    <t>20,19% korting + mygreetz kalender</t>
  </si>
  <si>
    <t>Afprijzing snoeppotten</t>
  </si>
  <si>
    <t xml:space="preserve">Free shipping </t>
  </si>
  <si>
    <t>Free shipping reminder</t>
  </si>
  <si>
    <t>Chocolade + kaart (valentijn)</t>
  </si>
  <si>
    <t xml:space="preserve">Mutlicat + kaarten </t>
  </si>
  <si>
    <t>Kaarten 1+1</t>
  </si>
  <si>
    <t>Donderdag b&amp;k</t>
  </si>
  <si>
    <t xml:space="preserve">Gratis verzending beauty </t>
  </si>
  <si>
    <t xml:space="preserve">Gratis kaart bij Gift </t>
  </si>
  <si>
    <t>SS + XL niet mailen</t>
  </si>
  <si>
    <t>gratis postzegel</t>
  </si>
  <si>
    <t>pre-order wel, rest niet.</t>
  </si>
  <si>
    <t>Gratis postzegel reminder</t>
  </si>
  <si>
    <t xml:space="preserve">Dagdeal: Gratis kaart </t>
  </si>
  <si>
    <t>TS: Welke collega bezorgt jou een glimlach?</t>
  </si>
  <si>
    <t>TS: gratis verzending bloemen</t>
  </si>
  <si>
    <t>Voorjaar/ paasmanden meenemen</t>
  </si>
  <si>
    <t>Pasen: uitlichten mand paaseitjes 59 euro</t>
  </si>
  <si>
    <t>Secretaressedag (volgende week)</t>
  </si>
  <si>
    <t>vr/zat multi-cat</t>
  </si>
  <si>
    <t xml:space="preserve">Gratis bezorgung chocolade </t>
  </si>
  <si>
    <t xml:space="preserve">% op kaarten </t>
  </si>
  <si>
    <t>Gratis kaart t.w.v. 2,50 bij je taart (leuk haakje met donut-day) + 5 euro korting op je zakelijke bestelling</t>
  </si>
  <si>
    <t>intro: WIST JE DAT concept (baby/kind)</t>
  </si>
  <si>
    <t>ZAT; laatste kans</t>
  </si>
  <si>
    <t>Wist je dat: Taart met foto</t>
  </si>
  <si>
    <t>Wist je dat: ROUW</t>
  </si>
  <si>
    <t xml:space="preserve">Sub: nieuwe kraampakketten                                                 </t>
  </si>
  <si>
    <t>Personalised mogelijkheden B2B</t>
  </si>
  <si>
    <t>Primaire category mail 2</t>
  </si>
  <si>
    <t>n.v.t.</t>
  </si>
  <si>
    <t>Kerst multicat</t>
  </si>
  <si>
    <t>Donderdag</t>
  </si>
  <si>
    <t xml:space="preserve">Dinsdag </t>
  </si>
  <si>
    <t>Vrijdag</t>
  </si>
  <si>
    <t>t.b.d.</t>
  </si>
  <si>
    <t xml:space="preserve">t.b.d. </t>
  </si>
  <si>
    <t>T.b.d. nieuwe producten</t>
  </si>
  <si>
    <t xml:space="preserve">Multicat </t>
  </si>
  <si>
    <t>ZO; same-day</t>
  </si>
  <si>
    <t xml:space="preserve">Actie mail 2 </t>
  </si>
  <si>
    <t>Gratis postzegels reminder</t>
  </si>
  <si>
    <t>Afprijzing + sub valentijnballon</t>
  </si>
  <si>
    <t>Multicat. + kaarten</t>
  </si>
  <si>
    <t xml:space="preserve">kaarten </t>
  </si>
  <si>
    <t>Reminder kaarten 1+1</t>
  </si>
  <si>
    <t>Reminder gratis kaart bij gift</t>
  </si>
  <si>
    <t>Hellofresh 200K actieve klanten</t>
  </si>
  <si>
    <t xml:space="preserve">Paas inspiratie </t>
  </si>
  <si>
    <t xml:space="preserve">Wrapping </t>
  </si>
  <si>
    <t>note Donna: snoeppotten</t>
  </si>
  <si>
    <t>Zonndag catd 50%</t>
  </si>
  <si>
    <t>Free shipment bloemen (vr)</t>
  </si>
  <si>
    <t>Gratis kaart bij Gift (vr)</t>
  </si>
  <si>
    <t>Free shipment bloemen (di)</t>
  </si>
  <si>
    <t>Reminder free shipment bloemen (di)</t>
  </si>
  <si>
    <t>AOC (Always On Campaigning)</t>
  </si>
  <si>
    <t>Kaarten + ingang gift</t>
  </si>
  <si>
    <r>
      <rPr/>
      <t>Secretaressedag</t>
    </r>
    <r>
      <t xml:space="preserve">: Social campagne: herriner je baas </t>
    </r>
  </si>
  <si>
    <t xml:space="preserve">SECRETARESSEDAG: 25% korting Merci </t>
  </si>
  <si>
    <t>Beterschap (of ik denk aan je)</t>
  </si>
  <si>
    <t>Huwelijk</t>
  </si>
  <si>
    <t>Bedankt</t>
  </si>
  <si>
    <t>ON HOLD 'Met Greetz kan ik altijd en overal op een impactvolle en unieke manier verrassen' én uniek zijn we zeker met: personal wrapping! Gebruik die leuke foto en/of tekst en zelfs het cadeaupapier veranderd in een verrassing om te bewaren. Naast personal wrapping hebben we natuurlijk de aller leukste producten die we kunnen personaliseren van een kaart tot een heerlijke taart. Let's make it personal ;-)</t>
  </si>
  <si>
    <t>Free shipment B&amp;K DEF
VOUCHER: BABYKIDS</t>
  </si>
  <si>
    <t>FS bloemen focus</t>
  </si>
  <si>
    <t>check giftcards BE</t>
  </si>
  <si>
    <t>q</t>
  </si>
  <si>
    <t>Proces Marketingkalender in 6 stappen (vernieuwd)</t>
  </si>
  <si>
    <t>1.</t>
  </si>
  <si>
    <t>Vaststelllen jaarkalender ATL</t>
  </si>
  <si>
    <t>2.</t>
  </si>
  <si>
    <t>Kwartaalinvulling thema/categoriefocus/propositie</t>
  </si>
  <si>
    <t>3.</t>
  </si>
  <si>
    <t>Kwartaalinvulling BTL-channels (nieuwe stap)</t>
  </si>
  <si>
    <t>4.</t>
  </si>
  <si>
    <t>Maandplanning definitief</t>
  </si>
  <si>
    <t>5.</t>
  </si>
  <si>
    <t>Van maandplanning naar campagne (wekelijks design)</t>
  </si>
  <si>
    <t>6.</t>
  </si>
  <si>
    <t xml:space="preserve">Evaluatie (nader te bepalen invulling) </t>
  </si>
  <si>
    <t xml:space="preserve">1. </t>
  </si>
  <si>
    <t xml:space="preserve">2. </t>
  </si>
  <si>
    <t>Google doc evaluatie</t>
  </si>
  <si>
    <t>Maand</t>
  </si>
  <si>
    <t>Startweek</t>
  </si>
  <si>
    <t>Van</t>
  </si>
  <si>
    <t>Tot en met</t>
  </si>
  <si>
    <t>Platform</t>
  </si>
  <si>
    <t>Ingediend door</t>
  </si>
  <si>
    <r>
      <t>Actie communicatie</t>
    </r>
    <r>
      <rPr>
        <color rgb="FFFFFF00"/>
      </rPr>
      <t xml:space="preserve"> NAAR DE KLANT</t>
    </r>
  </si>
  <si>
    <t>Actie type</t>
  </si>
  <si>
    <t>SEA NonB</t>
  </si>
  <si>
    <t>SEA Brand/Cadeau</t>
  </si>
  <si>
    <t>Social</t>
  </si>
  <si>
    <t>Display</t>
  </si>
  <si>
    <t>Kortingscode</t>
  </si>
  <si>
    <t>Landingspagina NL</t>
  </si>
  <si>
    <t>Landingspagina BE</t>
  </si>
  <si>
    <t>Actievoorwaarden</t>
  </si>
  <si>
    <t>NL+BE</t>
  </si>
  <si>
    <t>Boeket v/d maand januari: nu €18,99</t>
  </si>
  <si>
    <t>In-store afprijzing</t>
  </si>
  <si>
    <t>Ja</t>
  </si>
  <si>
    <t>Ja FB</t>
  </si>
  <si>
    <t>https://www.greetz.nl/bloemen/detail/boeket-ellen-standaard/1142795239</t>
  </si>
  <si>
    <t xml:space="preserve">https://www.greetz.be/bloemen/detail/boeket-ellen-middel/1142795365  </t>
  </si>
  <si>
    <t>De korting is in de prijs verwerkt.</t>
  </si>
  <si>
    <t>https://www.greetz.be/bloemen/detail/boeket-ellen-middel/1142795365</t>
  </si>
  <si>
    <t>Gratis postzegel bij alle kaarten</t>
  </si>
  <si>
    <t>Home panel</t>
  </si>
  <si>
    <t>POSTZEGEL</t>
  </si>
  <si>
    <t>https://www.greetz.nl/kaarten</t>
  </si>
  <si>
    <t>https://www.greetz.be/kaarten</t>
  </si>
  <si>
    <t>Niet geldig op bezorgkosten per koerier.</t>
  </si>
  <si>
    <t>20% korting op alle snoeppotten</t>
  </si>
  <si>
    <t>https://www.greetz.nl/cadeaus/snoeppotten</t>
  </si>
  <si>
    <t>https://www.greetz.be/cadeaus/snoeppotten</t>
  </si>
  <si>
    <t xml:space="preserve">Gratis bezorging op alle boeketten </t>
  </si>
  <si>
    <t>Ja beide</t>
  </si>
  <si>
    <t>Criteo</t>
  </si>
  <si>
    <t>BLOEMEN</t>
  </si>
  <si>
    <t>https://www.greetz.nl/bloemen-en-planten</t>
  </si>
  <si>
    <t>https://www.greetz.be/bloemen-en-planten</t>
  </si>
  <si>
    <t>Gratis bezorging t.w.v. maximaal €5,95 (NL) / €6,95 (BE).</t>
  </si>
  <si>
    <t>Multi cat</t>
  </si>
  <si>
    <t>10% korting op relatiegeschenken</t>
  </si>
  <si>
    <t>Paid only voucher</t>
  </si>
  <si>
    <t>Nee</t>
  </si>
  <si>
    <t>B2BACQ18</t>
  </si>
  <si>
    <t>https://www.greetz.nl/zakelijk</t>
  </si>
  <si>
    <t>Alleen geldig voor zakelijke klanten. Minimale orderwaarde €25 excl. verzendkosten.</t>
  </si>
  <si>
    <t>Gepersonaliseerde wijn Belle Emilie nu €12,95.</t>
  </si>
  <si>
    <t>https://greetz.nl/wijn-met-eigen-etiket</t>
  </si>
  <si>
    <t>https://greetz.be/wijn-met-eigen-etiket</t>
  </si>
  <si>
    <t>De korting is in de prijs verwerkt. Geldig zolang de voorraad strekt.</t>
  </si>
  <si>
    <t>Uitnodigingen</t>
  </si>
  <si>
    <t>10% korting op alle uitnodigingen</t>
  </si>
  <si>
    <t>In-store voucher</t>
  </si>
  <si>
    <t>FEESTELIJK10</t>
  </si>
  <si>
    <t>https://www.greetz.nl/uitnodigingskaart</t>
  </si>
  <si>
    <t>https://www.greetz.be/uitnodigingskaart</t>
  </si>
  <si>
    <t>Verzendkosten zijn uitgesloten.</t>
  </si>
  <si>
    <t>€2,50 korting op alle ballonnen</t>
  </si>
  <si>
    <t>FEESTJE</t>
  </si>
  <si>
    <t>https://www.greetz.nl/ballon</t>
  </si>
  <si>
    <t>https://www.greetz.be/ballon</t>
  </si>
  <si>
    <t>februari</t>
  </si>
  <si>
    <t>Gratis kaart bij alle chocolade</t>
  </si>
  <si>
    <t>LIEFDE</t>
  </si>
  <si>
    <t>T.B.D. /chocolade of /chocolade/valentijn staat uit bij Maaike</t>
  </si>
  <si>
    <t>20% korting op alle bierpakketten</t>
  </si>
  <si>
    <t>Ja exclusief</t>
  </si>
  <si>
    <t>BIERISTA20</t>
  </si>
  <si>
    <t>https://www.greetz.nl/speciaalbier/bierpakket</t>
  </si>
  <si>
    <t>15% korting op flavour packs</t>
  </si>
  <si>
    <t>Kaartenhuis</t>
  </si>
  <si>
    <t>Nu gratis bezorging vanaf €10</t>
  </si>
  <si>
    <t>FEEST10</t>
  </si>
  <si>
    <t>https://www.kaartenhuis.nl/</t>
  </si>
  <si>
    <t>Gratis bezorging t.w.v. €2,49 bij een minimale besteding van €10.</t>
  </si>
  <si>
    <t>Boeket v/d maand: nu slechts €18,99</t>
  </si>
  <si>
    <t>https://www.greetz.nl/bloemen/detail/boeket-mixed-spring/1142802333</t>
  </si>
  <si>
    <t>https://www.greetz.be/bloemen/detail/boeket-mixed-spring/1142803197</t>
  </si>
  <si>
    <t>Laura Spruijt</t>
  </si>
  <si>
    <t>Gratis kaart bij alle valentijnscadeaus</t>
  </si>
  <si>
    <t>VALENTIJN</t>
  </si>
  <si>
    <t>https://www.greetz.nl/valentijn</t>
  </si>
  <si>
    <t>https://www.greetz.be/valentijn</t>
  </si>
  <si>
    <t>Gratis kaart t.w.v. €2,85.</t>
  </si>
  <si>
    <t>Baby &amp; kids</t>
  </si>
  <si>
    <t>15% korting op het baby &amp; kids assortiment</t>
  </si>
  <si>
    <t>BABYZP15</t>
  </si>
  <si>
    <t xml:space="preserve">https://www.greetz.nl/baby-en-kids </t>
  </si>
  <si>
    <t>Verzendkosten zijn uitgesloten. Exclusief (kinder)boeken.</t>
  </si>
  <si>
    <t>20% korting op XL en Supersize kaarten + gratis rode envelop</t>
  </si>
  <si>
    <t>https://www.greetz.nl/wenskaarten</t>
  </si>
  <si>
    <t>https://www.greetz.be/wenskaarten</t>
  </si>
  <si>
    <t>Donna</t>
  </si>
  <si>
    <t>2 kaarten voor de prijs van 1</t>
  </si>
  <si>
    <t>2VOOR1</t>
  </si>
  <si>
    <t>Max. 1 kaart per bestelling gratis. Uitnodigingen zijn uitgesloten.</t>
  </si>
  <si>
    <t>10% korting op alle voorjaarsboeketten</t>
  </si>
  <si>
    <t>BLOEMENEKC</t>
  </si>
  <si>
    <t>https://www.greetz.nl/bloemen/gemengde-boeketten</t>
  </si>
  <si>
    <t>20,19% korting op nieuwjaarskaarten &amp; bubbels</t>
  </si>
  <si>
    <t>NIEUWJAAR</t>
  </si>
  <si>
    <t>https://www.greetz.nl/nieuwjaar</t>
  </si>
  <si>
    <t>https://www.greetz.be/nieuwjaar</t>
  </si>
  <si>
    <t xml:space="preserve">februari </t>
  </si>
  <si>
    <t>€2,50 korting op baby &amp; kids assortiment</t>
  </si>
  <si>
    <t>KIDS</t>
  </si>
  <si>
    <t>https://www.greetz.nl/baby-kids</t>
  </si>
  <si>
    <t>https://www.greetz.be/baby-kids</t>
  </si>
  <si>
    <t>Sanne</t>
  </si>
  <si>
    <t>Boeket v/d maand maart: nu slechts €20,99</t>
  </si>
  <si>
    <t>https://www.greetz.nl/bloemen/detail/boeket-bruisend/1142802312</t>
  </si>
  <si>
    <t>https://www.greetz.be/bloemen/detail/boeket-bruisend/1142803179</t>
  </si>
  <si>
    <t>Stéphanie</t>
  </si>
  <si>
    <t>Test maar raak: Bijvoorbeeld 30% extra korting bij meer dan 50 kaarten</t>
  </si>
  <si>
    <t>maart</t>
  </si>
  <si>
    <t>Gratis verzending van beautyproducten</t>
  </si>
  <si>
    <t>MOOI</t>
  </si>
  <si>
    <t>https://www.greetz.nl/cadeaus/beauty</t>
  </si>
  <si>
    <t>https://www.greetz.be/cadeaus/beauty</t>
  </si>
  <si>
    <t>Kies maar</t>
  </si>
  <si>
    <t>Mokken</t>
  </si>
  <si>
    <t>15% korting op Mokken met foto</t>
  </si>
  <si>
    <t>Jill</t>
  </si>
  <si>
    <t>Nu 20% korting op foto uitnodigingen</t>
  </si>
  <si>
    <t>FOTO20</t>
  </si>
  <si>
    <t>https://www.greetz.nl/uitnodigingen/fotokaart</t>
  </si>
  <si>
    <t>https://www.greetz.be/uitnodigingen/fotokaart</t>
  </si>
  <si>
    <t>?</t>
  </si>
  <si>
    <t>Stephanie Reintjens</t>
  </si>
  <si>
    <t>10% korting op foto uitnodigingen</t>
  </si>
  <si>
    <t>Nu 20% korting op fotokaarten</t>
  </si>
  <si>
    <t>https://www.greetz.nl/kaarten/fotokaart</t>
  </si>
  <si>
    <t>https://www.greetz.be/kaarten/fotokaart</t>
  </si>
  <si>
    <t>Malou</t>
  </si>
  <si>
    <t>25% korting op alle Merci chocolade</t>
  </si>
  <si>
    <t>Cadeau</t>
  </si>
  <si>
    <t>https://www.greetz.nl/chocolade/merci</t>
  </si>
  <si>
    <t>https://www.greetz.be/chocolade/merci</t>
  </si>
  <si>
    <t>Tabitha</t>
  </si>
  <si>
    <t xml:space="preserve">5 euro korting bij een zakelijke bestelling </t>
  </si>
  <si>
    <t>ZAKELIJK5</t>
  </si>
  <si>
    <t>https://www.greetz.nl/zakelijk/kortingscode</t>
  </si>
  <si>
    <t>Geldig bij een zakelijk account, bij minimale besteding van 20 euro. Excl verzendkosten, boeken &amp; cadeaukaarten.</t>
  </si>
  <si>
    <t>Gratis kaart bij Ballonnen</t>
  </si>
  <si>
    <t>KAART</t>
  </si>
  <si>
    <t>https://www.greetz.nl/ballonnen</t>
  </si>
  <si>
    <t xml:space="preserve">Gratis kaart bij alle ballonnen t.w.v. 2,50 met kortingscode KAART. </t>
  </si>
  <si>
    <t>Daniek</t>
  </si>
  <si>
    <t>Gratis bezorging van alle boeketten</t>
  </si>
  <si>
    <t>Brand</t>
  </si>
  <si>
    <t>Gratis bezorging t.w.v. maximaal €6,95.</t>
  </si>
  <si>
    <t xml:space="preserve">Alleen deze week gratis kaart bij jouw verrassing. </t>
  </si>
  <si>
    <t>Beide</t>
  </si>
  <si>
    <t>https://www.greetz.nl/cadeaus</t>
  </si>
  <si>
    <t>https://www.greetz.be/cadeaus</t>
  </si>
  <si>
    <t>Nu gratis bezorging vanaf €20</t>
  </si>
  <si>
    <t>VERZENDFEEST</t>
  </si>
  <si>
    <t>Gratis bezorging t.w.v. €2,49 bij een minimale besteding van €20.</t>
  </si>
  <si>
    <t>Daniëlle</t>
  </si>
  <si>
    <t>Nu gratis kaart bij een boek</t>
  </si>
  <si>
    <t>GRATISKAART</t>
  </si>
  <si>
    <t>https://www.greetz.nl/boeken</t>
  </si>
  <si>
    <t>Gratis kaart t.w.v. € 2,85</t>
  </si>
  <si>
    <t>Deze week bloemen gratis bezorgd (tag-on TVC)</t>
  </si>
  <si>
    <t>20% introkorting op hele thee assortiment</t>
  </si>
  <si>
    <t>https://www.greetz.nl/dranken/thee</t>
  </si>
  <si>
    <t>https://www.greetz.be/dranken/thee</t>
  </si>
  <si>
    <t>Nu 20% bij orders &gt;20 euro / 30% bij orders &gt;30 euro</t>
  </si>
  <si>
    <t>FEESTJE20 of FEESTJE30</t>
  </si>
  <si>
    <t>20% korting op alle Tony's Chocolonely</t>
  </si>
  <si>
    <t>https://www.greetz.nl/chocolade/tony's-chocolonely</t>
  </si>
  <si>
    <t>https://www.greetz.be/chocolade/tony's-chocolonely</t>
  </si>
  <si>
    <t>Nu 20% korting bij orders &gt;20 euro, gebruik code feestje20</t>
  </si>
  <si>
    <t>Feestje20</t>
  </si>
  <si>
    <t>Als je nu jouw uitnodigingen maakt, ontvang je 20% korting bij besteding van € 20,-. Gebruik hiervoor code FEESTJE20 in het winkelmandje.</t>
  </si>
  <si>
    <t>Gratis bezorging twv 2,49 euro bij order &gt;10 euro</t>
  </si>
  <si>
    <t>gratis bezorging t.w.v. €2,49 bij bestellingen vanaf €10 exclusief verzendkosten.</t>
  </si>
  <si>
    <t>Laura</t>
  </si>
  <si>
    <t>20% korting op alle fotokaarten</t>
  </si>
  <si>
    <t>FOTOIMBULL</t>
  </si>
  <si>
    <t>Nu gratis bezorging (t.w.v €5,95) van jouw ballon</t>
  </si>
  <si>
    <t>LENTE</t>
  </si>
  <si>
    <t>https://www.greetz.be/ballonnen</t>
  </si>
  <si>
    <t>Gratis bezorging t.w.v. maximaal €5,95.</t>
  </si>
  <si>
    <t>Ron</t>
  </si>
  <si>
    <t>25% korting op alle Merci</t>
  </si>
  <si>
    <t>B2BMerci</t>
  </si>
  <si>
    <t>https://www.greetz.nl/secretaressedag</t>
  </si>
  <si>
    <t>November ( 1,604K +13% vs LY)</t>
  </si>
  <si>
    <t>nvt</t>
  </si>
  <si>
    <t>Alleen met een zakelijk account en excl verzendkosten. Korting is niet geldig op boeken en cadeaukaarten.</t>
  </si>
  <si>
    <t>Evi</t>
  </si>
  <si>
    <t>20% korting op alle rosé wijnen</t>
  </si>
  <si>
    <t>December (2,541K +9% vs LY)</t>
  </si>
  <si>
    <t>https://www.greetz.nl/wijn/ros%C3%A9</t>
  </si>
  <si>
    <t>https://www.greetz.be/wijn/ros%C3%A9</t>
  </si>
  <si>
    <t>Week 53</t>
  </si>
  <si>
    <t>april</t>
  </si>
  <si>
    <t>Taart &amp; gebak</t>
  </si>
  <si>
    <t>10% korting op gepersonaliseerde taarten</t>
  </si>
  <si>
    <t>TAART</t>
  </si>
  <si>
    <t>https://www.greetz.nl/taart-gebak/foto-en-tekst-cadeaus</t>
  </si>
  <si>
    <t>Overall kalender</t>
  </si>
  <si>
    <t>B2B kerst &amp; warmte momenten delen</t>
  </si>
  <si>
    <t>Sandra</t>
  </si>
  <si>
    <t>Gratis postzegels op alle kaarten</t>
  </si>
  <si>
    <t>Versterk je relatie met kaarten en verrasingen van Greetz</t>
  </si>
  <si>
    <t>Retail/ inhaakmomenten</t>
  </si>
  <si>
    <t>KONING</t>
  </si>
  <si>
    <t>Inhaak moment</t>
  </si>
  <si>
    <t>Groot moment</t>
  </si>
  <si>
    <t>Gratis postzegel t.w.v. €0,87. Uitnodigingen en aankondigingen uitgesloten.</t>
  </si>
  <si>
    <t>Klein moment</t>
  </si>
  <si>
    <t>Halloween</t>
  </si>
  <si>
    <t>Singles Day</t>
  </si>
  <si>
    <t>Sint</t>
  </si>
  <si>
    <t>Vrijwilligersdag</t>
  </si>
  <si>
    <t>Gratis postzegel t.w.v. €1,-. Uitnodigingen en aankondigingen uitgesloten.</t>
  </si>
  <si>
    <t>Herfstvakantie</t>
  </si>
  <si>
    <t>Kerstvakantie</t>
  </si>
  <si>
    <t>Seizoen</t>
  </si>
  <si>
    <t>€3,- korting op gepersonaliseerde wijn</t>
  </si>
  <si>
    <t>Winter</t>
  </si>
  <si>
    <t>Pieken/ dalen per  categorie</t>
  </si>
  <si>
    <t>WIJN</t>
  </si>
  <si>
    <t>https://www.greetz.nl/wijn/foto-en-tekst-cadeaus</t>
  </si>
  <si>
    <t>kaarten piekmaand: kerstkaarten</t>
  </si>
  <si>
    <t>Brand/ ATL</t>
  </si>
  <si>
    <t>https://www.greetz.be/wijn/foto-en-tekst-cadeaus</t>
  </si>
  <si>
    <t>2 t/m 16 TVC bloemen - free shipment</t>
  </si>
  <si>
    <t>8 t/m 23 Multicat zeg het met -merkcampagne</t>
  </si>
  <si>
    <t>Kerst &amp; feestdagen als thema</t>
  </si>
  <si>
    <t>Breedte van het assortiment: kaart, bloemen, drank/merci</t>
  </si>
  <si>
    <t>Relevante thema's</t>
  </si>
  <si>
    <t xml:space="preserve">Nu 20% korting op foto uitnodigingen </t>
  </si>
  <si>
    <t>Sfeer site</t>
  </si>
  <si>
    <t>Herfst - lekker binnen, buiten is het koud</t>
  </si>
  <si>
    <t>mei</t>
  </si>
  <si>
    <t>Laat je verrassing inpakken in jouw unieke cadeaupapier van 3,95 voor 1 euro</t>
  </si>
  <si>
    <t>https://www.greetz.nl/cadeaus?uitgelicht=cadeaus-met-gepersonaliseerd-cadeaupapier</t>
  </si>
  <si>
    <t>Zeg het op jouw Manier met bloemen</t>
  </si>
  <si>
    <t>Kortingscode in winkelmandje</t>
  </si>
  <si>
    <t>25% korting op alle merci chocolade</t>
  </si>
  <si>
    <t>Kerst &amp; feestdagen</t>
  </si>
  <si>
    <t>https://www.greetz.nl/chocolade-gebak/merci</t>
  </si>
  <si>
    <t>Einde jaar</t>
  </si>
  <si>
    <t>early bird kerst</t>
  </si>
  <si>
    <t>10% korting op assorti met een (nieuw) zakelijk account</t>
  </si>
  <si>
    <t>GREETZZAKELIJK</t>
  </si>
  <si>
    <t>Overall focus</t>
  </si>
  <si>
    <t>Category Main</t>
  </si>
  <si>
    <t>zakelijk account,  Excl verzendkosten, books &amp; cadeaukaarten. Looptijd t/m 31 mei 2019</t>
  </si>
  <si>
    <t>Category Sub</t>
  </si>
  <si>
    <t xml:space="preserve">Kaarten, bier </t>
  </si>
  <si>
    <t>Kerstkaarten</t>
  </si>
  <si>
    <t>Nu gratis bezorging twv 2,49 euro bij order &gt;10 euro</t>
  </si>
  <si>
    <t>Doorvertaling Site &amp; E-mail</t>
  </si>
  <si>
    <t>Nieuw format homepage</t>
  </si>
  <si>
    <t>MAMA</t>
  </si>
  <si>
    <t>Homepage</t>
  </si>
  <si>
    <t>Verjaardag T4:
verjaardag op afstand</t>
  </si>
  <si>
    <t>Knipoog naar sint</t>
  </si>
  <si>
    <t>Vast panel ipv carroussel</t>
  </si>
  <si>
    <t>Toppanel 1, ook op mobiel</t>
  </si>
  <si>
    <t>Gratis verzending brievenbus post: Kaarten</t>
  </si>
  <si>
    <t>Herfst!- bekijk onze nieuwe collectie bloemen</t>
  </si>
  <si>
    <t>Najaar - Kaarten</t>
  </si>
  <si>
    <t>TVC Bloemen offer free shipment</t>
  </si>
  <si>
    <t>TVC Bloemen offer free shipment*</t>
  </si>
  <si>
    <t>Verjaardagskaarten - Nieuw (Rumag + Loesje)</t>
  </si>
  <si>
    <t>Early-bird kerstkaarten: 20% korting</t>
  </si>
  <si>
    <t>vouchercode Kaart twv 2,85 te gebruiken in winkelmandje</t>
  </si>
  <si>
    <t>Kerstkaarten va 0,49 + rode envelop gratis</t>
  </si>
  <si>
    <t>(Kerst)kaarten 2=1 laatste dag + Kerstkaarten 0,49</t>
  </si>
  <si>
    <t>Kerstkaarten: laatste kans</t>
  </si>
  <si>
    <t>Dranken: feestelijk het jaar uit - 5 euro korting mousserend (t/m week 1)</t>
  </si>
  <si>
    <t>20% korting op al het bier</t>
  </si>
  <si>
    <t>Toppanel 2, ook op mobiel</t>
  </si>
  <si>
    <t>Gratis verzending brievenbus post: cadeautjes</t>
  </si>
  <si>
    <t>Kaarten - beterschap</t>
  </si>
  <si>
    <t>https://www.greetz.nl/speciaalbier</t>
  </si>
  <si>
    <t>Kerstkaarten - inspiratie nieuwe collectie</t>
  </si>
  <si>
    <t>Ballonnen 20 voor 10</t>
  </si>
  <si>
    <t>Laatste dag 20voor10 ballonnen/Chocolade - breed: nieuw Australian</t>
  </si>
  <si>
    <t>(Kerst)kaarten 2=1</t>
  </si>
  <si>
    <t>Kerstkaarten 0,49</t>
  </si>
  <si>
    <t>https://www.greetz.be/speciaalbier</t>
  </si>
  <si>
    <t>Subpanel 1</t>
  </si>
  <si>
    <t>Alle kaarten</t>
  </si>
  <si>
    <t>Chocolade: pers Merci</t>
  </si>
  <si>
    <t>Winterboeketten</t>
  </si>
  <si>
    <t>Drank, personalized</t>
  </si>
  <si>
    <t>Ballonnen 2016</t>
  </si>
  <si>
    <t>Subpanel 2</t>
  </si>
  <si>
    <t>Foto en tekst cadeaus</t>
  </si>
  <si>
    <t>Fotocadeaus</t>
  </si>
  <si>
    <t>Ballonnen om je op te vrolijken</t>
  </si>
  <si>
    <t>Merci 25% korting</t>
  </si>
  <si>
    <t>Boeket van de maand</t>
  </si>
  <si>
    <t>Wide split 1</t>
  </si>
  <si>
    <t>31-04-2019</t>
  </si>
  <si>
    <t>Dove - introductie/Bierpakket</t>
  </si>
  <si>
    <t>Pers. Dranken</t>
  </si>
  <si>
    <t>Fotocadeaus - B2B tintje</t>
  </si>
  <si>
    <t>Boeket van de maand  K:\Greetz Photography\Producten\Bloemen\2018\09. Nov Dec\Jaar rond boeketten\B071 van 20,99 voor 18,99</t>
  </si>
  <si>
    <t>Drank, personalized - B2B tintje</t>
  </si>
  <si>
    <t>Boeket van maand</t>
  </si>
  <si>
    <t>https://www.greetz.nl/bloemen/detail/boeket-parel/1142802306</t>
  </si>
  <si>
    <t>Wide split 2</t>
  </si>
  <si>
    <t>Waarom Greetz?</t>
  </si>
  <si>
    <t>Ballonnen - gratis verzending</t>
  </si>
  <si>
    <t>Sinterklaasknipoog</t>
  </si>
  <si>
    <t>EVD Verjaardagskaarten</t>
  </si>
  <si>
    <t>Chocolade: pers Merci t/m 27e</t>
  </si>
  <si>
    <t>Chocolade: pers. Merci t/m 27</t>
  </si>
  <si>
    <t>Verjaardagskalender</t>
  </si>
  <si>
    <t>Apps</t>
  </si>
  <si>
    <t>Bieren 5 euro</t>
  </si>
  <si>
    <t>*A/B testen actiebanner home</t>
  </si>
  <si>
    <t>Kerst-tab live</t>
  </si>
  <si>
    <t>Kerst-tab eraf</t>
  </si>
  <si>
    <t>Email campaigns (weekly)</t>
  </si>
  <si>
    <t>Reminder</t>
  </si>
  <si>
    <t>Reminder?</t>
  </si>
  <si>
    <t xml:space="preserve">€2,50 korting op geselecteerde 'lekkere' verrassingen (een selectie van snoep, chocolade en taart)                                                 </t>
  </si>
  <si>
    <t>Volgt nog, producten moeten nog bepaald worden</t>
  </si>
  <si>
    <t>Actie/ inspiratie</t>
  </si>
  <si>
    <t>Offer</t>
  </si>
  <si>
    <t>Offer (email only)</t>
  </si>
  <si>
    <t xml:space="preserve">€2,50 korting op geselecteerde 'lekkere' verrassingen (een selectie van snoep van chocolade)                                                 </t>
  </si>
  <si>
    <t>Deels offer en inspiratie</t>
  </si>
  <si>
    <t>offer</t>
  </si>
  <si>
    <t>Hoofdboodschap total base</t>
  </si>
  <si>
    <t>Gratis verzending kaarten</t>
  </si>
  <si>
    <t>Reminder brievenbus-post</t>
  </si>
  <si>
    <t>Kies je korting (optioneel reminder</t>
  </si>
  <si>
    <t>Beterschapsmail: kaarten, ballon, bloem</t>
  </si>
  <si>
    <t>TVC Free shipment bloemen</t>
  </si>
  <si>
    <t>ma) Niet-kopers: Laatste dag free shipment bloemen</t>
  </si>
  <si>
    <t>50/50 
Early Bird 20% korting
Ballonnen 20 voor 10</t>
  </si>
  <si>
    <t>50/50 
Early Bird 20% korting
Dagknaller Ballonnen 20 voor 10</t>
  </si>
  <si>
    <t>1a) Kaart-actie (2 =1) 1b) Kerst-multicategory: kaart, bloemen, drank obv productvoorkeur</t>
  </si>
  <si>
    <t>Kerst-multicategory of kerstkaarten obv resultaten</t>
  </si>
  <si>
    <t>1a) Laatste kans multicategory-insteek 1b) kopers; gratis postzegel/ freeshipment</t>
  </si>
  <si>
    <t>Feestelijk het nieuwe jaar in</t>
  </si>
  <si>
    <t>Submessage total base</t>
  </si>
  <si>
    <t>Gratis verzending brievenbuscadeaus (primair bloemen)</t>
  </si>
  <si>
    <t>1 euro korting op kaart, 5 euro op drank, gratis verzending ballonnen</t>
  </si>
  <si>
    <t xml:space="preserve">TVC Free Shipment bloemen </t>
  </si>
  <si>
    <t>Maak het extra persoonlijk met een kaart</t>
  </si>
  <si>
    <t>Afh. Van test de ander als sub-message</t>
  </si>
  <si>
    <t>Verjaardagskaarten (EVD)</t>
  </si>
  <si>
    <t>TBD segmentatie</t>
  </si>
  <si>
    <t>Nieuwsjaarkaart</t>
  </si>
  <si>
    <t>Submessage 2</t>
  </si>
  <si>
    <t>Singles Day??</t>
  </si>
  <si>
    <t>Sint - fijne pakjesavond: tonen van ballon &amp; kaart. Tekst in rijm? :-)</t>
  </si>
  <si>
    <t>2de email in de week</t>
  </si>
  <si>
    <t>VRIENDSCHAP</t>
  </si>
  <si>
    <t>Herfstinspiratie: kaarten, bloemen, mok *&amp; bieren</t>
  </si>
  <si>
    <t>Maandfacturatie Zakelijk</t>
  </si>
  <si>
    <t>do) Dagknaller kaarten 50% korting NB: e-mail only
Nu vanaf 1,75 Rumag en Loesje nieuwe collectie</t>
  </si>
  <si>
    <t>2) (Reminder) Kaart-actie</t>
  </si>
  <si>
    <t>TBD obv resultaten event extra email</t>
  </si>
  <si>
    <t>Specifiek segment</t>
  </si>
  <si>
    <t>All + Churn</t>
  </si>
  <si>
    <t xml:space="preserve">1) uitsluiten: kopers </t>
  </si>
  <si>
    <t>1a) Kerstkaarten-kopers 1b) niet-kopers, nieuw en churn</t>
  </si>
  <si>
    <t>Push notification</t>
  </si>
  <si>
    <t>BE mail</t>
  </si>
  <si>
    <t>B2B betalen op factuur</t>
  </si>
  <si>
    <t>Orderbevestiging</t>
  </si>
  <si>
    <t>Ballonnen Free Shipment</t>
  </si>
  <si>
    <t>TVC Free Shipment</t>
  </si>
  <si>
    <t>Kerstkaarten propositie inspiratie/early bird</t>
  </si>
  <si>
    <t>Bloemen: 5 euro korting kaarten, Kaarten: 5 euro korting op bloemen</t>
  </si>
  <si>
    <t>Stores</t>
  </si>
  <si>
    <t xml:space="preserve">Wenskaarten </t>
  </si>
  <si>
    <t>Gratis verzending</t>
  </si>
  <si>
    <t>Kies je Korting: -€1 kaart</t>
  </si>
  <si>
    <t>25% korting op alle kaarten (focus fotokaart in panel)</t>
  </si>
  <si>
    <t>€2,- korting op alle wijn</t>
  </si>
  <si>
    <t>https://www.greetz.nl/dranken/wijn</t>
  </si>
  <si>
    <t>Loesje en Rumag intro (2 weken onsite) / wk 48 Thanksgiving</t>
  </si>
  <si>
    <t>https://www.greetz.be/wijn</t>
  </si>
  <si>
    <t>EVD: XL/SS offer</t>
  </si>
  <si>
    <t xml:space="preserve">2=1 + reminder op maandag </t>
  </si>
  <si>
    <t>25% korting op Australian</t>
  </si>
  <si>
    <t>https://www.greetz.nl/chocolade/australian</t>
  </si>
  <si>
    <t>/Kerst</t>
  </si>
  <si>
    <t>Zakelijk: 10 euro korting bij min. 50 euro (t/m 30 november)</t>
  </si>
  <si>
    <t>https://www.greetz.be/chocolade/australian</t>
  </si>
  <si>
    <t>EarlyBird offer (volledig) + rem zondag!</t>
  </si>
  <si>
    <t>Gratis bezorging van: Beauty/Boeken/Thee t.w.v. 5,95</t>
  </si>
  <si>
    <t>Rode envelop gratis</t>
  </si>
  <si>
    <t>https://www.greetz.nl/cadeaus?uitgelicht=mooi</t>
  </si>
  <si>
    <t>Last Chance</t>
  </si>
  <si>
    <t>Kersttestmail: Inspiratie/EarlyBird/EVD offer ballonnen</t>
  </si>
  <si>
    <t xml:space="preserve">Herfst!- bekijk onze nieuwe collectie - 25% korting op het 2e product </t>
  </si>
  <si>
    <t>Bloemen actie (Free Shipment) TVC</t>
  </si>
  <si>
    <t>Herfst!- bekijk onze collectie</t>
  </si>
  <si>
    <t xml:space="preserve">Gratis bezorging van: Beauty/Thee t.w.v. 6,95 </t>
  </si>
  <si>
    <t>5 euro kerstkaart tegoed bij aankoop van je bloemen!</t>
  </si>
  <si>
    <t>Bubbels en Bloemen - Oud en Nieuw Focus wat ook voor kerst kan</t>
  </si>
  <si>
    <t>https://www.greetz.be/cadeaus?uitgelicht=mooi</t>
  </si>
  <si>
    <t>Free shipment ballonnen (kortingsbrigade)</t>
  </si>
  <si>
    <t>20 voor 10e</t>
  </si>
  <si>
    <t>Sinterklaas (kl ballon €5,99)</t>
  </si>
  <si>
    <t>Kerstballonnen (2 van/voor)</t>
  </si>
  <si>
    <t>O&amp;N Ballonnen (sub boodschap)</t>
  </si>
  <si>
    <t>FS bier (introductie nieuwe bierpakketten)</t>
  </si>
  <si>
    <t>Gratis verzending op alle thee</t>
  </si>
  <si>
    <t>Zeg het met drank: Personalised / Houten kistjes</t>
  </si>
  <si>
    <t>Rode wijn / winter - hamersma</t>
  </si>
  <si>
    <t>Drank met eigen etiket (kerstsfeer)</t>
  </si>
  <si>
    <t>€5,- korting op mousserend (excl non alcohol)</t>
  </si>
  <si>
    <t>Algemeen</t>
  </si>
  <si>
    <t>Kortingscode voor gratis verzending, code: MOOI</t>
  </si>
  <si>
    <t>Pers Merci 25%</t>
  </si>
  <si>
    <t>25% korting op alle proeverijtjes</t>
  </si>
  <si>
    <t>Launch Australian</t>
  </si>
  <si>
    <t>https://www.greetz.nl/dranken/thuisproeverij</t>
  </si>
  <si>
    <t>25% korting Personalised Merci (Kerstsfeer)</t>
  </si>
  <si>
    <t>Australian (of Lindt tbd)</t>
  </si>
  <si>
    <t>https://www.greetz.be/dranken/thuisproeverij</t>
  </si>
  <si>
    <t>Alle cadeaus</t>
  </si>
  <si>
    <t>juni</t>
  </si>
  <si>
    <t>Mokken €9,95</t>
  </si>
  <si>
    <t>Introductie Dove</t>
  </si>
  <si>
    <t>25% korting op snoeppotten</t>
  </si>
  <si>
    <t>Kerstcadeaus (beeld Rituals)</t>
  </si>
  <si>
    <t>Fruitmanden (goede voornemens)</t>
  </si>
  <si>
    <t>Pers. Gifts</t>
  </si>
  <si>
    <t>Dove</t>
  </si>
  <si>
    <t>Kerstcadeaus personalised</t>
  </si>
  <si>
    <t>Doorvertaling andere kanalen</t>
  </si>
  <si>
    <t>Pioenendeal - Prijs NTB</t>
  </si>
  <si>
    <t xml:space="preserve">Cards </t>
  </si>
  <si>
    <t>Actie: Blije Kip promotie (Kaart t.w.v. 3 euro, excl. verzendkosten)</t>
  </si>
  <si>
    <t>?HelloFresh kerstbox?</t>
  </si>
  <si>
    <t>?Douglas gratis kaart?</t>
  </si>
  <si>
    <t>Cards</t>
  </si>
  <si>
    <t>Psych.Mag. gratis kaart</t>
  </si>
  <si>
    <t>€5 korting I&amp;A Nickelodeon Mag. Verjaardagsspecial</t>
  </si>
  <si>
    <t>20% kerstkaarten PayPal</t>
  </si>
  <si>
    <t>Make a Wish (Zpress meidenbladen) | Media Group Limburg gratis kaart</t>
  </si>
  <si>
    <t xml:space="preserve">Flowers </t>
  </si>
  <si>
    <t>FrieslandCampina Decembershop: €5 korting bij minimale besteding van €20 of €10 korting bij minimale besteding van €35</t>
  </si>
  <si>
    <t>25% korting op alle snoeppotten</t>
  </si>
  <si>
    <t>ING rentesparen. €7,50 korting bij een minimale besteding van € 25</t>
  </si>
  <si>
    <t>10% korting op alle slagroomtaarten</t>
  </si>
  <si>
    <t>https://www.greetz.nl/taart-gebak/slagroomtaart</t>
  </si>
  <si>
    <t>€2,- korting op alle donuts</t>
  </si>
  <si>
    <t>Community</t>
  </si>
  <si>
    <t>https://www.greetz.nl/taart-gebak/donuts</t>
  </si>
  <si>
    <t>Facebook ads</t>
  </si>
  <si>
    <t>Online Marketing - Topline</t>
  </si>
  <si>
    <t>2 Euro korting op alle trosjes ballonnen</t>
  </si>
  <si>
    <t>SEA Kaarten</t>
  </si>
  <si>
    <t>20% korting op alle witte wijnen</t>
  </si>
  <si>
    <t>Early bird Kerstkaarten</t>
  </si>
  <si>
    <t>https://www.greetz.nl/wijn/witte-wijn</t>
  </si>
  <si>
    <t>https://www.greetz.be/wijn/witte-wijn</t>
  </si>
  <si>
    <t>SEA Kaarten 2</t>
  </si>
  <si>
    <t>Gratis bezorging van alle bloemen en planten t.w.v. 5,95</t>
  </si>
  <si>
    <t>SEA Bloemen</t>
  </si>
  <si>
    <t>SEA Bloemen 2</t>
  </si>
  <si>
    <t>SEA Uitnodigingen</t>
  </si>
  <si>
    <t>SEA Ballonnen</t>
  </si>
  <si>
    <t>20 ballonnen voor €10,-</t>
  </si>
  <si>
    <t>SEA Chocolade</t>
  </si>
  <si>
    <t>Pers. Merci 25% korting</t>
  </si>
  <si>
    <t>SEA Chocolade 2</t>
  </si>
  <si>
    <t>Australian Live (16-11)</t>
  </si>
  <si>
    <t>SEA Dranken</t>
  </si>
  <si>
    <t>SEA Overige</t>
  </si>
  <si>
    <t xml:space="preserve">Facebook ads </t>
  </si>
  <si>
    <t>RUMAG Post €1,75</t>
  </si>
  <si>
    <t>Direct Mailings</t>
  </si>
  <si>
    <t>Telemarketing door extern bureau (HCCC), 200 grote klanten, 800 prospects, propositie: 3x 5 euro korting op bloemen min besteding 15 euro</t>
  </si>
  <si>
    <t>Telemarketing</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</si>
</sst>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2]\ #,##0.00"/>
    <numFmt numFmtId="165" formatCode="d-M-yyyy"/>
    <numFmt numFmtId="166" formatCode="_ [$€-413]\ * #,##0.00_ ;_ [$€-413]\ * \-#,##0.00_ ;_ [$€-413]\ * &quot;-&quot;??_ ;_ @_ "/>
    <numFmt numFmtId="167" formatCode="_ &quot;€&quot;\ * #,##0.00_ ;_ &quot;€&quot;\ * \-#,##0.00_ ;_ &quot;€&quot;\ * &quot;-&quot;??_ ;_ @_ "/>
    <numFmt numFmtId="168" formatCode="d&quot;-&quot;mmmm&quot;-&quot;yy"/>
    <numFmt numFmtId="169" formatCode="d-m-yyyy"/>
    <numFmt numFmtId="170" formatCode="dd-mm-yyyy"/>
  </numFmts>
  <fonts count="46">
    <font>
      <sz val="10.0"/>
      <color rgb="FF000000"/>
      <name val="Arial"/>
    </font>
    <font>
      <i/>
      <color rgb="FF000000"/>
    </font>
    <font>
      <color rgb="FF000000"/>
    </font>
    <font>
      <b/>
      <color rgb="FF000000"/>
    </font>
    <font>
      <i/>
    </font>
    <font>
      <b/>
      <i/>
      <color rgb="FF000000"/>
    </font>
    <font/>
    <font>
      <b/>
    </font>
    <font>
      <b/>
      <color rgb="FFFF0000"/>
    </font>
    <font>
      <color rgb="FF999999"/>
    </font>
    <font>
      <color rgb="FFFF0000"/>
    </font>
    <font>
      <color rgb="FFD9D9D9"/>
    </font>
    <font>
      <color rgb="FFD9D9D9"/>
      <name val="Arial"/>
    </font>
    <font>
      <color rgb="FF000000"/>
      <name val="Arial"/>
    </font>
    <font>
      <sz val="10.0"/>
      <color rgb="FF999999"/>
      <name val="Arial"/>
    </font>
    <font>
      <sz val="10.0"/>
      <color rgb="FFD9D9D9"/>
      <name val="Arial"/>
    </font>
    <font>
      <color rgb="FF000000"/>
      <name val="'Arial'"/>
    </font>
    <font>
      <color rgb="FFFF0000"/>
      <name val="'Arial'"/>
    </font>
    <font>
      <name val="Arial"/>
    </font>
    <font>
      <sz val="10.0"/>
      <color rgb="FF262626"/>
      <name val="Arial"/>
    </font>
    <font>
      <color rgb="FFD9D9D9"/>
      <name val="&quot;Arial&quot;"/>
    </font>
    <font>
      <i/>
      <color rgb="FFD9D9D9"/>
    </font>
    <font>
      <color rgb="FFEAD1DC"/>
    </font>
    <font>
      <color rgb="FF000000"/>
      <name val="&quot;Arial&quot;"/>
    </font>
    <font>
      <sz val="10.0"/>
      <color rgb="FF000000"/>
    </font>
    <font>
      <sz val="10.0"/>
    </font>
    <font>
      <i/>
      <sz val="10.0"/>
      <color rgb="FF000000"/>
    </font>
    <font>
      <sz val="10.0"/>
      <color rgb="FFD9D9D9"/>
    </font>
    <font>
      <sz val="8.0"/>
      <color rgb="FF000000"/>
    </font>
    <font>
      <sz val="8.0"/>
      <color rgb="FF000000"/>
      <name val="Arial"/>
    </font>
    <font>
      <i/>
      <sz val="10.0"/>
      <color rgb="FFD9D9D9"/>
    </font>
    <font>
      <i/>
      <sz val="8.0"/>
      <color rgb="FF000000"/>
    </font>
    <font>
      <color rgb="FF434343"/>
    </font>
    <font>
      <b/>
      <color rgb="FFD9D9D9"/>
    </font>
    <font>
      <b/>
      <color rgb="FFFFFFFF"/>
    </font>
    <font>
      <u/>
      <color rgb="FF0000FF"/>
    </font>
    <font>
      <b/>
      <color rgb="FF000000"/>
      <name val="Arial"/>
    </font>
    <font>
      <b/>
      <name val="Arial"/>
    </font>
    <font>
      <u/>
      <color rgb="FF1155CC"/>
      <name val="Arial"/>
    </font>
    <font>
      <u/>
      <color rgb="FF1155CC"/>
      <name val="Arial"/>
    </font>
    <font>
      <u/>
      <color rgb="FF1155CC"/>
      <name val="&quot;Arial&quot;"/>
    </font>
    <font>
      <u/>
      <color rgb="FF0000FF"/>
    </font>
    <font>
      <u/>
      <color rgb="FF000000"/>
      <name val="Roboto"/>
    </font>
    <font>
      <color rgb="FFFFFFFF"/>
    </font>
    <font>
      <color rgb="FFE6B8AF"/>
    </font>
    <font>
      <b/>
      <color rgb="FF38761D"/>
    </font>
  </fonts>
  <fills count="21">
    <fill>
      <patternFill patternType="none"/>
    </fill>
    <fill>
      <patternFill patternType="lightGray"/>
    </fill>
    <fill>
      <patternFill patternType="solid">
        <fgColor rgb="FFCFE2F3"/>
        <bgColor rgb="FFCFE2F3"/>
      </patternFill>
    </fill>
    <fill>
      <patternFill patternType="solid">
        <fgColor rgb="FFFFFFFF"/>
        <bgColor rgb="FFFFFFFF"/>
      </patternFill>
    </fill>
    <fill>
      <patternFill patternType="solid">
        <fgColor rgb="FFD8E4BC"/>
        <bgColor rgb="FFD8E4BC"/>
      </patternFill>
    </fill>
    <fill>
      <patternFill patternType="solid">
        <fgColor rgb="FFEFEFEF"/>
        <bgColor rgb="FFEFEFEF"/>
      </patternFill>
    </fill>
    <fill>
      <patternFill patternType="solid">
        <fgColor rgb="FFEA9999"/>
        <bgColor rgb="FFEA9999"/>
      </patternFill>
    </fill>
    <fill>
      <patternFill patternType="solid">
        <fgColor rgb="FFF4CCCC"/>
        <bgColor rgb="FFF4CCCC"/>
      </patternFill>
    </fill>
    <fill>
      <patternFill patternType="solid">
        <fgColor rgb="FFFFFF00"/>
        <bgColor rgb="FFFFFF00"/>
      </patternFill>
    </fill>
    <fill>
      <patternFill patternType="solid">
        <fgColor rgb="FFFFF2CC"/>
        <bgColor rgb="FFFFF2CC"/>
      </patternFill>
    </fill>
    <fill>
      <patternFill patternType="solid">
        <fgColor rgb="FFF3F3F3"/>
        <bgColor rgb="FFF3F3F3"/>
      </patternFill>
    </fill>
    <fill>
      <patternFill patternType="solid">
        <fgColor rgb="FFC9DAF8"/>
        <bgColor rgb="FFC9DAF8"/>
      </patternFill>
    </fill>
    <fill>
      <patternFill patternType="solid">
        <fgColor rgb="FF000000"/>
        <bgColor rgb="FF000000"/>
      </patternFill>
    </fill>
    <fill>
      <patternFill patternType="solid">
        <fgColor rgb="FF13B5EA"/>
        <bgColor rgb="FF13B5EA"/>
      </patternFill>
    </fill>
    <fill>
      <patternFill patternType="solid">
        <fgColor rgb="FF6D9EEB"/>
        <bgColor rgb="FF6D9EEB"/>
      </patternFill>
    </fill>
    <fill>
      <patternFill patternType="solid">
        <fgColor rgb="FFA4C2F4"/>
        <bgColor rgb="FFA4C2F4"/>
      </patternFill>
    </fill>
    <fill>
      <patternFill patternType="solid">
        <fgColor rgb="FFE6B8AF"/>
        <bgColor rgb="FFE6B8AF"/>
      </patternFill>
    </fill>
    <fill>
      <patternFill patternType="solid">
        <fgColor rgb="FFD9EAD3"/>
        <bgColor rgb="FFD9EAD3"/>
      </patternFill>
    </fill>
    <fill>
      <patternFill patternType="solid">
        <fgColor rgb="FFB6D7A8"/>
        <bgColor rgb="FFB6D7A8"/>
      </patternFill>
    </fill>
    <fill>
      <patternFill patternType="solid">
        <fgColor rgb="FFFCE8B2"/>
        <bgColor rgb="FFFCE8B2"/>
      </patternFill>
    </fill>
    <fill>
      <patternFill patternType="solid">
        <fgColor rgb="FFEAD1DC"/>
        <bgColor rgb="FFEAD1DC"/>
      </patternFill>
    </fill>
  </fills>
  <borders count="20">
    <border/>
    <border>
      <right style="thin">
        <color rgb="FF000000"/>
      </right>
    </border>
    <border>
      <top style="thin">
        <color rgb="FF000000"/>
      </top>
    </border>
    <border>
      <left style="thin">
        <color rgb="FF000000"/>
      </lef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top style="thin">
        <color rgb="FFCCCCCC"/>
      </top>
      <bottom style="thin">
        <color rgb="FF000000"/>
      </bottom>
    </border>
    <border>
      <top style="thin">
        <color rgb="FFCCCCCC"/>
      </top>
      <bottom style="thin">
        <color rgb="FF000000"/>
      </bottom>
    </border>
    <border>
      <right style="thin">
        <color rgb="FF000000"/>
      </right>
      <top style="thin">
        <color rgb="FFCCCCCC"/>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bottom style="thin">
        <color rgb="FF000000"/>
      </bottom>
    </border>
  </borders>
  <cellStyleXfs count="1">
    <xf borderId="0" fillId="0" fontId="0" numFmtId="0" applyAlignment="1" applyFont="1"/>
  </cellStyleXfs>
  <cellXfs count="638">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xf>
    <xf borderId="0" fillId="2" fontId="3" numFmtId="0" xfId="0" applyAlignment="1" applyFill="1" applyFont="1">
      <alignment readingOrder="0"/>
    </xf>
    <xf borderId="0" fillId="0" fontId="4" numFmtId="0" xfId="0" applyAlignment="1" applyFont="1">
      <alignment readingOrder="0"/>
    </xf>
    <xf borderId="0" fillId="2" fontId="5" numFmtId="0" xfId="0" applyAlignment="1" applyFont="1">
      <alignment horizontal="center" readingOrder="0"/>
    </xf>
    <xf borderId="0" fillId="0" fontId="2" numFmtId="0" xfId="0" applyAlignment="1" applyFont="1">
      <alignment readingOrder="0"/>
    </xf>
    <xf borderId="0" fillId="2" fontId="5" numFmtId="0" xfId="0" applyAlignment="1" applyFont="1">
      <alignment horizontal="center" readingOrder="0"/>
    </xf>
    <xf borderId="0" fillId="2" fontId="3" numFmtId="0" xfId="0" applyAlignment="1" applyFont="1">
      <alignment horizontal="center" readingOrder="0"/>
    </xf>
    <xf borderId="2" fillId="2" fontId="3" numFmtId="0" xfId="0" applyAlignment="1" applyBorder="1" applyFont="1">
      <alignment horizontal="center" readingOrder="0"/>
    </xf>
    <xf borderId="2" fillId="0" fontId="6" numFmtId="0" xfId="0" applyBorder="1" applyFont="1"/>
    <xf borderId="0" fillId="2" fontId="7" numFmtId="0" xfId="0" applyAlignment="1" applyFont="1">
      <alignment horizontal="center" readingOrder="0"/>
    </xf>
    <xf borderId="3" fillId="3" fontId="6" numFmtId="0" xfId="0" applyAlignment="1" applyBorder="1" applyFill="1" applyFont="1">
      <alignment readingOrder="0" shrinkToFit="0" wrapText="1"/>
    </xf>
    <xf borderId="0" fillId="0" fontId="2" numFmtId="0" xfId="0" applyAlignment="1" applyFont="1">
      <alignment readingOrder="0"/>
    </xf>
    <xf borderId="4" fillId="4" fontId="7" numFmtId="0" xfId="0" applyAlignment="1" applyBorder="1" applyFill="1" applyFont="1">
      <alignment readingOrder="0"/>
    </xf>
    <xf borderId="5" fillId="4" fontId="7" numFmtId="0" xfId="0" applyAlignment="1" applyBorder="1" applyFont="1">
      <alignment horizontal="center" readingOrder="0"/>
    </xf>
    <xf borderId="6" fillId="0" fontId="6" numFmtId="0" xfId="0" applyBorder="1" applyFont="1"/>
    <xf borderId="0" fillId="5" fontId="2" numFmtId="0" xfId="0" applyAlignment="1" applyFill="1" applyFont="1">
      <alignment readingOrder="0"/>
    </xf>
    <xf borderId="0" fillId="5" fontId="1" numFmtId="0" xfId="0" applyAlignment="1" applyFont="1">
      <alignment horizontal="center" readingOrder="0"/>
    </xf>
    <xf borderId="0" fillId="5" fontId="2" numFmtId="0" xfId="0" applyAlignment="1" applyFont="1">
      <alignment horizontal="center" readingOrder="0"/>
    </xf>
    <xf borderId="0" fillId="0" fontId="6" numFmtId="0" xfId="0" applyAlignment="1" applyFont="1">
      <alignment readingOrder="0"/>
    </xf>
    <xf borderId="0" fillId="5" fontId="6" numFmtId="0" xfId="0" applyAlignment="1" applyFont="1">
      <alignment horizontal="center" readingOrder="0"/>
    </xf>
    <xf borderId="7" fillId="5" fontId="2" numFmtId="0" xfId="0" applyAlignment="1" applyBorder="1" applyFont="1">
      <alignment horizontal="center" readingOrder="0"/>
    </xf>
    <xf borderId="7" fillId="0" fontId="6" numFmtId="0" xfId="0" applyBorder="1" applyFont="1"/>
    <xf borderId="5" fillId="4" fontId="7" numFmtId="0" xfId="0" applyAlignment="1" applyBorder="1" applyFont="1">
      <alignment horizontal="center" readingOrder="0"/>
    </xf>
    <xf borderId="8" fillId="0" fontId="6" numFmtId="0" xfId="0" applyBorder="1" applyFont="1"/>
    <xf borderId="4" fillId="6" fontId="3" numFmtId="0" xfId="0" applyAlignment="1" applyBorder="1" applyFill="1" applyFont="1">
      <alignment readingOrder="0"/>
    </xf>
    <xf borderId="7" fillId="5" fontId="2" numFmtId="0" xfId="0" applyAlignment="1" applyBorder="1" applyFont="1">
      <alignment horizontal="center" readingOrder="0"/>
    </xf>
    <xf borderId="5" fillId="6" fontId="3" numFmtId="0" xfId="0" applyAlignment="1" applyBorder="1" applyFont="1">
      <alignment horizontal="center" readingOrder="0"/>
    </xf>
    <xf borderId="5" fillId="6" fontId="3" numFmtId="0" xfId="0" applyAlignment="1" applyBorder="1" applyFont="1">
      <alignment horizontal="center" readingOrder="0"/>
    </xf>
    <xf borderId="0" fillId="2" fontId="2" numFmtId="0" xfId="0" applyFont="1"/>
    <xf borderId="9" fillId="2" fontId="3" numFmtId="0" xfId="0" applyAlignment="1" applyBorder="1" applyFont="1">
      <alignment readingOrder="0"/>
    </xf>
    <xf borderId="2" fillId="2" fontId="3" numFmtId="0" xfId="0" applyBorder="1" applyFont="1"/>
    <xf borderId="2" fillId="2" fontId="3" numFmtId="0" xfId="0" applyAlignment="1" applyBorder="1" applyFont="1">
      <alignment readingOrder="0"/>
    </xf>
    <xf borderId="5" fillId="4" fontId="8" numFmtId="0" xfId="0" applyAlignment="1" applyBorder="1" applyFont="1">
      <alignment horizontal="center" readingOrder="0"/>
    </xf>
    <xf borderId="2" fillId="2" fontId="3" numFmtId="0" xfId="0" applyBorder="1" applyFont="1"/>
    <xf borderId="2" fillId="2" fontId="3" numFmtId="0" xfId="0" applyAlignment="1" applyBorder="1" applyFont="1">
      <alignment readingOrder="0"/>
    </xf>
    <xf borderId="0" fillId="4" fontId="7" numFmtId="0" xfId="0" applyAlignment="1" applyFont="1">
      <alignment horizontal="center" readingOrder="0"/>
    </xf>
    <xf borderId="10" fillId="2" fontId="3" numFmtId="0" xfId="0" applyBorder="1" applyFont="1"/>
    <xf borderId="9" fillId="2" fontId="3" numFmtId="0" xfId="0" applyAlignment="1" applyBorder="1" applyFont="1">
      <alignment readingOrder="0"/>
    </xf>
    <xf borderId="4" fillId="5" fontId="9" numFmtId="0" xfId="0" applyAlignment="1" applyBorder="1" applyFont="1">
      <alignment readingOrder="0"/>
    </xf>
    <xf borderId="0" fillId="2" fontId="3" numFmtId="0" xfId="0" applyAlignment="1" applyFont="1">
      <alignment readingOrder="0"/>
    </xf>
    <xf borderId="0" fillId="2" fontId="3" numFmtId="0" xfId="0" applyFont="1"/>
    <xf borderId="1" fillId="2" fontId="3" numFmtId="0" xfId="0" applyBorder="1" applyFont="1"/>
    <xf borderId="3" fillId="2" fontId="3" numFmtId="0" xfId="0" applyAlignment="1" applyBorder="1" applyFont="1">
      <alignment readingOrder="0"/>
    </xf>
    <xf borderId="5" fillId="5" fontId="9" numFmtId="0" xfId="0" applyAlignment="1" applyBorder="1" applyFont="1">
      <alignment horizontal="center" readingOrder="0"/>
    </xf>
    <xf borderId="0" fillId="2" fontId="7" numFmtId="0" xfId="0" applyAlignment="1" applyFont="1">
      <alignment readingOrder="0"/>
    </xf>
    <xf borderId="5" fillId="5" fontId="9" numFmtId="0" xfId="0" applyAlignment="1" applyBorder="1" applyFont="1">
      <alignment horizontal="center" readingOrder="0"/>
    </xf>
    <xf borderId="0" fillId="3" fontId="1" numFmtId="0" xfId="0" applyAlignment="1" applyFont="1">
      <alignment readingOrder="0" shrinkToFit="0" wrapText="1"/>
    </xf>
    <xf borderId="3" fillId="0" fontId="2" numFmtId="0" xfId="0" applyAlignment="1" applyBorder="1" applyFont="1">
      <alignment readingOrder="0"/>
    </xf>
    <xf borderId="1" fillId="0" fontId="2" numFmtId="0" xfId="0" applyAlignment="1" applyBorder="1" applyFont="1">
      <alignment readingOrder="0"/>
    </xf>
    <xf borderId="3" fillId="0" fontId="2" numFmtId="0" xfId="0" applyAlignment="1" applyBorder="1" applyFont="1">
      <alignment readingOrder="0"/>
    </xf>
    <xf borderId="0" fillId="6" fontId="3" numFmtId="0" xfId="0" applyAlignment="1" applyFont="1">
      <alignment horizontal="center" readingOrder="0"/>
    </xf>
    <xf borderId="0" fillId="0" fontId="2" numFmtId="0" xfId="0" applyAlignment="1" applyFont="1">
      <alignment readingOrder="0" shrinkToFit="0" wrapText="1"/>
    </xf>
    <xf borderId="9" fillId="0" fontId="2" numFmtId="0" xfId="0" applyAlignment="1" applyBorder="1" applyFont="1">
      <alignment readingOrder="0"/>
    </xf>
    <xf borderId="2" fillId="0" fontId="2" numFmtId="0" xfId="0" applyAlignment="1" applyBorder="1" applyFont="1">
      <alignment readingOrder="0"/>
    </xf>
    <xf borderId="10" fillId="0" fontId="2" numFmtId="0" xfId="0" applyAlignment="1" applyBorder="1" applyFont="1">
      <alignment readingOrder="0"/>
    </xf>
    <xf borderId="4" fillId="5" fontId="2" numFmtId="0" xfId="0" applyAlignment="1" applyBorder="1" applyFont="1">
      <alignment readingOrder="0"/>
    </xf>
    <xf borderId="0" fillId="0" fontId="6" numFmtId="0" xfId="0" applyAlignment="1" applyFont="1">
      <alignment readingOrder="0"/>
    </xf>
    <xf borderId="5" fillId="5" fontId="2" numFmtId="0" xfId="0" applyAlignment="1" applyBorder="1" applyFont="1">
      <alignment horizontal="center" readingOrder="0"/>
    </xf>
    <xf borderId="11" fillId="0" fontId="2" numFmtId="0" xfId="0" applyAlignment="1" applyBorder="1" applyFont="1">
      <alignment readingOrder="0"/>
    </xf>
    <xf borderId="7" fillId="0" fontId="2" numFmtId="0" xfId="0" applyAlignment="1" applyBorder="1" applyFont="1">
      <alignment readingOrder="0"/>
    </xf>
    <xf borderId="12" fillId="0" fontId="2" numFmtId="0" xfId="0" applyAlignment="1" applyBorder="1" applyFont="1">
      <alignment readingOrder="0"/>
    </xf>
    <xf borderId="7" fillId="0" fontId="3" numFmtId="0" xfId="0" applyAlignment="1" applyBorder="1" applyFont="1">
      <alignment readingOrder="0"/>
    </xf>
    <xf borderId="5" fillId="5" fontId="2" numFmtId="0" xfId="0" applyAlignment="1" applyBorder="1" applyFont="1">
      <alignment horizontal="center" readingOrder="0"/>
    </xf>
    <xf borderId="5" fillId="5" fontId="10" numFmtId="0" xfId="0" applyAlignment="1" applyBorder="1" applyFont="1">
      <alignment horizontal="center" readingOrder="0"/>
    </xf>
    <xf borderId="7" fillId="0" fontId="2" numFmtId="0" xfId="0" applyAlignment="1" applyBorder="1" applyFont="1">
      <alignment readingOrder="0"/>
    </xf>
    <xf borderId="12" fillId="0" fontId="2" numFmtId="0" xfId="0" applyAlignment="1" applyBorder="1" applyFont="1">
      <alignment readingOrder="0"/>
    </xf>
    <xf borderId="0" fillId="5" fontId="9" numFmtId="0" xfId="0" applyAlignment="1" applyFont="1">
      <alignment horizontal="center" readingOrder="0"/>
    </xf>
    <xf borderId="0" fillId="4" fontId="6" numFmtId="0" xfId="0" applyFont="1"/>
    <xf borderId="7" fillId="0" fontId="3" numFmtId="0" xfId="0" applyAlignment="1" applyBorder="1" applyFont="1">
      <alignment readingOrder="0"/>
    </xf>
    <xf borderId="0" fillId="4" fontId="7" numFmtId="0" xfId="0" applyAlignment="1" applyFont="1">
      <alignment readingOrder="0"/>
    </xf>
    <xf borderId="12" fillId="0" fontId="3" numFmtId="0" xfId="0" applyAlignment="1" applyBorder="1" applyFont="1">
      <alignment readingOrder="0"/>
    </xf>
    <xf borderId="0" fillId="4" fontId="7" numFmtId="0" xfId="0" applyFont="1"/>
    <xf borderId="3" fillId="4" fontId="7" numFmtId="0" xfId="0" applyAlignment="1" applyBorder="1" applyFont="1">
      <alignment readingOrder="0"/>
    </xf>
    <xf borderId="1" fillId="4" fontId="7" numFmtId="0" xfId="0" applyBorder="1" applyFont="1"/>
    <xf borderId="0" fillId="4" fontId="7" numFmtId="0" xfId="0" applyFont="1"/>
    <xf borderId="1" fillId="4" fontId="7" numFmtId="0" xfId="0" applyBorder="1" applyFont="1"/>
    <xf borderId="0" fillId="4" fontId="7" numFmtId="0" xfId="0" applyAlignment="1" applyFont="1">
      <alignment readingOrder="0"/>
    </xf>
    <xf borderId="0" fillId="0" fontId="6" numFmtId="0" xfId="0" applyAlignment="1" applyFont="1">
      <alignment horizontal="left" readingOrder="0"/>
    </xf>
    <xf borderId="3" fillId="4" fontId="7" numFmtId="0" xfId="0" applyAlignment="1" applyBorder="1" applyFont="1">
      <alignment readingOrder="0"/>
    </xf>
    <xf borderId="0" fillId="3" fontId="2" numFmtId="0" xfId="0" applyAlignment="1" applyFont="1">
      <alignment readingOrder="0"/>
    </xf>
    <xf borderId="3" fillId="3" fontId="2" numFmtId="0" xfId="0" applyBorder="1" applyFont="1"/>
    <xf borderId="1" fillId="0" fontId="6" numFmtId="0" xfId="0" applyBorder="1" applyFont="1"/>
    <xf borderId="0" fillId="3" fontId="2" numFmtId="0" xfId="0" applyAlignment="1" applyFont="1">
      <alignment readingOrder="0" shrinkToFit="0" wrapText="1"/>
    </xf>
    <xf borderId="0" fillId="3" fontId="4" numFmtId="0" xfId="0" applyAlignment="1" applyFont="1">
      <alignment readingOrder="0" shrinkToFit="0" wrapText="1"/>
    </xf>
    <xf borderId="3" fillId="3" fontId="2" numFmtId="0" xfId="0" applyAlignment="1" applyBorder="1" applyFont="1">
      <alignment readingOrder="0"/>
    </xf>
    <xf borderId="3" fillId="0" fontId="6" numFmtId="0" xfId="0" applyAlignment="1" applyBorder="1" applyFont="1">
      <alignment readingOrder="0"/>
    </xf>
    <xf borderId="1" fillId="0" fontId="6" numFmtId="0" xfId="0" applyAlignment="1" applyBorder="1" applyFont="1">
      <alignment readingOrder="0"/>
    </xf>
    <xf borderId="0" fillId="6" fontId="2" numFmtId="0" xfId="0" applyFont="1"/>
    <xf borderId="3" fillId="3" fontId="2" numFmtId="0" xfId="0" applyAlignment="1" applyBorder="1" applyFont="1">
      <alignment readingOrder="0" shrinkToFit="0" wrapText="1"/>
    </xf>
    <xf borderId="0" fillId="6" fontId="3" numFmtId="0" xfId="0" applyAlignment="1" applyFont="1">
      <alignment readingOrder="0"/>
    </xf>
    <xf borderId="1" fillId="0" fontId="6" numFmtId="0" xfId="0" applyAlignment="1" applyBorder="1" applyFont="1">
      <alignment readingOrder="0"/>
    </xf>
    <xf borderId="0" fillId="6" fontId="3" numFmtId="0" xfId="0" applyFont="1"/>
    <xf borderId="3" fillId="0" fontId="6" numFmtId="0" xfId="0" applyAlignment="1" applyBorder="1" applyFont="1">
      <alignment readingOrder="0"/>
    </xf>
    <xf borderId="3" fillId="6" fontId="3" numFmtId="0" xfId="0" applyAlignment="1" applyBorder="1" applyFont="1">
      <alignment readingOrder="0"/>
    </xf>
    <xf borderId="3" fillId="3" fontId="2" numFmtId="0" xfId="0" applyAlignment="1" applyBorder="1" applyFont="1">
      <alignment readingOrder="0" shrinkToFit="0" vertical="bottom" wrapText="1"/>
    </xf>
    <xf borderId="1" fillId="6" fontId="3" numFmtId="0" xfId="0" applyBorder="1" applyFont="1"/>
    <xf borderId="0" fillId="6" fontId="3" numFmtId="0" xfId="0" applyFont="1"/>
    <xf borderId="1" fillId="6" fontId="3" numFmtId="0" xfId="0" applyBorder="1" applyFont="1"/>
    <xf borderId="0" fillId="6" fontId="3" numFmtId="0" xfId="0" applyAlignment="1" applyFont="1">
      <alignment readingOrder="0"/>
    </xf>
    <xf borderId="3" fillId="6" fontId="3" numFmtId="0" xfId="0" applyAlignment="1" applyBorder="1" applyFont="1">
      <alignment readingOrder="0"/>
    </xf>
    <xf borderId="3" fillId="3" fontId="2" numFmtId="0" xfId="0" applyAlignment="1" applyBorder="1" applyFont="1">
      <alignment readingOrder="0" vertical="bottom"/>
    </xf>
    <xf borderId="11" fillId="3" fontId="2" numFmtId="0" xfId="0" applyAlignment="1" applyBorder="1" applyFont="1">
      <alignment readingOrder="0" shrinkToFit="0" wrapText="1"/>
    </xf>
    <xf borderId="12" fillId="0" fontId="6" numFmtId="0" xfId="0" applyBorder="1" applyFont="1"/>
    <xf borderId="0" fillId="3" fontId="2" numFmtId="0" xfId="0" applyAlignment="1" applyFont="1">
      <alignment readingOrder="0"/>
    </xf>
    <xf borderId="5" fillId="3" fontId="2" numFmtId="0" xfId="0" applyAlignment="1" applyBorder="1" applyFont="1">
      <alignment readingOrder="0" shrinkToFit="0" wrapText="1"/>
    </xf>
    <xf borderId="0" fillId="6" fontId="7" numFmtId="0" xfId="0" applyAlignment="1" applyFont="1">
      <alignment readingOrder="0"/>
    </xf>
    <xf borderId="5" fillId="3" fontId="2" numFmtId="0" xfId="0" applyAlignment="1" applyBorder="1" applyFont="1">
      <alignment readingOrder="0"/>
    </xf>
    <xf borderId="7" fillId="3" fontId="2" numFmtId="0" xfId="0" applyAlignment="1" applyBorder="1" applyFont="1">
      <alignment readingOrder="0" shrinkToFit="0" wrapText="1"/>
    </xf>
    <xf borderId="0" fillId="3" fontId="6" numFmtId="0" xfId="0" applyAlignment="1" applyFont="1">
      <alignment readingOrder="0" shrinkToFit="0" wrapText="1"/>
    </xf>
    <xf borderId="0" fillId="3" fontId="6" numFmtId="0" xfId="0" applyAlignment="1" applyFont="1">
      <alignment readingOrder="0"/>
    </xf>
    <xf borderId="3" fillId="3" fontId="6" numFmtId="0" xfId="0" applyBorder="1" applyFont="1"/>
    <xf borderId="0" fillId="3" fontId="6" numFmtId="0" xfId="0" applyFont="1"/>
    <xf borderId="3" fillId="3" fontId="6" numFmtId="0" xfId="0" applyAlignment="1" applyBorder="1" applyFont="1">
      <alignment readingOrder="0"/>
    </xf>
    <xf borderId="6" fillId="2" fontId="3" numFmtId="0" xfId="0" applyAlignment="1" applyBorder="1" applyFont="1">
      <alignment readingOrder="0"/>
    </xf>
    <xf borderId="5" fillId="2" fontId="2" numFmtId="0" xfId="0" applyBorder="1" applyFont="1"/>
    <xf borderId="3" fillId="3" fontId="6" numFmtId="0" xfId="0" applyAlignment="1" applyBorder="1" applyFont="1">
      <alignment readingOrder="0" shrinkToFit="0" vertical="bottom" wrapText="1"/>
    </xf>
    <xf borderId="6" fillId="2" fontId="2" numFmtId="0" xfId="0" applyBorder="1" applyFont="1"/>
    <xf borderId="6" fillId="2" fontId="2" numFmtId="0" xfId="0" applyAlignment="1" applyBorder="1" applyFont="1">
      <alignment readingOrder="0"/>
    </xf>
    <xf borderId="2" fillId="2" fontId="2" numFmtId="0" xfId="0" applyBorder="1" applyFont="1"/>
    <xf borderId="10" fillId="0" fontId="6" numFmtId="0" xfId="0" applyBorder="1" applyFont="1"/>
    <xf borderId="6" fillId="4" fontId="7" numFmtId="0" xfId="0" applyAlignment="1" applyBorder="1" applyFont="1">
      <alignment readingOrder="0"/>
    </xf>
    <xf borderId="6" fillId="4" fontId="6" numFmtId="0" xfId="0" applyBorder="1" applyFont="1"/>
    <xf borderId="2" fillId="2" fontId="2" numFmtId="0" xfId="0" applyAlignment="1" applyBorder="1" applyFont="1">
      <alignment readingOrder="0"/>
    </xf>
    <xf borderId="5" fillId="2" fontId="3" numFmtId="0" xfId="0" applyAlignment="1" applyBorder="1" applyFont="1">
      <alignment horizontal="center" readingOrder="0"/>
    </xf>
    <xf borderId="1" fillId="0" fontId="2" numFmtId="0" xfId="0" applyAlignment="1" applyBorder="1" applyFont="1">
      <alignment readingOrder="0" shrinkToFit="0" wrapText="1"/>
    </xf>
    <xf borderId="11" fillId="0" fontId="2" numFmtId="0" xfId="0" applyAlignment="1" applyBorder="1" applyFont="1">
      <alignment readingOrder="0"/>
    </xf>
    <xf borderId="2" fillId="2" fontId="3" numFmtId="0" xfId="0" applyAlignment="1" applyBorder="1" applyFont="1">
      <alignment horizontal="center" readingOrder="0"/>
    </xf>
    <xf borderId="0" fillId="2" fontId="3" numFmtId="0" xfId="0" applyAlignment="1" applyFont="1">
      <alignment horizontal="center" readingOrder="0"/>
    </xf>
    <xf borderId="0" fillId="2" fontId="7" numFmtId="0" xfId="0" applyAlignment="1" applyFont="1">
      <alignment horizontal="center" readingOrder="0"/>
    </xf>
    <xf borderId="6" fillId="4" fontId="3" numFmtId="0" xfId="0" applyAlignment="1" applyBorder="1" applyFont="1">
      <alignment horizontal="center" readingOrder="0"/>
    </xf>
    <xf borderId="4" fillId="0" fontId="3" numFmtId="0" xfId="0" applyAlignment="1" applyBorder="1" applyFont="1">
      <alignment readingOrder="0"/>
    </xf>
    <xf borderId="5" fillId="3" fontId="2" numFmtId="0" xfId="0" applyAlignment="1" applyBorder="1" applyFont="1">
      <alignment horizontal="left" readingOrder="0"/>
    </xf>
    <xf borderId="5" fillId="3" fontId="2" numFmtId="0" xfId="0" applyAlignment="1" applyBorder="1" applyFont="1">
      <alignment horizontal="center" readingOrder="0"/>
    </xf>
    <xf borderId="5" fillId="3" fontId="2" numFmtId="0" xfId="0" applyAlignment="1" applyBorder="1" applyFont="1">
      <alignment horizontal="center" readingOrder="0" shrinkToFit="0" wrapText="1"/>
    </xf>
    <xf borderId="6" fillId="4" fontId="7" numFmtId="0" xfId="0" applyAlignment="1" applyBorder="1" applyFont="1">
      <alignment horizontal="center" readingOrder="0"/>
    </xf>
    <xf borderId="0" fillId="4" fontId="6" numFmtId="0" xfId="0" applyFont="1"/>
    <xf borderId="0" fillId="0" fontId="7" numFmtId="0" xfId="0" applyAlignment="1" applyFont="1">
      <alignment readingOrder="0"/>
    </xf>
    <xf borderId="3" fillId="3" fontId="10" numFmtId="0" xfId="0" applyAlignment="1" applyBorder="1" applyFont="1">
      <alignment readingOrder="0" shrinkToFit="0" wrapText="1"/>
    </xf>
    <xf borderId="5" fillId="3" fontId="11" numFmtId="0" xfId="0" applyAlignment="1" applyBorder="1" applyFont="1">
      <alignment horizontal="center" readingOrder="0" shrinkToFit="0" wrapText="1"/>
    </xf>
    <xf borderId="5" fillId="3" fontId="12" numFmtId="0" xfId="0" applyAlignment="1" applyBorder="1" applyFont="1">
      <alignment horizontal="center" readingOrder="0" vertical="center"/>
    </xf>
    <xf borderId="5" fillId="3" fontId="6" numFmtId="0" xfId="0" applyAlignment="1" applyBorder="1" applyFont="1">
      <alignment readingOrder="0" shrinkToFit="0" wrapText="1"/>
    </xf>
    <xf borderId="6" fillId="7" fontId="3" numFmtId="0" xfId="0" applyAlignment="1" applyBorder="1" applyFill="1" applyFont="1">
      <alignment readingOrder="0"/>
    </xf>
    <xf borderId="5" fillId="3" fontId="6" numFmtId="0" xfId="0" applyAlignment="1" applyBorder="1" applyFont="1">
      <alignment readingOrder="0"/>
    </xf>
    <xf borderId="2" fillId="7" fontId="2" numFmtId="0" xfId="0" applyBorder="1" applyFont="1"/>
    <xf borderId="5" fillId="3" fontId="0" numFmtId="0" xfId="0" applyAlignment="1" applyBorder="1" applyFont="1">
      <alignment readingOrder="0" shrinkToFit="0" vertical="bottom" wrapText="1"/>
    </xf>
    <xf borderId="5" fillId="3" fontId="11" numFmtId="0" xfId="0" applyAlignment="1" applyBorder="1" applyFont="1">
      <alignment horizontal="center" readingOrder="0" shrinkToFit="0" vertical="center" wrapText="1"/>
    </xf>
    <xf borderId="2" fillId="7" fontId="2" numFmtId="0" xfId="0" applyAlignment="1" applyBorder="1" applyFont="1">
      <alignment readingOrder="0"/>
    </xf>
    <xf borderId="0" fillId="3" fontId="13" numFmtId="0" xfId="0" applyAlignment="1" applyFont="1">
      <alignment readingOrder="0" shrinkToFit="0" wrapText="1"/>
    </xf>
    <xf borderId="3" fillId="3" fontId="6" numFmtId="0" xfId="0" applyAlignment="1" applyBorder="1" applyFont="1">
      <alignment horizontal="center" readingOrder="0"/>
    </xf>
    <xf borderId="5" fillId="3" fontId="11" numFmtId="0" xfId="0" applyAlignment="1" applyBorder="1" applyFont="1">
      <alignment readingOrder="0" shrinkToFit="0" wrapText="1"/>
    </xf>
    <xf borderId="0" fillId="0" fontId="4" numFmtId="0" xfId="0" applyAlignment="1" applyFont="1">
      <alignment readingOrder="0"/>
    </xf>
    <xf borderId="5" fillId="3" fontId="11" numFmtId="0" xfId="0" applyAlignment="1" applyBorder="1" applyFont="1">
      <alignment readingOrder="0"/>
    </xf>
    <xf borderId="0" fillId="3" fontId="11" numFmtId="0" xfId="0" applyAlignment="1" applyFont="1">
      <alignment readingOrder="0"/>
    </xf>
    <xf borderId="5" fillId="7" fontId="3" numFmtId="0" xfId="0" applyAlignment="1" applyBorder="1" applyFont="1">
      <alignment horizontal="center" readingOrder="0"/>
    </xf>
    <xf borderId="4" fillId="0" fontId="2" numFmtId="0" xfId="0" applyAlignment="1" applyBorder="1" applyFont="1">
      <alignment readingOrder="0"/>
    </xf>
    <xf borderId="7" fillId="3" fontId="2" numFmtId="0" xfId="0" applyAlignment="1" applyBorder="1" applyFont="1">
      <alignment horizontal="left" readingOrder="0" shrinkToFit="0" wrapText="1"/>
    </xf>
    <xf borderId="3" fillId="3" fontId="10" numFmtId="0" xfId="0" applyAlignment="1" applyBorder="1" applyFont="1">
      <alignment readingOrder="0"/>
    </xf>
    <xf borderId="7" fillId="3" fontId="13" numFmtId="0" xfId="0" applyAlignment="1" applyBorder="1" applyFont="1">
      <alignment readingOrder="0" shrinkToFit="0" wrapText="1"/>
    </xf>
    <xf borderId="2" fillId="7" fontId="3" numFmtId="0" xfId="0" applyAlignment="1" applyBorder="1" applyFont="1">
      <alignment horizontal="center" readingOrder="0"/>
    </xf>
    <xf borderId="0" fillId="7" fontId="3" numFmtId="0" xfId="0" applyAlignment="1" applyFont="1">
      <alignment horizontal="center" readingOrder="0"/>
    </xf>
    <xf borderId="0" fillId="7" fontId="7" numFmtId="0" xfId="0" applyAlignment="1" applyFont="1">
      <alignment horizontal="center" readingOrder="0"/>
    </xf>
    <xf borderId="7" fillId="0" fontId="4" numFmtId="0" xfId="0" applyAlignment="1" applyBorder="1" applyFont="1">
      <alignment readingOrder="0"/>
    </xf>
    <xf borderId="0" fillId="0" fontId="6" numFmtId="0" xfId="0" applyAlignment="1" applyFont="1">
      <alignment readingOrder="0" shrinkToFit="0" wrapText="1"/>
    </xf>
    <xf borderId="7" fillId="3" fontId="6" numFmtId="0" xfId="0" applyAlignment="1" applyBorder="1" applyFont="1">
      <alignment readingOrder="0"/>
    </xf>
    <xf borderId="11" fillId="3" fontId="6" numFmtId="0" xfId="0" applyAlignment="1" applyBorder="1" applyFont="1">
      <alignment readingOrder="0"/>
    </xf>
    <xf borderId="3" fillId="3" fontId="13" numFmtId="0" xfId="0" applyAlignment="1" applyBorder="1" applyFont="1">
      <alignment readingOrder="0" shrinkToFit="0" wrapText="1"/>
    </xf>
    <xf borderId="5" fillId="3" fontId="9" numFmtId="0" xfId="0" applyAlignment="1" applyBorder="1" applyFont="1">
      <alignment readingOrder="0" shrinkToFit="0" wrapText="1"/>
    </xf>
    <xf borderId="0" fillId="0" fontId="3" numFmtId="0" xfId="0" applyAlignment="1" applyFont="1">
      <alignment readingOrder="0"/>
    </xf>
    <xf borderId="11" fillId="3" fontId="6" numFmtId="0" xfId="0" applyAlignment="1" applyBorder="1" applyFont="1">
      <alignment readingOrder="0" shrinkToFit="0" wrapText="1"/>
    </xf>
    <xf borderId="5" fillId="3" fontId="14" numFmtId="0" xfId="0" applyAlignment="1" applyBorder="1" applyFont="1">
      <alignment readingOrder="0" shrinkToFit="0" vertical="bottom" wrapText="1"/>
    </xf>
    <xf borderId="0" fillId="3" fontId="2" numFmtId="0" xfId="0" applyAlignment="1" applyFont="1">
      <alignment horizontal="center" readingOrder="0"/>
    </xf>
    <xf borderId="5" fillId="3" fontId="11" numFmtId="0" xfId="0" applyAlignment="1" applyBorder="1" applyFont="1">
      <alignment readingOrder="0" shrinkToFit="0" wrapText="1"/>
    </xf>
    <xf borderId="0" fillId="3" fontId="2" numFmtId="0" xfId="0" applyAlignment="1" applyFont="1">
      <alignment horizontal="center" readingOrder="0" shrinkToFit="0" wrapText="1"/>
    </xf>
    <xf borderId="7" fillId="3" fontId="6" numFmtId="0" xfId="0" applyAlignment="1" applyBorder="1" applyFont="1">
      <alignment readingOrder="0" shrinkToFit="0" wrapText="1"/>
    </xf>
    <xf borderId="5" fillId="0" fontId="11" numFmtId="0" xfId="0" applyAlignment="1" applyBorder="1" applyFont="1">
      <alignment readingOrder="0" shrinkToFit="0" wrapText="1"/>
    </xf>
    <xf borderId="11" fillId="3" fontId="10" numFmtId="0" xfId="0" applyAlignment="1" applyBorder="1" applyFont="1">
      <alignment readingOrder="0" shrinkToFit="0" wrapText="1"/>
    </xf>
    <xf borderId="5" fillId="3" fontId="12" numFmtId="0" xfId="0" applyAlignment="1" applyBorder="1" applyFont="1">
      <alignment horizontal="center" readingOrder="0" shrinkToFit="0" vertical="center" wrapText="1"/>
    </xf>
    <xf borderId="5" fillId="3" fontId="13" numFmtId="0" xfId="0" applyAlignment="1" applyBorder="1" applyFont="1">
      <alignment horizontal="center" readingOrder="0" vertical="center"/>
    </xf>
    <xf borderId="5" fillId="0" fontId="0" numFmtId="0" xfId="0" applyAlignment="1" applyBorder="1" applyFont="1">
      <alignment readingOrder="0" shrinkToFit="0" vertical="bottom" wrapText="1"/>
    </xf>
    <xf borderId="5" fillId="3" fontId="15" numFmtId="0" xfId="0" applyAlignment="1" applyBorder="1" applyFont="1">
      <alignment horizontal="left" readingOrder="0" shrinkToFit="0" vertical="bottom" wrapText="1"/>
    </xf>
    <xf borderId="0" fillId="3" fontId="12" numFmtId="0" xfId="0" applyAlignment="1" applyFont="1">
      <alignment readingOrder="0" shrinkToFit="0" vertical="center" wrapText="1"/>
    </xf>
    <xf borderId="5" fillId="3" fontId="2" numFmtId="0" xfId="0" applyAlignment="1" applyBorder="1" applyFont="1">
      <alignment horizontal="center" readingOrder="0" shrinkToFit="0" vertical="center" wrapText="1"/>
    </xf>
    <xf borderId="3" fillId="3" fontId="11" numFmtId="0" xfId="0" applyAlignment="1" applyBorder="1" applyFont="1">
      <alignment readingOrder="0" shrinkToFit="0" wrapText="1"/>
    </xf>
    <xf borderId="0" fillId="3" fontId="12" numFmtId="0" xfId="0" applyAlignment="1" applyFont="1">
      <alignment readingOrder="0" shrinkToFit="0" wrapText="1"/>
    </xf>
    <xf borderId="5" fillId="3" fontId="12" numFmtId="0" xfId="0" applyAlignment="1" applyBorder="1" applyFont="1">
      <alignment readingOrder="0" shrinkToFit="0" wrapText="1"/>
    </xf>
    <xf borderId="6" fillId="3" fontId="2" numFmtId="0" xfId="0" applyAlignment="1" applyBorder="1" applyFont="1">
      <alignment horizontal="center" readingOrder="0" shrinkToFit="0" wrapText="1"/>
    </xf>
    <xf borderId="0" fillId="3" fontId="11" numFmtId="0" xfId="0" applyAlignment="1" applyFont="1">
      <alignment readingOrder="0" shrinkToFit="0" wrapText="1"/>
    </xf>
    <xf borderId="5" fillId="3" fontId="6" numFmtId="0" xfId="0" applyAlignment="1" applyBorder="1" applyFont="1">
      <alignment readingOrder="0" shrinkToFit="0" vertical="bottom" wrapText="1"/>
    </xf>
    <xf borderId="9" fillId="3" fontId="6" numFmtId="0" xfId="0" applyAlignment="1" applyBorder="1" applyFont="1">
      <alignment readingOrder="0"/>
    </xf>
    <xf borderId="5" fillId="3" fontId="2" numFmtId="0" xfId="0" applyAlignment="1" applyBorder="1" applyFont="1">
      <alignment horizontal="left" readingOrder="0" shrinkToFit="0" wrapText="1"/>
    </xf>
    <xf borderId="0" fillId="3" fontId="2" numFmtId="0" xfId="0" applyAlignment="1" applyFont="1">
      <alignment readingOrder="0" shrinkToFit="0" vertical="bottom" wrapText="1"/>
    </xf>
    <xf borderId="0" fillId="3" fontId="2" numFmtId="0" xfId="0" applyAlignment="1" applyFont="1">
      <alignment horizontal="left" readingOrder="0" shrinkToFit="0" wrapText="1"/>
    </xf>
    <xf borderId="6" fillId="3" fontId="6" numFmtId="0" xfId="0" applyAlignment="1" applyBorder="1" applyFont="1">
      <alignment readingOrder="0"/>
    </xf>
    <xf borderId="7" fillId="3" fontId="2" numFmtId="0" xfId="0" applyAlignment="1" applyBorder="1" applyFont="1">
      <alignment readingOrder="0"/>
    </xf>
    <xf borderId="8" fillId="3" fontId="6" numFmtId="0" xfId="0" applyAlignment="1" applyBorder="1" applyFont="1">
      <alignment readingOrder="0"/>
    </xf>
    <xf borderId="5" fillId="3" fontId="2" numFmtId="0" xfId="0" applyAlignment="1" applyBorder="1" applyFont="1">
      <alignment readingOrder="0" shrinkToFit="0" wrapText="1"/>
    </xf>
    <xf borderId="5" fillId="0" fontId="2" numFmtId="0" xfId="0" applyAlignment="1" applyBorder="1" applyFont="1">
      <alignment readingOrder="0" shrinkToFit="0" wrapText="1"/>
    </xf>
    <xf borderId="0" fillId="3" fontId="0" numFmtId="0" xfId="0" applyAlignment="1" applyFont="1">
      <alignment readingOrder="0" shrinkToFit="0" wrapText="1"/>
    </xf>
    <xf borderId="0" fillId="0" fontId="16" numFmtId="0" xfId="0" applyAlignment="1" applyFont="1">
      <alignment readingOrder="0" shrinkToFit="0" vertical="top" wrapText="1"/>
    </xf>
    <xf borderId="5" fillId="3" fontId="13" numFmtId="0" xfId="0" applyAlignment="1" applyBorder="1" applyFont="1">
      <alignment horizontal="center" readingOrder="0" shrinkToFit="0" vertical="center" wrapText="1"/>
    </xf>
    <xf borderId="0" fillId="3" fontId="6" numFmtId="0" xfId="0" applyAlignment="1" applyFont="1">
      <alignment readingOrder="0" shrinkToFit="0" vertical="top" wrapText="1"/>
    </xf>
    <xf borderId="0" fillId="0" fontId="17" numFmtId="0" xfId="0" applyAlignment="1" applyFont="1">
      <alignment readingOrder="0" shrinkToFit="0" vertical="top" wrapText="1"/>
    </xf>
    <xf borderId="0" fillId="3" fontId="6" numFmtId="0" xfId="0" applyAlignment="1" applyFont="1">
      <alignment readingOrder="0" vertical="top"/>
    </xf>
    <xf borderId="5" fillId="3" fontId="0" numFmtId="0" xfId="0" applyAlignment="1" applyBorder="1" applyFont="1">
      <alignment horizontal="left" readingOrder="0" shrinkToFit="0" vertical="bottom" wrapText="1"/>
    </xf>
    <xf borderId="0" fillId="3" fontId="18" numFmtId="0" xfId="0" applyAlignment="1" applyFont="1">
      <alignment readingOrder="0" shrinkToFit="0" vertical="center" wrapText="1"/>
    </xf>
    <xf borderId="3" fillId="3" fontId="6" numFmtId="0" xfId="0" applyAlignment="1" applyBorder="1" applyFont="1">
      <alignment readingOrder="0" shrinkToFit="0" wrapText="1"/>
    </xf>
    <xf borderId="5" fillId="3" fontId="6" numFmtId="0" xfId="0" applyAlignment="1" applyBorder="1" applyFont="1">
      <alignment readingOrder="0" shrinkToFit="0" wrapText="1"/>
    </xf>
    <xf borderId="6" fillId="3" fontId="6" numFmtId="0" xfId="0" applyAlignment="1" applyBorder="1" applyFont="1">
      <alignment readingOrder="0" shrinkToFit="0" wrapText="1"/>
    </xf>
    <xf borderId="0" fillId="3" fontId="13" numFmtId="0" xfId="0" applyAlignment="1" applyFont="1">
      <alignment readingOrder="0" shrinkToFit="0" wrapText="1"/>
    </xf>
    <xf borderId="0" fillId="3" fontId="6" numFmtId="0" xfId="0" applyAlignment="1" applyFont="1">
      <alignment horizontal="left" readingOrder="0" shrinkToFit="0" vertical="bottom" wrapText="1"/>
    </xf>
    <xf borderId="5" fillId="3" fontId="13" numFmtId="0" xfId="0" applyAlignment="1" applyBorder="1" applyFont="1">
      <alignment readingOrder="0" shrinkToFit="0" wrapText="1"/>
    </xf>
    <xf borderId="3" fillId="0" fontId="6" numFmtId="0" xfId="0" applyAlignment="1" applyBorder="1" applyFont="1">
      <alignment readingOrder="0" shrinkToFit="0" wrapText="1"/>
    </xf>
    <xf borderId="3" fillId="0" fontId="10" numFmtId="0" xfId="0" applyAlignment="1" applyBorder="1" applyFont="1">
      <alignment readingOrder="0" shrinkToFit="0" wrapText="1"/>
    </xf>
    <xf borderId="3" fillId="0" fontId="13" numFmtId="0" xfId="0" applyAlignment="1" applyBorder="1" applyFont="1">
      <alignment readingOrder="0" shrinkToFit="0" wrapText="1"/>
    </xf>
    <xf borderId="0" fillId="0" fontId="19" numFmtId="0" xfId="0" applyAlignment="1" applyFont="1">
      <alignment readingOrder="0" shrinkToFit="0" wrapText="1"/>
    </xf>
    <xf borderId="13" fillId="0" fontId="0" numFmtId="0" xfId="0" applyAlignment="1" applyBorder="1" applyFont="1">
      <alignment readingOrder="0" shrinkToFit="0" vertical="bottom" wrapText="1"/>
    </xf>
    <xf borderId="14" fillId="0" fontId="6" numFmtId="0" xfId="0" applyBorder="1" applyFont="1"/>
    <xf borderId="15" fillId="0" fontId="6" numFmtId="0" xfId="0" applyBorder="1" applyFont="1"/>
    <xf borderId="11" fillId="3" fontId="6" numFmtId="0" xfId="0" applyAlignment="1" applyBorder="1" applyFont="1">
      <alignment readingOrder="0" shrinkToFit="0" vertical="bottom" wrapText="1"/>
    </xf>
    <xf borderId="0" fillId="0" fontId="19" numFmtId="0" xfId="0" applyAlignment="1" applyFont="1">
      <alignment horizontal="left" readingOrder="0" shrinkToFit="0" vertical="bottom" wrapText="1"/>
    </xf>
    <xf borderId="3" fillId="0" fontId="2" numFmtId="0" xfId="0" applyAlignment="1" applyBorder="1" applyFont="1">
      <alignment readingOrder="0" shrinkToFit="0" wrapText="1"/>
    </xf>
    <xf borderId="5" fillId="3" fontId="2" numFmtId="0" xfId="0" applyAlignment="1" applyBorder="1" applyFont="1">
      <alignment readingOrder="0"/>
    </xf>
    <xf borderId="6" fillId="4" fontId="3" numFmtId="0" xfId="0" applyAlignment="1" applyBorder="1" applyFont="1">
      <alignment readingOrder="0"/>
    </xf>
    <xf borderId="7" fillId="4" fontId="6" numFmtId="0" xfId="0" applyBorder="1" applyFont="1"/>
    <xf borderId="5" fillId="3" fontId="2" numFmtId="0" xfId="0" applyAlignment="1" applyBorder="1" applyFont="1">
      <alignment readingOrder="0" shrinkToFit="0" wrapText="1"/>
    </xf>
    <xf borderId="6" fillId="3" fontId="2" numFmtId="0" xfId="0" applyAlignment="1" applyBorder="1" applyFont="1">
      <alignment readingOrder="0" shrinkToFit="0" wrapText="1"/>
    </xf>
    <xf borderId="6" fillId="4" fontId="6" numFmtId="0" xfId="0" applyAlignment="1" applyBorder="1" applyFont="1">
      <alignment readingOrder="0"/>
    </xf>
    <xf borderId="5" fillId="3" fontId="9" numFmtId="0" xfId="0" applyAlignment="1" applyBorder="1" applyFont="1">
      <alignment readingOrder="0"/>
    </xf>
    <xf borderId="6" fillId="3" fontId="2" numFmtId="0" xfId="0" applyAlignment="1" applyBorder="1" applyFont="1">
      <alignment readingOrder="0"/>
    </xf>
    <xf borderId="5" fillId="0" fontId="2" numFmtId="0" xfId="0" applyAlignment="1" applyBorder="1" applyFont="1">
      <alignment readingOrder="0"/>
    </xf>
    <xf borderId="4" fillId="3" fontId="2" numFmtId="0" xfId="0" applyAlignment="1" applyBorder="1" applyFont="1">
      <alignment readingOrder="0"/>
    </xf>
    <xf borderId="8" fillId="3" fontId="11" numFmtId="0" xfId="0" applyAlignment="1" applyBorder="1" applyFont="1">
      <alignment readingOrder="0"/>
    </xf>
    <xf borderId="5" fillId="3" fontId="13" numFmtId="0" xfId="0" applyAlignment="1" applyBorder="1" applyFont="1">
      <alignment readingOrder="0"/>
    </xf>
    <xf borderId="4" fillId="3" fontId="6" numFmtId="0" xfId="0" applyAlignment="1" applyBorder="1" applyFont="1">
      <alignment readingOrder="0"/>
    </xf>
    <xf borderId="4" fillId="0" fontId="2" numFmtId="0" xfId="0" applyAlignment="1" applyBorder="1" applyFont="1">
      <alignment readingOrder="0"/>
    </xf>
    <xf borderId="5" fillId="0" fontId="6" numFmtId="0" xfId="0" applyAlignment="1" applyBorder="1" applyFont="1">
      <alignment readingOrder="0"/>
    </xf>
    <xf borderId="5" fillId="0" fontId="6" numFmtId="0" xfId="0" applyAlignment="1" applyBorder="1" applyFont="1">
      <alignment readingOrder="0" shrinkToFit="0" wrapText="1"/>
    </xf>
    <xf quotePrefix="1" borderId="5" fillId="3" fontId="2" numFmtId="0" xfId="0" applyAlignment="1" applyBorder="1" applyFont="1">
      <alignment readingOrder="0" shrinkToFit="0" wrapText="1"/>
    </xf>
    <xf borderId="5" fillId="3" fontId="2" numFmtId="0" xfId="0" applyAlignment="1" applyBorder="1" applyFont="1">
      <alignment readingOrder="0" shrinkToFit="0" vertical="bottom" wrapText="1"/>
    </xf>
    <xf borderId="8" fillId="3" fontId="2" numFmtId="0" xfId="0" applyAlignment="1" applyBorder="1" applyFont="1">
      <alignment readingOrder="0"/>
    </xf>
    <xf borderId="6" fillId="3" fontId="2" numFmtId="0" xfId="0" applyAlignment="1" applyBorder="1" applyFont="1">
      <alignment readingOrder="0" shrinkToFit="0" vertical="bottom" wrapText="1"/>
    </xf>
    <xf borderId="5" fillId="3" fontId="12" numFmtId="0" xfId="0" applyAlignment="1" applyBorder="1" applyFont="1">
      <alignment horizontal="left" readingOrder="0" shrinkToFit="0" vertical="bottom" wrapText="1"/>
    </xf>
    <xf borderId="0" fillId="3" fontId="20" numFmtId="0" xfId="0" applyAlignment="1" applyFont="1">
      <alignment readingOrder="0" shrinkToFit="0" wrapText="1"/>
    </xf>
    <xf borderId="6" fillId="3" fontId="11" numFmtId="0" xfId="0" applyAlignment="1" applyBorder="1" applyFont="1">
      <alignment readingOrder="0" shrinkToFit="0" wrapText="1"/>
    </xf>
    <xf borderId="4" fillId="3" fontId="11" numFmtId="0" xfId="0" applyAlignment="1" applyBorder="1" applyFont="1">
      <alignment readingOrder="0"/>
    </xf>
    <xf borderId="5" fillId="3" fontId="1" numFmtId="0" xfId="0" applyAlignment="1" applyBorder="1" applyFont="1">
      <alignment readingOrder="0" shrinkToFit="0" wrapText="1"/>
    </xf>
    <xf borderId="5" fillId="3" fontId="2" numFmtId="0" xfId="0" applyAlignment="1" applyBorder="1" applyFont="1">
      <alignment horizontal="center" readingOrder="0" shrinkToFit="0" vertical="bottom" wrapText="1"/>
    </xf>
    <xf borderId="5" fillId="3" fontId="13" numFmtId="0" xfId="0" applyAlignment="1" applyBorder="1" applyFont="1">
      <alignment horizontal="center" readingOrder="0" shrinkToFit="0" vertical="bottom" wrapText="1"/>
    </xf>
    <xf borderId="5" fillId="3" fontId="11" numFmtId="0" xfId="0" applyBorder="1" applyFont="1"/>
    <xf borderId="5" fillId="3" fontId="21" numFmtId="0" xfId="0" applyAlignment="1" applyBorder="1" applyFont="1">
      <alignment readingOrder="0" shrinkToFit="0" vertical="bottom" wrapText="1"/>
    </xf>
    <xf borderId="5" fillId="3" fontId="6" numFmtId="0" xfId="0" applyBorder="1" applyFont="1"/>
    <xf borderId="0" fillId="0" fontId="11" numFmtId="0" xfId="0" applyFont="1"/>
    <xf borderId="5" fillId="3" fontId="21" numFmtId="0" xfId="0" applyAlignment="1" applyBorder="1" applyFont="1">
      <alignment readingOrder="0" shrinkToFit="0" wrapText="1"/>
    </xf>
    <xf borderId="6" fillId="3" fontId="11" numFmtId="0" xfId="0" applyAlignment="1" applyBorder="1" applyFont="1">
      <alignment readingOrder="0" shrinkToFit="0" vertical="bottom" wrapText="1"/>
    </xf>
    <xf borderId="11" fillId="3" fontId="11" numFmtId="0" xfId="0" applyAlignment="1" applyBorder="1" applyFont="1">
      <alignment readingOrder="0" shrinkToFit="0" vertical="bottom" wrapText="1"/>
    </xf>
    <xf borderId="5" fillId="3" fontId="11" numFmtId="0" xfId="0" applyAlignment="1" applyBorder="1" applyFont="1">
      <alignment readingOrder="0" shrinkToFit="0" vertical="bottom" wrapText="1"/>
    </xf>
    <xf borderId="5" fillId="3" fontId="6" numFmtId="0" xfId="0" applyAlignment="1" applyBorder="1" applyFont="1">
      <alignment horizontal="center" readingOrder="0"/>
    </xf>
    <xf borderId="5" fillId="3" fontId="6" numFmtId="0" xfId="0" applyAlignment="1" applyBorder="1" applyFont="1">
      <alignment horizontal="left" readingOrder="0"/>
    </xf>
    <xf borderId="5" fillId="3" fontId="2" numFmtId="0" xfId="0" applyAlignment="1" applyBorder="1" applyFont="1">
      <alignment readingOrder="0" shrinkToFit="0" vertical="center" wrapText="1"/>
    </xf>
    <xf borderId="6" fillId="3" fontId="6" numFmtId="0" xfId="0" applyAlignment="1" applyBorder="1" applyFont="1">
      <alignment horizontal="center" readingOrder="0"/>
    </xf>
    <xf borderId="5" fillId="0" fontId="6" numFmtId="0" xfId="0" applyBorder="1" applyFont="1"/>
    <xf borderId="5" fillId="3" fontId="22" numFmtId="0" xfId="0" applyAlignment="1" applyBorder="1" applyFont="1">
      <alignment horizontal="center" readingOrder="0"/>
    </xf>
    <xf borderId="5" fillId="0" fontId="11" numFmtId="0" xfId="0" applyBorder="1" applyFont="1"/>
    <xf borderId="5" fillId="0" fontId="9" numFmtId="0" xfId="0" applyBorder="1" applyFont="1"/>
    <xf borderId="5" fillId="0" fontId="11" numFmtId="0" xfId="0" applyAlignment="1" applyBorder="1" applyFont="1">
      <alignment readingOrder="0"/>
    </xf>
    <xf borderId="5" fillId="3" fontId="13" numFmtId="0" xfId="0" applyAlignment="1" applyBorder="1" applyFont="1">
      <alignment horizontal="left" readingOrder="0" shrinkToFit="0" vertical="bottom" wrapText="1"/>
    </xf>
    <xf borderId="5" fillId="3" fontId="12" numFmtId="0" xfId="0" applyAlignment="1" applyBorder="1" applyFont="1">
      <alignment readingOrder="0"/>
    </xf>
    <xf borderId="4" fillId="8" fontId="6" numFmtId="0" xfId="0" applyAlignment="1" applyBorder="1" applyFill="1" applyFont="1">
      <alignment readingOrder="0"/>
    </xf>
    <xf borderId="4" fillId="3" fontId="6" numFmtId="0" xfId="0" applyBorder="1" applyFont="1"/>
    <xf borderId="0" fillId="3" fontId="23" numFmtId="0" xfId="0" applyAlignment="1" applyFont="1">
      <alignment readingOrder="0" shrinkToFit="0" wrapText="1"/>
    </xf>
    <xf borderId="4" fillId="3" fontId="6" numFmtId="0" xfId="0" applyAlignment="1" applyBorder="1" applyFont="1">
      <alignment horizontal="center" readingOrder="0"/>
    </xf>
    <xf borderId="4" fillId="0" fontId="11" numFmtId="0" xfId="0" applyBorder="1" applyFont="1"/>
    <xf borderId="4" fillId="0" fontId="6" numFmtId="0" xfId="0" applyBorder="1" applyFont="1"/>
    <xf borderId="0" fillId="2" fontId="11" numFmtId="0" xfId="0" applyFont="1"/>
    <xf borderId="7" fillId="2" fontId="11" numFmtId="0" xfId="0" applyBorder="1" applyFont="1"/>
    <xf borderId="4" fillId="0" fontId="2" numFmtId="0" xfId="0" applyAlignment="1" applyBorder="1" applyFont="1">
      <alignment readingOrder="0" shrinkToFit="0" wrapText="1"/>
    </xf>
    <xf borderId="7" fillId="2" fontId="21" numFmtId="0" xfId="0" applyBorder="1" applyFont="1"/>
    <xf borderId="0" fillId="3" fontId="6" numFmtId="0" xfId="0" applyAlignment="1" applyFont="1">
      <alignment horizontal="center" readingOrder="0"/>
    </xf>
    <xf borderId="3" fillId="0" fontId="6" numFmtId="0" xfId="0" applyAlignment="1" applyBorder="1" applyFont="1">
      <alignment horizontal="center" readingOrder="0"/>
    </xf>
    <xf borderId="5" fillId="0" fontId="6" numFmtId="0" xfId="0" applyAlignment="1" applyBorder="1" applyFont="1">
      <alignment horizontal="center" readingOrder="0"/>
    </xf>
    <xf borderId="0" fillId="2" fontId="6" numFmtId="0" xfId="0" applyFont="1"/>
    <xf borderId="5" fillId="3" fontId="11" numFmtId="0" xfId="0" applyBorder="1" applyFont="1"/>
    <xf borderId="5" fillId="3" fontId="2" numFmtId="0" xfId="0" applyBorder="1" applyFont="1"/>
    <xf borderId="2" fillId="3" fontId="11" numFmtId="0" xfId="0" applyBorder="1" applyFont="1"/>
    <xf borderId="3" fillId="3" fontId="11" numFmtId="0" xfId="0" applyBorder="1" applyFont="1"/>
    <xf borderId="3" fillId="3" fontId="21" numFmtId="0" xfId="0" applyBorder="1" applyFont="1"/>
    <xf borderId="0" fillId="3" fontId="11" numFmtId="0" xfId="0" applyFont="1"/>
    <xf borderId="4" fillId="0" fontId="2" numFmtId="0" xfId="0" applyAlignment="1" applyBorder="1" applyFont="1">
      <alignment readingOrder="0" vertical="top"/>
    </xf>
    <xf borderId="5" fillId="3" fontId="2" numFmtId="0" xfId="0" applyAlignment="1" applyBorder="1" applyFont="1">
      <alignment readingOrder="0" vertical="top"/>
    </xf>
    <xf borderId="6" fillId="3" fontId="2" numFmtId="0" xfId="0" applyAlignment="1" applyBorder="1" applyFont="1">
      <alignment readingOrder="0" vertical="top"/>
    </xf>
    <xf borderId="5" fillId="3" fontId="2" numFmtId="0" xfId="0" applyAlignment="1" applyBorder="1" applyFont="1">
      <alignment vertical="top"/>
    </xf>
    <xf borderId="5" fillId="3" fontId="2" numFmtId="0" xfId="0" applyAlignment="1" applyBorder="1" applyFont="1">
      <alignment horizontal="center" readingOrder="0" vertical="top"/>
    </xf>
    <xf borderId="7" fillId="0" fontId="6" numFmtId="0" xfId="0" applyAlignment="1" applyBorder="1" applyFont="1">
      <alignment readingOrder="0"/>
    </xf>
    <xf borderId="3" fillId="3" fontId="2" numFmtId="0" xfId="0" applyAlignment="1" applyBorder="1" applyFont="1">
      <alignment vertical="top"/>
    </xf>
    <xf borderId="0" fillId="3" fontId="2" numFmtId="0" xfId="0" applyAlignment="1" applyFont="1">
      <alignment horizontal="center" readingOrder="0" vertical="top"/>
    </xf>
    <xf borderId="0" fillId="0" fontId="2" numFmtId="0" xfId="0" applyAlignment="1" applyFont="1">
      <alignment vertical="top"/>
    </xf>
    <xf borderId="3" fillId="3" fontId="1" numFmtId="0" xfId="0" applyAlignment="1" applyBorder="1" applyFont="1">
      <alignment vertical="top"/>
    </xf>
    <xf borderId="3" fillId="3" fontId="2" numFmtId="0" xfId="0" applyAlignment="1" applyBorder="1" applyFont="1">
      <alignment readingOrder="0" vertical="top"/>
    </xf>
    <xf borderId="5" fillId="3" fontId="1" numFmtId="0" xfId="0" applyAlignment="1" applyBorder="1" applyFont="1">
      <alignment readingOrder="0" shrinkToFit="0" vertical="bottom" wrapText="1"/>
    </xf>
    <xf borderId="5" fillId="0" fontId="2" numFmtId="0" xfId="0" applyAlignment="1" applyBorder="1" applyFont="1">
      <alignment readingOrder="0" vertical="top"/>
    </xf>
    <xf borderId="0" fillId="3" fontId="2" numFmtId="0" xfId="0" applyAlignment="1" applyFont="1">
      <alignment vertical="top"/>
    </xf>
    <xf borderId="4" fillId="0" fontId="2" numFmtId="0" xfId="0" applyAlignment="1" applyBorder="1" applyFont="1">
      <alignment readingOrder="0" shrinkToFit="0" vertical="top" wrapText="1"/>
    </xf>
    <xf borderId="5" fillId="3" fontId="2" numFmtId="0" xfId="0" applyAlignment="1" applyBorder="1" applyFont="1">
      <alignment readingOrder="0" shrinkToFit="0" vertical="top" wrapText="1"/>
    </xf>
    <xf borderId="11" fillId="3" fontId="2" numFmtId="0" xfId="0" applyAlignment="1" applyBorder="1" applyFont="1">
      <alignment readingOrder="0" shrinkToFit="0" vertical="bottom" wrapText="1"/>
    </xf>
    <xf borderId="5" fillId="3" fontId="2" numFmtId="0" xfId="0" applyAlignment="1" applyBorder="1" applyFont="1">
      <alignment shrinkToFit="0" vertical="top" wrapText="1"/>
    </xf>
    <xf borderId="6" fillId="3" fontId="2" numFmtId="0" xfId="0" applyAlignment="1" applyBorder="1" applyFont="1">
      <alignment readingOrder="0" shrinkToFit="0" vertical="top" wrapText="1"/>
    </xf>
    <xf borderId="5" fillId="3" fontId="2" numFmtId="0" xfId="0" applyAlignment="1" applyBorder="1" applyFont="1">
      <alignment horizontal="center" readingOrder="0" shrinkToFit="0" vertical="top" wrapText="1"/>
    </xf>
    <xf borderId="5" fillId="0" fontId="2" numFmtId="0" xfId="0" applyBorder="1" applyFont="1"/>
    <xf borderId="6" fillId="3" fontId="2" numFmtId="0" xfId="0" applyAlignment="1" applyBorder="1" applyFont="1">
      <alignment shrinkToFit="0" vertical="top" wrapText="1"/>
    </xf>
    <xf borderId="3" fillId="3" fontId="6" numFmtId="0" xfId="0" applyAlignment="1" applyBorder="1" applyFont="1">
      <alignment horizontal="left" readingOrder="0"/>
    </xf>
    <xf borderId="3" fillId="3" fontId="2" numFmtId="0" xfId="0" applyAlignment="1" applyBorder="1" applyFont="1">
      <alignment shrinkToFit="0" vertical="top" wrapText="1"/>
    </xf>
    <xf borderId="3" fillId="3" fontId="2" numFmtId="0" xfId="0" applyAlignment="1" applyBorder="1" applyFont="1">
      <alignment horizontal="center" readingOrder="0" shrinkToFit="0" vertical="top" wrapText="1"/>
    </xf>
    <xf borderId="6" fillId="3" fontId="2" numFmtId="0" xfId="0" applyAlignment="1" applyBorder="1" applyFont="1">
      <alignment horizontal="center" readingOrder="0" shrinkToFit="0" vertical="top" wrapText="1"/>
    </xf>
    <xf borderId="3" fillId="3" fontId="1" numFmtId="0" xfId="0" applyAlignment="1" applyBorder="1" applyFont="1">
      <alignment shrinkToFit="0" vertical="top" wrapText="1"/>
    </xf>
    <xf borderId="3" fillId="9" fontId="2" numFmtId="0" xfId="0" applyAlignment="1" applyBorder="1" applyFill="1" applyFont="1">
      <alignment readingOrder="0" shrinkToFit="0" vertical="top" wrapText="1"/>
    </xf>
    <xf borderId="0" fillId="0" fontId="2" numFmtId="0" xfId="0" applyAlignment="1" applyFont="1">
      <alignment shrinkToFit="0" vertical="top" wrapText="1"/>
    </xf>
    <xf borderId="0" fillId="3" fontId="13" numFmtId="0" xfId="0" applyAlignment="1" applyFont="1">
      <alignment horizontal="left" readingOrder="0"/>
    </xf>
    <xf borderId="5" fillId="0" fontId="2" numFmtId="0" xfId="0" applyAlignment="1" applyBorder="1" applyFont="1">
      <alignment readingOrder="0" shrinkToFit="0" vertical="top" wrapText="1"/>
    </xf>
    <xf borderId="5" fillId="3" fontId="13" numFmtId="0" xfId="0" applyAlignment="1" applyBorder="1" applyFont="1">
      <alignment readingOrder="0"/>
    </xf>
    <xf borderId="0" fillId="3" fontId="2" numFmtId="0" xfId="0" applyAlignment="1" applyFont="1">
      <alignment shrinkToFit="0" vertical="top" wrapText="1"/>
    </xf>
    <xf borderId="0" fillId="3" fontId="13" numFmtId="0" xfId="0" applyAlignment="1" applyFont="1">
      <alignment horizontal="left" readingOrder="0" shrinkToFit="0" wrapText="1"/>
    </xf>
    <xf borderId="5" fillId="10" fontId="2" numFmtId="0" xfId="0" applyAlignment="1" applyBorder="1" applyFill="1" applyFont="1">
      <alignment horizontal="center" readingOrder="0" vertical="top"/>
    </xf>
    <xf borderId="4" fillId="0" fontId="2" numFmtId="0" xfId="0" applyBorder="1" applyFont="1"/>
    <xf borderId="5" fillId="10" fontId="2" numFmtId="0" xfId="0" applyAlignment="1" applyBorder="1" applyFont="1">
      <alignment horizontal="left" readingOrder="0" vertical="top"/>
    </xf>
    <xf borderId="7" fillId="0" fontId="6" numFmtId="0" xfId="0" applyAlignment="1" applyBorder="1" applyFont="1">
      <alignment readingOrder="0"/>
    </xf>
    <xf borderId="11" fillId="3" fontId="6" numFmtId="0" xfId="0" applyBorder="1" applyFont="1"/>
    <xf borderId="2" fillId="7" fontId="3" numFmtId="0" xfId="0" applyAlignment="1" applyBorder="1" applyFont="1">
      <alignment readingOrder="0"/>
    </xf>
    <xf borderId="7" fillId="3" fontId="6" numFmtId="0" xfId="0" applyBorder="1" applyFont="1"/>
    <xf borderId="7" fillId="7" fontId="2" numFmtId="0" xfId="0" applyBorder="1" applyFont="1"/>
    <xf borderId="5" fillId="9" fontId="2" numFmtId="0" xfId="0" applyAlignment="1" applyBorder="1" applyFont="1">
      <alignment horizontal="center" readingOrder="0" vertical="top"/>
    </xf>
    <xf borderId="7" fillId="7" fontId="1" numFmtId="0" xfId="0" applyBorder="1" applyFont="1"/>
    <xf borderId="5" fillId="8" fontId="2" numFmtId="0" xfId="0" applyAlignment="1" applyBorder="1" applyFont="1">
      <alignment readingOrder="0"/>
    </xf>
    <xf borderId="0" fillId="7" fontId="2" numFmtId="0" xfId="0" applyFont="1"/>
    <xf borderId="0" fillId="7" fontId="6" numFmtId="0" xfId="0" applyFont="1"/>
    <xf borderId="3" fillId="8" fontId="2" numFmtId="0" xfId="0" applyAlignment="1" applyBorder="1" applyFont="1">
      <alignment readingOrder="0"/>
    </xf>
    <xf borderId="0" fillId="3" fontId="2" numFmtId="0" xfId="0" applyFont="1"/>
    <xf borderId="9" fillId="3" fontId="2" numFmtId="0" xfId="0" applyBorder="1" applyFont="1"/>
    <xf borderId="3" fillId="3" fontId="11" numFmtId="0" xfId="0" applyAlignment="1" applyBorder="1" applyFont="1">
      <alignment readingOrder="0"/>
    </xf>
    <xf borderId="3" fillId="3" fontId="1" numFmtId="0" xfId="0" applyBorder="1" applyFont="1"/>
    <xf borderId="6" fillId="3" fontId="2" numFmtId="0" xfId="0" applyAlignment="1" applyBorder="1" applyFont="1">
      <alignment horizontal="center" readingOrder="0"/>
    </xf>
    <xf borderId="8" fillId="3" fontId="2" numFmtId="0" xfId="0" applyAlignment="1" applyBorder="1" applyFont="1">
      <alignment horizontal="center" readingOrder="0"/>
    </xf>
    <xf borderId="0" fillId="0" fontId="2" numFmtId="0" xfId="0" applyFont="1"/>
    <xf borderId="3" fillId="3" fontId="21" numFmtId="0" xfId="0" applyAlignment="1" applyBorder="1" applyFont="1">
      <alignment readingOrder="0"/>
    </xf>
    <xf borderId="4" fillId="4" fontId="6" numFmtId="0" xfId="0" applyAlignment="1" applyBorder="1" applyFont="1">
      <alignment readingOrder="0"/>
    </xf>
    <xf borderId="4" fillId="4" fontId="6" numFmtId="0" xfId="0" applyBorder="1" applyFont="1"/>
    <xf borderId="16" fillId="4" fontId="6" numFmtId="0" xfId="0" applyBorder="1" applyFont="1"/>
    <xf borderId="16" fillId="4" fontId="6" numFmtId="0" xfId="0" applyAlignment="1" applyBorder="1" applyFont="1">
      <alignment readingOrder="0"/>
    </xf>
    <xf borderId="3" fillId="9" fontId="2" numFmtId="0" xfId="0" applyAlignment="1" applyBorder="1" applyFont="1">
      <alignment readingOrder="0"/>
    </xf>
    <xf borderId="5" fillId="11" fontId="2" numFmtId="0" xfId="0" applyAlignment="1" applyBorder="1" applyFill="1" applyFont="1">
      <alignment readingOrder="0"/>
    </xf>
    <xf borderId="7" fillId="11" fontId="13" numFmtId="0" xfId="0" applyAlignment="1" applyBorder="1" applyFont="1">
      <alignment horizontal="left" readingOrder="0"/>
    </xf>
    <xf borderId="7" fillId="3" fontId="13" numFmtId="0" xfId="0" applyAlignment="1" applyBorder="1" applyFont="1">
      <alignment horizontal="left" readingOrder="0"/>
    </xf>
    <xf borderId="7" fillId="11" fontId="13" numFmtId="0" xfId="0" applyAlignment="1" applyBorder="1" applyFont="1">
      <alignment horizontal="left" readingOrder="0" shrinkToFit="0" wrapText="1"/>
    </xf>
    <xf borderId="5" fillId="9" fontId="6" numFmtId="0" xfId="0" applyAlignment="1" applyBorder="1" applyFont="1">
      <alignment horizontal="center" readingOrder="0"/>
    </xf>
    <xf borderId="0" fillId="0" fontId="18" numFmtId="0" xfId="0" applyAlignment="1" applyFont="1">
      <alignment vertical="bottom"/>
    </xf>
    <xf borderId="9" fillId="3" fontId="2" numFmtId="0" xfId="0" applyAlignment="1" applyBorder="1" applyFont="1">
      <alignment readingOrder="0"/>
    </xf>
    <xf borderId="5" fillId="8" fontId="2" numFmtId="0" xfId="0" applyAlignment="1" applyBorder="1" applyFont="1">
      <alignment readingOrder="0" shrinkToFit="0" wrapText="1"/>
    </xf>
    <xf borderId="7" fillId="3" fontId="13" numFmtId="0" xfId="0" applyAlignment="1" applyBorder="1" applyFont="1">
      <alignment horizontal="left" readingOrder="0" shrinkToFit="0" wrapText="1"/>
    </xf>
    <xf borderId="3" fillId="3" fontId="13" numFmtId="0" xfId="0" applyAlignment="1" applyBorder="1" applyFont="1">
      <alignment vertical="bottom"/>
    </xf>
    <xf borderId="3" fillId="3" fontId="1" numFmtId="0" xfId="0" applyAlignment="1" applyBorder="1" applyFont="1">
      <alignment readingOrder="0"/>
    </xf>
    <xf borderId="0" fillId="0" fontId="6" numFmtId="0" xfId="0" applyAlignment="1" applyFont="1">
      <alignment horizontal="left" readingOrder="0"/>
    </xf>
    <xf borderId="5" fillId="11" fontId="2" numFmtId="0" xfId="0" applyAlignment="1" applyBorder="1" applyFont="1">
      <alignment readingOrder="0" shrinkToFit="0" wrapText="1"/>
    </xf>
    <xf borderId="3" fillId="3" fontId="13" numFmtId="0" xfId="0" applyAlignment="1" applyBorder="1" applyFont="1">
      <alignment horizontal="left" readingOrder="0"/>
    </xf>
    <xf borderId="1" fillId="0" fontId="2" numFmtId="0" xfId="0" applyBorder="1" applyFont="1"/>
    <xf borderId="1" fillId="3" fontId="11" numFmtId="0" xfId="0" applyBorder="1" applyFont="1"/>
    <xf borderId="0" fillId="3" fontId="18" numFmtId="0" xfId="0" applyAlignment="1" applyFont="1">
      <alignment vertical="bottom"/>
    </xf>
    <xf borderId="1" fillId="3" fontId="2" numFmtId="0" xfId="0" applyBorder="1" applyFont="1"/>
    <xf borderId="3" fillId="3" fontId="11" numFmtId="0" xfId="0" applyAlignment="1" applyBorder="1" applyFont="1">
      <alignment readingOrder="0" shrinkToFit="0" wrapText="1"/>
    </xf>
    <xf borderId="1" fillId="3" fontId="2" numFmtId="0" xfId="0" applyAlignment="1" applyBorder="1" applyFont="1">
      <alignment readingOrder="0"/>
    </xf>
    <xf borderId="17" fillId="3" fontId="2" numFmtId="0" xfId="0" applyAlignment="1" applyBorder="1" applyFont="1">
      <alignment readingOrder="0"/>
    </xf>
    <xf borderId="5" fillId="3" fontId="18" numFmtId="0" xfId="0" applyAlignment="1" applyBorder="1" applyFont="1">
      <alignment horizontal="center" readingOrder="0" vertical="bottom"/>
    </xf>
    <xf borderId="6" fillId="3" fontId="18" numFmtId="0" xfId="0" applyAlignment="1" applyBorder="1" applyFont="1">
      <alignment horizontal="center" readingOrder="0" vertical="bottom"/>
    </xf>
    <xf borderId="8" fillId="3" fontId="18" numFmtId="0" xfId="0" applyAlignment="1" applyBorder="1" applyFont="1">
      <alignment horizontal="center" readingOrder="0" vertical="bottom"/>
    </xf>
    <xf quotePrefix="1" borderId="0" fillId="3" fontId="2" numFmtId="0" xfId="0" applyAlignment="1" applyFont="1">
      <alignment readingOrder="0" shrinkToFit="0" wrapText="1"/>
    </xf>
    <xf borderId="3" fillId="3" fontId="1" numFmtId="0" xfId="0" applyAlignment="1" applyBorder="1" applyFont="1">
      <alignment readingOrder="0" shrinkToFit="0" wrapText="1"/>
    </xf>
    <xf borderId="3" fillId="3" fontId="18" numFmtId="0" xfId="0" applyAlignment="1" applyBorder="1" applyFont="1">
      <alignment vertical="bottom"/>
    </xf>
    <xf borderId="0" fillId="3" fontId="18" numFmtId="0" xfId="0" applyAlignment="1" applyFont="1">
      <alignment readingOrder="0" vertical="bottom"/>
    </xf>
    <xf borderId="11" fillId="3" fontId="2" numFmtId="0" xfId="0" applyBorder="1" applyFont="1"/>
    <xf borderId="11" fillId="3" fontId="2" numFmtId="0" xfId="0" applyAlignment="1" applyBorder="1" applyFont="1">
      <alignment readingOrder="0"/>
    </xf>
    <xf borderId="0" fillId="0" fontId="6" numFmtId="0" xfId="0" applyFont="1"/>
    <xf borderId="11" fillId="3" fontId="13" numFmtId="0" xfId="0" applyAlignment="1" applyBorder="1" applyFont="1">
      <alignment horizontal="left" readingOrder="0"/>
    </xf>
    <xf borderId="12" fillId="3" fontId="2" numFmtId="0" xfId="0" applyAlignment="1" applyBorder="1" applyFont="1">
      <alignment readingOrder="0"/>
    </xf>
    <xf borderId="7" fillId="7" fontId="3" numFmtId="0" xfId="0" applyAlignment="1" applyBorder="1" applyFont="1">
      <alignment readingOrder="0"/>
    </xf>
    <xf borderId="17" fillId="3" fontId="18" numFmtId="0" xfId="0" applyAlignment="1" applyBorder="1" applyFont="1">
      <alignment vertical="bottom"/>
    </xf>
    <xf borderId="7" fillId="7" fontId="2" numFmtId="0" xfId="0" applyAlignment="1" applyBorder="1" applyFont="1">
      <alignment readingOrder="0"/>
    </xf>
    <xf borderId="1" fillId="3" fontId="18" numFmtId="0" xfId="0" applyAlignment="1" applyBorder="1" applyFont="1">
      <alignment vertical="bottom"/>
    </xf>
    <xf borderId="3" fillId="3" fontId="21" numFmtId="0" xfId="0" applyAlignment="1" applyBorder="1" applyFont="1">
      <alignment readingOrder="0" shrinkToFit="0" wrapText="1"/>
    </xf>
    <xf borderId="5" fillId="3" fontId="2" numFmtId="0" xfId="0" applyBorder="1" applyFont="1"/>
    <xf borderId="4" fillId="0" fontId="2" numFmtId="0" xfId="0" applyAlignment="1" applyBorder="1" applyFont="1">
      <alignment readingOrder="0" shrinkToFit="0" vertical="center" wrapText="1"/>
    </xf>
    <xf borderId="5" fillId="3" fontId="11" numFmtId="0" xfId="0" applyAlignment="1" applyBorder="1" applyFont="1">
      <alignment shrinkToFit="0" vertical="center" wrapText="1"/>
    </xf>
    <xf borderId="5" fillId="3" fontId="11" numFmtId="0" xfId="0" applyAlignment="1" applyBorder="1" applyFont="1">
      <alignment readingOrder="0" shrinkToFit="0" vertical="center" wrapText="1"/>
    </xf>
    <xf borderId="5" fillId="3" fontId="12" numFmtId="0" xfId="0" applyAlignment="1" applyBorder="1" applyFont="1">
      <alignment horizontal="left" readingOrder="0" shrinkToFit="0" vertical="center" wrapText="1"/>
    </xf>
    <xf borderId="3" fillId="3" fontId="11" numFmtId="0" xfId="0" applyAlignment="1" applyBorder="1" applyFont="1">
      <alignment shrinkToFit="0" vertical="center" wrapText="1"/>
    </xf>
    <xf borderId="5" fillId="3" fontId="1" numFmtId="0" xfId="0" applyBorder="1" applyFont="1"/>
    <xf borderId="11" fillId="3" fontId="11" numFmtId="0" xfId="0" applyAlignment="1" applyBorder="1" applyFont="1">
      <alignment readingOrder="0" shrinkToFit="0" vertical="center" wrapText="1"/>
    </xf>
    <xf borderId="0" fillId="3" fontId="11" numFmtId="0" xfId="0" applyAlignment="1" applyFont="1">
      <alignment shrinkToFit="0" vertical="center" wrapText="1"/>
    </xf>
    <xf borderId="0" fillId="3" fontId="6" numFmtId="0" xfId="0" applyAlignment="1" applyFont="1">
      <alignment shrinkToFit="0" vertical="center" wrapText="1"/>
    </xf>
    <xf borderId="7" fillId="2" fontId="3" numFmtId="0" xfId="0" applyAlignment="1" applyBorder="1" applyFont="1">
      <alignment readingOrder="0"/>
    </xf>
    <xf borderId="4" fillId="3" fontId="2" numFmtId="0" xfId="0" applyBorder="1" applyFont="1"/>
    <xf borderId="7" fillId="2" fontId="11" numFmtId="0" xfId="0" applyAlignment="1" applyBorder="1" applyFont="1">
      <alignment readingOrder="0"/>
    </xf>
    <xf borderId="5" fillId="3" fontId="21" numFmtId="0" xfId="0" applyBorder="1" applyFont="1"/>
    <xf borderId="4" fillId="3" fontId="11" numFmtId="0" xfId="0" applyBorder="1" applyFont="1"/>
    <xf borderId="3" fillId="0" fontId="6" numFmtId="0" xfId="0" applyBorder="1" applyFont="1"/>
    <xf borderId="1" fillId="0" fontId="6" numFmtId="0" xfId="0" applyBorder="1" applyFont="1"/>
    <xf borderId="3" fillId="0" fontId="6" numFmtId="0" xfId="0" applyBorder="1" applyFont="1"/>
    <xf borderId="5" fillId="3" fontId="1" numFmtId="0" xfId="0" applyAlignment="1" applyBorder="1" applyFont="1">
      <alignment readingOrder="0"/>
    </xf>
    <xf borderId="5" fillId="3" fontId="21" numFmtId="0" xfId="0" applyAlignment="1" applyBorder="1" applyFont="1">
      <alignment readingOrder="0"/>
    </xf>
    <xf borderId="16" fillId="0" fontId="2" numFmtId="0" xfId="0" applyAlignment="1" applyBorder="1" applyFont="1">
      <alignment horizontal="left" readingOrder="0"/>
    </xf>
    <xf borderId="0" fillId="3" fontId="13" numFmtId="0" xfId="0" applyAlignment="1" applyFont="1">
      <alignment horizontal="center" readingOrder="0"/>
    </xf>
    <xf borderId="0" fillId="3" fontId="12" numFmtId="0" xfId="0" applyAlignment="1" applyFont="1">
      <alignment horizontal="center" readingOrder="0"/>
    </xf>
    <xf borderId="5" fillId="3" fontId="11" numFmtId="0" xfId="0" applyAlignment="1" applyBorder="1" applyFont="1">
      <alignment horizontal="center" readingOrder="0"/>
    </xf>
    <xf borderId="17" fillId="0" fontId="6" numFmtId="0" xfId="0" applyBorder="1" applyFont="1"/>
    <xf borderId="4" fillId="0" fontId="24" numFmtId="0" xfId="0" applyAlignment="1" applyBorder="1" applyFont="1">
      <alignment readingOrder="0"/>
    </xf>
    <xf borderId="5" fillId="3" fontId="24" numFmtId="0" xfId="0" applyAlignment="1" applyBorder="1" applyFont="1">
      <alignment readingOrder="0" shrinkToFit="0" wrapText="1"/>
    </xf>
    <xf borderId="5" fillId="3" fontId="13" numFmtId="0" xfId="0" applyAlignment="1" applyBorder="1" applyFont="1">
      <alignment horizontal="center" readingOrder="0"/>
    </xf>
    <xf borderId="4" fillId="3" fontId="24" numFmtId="0" xfId="0" applyBorder="1" applyFont="1"/>
    <xf borderId="4" fillId="3" fontId="25" numFmtId="0" xfId="0" applyBorder="1" applyFont="1"/>
    <xf borderId="5" fillId="3" fontId="24" numFmtId="0" xfId="0" applyBorder="1" applyFont="1"/>
    <xf borderId="5" fillId="3" fontId="0" numFmtId="0" xfId="0" applyAlignment="1" applyBorder="1" applyFont="1">
      <alignment readingOrder="0" vertical="bottom"/>
    </xf>
    <xf borderId="5" fillId="3" fontId="24" numFmtId="0" xfId="0" applyAlignment="1" applyBorder="1" applyFont="1">
      <alignment readingOrder="0"/>
    </xf>
    <xf borderId="4" fillId="3" fontId="13" numFmtId="0" xfId="0" applyAlignment="1" applyBorder="1" applyFont="1">
      <alignment readingOrder="0"/>
    </xf>
    <xf borderId="4" fillId="3" fontId="26" numFmtId="0" xfId="0" applyAlignment="1" applyBorder="1" applyFont="1">
      <alignment readingOrder="0"/>
    </xf>
    <xf borderId="5" fillId="3" fontId="27" numFmtId="0" xfId="0" applyAlignment="1" applyBorder="1" applyFont="1">
      <alignment readingOrder="0"/>
    </xf>
    <xf borderId="5" fillId="3" fontId="27" numFmtId="0" xfId="0" applyAlignment="1" applyBorder="1" applyFont="1">
      <alignment readingOrder="0" shrinkToFit="0" wrapText="1"/>
    </xf>
    <xf borderId="5" fillId="3" fontId="15" numFmtId="0" xfId="0" applyAlignment="1" applyBorder="1" applyFont="1">
      <alignment readingOrder="0" shrinkToFit="0" vertical="bottom" wrapText="1"/>
    </xf>
    <xf borderId="5" fillId="3" fontId="27" numFmtId="0" xfId="0" applyBorder="1" applyFont="1"/>
    <xf borderId="4" fillId="3" fontId="27" numFmtId="0" xfId="0" applyBorder="1" applyFont="1"/>
    <xf borderId="6" fillId="7" fontId="2" numFmtId="0" xfId="0" applyBorder="1" applyFont="1"/>
    <xf borderId="18" fillId="0" fontId="6" numFmtId="0" xfId="0" applyBorder="1" applyFont="1"/>
    <xf borderId="4" fillId="7" fontId="2" numFmtId="0" xfId="0" applyBorder="1" applyFont="1"/>
    <xf borderId="4" fillId="3" fontId="3" numFmtId="0" xfId="0" applyAlignment="1" applyBorder="1" applyFont="1">
      <alignment horizontal="center" readingOrder="0"/>
    </xf>
    <xf borderId="4" fillId="3" fontId="2" numFmtId="0" xfId="0" applyAlignment="1" applyBorder="1" applyFont="1">
      <alignment horizontal="center" readingOrder="0"/>
    </xf>
    <xf borderId="4" fillId="3" fontId="24" numFmtId="0" xfId="0" applyAlignment="1" applyBorder="1" applyFont="1">
      <alignment readingOrder="0"/>
    </xf>
    <xf borderId="4" fillId="3" fontId="28" numFmtId="0" xfId="0" applyAlignment="1" applyBorder="1" applyFont="1">
      <alignment readingOrder="0"/>
    </xf>
    <xf borderId="4" fillId="3" fontId="28" numFmtId="0" xfId="0" applyAlignment="1" applyBorder="1" applyFont="1">
      <alignment readingOrder="0" shrinkToFit="0" wrapText="1"/>
    </xf>
    <xf borderId="4" fillId="3" fontId="24" numFmtId="0" xfId="0" applyAlignment="1" applyBorder="1" applyFont="1">
      <alignment horizontal="center" readingOrder="0"/>
    </xf>
    <xf borderId="4" fillId="3" fontId="0" numFmtId="0" xfId="0" applyAlignment="1" applyBorder="1" applyFont="1">
      <alignment readingOrder="0" shrinkToFit="0" vertical="bottom" wrapText="1"/>
    </xf>
    <xf borderId="8" fillId="3" fontId="29" numFmtId="0" xfId="0" applyAlignment="1" applyBorder="1" applyFont="1">
      <alignment shrinkToFit="0" vertical="bottom" wrapText="1"/>
    </xf>
    <xf borderId="8" fillId="3" fontId="0" numFmtId="0" xfId="0" applyAlignment="1" applyBorder="1" applyFont="1">
      <alignment readingOrder="0" shrinkToFit="0" vertical="bottom" wrapText="1"/>
    </xf>
    <xf borderId="4" fillId="3" fontId="28" numFmtId="3" xfId="0" applyAlignment="1" applyBorder="1" applyFont="1" applyNumberFormat="1">
      <alignment readingOrder="0" shrinkToFit="0" wrapText="1"/>
    </xf>
    <xf borderId="4" fillId="3" fontId="2" numFmtId="0" xfId="0" applyAlignment="1" applyBorder="1" applyFont="1">
      <alignment readingOrder="0" shrinkToFit="0" wrapText="1"/>
    </xf>
    <xf borderId="4" fillId="3" fontId="2" numFmtId="9" xfId="0" applyAlignment="1" applyBorder="1" applyFont="1" applyNumberFormat="1">
      <alignment readingOrder="0"/>
    </xf>
    <xf borderId="4" fillId="3" fontId="12" numFmtId="0" xfId="0" applyAlignment="1" applyBorder="1" applyFont="1">
      <alignment readingOrder="0"/>
    </xf>
    <xf borderId="4" fillId="3" fontId="30" numFmtId="0" xfId="0" applyAlignment="1" applyBorder="1" applyFont="1">
      <alignment readingOrder="0"/>
    </xf>
    <xf borderId="6" fillId="2" fontId="11" numFmtId="0" xfId="0" applyBorder="1" applyFont="1"/>
    <xf borderId="5" fillId="3" fontId="31" numFmtId="0" xfId="0" applyAlignment="1" applyBorder="1" applyFont="1">
      <alignment readingOrder="0"/>
    </xf>
    <xf borderId="4" fillId="2" fontId="11" numFmtId="0" xfId="0" applyBorder="1" applyFont="1"/>
    <xf borderId="4" fillId="0" fontId="2" numFmtId="0" xfId="0" applyAlignment="1" applyBorder="1" applyFont="1">
      <alignment horizontal="left" readingOrder="0"/>
    </xf>
    <xf borderId="4" fillId="3" fontId="2" numFmtId="9" xfId="0" applyAlignment="1" applyBorder="1" applyFont="1" applyNumberFormat="1">
      <alignment horizontal="center" readingOrder="0"/>
    </xf>
    <xf borderId="4" fillId="0" fontId="2" numFmtId="0" xfId="0" applyAlignment="1" applyBorder="1" applyFont="1">
      <alignment horizontal="center" readingOrder="0"/>
    </xf>
    <xf borderId="4" fillId="0" fontId="2" numFmtId="0" xfId="0" applyAlignment="1" applyBorder="1" applyFont="1">
      <alignment horizontal="center"/>
    </xf>
    <xf borderId="4" fillId="3" fontId="28" numFmtId="0" xfId="0" applyAlignment="1" applyBorder="1" applyFont="1">
      <alignment horizontal="center" readingOrder="0"/>
    </xf>
    <xf borderId="4" fillId="3" fontId="28" numFmtId="0" xfId="0" applyAlignment="1" applyBorder="1" applyFont="1">
      <alignment horizontal="center" readingOrder="0" shrinkToFit="0" wrapText="1"/>
    </xf>
    <xf borderId="4" fillId="3" fontId="0" numFmtId="0" xfId="0" applyAlignment="1" applyBorder="1" applyFont="1">
      <alignment horizontal="center" readingOrder="0" shrinkToFit="0" vertical="bottom" wrapText="1"/>
    </xf>
    <xf borderId="8" fillId="3" fontId="29" numFmtId="0" xfId="0" applyAlignment="1" applyBorder="1" applyFont="1">
      <alignment horizontal="center" shrinkToFit="0" vertical="bottom" wrapText="1"/>
    </xf>
    <xf borderId="8" fillId="3" fontId="0" numFmtId="0" xfId="0" applyAlignment="1" applyBorder="1" applyFont="1">
      <alignment horizontal="center" readingOrder="0" shrinkToFit="0" vertical="bottom" wrapText="1"/>
    </xf>
    <xf borderId="4" fillId="3" fontId="28" numFmtId="3" xfId="0" applyAlignment="1" applyBorder="1" applyFont="1" applyNumberFormat="1">
      <alignment horizontal="center" readingOrder="0" shrinkToFit="0" wrapText="1"/>
    </xf>
    <xf borderId="4" fillId="3" fontId="2" numFmtId="0" xfId="0" applyAlignment="1" applyBorder="1" applyFont="1">
      <alignment horizontal="center"/>
    </xf>
    <xf borderId="4" fillId="0" fontId="3" numFmtId="0" xfId="0" applyAlignment="1" applyBorder="1" applyFont="1">
      <alignment horizontal="left" readingOrder="0"/>
    </xf>
    <xf borderId="4" fillId="3" fontId="13" numFmtId="0" xfId="0" applyAlignment="1" applyBorder="1" applyFont="1">
      <alignment readingOrder="0"/>
    </xf>
    <xf borderId="4" fillId="3" fontId="2" numFmtId="0" xfId="0" applyAlignment="1" applyBorder="1" applyFont="1">
      <alignment shrinkToFit="0" wrapText="1"/>
    </xf>
    <xf borderId="5" fillId="3" fontId="13" numFmtId="0" xfId="0" applyAlignment="1" applyBorder="1" applyFont="1">
      <alignment readingOrder="0" vertical="bottom"/>
    </xf>
    <xf borderId="5" fillId="3" fontId="13" numFmtId="0" xfId="0" applyAlignment="1" applyBorder="1" applyFont="1">
      <alignment readingOrder="0" shrinkToFit="0" vertical="bottom" wrapText="1"/>
    </xf>
    <xf borderId="4" fillId="0" fontId="13" numFmtId="0" xfId="0" applyAlignment="1" applyBorder="1" applyFont="1">
      <alignment readingOrder="0" vertical="bottom"/>
    </xf>
    <xf borderId="6" fillId="3" fontId="13" numFmtId="0" xfId="0" applyAlignment="1" applyBorder="1" applyFont="1">
      <alignment readingOrder="0" vertical="bottom"/>
    </xf>
    <xf borderId="6" fillId="3" fontId="13" numFmtId="0" xfId="0" applyAlignment="1" applyBorder="1" applyFont="1">
      <alignment vertical="bottom"/>
    </xf>
    <xf borderId="6" fillId="3" fontId="13" numFmtId="0" xfId="0" applyAlignment="1" applyBorder="1" applyFont="1">
      <alignment vertical="bottom"/>
    </xf>
    <xf borderId="6" fillId="3" fontId="13" numFmtId="0" xfId="0" applyAlignment="1" applyBorder="1" applyFont="1">
      <alignment shrinkToFit="0" vertical="bottom" wrapText="1"/>
    </xf>
    <xf borderId="5" fillId="3" fontId="13" numFmtId="0" xfId="0" applyAlignment="1" applyBorder="1" applyFont="1">
      <alignment vertical="bottom"/>
    </xf>
    <xf borderId="8" fillId="3" fontId="18" numFmtId="0" xfId="0" applyAlignment="1" applyBorder="1" applyFont="1">
      <alignment vertical="bottom"/>
    </xf>
    <xf borderId="18" fillId="0" fontId="13" numFmtId="0" xfId="0" applyAlignment="1" applyBorder="1" applyFont="1">
      <alignment readingOrder="0" vertical="bottom"/>
    </xf>
    <xf borderId="7" fillId="3" fontId="13" numFmtId="0" xfId="0" applyAlignment="1" applyBorder="1" applyFont="1">
      <alignment readingOrder="0" vertical="bottom"/>
    </xf>
    <xf borderId="5" fillId="3" fontId="3" numFmtId="0" xfId="0" applyAlignment="1" applyBorder="1" applyFont="1">
      <alignment readingOrder="0"/>
    </xf>
    <xf borderId="7" fillId="3" fontId="13" numFmtId="0" xfId="0" applyAlignment="1" applyBorder="1" applyFont="1">
      <alignment vertical="bottom"/>
    </xf>
    <xf borderId="19" fillId="0" fontId="13" numFmtId="0" xfId="0" applyAlignment="1" applyBorder="1" applyFont="1">
      <alignment shrinkToFit="0" vertical="bottom" wrapText="0"/>
    </xf>
    <xf borderId="19" fillId="0" fontId="18" numFmtId="0" xfId="0" applyAlignment="1" applyBorder="1" applyFont="1">
      <alignment vertical="bottom"/>
    </xf>
    <xf borderId="12" fillId="0" fontId="18" numFmtId="0" xfId="0" applyAlignment="1" applyBorder="1" applyFont="1">
      <alignment vertical="bottom"/>
    </xf>
    <xf borderId="1" fillId="0" fontId="18" numFmtId="0" xfId="0" applyAlignment="1" applyBorder="1" applyFont="1">
      <alignment vertical="bottom"/>
    </xf>
    <xf borderId="12" fillId="3" fontId="18" numFmtId="0" xfId="0" applyAlignment="1" applyBorder="1" applyFont="1">
      <alignment vertical="bottom"/>
    </xf>
    <xf borderId="5" fillId="3" fontId="32" numFmtId="0" xfId="0" applyAlignment="1" applyBorder="1" applyFont="1">
      <alignment readingOrder="0" shrinkToFit="0" wrapText="1"/>
    </xf>
    <xf borderId="5" fillId="3" fontId="12" numFmtId="0" xfId="0" applyAlignment="1" applyBorder="1" applyFont="1">
      <alignment readingOrder="0" vertical="bottom"/>
    </xf>
    <xf borderId="5" fillId="3" fontId="12" numFmtId="0" xfId="0" applyAlignment="1" applyBorder="1" applyFont="1">
      <alignment readingOrder="0" shrinkToFit="0" vertical="bottom" wrapText="1"/>
    </xf>
    <xf borderId="0" fillId="0" fontId="2" numFmtId="0" xfId="0" applyFont="1"/>
    <xf borderId="9" fillId="3" fontId="1" numFmtId="0" xfId="0" applyAlignment="1" applyBorder="1" applyFont="1">
      <alignment readingOrder="0" shrinkToFit="0" wrapText="1"/>
    </xf>
    <xf borderId="5" fillId="3" fontId="12" numFmtId="0" xfId="0" applyAlignment="1" applyBorder="1" applyFont="1">
      <alignment vertical="bottom"/>
    </xf>
    <xf borderId="9" fillId="3" fontId="13" numFmtId="0" xfId="0" applyAlignment="1" applyBorder="1" applyFont="1">
      <alignment horizontal="center" readingOrder="0" shrinkToFit="0" vertical="bottom" wrapText="1"/>
    </xf>
    <xf borderId="5" fillId="3" fontId="33" numFmtId="0" xfId="0" applyAlignment="1" applyBorder="1" applyFont="1">
      <alignment readingOrder="0"/>
    </xf>
    <xf borderId="11" fillId="0" fontId="6" numFmtId="0" xfId="0" applyBorder="1" applyFont="1"/>
    <xf borderId="7" fillId="2" fontId="2" numFmtId="0" xfId="0" applyBorder="1" applyFont="1"/>
    <xf borderId="4" fillId="2" fontId="2" numFmtId="0" xfId="0" applyBorder="1" applyFont="1"/>
    <xf borderId="0" fillId="2" fontId="6" numFmtId="0" xfId="0" applyFont="1"/>
    <xf borderId="0" fillId="2" fontId="18" numFmtId="0" xfId="0" applyAlignment="1" applyFont="1">
      <alignment vertical="bottom"/>
    </xf>
    <xf borderId="11" fillId="0" fontId="6" numFmtId="0" xfId="0" applyBorder="1" applyFont="1"/>
    <xf borderId="7" fillId="0" fontId="6" numFmtId="0" xfId="0" applyBorder="1" applyFont="1"/>
    <xf borderId="12" fillId="0" fontId="6" numFmtId="0" xfId="0" applyBorder="1" applyFont="1"/>
    <xf borderId="0" fillId="0" fontId="7" numFmtId="0" xfId="0" applyAlignment="1" applyFont="1">
      <alignment readingOrder="0"/>
    </xf>
    <xf borderId="4" fillId="12" fontId="34" numFmtId="0" xfId="0" applyAlignment="1" applyBorder="1" applyFill="1" applyFont="1">
      <alignment horizontal="center" vertical="center"/>
    </xf>
    <xf borderId="4" fillId="12" fontId="34" numFmtId="0" xfId="0" applyAlignment="1" applyBorder="1" applyFont="1">
      <alignment horizontal="center" shrinkToFit="0" vertical="center" wrapText="1"/>
    </xf>
    <xf borderId="4" fillId="12" fontId="34" numFmtId="164" xfId="0" applyAlignment="1" applyBorder="1" applyFont="1" applyNumberFormat="1">
      <alignment horizontal="center" vertical="center"/>
    </xf>
    <xf borderId="4" fillId="12" fontId="34" numFmtId="3" xfId="0" applyAlignment="1" applyBorder="1" applyFont="1" applyNumberFormat="1">
      <alignment horizontal="center" vertical="center"/>
    </xf>
    <xf borderId="4" fillId="0" fontId="6" numFmtId="0" xfId="0" applyAlignment="1" applyBorder="1" applyFont="1">
      <alignment horizontal="center" vertical="center"/>
    </xf>
    <xf borderId="4" fillId="0" fontId="6" numFmtId="165" xfId="0" applyAlignment="1" applyBorder="1" applyFont="1" applyNumberFormat="1">
      <alignment horizontal="center" vertical="center"/>
    </xf>
    <xf borderId="4" fillId="0" fontId="6" numFmtId="0" xfId="0" applyAlignment="1" applyBorder="1" applyFont="1">
      <alignment horizontal="center" shrinkToFit="0" vertical="center" wrapText="1"/>
    </xf>
    <xf borderId="4" fillId="0" fontId="6" numFmtId="3" xfId="0" applyAlignment="1" applyBorder="1" applyFont="1" applyNumberFormat="1">
      <alignment horizontal="center" vertical="center"/>
    </xf>
    <xf borderId="4" fillId="0" fontId="6" numFmtId="166" xfId="0" applyAlignment="1" applyBorder="1" applyFont="1" applyNumberFormat="1">
      <alignment horizontal="center" shrinkToFit="0" vertical="center" wrapText="1"/>
    </xf>
    <xf borderId="4" fillId="0" fontId="6" numFmtId="167" xfId="0" applyAlignment="1" applyBorder="1" applyFont="1" applyNumberFormat="1">
      <alignment horizontal="center" vertical="center"/>
    </xf>
    <xf borderId="4" fillId="0" fontId="35" numFmtId="0" xfId="0" applyAlignment="1" applyBorder="1" applyFont="1">
      <alignment horizontal="center" shrinkToFit="0" vertical="center" wrapText="1"/>
    </xf>
    <xf borderId="0" fillId="0" fontId="6" numFmtId="0" xfId="0" applyAlignment="1" applyFont="1">
      <alignment horizontal="center" vertical="center"/>
    </xf>
    <xf borderId="0" fillId="0" fontId="6" numFmtId="165" xfId="0" applyAlignment="1" applyFont="1" applyNumberFormat="1">
      <alignment horizontal="center" vertical="center"/>
    </xf>
    <xf borderId="0" fillId="0" fontId="6" numFmtId="0" xfId="0" applyAlignment="1" applyFont="1">
      <alignment horizontal="center" shrinkToFit="0" vertical="center" wrapText="1"/>
    </xf>
    <xf borderId="0" fillId="0" fontId="6" numFmtId="3" xfId="0" applyAlignment="1" applyFont="1" applyNumberFormat="1">
      <alignment horizontal="center" vertical="center"/>
    </xf>
    <xf borderId="0" fillId="13" fontId="36" numFmtId="0" xfId="0" applyAlignment="1" applyFill="1" applyFont="1">
      <alignment readingOrder="0" vertical="bottom"/>
    </xf>
    <xf borderId="0" fillId="13" fontId="36" numFmtId="165" xfId="0" applyAlignment="1" applyFont="1" applyNumberFormat="1">
      <alignment vertical="bottom"/>
    </xf>
    <xf borderId="0" fillId="13" fontId="37" numFmtId="0" xfId="0" applyAlignment="1" applyFont="1">
      <alignment vertical="bottom"/>
    </xf>
    <xf borderId="0" fillId="13" fontId="36" numFmtId="0" xfId="0" applyAlignment="1" applyFont="1">
      <alignment vertical="bottom"/>
    </xf>
    <xf borderId="3" fillId="13" fontId="7" numFmtId="0" xfId="0" applyAlignment="1" applyBorder="1" applyFont="1">
      <alignment readingOrder="0"/>
    </xf>
    <xf borderId="0" fillId="13" fontId="7" numFmtId="0" xfId="0" applyAlignment="1" applyFont="1">
      <alignment readingOrder="0"/>
    </xf>
    <xf borderId="0" fillId="13" fontId="37" numFmtId="0" xfId="0" applyAlignment="1" applyFont="1">
      <alignment readingOrder="0" vertical="bottom"/>
    </xf>
    <xf borderId="1" fillId="13" fontId="7" numFmtId="0" xfId="0" applyAlignment="1" applyBorder="1" applyFont="1">
      <alignment readingOrder="0"/>
    </xf>
    <xf borderId="3" fillId="13" fontId="36" numFmtId="0" xfId="0" applyAlignment="1" applyBorder="1" applyFont="1">
      <alignment horizontal="center" readingOrder="0" vertical="bottom"/>
    </xf>
    <xf borderId="1" fillId="13" fontId="37" numFmtId="0" xfId="0" applyAlignment="1" applyBorder="1" applyFont="1">
      <alignment readingOrder="0" vertical="bottom"/>
    </xf>
    <xf borderId="0" fillId="13" fontId="6" numFmtId="0" xfId="0" applyFont="1"/>
    <xf borderId="0" fillId="0" fontId="18" numFmtId="168" xfId="0" applyAlignment="1" applyFont="1" applyNumberFormat="1">
      <alignment vertical="bottom"/>
    </xf>
    <xf borderId="0" fillId="0" fontId="13" numFmtId="3" xfId="0" applyAlignment="1" applyFont="1" applyNumberFormat="1">
      <alignment horizontal="right" vertical="bottom"/>
    </xf>
    <xf borderId="0" fillId="0" fontId="18" numFmtId="169" xfId="0" applyAlignment="1" applyFont="1" applyNumberFormat="1">
      <alignment horizontal="right" readingOrder="0" vertical="bottom"/>
    </xf>
    <xf borderId="0" fillId="0" fontId="18" numFmtId="0" xfId="0" applyAlignment="1" applyFont="1">
      <alignment readingOrder="0" vertical="bottom"/>
    </xf>
    <xf borderId="0" fillId="0" fontId="38" numFmtId="0" xfId="0" applyAlignment="1" applyFont="1">
      <alignment vertical="bottom"/>
    </xf>
    <xf borderId="0" fillId="0" fontId="39" numFmtId="0" xfId="0" applyAlignment="1" applyFont="1">
      <alignment readingOrder="0" vertical="bottom"/>
    </xf>
    <xf borderId="0" fillId="0" fontId="6" numFmtId="169" xfId="0" applyAlignment="1" applyFont="1" applyNumberFormat="1">
      <alignment readingOrder="0"/>
    </xf>
    <xf borderId="0" fillId="0" fontId="40" numFmtId="0" xfId="0" applyAlignment="1" applyFont="1">
      <alignment readingOrder="0"/>
    </xf>
    <xf borderId="1" fillId="0" fontId="18" numFmtId="0" xfId="0" applyAlignment="1" applyBorder="1" applyFont="1">
      <alignment readingOrder="0" vertical="bottom"/>
    </xf>
    <xf borderId="0" fillId="0" fontId="41" numFmtId="0" xfId="0" applyAlignment="1" applyFont="1">
      <alignment readingOrder="0"/>
    </xf>
    <xf borderId="1" fillId="0" fontId="13" numFmtId="0" xfId="0" applyAlignment="1" applyBorder="1" applyFont="1">
      <alignment vertical="bottom"/>
    </xf>
    <xf borderId="1" fillId="0" fontId="13" numFmtId="0" xfId="0" applyAlignment="1" applyBorder="1" applyFont="1">
      <alignment readingOrder="0" vertical="bottom"/>
    </xf>
    <xf borderId="0" fillId="0" fontId="6" numFmtId="170" xfId="0" applyAlignment="1" applyFont="1" applyNumberFormat="1">
      <alignment readingOrder="0"/>
    </xf>
    <xf borderId="3" fillId="0" fontId="18" numFmtId="0" xfId="0" applyAlignment="1" applyBorder="1" applyFont="1">
      <alignment vertical="bottom"/>
    </xf>
    <xf borderId="1" fillId="0" fontId="13" numFmtId="0" xfId="0" applyAlignment="1" applyBorder="1" applyFont="1">
      <alignment vertical="bottom"/>
    </xf>
    <xf borderId="3" fillId="0" fontId="18" numFmtId="0" xfId="0" applyAlignment="1" applyBorder="1" applyFont="1">
      <alignment readingOrder="0"/>
    </xf>
    <xf borderId="0" fillId="0" fontId="13" numFmtId="0" xfId="0" applyAlignment="1" applyFont="1">
      <alignment vertical="bottom"/>
    </xf>
    <xf borderId="0" fillId="0" fontId="18" numFmtId="169" xfId="0" applyAlignment="1" applyFont="1" applyNumberFormat="1">
      <alignment horizontal="right" vertical="bottom"/>
    </xf>
    <xf borderId="0" fillId="0" fontId="13" numFmtId="0" xfId="0" applyAlignment="1" applyFont="1">
      <alignment readingOrder="0" vertical="bottom"/>
    </xf>
    <xf borderId="0" fillId="0" fontId="13" numFmtId="0" xfId="0" applyAlignment="1" applyFont="1">
      <alignment vertical="bottom"/>
    </xf>
    <xf borderId="3" fillId="0" fontId="18" numFmtId="0" xfId="0" applyAlignment="1" applyBorder="1" applyFont="1">
      <alignment horizontal="center" readingOrder="0"/>
    </xf>
    <xf borderId="3" fillId="0" fontId="6" numFmtId="0" xfId="0" applyAlignment="1" applyBorder="1" applyFont="1">
      <alignment horizontal="center"/>
    </xf>
    <xf borderId="0" fillId="3" fontId="6" numFmtId="0" xfId="0" applyAlignment="1" applyFont="1">
      <alignment readingOrder="0"/>
    </xf>
    <xf borderId="0" fillId="0" fontId="6" numFmtId="165" xfId="0" applyAlignment="1" applyFont="1" applyNumberFormat="1">
      <alignment readingOrder="0"/>
    </xf>
    <xf borderId="1" fillId="0" fontId="13" numFmtId="0" xfId="0" applyAlignment="1" applyBorder="1" applyFont="1">
      <alignment readingOrder="0" shrinkToFit="0" vertical="bottom" wrapText="1"/>
    </xf>
    <xf borderId="0" fillId="0" fontId="13" numFmtId="3" xfId="0" applyAlignment="1" applyFont="1" applyNumberFormat="1">
      <alignment horizontal="right" readingOrder="0" vertical="bottom"/>
    </xf>
    <xf borderId="0" fillId="0" fontId="18" numFmtId="165" xfId="0" applyAlignment="1" applyFont="1" applyNumberFormat="1">
      <alignment horizontal="right" readingOrder="0" vertical="bottom"/>
    </xf>
    <xf borderId="0" fillId="3" fontId="42" numFmtId="0" xfId="0" applyAlignment="1" applyFont="1">
      <alignment readingOrder="0"/>
    </xf>
    <xf borderId="9" fillId="0" fontId="6" numFmtId="0" xfId="0" applyBorder="1" applyFont="1"/>
    <xf borderId="0" fillId="14" fontId="6" numFmtId="0" xfId="0" applyFill="1" applyFont="1"/>
    <xf borderId="3" fillId="14" fontId="6" numFmtId="0" xfId="0" applyBorder="1" applyFont="1"/>
    <xf borderId="1" fillId="14" fontId="6" numFmtId="0" xfId="0" applyBorder="1" applyFont="1"/>
    <xf borderId="0" fillId="14" fontId="7" numFmtId="0" xfId="0" applyAlignment="1" applyFont="1">
      <alignment horizontal="center" readingOrder="0"/>
    </xf>
    <xf borderId="0" fillId="15" fontId="6" numFmtId="0" xfId="0" applyFill="1" applyFont="1"/>
    <xf borderId="3" fillId="15" fontId="6" numFmtId="0" xfId="0" applyAlignment="1" applyBorder="1" applyFont="1">
      <alignment readingOrder="0"/>
    </xf>
    <xf borderId="1" fillId="15" fontId="6" numFmtId="0" xfId="0" applyBorder="1" applyFont="1"/>
    <xf borderId="0" fillId="15" fontId="6" numFmtId="0" xfId="0" applyAlignment="1" applyFont="1">
      <alignment readingOrder="0"/>
    </xf>
    <xf borderId="0" fillId="11" fontId="6" numFmtId="0" xfId="0" applyAlignment="1" applyFont="1">
      <alignment readingOrder="0"/>
    </xf>
    <xf borderId="3" fillId="11" fontId="6" numFmtId="0" xfId="0" applyBorder="1" applyFont="1"/>
    <xf borderId="0" fillId="11" fontId="6" numFmtId="0" xfId="0" applyFont="1"/>
    <xf borderId="1" fillId="11" fontId="6" numFmtId="0" xfId="0" applyBorder="1" applyFont="1"/>
    <xf borderId="1" fillId="11" fontId="6" numFmtId="0" xfId="0" applyAlignment="1" applyBorder="1" applyFont="1">
      <alignment readingOrder="0"/>
    </xf>
    <xf borderId="1" fillId="9" fontId="6" numFmtId="0" xfId="0" applyBorder="1" applyFont="1"/>
    <xf borderId="0" fillId="9" fontId="6" numFmtId="0" xfId="0" applyAlignment="1" applyFont="1">
      <alignment readingOrder="0"/>
    </xf>
    <xf borderId="3" fillId="9" fontId="6" numFmtId="0" xfId="0" applyAlignment="1" applyBorder="1" applyFont="1">
      <alignment readingOrder="0"/>
    </xf>
    <xf borderId="6" fillId="0" fontId="6" numFmtId="0" xfId="0" applyAlignment="1" applyBorder="1" applyFont="1">
      <alignment horizontal="center" readingOrder="0"/>
    </xf>
    <xf borderId="5" fillId="16" fontId="6" numFmtId="0" xfId="0" applyBorder="1" applyFill="1" applyFont="1"/>
    <xf borderId="6" fillId="16" fontId="6" numFmtId="0" xfId="0" applyAlignment="1" applyBorder="1" applyFont="1">
      <alignment readingOrder="0"/>
    </xf>
    <xf borderId="6" fillId="16" fontId="6" numFmtId="0" xfId="0" applyBorder="1" applyFont="1"/>
    <xf borderId="8" fillId="16" fontId="6" numFmtId="0" xfId="0" applyBorder="1" applyFont="1"/>
    <xf borderId="5" fillId="17" fontId="6" numFmtId="0" xfId="0" applyBorder="1" applyFill="1" applyFont="1"/>
    <xf borderId="6" fillId="17" fontId="6" numFmtId="0" xfId="0" applyBorder="1" applyFont="1"/>
    <xf borderId="4" fillId="17" fontId="6" numFmtId="0" xfId="0" applyAlignment="1" applyBorder="1" applyFont="1">
      <alignment readingOrder="0"/>
    </xf>
    <xf borderId="8" fillId="17" fontId="6" numFmtId="0" xfId="0" applyBorder="1" applyFont="1"/>
    <xf borderId="5" fillId="10" fontId="43" numFmtId="0" xfId="0" applyAlignment="1" applyBorder="1" applyFont="1">
      <alignment readingOrder="0"/>
    </xf>
    <xf borderId="6" fillId="10" fontId="43" numFmtId="0" xfId="0" applyBorder="1" applyFont="1"/>
    <xf borderId="8" fillId="10" fontId="43" numFmtId="0" xfId="0" applyBorder="1" applyFont="1"/>
    <xf borderId="0" fillId="16" fontId="6" numFmtId="0" xfId="0" applyAlignment="1" applyFont="1">
      <alignment readingOrder="0"/>
    </xf>
    <xf borderId="0" fillId="16" fontId="6" numFmtId="0" xfId="0" applyFont="1"/>
    <xf borderId="1" fillId="16" fontId="6" numFmtId="0" xfId="0" applyBorder="1" applyFont="1"/>
    <xf borderId="3" fillId="16" fontId="6" numFmtId="0" xfId="0" applyBorder="1" applyFont="1"/>
    <xf borderId="0" fillId="17" fontId="6" numFmtId="0" xfId="0" applyAlignment="1" applyFont="1">
      <alignment readingOrder="0"/>
    </xf>
    <xf borderId="1" fillId="17" fontId="6" numFmtId="0" xfId="0" applyBorder="1" applyFont="1"/>
    <xf borderId="3" fillId="17" fontId="6" numFmtId="0" xfId="0" applyBorder="1" applyFont="1"/>
    <xf borderId="0" fillId="17" fontId="6" numFmtId="0" xfId="0" applyFont="1"/>
    <xf borderId="5" fillId="9" fontId="6" numFmtId="0" xfId="0" applyAlignment="1" applyBorder="1" applyFont="1">
      <alignment readingOrder="0"/>
    </xf>
    <xf borderId="6" fillId="9" fontId="6" numFmtId="0" xfId="0" applyBorder="1" applyFont="1"/>
    <xf borderId="8" fillId="9" fontId="6" numFmtId="0" xfId="0" applyBorder="1" applyFont="1"/>
    <xf borderId="0" fillId="16" fontId="44" numFmtId="0" xfId="0" applyFont="1"/>
    <xf borderId="3" fillId="11" fontId="45" numFmtId="0" xfId="0" applyAlignment="1" applyBorder="1" applyFont="1">
      <alignment readingOrder="0"/>
    </xf>
    <xf borderId="3" fillId="11" fontId="6" numFmtId="0" xfId="0" applyAlignment="1" applyBorder="1" applyFont="1">
      <alignment readingOrder="0"/>
    </xf>
    <xf borderId="3" fillId="17" fontId="6" numFmtId="0" xfId="0" applyAlignment="1" applyBorder="1" applyFont="1">
      <alignment readingOrder="0"/>
    </xf>
    <xf borderId="5" fillId="17" fontId="6" numFmtId="0" xfId="0" applyAlignment="1" applyBorder="1" applyFont="1">
      <alignment readingOrder="0"/>
    </xf>
    <xf borderId="3" fillId="16" fontId="6" numFmtId="0" xfId="0" applyAlignment="1" applyBorder="1" applyFont="1">
      <alignment readingOrder="0"/>
    </xf>
    <xf borderId="3" fillId="18" fontId="6" numFmtId="0" xfId="0" applyAlignment="1" applyBorder="1" applyFill="1" applyFont="1">
      <alignment readingOrder="0"/>
    </xf>
    <xf borderId="0" fillId="9" fontId="6" numFmtId="0" xfId="0" applyFont="1"/>
    <xf borderId="0" fillId="3" fontId="6" numFmtId="0" xfId="0" applyFont="1"/>
    <xf borderId="1" fillId="3" fontId="6" numFmtId="0" xfId="0" applyBorder="1" applyFont="1"/>
    <xf borderId="0" fillId="3" fontId="13" numFmtId="0" xfId="0" applyAlignment="1" applyFont="1">
      <alignment readingOrder="0"/>
    </xf>
    <xf borderId="3" fillId="0" fontId="18" numFmtId="0" xfId="0" applyAlignment="1" applyBorder="1" applyFont="1">
      <alignment vertical="bottom"/>
    </xf>
    <xf borderId="3" fillId="0" fontId="18" numFmtId="0" xfId="0" applyAlignment="1" applyBorder="1" applyFont="1">
      <alignment readingOrder="0" vertical="bottom"/>
    </xf>
    <xf borderId="3" fillId="11" fontId="7" numFmtId="0" xfId="0" applyAlignment="1" applyBorder="1" applyFont="1">
      <alignment readingOrder="0"/>
    </xf>
    <xf borderId="0" fillId="11" fontId="7" numFmtId="0" xfId="0" applyAlignment="1" applyFont="1">
      <alignment readingOrder="0"/>
    </xf>
    <xf borderId="0" fillId="19" fontId="13" numFmtId="0" xfId="0" applyAlignment="1" applyFill="1" applyFont="1">
      <alignment horizontal="left" readingOrder="0"/>
    </xf>
    <xf borderId="0" fillId="0" fontId="6" numFmtId="0" xfId="0" applyAlignment="1" applyFont="1">
      <alignment horizontal="center"/>
    </xf>
    <xf borderId="0" fillId="0" fontId="6" numFmtId="0" xfId="0" applyAlignment="1" applyFont="1">
      <alignment horizontal="center" readingOrder="0"/>
    </xf>
    <xf borderId="5" fillId="0" fontId="6" numFmtId="0" xfId="0" applyAlignment="1" applyBorder="1" applyFont="1">
      <alignment readingOrder="0" vertical="top"/>
    </xf>
    <xf borderId="3" fillId="0" fontId="6" numFmtId="0" xfId="0" applyAlignment="1" applyBorder="1" applyFont="1">
      <alignment readingOrder="0" vertical="top"/>
    </xf>
    <xf borderId="5" fillId="0" fontId="6" numFmtId="0" xfId="0" applyAlignment="1" applyBorder="1" applyFont="1">
      <alignment horizontal="left" readingOrder="0" vertical="top"/>
    </xf>
    <xf borderId="5" fillId="0" fontId="6" numFmtId="0" xfId="0" applyAlignment="1" applyBorder="1" applyFont="1">
      <alignment horizontal="center" readingOrder="0" vertical="top"/>
    </xf>
    <xf borderId="5" fillId="3" fontId="6" numFmtId="0" xfId="0" applyAlignment="1" applyBorder="1" applyFont="1">
      <alignment horizontal="center" readingOrder="0" vertical="top"/>
    </xf>
    <xf borderId="6" fillId="3" fontId="6" numFmtId="0" xfId="0" applyBorder="1" applyFont="1"/>
    <xf borderId="8" fillId="3" fontId="6" numFmtId="0" xfId="0" applyBorder="1" applyFont="1"/>
    <xf borderId="4" fillId="3" fontId="6" numFmtId="0" xfId="0" applyAlignment="1" applyBorder="1" applyFont="1">
      <alignment readingOrder="0"/>
    </xf>
    <xf borderId="5" fillId="3" fontId="13" numFmtId="0" xfId="0" applyAlignment="1" applyBorder="1" applyFont="1">
      <alignment horizontal="center" readingOrder="0" vertical="top"/>
    </xf>
    <xf borderId="5" fillId="3" fontId="6" numFmtId="0" xfId="0" applyAlignment="1" applyBorder="1" applyFont="1">
      <alignment readingOrder="0" vertical="top"/>
    </xf>
    <xf borderId="0" fillId="0" fontId="18" numFmtId="0" xfId="0" applyAlignment="1" applyFont="1">
      <alignment vertical="bottom"/>
    </xf>
    <xf borderId="0" fillId="0" fontId="18" numFmtId="165" xfId="0" applyAlignment="1" applyFont="1" applyNumberFormat="1">
      <alignment horizontal="right" vertical="bottom"/>
    </xf>
    <xf borderId="5" fillId="3" fontId="6" numFmtId="0" xfId="0" applyAlignment="1" applyBorder="1" applyFont="1">
      <alignment readingOrder="0"/>
    </xf>
    <xf borderId="3" fillId="19" fontId="18" numFmtId="0" xfId="0" applyAlignment="1" applyBorder="1" applyFont="1">
      <alignment vertical="bottom"/>
    </xf>
    <xf borderId="0" fillId="19" fontId="18" numFmtId="0" xfId="0" applyAlignment="1" applyFont="1">
      <alignment vertical="bottom"/>
    </xf>
    <xf borderId="1" fillId="0" fontId="18" numFmtId="0" xfId="0" applyAlignment="1" applyBorder="1" applyFont="1">
      <alignment vertical="bottom"/>
    </xf>
    <xf borderId="3" fillId="0" fontId="18" numFmtId="0" xfId="0" applyAlignment="1" applyBorder="1" applyFont="1">
      <alignment horizontal="center" vertical="bottom"/>
    </xf>
    <xf borderId="4" fillId="0" fontId="6" numFmtId="0" xfId="0" applyAlignment="1" applyBorder="1" applyFont="1">
      <alignment readingOrder="0"/>
    </xf>
    <xf borderId="0" fillId="3" fontId="13" numFmtId="0" xfId="0" applyAlignment="1" applyFont="1">
      <alignment horizontal="center" readingOrder="0"/>
    </xf>
    <xf borderId="5" fillId="0" fontId="2" numFmtId="0" xfId="0" applyAlignment="1" applyBorder="1" applyFont="1">
      <alignment horizontal="center" readingOrder="0"/>
    </xf>
    <xf borderId="11" fillId="0" fontId="6" numFmtId="0" xfId="0" applyAlignment="1" applyBorder="1" applyFont="1">
      <alignment horizontal="center" readingOrder="0"/>
    </xf>
    <xf borderId="1" fillId="0" fontId="6" numFmtId="0" xfId="0" applyAlignment="1" applyBorder="1" applyFont="1">
      <alignment horizontal="center" readingOrder="0"/>
    </xf>
    <xf borderId="5" fillId="3" fontId="13" numFmtId="0" xfId="0" applyAlignment="1" applyBorder="1" applyFont="1">
      <alignment horizontal="center" readingOrder="0"/>
    </xf>
    <xf borderId="0" fillId="0" fontId="6" numFmtId="165" xfId="0" applyFont="1" applyNumberFormat="1"/>
    <xf borderId="3" fillId="3" fontId="6" numFmtId="0" xfId="0" applyBorder="1" applyFont="1"/>
    <xf borderId="3" fillId="20" fontId="6" numFmtId="0" xfId="0" applyAlignment="1" applyBorder="1" applyFill="1" applyFont="1">
      <alignment readingOrder="0"/>
    </xf>
    <xf borderId="0" fillId="20" fontId="6" numFmtId="0" xfId="0" applyFont="1"/>
    <xf borderId="1" fillId="20" fontId="6" numFmtId="0" xfId="0" applyBorder="1" applyFont="1"/>
    <xf borderId="3" fillId="20" fontId="6" numFmtId="0" xfId="0" applyBorder="1" applyFont="1"/>
  </cellXfs>
  <cellStyles count="1">
    <cellStyle xfId="0" name="Normal" builtinId="0"/>
  </cellStyles>
  <dxfs count="7">
    <dxf>
      <font>
        <color rgb="FF0B8043"/>
      </font>
      <fill>
        <patternFill patternType="solid">
          <fgColor rgb="FFFFFFFF"/>
          <bgColor rgb="FFFFFFFF"/>
        </patternFill>
      </fill>
      <border/>
    </dxf>
    <dxf>
      <font/>
      <fill>
        <patternFill patternType="solid">
          <fgColor rgb="FFB7E1CD"/>
          <bgColor rgb="FFB7E1CD"/>
        </patternFill>
      </fill>
      <border/>
    </dxf>
    <dxf>
      <font/>
      <fill>
        <patternFill patternType="solid">
          <fgColor rgb="FFFCE8B2"/>
          <bgColor rgb="FFFCE8B2"/>
        </patternFill>
      </fill>
      <border/>
    </dxf>
    <dxf>
      <font>
        <color rgb="FF000000"/>
      </font>
      <fill>
        <patternFill patternType="solid">
          <fgColor rgb="FFCCCCCC"/>
          <bgColor rgb="FFCCCCCC"/>
        </patternFill>
      </fill>
      <border/>
    </dxf>
    <dxf>
      <font/>
      <fill>
        <patternFill patternType="solid">
          <fgColor rgb="FFF4C7C3"/>
          <bgColor rgb="FFF4C7C3"/>
        </patternFill>
      </fill>
      <border/>
    </dxf>
    <dxf>
      <font>
        <color rgb="FFFCE8B2"/>
      </font>
      <fill>
        <patternFill patternType="solid">
          <fgColor rgb="FFFCE8B2"/>
          <bgColor rgb="FFFCE8B2"/>
        </patternFill>
      </fill>
      <border/>
    </dxf>
    <dxf>
      <font/>
      <fill>
        <patternFill patternType="none"/>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400050</xdr:colOff>
      <xdr:row>9</xdr:row>
      <xdr:rowOff>200025</xdr:rowOff>
    </xdr:from>
    <xdr:ext cx="8191500" cy="45624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38100</xdr:colOff>
      <xdr:row>34</xdr:row>
      <xdr:rowOff>28575</xdr:rowOff>
    </xdr:from>
    <xdr:ext cx="8181975" cy="45624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114300</xdr:colOff>
      <xdr:row>58</xdr:row>
      <xdr:rowOff>152400</xdr:rowOff>
    </xdr:from>
    <xdr:ext cx="8239125" cy="460057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47625</xdr:colOff>
      <xdr:row>83</xdr:row>
      <xdr:rowOff>47625</xdr:rowOff>
    </xdr:from>
    <xdr:ext cx="8362950" cy="459105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9525</xdr:colOff>
      <xdr:row>108</xdr:row>
      <xdr:rowOff>19050</xdr:rowOff>
    </xdr:from>
    <xdr:ext cx="8382000" cy="44100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609600</xdr:colOff>
      <xdr:row>129</xdr:row>
      <xdr:rowOff>152400</xdr:rowOff>
    </xdr:from>
    <xdr:ext cx="8467725" cy="4371975"/>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greetz.nl/kaart/detail/lucies-quote---pineapple/1142776312" TargetMode="External"/><Relationship Id="rId2" Type="http://schemas.openxmlformats.org/officeDocument/2006/relationships/hyperlink" Target="https://www.greetz.nl/kaart/detail/kaarten-met-quotes---carpe-diem---positief/1142755178" TargetMode="External"/><Relationship Id="rId3" Type="http://schemas.openxmlformats.org/officeDocument/2006/relationships/hyperlink" Target="https://www.greetz.nl/kaart/detail/i-need-vitamin-sea/1142760655" TargetMode="External"/><Relationship Id="rId4" Type="http://schemas.openxmlformats.org/officeDocument/2006/relationships/hyperlink" Target="https://www.greetz.nl/kaart/detail/mag-ik-jouw-wereld-leuker-maken-/1142765632" TargetMode="External"/><Relationship Id="rId5" Type="http://schemas.openxmlformats.org/officeDocument/2006/relationships/hyperlink" Target="https://www.greetz.nl/kaart/detail/liefde-kaart---loesje---wit---spreuk---zwart/1142746361" TargetMode="External"/><Relationship Id="rId6" Type="http://schemas.openxmlformats.org/officeDocument/2006/relationships/hyperlink" Target="https://www.greetz.nl/kaart/detail/ik-denk-dat-wij-samen-heel-goed-wijn-kunnen--/1142765581" TargetMode="External"/><Relationship Id="rId7" Type="http://schemas.openxmlformats.org/officeDocument/2006/relationships/hyperlink" Target="https://www.greetz.nl/kaart/detail/put-on-your-positive-pants/1142760038"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www.greetz.nl/uitnodigingen/fotokaart" TargetMode="External"/><Relationship Id="rId42" Type="http://schemas.openxmlformats.org/officeDocument/2006/relationships/hyperlink" Target="https://www.greetz.nl/uitnodigingskaart" TargetMode="External"/><Relationship Id="rId41" Type="http://schemas.openxmlformats.org/officeDocument/2006/relationships/hyperlink" Target="https://www.greetz.be/uitnodigingen/fotokaart" TargetMode="External"/><Relationship Id="rId44" Type="http://schemas.openxmlformats.org/officeDocument/2006/relationships/hyperlink" Target="https://www.greetz.nl/kaarten/fotokaart" TargetMode="External"/><Relationship Id="rId43" Type="http://schemas.openxmlformats.org/officeDocument/2006/relationships/hyperlink" Target="https://www.greetz.be/uitnodigingskaart" TargetMode="External"/><Relationship Id="rId46" Type="http://schemas.openxmlformats.org/officeDocument/2006/relationships/hyperlink" Target="https://www.greetz.nl/chocolade/merci" TargetMode="External"/><Relationship Id="rId45" Type="http://schemas.openxmlformats.org/officeDocument/2006/relationships/hyperlink" Target="https://www.greetz.be/kaarten/fotokaart" TargetMode="External"/><Relationship Id="rId106" Type="http://schemas.openxmlformats.org/officeDocument/2006/relationships/vmlDrawing" Target="../drawings/vmlDrawing3.vml"/><Relationship Id="rId105" Type="http://schemas.openxmlformats.org/officeDocument/2006/relationships/drawing" Target="../drawings/drawing7.xml"/><Relationship Id="rId104" Type="http://schemas.openxmlformats.org/officeDocument/2006/relationships/hyperlink" Target="https://www.greetz.be/wijn/witte-wijn" TargetMode="External"/><Relationship Id="rId48" Type="http://schemas.openxmlformats.org/officeDocument/2006/relationships/hyperlink" Target="https://www.greetz.nl/zakelijk/kortingscode" TargetMode="External"/><Relationship Id="rId47" Type="http://schemas.openxmlformats.org/officeDocument/2006/relationships/hyperlink" Target="https://www.greetz.be/chocolade/merci" TargetMode="External"/><Relationship Id="rId49" Type="http://schemas.openxmlformats.org/officeDocument/2006/relationships/hyperlink" Target="https://www.greetz.nl/ballonnen" TargetMode="External"/><Relationship Id="rId103" Type="http://schemas.openxmlformats.org/officeDocument/2006/relationships/hyperlink" Target="https://www.greetz.nl/wijn/witte-wijn" TargetMode="External"/><Relationship Id="rId102" Type="http://schemas.openxmlformats.org/officeDocument/2006/relationships/hyperlink" Target="https://www.greetz.nl/taart-gebak/donuts" TargetMode="External"/><Relationship Id="rId101" Type="http://schemas.openxmlformats.org/officeDocument/2006/relationships/hyperlink" Target="https://www.greetz.nl/taart-gebak/slagroomtaart" TargetMode="External"/><Relationship Id="rId100" Type="http://schemas.openxmlformats.org/officeDocument/2006/relationships/hyperlink" Target="https://www.greetz.be/cadeaus/snoeppotten" TargetMode="External"/><Relationship Id="rId31" Type="http://schemas.openxmlformats.org/officeDocument/2006/relationships/hyperlink" Target="https://www.greetz.nl/nieuwjaar" TargetMode="External"/><Relationship Id="rId30" Type="http://schemas.openxmlformats.org/officeDocument/2006/relationships/hyperlink" Target="https://www.greetz.nl/bloemen/gemengde-boeketten" TargetMode="External"/><Relationship Id="rId33" Type="http://schemas.openxmlformats.org/officeDocument/2006/relationships/hyperlink" Target="https://www.greetz.nl/baby-kids" TargetMode="External"/><Relationship Id="rId32" Type="http://schemas.openxmlformats.org/officeDocument/2006/relationships/hyperlink" Target="https://www.greetz.be/nieuwjaar" TargetMode="External"/><Relationship Id="rId35" Type="http://schemas.openxmlformats.org/officeDocument/2006/relationships/hyperlink" Target="https://www.greetz.nl/bloemen/detail/boeket-bruisend/1142802312" TargetMode="External"/><Relationship Id="rId34" Type="http://schemas.openxmlformats.org/officeDocument/2006/relationships/hyperlink" Target="https://www.greetz.be/baby-kids" TargetMode="External"/><Relationship Id="rId37" Type="http://schemas.openxmlformats.org/officeDocument/2006/relationships/hyperlink" Target="https://www.kaartenhuis.nl/" TargetMode="External"/><Relationship Id="rId36" Type="http://schemas.openxmlformats.org/officeDocument/2006/relationships/hyperlink" Target="https://www.greetz.be/bloemen/detail/boeket-bruisend/1142803179" TargetMode="External"/><Relationship Id="rId39" Type="http://schemas.openxmlformats.org/officeDocument/2006/relationships/hyperlink" Target="https://www.greetz.be/cadeaus/beauty" TargetMode="External"/><Relationship Id="rId38" Type="http://schemas.openxmlformats.org/officeDocument/2006/relationships/hyperlink" Target="https://www.greetz.nl/cadeaus/beauty" TargetMode="External"/><Relationship Id="rId20" Type="http://schemas.openxmlformats.org/officeDocument/2006/relationships/hyperlink" Target="https://www.kaartenhuis.nl/" TargetMode="External"/><Relationship Id="rId22" Type="http://schemas.openxmlformats.org/officeDocument/2006/relationships/hyperlink" Target="https://www.greetz.be/bloemen/detail/boeket-mixed-spring/1142803197" TargetMode="External"/><Relationship Id="rId21" Type="http://schemas.openxmlformats.org/officeDocument/2006/relationships/hyperlink" Target="https://www.greetz.nl/bloemen/detail/boeket-mixed-spring/1142802333" TargetMode="External"/><Relationship Id="rId24" Type="http://schemas.openxmlformats.org/officeDocument/2006/relationships/hyperlink" Target="https://www.greetz.be/valentijn" TargetMode="External"/><Relationship Id="rId23" Type="http://schemas.openxmlformats.org/officeDocument/2006/relationships/hyperlink" Target="https://www.greetz.nl/valentijn" TargetMode="External"/><Relationship Id="rId26" Type="http://schemas.openxmlformats.org/officeDocument/2006/relationships/hyperlink" Target="https://www.greetz.nl/wenskaarten" TargetMode="External"/><Relationship Id="rId25" Type="http://schemas.openxmlformats.org/officeDocument/2006/relationships/hyperlink" Target="https://www.greetz.nl/baby-en-kids" TargetMode="External"/><Relationship Id="rId28" Type="http://schemas.openxmlformats.org/officeDocument/2006/relationships/hyperlink" Target="https://www.greetz.nl/kaarten" TargetMode="External"/><Relationship Id="rId27" Type="http://schemas.openxmlformats.org/officeDocument/2006/relationships/hyperlink" Target="https://www.greetz.be/wenskaarten" TargetMode="External"/><Relationship Id="rId29" Type="http://schemas.openxmlformats.org/officeDocument/2006/relationships/hyperlink" Target="https://www.greetz.be/kaarten" TargetMode="External"/><Relationship Id="rId95" Type="http://schemas.openxmlformats.org/officeDocument/2006/relationships/hyperlink" Target="https://www.greetz.nl/dranken/thuisproeverij" TargetMode="External"/><Relationship Id="rId94" Type="http://schemas.openxmlformats.org/officeDocument/2006/relationships/hyperlink" Target="https://www.greetz.be/dranken/thee" TargetMode="External"/><Relationship Id="rId97" Type="http://schemas.openxmlformats.org/officeDocument/2006/relationships/hyperlink" Target="https://www.greetz.nl/cadeaus/snoeppotten" TargetMode="External"/><Relationship Id="rId96" Type="http://schemas.openxmlformats.org/officeDocument/2006/relationships/hyperlink" Target="https://www.greetz.be/dranken/thuisproeverij" TargetMode="External"/><Relationship Id="rId11" Type="http://schemas.openxmlformats.org/officeDocument/2006/relationships/hyperlink" Target="https://www.greetz.be/bloemen-en-planten" TargetMode="External"/><Relationship Id="rId99" Type="http://schemas.openxmlformats.org/officeDocument/2006/relationships/hyperlink" Target="https://www.greetz.nl/cadeaus/snoeppotten" TargetMode="External"/><Relationship Id="rId10" Type="http://schemas.openxmlformats.org/officeDocument/2006/relationships/hyperlink" Target="https://www.greetz.nl/bloemen-en-planten" TargetMode="External"/><Relationship Id="rId98" Type="http://schemas.openxmlformats.org/officeDocument/2006/relationships/hyperlink" Target="https://www.greetz.be/cadeaus/snoeppotten" TargetMode="External"/><Relationship Id="rId13" Type="http://schemas.openxmlformats.org/officeDocument/2006/relationships/hyperlink" Target="https://greetz.nl/wijn-met-eigen-etiket" TargetMode="External"/><Relationship Id="rId12" Type="http://schemas.openxmlformats.org/officeDocument/2006/relationships/hyperlink" Target="https://www.greetz.nl/zakelijk" TargetMode="External"/><Relationship Id="rId91" Type="http://schemas.openxmlformats.org/officeDocument/2006/relationships/hyperlink" Target="https://www.greetz.nl/cadeaus?uitgelicht=mooi" TargetMode="External"/><Relationship Id="rId90" Type="http://schemas.openxmlformats.org/officeDocument/2006/relationships/hyperlink" Target="https://www.greetz.be/chocolade/australian" TargetMode="External"/><Relationship Id="rId93" Type="http://schemas.openxmlformats.org/officeDocument/2006/relationships/hyperlink" Target="https://www.greetz.nl/dranken/thee" TargetMode="External"/><Relationship Id="rId92" Type="http://schemas.openxmlformats.org/officeDocument/2006/relationships/hyperlink" Target="https://www.greetz.be/cadeaus?uitgelicht=mooi" TargetMode="External"/><Relationship Id="rId15" Type="http://schemas.openxmlformats.org/officeDocument/2006/relationships/hyperlink" Target="https://www.greetz.nl/uitnodigingskaart" TargetMode="External"/><Relationship Id="rId14" Type="http://schemas.openxmlformats.org/officeDocument/2006/relationships/hyperlink" Target="https://greetz.be/wijn-met-eigen-etiket" TargetMode="External"/><Relationship Id="rId17" Type="http://schemas.openxmlformats.org/officeDocument/2006/relationships/hyperlink" Target="https://www.greetz.nl/ballon" TargetMode="External"/><Relationship Id="rId16" Type="http://schemas.openxmlformats.org/officeDocument/2006/relationships/hyperlink" Target="https://www.greetz.be/uitnodigingskaart" TargetMode="External"/><Relationship Id="rId19" Type="http://schemas.openxmlformats.org/officeDocument/2006/relationships/hyperlink" Target="https://www.greetz.nl/speciaalbier/bierpakket" TargetMode="External"/><Relationship Id="rId18" Type="http://schemas.openxmlformats.org/officeDocument/2006/relationships/hyperlink" Target="https://www.greetz.be/ballon" TargetMode="External"/><Relationship Id="rId84" Type="http://schemas.openxmlformats.org/officeDocument/2006/relationships/hyperlink" Target="https://www.greetz.nl/bloemen/detail/boeket-parel/1142802306" TargetMode="External"/><Relationship Id="rId83" Type="http://schemas.openxmlformats.org/officeDocument/2006/relationships/hyperlink" Target="https://www.greetz.be/speciaalbier" TargetMode="External"/><Relationship Id="rId86" Type="http://schemas.openxmlformats.org/officeDocument/2006/relationships/hyperlink" Target="https://www.greetz.be/kaarten" TargetMode="External"/><Relationship Id="rId85" Type="http://schemas.openxmlformats.org/officeDocument/2006/relationships/hyperlink" Target="https://www.greetz.nl/kaarten" TargetMode="External"/><Relationship Id="rId88" Type="http://schemas.openxmlformats.org/officeDocument/2006/relationships/hyperlink" Target="https://www.greetz.be/wijn" TargetMode="External"/><Relationship Id="rId87" Type="http://schemas.openxmlformats.org/officeDocument/2006/relationships/hyperlink" Target="https://www.greetz.nl/dranken/wijn" TargetMode="External"/><Relationship Id="rId89" Type="http://schemas.openxmlformats.org/officeDocument/2006/relationships/hyperlink" Target="https://www.greetz.nl/chocolade/australian" TargetMode="External"/><Relationship Id="rId80" Type="http://schemas.openxmlformats.org/officeDocument/2006/relationships/hyperlink" Target="https://www.greetz.nl/cadeaus" TargetMode="External"/><Relationship Id="rId82" Type="http://schemas.openxmlformats.org/officeDocument/2006/relationships/hyperlink" Target="https://www.greetz.nl/speciaalbier" TargetMode="External"/><Relationship Id="rId81" Type="http://schemas.openxmlformats.org/officeDocument/2006/relationships/hyperlink" Target="https://www.greetz.be/cadeaus" TargetMode="External"/><Relationship Id="rId1" Type="http://schemas.openxmlformats.org/officeDocument/2006/relationships/comments" Target="../comments3.xml"/><Relationship Id="rId2" Type="http://schemas.openxmlformats.org/officeDocument/2006/relationships/hyperlink" Target="https://www.greetz.nl/bloemen/detail/boeket-ellen-standaard/1142795239" TargetMode="External"/><Relationship Id="rId3" Type="http://schemas.openxmlformats.org/officeDocument/2006/relationships/hyperlink" Target="https://www.greetz.be/bloemen/detail/boeket-ellen-middel/1142795365" TargetMode="External"/><Relationship Id="rId4" Type="http://schemas.openxmlformats.org/officeDocument/2006/relationships/hyperlink" Target="https://www.greetz.nl/bloemen/detail/boeket-ellen-standaard/1142795239" TargetMode="External"/><Relationship Id="rId9" Type="http://schemas.openxmlformats.org/officeDocument/2006/relationships/hyperlink" Target="https://www.greetz.be/cadeaus/snoeppotten" TargetMode="External"/><Relationship Id="rId5" Type="http://schemas.openxmlformats.org/officeDocument/2006/relationships/hyperlink" Target="https://www.greetz.be/bloemen/detail/boeket-ellen-middel/1142795365" TargetMode="External"/><Relationship Id="rId6" Type="http://schemas.openxmlformats.org/officeDocument/2006/relationships/hyperlink" Target="https://www.greetz.nl/kaarten" TargetMode="External"/><Relationship Id="rId7" Type="http://schemas.openxmlformats.org/officeDocument/2006/relationships/hyperlink" Target="https://www.greetz.be/kaarten" TargetMode="External"/><Relationship Id="rId8" Type="http://schemas.openxmlformats.org/officeDocument/2006/relationships/hyperlink" Target="https://www.greetz.nl/cadeaus/snoeppotten" TargetMode="External"/><Relationship Id="rId73" Type="http://schemas.openxmlformats.org/officeDocument/2006/relationships/hyperlink" Target="https://www.greetz.nl/wijn/foto-en-tekst-cadeaus" TargetMode="External"/><Relationship Id="rId72" Type="http://schemas.openxmlformats.org/officeDocument/2006/relationships/hyperlink" Target="https://www.greetz.be/kaarten" TargetMode="External"/><Relationship Id="rId75" Type="http://schemas.openxmlformats.org/officeDocument/2006/relationships/hyperlink" Target="https://www.greetz.nl/uitnodigingskaart" TargetMode="External"/><Relationship Id="rId74" Type="http://schemas.openxmlformats.org/officeDocument/2006/relationships/hyperlink" Target="https://www.greetz.be/wijn/foto-en-tekst-cadeaus" TargetMode="External"/><Relationship Id="rId77" Type="http://schemas.openxmlformats.org/officeDocument/2006/relationships/hyperlink" Target="https://www.greetz.nl/chocolade-gebak/merci" TargetMode="External"/><Relationship Id="rId76" Type="http://schemas.openxmlformats.org/officeDocument/2006/relationships/hyperlink" Target="https://www.greetz.nl/cadeaus?uitgelicht=cadeaus-met-gepersonaliseerd-cadeaupapier" TargetMode="External"/><Relationship Id="rId79" Type="http://schemas.openxmlformats.org/officeDocument/2006/relationships/hyperlink" Target="https://www.greetz.nl/zakelijk/kortingscode" TargetMode="External"/><Relationship Id="rId78" Type="http://schemas.openxmlformats.org/officeDocument/2006/relationships/hyperlink" Target="https://www.greetz.be/chocolade/merci" TargetMode="External"/><Relationship Id="rId71" Type="http://schemas.openxmlformats.org/officeDocument/2006/relationships/hyperlink" Target="https://www.greetz.nl/kaarten" TargetMode="External"/><Relationship Id="rId70" Type="http://schemas.openxmlformats.org/officeDocument/2006/relationships/hyperlink" Target="https://www.greetz.nl/taart-gebak/foto-en-tekst-cadeaus" TargetMode="External"/><Relationship Id="rId62" Type="http://schemas.openxmlformats.org/officeDocument/2006/relationships/hyperlink" Target="https://www.greetz.nl/uitnodigingskaart" TargetMode="External"/><Relationship Id="rId61" Type="http://schemas.openxmlformats.org/officeDocument/2006/relationships/hyperlink" Target="https://www.greetz.be/chocolade/tony's-chocolonely" TargetMode="External"/><Relationship Id="rId64" Type="http://schemas.openxmlformats.org/officeDocument/2006/relationships/hyperlink" Target="https://www.greetz.nl/kaarten/fotokaart" TargetMode="External"/><Relationship Id="rId63" Type="http://schemas.openxmlformats.org/officeDocument/2006/relationships/hyperlink" Target="https://www.kaartenhuis.nl/" TargetMode="External"/><Relationship Id="rId66" Type="http://schemas.openxmlformats.org/officeDocument/2006/relationships/hyperlink" Target="https://www.greetz.be/ballonnen" TargetMode="External"/><Relationship Id="rId65" Type="http://schemas.openxmlformats.org/officeDocument/2006/relationships/hyperlink" Target="https://www.greetz.nl/ballonnen" TargetMode="External"/><Relationship Id="rId68" Type="http://schemas.openxmlformats.org/officeDocument/2006/relationships/hyperlink" Target="https://www.greetz.nl/wijn/ros%C3%A9" TargetMode="External"/><Relationship Id="rId67" Type="http://schemas.openxmlformats.org/officeDocument/2006/relationships/hyperlink" Target="https://www.greetz.nl/secretaressedag" TargetMode="External"/><Relationship Id="rId60" Type="http://schemas.openxmlformats.org/officeDocument/2006/relationships/hyperlink" Target="https://www.greetz.nl/chocolade/tony's-chocolonely" TargetMode="External"/><Relationship Id="rId69" Type="http://schemas.openxmlformats.org/officeDocument/2006/relationships/hyperlink" Target="https://www.greetz.be/wijn/ros%C3%A9" TargetMode="External"/><Relationship Id="rId51" Type="http://schemas.openxmlformats.org/officeDocument/2006/relationships/hyperlink" Target="https://www.greetz.nl/cadeaus" TargetMode="External"/><Relationship Id="rId50" Type="http://schemas.openxmlformats.org/officeDocument/2006/relationships/hyperlink" Target="https://www.greetz.be/bloemen-en-planten" TargetMode="External"/><Relationship Id="rId53" Type="http://schemas.openxmlformats.org/officeDocument/2006/relationships/hyperlink" Target="https://www.greetz.nl/uitnodigingskaart" TargetMode="External"/><Relationship Id="rId52" Type="http://schemas.openxmlformats.org/officeDocument/2006/relationships/hyperlink" Target="https://www.greetz.be/cadeaus" TargetMode="External"/><Relationship Id="rId55" Type="http://schemas.openxmlformats.org/officeDocument/2006/relationships/hyperlink" Target="https://www.greetz.nl/boeken" TargetMode="External"/><Relationship Id="rId54" Type="http://schemas.openxmlformats.org/officeDocument/2006/relationships/hyperlink" Target="https://www.greetz.be/uitnodigingskaart" TargetMode="External"/><Relationship Id="rId57" Type="http://schemas.openxmlformats.org/officeDocument/2006/relationships/hyperlink" Target="https://www.greetz.be/bloemen-en-planten" TargetMode="External"/><Relationship Id="rId56" Type="http://schemas.openxmlformats.org/officeDocument/2006/relationships/hyperlink" Target="https://www.greetz.nl/bloemen-en-planten" TargetMode="External"/><Relationship Id="rId59" Type="http://schemas.openxmlformats.org/officeDocument/2006/relationships/hyperlink" Target="https://www.greetz.be/dranken/thee" TargetMode="External"/><Relationship Id="rId58" Type="http://schemas.openxmlformats.org/officeDocument/2006/relationships/hyperlink" Target="https://www.greetz.nl/dranken/the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75"/>
  <cols>
    <col customWidth="1" min="1" max="1" width="37.86"/>
    <col customWidth="1" min="2" max="7" width="4.43"/>
    <col customWidth="1" min="8" max="8" width="3.14"/>
    <col customWidth="1" min="9" max="13" width="4.43"/>
    <col customWidth="1" min="14" max="14" width="4.0"/>
    <col customWidth="1" min="15" max="15" width="3.14"/>
    <col customWidth="1" min="16" max="16" width="4.14"/>
    <col customWidth="1" min="17" max="17" width="4.57"/>
    <col customWidth="1" min="18" max="18" width="3.57"/>
    <col customWidth="1" min="19" max="21" width="4.43"/>
    <col customWidth="1" min="22" max="22" width="3.14"/>
    <col customWidth="1" min="23" max="25" width="4.43"/>
    <col customWidth="1" min="26" max="26" width="4.57"/>
    <col customWidth="1" min="27" max="27" width="4.29"/>
    <col customWidth="1" min="28" max="29" width="4.43"/>
    <col customWidth="1" min="30" max="30" width="5.29"/>
    <col customWidth="1" min="31" max="33" width="4.43"/>
    <col customWidth="1" min="34" max="34" width="4.14"/>
    <col customWidth="1" min="35" max="35" width="4.43"/>
    <col customWidth="1" min="36" max="36" width="3.14"/>
    <col customWidth="1" min="37" max="39" width="4.43"/>
    <col customWidth="1" min="40" max="40" width="3.14"/>
    <col customWidth="1" min="41" max="42" width="4.43"/>
    <col customWidth="1" min="43" max="43" width="4.0"/>
    <col customWidth="1" min="44" max="44" width="4.43"/>
    <col customWidth="1" min="45" max="45" width="4.86"/>
    <col customWidth="1" min="46" max="46" width="4.43"/>
    <col customWidth="1" min="47" max="47" width="4.29"/>
    <col customWidth="1" min="48" max="49" width="4.43"/>
    <col customWidth="1" min="50" max="50" width="3.14"/>
    <col customWidth="1" min="51" max="56" width="4.43"/>
    <col customWidth="1" min="57" max="57" width="3.14"/>
    <col customWidth="1" min="58" max="63" width="4.43"/>
    <col customWidth="1" min="64" max="64" width="3.14"/>
    <col customWidth="1" min="65" max="70" width="4.43"/>
    <col customWidth="1" min="71" max="71" width="3.14"/>
    <col customWidth="1" min="72" max="76" width="4.43"/>
    <col customWidth="1" min="77" max="77" width="4.71"/>
    <col customWidth="1" min="78" max="84" width="4.43"/>
    <col customWidth="1" min="85" max="85" width="3.14"/>
    <col customWidth="1" min="86" max="89" width="4.43"/>
    <col customWidth="1" min="90" max="90" width="3.14"/>
    <col customWidth="1" min="91" max="91" width="4.43"/>
    <col customWidth="1" min="92" max="92" width="8.0"/>
    <col customWidth="1" min="93" max="98" width="4.43"/>
    <col customWidth="1" min="99" max="99" width="5.14"/>
    <col customWidth="1" min="100" max="105" width="4.43"/>
    <col customWidth="1" min="106" max="106" width="4.71"/>
    <col customWidth="1" min="107" max="112" width="4.43"/>
    <col customWidth="1" min="113" max="113" width="3.14"/>
    <col customWidth="1" min="114" max="119" width="4.43"/>
    <col customWidth="1" min="120" max="120" width="3.14"/>
    <col customWidth="1" min="121" max="126" width="4.43"/>
    <col customWidth="1" min="127" max="127" width="4.14"/>
    <col customWidth="1" min="128" max="133" width="4.43"/>
    <col customWidth="1" min="134" max="134" width="4.57"/>
    <col customWidth="1" min="135" max="140" width="4.43"/>
    <col customWidth="1" min="141" max="141" width="3.14"/>
    <col customWidth="1" min="142" max="147" width="4.43"/>
    <col customWidth="1" min="148" max="148" width="4.14"/>
    <col customWidth="1" min="149" max="154" width="4.43"/>
    <col customWidth="1" min="155" max="155" width="5.43"/>
    <col customWidth="1" min="156" max="161" width="4.43"/>
    <col customWidth="1" min="162" max="162" width="4.0"/>
    <col customWidth="1" min="163" max="196" width="4.43"/>
    <col customWidth="1" min="197" max="197" width="4.0"/>
    <col customWidth="1" min="198" max="203" width="4.43"/>
    <col customWidth="1" min="204" max="204" width="4.86"/>
    <col customWidth="1" min="205" max="212" width="4.43"/>
    <col customWidth="1" min="213" max="213" width="3.14"/>
    <col customWidth="1" min="214" max="266" width="4.43"/>
    <col customWidth="1" min="267" max="267" width="5.57"/>
    <col customWidth="1" min="268" max="273" width="4.43"/>
    <col customWidth="1" min="274" max="274" width="3.14"/>
    <col customWidth="1" min="275" max="280" width="4.43"/>
    <col customWidth="1" min="281" max="281" width="5.57"/>
    <col customWidth="1" min="282" max="294" width="4.43"/>
    <col customWidth="1" min="295" max="295" width="3.14"/>
    <col customWidth="1" min="296" max="301" width="4.43"/>
    <col customWidth="1" min="302" max="302" width="3.14"/>
    <col customWidth="1" min="303" max="304" width="4.43"/>
    <col customWidth="1" min="305" max="305" width="3.57"/>
    <col customWidth="1" min="306" max="329" width="4.43"/>
    <col customWidth="1" min="330" max="330" width="3.14"/>
    <col customWidth="1" min="331" max="366" width="4.43"/>
    <col customWidth="1" min="367" max="367" width="4.0"/>
    <col customWidth="1" min="368" max="681" width="4.43"/>
  </cols>
  <sheetData>
    <row r="1">
      <c r="A1" s="3" t="s">
        <v>0</v>
      </c>
      <c r="B1" s="5" t="s">
        <v>1</v>
      </c>
      <c r="AH1" s="7" t="s">
        <v>2</v>
      </c>
      <c r="BJ1" s="8" t="s">
        <v>4</v>
      </c>
      <c r="CO1" s="9" t="s">
        <v>5</v>
      </c>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1" t="s">
        <v>6</v>
      </c>
      <c r="EX1" s="9" t="s">
        <v>7</v>
      </c>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9" t="s">
        <v>8</v>
      </c>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9" t="s">
        <v>9</v>
      </c>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9" t="s">
        <v>10</v>
      </c>
      <c r="IM1" s="10"/>
      <c r="IN1" s="10"/>
      <c r="IO1" s="10"/>
      <c r="IP1" s="10"/>
      <c r="IQ1" s="10"/>
      <c r="IR1" s="10"/>
      <c r="IS1" s="10"/>
      <c r="IT1" s="10"/>
      <c r="IU1" s="10"/>
      <c r="IV1" s="10"/>
      <c r="IW1" s="10"/>
      <c r="IX1" s="10"/>
      <c r="IY1" s="10"/>
      <c r="IZ1" s="10"/>
      <c r="JA1" s="10"/>
      <c r="JB1" s="10"/>
      <c r="JC1" s="10"/>
      <c r="JD1" s="10"/>
      <c r="JE1" s="10"/>
      <c r="JF1" s="10"/>
      <c r="JG1" s="10"/>
      <c r="JH1" s="10"/>
      <c r="JI1" s="10"/>
      <c r="JJ1" s="10"/>
      <c r="JK1" s="10"/>
      <c r="JL1" s="10"/>
      <c r="JM1" s="10"/>
      <c r="JN1" s="10"/>
      <c r="JO1" s="10"/>
      <c r="JP1" s="9" t="s">
        <v>11</v>
      </c>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9" t="s">
        <v>12</v>
      </c>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9" t="s">
        <v>13</v>
      </c>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row>
    <row r="2">
      <c r="A2" s="17" t="s">
        <v>17</v>
      </c>
      <c r="B2" s="18" t="s">
        <v>18</v>
      </c>
      <c r="AH2" s="18" t="s">
        <v>19</v>
      </c>
      <c r="BJ2" s="19" t="s">
        <v>21</v>
      </c>
      <c r="CO2" s="19" t="s">
        <v>22</v>
      </c>
      <c r="DS2" s="21" t="s">
        <v>23</v>
      </c>
      <c r="EX2" s="22" t="s">
        <v>24</v>
      </c>
      <c r="EY2" s="23"/>
      <c r="EZ2" s="23"/>
      <c r="FA2" s="23"/>
      <c r="FB2" s="23"/>
      <c r="FC2" s="23"/>
      <c r="FD2" s="23"/>
      <c r="FE2" s="23"/>
      <c r="FF2" s="23"/>
      <c r="FG2" s="23"/>
      <c r="FH2" s="23"/>
      <c r="FI2" s="23"/>
      <c r="FJ2" s="23"/>
      <c r="FK2" s="23"/>
      <c r="FL2" s="23"/>
      <c r="FM2" s="23"/>
      <c r="FN2" s="23"/>
      <c r="FO2" s="23"/>
      <c r="FP2" s="23"/>
      <c r="FQ2" s="23"/>
      <c r="FR2" s="23"/>
      <c r="FS2" s="23"/>
      <c r="FT2" s="23"/>
      <c r="FU2" s="23"/>
      <c r="FV2" s="23"/>
      <c r="FW2" s="23"/>
      <c r="FX2" s="23"/>
      <c r="FY2" s="23"/>
      <c r="FZ2" s="23"/>
      <c r="GA2" s="23"/>
      <c r="GB2" s="22" t="s">
        <v>25</v>
      </c>
      <c r="GC2" s="23"/>
      <c r="GD2" s="23"/>
      <c r="GE2" s="23"/>
      <c r="GF2" s="23"/>
      <c r="GG2" s="23"/>
      <c r="GH2" s="23"/>
      <c r="GI2" s="23"/>
      <c r="GJ2" s="23"/>
      <c r="GK2" s="23"/>
      <c r="GL2" s="23"/>
      <c r="GM2" s="23"/>
      <c r="GN2" s="23"/>
      <c r="GO2" s="23"/>
      <c r="GP2" s="23"/>
      <c r="GQ2" s="23"/>
      <c r="GR2" s="23"/>
      <c r="GS2" s="23"/>
      <c r="GT2" s="23"/>
      <c r="GU2" s="23"/>
      <c r="GV2" s="23"/>
      <c r="GW2" s="23"/>
      <c r="GX2" s="23"/>
      <c r="GY2" s="23"/>
      <c r="GZ2" s="23"/>
      <c r="HA2" s="23"/>
      <c r="HB2" s="23"/>
      <c r="HC2" s="23"/>
      <c r="HD2" s="23"/>
      <c r="HE2" s="23"/>
      <c r="HF2" s="23"/>
      <c r="HG2" s="22" t="s">
        <v>26</v>
      </c>
      <c r="HH2" s="23"/>
      <c r="HI2" s="23"/>
      <c r="HJ2" s="23"/>
      <c r="HK2" s="23"/>
      <c r="HL2" s="23"/>
      <c r="HM2" s="23"/>
      <c r="HN2" s="23"/>
      <c r="HO2" s="23"/>
      <c r="HP2" s="23"/>
      <c r="HQ2" s="23"/>
      <c r="HR2" s="23"/>
      <c r="HS2" s="23"/>
      <c r="HT2" s="23"/>
      <c r="HU2" s="23"/>
      <c r="HV2" s="23"/>
      <c r="HW2" s="23"/>
      <c r="HX2" s="23"/>
      <c r="HY2" s="23"/>
      <c r="HZ2" s="23"/>
      <c r="IA2" s="23"/>
      <c r="IB2" s="23"/>
      <c r="IC2" s="23"/>
      <c r="ID2" s="23"/>
      <c r="IE2" s="23"/>
      <c r="IF2" s="23"/>
      <c r="IG2" s="23"/>
      <c r="IH2" s="23"/>
      <c r="II2" s="23"/>
      <c r="IJ2" s="23"/>
      <c r="IK2" s="23"/>
      <c r="IL2" s="27" t="s">
        <v>28</v>
      </c>
      <c r="IM2" s="23"/>
      <c r="IN2" s="23"/>
      <c r="IO2" s="23"/>
      <c r="IP2" s="23"/>
      <c r="IQ2" s="23"/>
      <c r="IR2" s="23"/>
      <c r="IS2" s="23"/>
      <c r="IT2" s="23"/>
      <c r="IU2" s="23"/>
      <c r="IV2" s="23"/>
      <c r="IW2" s="23"/>
      <c r="IX2" s="23"/>
      <c r="IY2" s="23"/>
      <c r="IZ2" s="23"/>
      <c r="JA2" s="23"/>
      <c r="JB2" s="23"/>
      <c r="JC2" s="23"/>
      <c r="JD2" s="23"/>
      <c r="JE2" s="23"/>
      <c r="JF2" s="23"/>
      <c r="JG2" s="23"/>
      <c r="JH2" s="23"/>
      <c r="JI2" s="23"/>
      <c r="JJ2" s="23"/>
      <c r="JK2" s="23"/>
      <c r="JL2" s="23"/>
      <c r="JM2" s="23"/>
      <c r="JN2" s="23"/>
      <c r="JO2" s="23"/>
      <c r="JP2" s="27" t="s">
        <v>31</v>
      </c>
      <c r="JQ2" s="23"/>
      <c r="JR2" s="23"/>
      <c r="JS2" s="23"/>
      <c r="JT2" s="23"/>
      <c r="JU2" s="23"/>
      <c r="JV2" s="23"/>
      <c r="JW2" s="23"/>
      <c r="JX2" s="23"/>
      <c r="JY2" s="23"/>
      <c r="JZ2" s="23"/>
      <c r="KA2" s="23"/>
      <c r="KB2" s="23"/>
      <c r="KC2" s="23"/>
      <c r="KD2" s="23"/>
      <c r="KE2" s="23"/>
      <c r="KF2" s="23"/>
      <c r="KG2" s="23"/>
      <c r="KH2" s="23"/>
      <c r="KI2" s="23"/>
      <c r="KJ2" s="23"/>
      <c r="KK2" s="23"/>
      <c r="KL2" s="23"/>
      <c r="KM2" s="23"/>
      <c r="KN2" s="23"/>
      <c r="KO2" s="23"/>
      <c r="KP2" s="23"/>
      <c r="KQ2" s="23"/>
      <c r="KR2" s="23"/>
      <c r="KS2" s="23"/>
      <c r="KT2" s="23"/>
      <c r="KU2" s="22" t="s">
        <v>33</v>
      </c>
      <c r="KV2" s="23"/>
      <c r="KW2" s="23"/>
      <c r="KX2" s="23"/>
      <c r="KY2" s="23"/>
      <c r="KZ2" s="23"/>
      <c r="LA2" s="23"/>
      <c r="LB2" s="23"/>
      <c r="LC2" s="23"/>
      <c r="LD2" s="23"/>
      <c r="LE2" s="23"/>
      <c r="LF2" s="23"/>
      <c r="LG2" s="23"/>
      <c r="LH2" s="23"/>
      <c r="LI2" s="23"/>
      <c r="LJ2" s="23"/>
      <c r="LK2" s="23"/>
      <c r="LL2" s="23"/>
      <c r="LM2" s="23"/>
      <c r="LN2" s="23"/>
      <c r="LO2" s="23"/>
      <c r="LP2" s="23"/>
      <c r="LQ2" s="23"/>
      <c r="LR2" s="23"/>
      <c r="LS2" s="23"/>
      <c r="LT2" s="23"/>
      <c r="LU2" s="23"/>
      <c r="LV2" s="23"/>
      <c r="LW2" s="23"/>
      <c r="LX2" s="23"/>
      <c r="LY2" s="27" t="s">
        <v>36</v>
      </c>
      <c r="LZ2" s="23"/>
      <c r="MA2" s="23"/>
      <c r="MB2" s="23"/>
      <c r="MC2" s="23"/>
      <c r="MD2" s="23"/>
      <c r="ME2" s="23"/>
      <c r="MF2" s="23"/>
      <c r="MG2" s="23"/>
      <c r="MH2" s="23"/>
      <c r="MI2" s="23"/>
      <c r="MJ2" s="23"/>
      <c r="MK2" s="23"/>
      <c r="ML2" s="23"/>
      <c r="MM2" s="23"/>
      <c r="MN2" s="23"/>
      <c r="MO2" s="23"/>
      <c r="MP2" s="23"/>
      <c r="MQ2" s="23"/>
      <c r="MR2" s="23"/>
      <c r="MS2" s="23"/>
      <c r="MT2" s="23"/>
      <c r="MU2" s="23"/>
      <c r="MV2" s="23"/>
      <c r="MW2" s="23"/>
      <c r="MX2" s="23"/>
      <c r="MY2" s="23"/>
      <c r="MZ2" s="23"/>
      <c r="NA2" s="23"/>
      <c r="NB2" s="23"/>
      <c r="NC2" s="23"/>
      <c r="ND2" s="19"/>
      <c r="NE2" s="19"/>
      <c r="NF2" s="19"/>
      <c r="NG2" s="19"/>
      <c r="NH2" s="19"/>
      <c r="NI2" s="19"/>
      <c r="NJ2" s="19"/>
      <c r="NK2" s="19"/>
      <c r="NL2" s="19"/>
      <c r="NM2" s="19"/>
      <c r="NN2" s="19"/>
      <c r="NO2" s="19"/>
      <c r="NP2" s="19"/>
      <c r="NQ2" s="19"/>
      <c r="NR2" s="19"/>
      <c r="NS2" s="19"/>
      <c r="NT2" s="19"/>
      <c r="NU2" s="19"/>
      <c r="NV2" s="19"/>
      <c r="NW2" s="19"/>
      <c r="NX2" s="19"/>
      <c r="NY2" s="19"/>
      <c r="NZ2" s="19"/>
      <c r="OA2" s="19"/>
      <c r="OB2" s="19"/>
      <c r="OC2" s="19"/>
      <c r="OD2" s="19"/>
      <c r="OE2" s="19"/>
      <c r="OF2" s="19"/>
      <c r="OG2" s="19"/>
      <c r="OH2" s="19"/>
      <c r="OI2" s="19"/>
      <c r="OJ2" s="19"/>
      <c r="OK2" s="19"/>
      <c r="OL2" s="19"/>
      <c r="OM2" s="19"/>
      <c r="ON2" s="19"/>
      <c r="OO2" s="19"/>
      <c r="OP2" s="19"/>
      <c r="OQ2" s="19"/>
      <c r="OR2" s="19"/>
      <c r="OS2" s="19"/>
      <c r="OT2" s="19"/>
      <c r="OU2" s="19"/>
      <c r="OV2" s="19"/>
      <c r="OW2" s="19"/>
      <c r="OX2" s="19"/>
      <c r="OY2" s="19"/>
      <c r="OZ2" s="19"/>
      <c r="PA2" s="19"/>
      <c r="PB2" s="19"/>
      <c r="PC2" s="19"/>
      <c r="PD2" s="19"/>
      <c r="PE2" s="19"/>
      <c r="PF2" s="19"/>
      <c r="PG2" s="19"/>
      <c r="PH2" s="19"/>
      <c r="PI2" s="19"/>
      <c r="PJ2" s="19"/>
      <c r="PK2" s="19"/>
      <c r="PL2" s="19"/>
      <c r="PM2" s="19"/>
      <c r="PN2" s="19"/>
      <c r="PO2" s="19"/>
      <c r="PP2" s="19"/>
      <c r="PQ2" s="19"/>
      <c r="PR2" s="19"/>
      <c r="PS2" s="19"/>
      <c r="PT2" s="19"/>
      <c r="PU2" s="19"/>
      <c r="PV2" s="19"/>
      <c r="PW2" s="19"/>
      <c r="PX2" s="19"/>
      <c r="PY2" s="19"/>
      <c r="PZ2" s="19"/>
      <c r="QA2" s="19"/>
      <c r="QB2" s="19"/>
      <c r="QC2" s="19"/>
      <c r="QD2" s="19"/>
      <c r="QE2" s="19"/>
      <c r="QF2" s="19"/>
      <c r="QG2" s="19"/>
      <c r="QH2" s="19"/>
      <c r="QI2" s="19"/>
      <c r="QJ2" s="19"/>
      <c r="QK2" s="19"/>
      <c r="QL2" s="19"/>
      <c r="QM2" s="19"/>
      <c r="QN2" s="19"/>
      <c r="QO2" s="19"/>
      <c r="QP2" s="19"/>
      <c r="QQ2" s="19"/>
      <c r="QR2" s="19"/>
      <c r="QS2" s="19"/>
      <c r="QT2" s="19"/>
      <c r="QU2" s="19"/>
      <c r="QV2" s="19"/>
      <c r="QW2" s="19"/>
      <c r="QX2" s="19"/>
      <c r="QY2" s="19"/>
      <c r="QZ2" s="19"/>
      <c r="RA2" s="19"/>
      <c r="RB2" s="19"/>
      <c r="RC2" s="19"/>
      <c r="RD2" s="19"/>
      <c r="RE2" s="19"/>
      <c r="RF2" s="19"/>
      <c r="RG2" s="19"/>
      <c r="RH2" s="19"/>
      <c r="RI2" s="19"/>
      <c r="RJ2" s="19"/>
      <c r="RK2" s="19"/>
      <c r="RL2" s="19"/>
      <c r="RM2" s="19"/>
      <c r="RN2" s="19"/>
      <c r="RO2" s="19"/>
      <c r="RP2" s="19"/>
      <c r="RQ2" s="19"/>
      <c r="RR2" s="19"/>
      <c r="RS2" s="19"/>
      <c r="RT2" s="19"/>
      <c r="RU2" s="19"/>
      <c r="RV2" s="19"/>
      <c r="RW2" s="19"/>
      <c r="RX2" s="19"/>
      <c r="RY2" s="19"/>
      <c r="RZ2" s="19"/>
      <c r="SA2" s="19"/>
      <c r="SB2" s="19"/>
      <c r="SC2" s="19"/>
      <c r="SD2" s="19"/>
      <c r="SE2" s="19"/>
      <c r="SF2" s="19"/>
      <c r="SG2" s="19"/>
      <c r="SH2" s="19"/>
      <c r="SI2" s="19"/>
      <c r="SJ2" s="19"/>
      <c r="SK2" s="19"/>
      <c r="SL2" s="19"/>
      <c r="SM2" s="19"/>
      <c r="SN2" s="19"/>
      <c r="SO2" s="19"/>
      <c r="SP2" s="19"/>
      <c r="SQ2" s="19"/>
      <c r="SR2" s="19"/>
      <c r="SS2" s="19"/>
      <c r="ST2" s="19"/>
      <c r="SU2" s="19"/>
      <c r="SV2" s="19"/>
      <c r="SW2" s="19"/>
      <c r="SX2" s="19"/>
      <c r="SY2" s="19"/>
      <c r="SZ2" s="19"/>
      <c r="TA2" s="19"/>
      <c r="TB2" s="19"/>
      <c r="TC2" s="19"/>
      <c r="TD2" s="19"/>
      <c r="TE2" s="19"/>
      <c r="TF2" s="19"/>
      <c r="TG2" s="19"/>
      <c r="TH2" s="19"/>
      <c r="TI2" s="19"/>
      <c r="TJ2" s="19"/>
      <c r="TK2" s="19"/>
      <c r="TL2" s="19"/>
      <c r="TM2" s="19"/>
      <c r="TN2" s="19"/>
      <c r="TO2" s="19"/>
      <c r="TP2" s="19"/>
      <c r="TQ2" s="19"/>
      <c r="TR2" s="19"/>
      <c r="TS2" s="19"/>
      <c r="TT2" s="19"/>
      <c r="TU2" s="19"/>
      <c r="TV2" s="19"/>
      <c r="TW2" s="19"/>
      <c r="TX2" s="19"/>
      <c r="TY2" s="19"/>
      <c r="TZ2" s="19"/>
      <c r="UA2" s="19"/>
      <c r="UB2" s="19"/>
      <c r="UC2" s="19"/>
      <c r="UD2" s="19"/>
      <c r="UE2" s="19"/>
      <c r="UF2" s="19"/>
      <c r="UG2" s="19"/>
      <c r="UH2" s="19"/>
      <c r="UI2" s="19"/>
      <c r="UJ2" s="19"/>
      <c r="UK2" s="19"/>
      <c r="UL2" s="19"/>
      <c r="UM2" s="19"/>
      <c r="UN2" s="19"/>
      <c r="UO2" s="19"/>
      <c r="UP2" s="19"/>
      <c r="UQ2" s="19"/>
      <c r="UR2" s="19"/>
      <c r="US2" s="19"/>
      <c r="UT2" s="19"/>
      <c r="UU2" s="19"/>
      <c r="UV2" s="19"/>
      <c r="UW2" s="19"/>
      <c r="UX2" s="19"/>
      <c r="UY2" s="19"/>
      <c r="UZ2" s="19"/>
      <c r="VA2" s="19"/>
      <c r="VB2" s="19"/>
      <c r="VC2" s="19"/>
      <c r="VD2" s="19"/>
      <c r="VE2" s="19"/>
      <c r="VF2" s="19"/>
      <c r="VG2" s="19"/>
      <c r="VH2" s="19"/>
      <c r="VI2" s="19"/>
      <c r="VJ2" s="19"/>
      <c r="VK2" s="19"/>
      <c r="VL2" s="19"/>
      <c r="VM2" s="19"/>
      <c r="VN2" s="19"/>
      <c r="VO2" s="19"/>
      <c r="VP2" s="19"/>
      <c r="VQ2" s="19"/>
      <c r="VR2" s="19"/>
      <c r="VS2" s="19"/>
      <c r="VT2" s="19"/>
      <c r="VU2" s="19"/>
      <c r="VV2" s="19"/>
      <c r="VW2" s="19"/>
      <c r="VX2" s="19"/>
      <c r="VY2" s="19"/>
      <c r="VZ2" s="19"/>
      <c r="WA2" s="19"/>
      <c r="WB2" s="19"/>
      <c r="WC2" s="19"/>
      <c r="WD2" s="19"/>
      <c r="WE2" s="19"/>
      <c r="WF2" s="19"/>
      <c r="WG2" s="19"/>
      <c r="WH2" s="19"/>
      <c r="WI2" s="19"/>
      <c r="WJ2" s="19"/>
      <c r="WK2" s="19"/>
      <c r="WL2" s="19"/>
      <c r="WM2" s="19"/>
      <c r="WN2" s="19"/>
      <c r="WO2" s="19"/>
      <c r="WP2" s="19"/>
      <c r="WQ2" s="19"/>
      <c r="WR2" s="19"/>
      <c r="WS2" s="19"/>
      <c r="WT2" s="19"/>
      <c r="WU2" s="19"/>
      <c r="WV2" s="19"/>
      <c r="WW2" s="19"/>
      <c r="WX2" s="19"/>
      <c r="WY2" s="19"/>
      <c r="WZ2" s="19"/>
      <c r="XA2" s="19"/>
      <c r="XB2" s="19"/>
      <c r="XC2" s="19"/>
      <c r="XD2" s="19"/>
      <c r="XE2" s="19"/>
      <c r="XF2" s="19"/>
      <c r="XG2" s="19"/>
      <c r="XH2" s="19"/>
      <c r="XI2" s="19"/>
      <c r="XJ2" s="19"/>
      <c r="XK2" s="19"/>
      <c r="XL2" s="19"/>
      <c r="XM2" s="19"/>
      <c r="XN2" s="19"/>
      <c r="XO2" s="19"/>
      <c r="XP2" s="19"/>
      <c r="XQ2" s="19"/>
      <c r="XR2" s="19"/>
      <c r="XS2" s="19"/>
      <c r="XT2" s="19"/>
      <c r="XU2" s="19"/>
      <c r="XV2" s="19"/>
      <c r="XW2" s="19"/>
      <c r="XX2" s="19"/>
      <c r="XY2" s="19"/>
      <c r="XZ2" s="19"/>
      <c r="YA2" s="19"/>
      <c r="YB2" s="19"/>
      <c r="YC2" s="19"/>
      <c r="YD2" s="19"/>
      <c r="YE2" s="19"/>
      <c r="YF2" s="19"/>
      <c r="YG2" s="19"/>
      <c r="YH2" s="19"/>
      <c r="YI2" s="19"/>
      <c r="YJ2" s="19"/>
      <c r="YK2" s="19"/>
      <c r="YL2" s="19"/>
      <c r="YM2" s="19"/>
      <c r="YN2" s="19"/>
      <c r="YO2" s="19"/>
      <c r="YP2" s="19"/>
      <c r="YQ2" s="19"/>
      <c r="YR2" s="19"/>
      <c r="YS2" s="19"/>
      <c r="YT2" s="19"/>
      <c r="YU2" s="19"/>
      <c r="YV2" s="19"/>
      <c r="YW2" s="19"/>
      <c r="YX2" s="19"/>
      <c r="YY2" s="19"/>
      <c r="YZ2" s="19"/>
      <c r="ZA2" s="19"/>
      <c r="ZB2" s="19"/>
      <c r="ZC2" s="19"/>
      <c r="ZD2" s="19"/>
      <c r="ZE2" s="19"/>
    </row>
    <row r="3">
      <c r="A3" s="30"/>
      <c r="B3" s="31" t="s">
        <v>43</v>
      </c>
      <c r="C3" s="32"/>
      <c r="D3" s="32"/>
      <c r="E3" s="32"/>
      <c r="F3" s="32"/>
      <c r="G3" s="32"/>
      <c r="H3" s="32"/>
      <c r="I3" s="33" t="s">
        <v>46</v>
      </c>
      <c r="J3" s="32"/>
      <c r="K3" s="32"/>
      <c r="L3" s="32"/>
      <c r="M3" s="32"/>
      <c r="N3" s="32"/>
      <c r="O3" s="32"/>
      <c r="P3" s="33" t="s">
        <v>47</v>
      </c>
      <c r="Q3" s="32"/>
      <c r="R3" s="32"/>
      <c r="S3" s="32"/>
      <c r="T3" s="32"/>
      <c r="U3" s="32"/>
      <c r="V3" s="32"/>
      <c r="W3" s="33" t="s">
        <v>48</v>
      </c>
      <c r="X3" s="32"/>
      <c r="Y3" s="32"/>
      <c r="Z3" s="32"/>
      <c r="AA3" s="32"/>
      <c r="AB3" s="32"/>
      <c r="AC3" s="32"/>
      <c r="AD3" s="33" t="s">
        <v>49</v>
      </c>
      <c r="AE3" s="32"/>
      <c r="AF3" s="32"/>
      <c r="AG3" s="32"/>
      <c r="AH3" s="32"/>
      <c r="AI3" s="32"/>
      <c r="AJ3" s="32"/>
      <c r="AK3" s="33" t="s">
        <v>50</v>
      </c>
      <c r="AL3" s="32"/>
      <c r="AM3" s="32"/>
      <c r="AN3" s="32"/>
      <c r="AO3" s="32"/>
      <c r="AP3" s="32"/>
      <c r="AQ3" s="32"/>
      <c r="AR3" s="33" t="s">
        <v>51</v>
      </c>
      <c r="AS3" s="32"/>
      <c r="AT3" s="32"/>
      <c r="AU3" s="32"/>
      <c r="AV3" s="32"/>
      <c r="AW3" s="32"/>
      <c r="AX3" s="32"/>
      <c r="AY3" s="33" t="s">
        <v>52</v>
      </c>
      <c r="AZ3" s="32"/>
      <c r="BA3" s="32"/>
      <c r="BB3" s="32"/>
      <c r="BC3" s="32"/>
      <c r="BD3" s="32"/>
      <c r="BE3" s="32"/>
      <c r="BF3" s="33" t="s">
        <v>53</v>
      </c>
      <c r="BG3" s="32"/>
      <c r="BH3" s="32"/>
      <c r="BI3" s="32"/>
      <c r="BJ3" s="32"/>
      <c r="BK3" s="32"/>
      <c r="BL3" s="32"/>
      <c r="BM3" s="33" t="s">
        <v>54</v>
      </c>
      <c r="BN3" s="35"/>
      <c r="BO3" s="35"/>
      <c r="BP3" s="35"/>
      <c r="BQ3" s="35"/>
      <c r="BR3" s="35"/>
      <c r="BS3" s="35"/>
      <c r="BT3" s="36" t="s">
        <v>55</v>
      </c>
      <c r="BU3" s="35"/>
      <c r="BV3" s="35"/>
      <c r="BW3" s="35"/>
      <c r="BX3" s="35"/>
      <c r="BY3" s="35"/>
      <c r="BZ3" s="35"/>
      <c r="CA3" s="36" t="s">
        <v>56</v>
      </c>
      <c r="CB3" s="35"/>
      <c r="CC3" s="35"/>
      <c r="CD3" s="35"/>
      <c r="CE3" s="35"/>
      <c r="CF3" s="35"/>
      <c r="CG3" s="35"/>
      <c r="CH3" s="36" t="s">
        <v>57</v>
      </c>
      <c r="CI3" s="35"/>
      <c r="CJ3" s="35"/>
      <c r="CK3" s="35"/>
      <c r="CL3" s="35"/>
      <c r="CM3" s="35"/>
      <c r="CN3" s="35"/>
      <c r="CO3" s="36" t="s">
        <v>58</v>
      </c>
      <c r="CP3" s="35"/>
      <c r="CQ3" s="35"/>
      <c r="CR3" s="35"/>
      <c r="CS3" s="35"/>
      <c r="CT3" s="35"/>
      <c r="CU3" s="35"/>
      <c r="CV3" s="36" t="s">
        <v>59</v>
      </c>
      <c r="CW3" s="35"/>
      <c r="CX3" s="35"/>
      <c r="CY3" s="35"/>
      <c r="CZ3" s="35"/>
      <c r="DA3" s="35"/>
      <c r="DB3" s="35"/>
      <c r="DC3" s="36" t="s">
        <v>60</v>
      </c>
      <c r="DD3" s="35"/>
      <c r="DE3" s="35"/>
      <c r="DF3" s="35"/>
      <c r="DG3" s="35"/>
      <c r="DH3" s="35"/>
      <c r="DI3" s="35"/>
      <c r="DJ3" s="36" t="s">
        <v>61</v>
      </c>
      <c r="DK3" s="35"/>
      <c r="DL3" s="35"/>
      <c r="DM3" s="35"/>
      <c r="DN3" s="35"/>
      <c r="DO3" s="35"/>
      <c r="DP3" s="35"/>
      <c r="DQ3" s="36" t="s">
        <v>62</v>
      </c>
      <c r="DR3" s="35"/>
      <c r="DS3" s="35"/>
      <c r="DT3" s="35"/>
      <c r="DU3" s="35"/>
      <c r="DV3" s="35"/>
      <c r="DW3" s="38"/>
      <c r="DX3" s="36" t="s">
        <v>64</v>
      </c>
      <c r="DY3" s="35"/>
      <c r="DZ3" s="35"/>
      <c r="EA3" s="35"/>
      <c r="EB3" s="35"/>
      <c r="EC3" s="35"/>
      <c r="ED3" s="38"/>
      <c r="EE3" s="39" t="s">
        <v>65</v>
      </c>
      <c r="EF3" s="35"/>
      <c r="EG3" s="35"/>
      <c r="EH3" s="35"/>
      <c r="EI3" s="35"/>
      <c r="EJ3" s="35"/>
      <c r="EK3" s="38"/>
      <c r="EL3" s="36" t="s">
        <v>66</v>
      </c>
      <c r="EM3" s="35"/>
      <c r="EN3" s="35"/>
      <c r="EO3" s="35"/>
      <c r="EP3" s="35"/>
      <c r="EQ3" s="35"/>
      <c r="ER3" s="38"/>
      <c r="ES3" s="39" t="s">
        <v>67</v>
      </c>
      <c r="ET3" s="35"/>
      <c r="EU3" s="35"/>
      <c r="EV3" s="35"/>
      <c r="EW3" s="35"/>
      <c r="EX3" s="35"/>
      <c r="EY3" s="38"/>
      <c r="EZ3" s="36" t="s">
        <v>68</v>
      </c>
      <c r="FA3" s="35"/>
      <c r="FB3" s="35"/>
      <c r="FC3" s="35"/>
      <c r="FD3" s="35"/>
      <c r="FE3" s="35"/>
      <c r="FF3" s="38"/>
      <c r="FG3" s="39" t="s">
        <v>69</v>
      </c>
      <c r="FH3" s="35"/>
      <c r="FI3" s="35"/>
      <c r="FJ3" s="35"/>
      <c r="FK3" s="35"/>
      <c r="FL3" s="35"/>
      <c r="FM3" s="38"/>
      <c r="FN3" s="36" t="s">
        <v>70</v>
      </c>
      <c r="FO3" s="35"/>
      <c r="FP3" s="35"/>
      <c r="FQ3" s="35"/>
      <c r="FR3" s="35"/>
      <c r="FS3" s="35"/>
      <c r="FT3" s="38"/>
      <c r="FU3" s="39" t="s">
        <v>71</v>
      </c>
      <c r="FV3" s="35"/>
      <c r="FW3" s="35"/>
      <c r="FX3" s="35"/>
      <c r="FY3" s="35"/>
      <c r="FZ3" s="35"/>
      <c r="GA3" s="38"/>
      <c r="GB3" s="41" t="s">
        <v>72</v>
      </c>
      <c r="GC3" s="42"/>
      <c r="GD3" s="42"/>
      <c r="GE3" s="42"/>
      <c r="GF3" s="42"/>
      <c r="GG3" s="42"/>
      <c r="GH3" s="43"/>
      <c r="GI3" s="44" t="s">
        <v>74</v>
      </c>
      <c r="GJ3" s="42"/>
      <c r="GK3" s="42"/>
      <c r="GL3" s="42"/>
      <c r="GM3" s="42"/>
      <c r="GN3" s="42"/>
      <c r="GO3" s="43"/>
      <c r="GP3" s="44" t="s">
        <v>75</v>
      </c>
      <c r="GQ3" s="42"/>
      <c r="GR3" s="42"/>
      <c r="GS3" s="42"/>
      <c r="GT3" s="42"/>
      <c r="GU3" s="42"/>
      <c r="GV3" s="42"/>
      <c r="GW3" s="44" t="s">
        <v>76</v>
      </c>
      <c r="GX3" s="42"/>
      <c r="GY3" s="42"/>
      <c r="GZ3" s="42"/>
      <c r="HA3" s="42"/>
      <c r="HB3" s="42"/>
      <c r="HC3" s="43"/>
      <c r="HD3" s="41" t="s">
        <v>77</v>
      </c>
      <c r="HE3" s="42"/>
      <c r="HF3" s="42"/>
      <c r="HG3" s="42"/>
      <c r="HH3" s="42"/>
      <c r="HI3" s="42"/>
      <c r="HJ3" s="42"/>
      <c r="HK3" s="44" t="s">
        <v>78</v>
      </c>
      <c r="HL3" s="42"/>
      <c r="HM3" s="42"/>
      <c r="HN3" s="42"/>
      <c r="HO3" s="42"/>
      <c r="HP3" s="42"/>
      <c r="HQ3" s="43"/>
      <c r="HR3" s="41" t="s">
        <v>79</v>
      </c>
      <c r="HS3" s="42"/>
      <c r="HT3" s="42"/>
      <c r="HU3" s="42"/>
      <c r="HV3" s="42"/>
      <c r="HW3" s="42"/>
      <c r="HX3" s="42"/>
      <c r="HY3" s="44" t="s">
        <v>80</v>
      </c>
      <c r="HZ3" s="42"/>
      <c r="IA3" s="42"/>
      <c r="IB3" s="42"/>
      <c r="IC3" s="42"/>
      <c r="ID3" s="42"/>
      <c r="IE3" s="43"/>
      <c r="IF3" s="41" t="s">
        <v>82</v>
      </c>
      <c r="IG3" s="42"/>
      <c r="IH3" s="42"/>
      <c r="II3" s="42"/>
      <c r="IJ3" s="42"/>
      <c r="IK3" s="42"/>
      <c r="IL3" s="42"/>
      <c r="IM3" s="44" t="s">
        <v>83</v>
      </c>
      <c r="IN3" s="42"/>
      <c r="IO3" s="42"/>
      <c r="IP3" s="42"/>
      <c r="IQ3" s="42"/>
      <c r="IR3" s="42"/>
      <c r="IS3" s="43"/>
      <c r="IT3" s="41" t="s">
        <v>84</v>
      </c>
      <c r="IU3" s="42"/>
      <c r="IV3" s="42"/>
      <c r="IW3" s="42"/>
      <c r="IX3" s="42"/>
      <c r="IY3" s="42"/>
      <c r="IZ3" s="42"/>
      <c r="JA3" s="44" t="s">
        <v>85</v>
      </c>
      <c r="JB3" s="42"/>
      <c r="JC3" s="42"/>
      <c r="JD3" s="42"/>
      <c r="JE3" s="42"/>
      <c r="JF3" s="42"/>
      <c r="JG3" s="43"/>
      <c r="JH3" s="41" t="s">
        <v>86</v>
      </c>
      <c r="JI3" s="42"/>
      <c r="JJ3" s="42"/>
      <c r="JK3" s="42"/>
      <c r="JL3" s="42"/>
      <c r="JM3" s="42"/>
      <c r="JN3" s="42"/>
      <c r="JO3" s="44" t="s">
        <v>87</v>
      </c>
      <c r="JP3" s="42"/>
      <c r="JQ3" s="42"/>
      <c r="JR3" s="42"/>
      <c r="JS3" s="42"/>
      <c r="JT3" s="42"/>
      <c r="JU3" s="43"/>
      <c r="JV3" s="41" t="s">
        <v>88</v>
      </c>
      <c r="JW3" s="42"/>
      <c r="JX3" s="42"/>
      <c r="JY3" s="42"/>
      <c r="JZ3" s="42"/>
      <c r="KA3" s="42"/>
      <c r="KB3" s="42"/>
      <c r="KC3" s="44" t="s">
        <v>89</v>
      </c>
      <c r="KD3" s="42"/>
      <c r="KE3" s="42"/>
      <c r="KF3" s="42"/>
      <c r="KG3" s="42"/>
      <c r="KH3" s="42"/>
      <c r="KI3" s="43"/>
      <c r="KJ3" s="41" t="s">
        <v>90</v>
      </c>
      <c r="KK3" s="42"/>
      <c r="KL3" s="42"/>
      <c r="KM3" s="42"/>
      <c r="KN3" s="42"/>
      <c r="KO3" s="42"/>
      <c r="KP3" s="42"/>
      <c r="KQ3" s="44" t="s">
        <v>91</v>
      </c>
      <c r="KR3" s="42"/>
      <c r="KS3" s="42"/>
      <c r="KT3" s="42"/>
      <c r="KU3" s="42"/>
      <c r="KV3" s="42"/>
      <c r="KW3" s="43"/>
      <c r="KX3" s="41" t="s">
        <v>92</v>
      </c>
      <c r="KY3" s="42"/>
      <c r="KZ3" s="42"/>
      <c r="LA3" s="42"/>
      <c r="LB3" s="42"/>
      <c r="LC3" s="42"/>
      <c r="LD3" s="42"/>
      <c r="LE3" s="44" t="s">
        <v>93</v>
      </c>
      <c r="LF3" s="42"/>
      <c r="LG3" s="42"/>
      <c r="LH3" s="42"/>
      <c r="LI3" s="42"/>
      <c r="LJ3" s="42"/>
      <c r="LK3" s="43"/>
      <c r="LL3" s="41" t="s">
        <v>94</v>
      </c>
      <c r="LM3" s="42"/>
      <c r="LN3" s="42"/>
      <c r="LO3" s="42"/>
      <c r="LP3" s="42"/>
      <c r="LQ3" s="42"/>
      <c r="LR3" s="42"/>
      <c r="LS3" s="44" t="s">
        <v>95</v>
      </c>
      <c r="LT3" s="42"/>
      <c r="LU3" s="42"/>
      <c r="LV3" s="42"/>
      <c r="LW3" s="42"/>
      <c r="LX3" s="42"/>
      <c r="LY3" s="43"/>
      <c r="LZ3" s="41" t="s">
        <v>97</v>
      </c>
      <c r="MA3" s="42"/>
      <c r="MB3" s="42"/>
      <c r="MC3" s="42"/>
      <c r="MD3" s="42"/>
      <c r="ME3" s="42"/>
      <c r="MF3" s="42"/>
      <c r="MG3" s="44" t="s">
        <v>98</v>
      </c>
      <c r="MH3" s="42"/>
      <c r="MI3" s="42"/>
      <c r="MJ3" s="42"/>
      <c r="MK3" s="42"/>
      <c r="ML3" s="42"/>
      <c r="MM3" s="43"/>
      <c r="MN3" s="41" t="s">
        <v>99</v>
      </c>
      <c r="MO3" s="42"/>
      <c r="MP3" s="42"/>
      <c r="MQ3" s="42"/>
      <c r="MR3" s="42"/>
      <c r="MS3" s="42"/>
      <c r="MT3" s="42"/>
      <c r="MU3" s="44" t="s">
        <v>101</v>
      </c>
      <c r="MV3" s="42"/>
      <c r="MW3" s="42"/>
      <c r="MX3" s="42"/>
      <c r="MY3" s="42"/>
      <c r="MZ3" s="42"/>
      <c r="NA3" s="43"/>
      <c r="NB3" s="41" t="s">
        <v>43</v>
      </c>
      <c r="NC3" s="46"/>
      <c r="ND3" s="46"/>
      <c r="NE3" s="46"/>
      <c r="NF3" s="46"/>
      <c r="NG3" s="46"/>
      <c r="NH3" s="46"/>
      <c r="NI3" s="46"/>
      <c r="NJ3" s="46"/>
      <c r="NK3" s="46"/>
      <c r="NL3" s="46"/>
      <c r="NM3" s="46"/>
      <c r="NN3" s="46"/>
      <c r="NO3" s="46"/>
      <c r="NP3" s="46"/>
      <c r="NQ3" s="46"/>
      <c r="NR3" s="46"/>
      <c r="NS3" s="46"/>
      <c r="NT3" s="46"/>
      <c r="NU3" s="46"/>
      <c r="NV3" s="46"/>
      <c r="NW3" s="46"/>
      <c r="NX3" s="46"/>
      <c r="NY3" s="46"/>
      <c r="NZ3" s="46"/>
      <c r="OA3" s="46"/>
      <c r="OB3" s="46"/>
      <c r="OC3" s="46"/>
      <c r="OD3" s="46"/>
      <c r="OE3" s="46"/>
      <c r="OF3" s="46"/>
      <c r="OG3" s="46"/>
      <c r="OH3" s="46"/>
      <c r="OI3" s="46"/>
      <c r="OJ3" s="46"/>
      <c r="OK3" s="46"/>
      <c r="OL3" s="46"/>
      <c r="OM3" s="46"/>
      <c r="ON3" s="46"/>
      <c r="OO3" s="46"/>
      <c r="OP3" s="46"/>
      <c r="OQ3" s="46"/>
      <c r="OR3" s="46"/>
      <c r="OS3" s="46"/>
      <c r="OT3" s="46"/>
      <c r="OU3" s="46"/>
      <c r="OV3" s="46"/>
      <c r="OW3" s="46"/>
      <c r="OX3" s="46"/>
      <c r="OY3" s="46"/>
      <c r="OZ3" s="46"/>
      <c r="PA3" s="46"/>
      <c r="PB3" s="46"/>
      <c r="PC3" s="46"/>
      <c r="PD3" s="46"/>
      <c r="PE3" s="46"/>
      <c r="PF3" s="46"/>
      <c r="PG3" s="46"/>
      <c r="PH3" s="46"/>
      <c r="PI3" s="46"/>
      <c r="PJ3" s="46"/>
      <c r="PK3" s="46"/>
      <c r="PL3" s="46"/>
      <c r="PM3" s="46"/>
      <c r="PN3" s="46"/>
      <c r="PO3" s="46"/>
      <c r="PP3" s="46"/>
      <c r="PQ3" s="46"/>
      <c r="PR3" s="46"/>
      <c r="PS3" s="46"/>
      <c r="PT3" s="46"/>
      <c r="PU3" s="46"/>
      <c r="PV3" s="46"/>
      <c r="PW3" s="46"/>
      <c r="PX3" s="46"/>
      <c r="PY3" s="46"/>
      <c r="PZ3" s="46"/>
      <c r="QA3" s="46"/>
      <c r="QB3" s="46"/>
      <c r="QC3" s="46"/>
      <c r="QD3" s="46"/>
      <c r="QE3" s="46"/>
      <c r="QF3" s="46"/>
      <c r="QG3" s="46"/>
      <c r="QH3" s="46"/>
      <c r="QI3" s="46"/>
      <c r="QJ3" s="46"/>
      <c r="QK3" s="46"/>
      <c r="QL3" s="46"/>
      <c r="QM3" s="46"/>
      <c r="QN3" s="46"/>
      <c r="QO3" s="46"/>
      <c r="QP3" s="46"/>
      <c r="QQ3" s="46"/>
      <c r="QR3" s="46"/>
      <c r="QS3" s="46"/>
      <c r="QT3" s="46"/>
      <c r="QU3" s="46"/>
      <c r="QV3" s="46"/>
      <c r="QW3" s="46"/>
      <c r="QX3" s="46"/>
      <c r="QY3" s="46"/>
      <c r="QZ3" s="46"/>
      <c r="RA3" s="46"/>
      <c r="RB3" s="46"/>
      <c r="RC3" s="46"/>
      <c r="RD3" s="46"/>
      <c r="RE3" s="46"/>
      <c r="RF3" s="46"/>
      <c r="RG3" s="46"/>
      <c r="RH3" s="46"/>
      <c r="RI3" s="46"/>
      <c r="RJ3" s="46"/>
      <c r="RK3" s="46"/>
      <c r="RL3" s="46"/>
      <c r="RM3" s="46"/>
      <c r="RN3" s="46"/>
      <c r="RO3" s="46"/>
      <c r="RP3" s="46"/>
      <c r="RQ3" s="46"/>
      <c r="RR3" s="46"/>
      <c r="RS3" s="46"/>
      <c r="RT3" s="46"/>
      <c r="RU3" s="46"/>
      <c r="RV3" s="46"/>
      <c r="RW3" s="46"/>
      <c r="RX3" s="46"/>
      <c r="RY3" s="46"/>
      <c r="RZ3" s="46"/>
      <c r="SA3" s="46"/>
      <c r="SB3" s="46"/>
      <c r="SC3" s="46"/>
      <c r="SD3" s="46"/>
      <c r="SE3" s="46"/>
      <c r="SF3" s="46"/>
      <c r="SG3" s="46"/>
      <c r="SH3" s="46"/>
      <c r="SI3" s="46"/>
      <c r="SJ3" s="46"/>
      <c r="SK3" s="46"/>
      <c r="SL3" s="46"/>
      <c r="SM3" s="46"/>
      <c r="SN3" s="46"/>
      <c r="SO3" s="46"/>
      <c r="SP3" s="46"/>
      <c r="SQ3" s="46"/>
      <c r="SR3" s="46"/>
      <c r="SS3" s="46"/>
      <c r="ST3" s="46"/>
      <c r="SU3" s="46"/>
      <c r="SV3" s="46"/>
      <c r="SW3" s="46"/>
      <c r="SX3" s="46"/>
      <c r="SY3" s="46"/>
      <c r="SZ3" s="46"/>
      <c r="TA3" s="46"/>
      <c r="TB3" s="46"/>
      <c r="TC3" s="46"/>
      <c r="TD3" s="46"/>
      <c r="TE3" s="46"/>
      <c r="TF3" s="46"/>
      <c r="TG3" s="46"/>
      <c r="TH3" s="46"/>
      <c r="TI3" s="46"/>
      <c r="TJ3" s="46"/>
      <c r="TK3" s="46"/>
      <c r="TL3" s="46"/>
      <c r="TM3" s="46"/>
      <c r="TN3" s="46"/>
      <c r="TO3" s="46"/>
      <c r="TP3" s="46"/>
      <c r="TQ3" s="46"/>
      <c r="TR3" s="46"/>
      <c r="TS3" s="46"/>
      <c r="TT3" s="46"/>
      <c r="TU3" s="46"/>
      <c r="TV3" s="46"/>
      <c r="TW3" s="46"/>
      <c r="TX3" s="46"/>
      <c r="TY3" s="46"/>
      <c r="TZ3" s="46"/>
      <c r="UA3" s="46"/>
      <c r="UB3" s="46"/>
      <c r="UC3" s="46"/>
      <c r="UD3" s="46"/>
      <c r="UE3" s="46"/>
      <c r="UF3" s="46"/>
      <c r="UG3" s="46"/>
      <c r="UH3" s="46"/>
      <c r="UI3" s="46"/>
      <c r="UJ3" s="46"/>
      <c r="UK3" s="46"/>
      <c r="UL3" s="46"/>
      <c r="UM3" s="46"/>
      <c r="UN3" s="46"/>
      <c r="UO3" s="46"/>
      <c r="UP3" s="46"/>
      <c r="UQ3" s="46"/>
      <c r="UR3" s="46"/>
      <c r="US3" s="46"/>
      <c r="UT3" s="46"/>
      <c r="UU3" s="46"/>
      <c r="UV3" s="46"/>
      <c r="UW3" s="46"/>
      <c r="UX3" s="46"/>
      <c r="UY3" s="46"/>
      <c r="UZ3" s="46"/>
      <c r="VA3" s="46"/>
      <c r="VB3" s="46"/>
      <c r="VC3" s="46"/>
      <c r="VD3" s="46"/>
      <c r="VE3" s="46"/>
      <c r="VF3" s="46"/>
      <c r="VG3" s="46"/>
      <c r="VH3" s="46"/>
      <c r="VI3" s="46"/>
      <c r="VJ3" s="46"/>
      <c r="VK3" s="46"/>
      <c r="VL3" s="46"/>
      <c r="VM3" s="46"/>
      <c r="VN3" s="46"/>
      <c r="VO3" s="46"/>
      <c r="VP3" s="46"/>
      <c r="VQ3" s="46"/>
      <c r="VR3" s="46"/>
      <c r="VS3" s="46"/>
      <c r="VT3" s="46"/>
      <c r="VU3" s="46"/>
      <c r="VV3" s="46"/>
      <c r="VW3" s="46"/>
      <c r="VX3" s="46"/>
      <c r="VY3" s="46"/>
      <c r="VZ3" s="46"/>
      <c r="WA3" s="46"/>
      <c r="WB3" s="46"/>
      <c r="WC3" s="46"/>
      <c r="WD3" s="46"/>
      <c r="WE3" s="46"/>
      <c r="WF3" s="46"/>
      <c r="WG3" s="46"/>
      <c r="WH3" s="46"/>
      <c r="WI3" s="46"/>
      <c r="WJ3" s="46"/>
      <c r="WK3" s="46"/>
      <c r="WL3" s="46"/>
      <c r="WM3" s="46"/>
      <c r="WN3" s="46"/>
      <c r="WO3" s="46"/>
      <c r="WP3" s="46"/>
      <c r="WQ3" s="46"/>
      <c r="WR3" s="46"/>
      <c r="WS3" s="46"/>
      <c r="WT3" s="46"/>
      <c r="WU3" s="46"/>
      <c r="WV3" s="46"/>
      <c r="WW3" s="46"/>
      <c r="WX3" s="46"/>
      <c r="WY3" s="46"/>
      <c r="WZ3" s="46"/>
      <c r="XA3" s="46"/>
      <c r="XB3" s="46"/>
      <c r="XC3" s="46"/>
      <c r="XD3" s="46"/>
      <c r="XE3" s="46"/>
      <c r="XF3" s="46"/>
      <c r="XG3" s="46"/>
      <c r="XH3" s="46"/>
      <c r="XI3" s="46"/>
      <c r="XJ3" s="46"/>
      <c r="XK3" s="46"/>
      <c r="XL3" s="46"/>
      <c r="XM3" s="46"/>
      <c r="XN3" s="46"/>
      <c r="XO3" s="46"/>
      <c r="XP3" s="46"/>
      <c r="XQ3" s="46"/>
      <c r="XR3" s="46"/>
      <c r="XS3" s="46"/>
      <c r="XT3" s="46"/>
      <c r="XU3" s="46"/>
      <c r="XV3" s="46"/>
      <c r="XW3" s="46"/>
      <c r="XX3" s="46"/>
      <c r="XY3" s="46"/>
      <c r="XZ3" s="46"/>
      <c r="YA3" s="46"/>
      <c r="YB3" s="46"/>
      <c r="YC3" s="46"/>
      <c r="YD3" s="46"/>
      <c r="YE3" s="46"/>
      <c r="YF3" s="46"/>
      <c r="YG3" s="46"/>
      <c r="YH3" s="46"/>
      <c r="YI3" s="46"/>
      <c r="YJ3" s="46"/>
      <c r="YK3" s="46"/>
      <c r="YL3" s="46"/>
      <c r="YM3" s="46"/>
      <c r="YN3" s="46"/>
      <c r="YO3" s="46"/>
      <c r="YP3" s="46"/>
      <c r="YQ3" s="46"/>
      <c r="YR3" s="46"/>
      <c r="YS3" s="46"/>
      <c r="YT3" s="46"/>
      <c r="YU3" s="46"/>
      <c r="YV3" s="46"/>
      <c r="YW3" s="46"/>
      <c r="YX3" s="46"/>
      <c r="YY3" s="46"/>
      <c r="YZ3" s="46"/>
      <c r="ZA3" s="46"/>
      <c r="ZB3" s="46"/>
      <c r="ZC3" s="46"/>
      <c r="ZD3" s="46"/>
      <c r="ZE3" s="46"/>
    </row>
    <row r="4">
      <c r="A4" s="48"/>
      <c r="B4" s="49" t="s">
        <v>108</v>
      </c>
      <c r="C4" s="13" t="s">
        <v>109</v>
      </c>
      <c r="D4" s="13" t="s">
        <v>110</v>
      </c>
      <c r="E4" s="13" t="s">
        <v>111</v>
      </c>
      <c r="F4" s="13" t="s">
        <v>112</v>
      </c>
      <c r="G4" s="13" t="s">
        <v>113</v>
      </c>
      <c r="H4" s="50" t="s">
        <v>114</v>
      </c>
      <c r="I4" s="13" t="s">
        <v>108</v>
      </c>
      <c r="J4" s="13" t="s">
        <v>109</v>
      </c>
      <c r="K4" s="13" t="s">
        <v>110</v>
      </c>
      <c r="L4" s="13" t="s">
        <v>111</v>
      </c>
      <c r="M4" s="13" t="s">
        <v>112</v>
      </c>
      <c r="N4" s="13" t="s">
        <v>113</v>
      </c>
      <c r="O4" s="50" t="s">
        <v>114</v>
      </c>
      <c r="P4" s="13" t="s">
        <v>108</v>
      </c>
      <c r="Q4" s="13" t="s">
        <v>109</v>
      </c>
      <c r="R4" s="13" t="s">
        <v>110</v>
      </c>
      <c r="S4" s="13" t="s">
        <v>111</v>
      </c>
      <c r="T4" s="13" t="s">
        <v>112</v>
      </c>
      <c r="U4" s="13" t="s">
        <v>113</v>
      </c>
      <c r="V4" s="50" t="s">
        <v>114</v>
      </c>
      <c r="W4" s="13" t="s">
        <v>108</v>
      </c>
      <c r="X4" s="13" t="s">
        <v>109</v>
      </c>
      <c r="Y4" s="13" t="s">
        <v>110</v>
      </c>
      <c r="Z4" s="13" t="s">
        <v>111</v>
      </c>
      <c r="AA4" s="13" t="s">
        <v>112</v>
      </c>
      <c r="AB4" s="13" t="s">
        <v>113</v>
      </c>
      <c r="AC4" s="50" t="s">
        <v>114</v>
      </c>
      <c r="AD4" s="13" t="s">
        <v>108</v>
      </c>
      <c r="AE4" s="13" t="s">
        <v>109</v>
      </c>
      <c r="AF4" s="13" t="s">
        <v>110</v>
      </c>
      <c r="AG4" s="13" t="s">
        <v>111</v>
      </c>
      <c r="AH4" s="13" t="s">
        <v>112</v>
      </c>
      <c r="AI4" s="13" t="s">
        <v>113</v>
      </c>
      <c r="AJ4" s="50" t="s">
        <v>114</v>
      </c>
      <c r="AK4" s="13" t="s">
        <v>108</v>
      </c>
      <c r="AL4" s="13" t="s">
        <v>109</v>
      </c>
      <c r="AM4" s="13" t="s">
        <v>110</v>
      </c>
      <c r="AN4" s="13" t="s">
        <v>111</v>
      </c>
      <c r="AO4" s="13" t="s">
        <v>112</v>
      </c>
      <c r="AP4" s="13" t="s">
        <v>113</v>
      </c>
      <c r="AQ4" s="50" t="s">
        <v>114</v>
      </c>
      <c r="AR4" s="13" t="s">
        <v>108</v>
      </c>
      <c r="AS4" s="13" t="s">
        <v>109</v>
      </c>
      <c r="AT4" s="13" t="s">
        <v>110</v>
      </c>
      <c r="AU4" s="13" t="s">
        <v>111</v>
      </c>
      <c r="AV4" s="13" t="s">
        <v>112</v>
      </c>
      <c r="AW4" s="13" t="s">
        <v>113</v>
      </c>
      <c r="AX4" s="50" t="s">
        <v>114</v>
      </c>
      <c r="AY4" s="13" t="s">
        <v>108</v>
      </c>
      <c r="AZ4" s="13" t="s">
        <v>109</v>
      </c>
      <c r="BA4" s="13" t="s">
        <v>110</v>
      </c>
      <c r="BB4" s="13" t="s">
        <v>111</v>
      </c>
      <c r="BC4" s="13" t="s">
        <v>112</v>
      </c>
      <c r="BD4" s="13" t="s">
        <v>113</v>
      </c>
      <c r="BE4" s="50" t="s">
        <v>114</v>
      </c>
      <c r="BF4" s="13" t="s">
        <v>108</v>
      </c>
      <c r="BG4" s="13" t="s">
        <v>109</v>
      </c>
      <c r="BH4" s="13" t="s">
        <v>110</v>
      </c>
      <c r="BI4" s="13" t="s">
        <v>111</v>
      </c>
      <c r="BJ4" s="13" t="s">
        <v>112</v>
      </c>
      <c r="BK4" s="13" t="s">
        <v>113</v>
      </c>
      <c r="BL4" s="50" t="s">
        <v>114</v>
      </c>
      <c r="BM4" s="13" t="s">
        <v>108</v>
      </c>
      <c r="BN4" s="6" t="s">
        <v>109</v>
      </c>
      <c r="BO4" s="6" t="s">
        <v>110</v>
      </c>
      <c r="BP4" s="6" t="s">
        <v>111</v>
      </c>
      <c r="BQ4" s="6" t="s">
        <v>112</v>
      </c>
      <c r="BR4" s="6" t="s">
        <v>113</v>
      </c>
      <c r="BS4" s="2" t="s">
        <v>114</v>
      </c>
      <c r="BT4" s="6" t="s">
        <v>108</v>
      </c>
      <c r="BU4" s="6" t="s">
        <v>109</v>
      </c>
      <c r="BV4" s="6" t="s">
        <v>110</v>
      </c>
      <c r="BW4" s="6" t="s">
        <v>111</v>
      </c>
      <c r="BX4" s="6" t="s">
        <v>112</v>
      </c>
      <c r="BY4" s="6" t="s">
        <v>113</v>
      </c>
      <c r="BZ4" s="2" t="s">
        <v>114</v>
      </c>
      <c r="CA4" s="6" t="s">
        <v>108</v>
      </c>
      <c r="CB4" s="6" t="s">
        <v>109</v>
      </c>
      <c r="CC4" s="6" t="s">
        <v>110</v>
      </c>
      <c r="CD4" s="6" t="s">
        <v>111</v>
      </c>
      <c r="CE4" s="6" t="s">
        <v>112</v>
      </c>
      <c r="CF4" s="6" t="s">
        <v>113</v>
      </c>
      <c r="CG4" s="2" t="s">
        <v>114</v>
      </c>
      <c r="CH4" s="6" t="s">
        <v>108</v>
      </c>
      <c r="CI4" s="6" t="s">
        <v>109</v>
      </c>
      <c r="CJ4" s="6" t="s">
        <v>110</v>
      </c>
      <c r="CK4" s="6" t="s">
        <v>111</v>
      </c>
      <c r="CL4" s="6" t="s">
        <v>112</v>
      </c>
      <c r="CM4" s="6" t="s">
        <v>113</v>
      </c>
      <c r="CN4" s="2" t="s">
        <v>114</v>
      </c>
      <c r="CO4" s="6" t="s">
        <v>108</v>
      </c>
      <c r="CP4" s="6" t="s">
        <v>109</v>
      </c>
      <c r="CQ4" s="6" t="s">
        <v>110</v>
      </c>
      <c r="CR4" s="6" t="s">
        <v>111</v>
      </c>
      <c r="CS4" s="6" t="s">
        <v>112</v>
      </c>
      <c r="CT4" s="6" t="s">
        <v>113</v>
      </c>
      <c r="CU4" s="2" t="s">
        <v>114</v>
      </c>
      <c r="CV4" s="6" t="s">
        <v>108</v>
      </c>
      <c r="CW4" s="6" t="s">
        <v>109</v>
      </c>
      <c r="CX4" s="6" t="s">
        <v>110</v>
      </c>
      <c r="CY4" s="6" t="s">
        <v>111</v>
      </c>
      <c r="CZ4" s="6" t="s">
        <v>112</v>
      </c>
      <c r="DA4" s="6" t="s">
        <v>113</v>
      </c>
      <c r="DB4" s="2" t="s">
        <v>114</v>
      </c>
      <c r="DC4" s="51" t="s">
        <v>108</v>
      </c>
      <c r="DD4" s="6" t="s">
        <v>109</v>
      </c>
      <c r="DE4" s="6" t="s">
        <v>110</v>
      </c>
      <c r="DF4" s="6" t="s">
        <v>111</v>
      </c>
      <c r="DG4" s="6" t="s">
        <v>112</v>
      </c>
      <c r="DH4" s="6" t="s">
        <v>113</v>
      </c>
      <c r="DI4" s="2" t="s">
        <v>114</v>
      </c>
      <c r="DJ4" s="6" t="s">
        <v>108</v>
      </c>
      <c r="DK4" s="6" t="s">
        <v>109</v>
      </c>
      <c r="DL4" s="6" t="s">
        <v>110</v>
      </c>
      <c r="DM4" s="6" t="s">
        <v>111</v>
      </c>
      <c r="DN4" s="6" t="s">
        <v>112</v>
      </c>
      <c r="DO4" s="6" t="s">
        <v>113</v>
      </c>
      <c r="DP4" s="2" t="s">
        <v>114</v>
      </c>
      <c r="DQ4" s="51" t="s">
        <v>108</v>
      </c>
      <c r="DR4" s="6" t="s">
        <v>109</v>
      </c>
      <c r="DS4" s="6" t="s">
        <v>110</v>
      </c>
      <c r="DT4" s="6" t="s">
        <v>111</v>
      </c>
      <c r="DU4" s="6" t="s">
        <v>112</v>
      </c>
      <c r="DV4" s="6" t="s">
        <v>113</v>
      </c>
      <c r="DW4" s="2" t="s">
        <v>114</v>
      </c>
      <c r="DX4" s="6" t="s">
        <v>108</v>
      </c>
      <c r="DY4" s="6" t="s">
        <v>109</v>
      </c>
      <c r="DZ4" s="6" t="s">
        <v>110</v>
      </c>
      <c r="EA4" s="6" t="s">
        <v>111</v>
      </c>
      <c r="EB4" s="6" t="s">
        <v>112</v>
      </c>
      <c r="EC4" s="6" t="s">
        <v>113</v>
      </c>
      <c r="ED4" s="2" t="s">
        <v>114</v>
      </c>
      <c r="EE4" s="51" t="s">
        <v>108</v>
      </c>
      <c r="EF4" s="6" t="s">
        <v>109</v>
      </c>
      <c r="EG4" s="6" t="s">
        <v>110</v>
      </c>
      <c r="EH4" s="6" t="s">
        <v>111</v>
      </c>
      <c r="EI4" s="6" t="s">
        <v>112</v>
      </c>
      <c r="EJ4" s="6" t="s">
        <v>113</v>
      </c>
      <c r="EK4" s="2" t="s">
        <v>114</v>
      </c>
      <c r="EL4" s="6" t="s">
        <v>108</v>
      </c>
      <c r="EM4" s="6" t="s">
        <v>109</v>
      </c>
      <c r="EN4" s="6" t="s">
        <v>110</v>
      </c>
      <c r="EO4" s="6" t="s">
        <v>111</v>
      </c>
      <c r="EP4" s="6" t="s">
        <v>112</v>
      </c>
      <c r="EQ4" s="6" t="s">
        <v>113</v>
      </c>
      <c r="ER4" s="2" t="s">
        <v>114</v>
      </c>
      <c r="ES4" s="51" t="s">
        <v>108</v>
      </c>
      <c r="ET4" s="6" t="s">
        <v>109</v>
      </c>
      <c r="EU4" s="6" t="s">
        <v>110</v>
      </c>
      <c r="EV4" s="6" t="s">
        <v>111</v>
      </c>
      <c r="EW4" s="6" t="s">
        <v>112</v>
      </c>
      <c r="EX4" s="6" t="s">
        <v>113</v>
      </c>
      <c r="EY4" s="2" t="s">
        <v>114</v>
      </c>
      <c r="EZ4" s="6" t="s">
        <v>108</v>
      </c>
      <c r="FA4" s="6" t="s">
        <v>109</v>
      </c>
      <c r="FB4" s="6" t="s">
        <v>110</v>
      </c>
      <c r="FC4" s="6" t="s">
        <v>111</v>
      </c>
      <c r="FD4" s="6" t="s">
        <v>112</v>
      </c>
      <c r="FE4" s="6" t="s">
        <v>113</v>
      </c>
      <c r="FF4" s="2" t="s">
        <v>114</v>
      </c>
      <c r="FG4" s="51" t="s">
        <v>108</v>
      </c>
      <c r="FH4" s="6" t="s">
        <v>109</v>
      </c>
      <c r="FI4" s="6" t="s">
        <v>110</v>
      </c>
      <c r="FJ4" s="6" t="s">
        <v>111</v>
      </c>
      <c r="FK4" s="6" t="s">
        <v>112</v>
      </c>
      <c r="FL4" s="6" t="s">
        <v>113</v>
      </c>
      <c r="FM4" s="2" t="s">
        <v>114</v>
      </c>
      <c r="FN4" s="6" t="s">
        <v>108</v>
      </c>
      <c r="FO4" s="6" t="s">
        <v>109</v>
      </c>
      <c r="FP4" s="6" t="s">
        <v>110</v>
      </c>
      <c r="FQ4" s="6" t="s">
        <v>111</v>
      </c>
      <c r="FR4" s="6" t="s">
        <v>112</v>
      </c>
      <c r="FS4" s="6" t="s">
        <v>113</v>
      </c>
      <c r="FT4" s="2" t="s">
        <v>114</v>
      </c>
      <c r="FU4" s="51" t="s">
        <v>108</v>
      </c>
      <c r="FV4" s="6" t="s">
        <v>109</v>
      </c>
      <c r="FW4" s="6" t="s">
        <v>110</v>
      </c>
      <c r="FX4" s="6" t="s">
        <v>111</v>
      </c>
      <c r="FY4" s="6" t="s">
        <v>112</v>
      </c>
      <c r="FZ4" s="6" t="s">
        <v>113</v>
      </c>
      <c r="GA4" s="2" t="s">
        <v>114</v>
      </c>
      <c r="GB4" s="6" t="s">
        <v>108</v>
      </c>
      <c r="GC4" s="6" t="s">
        <v>109</v>
      </c>
      <c r="GD4" s="6" t="s">
        <v>110</v>
      </c>
      <c r="GE4" s="6" t="s">
        <v>111</v>
      </c>
      <c r="GF4" s="6" t="s">
        <v>112</v>
      </c>
      <c r="GG4" s="6" t="s">
        <v>113</v>
      </c>
      <c r="GH4" s="2" t="s">
        <v>114</v>
      </c>
      <c r="GI4" s="51" t="s">
        <v>108</v>
      </c>
      <c r="GJ4" s="6" t="s">
        <v>109</v>
      </c>
      <c r="GK4" s="6" t="s">
        <v>110</v>
      </c>
      <c r="GL4" s="6" t="s">
        <v>111</v>
      </c>
      <c r="GM4" s="6" t="s">
        <v>112</v>
      </c>
      <c r="GN4" s="6" t="s">
        <v>113</v>
      </c>
      <c r="GO4" s="2" t="s">
        <v>114</v>
      </c>
      <c r="GP4" s="6" t="s">
        <v>108</v>
      </c>
      <c r="GQ4" s="6" t="s">
        <v>109</v>
      </c>
      <c r="GR4" s="6" t="s">
        <v>110</v>
      </c>
      <c r="GS4" s="6" t="s">
        <v>111</v>
      </c>
      <c r="GT4" s="6" t="s">
        <v>112</v>
      </c>
      <c r="GU4" s="6" t="s">
        <v>113</v>
      </c>
      <c r="GV4" s="53" t="s">
        <v>114</v>
      </c>
      <c r="GW4" s="51" t="s">
        <v>108</v>
      </c>
      <c r="GX4" s="6" t="s">
        <v>109</v>
      </c>
      <c r="GY4" s="6" t="s">
        <v>110</v>
      </c>
      <c r="GZ4" s="6" t="s">
        <v>111</v>
      </c>
      <c r="HA4" s="6" t="s">
        <v>112</v>
      </c>
      <c r="HB4" s="6" t="s">
        <v>113</v>
      </c>
      <c r="HC4" s="2" t="s">
        <v>114</v>
      </c>
      <c r="HD4" s="6" t="s">
        <v>108</v>
      </c>
      <c r="HE4" s="6" t="s">
        <v>109</v>
      </c>
      <c r="HF4" s="6" t="s">
        <v>110</v>
      </c>
      <c r="HG4" s="6" t="s">
        <v>111</v>
      </c>
      <c r="HH4" s="6" t="s">
        <v>112</v>
      </c>
      <c r="HI4" s="6" t="s">
        <v>113</v>
      </c>
      <c r="HJ4" s="6" t="s">
        <v>114</v>
      </c>
      <c r="HK4" s="51" t="s">
        <v>108</v>
      </c>
      <c r="HL4" s="6" t="s">
        <v>109</v>
      </c>
      <c r="HM4" s="6" t="s">
        <v>110</v>
      </c>
      <c r="HN4" s="6" t="s">
        <v>111</v>
      </c>
      <c r="HO4" s="6" t="s">
        <v>112</v>
      </c>
      <c r="HP4" s="6" t="s">
        <v>113</v>
      </c>
      <c r="HQ4" s="2" t="s">
        <v>114</v>
      </c>
      <c r="HR4" s="6" t="s">
        <v>108</v>
      </c>
      <c r="HS4" s="6" t="s">
        <v>109</v>
      </c>
      <c r="HT4" s="6" t="s">
        <v>110</v>
      </c>
      <c r="HU4" s="6" t="s">
        <v>111</v>
      </c>
      <c r="HV4" s="6" t="s">
        <v>112</v>
      </c>
      <c r="HW4" s="6" t="s">
        <v>113</v>
      </c>
      <c r="HX4" s="6" t="s">
        <v>114</v>
      </c>
      <c r="HY4" s="51" t="s">
        <v>108</v>
      </c>
      <c r="HZ4" s="6" t="s">
        <v>109</v>
      </c>
      <c r="IA4" s="6" t="s">
        <v>110</v>
      </c>
      <c r="IB4" s="6" t="s">
        <v>111</v>
      </c>
      <c r="IC4" s="6" t="s">
        <v>112</v>
      </c>
      <c r="ID4" s="6" t="s">
        <v>113</v>
      </c>
      <c r="IE4" s="2" t="s">
        <v>114</v>
      </c>
      <c r="IF4" s="6" t="s">
        <v>108</v>
      </c>
      <c r="IG4" s="6" t="s">
        <v>109</v>
      </c>
      <c r="IH4" s="6" t="s">
        <v>110</v>
      </c>
      <c r="II4" s="6" t="s">
        <v>111</v>
      </c>
      <c r="IJ4" s="6" t="s">
        <v>112</v>
      </c>
      <c r="IK4" s="6" t="s">
        <v>113</v>
      </c>
      <c r="IL4" s="6" t="s">
        <v>114</v>
      </c>
      <c r="IM4" s="51" t="s">
        <v>108</v>
      </c>
      <c r="IN4" s="6" t="s">
        <v>109</v>
      </c>
      <c r="IO4" s="6" t="s">
        <v>110</v>
      </c>
      <c r="IP4" s="6" t="s">
        <v>111</v>
      </c>
      <c r="IQ4" s="6" t="s">
        <v>112</v>
      </c>
      <c r="IR4" s="6" t="s">
        <v>113</v>
      </c>
      <c r="IS4" s="2" t="s">
        <v>114</v>
      </c>
      <c r="IT4" s="6" t="s">
        <v>108</v>
      </c>
      <c r="IU4" s="6" t="s">
        <v>109</v>
      </c>
      <c r="IV4" s="6" t="s">
        <v>110</v>
      </c>
      <c r="IW4" s="6" t="s">
        <v>111</v>
      </c>
      <c r="IX4" s="6" t="s">
        <v>112</v>
      </c>
      <c r="IY4" s="6" t="s">
        <v>113</v>
      </c>
      <c r="IZ4" s="6" t="s">
        <v>114</v>
      </c>
      <c r="JA4" s="51" t="s">
        <v>108</v>
      </c>
      <c r="JB4" s="6" t="s">
        <v>109</v>
      </c>
      <c r="JC4" s="6" t="s">
        <v>110</v>
      </c>
      <c r="JD4" s="6" t="s">
        <v>111</v>
      </c>
      <c r="JE4" s="6" t="s">
        <v>112</v>
      </c>
      <c r="JF4" s="6" t="s">
        <v>113</v>
      </c>
      <c r="JG4" s="2" t="s">
        <v>114</v>
      </c>
      <c r="JH4" s="6" t="s">
        <v>108</v>
      </c>
      <c r="JI4" s="6" t="s">
        <v>109</v>
      </c>
      <c r="JJ4" s="6" t="s">
        <v>110</v>
      </c>
      <c r="JK4" s="6" t="s">
        <v>111</v>
      </c>
      <c r="JL4" s="6" t="s">
        <v>112</v>
      </c>
      <c r="JM4" s="6" t="s">
        <v>113</v>
      </c>
      <c r="JN4" s="6" t="s">
        <v>114</v>
      </c>
      <c r="JO4" s="54" t="s">
        <v>108</v>
      </c>
      <c r="JP4" s="55" t="s">
        <v>109</v>
      </c>
      <c r="JQ4" s="55" t="s">
        <v>110</v>
      </c>
      <c r="JR4" s="55" t="s">
        <v>111</v>
      </c>
      <c r="JS4" s="55" t="s">
        <v>112</v>
      </c>
      <c r="JT4" s="55" t="s">
        <v>113</v>
      </c>
      <c r="JU4" s="56" t="s">
        <v>114</v>
      </c>
      <c r="JV4" s="54" t="s">
        <v>108</v>
      </c>
      <c r="JW4" s="55" t="s">
        <v>109</v>
      </c>
      <c r="JX4" s="55" t="s">
        <v>110</v>
      </c>
      <c r="JY4" s="55" t="s">
        <v>111</v>
      </c>
      <c r="JZ4" s="55" t="s">
        <v>112</v>
      </c>
      <c r="KA4" s="55" t="s">
        <v>113</v>
      </c>
      <c r="KB4" s="56" t="s">
        <v>114</v>
      </c>
      <c r="KC4" s="54" t="s">
        <v>108</v>
      </c>
      <c r="KD4" s="55" t="s">
        <v>109</v>
      </c>
      <c r="KE4" s="55" t="s">
        <v>110</v>
      </c>
      <c r="KF4" s="55" t="s">
        <v>111</v>
      </c>
      <c r="KG4" s="55" t="s">
        <v>112</v>
      </c>
      <c r="KH4" s="55" t="s">
        <v>113</v>
      </c>
      <c r="KI4" s="56" t="s">
        <v>114</v>
      </c>
      <c r="KJ4" s="54" t="s">
        <v>108</v>
      </c>
      <c r="KK4" s="55" t="s">
        <v>109</v>
      </c>
      <c r="KL4" s="55" t="s">
        <v>110</v>
      </c>
      <c r="KM4" s="55" t="s">
        <v>111</v>
      </c>
      <c r="KN4" s="55" t="s">
        <v>112</v>
      </c>
      <c r="KO4" s="55" t="s">
        <v>113</v>
      </c>
      <c r="KP4" s="56" t="s">
        <v>114</v>
      </c>
      <c r="KQ4" s="54" t="s">
        <v>108</v>
      </c>
      <c r="KR4" s="55" t="s">
        <v>109</v>
      </c>
      <c r="KS4" s="55" t="s">
        <v>110</v>
      </c>
      <c r="KT4" s="55" t="s">
        <v>111</v>
      </c>
      <c r="KU4" s="55" t="s">
        <v>112</v>
      </c>
      <c r="KV4" s="55" t="s">
        <v>113</v>
      </c>
      <c r="KW4" s="55" t="s">
        <v>114</v>
      </c>
      <c r="KX4" s="54" t="s">
        <v>108</v>
      </c>
      <c r="KY4" s="55" t="s">
        <v>109</v>
      </c>
      <c r="KZ4" s="55" t="s">
        <v>110</v>
      </c>
      <c r="LA4" s="55" t="s">
        <v>111</v>
      </c>
      <c r="LB4" s="55" t="s">
        <v>112</v>
      </c>
      <c r="LC4" s="55" t="s">
        <v>113</v>
      </c>
      <c r="LD4" s="56" t="s">
        <v>114</v>
      </c>
      <c r="LE4" s="54" t="s">
        <v>108</v>
      </c>
      <c r="LF4" s="55" t="s">
        <v>109</v>
      </c>
      <c r="LG4" s="55" t="s">
        <v>110</v>
      </c>
      <c r="LH4" s="55" t="s">
        <v>111</v>
      </c>
      <c r="LI4" s="55" t="s">
        <v>112</v>
      </c>
      <c r="LJ4" s="55" t="s">
        <v>113</v>
      </c>
      <c r="LK4" s="56" t="s">
        <v>114</v>
      </c>
      <c r="LL4" s="54" t="s">
        <v>108</v>
      </c>
      <c r="LM4" s="55" t="s">
        <v>109</v>
      </c>
      <c r="LN4" s="55" t="s">
        <v>110</v>
      </c>
      <c r="LO4" s="55" t="s">
        <v>111</v>
      </c>
      <c r="LP4" s="55" t="s">
        <v>112</v>
      </c>
      <c r="LQ4" s="55" t="s">
        <v>113</v>
      </c>
      <c r="LR4" s="56" t="s">
        <v>114</v>
      </c>
      <c r="LS4" s="51" t="s">
        <v>108</v>
      </c>
      <c r="LT4" s="6" t="s">
        <v>109</v>
      </c>
      <c r="LU4" s="6" t="s">
        <v>110</v>
      </c>
      <c r="LV4" s="6" t="s">
        <v>111</v>
      </c>
      <c r="LW4" s="6" t="s">
        <v>112</v>
      </c>
      <c r="LX4" s="6" t="s">
        <v>113</v>
      </c>
      <c r="LY4" s="2" t="s">
        <v>114</v>
      </c>
      <c r="LZ4" s="6" t="s">
        <v>108</v>
      </c>
      <c r="MA4" s="6" t="s">
        <v>109</v>
      </c>
      <c r="MB4" s="6" t="s">
        <v>110</v>
      </c>
      <c r="MC4" s="6" t="s">
        <v>111</v>
      </c>
      <c r="MD4" s="6" t="s">
        <v>112</v>
      </c>
      <c r="ME4" s="6" t="s">
        <v>113</v>
      </c>
      <c r="MF4" s="6" t="s">
        <v>114</v>
      </c>
      <c r="MG4" s="51" t="s">
        <v>108</v>
      </c>
      <c r="MH4" s="6" t="s">
        <v>109</v>
      </c>
      <c r="MI4" s="6" t="s">
        <v>110</v>
      </c>
      <c r="MJ4" s="6" t="s">
        <v>111</v>
      </c>
      <c r="MK4" s="6" t="s">
        <v>112</v>
      </c>
      <c r="ML4" s="6" t="s">
        <v>113</v>
      </c>
      <c r="MM4" s="2" t="s">
        <v>114</v>
      </c>
      <c r="MN4" s="6" t="s">
        <v>108</v>
      </c>
      <c r="MO4" s="6" t="s">
        <v>109</v>
      </c>
      <c r="MP4" s="6" t="s">
        <v>110</v>
      </c>
      <c r="MQ4" s="6" t="s">
        <v>111</v>
      </c>
      <c r="MR4" s="6" t="s">
        <v>112</v>
      </c>
      <c r="MS4" s="6" t="s">
        <v>113</v>
      </c>
      <c r="MT4" s="2" t="s">
        <v>114</v>
      </c>
      <c r="MU4" s="6" t="s">
        <v>108</v>
      </c>
      <c r="MV4" s="6" t="s">
        <v>109</v>
      </c>
      <c r="MW4" s="6" t="s">
        <v>110</v>
      </c>
      <c r="MX4" s="6" t="s">
        <v>111</v>
      </c>
      <c r="MY4" s="6" t="s">
        <v>112</v>
      </c>
      <c r="MZ4" s="6" t="s">
        <v>113</v>
      </c>
      <c r="NA4" s="2" t="s">
        <v>114</v>
      </c>
      <c r="NB4" s="6" t="s">
        <v>108</v>
      </c>
      <c r="NC4" s="58" t="s">
        <v>109</v>
      </c>
      <c r="ND4" s="58"/>
      <c r="NE4" s="58"/>
      <c r="NF4" s="58"/>
      <c r="NG4" s="58"/>
      <c r="NH4" s="58"/>
      <c r="NI4" s="58"/>
      <c r="NJ4" s="58"/>
      <c r="NK4" s="58"/>
      <c r="NL4" s="58"/>
      <c r="NM4" s="58"/>
      <c r="NN4" s="58"/>
      <c r="NO4" s="58"/>
      <c r="NP4" s="58"/>
      <c r="NQ4" s="58"/>
      <c r="NR4" s="58"/>
      <c r="NS4" s="58"/>
      <c r="NT4" s="58"/>
      <c r="NU4" s="58"/>
      <c r="NV4" s="58"/>
      <c r="NW4" s="58"/>
      <c r="NX4" s="58"/>
      <c r="NY4" s="58"/>
      <c r="NZ4" s="58"/>
      <c r="OA4" s="58"/>
      <c r="OB4" s="58"/>
      <c r="OC4" s="58"/>
      <c r="OD4" s="58"/>
      <c r="OE4" s="58"/>
      <c r="OF4" s="58"/>
      <c r="OG4" s="58"/>
      <c r="OH4" s="58"/>
      <c r="OI4" s="58"/>
      <c r="OJ4" s="58"/>
      <c r="OK4" s="58"/>
      <c r="OL4" s="58"/>
      <c r="OM4" s="58"/>
      <c r="ON4" s="58"/>
      <c r="OO4" s="58"/>
      <c r="OP4" s="58"/>
      <c r="OQ4" s="58"/>
      <c r="OR4" s="58"/>
      <c r="OS4" s="58"/>
      <c r="OT4" s="58"/>
      <c r="OU4" s="58"/>
      <c r="OV4" s="58"/>
      <c r="OW4" s="58"/>
      <c r="OX4" s="58"/>
      <c r="OY4" s="58"/>
      <c r="OZ4" s="58"/>
      <c r="PA4" s="58"/>
      <c r="PB4" s="58"/>
      <c r="PC4" s="58"/>
      <c r="PD4" s="58"/>
      <c r="PE4" s="58"/>
      <c r="PF4" s="58"/>
      <c r="PG4" s="58"/>
      <c r="PH4" s="58"/>
      <c r="PI4" s="58"/>
      <c r="PJ4" s="58"/>
      <c r="PK4" s="58"/>
      <c r="PL4" s="58"/>
      <c r="PM4" s="58"/>
      <c r="PN4" s="58"/>
      <c r="PO4" s="58"/>
      <c r="PP4" s="58"/>
      <c r="PQ4" s="58"/>
      <c r="PR4" s="58"/>
      <c r="PS4" s="58"/>
      <c r="PT4" s="58"/>
      <c r="PU4" s="58"/>
      <c r="PV4" s="58"/>
      <c r="PW4" s="58"/>
      <c r="PX4" s="58"/>
      <c r="PY4" s="58"/>
      <c r="PZ4" s="58"/>
      <c r="QA4" s="58"/>
      <c r="QB4" s="58"/>
      <c r="QC4" s="58"/>
      <c r="QD4" s="58"/>
      <c r="QE4" s="58"/>
      <c r="QF4" s="58"/>
      <c r="QG4" s="58"/>
      <c r="QH4" s="58"/>
      <c r="QI4" s="58"/>
      <c r="QJ4" s="58"/>
      <c r="QK4" s="58"/>
      <c r="QL4" s="58"/>
      <c r="QM4" s="58"/>
      <c r="QN4" s="58"/>
      <c r="QO4" s="58"/>
      <c r="QP4" s="58"/>
      <c r="QQ4" s="58"/>
      <c r="QR4" s="58"/>
      <c r="QS4" s="58"/>
      <c r="QT4" s="58"/>
      <c r="QU4" s="58"/>
      <c r="QV4" s="58"/>
      <c r="QW4" s="58"/>
      <c r="QX4" s="58"/>
      <c r="QY4" s="58"/>
      <c r="QZ4" s="58"/>
      <c r="RA4" s="58"/>
      <c r="RB4" s="58"/>
      <c r="RC4" s="58"/>
      <c r="RD4" s="58"/>
      <c r="RE4" s="58"/>
      <c r="RF4" s="58"/>
      <c r="RG4" s="58"/>
      <c r="RH4" s="58"/>
      <c r="RI4" s="58"/>
      <c r="RJ4" s="58"/>
      <c r="RK4" s="58"/>
      <c r="RL4" s="58"/>
      <c r="RM4" s="58"/>
      <c r="RN4" s="58"/>
      <c r="RO4" s="58"/>
      <c r="RP4" s="58"/>
      <c r="RQ4" s="58"/>
      <c r="RR4" s="58"/>
      <c r="RS4" s="58"/>
      <c r="RT4" s="58"/>
      <c r="RU4" s="58"/>
      <c r="RV4" s="58"/>
      <c r="RW4" s="58"/>
      <c r="RX4" s="58"/>
      <c r="RY4" s="58"/>
      <c r="RZ4" s="58"/>
      <c r="SA4" s="58"/>
      <c r="SB4" s="58"/>
      <c r="SC4" s="58"/>
      <c r="SD4" s="58"/>
      <c r="SE4" s="58"/>
      <c r="SF4" s="58"/>
      <c r="SG4" s="58"/>
      <c r="SH4" s="58"/>
      <c r="SI4" s="58"/>
      <c r="SJ4" s="58"/>
      <c r="SK4" s="58"/>
      <c r="SL4" s="58"/>
      <c r="SM4" s="58"/>
      <c r="SN4" s="58"/>
      <c r="SO4" s="58"/>
      <c r="SP4" s="58"/>
      <c r="SQ4" s="58"/>
      <c r="SR4" s="58"/>
      <c r="SS4" s="58"/>
      <c r="ST4" s="58"/>
      <c r="SU4" s="58"/>
      <c r="SV4" s="58"/>
      <c r="SW4" s="58"/>
      <c r="SX4" s="58"/>
      <c r="SY4" s="58"/>
      <c r="SZ4" s="58"/>
      <c r="TA4" s="58"/>
      <c r="TB4" s="58"/>
      <c r="TC4" s="58"/>
      <c r="TD4" s="58"/>
      <c r="TE4" s="58"/>
      <c r="TF4" s="58"/>
      <c r="TG4" s="58"/>
      <c r="TH4" s="58"/>
      <c r="TI4" s="58"/>
      <c r="TJ4" s="58"/>
      <c r="TK4" s="58"/>
      <c r="TL4" s="58"/>
      <c r="TM4" s="58"/>
      <c r="TN4" s="58"/>
      <c r="TO4" s="58"/>
      <c r="TP4" s="58"/>
      <c r="TQ4" s="58"/>
      <c r="TR4" s="58"/>
      <c r="TS4" s="58"/>
      <c r="TT4" s="58"/>
      <c r="TU4" s="58"/>
      <c r="TV4" s="58"/>
      <c r="TW4" s="58"/>
      <c r="TX4" s="58"/>
      <c r="TY4" s="58"/>
      <c r="TZ4" s="58"/>
      <c r="UA4" s="58"/>
      <c r="UB4" s="58"/>
      <c r="UC4" s="58"/>
      <c r="UD4" s="58"/>
      <c r="UE4" s="58"/>
      <c r="UF4" s="58"/>
      <c r="UG4" s="58"/>
      <c r="UH4" s="58"/>
      <c r="UI4" s="58"/>
      <c r="UJ4" s="58"/>
      <c r="UK4" s="58"/>
      <c r="UL4" s="58"/>
      <c r="UM4" s="58"/>
      <c r="UN4" s="58"/>
      <c r="UO4" s="58"/>
      <c r="UP4" s="58"/>
      <c r="UQ4" s="58"/>
      <c r="UR4" s="58"/>
      <c r="US4" s="58"/>
      <c r="UT4" s="58"/>
      <c r="UU4" s="58"/>
      <c r="UV4" s="58"/>
      <c r="UW4" s="58"/>
      <c r="UX4" s="58"/>
      <c r="UY4" s="58"/>
      <c r="UZ4" s="58"/>
      <c r="VA4" s="58"/>
      <c r="VB4" s="58"/>
      <c r="VC4" s="58"/>
      <c r="VD4" s="58"/>
      <c r="VE4" s="58"/>
      <c r="VF4" s="58"/>
      <c r="VG4" s="58"/>
      <c r="VH4" s="58"/>
      <c r="VI4" s="58"/>
      <c r="VJ4" s="58"/>
      <c r="VK4" s="58"/>
      <c r="VL4" s="58"/>
      <c r="VM4" s="58"/>
      <c r="VN4" s="58"/>
      <c r="VO4" s="58"/>
      <c r="VP4" s="58"/>
      <c r="VQ4" s="58"/>
      <c r="VR4" s="58"/>
      <c r="VS4" s="58"/>
      <c r="VT4" s="58"/>
      <c r="VU4" s="58"/>
      <c r="VV4" s="58"/>
      <c r="VW4" s="58"/>
      <c r="VX4" s="58"/>
      <c r="VY4" s="58"/>
      <c r="VZ4" s="58"/>
      <c r="WA4" s="58"/>
      <c r="WB4" s="58"/>
      <c r="WC4" s="58"/>
      <c r="WD4" s="58"/>
      <c r="WE4" s="58"/>
      <c r="WF4" s="58"/>
      <c r="WG4" s="58"/>
      <c r="WH4" s="58"/>
      <c r="WI4" s="58"/>
      <c r="WJ4" s="58"/>
      <c r="WK4" s="58"/>
      <c r="WL4" s="58"/>
      <c r="WM4" s="58"/>
      <c r="WN4" s="58"/>
      <c r="WO4" s="58"/>
      <c r="WP4" s="58"/>
      <c r="WQ4" s="58"/>
      <c r="WR4" s="58"/>
      <c r="WS4" s="58"/>
      <c r="WT4" s="58"/>
      <c r="WU4" s="58"/>
      <c r="WV4" s="58"/>
      <c r="WW4" s="58"/>
      <c r="WX4" s="58"/>
      <c r="WY4" s="58"/>
      <c r="WZ4" s="58"/>
      <c r="XA4" s="58"/>
      <c r="XB4" s="58"/>
      <c r="XC4" s="58"/>
      <c r="XD4" s="58"/>
      <c r="XE4" s="58"/>
      <c r="XF4" s="58"/>
      <c r="XG4" s="58"/>
      <c r="XH4" s="58"/>
      <c r="XI4" s="58"/>
      <c r="XJ4" s="58"/>
      <c r="XK4" s="58"/>
      <c r="XL4" s="58"/>
      <c r="XM4" s="58"/>
      <c r="XN4" s="58"/>
      <c r="XO4" s="58"/>
      <c r="XP4" s="58"/>
      <c r="XQ4" s="58"/>
      <c r="XR4" s="58"/>
      <c r="XS4" s="58"/>
      <c r="XT4" s="58"/>
      <c r="XU4" s="58"/>
      <c r="XV4" s="58"/>
      <c r="XW4" s="58"/>
      <c r="XX4" s="58"/>
      <c r="XY4" s="58"/>
      <c r="XZ4" s="58"/>
      <c r="YA4" s="58"/>
      <c r="YB4" s="58"/>
      <c r="YC4" s="58"/>
      <c r="YD4" s="58"/>
      <c r="YE4" s="58"/>
      <c r="YF4" s="58"/>
      <c r="YG4" s="58"/>
      <c r="YH4" s="58"/>
      <c r="YI4" s="58"/>
      <c r="YJ4" s="58"/>
      <c r="YK4" s="58"/>
      <c r="YL4" s="58"/>
      <c r="YM4" s="58"/>
      <c r="YN4" s="58"/>
      <c r="YO4" s="58"/>
      <c r="YP4" s="58"/>
      <c r="YQ4" s="58"/>
      <c r="YR4" s="58"/>
      <c r="YS4" s="58"/>
      <c r="YT4" s="58"/>
      <c r="YU4" s="58"/>
      <c r="YV4" s="58"/>
      <c r="YW4" s="58"/>
      <c r="YX4" s="58"/>
      <c r="YY4" s="58"/>
      <c r="YZ4" s="58"/>
      <c r="ZA4" s="58"/>
      <c r="ZB4" s="58"/>
      <c r="ZC4" s="58"/>
      <c r="ZD4" s="58"/>
      <c r="ZE4" s="58"/>
    </row>
    <row r="5" ht="18.75" customHeight="1">
      <c r="B5" s="60">
        <v>31.0</v>
      </c>
      <c r="C5" s="61">
        <v>1.0</v>
      </c>
      <c r="D5" s="61">
        <v>2.0</v>
      </c>
      <c r="E5" s="61">
        <v>3.0</v>
      </c>
      <c r="F5" s="61">
        <v>4.0</v>
      </c>
      <c r="G5" s="61">
        <v>5.0</v>
      </c>
      <c r="H5" s="62">
        <v>6.0</v>
      </c>
      <c r="I5" s="61">
        <v>7.0</v>
      </c>
      <c r="J5" s="61">
        <v>8.0</v>
      </c>
      <c r="K5" s="61">
        <v>9.0</v>
      </c>
      <c r="L5" s="61">
        <v>10.0</v>
      </c>
      <c r="M5" s="61">
        <v>11.0</v>
      </c>
      <c r="N5" s="61">
        <v>12.0</v>
      </c>
      <c r="O5" s="62">
        <v>13.0</v>
      </c>
      <c r="P5" s="61">
        <v>14.0</v>
      </c>
      <c r="Q5" s="61">
        <v>15.0</v>
      </c>
      <c r="R5" s="61">
        <v>16.0</v>
      </c>
      <c r="S5" s="61">
        <v>17.0</v>
      </c>
      <c r="T5" s="61">
        <v>18.0</v>
      </c>
      <c r="U5" s="61">
        <v>19.0</v>
      </c>
      <c r="V5" s="62">
        <v>20.0</v>
      </c>
      <c r="W5" s="61">
        <v>21.0</v>
      </c>
      <c r="X5" s="61">
        <v>22.0</v>
      </c>
      <c r="Y5" s="61">
        <v>23.0</v>
      </c>
      <c r="Z5" s="61">
        <v>24.0</v>
      </c>
      <c r="AA5" s="61">
        <v>25.0</v>
      </c>
      <c r="AB5" s="61">
        <v>26.0</v>
      </c>
      <c r="AC5" s="62">
        <v>27.0</v>
      </c>
      <c r="AD5" s="61">
        <v>28.0</v>
      </c>
      <c r="AE5" s="61">
        <v>29.0</v>
      </c>
      <c r="AF5" s="61">
        <v>30.0</v>
      </c>
      <c r="AG5" s="61">
        <v>31.0</v>
      </c>
      <c r="AH5" s="61">
        <v>1.0</v>
      </c>
      <c r="AI5" s="61">
        <v>2.0</v>
      </c>
      <c r="AJ5" s="62">
        <v>3.0</v>
      </c>
      <c r="AK5" s="61">
        <v>4.0</v>
      </c>
      <c r="AL5" s="61">
        <v>5.0</v>
      </c>
      <c r="AM5" s="61">
        <v>6.0</v>
      </c>
      <c r="AN5" s="61">
        <v>7.0</v>
      </c>
      <c r="AO5" s="61">
        <v>8.0</v>
      </c>
      <c r="AP5" s="61">
        <v>9.0</v>
      </c>
      <c r="AQ5" s="62">
        <v>10.0</v>
      </c>
      <c r="AR5" s="61">
        <v>11.0</v>
      </c>
      <c r="AS5" s="61">
        <v>12.0</v>
      </c>
      <c r="AT5" s="61">
        <v>13.0</v>
      </c>
      <c r="AU5" s="63">
        <v>14.0</v>
      </c>
      <c r="AV5" s="61">
        <v>15.0</v>
      </c>
      <c r="AW5" s="61">
        <v>16.0</v>
      </c>
      <c r="AX5" s="62">
        <v>17.0</v>
      </c>
      <c r="AY5" s="61">
        <v>18.0</v>
      </c>
      <c r="AZ5" s="61">
        <v>19.0</v>
      </c>
      <c r="BA5" s="61">
        <v>20.0</v>
      </c>
      <c r="BB5" s="61">
        <v>21.0</v>
      </c>
      <c r="BC5" s="61">
        <v>22.0</v>
      </c>
      <c r="BD5" s="61">
        <v>23.0</v>
      </c>
      <c r="BE5" s="62">
        <v>24.0</v>
      </c>
      <c r="BF5" s="61">
        <v>25.0</v>
      </c>
      <c r="BG5" s="61">
        <v>26.0</v>
      </c>
      <c r="BH5" s="61">
        <v>27.0</v>
      </c>
      <c r="BI5" s="61">
        <v>28.0</v>
      </c>
      <c r="BJ5" s="61">
        <v>1.0</v>
      </c>
      <c r="BK5" s="61">
        <v>2.0</v>
      </c>
      <c r="BL5" s="62">
        <v>3.0</v>
      </c>
      <c r="BM5" s="61">
        <v>4.0</v>
      </c>
      <c r="BN5" s="61">
        <v>5.0</v>
      </c>
      <c r="BO5" s="61">
        <v>6.0</v>
      </c>
      <c r="BP5" s="61">
        <v>7.0</v>
      </c>
      <c r="BQ5" s="61">
        <v>8.0</v>
      </c>
      <c r="BR5" s="61">
        <v>9.0</v>
      </c>
      <c r="BS5" s="62">
        <v>10.0</v>
      </c>
      <c r="BT5" s="61">
        <v>11.0</v>
      </c>
      <c r="BU5" s="61">
        <v>12.0</v>
      </c>
      <c r="BV5" s="61">
        <v>13.0</v>
      </c>
      <c r="BW5" s="61">
        <v>14.0</v>
      </c>
      <c r="BX5" s="61">
        <v>15.0</v>
      </c>
      <c r="BY5" s="61">
        <v>16.0</v>
      </c>
      <c r="BZ5" s="62">
        <v>17.0</v>
      </c>
      <c r="CA5" s="61">
        <v>18.0</v>
      </c>
      <c r="CB5" s="61">
        <v>19.0</v>
      </c>
      <c r="CC5" s="61">
        <v>20.0</v>
      </c>
      <c r="CD5" s="61">
        <v>21.0</v>
      </c>
      <c r="CE5" s="61">
        <v>22.0</v>
      </c>
      <c r="CF5" s="61">
        <v>23.0</v>
      </c>
      <c r="CG5" s="62">
        <v>24.0</v>
      </c>
      <c r="CH5" s="61">
        <v>25.0</v>
      </c>
      <c r="CI5" s="61">
        <v>26.0</v>
      </c>
      <c r="CJ5" s="61">
        <v>27.0</v>
      </c>
      <c r="CK5" s="61">
        <v>28.0</v>
      </c>
      <c r="CL5" s="61">
        <v>29.0</v>
      </c>
      <c r="CM5" s="61">
        <v>30.0</v>
      </c>
      <c r="CN5" s="62">
        <v>31.0</v>
      </c>
      <c r="CO5" s="66">
        <v>1.0</v>
      </c>
      <c r="CP5" s="66">
        <v>2.0</v>
      </c>
      <c r="CQ5" s="66">
        <v>3.0</v>
      </c>
      <c r="CR5" s="66">
        <v>4.0</v>
      </c>
      <c r="CS5" s="66">
        <v>5.0</v>
      </c>
      <c r="CT5" s="66">
        <v>6.0</v>
      </c>
      <c r="CU5" s="67">
        <v>7.0</v>
      </c>
      <c r="CV5" s="66">
        <v>8.0</v>
      </c>
      <c r="CW5" s="66">
        <v>9.0</v>
      </c>
      <c r="CX5" s="66">
        <v>10.0</v>
      </c>
      <c r="CY5" s="66">
        <v>11.0</v>
      </c>
      <c r="CZ5" s="66">
        <v>12.0</v>
      </c>
      <c r="DA5" s="66">
        <v>13.0</v>
      </c>
      <c r="DB5" s="67">
        <v>14.0</v>
      </c>
      <c r="DC5" s="66">
        <v>15.0</v>
      </c>
      <c r="DD5" s="66">
        <v>16.0</v>
      </c>
      <c r="DE5" s="66">
        <v>17.0</v>
      </c>
      <c r="DF5" s="66">
        <v>18.0</v>
      </c>
      <c r="DG5" s="66">
        <v>19.0</v>
      </c>
      <c r="DH5" s="66">
        <v>20.0</v>
      </c>
      <c r="DI5" s="67">
        <v>21.0</v>
      </c>
      <c r="DJ5" s="66">
        <v>22.0</v>
      </c>
      <c r="DK5" s="66">
        <v>23.0</v>
      </c>
      <c r="DL5" s="66">
        <v>24.0</v>
      </c>
      <c r="DM5" s="66">
        <v>25.0</v>
      </c>
      <c r="DN5" s="66">
        <v>26.0</v>
      </c>
      <c r="DO5" s="66">
        <v>27.0</v>
      </c>
      <c r="DP5" s="67">
        <v>28.0</v>
      </c>
      <c r="DQ5" s="66">
        <v>29.0</v>
      </c>
      <c r="DR5" s="66">
        <v>30.0</v>
      </c>
      <c r="DS5" s="66">
        <v>1.0</v>
      </c>
      <c r="DT5" s="66">
        <v>2.0</v>
      </c>
      <c r="DU5" s="66">
        <v>3.0</v>
      </c>
      <c r="DV5" s="66">
        <v>4.0</v>
      </c>
      <c r="DW5" s="67">
        <v>5.0</v>
      </c>
      <c r="DX5" s="66">
        <v>6.0</v>
      </c>
      <c r="DY5" s="66">
        <v>7.0</v>
      </c>
      <c r="DZ5" s="66">
        <v>8.0</v>
      </c>
      <c r="EA5" s="66">
        <v>9.0</v>
      </c>
      <c r="EB5" s="66">
        <v>10.0</v>
      </c>
      <c r="EC5" s="66">
        <v>11.0</v>
      </c>
      <c r="ED5" s="67">
        <v>12.0</v>
      </c>
      <c r="EE5" s="66">
        <v>13.0</v>
      </c>
      <c r="EF5" s="66">
        <v>14.0</v>
      </c>
      <c r="EG5" s="66">
        <v>15.0</v>
      </c>
      <c r="EH5" s="66">
        <v>16.0</v>
      </c>
      <c r="EI5" s="66">
        <v>17.0</v>
      </c>
      <c r="EJ5" s="66">
        <v>18.0</v>
      </c>
      <c r="EK5" s="67">
        <v>19.0</v>
      </c>
      <c r="EL5" s="66">
        <v>20.0</v>
      </c>
      <c r="EM5" s="66">
        <v>21.0</v>
      </c>
      <c r="EN5" s="66">
        <v>22.0</v>
      </c>
      <c r="EO5" s="66">
        <v>23.0</v>
      </c>
      <c r="EP5" s="66">
        <v>24.0</v>
      </c>
      <c r="EQ5" s="66">
        <v>25.0</v>
      </c>
      <c r="ER5" s="67">
        <v>26.0</v>
      </c>
      <c r="ES5" s="66">
        <v>27.0</v>
      </c>
      <c r="ET5" s="66">
        <v>28.0</v>
      </c>
      <c r="EU5" s="66">
        <v>29.0</v>
      </c>
      <c r="EV5" s="66">
        <v>30.0</v>
      </c>
      <c r="EW5" s="66">
        <v>31.0</v>
      </c>
      <c r="EX5" s="66">
        <v>1.0</v>
      </c>
      <c r="EY5" s="67">
        <v>2.0</v>
      </c>
      <c r="EZ5" s="66">
        <v>3.0</v>
      </c>
      <c r="FA5" s="66">
        <v>4.0</v>
      </c>
      <c r="FB5" s="66">
        <v>5.0</v>
      </c>
      <c r="FC5" s="66">
        <v>6.0</v>
      </c>
      <c r="FD5" s="66">
        <v>7.0</v>
      </c>
      <c r="FE5" s="66">
        <v>8.0</v>
      </c>
      <c r="FF5" s="67">
        <v>9.0</v>
      </c>
      <c r="FG5" s="66">
        <v>10.0</v>
      </c>
      <c r="FH5" s="66">
        <v>11.0</v>
      </c>
      <c r="FI5" s="66">
        <v>12.0</v>
      </c>
      <c r="FJ5" s="70">
        <v>13.0</v>
      </c>
      <c r="FK5" s="70">
        <v>14.0</v>
      </c>
      <c r="FL5" s="66">
        <v>15.0</v>
      </c>
      <c r="FM5" s="72">
        <v>16.0</v>
      </c>
      <c r="FN5" s="66">
        <v>17.0</v>
      </c>
      <c r="FO5" s="66">
        <v>18.0</v>
      </c>
      <c r="FP5" s="66">
        <v>19.0</v>
      </c>
      <c r="FQ5" s="66">
        <v>20.0</v>
      </c>
      <c r="FR5" s="66">
        <v>21.0</v>
      </c>
      <c r="FS5" s="66">
        <v>22.0</v>
      </c>
      <c r="FT5" s="67">
        <v>23.0</v>
      </c>
      <c r="FU5" s="66">
        <v>24.0</v>
      </c>
      <c r="FV5" s="66">
        <v>25.0</v>
      </c>
      <c r="FW5" s="66">
        <v>26.0</v>
      </c>
      <c r="FX5" s="66">
        <v>27.0</v>
      </c>
      <c r="FY5" s="66">
        <v>28.0</v>
      </c>
      <c r="FZ5" s="66">
        <v>29.0</v>
      </c>
      <c r="GA5" s="67">
        <v>30.0</v>
      </c>
      <c r="GB5" s="6">
        <v>1.0</v>
      </c>
      <c r="GC5" s="6">
        <v>2.0</v>
      </c>
      <c r="GD5" s="6">
        <v>3.0</v>
      </c>
      <c r="GE5" s="6">
        <v>4.0</v>
      </c>
      <c r="GF5" s="6">
        <v>5.0</v>
      </c>
      <c r="GG5" s="6">
        <v>6.0</v>
      </c>
      <c r="GH5" s="2">
        <v>7.0</v>
      </c>
      <c r="GI5" s="6">
        <v>8.0</v>
      </c>
      <c r="GJ5" s="6">
        <v>9.0</v>
      </c>
      <c r="GK5" s="6">
        <v>10.0</v>
      </c>
      <c r="GL5" s="6">
        <v>11.0</v>
      </c>
      <c r="GM5" s="6">
        <v>12.0</v>
      </c>
      <c r="GN5" s="6">
        <v>13.0</v>
      </c>
      <c r="GO5" s="6">
        <v>14.0</v>
      </c>
      <c r="GP5" s="6">
        <v>15.0</v>
      </c>
      <c r="GQ5" s="6">
        <v>16.0</v>
      </c>
      <c r="GR5" s="6">
        <v>17.0</v>
      </c>
      <c r="GS5" s="6">
        <v>18.0</v>
      </c>
      <c r="GT5" s="6">
        <v>19.0</v>
      </c>
      <c r="GU5" s="6">
        <v>20.0</v>
      </c>
      <c r="GV5" s="6">
        <v>21.0</v>
      </c>
      <c r="GW5" s="6">
        <v>22.0</v>
      </c>
      <c r="GX5" s="6">
        <v>23.0</v>
      </c>
      <c r="GY5" s="6">
        <v>24.0</v>
      </c>
      <c r="GZ5" s="6">
        <v>25.0</v>
      </c>
      <c r="HA5" s="6">
        <v>26.0</v>
      </c>
      <c r="HB5" s="6">
        <v>27.0</v>
      </c>
      <c r="HC5" s="6">
        <v>28.0</v>
      </c>
      <c r="HD5" s="6">
        <v>29.0</v>
      </c>
      <c r="HE5" s="6">
        <v>30.0</v>
      </c>
      <c r="HF5" s="6">
        <v>31.0</v>
      </c>
      <c r="HG5" s="6">
        <v>1.0</v>
      </c>
      <c r="HH5" s="6">
        <v>2.0</v>
      </c>
      <c r="HI5" s="6">
        <v>3.0</v>
      </c>
      <c r="HJ5" s="6">
        <v>4.0</v>
      </c>
      <c r="HK5" s="6">
        <v>5.0</v>
      </c>
      <c r="HL5" s="6">
        <v>6.0</v>
      </c>
      <c r="HM5" s="6">
        <v>7.0</v>
      </c>
      <c r="HN5" s="6">
        <v>8.0</v>
      </c>
      <c r="HO5" s="6">
        <v>9.0</v>
      </c>
      <c r="HP5" s="6">
        <v>10.0</v>
      </c>
      <c r="HQ5" s="6">
        <v>11.0</v>
      </c>
      <c r="HR5" s="6">
        <v>12.0</v>
      </c>
      <c r="HS5" s="6">
        <v>13.0</v>
      </c>
      <c r="HT5" s="6">
        <v>14.0</v>
      </c>
      <c r="HU5" s="6">
        <v>15.0</v>
      </c>
      <c r="HV5" s="6">
        <v>16.0</v>
      </c>
      <c r="HW5" s="6">
        <v>17.0</v>
      </c>
      <c r="HX5" s="6">
        <v>18.0</v>
      </c>
      <c r="HY5" s="6">
        <v>19.0</v>
      </c>
      <c r="HZ5" s="6">
        <v>20.0</v>
      </c>
      <c r="IA5" s="6">
        <v>21.0</v>
      </c>
      <c r="IB5" s="6">
        <v>22.0</v>
      </c>
      <c r="IC5" s="6">
        <v>23.0</v>
      </c>
      <c r="ID5" s="6">
        <v>24.0</v>
      </c>
      <c r="IE5" s="6">
        <v>25.0</v>
      </c>
      <c r="IF5" s="6">
        <v>26.0</v>
      </c>
      <c r="IG5" s="6">
        <v>27.0</v>
      </c>
      <c r="IH5" s="6">
        <v>28.0</v>
      </c>
      <c r="II5" s="6">
        <v>29.0</v>
      </c>
      <c r="IJ5" s="6">
        <v>30.0</v>
      </c>
      <c r="IK5" s="6">
        <v>31.0</v>
      </c>
      <c r="IL5" s="6">
        <v>1.0</v>
      </c>
      <c r="IM5" s="51">
        <v>2.0</v>
      </c>
      <c r="IN5" s="6">
        <v>3.0</v>
      </c>
      <c r="IO5" s="6">
        <v>4.0</v>
      </c>
      <c r="IP5" s="51">
        <v>5.0</v>
      </c>
      <c r="IQ5" s="6">
        <v>6.0</v>
      </c>
      <c r="IR5" s="6">
        <v>7.0</v>
      </c>
      <c r="IS5" s="51">
        <v>8.0</v>
      </c>
      <c r="IT5" s="6">
        <v>9.0</v>
      </c>
      <c r="IU5" s="6">
        <v>10.0</v>
      </c>
      <c r="IV5" s="51">
        <v>11.0</v>
      </c>
      <c r="IW5" s="6">
        <v>12.0</v>
      </c>
      <c r="IX5" s="6">
        <v>13.0</v>
      </c>
      <c r="IY5" s="51">
        <v>14.0</v>
      </c>
      <c r="IZ5" s="6">
        <v>15.0</v>
      </c>
      <c r="JA5" s="6">
        <v>16.0</v>
      </c>
      <c r="JB5" s="51">
        <v>17.0</v>
      </c>
      <c r="JC5" s="6">
        <v>18.0</v>
      </c>
      <c r="JD5" s="6">
        <v>19.0</v>
      </c>
      <c r="JE5" s="51">
        <v>20.0</v>
      </c>
      <c r="JF5" s="6">
        <v>21.0</v>
      </c>
      <c r="JG5" s="6">
        <v>22.0</v>
      </c>
      <c r="JH5" s="51">
        <v>23.0</v>
      </c>
      <c r="JI5" s="6">
        <v>24.0</v>
      </c>
      <c r="JJ5" s="6">
        <v>25.0</v>
      </c>
      <c r="JK5" s="51">
        <v>26.0</v>
      </c>
      <c r="JL5" s="6">
        <v>27.0</v>
      </c>
      <c r="JM5" s="6">
        <v>28.0</v>
      </c>
      <c r="JN5" s="51">
        <v>29.0</v>
      </c>
      <c r="JO5" s="6">
        <v>30.0</v>
      </c>
      <c r="JP5" s="66">
        <v>1.0</v>
      </c>
      <c r="JQ5" s="66">
        <v>2.0</v>
      </c>
      <c r="JR5" s="66">
        <v>3.0</v>
      </c>
      <c r="JS5" s="66">
        <v>4.0</v>
      </c>
      <c r="JT5" s="66">
        <v>5.0</v>
      </c>
      <c r="JU5" s="66">
        <v>6.0</v>
      </c>
      <c r="JV5" s="66">
        <v>7.0</v>
      </c>
      <c r="JW5" s="66">
        <v>8.0</v>
      </c>
      <c r="JX5" s="66">
        <v>9.0</v>
      </c>
      <c r="JY5" s="66">
        <v>10.0</v>
      </c>
      <c r="JZ5" s="66">
        <v>11.0</v>
      </c>
      <c r="KA5" s="66">
        <v>12.0</v>
      </c>
      <c r="KB5" s="66">
        <v>13.0</v>
      </c>
      <c r="KC5" s="66">
        <v>14.0</v>
      </c>
      <c r="KD5" s="66">
        <v>15.0</v>
      </c>
      <c r="KE5" s="66">
        <v>16.0</v>
      </c>
      <c r="KF5" s="66">
        <v>17.0</v>
      </c>
      <c r="KG5" s="66">
        <v>18.0</v>
      </c>
      <c r="KH5" s="66">
        <v>19.0</v>
      </c>
      <c r="KI5" s="66">
        <v>20.0</v>
      </c>
      <c r="KJ5" s="66">
        <v>21.0</v>
      </c>
      <c r="KK5" s="66">
        <v>22.0</v>
      </c>
      <c r="KL5" s="66">
        <v>23.0</v>
      </c>
      <c r="KM5" s="66">
        <v>24.0</v>
      </c>
      <c r="KN5" s="66">
        <v>25.0</v>
      </c>
      <c r="KO5" s="66">
        <v>26.0</v>
      </c>
      <c r="KP5" s="66">
        <v>27.0</v>
      </c>
      <c r="KQ5" s="66">
        <v>28.0</v>
      </c>
      <c r="KR5" s="66">
        <v>29.0</v>
      </c>
      <c r="KS5" s="66">
        <v>30.0</v>
      </c>
      <c r="KT5" s="66">
        <v>31.0</v>
      </c>
      <c r="KU5" s="66">
        <v>1.0</v>
      </c>
      <c r="KV5" s="66">
        <v>2.0</v>
      </c>
      <c r="KW5" s="66">
        <v>3.0</v>
      </c>
      <c r="KX5" s="66">
        <v>4.0</v>
      </c>
      <c r="KY5" s="66">
        <v>5.0</v>
      </c>
      <c r="KZ5" s="66">
        <v>6.0</v>
      </c>
      <c r="LA5" s="66">
        <v>7.0</v>
      </c>
      <c r="LB5" s="66">
        <v>8.0</v>
      </c>
      <c r="LC5" s="66">
        <v>9.0</v>
      </c>
      <c r="LD5" s="66">
        <v>10.0</v>
      </c>
      <c r="LE5" s="66">
        <v>11.0</v>
      </c>
      <c r="LF5" s="66">
        <v>12.0</v>
      </c>
      <c r="LG5" s="66">
        <v>13.0</v>
      </c>
      <c r="LH5" s="66">
        <v>14.0</v>
      </c>
      <c r="LI5" s="66">
        <v>15.0</v>
      </c>
      <c r="LJ5" s="66">
        <v>16.0</v>
      </c>
      <c r="LK5" s="66">
        <v>17.0</v>
      </c>
      <c r="LL5" s="66">
        <v>18.0</v>
      </c>
      <c r="LM5" s="66">
        <v>19.0</v>
      </c>
      <c r="LN5" s="66">
        <v>20.0</v>
      </c>
      <c r="LO5" s="66">
        <v>21.0</v>
      </c>
      <c r="LP5" s="66">
        <v>22.0</v>
      </c>
      <c r="LQ5" s="66">
        <v>23.0</v>
      </c>
      <c r="LR5" s="66">
        <v>24.0</v>
      </c>
      <c r="LS5" s="66">
        <v>25.0</v>
      </c>
      <c r="LT5" s="66">
        <v>26.0</v>
      </c>
      <c r="LU5" s="66">
        <v>27.0</v>
      </c>
      <c r="LV5" s="66">
        <v>28.0</v>
      </c>
      <c r="LW5" s="66">
        <v>29.0</v>
      </c>
      <c r="LX5" s="66">
        <v>30.0</v>
      </c>
      <c r="LY5" s="2">
        <v>1.0</v>
      </c>
      <c r="LZ5" s="6">
        <v>2.0</v>
      </c>
      <c r="MA5" s="6">
        <v>3.0</v>
      </c>
      <c r="MB5" s="2">
        <v>4.0</v>
      </c>
      <c r="MC5" s="6">
        <v>5.0</v>
      </c>
      <c r="MD5" s="6">
        <v>6.0</v>
      </c>
      <c r="ME5" s="2">
        <v>7.0</v>
      </c>
      <c r="MF5" s="6">
        <v>8.0</v>
      </c>
      <c r="MG5" s="6">
        <v>9.0</v>
      </c>
      <c r="MH5" s="2">
        <v>10.0</v>
      </c>
      <c r="MI5" s="6">
        <v>11.0</v>
      </c>
      <c r="MJ5" s="6">
        <v>12.0</v>
      </c>
      <c r="MK5" s="2">
        <v>13.0</v>
      </c>
      <c r="ML5" s="6">
        <v>14.0</v>
      </c>
      <c r="MM5" s="6">
        <v>15.0</v>
      </c>
      <c r="MN5" s="2">
        <v>16.0</v>
      </c>
      <c r="MO5" s="6">
        <v>17.0</v>
      </c>
      <c r="MP5" s="6">
        <v>18.0</v>
      </c>
      <c r="MQ5" s="2">
        <v>19.0</v>
      </c>
      <c r="MR5" s="6">
        <v>20.0</v>
      </c>
      <c r="MS5" s="6">
        <v>21.0</v>
      </c>
      <c r="MT5" s="2">
        <v>22.0</v>
      </c>
      <c r="MU5" s="6">
        <v>23.0</v>
      </c>
      <c r="MV5" s="6">
        <v>24.0</v>
      </c>
      <c r="MW5" s="2">
        <v>25.0</v>
      </c>
      <c r="MX5" s="6">
        <v>26.0</v>
      </c>
      <c r="MY5" s="6">
        <v>27.0</v>
      </c>
      <c r="MZ5" s="2">
        <v>28.0</v>
      </c>
      <c r="NA5" s="6">
        <v>29.0</v>
      </c>
      <c r="NB5" s="6">
        <v>30.0</v>
      </c>
      <c r="NC5" s="79">
        <v>31.0</v>
      </c>
      <c r="ND5" s="58"/>
      <c r="NE5" s="58"/>
      <c r="NF5" s="58"/>
      <c r="NG5" s="58"/>
      <c r="NH5" s="58"/>
      <c r="NI5" s="58"/>
      <c r="NJ5" s="58"/>
      <c r="NK5" s="58"/>
      <c r="NL5" s="58"/>
      <c r="NM5" s="58"/>
      <c r="NN5" s="58"/>
      <c r="NO5" s="58"/>
      <c r="NP5" s="58"/>
      <c r="NQ5" s="58"/>
      <c r="NR5" s="58"/>
      <c r="NS5" s="58"/>
      <c r="NT5" s="58"/>
      <c r="NU5" s="58"/>
      <c r="NV5" s="58"/>
      <c r="NW5" s="58"/>
      <c r="NX5" s="58"/>
      <c r="NY5" s="58"/>
      <c r="NZ5" s="58"/>
      <c r="OA5" s="58"/>
      <c r="OB5" s="58"/>
      <c r="OC5" s="58"/>
      <c r="OD5" s="58"/>
      <c r="OE5" s="58"/>
      <c r="OF5" s="58"/>
      <c r="OG5" s="58"/>
      <c r="OH5" s="58"/>
      <c r="OI5" s="58"/>
      <c r="OJ5" s="58"/>
      <c r="OK5" s="58"/>
      <c r="OL5" s="58"/>
      <c r="OM5" s="58"/>
      <c r="ON5" s="58"/>
      <c r="OO5" s="58"/>
      <c r="OP5" s="58"/>
      <c r="OQ5" s="58"/>
      <c r="OR5" s="58"/>
      <c r="OS5" s="58"/>
      <c r="OT5" s="58"/>
      <c r="OU5" s="58"/>
      <c r="OV5" s="58"/>
      <c r="OW5" s="58"/>
      <c r="OX5" s="58"/>
      <c r="OY5" s="58"/>
      <c r="OZ5" s="58"/>
      <c r="PA5" s="58"/>
      <c r="PB5" s="58"/>
      <c r="PC5" s="58"/>
      <c r="PD5" s="58"/>
      <c r="PE5" s="58"/>
      <c r="PF5" s="58"/>
      <c r="PG5" s="58"/>
      <c r="PH5" s="58"/>
      <c r="PI5" s="58"/>
      <c r="PJ5" s="58"/>
      <c r="PK5" s="58"/>
      <c r="PL5" s="58"/>
      <c r="PM5" s="58"/>
      <c r="PN5" s="58"/>
      <c r="PO5" s="58"/>
      <c r="PP5" s="58"/>
      <c r="PQ5" s="58"/>
      <c r="PR5" s="58"/>
      <c r="PS5" s="58"/>
      <c r="PT5" s="58"/>
      <c r="PU5" s="58"/>
      <c r="PV5" s="58"/>
      <c r="PW5" s="58"/>
      <c r="PX5" s="58"/>
      <c r="PY5" s="58"/>
      <c r="PZ5" s="58"/>
      <c r="QA5" s="58"/>
      <c r="QB5" s="58"/>
      <c r="QC5" s="58"/>
      <c r="QD5" s="58"/>
      <c r="QE5" s="58"/>
      <c r="QF5" s="58"/>
      <c r="QG5" s="58"/>
      <c r="QH5" s="58"/>
      <c r="QI5" s="58"/>
      <c r="QJ5" s="58"/>
      <c r="QK5" s="58"/>
      <c r="QL5" s="58"/>
      <c r="QM5" s="58"/>
      <c r="QN5" s="58"/>
      <c r="QO5" s="58"/>
      <c r="QP5" s="58"/>
      <c r="QQ5" s="58"/>
      <c r="QR5" s="58"/>
      <c r="QS5" s="58"/>
      <c r="QT5" s="58"/>
      <c r="QU5" s="58"/>
      <c r="QV5" s="58"/>
      <c r="QW5" s="58"/>
      <c r="QX5" s="58"/>
      <c r="QY5" s="58"/>
      <c r="QZ5" s="58"/>
      <c r="RA5" s="58"/>
      <c r="RB5" s="58"/>
      <c r="RC5" s="58"/>
      <c r="RD5" s="58"/>
      <c r="RE5" s="58"/>
      <c r="RF5" s="58"/>
      <c r="RG5" s="58"/>
      <c r="RH5" s="58"/>
      <c r="RI5" s="58"/>
      <c r="RJ5" s="58"/>
      <c r="RK5" s="58"/>
      <c r="RL5" s="58"/>
      <c r="RM5" s="58"/>
      <c r="RN5" s="58"/>
      <c r="RO5" s="58"/>
      <c r="RP5" s="58"/>
      <c r="RQ5" s="58"/>
      <c r="RR5" s="58"/>
      <c r="RS5" s="58"/>
      <c r="RT5" s="58"/>
      <c r="RU5" s="58"/>
      <c r="RV5" s="58"/>
      <c r="RW5" s="58"/>
      <c r="RX5" s="58"/>
      <c r="RY5" s="58"/>
      <c r="RZ5" s="58"/>
      <c r="SA5" s="58"/>
      <c r="SB5" s="58"/>
      <c r="SC5" s="58"/>
      <c r="SD5" s="58"/>
      <c r="SE5" s="58"/>
      <c r="SF5" s="58"/>
      <c r="SG5" s="58"/>
      <c r="SH5" s="58"/>
      <c r="SI5" s="58"/>
      <c r="SJ5" s="58"/>
      <c r="SK5" s="58"/>
      <c r="SL5" s="58"/>
      <c r="SM5" s="58"/>
      <c r="SN5" s="58"/>
      <c r="SO5" s="58"/>
      <c r="SP5" s="58"/>
      <c r="SQ5" s="58"/>
      <c r="SR5" s="58"/>
      <c r="SS5" s="58"/>
      <c r="ST5" s="58"/>
      <c r="SU5" s="58"/>
      <c r="SV5" s="58"/>
      <c r="SW5" s="58"/>
      <c r="SX5" s="58"/>
      <c r="SY5" s="58"/>
      <c r="SZ5" s="58"/>
      <c r="TA5" s="58"/>
      <c r="TB5" s="58"/>
      <c r="TC5" s="58"/>
      <c r="TD5" s="58"/>
      <c r="TE5" s="58"/>
      <c r="TF5" s="58"/>
      <c r="TG5" s="58"/>
      <c r="TH5" s="58"/>
      <c r="TI5" s="58"/>
      <c r="TJ5" s="58"/>
      <c r="TK5" s="58"/>
      <c r="TL5" s="58"/>
      <c r="TM5" s="58"/>
      <c r="TN5" s="58"/>
      <c r="TO5" s="58"/>
      <c r="TP5" s="58"/>
      <c r="TQ5" s="58"/>
      <c r="TR5" s="58"/>
      <c r="TS5" s="58"/>
      <c r="TT5" s="58"/>
      <c r="TU5" s="58"/>
      <c r="TV5" s="58"/>
      <c r="TW5" s="58"/>
      <c r="TX5" s="58"/>
      <c r="TY5" s="58"/>
      <c r="TZ5" s="58"/>
      <c r="UA5" s="58"/>
      <c r="UB5" s="58"/>
      <c r="UC5" s="58"/>
      <c r="UD5" s="58"/>
      <c r="UE5" s="58"/>
      <c r="UF5" s="58"/>
      <c r="UG5" s="58"/>
      <c r="UH5" s="58"/>
      <c r="UI5" s="58"/>
      <c r="UJ5" s="58"/>
      <c r="UK5" s="58"/>
      <c r="UL5" s="58"/>
      <c r="UM5" s="58"/>
      <c r="UN5" s="58"/>
      <c r="UO5" s="58"/>
      <c r="UP5" s="58"/>
      <c r="UQ5" s="58"/>
      <c r="UR5" s="58"/>
      <c r="US5" s="58"/>
      <c r="UT5" s="58"/>
      <c r="UU5" s="58"/>
      <c r="UV5" s="58"/>
      <c r="UW5" s="58"/>
      <c r="UX5" s="58"/>
      <c r="UY5" s="58"/>
      <c r="UZ5" s="58"/>
      <c r="VA5" s="58"/>
      <c r="VB5" s="58"/>
      <c r="VC5" s="58"/>
      <c r="VD5" s="58"/>
      <c r="VE5" s="58"/>
      <c r="VF5" s="58"/>
      <c r="VG5" s="58"/>
      <c r="VH5" s="58"/>
      <c r="VI5" s="58"/>
      <c r="VJ5" s="58"/>
      <c r="VK5" s="58"/>
      <c r="VL5" s="58"/>
      <c r="VM5" s="58"/>
      <c r="VN5" s="58"/>
      <c r="VO5" s="58"/>
      <c r="VP5" s="58"/>
      <c r="VQ5" s="58"/>
      <c r="VR5" s="58"/>
      <c r="VS5" s="58"/>
      <c r="VT5" s="58"/>
      <c r="VU5" s="58"/>
      <c r="VV5" s="58"/>
      <c r="VW5" s="58"/>
      <c r="VX5" s="58"/>
      <c r="VY5" s="58"/>
      <c r="VZ5" s="58"/>
      <c r="WA5" s="58"/>
      <c r="WB5" s="58"/>
      <c r="WC5" s="58"/>
      <c r="WD5" s="58"/>
      <c r="WE5" s="58"/>
      <c r="WF5" s="58"/>
      <c r="WG5" s="58"/>
      <c r="WH5" s="58"/>
      <c r="WI5" s="58"/>
      <c r="WJ5" s="58"/>
      <c r="WK5" s="58"/>
      <c r="WL5" s="58"/>
      <c r="WM5" s="58"/>
      <c r="WN5" s="58"/>
      <c r="WO5" s="58"/>
      <c r="WP5" s="58"/>
      <c r="WQ5" s="58"/>
      <c r="WR5" s="58"/>
      <c r="WS5" s="58"/>
      <c r="WT5" s="58"/>
      <c r="WU5" s="58"/>
      <c r="WV5" s="58"/>
      <c r="WW5" s="58"/>
      <c r="WX5" s="58"/>
      <c r="WY5" s="58"/>
      <c r="WZ5" s="58"/>
      <c r="XA5" s="58"/>
      <c r="XB5" s="58"/>
      <c r="XC5" s="58"/>
      <c r="XD5" s="58"/>
      <c r="XE5" s="58"/>
      <c r="XF5" s="58"/>
      <c r="XG5" s="58"/>
      <c r="XH5" s="58"/>
      <c r="XI5" s="58"/>
      <c r="XJ5" s="58"/>
      <c r="XK5" s="58"/>
      <c r="XL5" s="58"/>
      <c r="XM5" s="58"/>
      <c r="XN5" s="58"/>
      <c r="XO5" s="58"/>
      <c r="XP5" s="58"/>
      <c r="XQ5" s="58"/>
      <c r="XR5" s="58"/>
      <c r="XS5" s="58"/>
      <c r="XT5" s="58"/>
      <c r="XU5" s="58"/>
      <c r="XV5" s="58"/>
      <c r="XW5" s="58"/>
      <c r="XX5" s="58"/>
      <c r="XY5" s="58"/>
      <c r="XZ5" s="58"/>
      <c r="YA5" s="58"/>
      <c r="YB5" s="58"/>
      <c r="YC5" s="58"/>
      <c r="YD5" s="58"/>
      <c r="YE5" s="58"/>
      <c r="YF5" s="58"/>
      <c r="YG5" s="58"/>
      <c r="YH5" s="58"/>
      <c r="YI5" s="58"/>
      <c r="YJ5" s="58"/>
      <c r="YK5" s="58"/>
      <c r="YL5" s="58"/>
      <c r="YM5" s="58"/>
      <c r="YN5" s="58"/>
      <c r="YO5" s="58"/>
      <c r="YP5" s="58"/>
      <c r="YQ5" s="58"/>
      <c r="YR5" s="58"/>
      <c r="YS5" s="58"/>
      <c r="YT5" s="58"/>
      <c r="YU5" s="58"/>
      <c r="YV5" s="58"/>
      <c r="YW5" s="58"/>
      <c r="YX5" s="58"/>
      <c r="YY5" s="58"/>
      <c r="YZ5" s="58"/>
      <c r="ZA5" s="58"/>
      <c r="ZB5" s="58"/>
      <c r="ZC5" s="58"/>
      <c r="ZD5" s="58"/>
      <c r="ZE5" s="58"/>
    </row>
    <row r="6">
      <c r="A6" s="13" t="s">
        <v>134</v>
      </c>
      <c r="B6" s="81" t="s">
        <v>135</v>
      </c>
      <c r="I6" s="82"/>
      <c r="O6" s="83"/>
      <c r="P6" s="84" t="s">
        <v>136</v>
      </c>
      <c r="V6" s="83"/>
      <c r="W6" s="86" t="s">
        <v>138</v>
      </c>
      <c r="AC6" s="83"/>
      <c r="AD6" s="84" t="s">
        <v>139</v>
      </c>
      <c r="AJ6" s="83"/>
      <c r="AK6" s="86" t="s">
        <v>140</v>
      </c>
      <c r="AQ6" s="83"/>
      <c r="AR6" s="81" t="s">
        <v>141</v>
      </c>
      <c r="AX6" s="83"/>
      <c r="AY6" s="90" t="s">
        <v>142</v>
      </c>
      <c r="BE6" s="83"/>
      <c r="BF6" s="90" t="s">
        <v>143</v>
      </c>
      <c r="BL6" s="83"/>
      <c r="BM6" s="86" t="s">
        <v>144</v>
      </c>
      <c r="BS6" s="83"/>
      <c r="BT6" s="86" t="s">
        <v>145</v>
      </c>
      <c r="BZ6" s="83"/>
      <c r="CA6" s="86" t="s">
        <v>146</v>
      </c>
      <c r="CG6" s="83"/>
      <c r="CH6" s="86" t="s">
        <v>147</v>
      </c>
      <c r="CN6" s="83"/>
      <c r="CO6" s="86" t="s">
        <v>148</v>
      </c>
      <c r="CV6" s="86" t="s">
        <v>149</v>
      </c>
      <c r="DC6" s="96" t="s">
        <v>150</v>
      </c>
      <c r="DJ6" s="90" t="s">
        <v>151</v>
      </c>
      <c r="DQ6" s="86" t="s">
        <v>152</v>
      </c>
      <c r="DX6" s="90" t="s">
        <v>153</v>
      </c>
      <c r="EE6" s="86" t="s">
        <v>154</v>
      </c>
      <c r="EL6" s="86" t="s">
        <v>155</v>
      </c>
      <c r="ES6" s="86" t="s">
        <v>156</v>
      </c>
      <c r="EZ6" s="86" t="s">
        <v>157</v>
      </c>
      <c r="FG6" s="90" t="s">
        <v>158</v>
      </c>
      <c r="FN6" s="90" t="s">
        <v>159</v>
      </c>
      <c r="FU6" s="86" t="s">
        <v>160</v>
      </c>
      <c r="GB6" s="90" t="s">
        <v>161</v>
      </c>
      <c r="GI6" s="86" t="s">
        <v>162</v>
      </c>
      <c r="GP6" s="90" t="s">
        <v>163</v>
      </c>
      <c r="GW6" s="90" t="s">
        <v>164</v>
      </c>
      <c r="HD6" s="90" t="s">
        <v>165</v>
      </c>
      <c r="HK6" s="90" t="s">
        <v>166</v>
      </c>
      <c r="HR6" s="90" t="s">
        <v>167</v>
      </c>
      <c r="HY6" s="90" t="s">
        <v>168</v>
      </c>
      <c r="IF6" s="90" t="s">
        <v>169</v>
      </c>
      <c r="IM6" s="86" t="s">
        <v>170</v>
      </c>
      <c r="IT6" s="86" t="s">
        <v>171</v>
      </c>
      <c r="JA6" s="90" t="s">
        <v>172</v>
      </c>
      <c r="JH6" s="90" t="s">
        <v>173</v>
      </c>
      <c r="JO6" s="90" t="s">
        <v>174</v>
      </c>
      <c r="JV6" s="102" t="s">
        <v>175</v>
      </c>
      <c r="KC6" s="90" t="s">
        <v>176</v>
      </c>
      <c r="KJ6" s="86" t="s">
        <v>177</v>
      </c>
      <c r="KQ6" s="90" t="s">
        <v>178</v>
      </c>
      <c r="KX6" s="103" t="s">
        <v>179</v>
      </c>
      <c r="KY6" s="23"/>
      <c r="KZ6" s="23"/>
      <c r="LA6" s="23"/>
      <c r="LB6" s="23"/>
      <c r="LC6" s="23"/>
      <c r="LD6" s="104"/>
      <c r="LE6" s="106" t="s">
        <v>180</v>
      </c>
      <c r="LF6" s="16"/>
      <c r="LG6" s="16"/>
      <c r="LH6" s="16"/>
      <c r="LI6" s="16"/>
      <c r="LJ6" s="16"/>
      <c r="LK6" s="25"/>
      <c r="LL6" s="106" t="s">
        <v>181</v>
      </c>
      <c r="LM6" s="16"/>
      <c r="LN6" s="16"/>
      <c r="LO6" s="16"/>
      <c r="LP6" s="16"/>
      <c r="LQ6" s="16"/>
      <c r="LR6" s="25"/>
      <c r="LS6" s="108" t="s">
        <v>182</v>
      </c>
      <c r="LT6" s="16"/>
      <c r="LU6" s="16"/>
      <c r="LV6" s="16"/>
      <c r="LW6" s="16"/>
      <c r="LX6" s="16"/>
      <c r="LY6" s="25"/>
      <c r="LZ6" s="108" t="s">
        <v>183</v>
      </c>
      <c r="MA6" s="16"/>
      <c r="MB6" s="16"/>
      <c r="MC6" s="16"/>
      <c r="MD6" s="16"/>
      <c r="ME6" s="16"/>
      <c r="MF6" s="25"/>
      <c r="MG6" s="108" t="s">
        <v>184</v>
      </c>
      <c r="MH6" s="16"/>
      <c r="MI6" s="16"/>
      <c r="MJ6" s="16"/>
      <c r="MK6" s="16"/>
      <c r="ML6" s="16"/>
      <c r="MM6" s="25"/>
      <c r="MN6" s="106" t="s">
        <v>185</v>
      </c>
      <c r="MO6" s="16"/>
      <c r="MP6" s="16"/>
      <c r="MQ6" s="16"/>
      <c r="MR6" s="16"/>
      <c r="MS6" s="16"/>
      <c r="MT6" s="25"/>
      <c r="MU6" s="106" t="s">
        <v>186</v>
      </c>
      <c r="MV6" s="16"/>
      <c r="MW6" s="16"/>
      <c r="MX6" s="16"/>
      <c r="MY6" s="16"/>
      <c r="MZ6" s="16"/>
      <c r="NA6" s="25"/>
      <c r="NB6" s="109"/>
      <c r="NC6" s="110"/>
      <c r="ND6" s="110"/>
      <c r="NE6" s="110"/>
      <c r="NF6" s="110"/>
      <c r="NG6" s="110"/>
      <c r="NH6" s="110"/>
      <c r="NI6" s="110"/>
      <c r="NJ6" s="110"/>
      <c r="NK6" s="110"/>
      <c r="NL6" s="110"/>
      <c r="NM6" s="110"/>
      <c r="NN6" s="110"/>
      <c r="NO6" s="110"/>
      <c r="NP6" s="110"/>
      <c r="NQ6" s="110"/>
      <c r="NR6" s="110"/>
      <c r="NS6" s="110"/>
      <c r="NT6" s="110"/>
      <c r="NU6" s="110"/>
      <c r="NV6" s="110"/>
      <c r="NW6" s="110"/>
      <c r="NX6" s="110"/>
      <c r="NY6" s="110"/>
      <c r="NZ6" s="110"/>
      <c r="OA6" s="110"/>
      <c r="OB6" s="110"/>
      <c r="OC6" s="110"/>
      <c r="OD6" s="110"/>
      <c r="OE6" s="110"/>
      <c r="OF6" s="110"/>
      <c r="OG6" s="110"/>
      <c r="OH6" s="110"/>
      <c r="OI6" s="110"/>
      <c r="OJ6" s="110"/>
      <c r="OK6" s="110"/>
      <c r="OL6" s="110"/>
      <c r="OM6" s="110"/>
      <c r="ON6" s="110"/>
      <c r="OO6" s="110"/>
      <c r="OP6" s="110"/>
      <c r="OQ6" s="110"/>
      <c r="OR6" s="110"/>
      <c r="OS6" s="110"/>
      <c r="OT6" s="110"/>
      <c r="OU6" s="110"/>
      <c r="OV6" s="110"/>
      <c r="OW6" s="110"/>
      <c r="OX6" s="110"/>
      <c r="OY6" s="110"/>
      <c r="OZ6" s="110"/>
      <c r="PA6" s="110"/>
      <c r="PB6" s="110"/>
      <c r="PC6" s="110"/>
      <c r="PD6" s="110"/>
      <c r="PE6" s="110"/>
      <c r="PF6" s="110"/>
      <c r="PG6" s="110"/>
      <c r="PH6" s="110"/>
      <c r="PI6" s="110"/>
      <c r="PJ6" s="110"/>
      <c r="PK6" s="110"/>
      <c r="PL6" s="110"/>
      <c r="PM6" s="110"/>
      <c r="PN6" s="110"/>
      <c r="PO6" s="110"/>
      <c r="PP6" s="110"/>
      <c r="PQ6" s="110"/>
      <c r="PR6" s="110"/>
      <c r="PS6" s="110"/>
      <c r="PT6" s="110"/>
      <c r="PU6" s="110"/>
      <c r="PV6" s="110"/>
      <c r="PW6" s="110"/>
      <c r="PX6" s="110"/>
      <c r="PY6" s="110"/>
      <c r="PZ6" s="110"/>
      <c r="QA6" s="110"/>
      <c r="QB6" s="110"/>
      <c r="QC6" s="110"/>
      <c r="QD6" s="110"/>
      <c r="QE6" s="110"/>
      <c r="QF6" s="110"/>
      <c r="QG6" s="110"/>
      <c r="QH6" s="110"/>
      <c r="QI6" s="110"/>
      <c r="QJ6" s="110"/>
      <c r="QK6" s="110"/>
      <c r="QL6" s="110"/>
      <c r="QM6" s="110"/>
      <c r="QN6" s="110"/>
      <c r="QO6" s="110"/>
      <c r="QP6" s="110"/>
      <c r="QQ6" s="110"/>
      <c r="QR6" s="110"/>
      <c r="QS6" s="110"/>
      <c r="QT6" s="110"/>
      <c r="QU6" s="110"/>
      <c r="QV6" s="110"/>
      <c r="QW6" s="110"/>
      <c r="QX6" s="110"/>
      <c r="QY6" s="110"/>
      <c r="QZ6" s="110"/>
      <c r="RA6" s="110"/>
      <c r="RB6" s="110"/>
      <c r="RC6" s="110"/>
      <c r="RD6" s="110"/>
      <c r="RE6" s="110"/>
      <c r="RF6" s="110"/>
      <c r="RG6" s="110"/>
      <c r="RH6" s="110"/>
      <c r="RI6" s="110"/>
      <c r="RJ6" s="110"/>
      <c r="RK6" s="110"/>
      <c r="RL6" s="110"/>
      <c r="RM6" s="110"/>
      <c r="RN6" s="110"/>
      <c r="RO6" s="110"/>
      <c r="RP6" s="110"/>
      <c r="RQ6" s="110"/>
      <c r="RR6" s="110"/>
      <c r="RS6" s="110"/>
      <c r="RT6" s="110"/>
      <c r="RU6" s="110"/>
      <c r="RV6" s="110"/>
      <c r="RW6" s="110"/>
      <c r="RX6" s="110"/>
      <c r="RY6" s="110"/>
      <c r="RZ6" s="110"/>
      <c r="SA6" s="110"/>
      <c r="SB6" s="110"/>
      <c r="SC6" s="110"/>
      <c r="SD6" s="110"/>
      <c r="SE6" s="110"/>
      <c r="SF6" s="110"/>
      <c r="SG6" s="110"/>
      <c r="SH6" s="110"/>
      <c r="SI6" s="110"/>
      <c r="SJ6" s="110"/>
      <c r="SK6" s="110"/>
      <c r="SL6" s="110"/>
      <c r="SM6" s="110"/>
      <c r="SN6" s="110"/>
      <c r="SO6" s="110"/>
      <c r="SP6" s="110"/>
      <c r="SQ6" s="110"/>
      <c r="SR6" s="110"/>
      <c r="SS6" s="110"/>
      <c r="ST6" s="110"/>
      <c r="SU6" s="110"/>
      <c r="SV6" s="110"/>
      <c r="SW6" s="110"/>
      <c r="SX6" s="110"/>
      <c r="SY6" s="110"/>
      <c r="SZ6" s="110"/>
      <c r="TA6" s="110"/>
      <c r="TB6" s="110"/>
      <c r="TC6" s="110"/>
      <c r="TD6" s="110"/>
      <c r="TE6" s="110"/>
      <c r="TF6" s="110"/>
      <c r="TG6" s="110"/>
      <c r="TH6" s="110"/>
      <c r="TI6" s="110"/>
      <c r="TJ6" s="110"/>
      <c r="TK6" s="110"/>
      <c r="TL6" s="110"/>
      <c r="TM6" s="110"/>
      <c r="TN6" s="110"/>
      <c r="TO6" s="110"/>
      <c r="TP6" s="110"/>
      <c r="TQ6" s="110"/>
      <c r="TR6" s="110"/>
      <c r="TS6" s="110"/>
      <c r="TT6" s="110"/>
      <c r="TU6" s="110"/>
      <c r="TV6" s="110"/>
      <c r="TW6" s="110"/>
      <c r="TX6" s="110"/>
      <c r="TY6" s="110"/>
      <c r="TZ6" s="110"/>
      <c r="UA6" s="110"/>
      <c r="UB6" s="110"/>
      <c r="UC6" s="110"/>
      <c r="UD6" s="110"/>
      <c r="UE6" s="110"/>
      <c r="UF6" s="110"/>
      <c r="UG6" s="110"/>
      <c r="UH6" s="110"/>
      <c r="UI6" s="110"/>
      <c r="UJ6" s="110"/>
      <c r="UK6" s="110"/>
      <c r="UL6" s="110"/>
      <c r="UM6" s="110"/>
      <c r="UN6" s="110"/>
      <c r="UO6" s="110"/>
      <c r="UP6" s="110"/>
      <c r="UQ6" s="110"/>
      <c r="UR6" s="110"/>
      <c r="US6" s="110"/>
      <c r="UT6" s="110"/>
      <c r="UU6" s="110"/>
      <c r="UV6" s="110"/>
      <c r="UW6" s="110"/>
      <c r="UX6" s="110"/>
      <c r="UY6" s="110"/>
      <c r="UZ6" s="110"/>
      <c r="VA6" s="110"/>
      <c r="VB6" s="110"/>
      <c r="VC6" s="110"/>
      <c r="VD6" s="110"/>
      <c r="VE6" s="110"/>
      <c r="VF6" s="110"/>
      <c r="VG6" s="110"/>
      <c r="VH6" s="110"/>
      <c r="VI6" s="110"/>
      <c r="VJ6" s="110"/>
      <c r="VK6" s="110"/>
      <c r="VL6" s="110"/>
      <c r="VM6" s="110"/>
      <c r="VN6" s="110"/>
      <c r="VO6" s="110"/>
      <c r="VP6" s="110"/>
      <c r="VQ6" s="110"/>
      <c r="VR6" s="110"/>
      <c r="VS6" s="110"/>
      <c r="VT6" s="110"/>
      <c r="VU6" s="110"/>
      <c r="VV6" s="110"/>
      <c r="VW6" s="110"/>
      <c r="VX6" s="110"/>
      <c r="VY6" s="110"/>
      <c r="VZ6" s="110"/>
      <c r="WA6" s="110"/>
      <c r="WB6" s="110"/>
      <c r="WC6" s="110"/>
      <c r="WD6" s="110"/>
      <c r="WE6" s="110"/>
      <c r="WF6" s="110"/>
      <c r="WG6" s="110"/>
      <c r="WH6" s="110"/>
      <c r="WI6" s="110"/>
      <c r="WJ6" s="110"/>
      <c r="WK6" s="110"/>
      <c r="WL6" s="110"/>
      <c r="WM6" s="110"/>
      <c r="WN6" s="110"/>
      <c r="WO6" s="110"/>
      <c r="WP6" s="110"/>
      <c r="WQ6" s="110"/>
      <c r="WR6" s="110"/>
      <c r="WS6" s="110"/>
      <c r="WT6" s="110"/>
      <c r="WU6" s="110"/>
      <c r="WV6" s="110"/>
      <c r="WW6" s="110"/>
      <c r="WX6" s="110"/>
      <c r="WY6" s="110"/>
      <c r="WZ6" s="110"/>
      <c r="XA6" s="110"/>
      <c r="XB6" s="110"/>
      <c r="XC6" s="110"/>
      <c r="XD6" s="110"/>
      <c r="XE6" s="110"/>
      <c r="XF6" s="110"/>
      <c r="XG6" s="110"/>
      <c r="XH6" s="110"/>
      <c r="XI6" s="110"/>
      <c r="XJ6" s="110"/>
      <c r="XK6" s="110"/>
      <c r="XL6" s="110"/>
      <c r="XM6" s="110"/>
      <c r="XN6" s="110"/>
      <c r="XO6" s="110"/>
      <c r="XP6" s="110"/>
      <c r="XQ6" s="110"/>
      <c r="XR6" s="110"/>
      <c r="XS6" s="110"/>
      <c r="XT6" s="110"/>
      <c r="XU6" s="110"/>
      <c r="XV6" s="110"/>
      <c r="XW6" s="110"/>
      <c r="XX6" s="110"/>
      <c r="XY6" s="110"/>
      <c r="XZ6" s="110"/>
      <c r="YA6" s="110"/>
      <c r="YB6" s="110"/>
      <c r="YC6" s="110"/>
      <c r="YD6" s="110"/>
      <c r="YE6" s="110"/>
      <c r="YF6" s="110"/>
      <c r="YG6" s="110"/>
      <c r="YH6" s="110"/>
      <c r="YI6" s="110"/>
      <c r="YJ6" s="110"/>
      <c r="YK6" s="110"/>
      <c r="YL6" s="110"/>
      <c r="YM6" s="110"/>
      <c r="YN6" s="110"/>
      <c r="YO6" s="110"/>
      <c r="YP6" s="110"/>
      <c r="YQ6" s="110"/>
      <c r="YR6" s="110"/>
      <c r="YS6" s="110"/>
      <c r="YT6" s="110"/>
      <c r="YU6" s="110"/>
      <c r="YV6" s="110"/>
      <c r="YW6" s="110"/>
      <c r="YX6" s="110"/>
      <c r="YY6" s="110"/>
      <c r="YZ6" s="110"/>
      <c r="ZA6" s="110"/>
      <c r="ZB6" s="110"/>
      <c r="ZC6" s="110"/>
      <c r="ZD6" s="110"/>
      <c r="ZE6" s="110"/>
    </row>
    <row r="7" ht="1.5" customHeight="1">
      <c r="A7" s="115" t="s">
        <v>191</v>
      </c>
      <c r="B7" s="116"/>
      <c r="C7" s="16"/>
      <c r="D7" s="16"/>
      <c r="E7" s="16"/>
      <c r="F7" s="16"/>
      <c r="G7" s="16"/>
      <c r="H7" s="25"/>
      <c r="I7" s="118"/>
      <c r="J7" s="16"/>
      <c r="K7" s="16"/>
      <c r="L7" s="16"/>
      <c r="M7" s="16"/>
      <c r="N7" s="16"/>
      <c r="O7" s="25"/>
      <c r="P7" s="118"/>
      <c r="Q7" s="16"/>
      <c r="R7" s="16"/>
      <c r="S7" s="16"/>
      <c r="T7" s="16"/>
      <c r="U7" s="16"/>
      <c r="V7" s="25"/>
      <c r="W7" s="118"/>
      <c r="X7" s="16"/>
      <c r="Y7" s="16"/>
      <c r="Z7" s="16"/>
      <c r="AA7" s="16"/>
      <c r="AB7" s="16"/>
      <c r="AC7" s="25"/>
      <c r="AD7" s="118"/>
      <c r="AE7" s="16"/>
      <c r="AF7" s="16"/>
      <c r="AG7" s="16"/>
      <c r="AH7" s="16"/>
      <c r="AI7" s="16"/>
      <c r="AJ7" s="25"/>
      <c r="AK7" s="118"/>
      <c r="AL7" s="16"/>
      <c r="AM7" s="16"/>
      <c r="AN7" s="16"/>
      <c r="AO7" s="16"/>
      <c r="AP7" s="16"/>
      <c r="AQ7" s="25"/>
      <c r="AR7" s="118"/>
      <c r="AS7" s="16"/>
      <c r="AT7" s="16"/>
      <c r="AU7" s="16"/>
      <c r="AV7" s="16"/>
      <c r="AW7" s="16"/>
      <c r="AX7" s="25"/>
      <c r="AY7" s="118"/>
      <c r="AZ7" s="16"/>
      <c r="BA7" s="16"/>
      <c r="BB7" s="16"/>
      <c r="BC7" s="16"/>
      <c r="BD7" s="16"/>
      <c r="BE7" s="25"/>
      <c r="BF7" s="118"/>
      <c r="BG7" s="16"/>
      <c r="BH7" s="16"/>
      <c r="BI7" s="16"/>
      <c r="BJ7" s="16"/>
      <c r="BK7" s="16"/>
      <c r="BL7" s="25"/>
      <c r="BM7" s="119"/>
      <c r="BN7" s="16"/>
      <c r="BO7" s="16"/>
      <c r="BP7" s="16"/>
      <c r="BQ7" s="16"/>
      <c r="BR7" s="16"/>
      <c r="BS7" s="25"/>
      <c r="BT7" s="118"/>
      <c r="BU7" s="16"/>
      <c r="BV7" s="16"/>
      <c r="BW7" s="16"/>
      <c r="BX7" s="16"/>
      <c r="BY7" s="16"/>
      <c r="BZ7" s="25"/>
      <c r="CA7" s="118"/>
      <c r="CB7" s="16"/>
      <c r="CC7" s="16"/>
      <c r="CD7" s="16"/>
      <c r="CE7" s="16"/>
      <c r="CF7" s="16"/>
      <c r="CG7" s="25"/>
      <c r="CH7" s="120"/>
      <c r="CI7" s="10"/>
      <c r="CJ7" s="10"/>
      <c r="CK7" s="10"/>
      <c r="CL7" s="10"/>
      <c r="CM7" s="10"/>
      <c r="CN7" s="121"/>
      <c r="CO7" s="120"/>
      <c r="CP7" s="10"/>
      <c r="CQ7" s="10"/>
      <c r="CR7" s="10"/>
      <c r="CS7" s="10"/>
      <c r="CT7" s="10"/>
      <c r="CU7" s="121"/>
      <c r="CV7" s="120"/>
      <c r="CW7" s="10"/>
      <c r="CX7" s="10"/>
      <c r="CY7" s="10"/>
      <c r="CZ7" s="10"/>
      <c r="DA7" s="10"/>
      <c r="DB7" s="121"/>
      <c r="DC7" s="120"/>
      <c r="DD7" s="10"/>
      <c r="DE7" s="10"/>
      <c r="DF7" s="10"/>
      <c r="DG7" s="10"/>
      <c r="DH7" s="10"/>
      <c r="DI7" s="121"/>
      <c r="DJ7" s="120"/>
      <c r="DK7" s="10"/>
      <c r="DL7" s="10"/>
      <c r="DM7" s="10"/>
      <c r="DN7" s="10"/>
      <c r="DO7" s="10"/>
      <c r="DP7" s="121"/>
      <c r="DQ7" s="120"/>
      <c r="DR7" s="10"/>
      <c r="DS7" s="10"/>
      <c r="DT7" s="10"/>
      <c r="DU7" s="10"/>
      <c r="DV7" s="10"/>
      <c r="DW7" s="121"/>
      <c r="DX7" s="120"/>
      <c r="DY7" s="10"/>
      <c r="DZ7" s="10"/>
      <c r="EA7" s="10"/>
      <c r="EB7" s="10"/>
      <c r="EC7" s="10"/>
      <c r="ED7" s="121"/>
      <c r="EE7" s="120"/>
      <c r="EF7" s="10"/>
      <c r="EG7" s="10"/>
      <c r="EH7" s="10"/>
      <c r="EI7" s="10"/>
      <c r="EJ7" s="10"/>
      <c r="EK7" s="121"/>
      <c r="EL7" s="120"/>
      <c r="EM7" s="10"/>
      <c r="EN7" s="10"/>
      <c r="EO7" s="10"/>
      <c r="EP7" s="10"/>
      <c r="EQ7" s="10"/>
      <c r="ER7" s="121"/>
      <c r="ES7" s="120"/>
      <c r="ET7" s="10"/>
      <c r="EU7" s="10"/>
      <c r="EV7" s="10"/>
      <c r="EW7" s="10"/>
      <c r="EX7" s="10"/>
      <c r="EY7" s="121"/>
      <c r="EZ7" s="120"/>
      <c r="FA7" s="10"/>
      <c r="FB7" s="10"/>
      <c r="FC7" s="10"/>
      <c r="FD7" s="10"/>
      <c r="FE7" s="10"/>
      <c r="FF7" s="121"/>
      <c r="FG7" s="120"/>
      <c r="FH7" s="10"/>
      <c r="FI7" s="10"/>
      <c r="FJ7" s="10"/>
      <c r="FK7" s="10"/>
      <c r="FL7" s="10"/>
      <c r="FM7" s="121"/>
      <c r="FN7" s="124"/>
      <c r="FO7" s="10"/>
      <c r="FP7" s="10"/>
      <c r="FQ7" s="10"/>
      <c r="FR7" s="10"/>
      <c r="FS7" s="10"/>
      <c r="FT7" s="121"/>
      <c r="FU7" s="120"/>
      <c r="FV7" s="10"/>
      <c r="FW7" s="10"/>
      <c r="FX7" s="10"/>
      <c r="FY7" s="10"/>
      <c r="FZ7" s="10"/>
      <c r="GA7" s="121"/>
      <c r="GB7" s="125"/>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25"/>
      <c r="HR7" s="125"/>
      <c r="HS7" s="16"/>
      <c r="HT7" s="16"/>
      <c r="HU7" s="16"/>
      <c r="HV7" s="16"/>
      <c r="HW7" s="16"/>
      <c r="HX7" s="16"/>
      <c r="HY7" s="16"/>
      <c r="HZ7" s="16"/>
      <c r="IA7" s="16"/>
      <c r="IB7" s="16"/>
      <c r="IC7" s="16"/>
      <c r="ID7" s="16"/>
      <c r="IE7" s="25"/>
      <c r="IF7" s="125"/>
      <c r="IG7" s="16"/>
      <c r="IH7" s="16"/>
      <c r="II7" s="16"/>
      <c r="IJ7" s="16"/>
      <c r="IK7" s="16"/>
      <c r="IL7" s="16"/>
      <c r="IM7" s="16"/>
      <c r="IN7" s="16"/>
      <c r="IO7" s="16"/>
      <c r="IP7" s="16"/>
      <c r="IQ7" s="16"/>
      <c r="IR7" s="16"/>
      <c r="IS7" s="16"/>
      <c r="IT7" s="16"/>
      <c r="IU7" s="16"/>
      <c r="IV7" s="16"/>
      <c r="IW7" s="16"/>
      <c r="IX7" s="16"/>
      <c r="IY7" s="16"/>
      <c r="IZ7" s="25"/>
      <c r="JA7" s="125"/>
      <c r="JB7" s="16"/>
      <c r="JC7" s="16"/>
      <c r="JD7" s="16"/>
      <c r="JE7" s="16"/>
      <c r="JF7" s="16"/>
      <c r="JG7" s="25"/>
      <c r="JH7" s="125"/>
      <c r="JI7" s="16"/>
      <c r="JJ7" s="16"/>
      <c r="JK7" s="16"/>
      <c r="JL7" s="16"/>
      <c r="JM7" s="16"/>
      <c r="JN7" s="25"/>
      <c r="JO7" s="120"/>
      <c r="JP7" s="10"/>
      <c r="JQ7" s="10"/>
      <c r="JR7" s="10"/>
      <c r="JS7" s="10"/>
      <c r="JT7" s="10"/>
      <c r="JU7" s="121"/>
      <c r="JV7" s="120"/>
      <c r="JW7" s="10"/>
      <c r="JX7" s="10"/>
      <c r="JY7" s="10"/>
      <c r="JZ7" s="10"/>
      <c r="KA7" s="10"/>
      <c r="KB7" s="121"/>
      <c r="KC7" s="120"/>
      <c r="KD7" s="10"/>
      <c r="KE7" s="10"/>
      <c r="KF7" s="10"/>
      <c r="KG7" s="10"/>
      <c r="KH7" s="10"/>
      <c r="KI7" s="121"/>
      <c r="KJ7" s="120"/>
      <c r="KK7" s="10"/>
      <c r="KL7" s="10"/>
      <c r="KM7" s="10"/>
      <c r="KN7" s="10"/>
      <c r="KO7" s="10"/>
      <c r="KP7" s="121"/>
      <c r="KQ7" s="120"/>
      <c r="KR7" s="10"/>
      <c r="KS7" s="10"/>
      <c r="KT7" s="10"/>
      <c r="KU7" s="10"/>
      <c r="KV7" s="10"/>
      <c r="KW7" s="121"/>
      <c r="KX7" s="120"/>
      <c r="KY7" s="10"/>
      <c r="KZ7" s="10"/>
      <c r="LA7" s="10"/>
      <c r="LB7" s="10"/>
      <c r="LC7" s="10"/>
      <c r="LD7" s="121"/>
      <c r="LE7" s="120"/>
      <c r="LF7" s="10"/>
      <c r="LG7" s="10"/>
      <c r="LH7" s="10"/>
      <c r="LI7" s="10"/>
      <c r="LJ7" s="10"/>
      <c r="LK7" s="121"/>
      <c r="LL7" s="128"/>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21"/>
      <c r="NB7" s="129"/>
      <c r="NC7" s="130"/>
      <c r="ND7" s="130"/>
      <c r="NE7" s="130"/>
      <c r="NF7" s="130"/>
      <c r="NG7" s="130"/>
      <c r="NH7" s="130"/>
      <c r="NI7" s="130"/>
      <c r="NJ7" s="130"/>
      <c r="NK7" s="130"/>
      <c r="NL7" s="130"/>
      <c r="NM7" s="130"/>
      <c r="NN7" s="130"/>
      <c r="NO7" s="130"/>
      <c r="NP7" s="130"/>
      <c r="NQ7" s="130"/>
      <c r="NR7" s="130"/>
      <c r="NS7" s="130"/>
      <c r="NT7" s="130"/>
      <c r="NU7" s="130"/>
      <c r="NV7" s="130"/>
      <c r="NW7" s="130"/>
      <c r="NX7" s="130"/>
      <c r="NY7" s="130"/>
      <c r="NZ7" s="130"/>
      <c r="OA7" s="130"/>
      <c r="OB7" s="130"/>
      <c r="OC7" s="130"/>
      <c r="OD7" s="130"/>
      <c r="OE7" s="130"/>
      <c r="OF7" s="130"/>
      <c r="OG7" s="130"/>
      <c r="OH7" s="130"/>
      <c r="OI7" s="130"/>
      <c r="OJ7" s="130"/>
      <c r="OK7" s="130"/>
      <c r="OL7" s="130"/>
      <c r="OM7" s="130"/>
      <c r="ON7" s="130"/>
      <c r="OO7" s="130"/>
      <c r="OP7" s="130"/>
      <c r="OQ7" s="130"/>
      <c r="OR7" s="130"/>
      <c r="OS7" s="130"/>
      <c r="OT7" s="130"/>
      <c r="OU7" s="130"/>
      <c r="OV7" s="130"/>
      <c r="OW7" s="130"/>
      <c r="OX7" s="130"/>
      <c r="OY7" s="130"/>
      <c r="OZ7" s="130"/>
      <c r="PA7" s="130"/>
      <c r="PB7" s="130"/>
      <c r="PC7" s="130"/>
      <c r="PD7" s="130"/>
      <c r="PE7" s="130"/>
      <c r="PF7" s="130"/>
      <c r="PG7" s="130"/>
      <c r="PH7" s="130"/>
      <c r="PI7" s="130"/>
      <c r="PJ7" s="130"/>
      <c r="PK7" s="130"/>
      <c r="PL7" s="130"/>
      <c r="PM7" s="130"/>
      <c r="PN7" s="130"/>
      <c r="PO7" s="130"/>
      <c r="PP7" s="130"/>
      <c r="PQ7" s="130"/>
      <c r="PR7" s="130"/>
      <c r="PS7" s="130"/>
      <c r="PT7" s="130"/>
      <c r="PU7" s="130"/>
      <c r="PV7" s="130"/>
      <c r="PW7" s="130"/>
      <c r="PX7" s="130"/>
      <c r="PY7" s="130"/>
      <c r="PZ7" s="130"/>
      <c r="QA7" s="130"/>
      <c r="QB7" s="130"/>
      <c r="QC7" s="130"/>
      <c r="QD7" s="130"/>
      <c r="QE7" s="130"/>
      <c r="QF7" s="130"/>
      <c r="QG7" s="130"/>
      <c r="QH7" s="130"/>
      <c r="QI7" s="130"/>
      <c r="QJ7" s="130"/>
      <c r="QK7" s="130"/>
      <c r="QL7" s="130"/>
      <c r="QM7" s="130"/>
      <c r="QN7" s="130"/>
      <c r="QO7" s="130"/>
      <c r="QP7" s="130"/>
      <c r="QQ7" s="130"/>
      <c r="QR7" s="130"/>
      <c r="QS7" s="130"/>
      <c r="QT7" s="130"/>
      <c r="QU7" s="130"/>
      <c r="QV7" s="130"/>
      <c r="QW7" s="130"/>
      <c r="QX7" s="130"/>
      <c r="QY7" s="130"/>
      <c r="QZ7" s="130"/>
      <c r="RA7" s="130"/>
      <c r="RB7" s="130"/>
      <c r="RC7" s="130"/>
      <c r="RD7" s="130"/>
      <c r="RE7" s="130"/>
      <c r="RF7" s="130"/>
      <c r="RG7" s="130"/>
      <c r="RH7" s="130"/>
      <c r="RI7" s="130"/>
      <c r="RJ7" s="130"/>
      <c r="RK7" s="130"/>
      <c r="RL7" s="130"/>
      <c r="RM7" s="130"/>
      <c r="RN7" s="130"/>
      <c r="RO7" s="130"/>
      <c r="RP7" s="130"/>
      <c r="RQ7" s="130"/>
      <c r="RR7" s="130"/>
      <c r="RS7" s="130"/>
      <c r="RT7" s="130"/>
      <c r="RU7" s="130"/>
      <c r="RV7" s="130"/>
      <c r="RW7" s="130"/>
      <c r="RX7" s="130"/>
      <c r="RY7" s="130"/>
      <c r="RZ7" s="130"/>
      <c r="SA7" s="130"/>
      <c r="SB7" s="130"/>
      <c r="SC7" s="130"/>
      <c r="SD7" s="130"/>
      <c r="SE7" s="130"/>
      <c r="SF7" s="130"/>
      <c r="SG7" s="130"/>
      <c r="SH7" s="130"/>
      <c r="SI7" s="130"/>
      <c r="SJ7" s="130"/>
      <c r="SK7" s="130"/>
      <c r="SL7" s="130"/>
      <c r="SM7" s="130"/>
      <c r="SN7" s="130"/>
      <c r="SO7" s="130"/>
      <c r="SP7" s="130"/>
      <c r="SQ7" s="130"/>
      <c r="SR7" s="130"/>
      <c r="SS7" s="130"/>
      <c r="ST7" s="130"/>
      <c r="SU7" s="130"/>
      <c r="SV7" s="130"/>
      <c r="SW7" s="130"/>
      <c r="SX7" s="130"/>
      <c r="SY7" s="130"/>
      <c r="SZ7" s="130"/>
      <c r="TA7" s="130"/>
      <c r="TB7" s="130"/>
      <c r="TC7" s="130"/>
      <c r="TD7" s="130"/>
      <c r="TE7" s="130"/>
      <c r="TF7" s="130"/>
      <c r="TG7" s="130"/>
      <c r="TH7" s="130"/>
      <c r="TI7" s="130"/>
      <c r="TJ7" s="130"/>
      <c r="TK7" s="130"/>
      <c r="TL7" s="130"/>
      <c r="TM7" s="130"/>
      <c r="TN7" s="130"/>
      <c r="TO7" s="130"/>
      <c r="TP7" s="130"/>
      <c r="TQ7" s="130"/>
      <c r="TR7" s="130"/>
      <c r="TS7" s="130"/>
      <c r="TT7" s="130"/>
      <c r="TU7" s="130"/>
      <c r="TV7" s="130"/>
      <c r="TW7" s="130"/>
      <c r="TX7" s="130"/>
      <c r="TY7" s="130"/>
      <c r="TZ7" s="130"/>
      <c r="UA7" s="130"/>
      <c r="UB7" s="130"/>
      <c r="UC7" s="130"/>
      <c r="UD7" s="130"/>
      <c r="UE7" s="130"/>
      <c r="UF7" s="130"/>
      <c r="UG7" s="130"/>
      <c r="UH7" s="130"/>
      <c r="UI7" s="130"/>
      <c r="UJ7" s="130"/>
      <c r="UK7" s="130"/>
      <c r="UL7" s="130"/>
      <c r="UM7" s="130"/>
      <c r="UN7" s="130"/>
      <c r="UO7" s="130"/>
      <c r="UP7" s="130"/>
      <c r="UQ7" s="130"/>
      <c r="UR7" s="130"/>
      <c r="US7" s="130"/>
      <c r="UT7" s="130"/>
      <c r="UU7" s="130"/>
      <c r="UV7" s="130"/>
      <c r="UW7" s="130"/>
      <c r="UX7" s="130"/>
      <c r="UY7" s="130"/>
      <c r="UZ7" s="130"/>
      <c r="VA7" s="130"/>
      <c r="VB7" s="130"/>
      <c r="VC7" s="130"/>
      <c r="VD7" s="130"/>
      <c r="VE7" s="130"/>
      <c r="VF7" s="130"/>
      <c r="VG7" s="130"/>
      <c r="VH7" s="130"/>
      <c r="VI7" s="130"/>
      <c r="VJ7" s="130"/>
      <c r="VK7" s="130"/>
      <c r="VL7" s="130"/>
      <c r="VM7" s="130"/>
      <c r="VN7" s="130"/>
      <c r="VO7" s="130"/>
      <c r="VP7" s="130"/>
      <c r="VQ7" s="130"/>
      <c r="VR7" s="130"/>
      <c r="VS7" s="130"/>
      <c r="VT7" s="130"/>
      <c r="VU7" s="130"/>
      <c r="VV7" s="130"/>
      <c r="VW7" s="130"/>
      <c r="VX7" s="130"/>
      <c r="VY7" s="130"/>
      <c r="VZ7" s="130"/>
      <c r="WA7" s="130"/>
      <c r="WB7" s="130"/>
      <c r="WC7" s="130"/>
      <c r="WD7" s="130"/>
      <c r="WE7" s="130"/>
      <c r="WF7" s="130"/>
      <c r="WG7" s="130"/>
      <c r="WH7" s="130"/>
      <c r="WI7" s="130"/>
      <c r="WJ7" s="130"/>
      <c r="WK7" s="130"/>
      <c r="WL7" s="130"/>
      <c r="WM7" s="130"/>
      <c r="WN7" s="130"/>
      <c r="WO7" s="130"/>
      <c r="WP7" s="130"/>
      <c r="WQ7" s="130"/>
      <c r="WR7" s="130"/>
      <c r="WS7" s="130"/>
      <c r="WT7" s="130"/>
      <c r="WU7" s="130"/>
      <c r="WV7" s="130"/>
      <c r="WW7" s="130"/>
      <c r="WX7" s="130"/>
      <c r="WY7" s="130"/>
      <c r="WZ7" s="130"/>
      <c r="XA7" s="130"/>
      <c r="XB7" s="130"/>
      <c r="XC7" s="130"/>
      <c r="XD7" s="130"/>
      <c r="XE7" s="130"/>
      <c r="XF7" s="130"/>
      <c r="XG7" s="130"/>
      <c r="XH7" s="130"/>
      <c r="XI7" s="130"/>
      <c r="XJ7" s="130"/>
      <c r="XK7" s="130"/>
      <c r="XL7" s="130"/>
      <c r="XM7" s="130"/>
      <c r="XN7" s="130"/>
      <c r="XO7" s="130"/>
      <c r="XP7" s="130"/>
      <c r="XQ7" s="130"/>
      <c r="XR7" s="130"/>
      <c r="XS7" s="130"/>
      <c r="XT7" s="130"/>
      <c r="XU7" s="130"/>
      <c r="XV7" s="130"/>
      <c r="XW7" s="130"/>
      <c r="XX7" s="130"/>
      <c r="XY7" s="130"/>
      <c r="XZ7" s="130"/>
      <c r="YA7" s="130"/>
      <c r="YB7" s="130"/>
      <c r="YC7" s="130"/>
      <c r="YD7" s="130"/>
      <c r="YE7" s="130"/>
      <c r="YF7" s="130"/>
      <c r="YG7" s="130"/>
      <c r="YH7" s="130"/>
      <c r="YI7" s="130"/>
      <c r="YJ7" s="130"/>
      <c r="YK7" s="130"/>
      <c r="YL7" s="130"/>
      <c r="YM7" s="130"/>
      <c r="YN7" s="130"/>
      <c r="YO7" s="130"/>
      <c r="YP7" s="130"/>
      <c r="YQ7" s="130"/>
      <c r="YR7" s="130"/>
      <c r="YS7" s="130"/>
      <c r="YT7" s="130"/>
      <c r="YU7" s="130"/>
      <c r="YV7" s="130"/>
      <c r="YW7" s="130"/>
      <c r="YX7" s="130"/>
      <c r="YY7" s="130"/>
      <c r="YZ7" s="130"/>
      <c r="ZA7" s="130"/>
      <c r="ZB7" s="130"/>
      <c r="ZC7" s="130"/>
      <c r="ZD7" s="130"/>
      <c r="ZE7" s="130"/>
    </row>
    <row r="8" ht="18.0" customHeight="1">
      <c r="A8" s="132" t="s">
        <v>254</v>
      </c>
      <c r="B8" s="133" t="s">
        <v>257</v>
      </c>
      <c r="C8" s="16"/>
      <c r="D8" s="16"/>
      <c r="E8" s="16"/>
      <c r="F8" s="16"/>
      <c r="G8" s="16"/>
      <c r="H8" s="25"/>
      <c r="I8" s="134" t="s">
        <v>259</v>
      </c>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34" t="s">
        <v>262</v>
      </c>
      <c r="AL8" s="16"/>
      <c r="AM8" s="16"/>
      <c r="AN8" s="16"/>
      <c r="AO8" s="16"/>
      <c r="AP8" s="16"/>
      <c r="AQ8" s="16"/>
      <c r="AR8" s="16"/>
      <c r="AS8" s="16"/>
      <c r="AT8" s="16"/>
      <c r="AU8" s="25"/>
      <c r="AV8" s="135" t="s">
        <v>269</v>
      </c>
      <c r="AW8" s="16"/>
      <c r="AX8" s="16"/>
      <c r="AY8" s="16"/>
      <c r="AZ8" s="16"/>
      <c r="BA8" s="16"/>
      <c r="BB8" s="16"/>
      <c r="BC8" s="16"/>
      <c r="BD8" s="16"/>
      <c r="BE8" s="25"/>
      <c r="BF8" s="135" t="s">
        <v>272</v>
      </c>
      <c r="BG8" s="16"/>
      <c r="BH8" s="16"/>
      <c r="BI8" s="16"/>
      <c r="BJ8" s="16"/>
      <c r="BK8" s="16"/>
      <c r="BL8" s="25"/>
      <c r="BM8" s="135" t="s">
        <v>273</v>
      </c>
      <c r="BN8" s="16"/>
      <c r="BO8" s="16"/>
      <c r="BP8" s="16"/>
      <c r="BQ8" s="16"/>
      <c r="BR8" s="16"/>
      <c r="BS8" s="16"/>
      <c r="BT8" s="16"/>
      <c r="BU8" s="16"/>
      <c r="BV8" s="16"/>
      <c r="BW8" s="16"/>
      <c r="BX8" s="16"/>
      <c r="BY8" s="16"/>
      <c r="BZ8" s="25"/>
      <c r="CA8" s="135" t="s">
        <v>276</v>
      </c>
      <c r="CB8" s="16"/>
      <c r="CC8" s="16"/>
      <c r="CD8" s="16"/>
      <c r="CE8" s="16"/>
      <c r="CF8" s="16"/>
      <c r="CG8" s="16"/>
      <c r="CH8" s="16"/>
      <c r="CI8" s="16"/>
      <c r="CJ8" s="16"/>
      <c r="CK8" s="16"/>
      <c r="CL8" s="16"/>
      <c r="CM8" s="16"/>
      <c r="CN8" s="25"/>
      <c r="CO8" s="135" t="s">
        <v>278</v>
      </c>
      <c r="CP8" s="16"/>
      <c r="CQ8" s="16"/>
      <c r="CR8" s="16"/>
      <c r="CS8" s="16"/>
      <c r="CT8" s="16"/>
      <c r="CU8" s="16"/>
      <c r="CV8" s="16"/>
      <c r="CW8" s="16"/>
      <c r="CX8" s="16"/>
      <c r="CY8" s="16"/>
      <c r="CZ8" s="16"/>
      <c r="DA8" s="16"/>
      <c r="DB8" s="16"/>
      <c r="DC8" s="16"/>
      <c r="DD8" s="16"/>
      <c r="DE8" s="16"/>
      <c r="DF8" s="16"/>
      <c r="DG8" s="16"/>
      <c r="DH8" s="16"/>
      <c r="DI8" s="25"/>
      <c r="DJ8" s="135" t="s">
        <v>279</v>
      </c>
      <c r="DK8" s="16"/>
      <c r="DL8" s="16"/>
      <c r="DM8" s="16"/>
      <c r="DN8" s="16"/>
      <c r="DO8" s="16"/>
      <c r="DP8" s="25"/>
      <c r="DQ8" s="135" t="s">
        <v>280</v>
      </c>
      <c r="DR8" s="16"/>
      <c r="DS8" s="16"/>
      <c r="DT8" s="16"/>
      <c r="DU8" s="16"/>
      <c r="DV8" s="16"/>
      <c r="DW8" s="16"/>
      <c r="DX8" s="16"/>
      <c r="DY8" s="16"/>
      <c r="DZ8" s="16"/>
      <c r="EA8" s="16"/>
      <c r="EB8" s="16"/>
      <c r="EC8" s="16"/>
      <c r="ED8" s="25"/>
      <c r="EE8" s="134" t="s">
        <v>284</v>
      </c>
      <c r="EF8" s="16"/>
      <c r="EG8" s="16"/>
      <c r="EH8" s="16"/>
      <c r="EI8" s="16"/>
      <c r="EJ8" s="16"/>
      <c r="EK8" s="16"/>
      <c r="EL8" s="16"/>
      <c r="EM8" s="16"/>
      <c r="EN8" s="16"/>
      <c r="EO8" s="16"/>
      <c r="EP8" s="16"/>
      <c r="EQ8" s="16"/>
      <c r="ER8" s="16"/>
      <c r="ES8" s="16"/>
      <c r="ET8" s="16"/>
      <c r="EU8" s="16"/>
      <c r="EV8" s="16"/>
      <c r="EW8" s="16"/>
      <c r="EX8" s="16"/>
      <c r="EY8" s="25"/>
      <c r="EZ8" s="135" t="s">
        <v>290</v>
      </c>
      <c r="FA8" s="16"/>
      <c r="FB8" s="16"/>
      <c r="FC8" s="16"/>
      <c r="FD8" s="16"/>
      <c r="FE8" s="16"/>
      <c r="FF8" s="16"/>
      <c r="FG8" s="16"/>
      <c r="FH8" s="16"/>
      <c r="FI8" s="16"/>
      <c r="FJ8" s="16"/>
      <c r="FK8" s="16"/>
      <c r="FL8" s="16"/>
      <c r="FM8" s="25"/>
      <c r="FN8" s="135" t="s">
        <v>295</v>
      </c>
      <c r="FO8" s="16"/>
      <c r="FP8" s="16"/>
      <c r="FQ8" s="16"/>
      <c r="FR8" s="16"/>
      <c r="FS8" s="16"/>
      <c r="FT8" s="16"/>
      <c r="FU8" s="16"/>
      <c r="FV8" s="16"/>
      <c r="FW8" s="16"/>
      <c r="FX8" s="16"/>
      <c r="FY8" s="16"/>
      <c r="FZ8" s="16"/>
      <c r="GA8" s="25"/>
      <c r="GB8" s="140"/>
      <c r="GC8" s="16"/>
      <c r="GD8" s="16"/>
      <c r="GE8" s="16"/>
      <c r="GF8" s="16"/>
      <c r="GG8" s="16"/>
      <c r="GH8" s="25"/>
      <c r="GI8" s="141"/>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25"/>
      <c r="HR8" s="141"/>
      <c r="HS8" s="16"/>
      <c r="HT8" s="16"/>
      <c r="HU8" s="16"/>
      <c r="HV8" s="16"/>
      <c r="HW8" s="16"/>
      <c r="HX8" s="16"/>
      <c r="HY8" s="16"/>
      <c r="HZ8" s="16"/>
      <c r="IA8" s="16"/>
      <c r="IB8" s="16"/>
      <c r="IC8" s="16"/>
      <c r="ID8" s="16"/>
      <c r="IE8" s="25"/>
      <c r="IF8" s="141"/>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25"/>
      <c r="JH8" s="147"/>
      <c r="JI8" s="16"/>
      <c r="JJ8" s="16"/>
      <c r="JK8" s="16"/>
      <c r="JL8" s="16"/>
      <c r="JM8" s="16"/>
      <c r="JN8" s="25"/>
      <c r="JO8" s="140"/>
      <c r="JP8" s="16"/>
      <c r="JQ8" s="16"/>
      <c r="JR8" s="16"/>
      <c r="JS8" s="16"/>
      <c r="JT8" s="16"/>
      <c r="JU8" s="16"/>
      <c r="JV8" s="16"/>
      <c r="JW8" s="16"/>
      <c r="JX8" s="16"/>
      <c r="JY8" s="16"/>
      <c r="JZ8" s="16"/>
      <c r="KA8" s="16"/>
      <c r="KB8" s="16"/>
      <c r="KC8" s="16"/>
      <c r="KD8" s="16"/>
      <c r="KE8" s="16"/>
      <c r="KF8" s="16"/>
      <c r="KG8" s="16"/>
      <c r="KH8" s="16"/>
      <c r="KI8" s="16"/>
      <c r="KJ8" s="140"/>
      <c r="KK8" s="16"/>
      <c r="KL8" s="16"/>
      <c r="KM8" s="16"/>
      <c r="KN8" s="16"/>
      <c r="KO8" s="16"/>
      <c r="KP8" s="25"/>
      <c r="KQ8" s="140"/>
      <c r="KR8" s="16"/>
      <c r="KS8" s="16"/>
      <c r="KT8" s="16"/>
      <c r="KU8" s="16"/>
      <c r="KV8" s="16"/>
      <c r="KW8" s="16"/>
      <c r="KX8" s="16"/>
      <c r="KY8" s="16"/>
      <c r="KZ8" s="16"/>
      <c r="LA8" s="16"/>
      <c r="LB8" s="16"/>
      <c r="LC8" s="16"/>
      <c r="LD8" s="25"/>
      <c r="LE8" s="140"/>
      <c r="LF8" s="16"/>
      <c r="LG8" s="16"/>
      <c r="LH8" s="16"/>
      <c r="LI8" s="16"/>
      <c r="LJ8" s="16"/>
      <c r="LK8" s="16"/>
      <c r="LL8" s="16"/>
      <c r="LM8" s="16"/>
      <c r="LN8" s="16"/>
      <c r="LO8" s="25"/>
      <c r="LP8" s="151"/>
      <c r="LQ8" s="16"/>
      <c r="LR8" s="16"/>
      <c r="LS8" s="25"/>
      <c r="LT8" s="151"/>
      <c r="LU8" s="16"/>
      <c r="LV8" s="16"/>
      <c r="LW8" s="16"/>
      <c r="LX8" s="16"/>
      <c r="LY8" s="16"/>
      <c r="LZ8" s="16"/>
      <c r="MA8" s="16"/>
      <c r="MB8" s="140"/>
      <c r="MC8" s="16"/>
      <c r="MD8" s="16"/>
      <c r="ME8" s="16"/>
      <c r="MF8" s="16"/>
      <c r="MG8" s="16"/>
      <c r="MH8" s="16"/>
      <c r="MI8" s="16"/>
      <c r="MJ8" s="16"/>
      <c r="MK8" s="16"/>
      <c r="ML8" s="16"/>
      <c r="MM8" s="16"/>
      <c r="MN8" s="16"/>
      <c r="MO8" s="16"/>
      <c r="MP8" s="16"/>
      <c r="MQ8" s="16"/>
      <c r="MR8" s="16"/>
      <c r="MS8" s="16"/>
      <c r="MT8" s="25"/>
      <c r="MU8" s="153"/>
      <c r="MV8" s="16"/>
      <c r="MW8" s="16"/>
      <c r="MX8" s="16"/>
      <c r="MY8" s="16"/>
      <c r="MZ8" s="16"/>
      <c r="NA8" s="25"/>
      <c r="NB8" s="154"/>
      <c r="NC8" s="111"/>
      <c r="ND8" s="111"/>
      <c r="NE8" s="111"/>
      <c r="NF8" s="111"/>
      <c r="NG8" s="111"/>
      <c r="NH8" s="111"/>
      <c r="NI8" s="111"/>
      <c r="NJ8" s="111"/>
      <c r="NK8" s="111"/>
      <c r="NL8" s="111"/>
      <c r="NM8" s="111"/>
      <c r="NN8" s="111"/>
      <c r="NO8" s="111"/>
      <c r="NP8" s="111"/>
      <c r="NQ8" s="111"/>
      <c r="NR8" s="111"/>
      <c r="NS8" s="111"/>
      <c r="NT8" s="111"/>
      <c r="NU8" s="111"/>
      <c r="NV8" s="111"/>
      <c r="NW8" s="111"/>
      <c r="NX8" s="111"/>
      <c r="NY8" s="111"/>
      <c r="NZ8" s="111"/>
      <c r="OA8" s="111"/>
      <c r="OB8" s="111"/>
      <c r="OC8" s="111"/>
      <c r="OD8" s="111"/>
      <c r="OE8" s="111"/>
      <c r="OF8" s="111"/>
      <c r="OG8" s="111"/>
      <c r="OH8" s="111"/>
      <c r="OI8" s="111"/>
      <c r="OJ8" s="111"/>
      <c r="OK8" s="111"/>
      <c r="OL8" s="111"/>
      <c r="OM8" s="111"/>
      <c r="ON8" s="111"/>
      <c r="OO8" s="111"/>
      <c r="OP8" s="111"/>
      <c r="OQ8" s="111"/>
      <c r="OR8" s="111"/>
      <c r="OS8" s="111"/>
      <c r="OT8" s="111"/>
      <c r="OU8" s="111"/>
      <c r="OV8" s="111"/>
      <c r="OW8" s="111"/>
      <c r="OX8" s="111"/>
      <c r="OY8" s="111"/>
      <c r="OZ8" s="111"/>
      <c r="PA8" s="111"/>
      <c r="PB8" s="111"/>
      <c r="PC8" s="111"/>
      <c r="PD8" s="111"/>
      <c r="PE8" s="111"/>
      <c r="PF8" s="111"/>
      <c r="PG8" s="111"/>
      <c r="PH8" s="111"/>
      <c r="PI8" s="111"/>
      <c r="PJ8" s="111"/>
      <c r="PK8" s="111"/>
      <c r="PL8" s="111"/>
      <c r="PM8" s="111"/>
      <c r="PN8" s="111"/>
      <c r="PO8" s="111"/>
      <c r="PP8" s="111"/>
      <c r="PQ8" s="111"/>
      <c r="PR8" s="111"/>
      <c r="PS8" s="111"/>
      <c r="PT8" s="111"/>
      <c r="PU8" s="111"/>
      <c r="PV8" s="111"/>
      <c r="PW8" s="111"/>
      <c r="PX8" s="111"/>
      <c r="PY8" s="111"/>
      <c r="PZ8" s="111"/>
      <c r="QA8" s="111"/>
      <c r="QB8" s="111"/>
      <c r="QC8" s="111"/>
      <c r="QD8" s="111"/>
      <c r="QE8" s="111"/>
      <c r="QF8" s="111"/>
      <c r="QG8" s="111"/>
      <c r="QH8" s="111"/>
      <c r="QI8" s="111"/>
      <c r="QJ8" s="111"/>
      <c r="QK8" s="111"/>
      <c r="QL8" s="111"/>
      <c r="QM8" s="111"/>
      <c r="QN8" s="111"/>
      <c r="QO8" s="111"/>
      <c r="QP8" s="111"/>
      <c r="QQ8" s="111"/>
      <c r="QR8" s="111"/>
      <c r="QS8" s="111"/>
      <c r="QT8" s="111"/>
      <c r="QU8" s="111"/>
      <c r="QV8" s="111"/>
      <c r="QW8" s="111"/>
      <c r="QX8" s="111"/>
      <c r="QY8" s="111"/>
      <c r="QZ8" s="111"/>
      <c r="RA8" s="111"/>
      <c r="RB8" s="111"/>
      <c r="RC8" s="111"/>
      <c r="RD8" s="111"/>
      <c r="RE8" s="111"/>
      <c r="RF8" s="111"/>
      <c r="RG8" s="111"/>
      <c r="RH8" s="111"/>
      <c r="RI8" s="111"/>
      <c r="RJ8" s="111"/>
      <c r="RK8" s="111"/>
      <c r="RL8" s="111"/>
      <c r="RM8" s="111"/>
      <c r="RN8" s="111"/>
      <c r="RO8" s="111"/>
      <c r="RP8" s="111"/>
      <c r="RQ8" s="111"/>
      <c r="RR8" s="111"/>
      <c r="RS8" s="111"/>
      <c r="RT8" s="111"/>
      <c r="RU8" s="111"/>
      <c r="RV8" s="111"/>
      <c r="RW8" s="111"/>
      <c r="RX8" s="111"/>
      <c r="RY8" s="111"/>
      <c r="RZ8" s="111"/>
      <c r="SA8" s="111"/>
      <c r="SB8" s="111"/>
      <c r="SC8" s="111"/>
      <c r="SD8" s="111"/>
      <c r="SE8" s="111"/>
      <c r="SF8" s="111"/>
      <c r="SG8" s="111"/>
      <c r="SH8" s="111"/>
      <c r="SI8" s="111"/>
      <c r="SJ8" s="111"/>
      <c r="SK8" s="111"/>
      <c r="SL8" s="111"/>
      <c r="SM8" s="111"/>
      <c r="SN8" s="111"/>
      <c r="SO8" s="111"/>
      <c r="SP8" s="111"/>
      <c r="SQ8" s="111"/>
      <c r="SR8" s="111"/>
      <c r="SS8" s="111"/>
      <c r="ST8" s="111"/>
      <c r="SU8" s="111"/>
      <c r="SV8" s="111"/>
      <c r="SW8" s="111"/>
      <c r="SX8" s="111"/>
      <c r="SY8" s="111"/>
      <c r="SZ8" s="111"/>
      <c r="TA8" s="111"/>
      <c r="TB8" s="111"/>
      <c r="TC8" s="111"/>
      <c r="TD8" s="111"/>
      <c r="TE8" s="111"/>
      <c r="TF8" s="111"/>
      <c r="TG8" s="111"/>
      <c r="TH8" s="111"/>
      <c r="TI8" s="111"/>
      <c r="TJ8" s="111"/>
      <c r="TK8" s="111"/>
      <c r="TL8" s="111"/>
      <c r="TM8" s="111"/>
      <c r="TN8" s="111"/>
      <c r="TO8" s="111"/>
      <c r="TP8" s="111"/>
      <c r="TQ8" s="111"/>
      <c r="TR8" s="111"/>
      <c r="TS8" s="111"/>
      <c r="TT8" s="111"/>
      <c r="TU8" s="111"/>
      <c r="TV8" s="111"/>
      <c r="TW8" s="111"/>
      <c r="TX8" s="111"/>
      <c r="TY8" s="111"/>
      <c r="TZ8" s="111"/>
      <c r="UA8" s="111"/>
      <c r="UB8" s="111"/>
      <c r="UC8" s="111"/>
      <c r="UD8" s="111"/>
      <c r="UE8" s="111"/>
      <c r="UF8" s="111"/>
      <c r="UG8" s="111"/>
      <c r="UH8" s="111"/>
      <c r="UI8" s="111"/>
      <c r="UJ8" s="111"/>
      <c r="UK8" s="111"/>
      <c r="UL8" s="111"/>
      <c r="UM8" s="111"/>
      <c r="UN8" s="111"/>
      <c r="UO8" s="111"/>
      <c r="UP8" s="111"/>
      <c r="UQ8" s="111"/>
      <c r="UR8" s="111"/>
      <c r="US8" s="111"/>
      <c r="UT8" s="111"/>
      <c r="UU8" s="111"/>
      <c r="UV8" s="111"/>
      <c r="UW8" s="111"/>
      <c r="UX8" s="111"/>
      <c r="UY8" s="111"/>
      <c r="UZ8" s="111"/>
      <c r="VA8" s="111"/>
      <c r="VB8" s="111"/>
      <c r="VC8" s="111"/>
      <c r="VD8" s="111"/>
      <c r="VE8" s="111"/>
      <c r="VF8" s="111"/>
      <c r="VG8" s="111"/>
      <c r="VH8" s="111"/>
      <c r="VI8" s="111"/>
      <c r="VJ8" s="111"/>
      <c r="VK8" s="111"/>
      <c r="VL8" s="111"/>
      <c r="VM8" s="111"/>
      <c r="VN8" s="111"/>
      <c r="VO8" s="111"/>
      <c r="VP8" s="111"/>
      <c r="VQ8" s="111"/>
      <c r="VR8" s="111"/>
      <c r="VS8" s="111"/>
      <c r="VT8" s="111"/>
      <c r="VU8" s="111"/>
      <c r="VV8" s="111"/>
      <c r="VW8" s="111"/>
      <c r="VX8" s="111"/>
      <c r="VY8" s="111"/>
      <c r="VZ8" s="111"/>
      <c r="WA8" s="111"/>
      <c r="WB8" s="111"/>
      <c r="WC8" s="111"/>
      <c r="WD8" s="111"/>
      <c r="WE8" s="111"/>
      <c r="WF8" s="111"/>
      <c r="WG8" s="111"/>
      <c r="WH8" s="111"/>
      <c r="WI8" s="111"/>
      <c r="WJ8" s="111"/>
      <c r="WK8" s="111"/>
      <c r="WL8" s="111"/>
      <c r="WM8" s="111"/>
      <c r="WN8" s="111"/>
      <c r="WO8" s="111"/>
      <c r="WP8" s="111"/>
      <c r="WQ8" s="111"/>
      <c r="WR8" s="111"/>
      <c r="WS8" s="111"/>
      <c r="WT8" s="111"/>
      <c r="WU8" s="111"/>
      <c r="WV8" s="111"/>
      <c r="WW8" s="111"/>
      <c r="WX8" s="111"/>
      <c r="WY8" s="111"/>
      <c r="WZ8" s="111"/>
      <c r="XA8" s="111"/>
      <c r="XB8" s="111"/>
      <c r="XC8" s="111"/>
      <c r="XD8" s="111"/>
      <c r="XE8" s="111"/>
      <c r="XF8" s="111"/>
      <c r="XG8" s="111"/>
      <c r="XH8" s="111"/>
      <c r="XI8" s="111"/>
      <c r="XJ8" s="111"/>
      <c r="XK8" s="111"/>
      <c r="XL8" s="111"/>
      <c r="XM8" s="111"/>
      <c r="XN8" s="111"/>
      <c r="XO8" s="111"/>
      <c r="XP8" s="111"/>
      <c r="XQ8" s="111"/>
      <c r="XR8" s="111"/>
      <c r="XS8" s="111"/>
      <c r="XT8" s="111"/>
      <c r="XU8" s="111"/>
      <c r="XV8" s="111"/>
      <c r="XW8" s="111"/>
      <c r="XX8" s="111"/>
      <c r="XY8" s="111"/>
      <c r="XZ8" s="111"/>
      <c r="YA8" s="111"/>
      <c r="YB8" s="111"/>
      <c r="YC8" s="111"/>
      <c r="YD8" s="111"/>
      <c r="YE8" s="111"/>
      <c r="YF8" s="111"/>
      <c r="YG8" s="111"/>
      <c r="YH8" s="111"/>
      <c r="YI8" s="111"/>
      <c r="YJ8" s="111"/>
      <c r="YK8" s="111"/>
      <c r="YL8" s="111"/>
      <c r="YM8" s="111"/>
      <c r="YN8" s="111"/>
      <c r="YO8" s="111"/>
      <c r="YP8" s="111"/>
      <c r="YQ8" s="111"/>
      <c r="YR8" s="111"/>
      <c r="YS8" s="111"/>
      <c r="YT8" s="111"/>
      <c r="YU8" s="111"/>
      <c r="YV8" s="111"/>
      <c r="YW8" s="111"/>
      <c r="YX8" s="111"/>
      <c r="YY8" s="111"/>
      <c r="YZ8" s="111"/>
      <c r="ZA8" s="111"/>
      <c r="ZB8" s="111"/>
      <c r="ZC8" s="111"/>
      <c r="ZD8" s="111"/>
      <c r="ZE8" s="111"/>
    </row>
    <row r="9" ht="100.5" customHeight="1">
      <c r="A9" s="156" t="s">
        <v>348</v>
      </c>
      <c r="B9" s="157" t="s">
        <v>350</v>
      </c>
      <c r="C9" s="23"/>
      <c r="D9" s="23"/>
      <c r="E9" s="23"/>
      <c r="F9" s="23"/>
      <c r="G9" s="23"/>
      <c r="H9" s="104"/>
      <c r="I9" s="109" t="s">
        <v>351</v>
      </c>
      <c r="J9" s="23"/>
      <c r="K9" s="23"/>
      <c r="L9" s="23"/>
      <c r="M9" s="23"/>
      <c r="N9" s="23"/>
      <c r="O9" s="23"/>
      <c r="P9" s="23"/>
      <c r="Q9" s="23"/>
      <c r="R9" s="23"/>
      <c r="S9" s="23"/>
      <c r="T9" s="23"/>
      <c r="U9" s="23"/>
      <c r="V9" s="23"/>
      <c r="W9" s="23"/>
      <c r="X9" s="23"/>
      <c r="Y9" s="23"/>
      <c r="Z9" s="23"/>
      <c r="AA9" s="23"/>
      <c r="AB9" s="23"/>
      <c r="AC9" s="23"/>
      <c r="AD9" s="23"/>
      <c r="AE9" s="23"/>
      <c r="AF9" s="23"/>
      <c r="AG9" s="23"/>
      <c r="AH9" s="23"/>
      <c r="AI9" s="23"/>
      <c r="AJ9" s="104"/>
      <c r="AK9" s="109" t="s">
        <v>354</v>
      </c>
      <c r="AL9" s="23"/>
      <c r="AM9" s="23"/>
      <c r="AN9" s="23"/>
      <c r="AO9" s="23"/>
      <c r="AP9" s="23"/>
      <c r="AQ9" s="23"/>
      <c r="AR9" s="23"/>
      <c r="AS9" s="23"/>
      <c r="AT9" s="23"/>
      <c r="AU9" s="104"/>
      <c r="AV9" s="159" t="s">
        <v>356</v>
      </c>
      <c r="AW9" s="23"/>
      <c r="AX9" s="23"/>
      <c r="AY9" s="23"/>
      <c r="AZ9" s="23"/>
      <c r="BA9" s="23"/>
      <c r="BB9" s="23"/>
      <c r="BC9" s="23"/>
      <c r="BD9" s="23"/>
      <c r="BE9" s="104"/>
      <c r="BF9" s="110" t="s">
        <v>360</v>
      </c>
      <c r="BM9" s="106" t="s">
        <v>361</v>
      </c>
      <c r="BN9" s="16"/>
      <c r="BO9" s="16"/>
      <c r="BP9" s="16"/>
      <c r="BQ9" s="16"/>
      <c r="BR9" s="16"/>
      <c r="BS9" s="16"/>
      <c r="BT9" s="16"/>
      <c r="BU9" s="16"/>
      <c r="BV9" s="16"/>
      <c r="BW9" s="16"/>
      <c r="BX9" s="16"/>
      <c r="BY9" s="16"/>
      <c r="BZ9" s="25"/>
      <c r="CA9" s="106" t="s">
        <v>364</v>
      </c>
      <c r="CB9" s="16"/>
      <c r="CC9" s="16"/>
      <c r="CD9" s="16"/>
      <c r="CE9" s="16"/>
      <c r="CF9" s="16"/>
      <c r="CG9" s="16"/>
      <c r="CH9" s="16"/>
      <c r="CI9" s="16"/>
      <c r="CJ9" s="16"/>
      <c r="CK9" s="16"/>
      <c r="CL9" s="16"/>
      <c r="CM9" s="16"/>
      <c r="CN9" s="25"/>
      <c r="CO9" s="106"/>
      <c r="CP9" s="106" t="s">
        <v>368</v>
      </c>
      <c r="CQ9" s="16"/>
      <c r="CR9" s="16"/>
      <c r="CS9" s="16"/>
      <c r="CT9" s="16"/>
      <c r="CU9" s="16"/>
      <c r="CV9" s="16"/>
      <c r="CW9" s="16"/>
      <c r="CX9" s="16"/>
      <c r="CY9" s="16"/>
      <c r="CZ9" s="16"/>
      <c r="DA9" s="16"/>
      <c r="DB9" s="16"/>
      <c r="DC9" s="106" t="s">
        <v>370</v>
      </c>
      <c r="DD9" s="16"/>
      <c r="DE9" s="16"/>
      <c r="DF9" s="16"/>
      <c r="DG9" s="16"/>
      <c r="DH9" s="16"/>
      <c r="DI9" s="25"/>
      <c r="DJ9" s="164" t="s">
        <v>372</v>
      </c>
      <c r="DQ9" s="106" t="s">
        <v>374</v>
      </c>
      <c r="DR9" s="16"/>
      <c r="DS9" s="16"/>
      <c r="DT9" s="16"/>
      <c r="DU9" s="16"/>
      <c r="DV9" s="16"/>
      <c r="DW9" s="16"/>
      <c r="DX9" s="16"/>
      <c r="DY9" s="16"/>
      <c r="DZ9" s="16"/>
      <c r="EA9" s="16"/>
      <c r="EB9" s="16"/>
      <c r="EC9" s="16"/>
      <c r="ED9" s="25"/>
      <c r="EE9" s="106" t="s">
        <v>377</v>
      </c>
      <c r="EF9" s="16"/>
      <c r="EG9" s="16"/>
      <c r="EH9" s="16"/>
      <c r="EI9" s="16"/>
      <c r="EJ9" s="16"/>
      <c r="EK9" s="16"/>
      <c r="EL9" s="16"/>
      <c r="EM9" s="16"/>
      <c r="EN9" s="16"/>
      <c r="EO9" s="16"/>
      <c r="EP9" s="16"/>
      <c r="EQ9" s="16"/>
      <c r="ER9" s="16"/>
      <c r="ES9" s="16"/>
      <c r="ET9" s="16"/>
      <c r="EU9" s="16"/>
      <c r="EV9" s="16"/>
      <c r="EW9" s="16"/>
      <c r="EX9" s="16"/>
      <c r="EY9" s="25"/>
      <c r="EZ9" s="167" t="s">
        <v>380</v>
      </c>
      <c r="FM9" s="83"/>
      <c r="FN9" s="106" t="s">
        <v>383</v>
      </c>
      <c r="FO9" s="16"/>
      <c r="FP9" s="16"/>
      <c r="FQ9" s="16"/>
      <c r="FR9" s="16"/>
      <c r="FS9" s="16"/>
      <c r="FT9" s="16"/>
      <c r="FU9" s="16"/>
      <c r="FV9" s="16"/>
      <c r="FW9" s="16"/>
      <c r="FX9" s="16"/>
      <c r="FY9" s="16"/>
      <c r="FZ9" s="16"/>
      <c r="GA9" s="25"/>
      <c r="GB9" s="168"/>
      <c r="GC9" s="16"/>
      <c r="GD9" s="16"/>
      <c r="GE9" s="16"/>
      <c r="GF9" s="16"/>
      <c r="GG9" s="16"/>
      <c r="GH9" s="25"/>
      <c r="GI9" s="168"/>
      <c r="GJ9" s="16"/>
      <c r="GK9" s="16"/>
      <c r="GL9" s="16"/>
      <c r="GM9" s="16"/>
      <c r="GN9" s="16"/>
      <c r="GO9" s="25"/>
      <c r="GP9" s="171"/>
      <c r="GQ9" s="16"/>
      <c r="GR9" s="16"/>
      <c r="GS9" s="16"/>
      <c r="GT9" s="16"/>
      <c r="GU9" s="16"/>
      <c r="GV9" s="25"/>
      <c r="GW9" s="151"/>
      <c r="GX9" s="16"/>
      <c r="GY9" s="16"/>
      <c r="GZ9" s="16"/>
      <c r="HA9" s="16"/>
      <c r="HB9" s="16"/>
      <c r="HC9" s="25"/>
      <c r="HD9" s="173"/>
      <c r="HE9" s="16"/>
      <c r="HF9" s="16"/>
      <c r="HG9" s="16"/>
      <c r="HH9" s="16"/>
      <c r="HI9" s="16"/>
      <c r="HJ9" s="25"/>
      <c r="HK9" s="173"/>
      <c r="HL9" s="16"/>
      <c r="HM9" s="16"/>
      <c r="HN9" s="16"/>
      <c r="HO9" s="16"/>
      <c r="HP9" s="16"/>
      <c r="HQ9" s="25"/>
      <c r="HR9" s="176"/>
      <c r="HS9" s="16"/>
      <c r="HT9" s="16"/>
      <c r="HU9" s="16"/>
      <c r="HV9" s="16"/>
      <c r="HW9" s="16"/>
      <c r="HX9" s="25"/>
      <c r="HY9" s="176"/>
      <c r="HZ9" s="16"/>
      <c r="IA9" s="16"/>
      <c r="IB9" s="16"/>
      <c r="IC9" s="16"/>
      <c r="ID9" s="16"/>
      <c r="IE9" s="25"/>
      <c r="IF9" s="178"/>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25"/>
      <c r="JH9" s="181"/>
      <c r="JI9" s="16"/>
      <c r="JJ9" s="16"/>
      <c r="JK9" s="16"/>
      <c r="JL9" s="16"/>
      <c r="JM9" s="16"/>
      <c r="JN9" s="25"/>
      <c r="JO9" s="182"/>
      <c r="JV9" s="184"/>
      <c r="KB9" s="83"/>
      <c r="KC9" s="173"/>
      <c r="KD9" s="16"/>
      <c r="KE9" s="16"/>
      <c r="KF9" s="16"/>
      <c r="KG9" s="16"/>
      <c r="KH9" s="16"/>
      <c r="KI9" s="25"/>
      <c r="KJ9" s="185"/>
      <c r="KQ9" s="151"/>
      <c r="KR9" s="16"/>
      <c r="KS9" s="16"/>
      <c r="KT9" s="16"/>
      <c r="KU9" s="16"/>
      <c r="KV9" s="16"/>
      <c r="KW9" s="16"/>
      <c r="KX9" s="16"/>
      <c r="KY9" s="16"/>
      <c r="KZ9" s="16"/>
      <c r="LA9" s="16"/>
      <c r="LB9" s="16"/>
      <c r="LC9" s="16"/>
      <c r="LD9" s="16"/>
      <c r="LE9" s="186"/>
      <c r="LF9" s="16"/>
      <c r="LG9" s="16"/>
      <c r="LH9" s="16"/>
      <c r="LI9" s="16"/>
      <c r="LJ9" s="16"/>
      <c r="LK9" s="25"/>
      <c r="LL9" s="151"/>
      <c r="LM9" s="16"/>
      <c r="LN9" s="16"/>
      <c r="LO9" s="16"/>
      <c r="LP9" s="16"/>
      <c r="LQ9" s="16"/>
      <c r="LR9" s="25"/>
      <c r="LS9" s="173"/>
      <c r="LT9" s="16"/>
      <c r="LU9" s="16"/>
      <c r="LV9" s="16"/>
      <c r="LW9" s="16"/>
      <c r="LX9" s="16"/>
      <c r="LY9" s="25"/>
      <c r="LZ9" s="184"/>
      <c r="MF9" s="83"/>
      <c r="MG9" s="184"/>
      <c r="MM9" s="83"/>
      <c r="MN9" s="184"/>
      <c r="MT9" s="83"/>
      <c r="MU9" s="188"/>
      <c r="NA9" s="83"/>
      <c r="NB9" s="188"/>
      <c r="NC9" s="110"/>
      <c r="ND9" s="110"/>
      <c r="NE9" s="110"/>
      <c r="NF9" s="110"/>
      <c r="NG9" s="110"/>
      <c r="NH9" s="110"/>
      <c r="NI9" s="110"/>
      <c r="NJ9" s="110"/>
      <c r="NK9" s="110"/>
      <c r="NL9" s="110"/>
      <c r="NM9" s="110"/>
      <c r="NN9" s="110"/>
      <c r="NO9" s="110"/>
      <c r="NP9" s="110"/>
      <c r="NQ9" s="110"/>
      <c r="NR9" s="110"/>
      <c r="NS9" s="110"/>
      <c r="NT9" s="110"/>
      <c r="NU9" s="110"/>
      <c r="NV9" s="110"/>
      <c r="NW9" s="110"/>
      <c r="NX9" s="110"/>
      <c r="NY9" s="110"/>
      <c r="NZ9" s="110"/>
      <c r="OA9" s="110"/>
      <c r="OB9" s="110"/>
      <c r="OC9" s="110"/>
      <c r="OD9" s="110"/>
      <c r="OE9" s="110"/>
      <c r="OF9" s="110"/>
      <c r="OG9" s="110"/>
      <c r="OH9" s="110"/>
      <c r="OI9" s="110"/>
      <c r="OJ9" s="110"/>
      <c r="OK9" s="110"/>
      <c r="OL9" s="110"/>
      <c r="OM9" s="110"/>
      <c r="ON9" s="110"/>
      <c r="OO9" s="110"/>
      <c r="OP9" s="110"/>
      <c r="OQ9" s="110"/>
      <c r="OR9" s="110"/>
      <c r="OS9" s="110"/>
      <c r="OT9" s="110"/>
      <c r="OU9" s="110"/>
      <c r="OV9" s="110"/>
      <c r="OW9" s="110"/>
      <c r="OX9" s="110"/>
      <c r="OY9" s="110"/>
      <c r="OZ9" s="110"/>
      <c r="PA9" s="110"/>
      <c r="PB9" s="110"/>
      <c r="PC9" s="110"/>
      <c r="PD9" s="110"/>
      <c r="PE9" s="110"/>
      <c r="PF9" s="110"/>
      <c r="PG9" s="110"/>
      <c r="PH9" s="110"/>
      <c r="PI9" s="110"/>
      <c r="PJ9" s="110"/>
      <c r="PK9" s="110"/>
      <c r="PL9" s="110"/>
      <c r="PM9" s="110"/>
      <c r="PN9" s="110"/>
      <c r="PO9" s="110"/>
      <c r="PP9" s="110"/>
      <c r="PQ9" s="110"/>
      <c r="PR9" s="110"/>
      <c r="PS9" s="110"/>
      <c r="PT9" s="110"/>
      <c r="PU9" s="110"/>
      <c r="PV9" s="110"/>
      <c r="PW9" s="110"/>
      <c r="PX9" s="110"/>
      <c r="PY9" s="110"/>
      <c r="PZ9" s="110"/>
      <c r="QA9" s="110"/>
      <c r="QB9" s="110"/>
      <c r="QC9" s="110"/>
      <c r="QD9" s="110"/>
      <c r="QE9" s="110"/>
      <c r="QF9" s="110"/>
      <c r="QG9" s="110"/>
      <c r="QH9" s="110"/>
      <c r="QI9" s="110"/>
      <c r="QJ9" s="110"/>
      <c r="QK9" s="110"/>
      <c r="QL9" s="110"/>
      <c r="QM9" s="110"/>
      <c r="QN9" s="110"/>
      <c r="QO9" s="110"/>
      <c r="QP9" s="110"/>
      <c r="QQ9" s="110"/>
      <c r="QR9" s="110"/>
      <c r="QS9" s="110"/>
      <c r="QT9" s="110"/>
      <c r="QU9" s="110"/>
      <c r="QV9" s="110"/>
      <c r="QW9" s="110"/>
      <c r="QX9" s="110"/>
      <c r="QY9" s="110"/>
      <c r="QZ9" s="110"/>
      <c r="RA9" s="110"/>
      <c r="RB9" s="110"/>
      <c r="RC9" s="110"/>
      <c r="RD9" s="110"/>
      <c r="RE9" s="110"/>
      <c r="RF9" s="110"/>
      <c r="RG9" s="110"/>
      <c r="RH9" s="110"/>
      <c r="RI9" s="110"/>
      <c r="RJ9" s="110"/>
      <c r="RK9" s="110"/>
      <c r="RL9" s="110"/>
      <c r="RM9" s="110"/>
      <c r="RN9" s="110"/>
      <c r="RO9" s="110"/>
      <c r="RP9" s="110"/>
      <c r="RQ9" s="110"/>
      <c r="RR9" s="110"/>
      <c r="RS9" s="110"/>
      <c r="RT9" s="110"/>
      <c r="RU9" s="110"/>
      <c r="RV9" s="110"/>
      <c r="RW9" s="110"/>
      <c r="RX9" s="110"/>
      <c r="RY9" s="110"/>
      <c r="RZ9" s="110"/>
      <c r="SA9" s="110"/>
      <c r="SB9" s="110"/>
      <c r="SC9" s="110"/>
      <c r="SD9" s="110"/>
      <c r="SE9" s="110"/>
      <c r="SF9" s="110"/>
      <c r="SG9" s="110"/>
      <c r="SH9" s="110"/>
      <c r="SI9" s="110"/>
      <c r="SJ9" s="110"/>
      <c r="SK9" s="110"/>
      <c r="SL9" s="110"/>
      <c r="SM9" s="110"/>
      <c r="SN9" s="110"/>
      <c r="SO9" s="110"/>
      <c r="SP9" s="110"/>
      <c r="SQ9" s="110"/>
      <c r="SR9" s="110"/>
      <c r="SS9" s="110"/>
      <c r="ST9" s="110"/>
      <c r="SU9" s="110"/>
      <c r="SV9" s="110"/>
      <c r="SW9" s="110"/>
      <c r="SX9" s="110"/>
      <c r="SY9" s="110"/>
      <c r="SZ9" s="110"/>
      <c r="TA9" s="110"/>
      <c r="TB9" s="110"/>
      <c r="TC9" s="110"/>
      <c r="TD9" s="110"/>
      <c r="TE9" s="110"/>
      <c r="TF9" s="110"/>
      <c r="TG9" s="110"/>
      <c r="TH9" s="110"/>
      <c r="TI9" s="110"/>
      <c r="TJ9" s="110"/>
      <c r="TK9" s="110"/>
      <c r="TL9" s="110"/>
      <c r="TM9" s="110"/>
      <c r="TN9" s="110"/>
      <c r="TO9" s="110"/>
      <c r="TP9" s="110"/>
      <c r="TQ9" s="110"/>
      <c r="TR9" s="110"/>
      <c r="TS9" s="110"/>
      <c r="TT9" s="110"/>
      <c r="TU9" s="110"/>
      <c r="TV9" s="110"/>
      <c r="TW9" s="110"/>
      <c r="TX9" s="110"/>
      <c r="TY9" s="110"/>
      <c r="TZ9" s="110"/>
      <c r="UA9" s="110"/>
      <c r="UB9" s="110"/>
      <c r="UC9" s="110"/>
      <c r="UD9" s="110"/>
      <c r="UE9" s="110"/>
      <c r="UF9" s="110"/>
      <c r="UG9" s="110"/>
      <c r="UH9" s="110"/>
      <c r="UI9" s="110"/>
      <c r="UJ9" s="110"/>
      <c r="UK9" s="110"/>
      <c r="UL9" s="110"/>
      <c r="UM9" s="110"/>
      <c r="UN9" s="110"/>
      <c r="UO9" s="110"/>
      <c r="UP9" s="110"/>
      <c r="UQ9" s="110"/>
      <c r="UR9" s="110"/>
      <c r="US9" s="110"/>
      <c r="UT9" s="110"/>
      <c r="UU9" s="110"/>
      <c r="UV9" s="110"/>
      <c r="UW9" s="110"/>
      <c r="UX9" s="110"/>
      <c r="UY9" s="110"/>
      <c r="UZ9" s="110"/>
      <c r="VA9" s="110"/>
      <c r="VB9" s="110"/>
      <c r="VC9" s="110"/>
      <c r="VD9" s="110"/>
      <c r="VE9" s="110"/>
      <c r="VF9" s="110"/>
      <c r="VG9" s="110"/>
      <c r="VH9" s="110"/>
      <c r="VI9" s="110"/>
      <c r="VJ9" s="110"/>
      <c r="VK9" s="110"/>
      <c r="VL9" s="110"/>
      <c r="VM9" s="110"/>
      <c r="VN9" s="110"/>
      <c r="VO9" s="110"/>
      <c r="VP9" s="110"/>
      <c r="VQ9" s="110"/>
      <c r="VR9" s="110"/>
      <c r="VS9" s="110"/>
      <c r="VT9" s="110"/>
      <c r="VU9" s="110"/>
      <c r="VV9" s="110"/>
      <c r="VW9" s="110"/>
      <c r="VX9" s="110"/>
      <c r="VY9" s="110"/>
      <c r="VZ9" s="110"/>
      <c r="WA9" s="110"/>
      <c r="WB9" s="110"/>
      <c r="WC9" s="110"/>
      <c r="WD9" s="110"/>
      <c r="WE9" s="110"/>
      <c r="WF9" s="110"/>
      <c r="WG9" s="110"/>
      <c r="WH9" s="110"/>
      <c r="WI9" s="110"/>
      <c r="WJ9" s="110"/>
      <c r="WK9" s="110"/>
      <c r="WL9" s="110"/>
      <c r="WM9" s="110"/>
      <c r="WN9" s="110"/>
      <c r="WO9" s="110"/>
      <c r="WP9" s="110"/>
      <c r="WQ9" s="110"/>
      <c r="WR9" s="110"/>
      <c r="WS9" s="110"/>
      <c r="WT9" s="110"/>
      <c r="WU9" s="110"/>
      <c r="WV9" s="110"/>
      <c r="WW9" s="110"/>
      <c r="WX9" s="110"/>
      <c r="WY9" s="110"/>
      <c r="WZ9" s="110"/>
      <c r="XA9" s="110"/>
      <c r="XB9" s="110"/>
      <c r="XC9" s="110"/>
      <c r="XD9" s="110"/>
      <c r="XE9" s="110"/>
      <c r="XF9" s="110"/>
      <c r="XG9" s="110"/>
      <c r="XH9" s="110"/>
      <c r="XI9" s="110"/>
      <c r="XJ9" s="110"/>
      <c r="XK9" s="110"/>
      <c r="XL9" s="110"/>
      <c r="XM9" s="110"/>
      <c r="XN9" s="110"/>
      <c r="XO9" s="110"/>
      <c r="XP9" s="110"/>
      <c r="XQ9" s="110"/>
      <c r="XR9" s="110"/>
      <c r="XS9" s="110"/>
      <c r="XT9" s="110"/>
      <c r="XU9" s="110"/>
      <c r="XV9" s="110"/>
      <c r="XW9" s="110"/>
      <c r="XX9" s="110"/>
      <c r="XY9" s="110"/>
      <c r="XZ9" s="110"/>
      <c r="YA9" s="110"/>
      <c r="YB9" s="110"/>
      <c r="YC9" s="110"/>
      <c r="YD9" s="110"/>
      <c r="YE9" s="110"/>
      <c r="YF9" s="110"/>
      <c r="YG9" s="110"/>
      <c r="YH9" s="110"/>
      <c r="YI9" s="110"/>
      <c r="YJ9" s="110"/>
      <c r="YK9" s="110"/>
      <c r="YL9" s="110"/>
      <c r="YM9" s="110"/>
      <c r="YN9" s="110"/>
      <c r="YO9" s="110"/>
      <c r="YP9" s="110"/>
      <c r="YQ9" s="110"/>
      <c r="YR9" s="110"/>
      <c r="YS9" s="110"/>
      <c r="YT9" s="110"/>
      <c r="YU9" s="110"/>
      <c r="YV9" s="110"/>
      <c r="YW9" s="110"/>
      <c r="YX9" s="110"/>
      <c r="YY9" s="110"/>
      <c r="YZ9" s="110"/>
      <c r="ZA9" s="110"/>
      <c r="ZB9" s="110"/>
      <c r="ZC9" s="110"/>
      <c r="ZD9" s="110"/>
      <c r="ZE9" s="110"/>
    </row>
    <row r="10" ht="52.5" customHeight="1">
      <c r="A10" s="156" t="s">
        <v>442</v>
      </c>
      <c r="B10" s="191" t="s">
        <v>443</v>
      </c>
      <c r="C10" s="16"/>
      <c r="D10" s="16"/>
      <c r="E10" s="16"/>
      <c r="F10" s="16"/>
      <c r="G10" s="16"/>
      <c r="H10" s="25"/>
      <c r="I10" s="108" t="s">
        <v>449</v>
      </c>
      <c r="J10" s="16"/>
      <c r="K10" s="16"/>
      <c r="L10" s="16"/>
      <c r="M10" s="16"/>
      <c r="N10" s="16"/>
      <c r="O10" s="16"/>
      <c r="P10" s="108" t="s">
        <v>451</v>
      </c>
      <c r="Q10" s="16"/>
      <c r="R10" s="16"/>
      <c r="S10" s="16"/>
      <c r="T10" s="16"/>
      <c r="U10" s="16"/>
      <c r="V10" s="16"/>
      <c r="W10" s="108" t="s">
        <v>454</v>
      </c>
      <c r="X10" s="16"/>
      <c r="Y10" s="16"/>
      <c r="Z10" s="16"/>
      <c r="AA10" s="16"/>
      <c r="AB10" s="16"/>
      <c r="AC10" s="16"/>
      <c r="AD10" s="16"/>
      <c r="AE10" s="106" t="s">
        <v>458</v>
      </c>
      <c r="AF10" s="16"/>
      <c r="AG10" s="16"/>
      <c r="AH10" s="16"/>
      <c r="AI10" s="16"/>
      <c r="AJ10" s="25"/>
      <c r="AK10" s="195" t="s">
        <v>460</v>
      </c>
      <c r="AL10" s="23"/>
      <c r="AM10" s="23"/>
      <c r="AN10" s="23"/>
      <c r="AO10" s="23"/>
      <c r="AP10" s="23"/>
      <c r="AQ10" s="23"/>
      <c r="AR10" s="23"/>
      <c r="AS10" s="23"/>
      <c r="AT10" s="23"/>
      <c r="AU10" s="104"/>
      <c r="AV10" s="108" t="s">
        <v>449</v>
      </c>
      <c r="AW10" s="16"/>
      <c r="AX10" s="16"/>
      <c r="AY10" s="16"/>
      <c r="AZ10" s="16"/>
      <c r="BA10" s="16"/>
      <c r="BB10" s="16"/>
      <c r="BC10" s="16"/>
      <c r="BD10" s="16"/>
      <c r="BE10" s="25"/>
      <c r="BF10" s="106" t="s">
        <v>464</v>
      </c>
      <c r="BG10" s="16"/>
      <c r="BH10" s="16"/>
      <c r="BI10" s="16"/>
      <c r="BJ10" s="16"/>
      <c r="BK10" s="16"/>
      <c r="BL10" s="25"/>
      <c r="BM10" s="164" t="s">
        <v>466</v>
      </c>
      <c r="BT10" s="106" t="s">
        <v>467</v>
      </c>
      <c r="BU10" s="16"/>
      <c r="BV10" s="16"/>
      <c r="BW10" s="16"/>
      <c r="BX10" s="16"/>
      <c r="BY10" s="16"/>
      <c r="BZ10" s="25"/>
      <c r="CA10" s="106" t="s">
        <v>469</v>
      </c>
      <c r="CB10" s="16"/>
      <c r="CC10" s="16"/>
      <c r="CD10" s="16"/>
      <c r="CE10" s="16"/>
      <c r="CF10" s="16"/>
      <c r="CG10" s="25"/>
      <c r="CH10" s="106" t="s">
        <v>471</v>
      </c>
      <c r="CI10" s="16"/>
      <c r="CJ10" s="16"/>
      <c r="CK10" s="16"/>
      <c r="CL10" s="16"/>
      <c r="CM10" s="16"/>
      <c r="CN10" s="16"/>
      <c r="CO10" s="25"/>
      <c r="CP10" s="106" t="s">
        <v>473</v>
      </c>
      <c r="CQ10" s="16"/>
      <c r="CR10" s="16"/>
      <c r="CS10" s="16"/>
      <c r="CT10" s="16"/>
      <c r="CU10" s="25"/>
      <c r="CV10" s="106" t="s">
        <v>474</v>
      </c>
      <c r="CW10" s="16"/>
      <c r="CX10" s="16"/>
      <c r="CY10" s="16"/>
      <c r="CZ10" s="16"/>
      <c r="DA10" s="16"/>
      <c r="DB10" s="25"/>
      <c r="DC10" s="106" t="s">
        <v>476</v>
      </c>
      <c r="DD10" s="16"/>
      <c r="DE10" s="16"/>
      <c r="DF10" s="16"/>
      <c r="DG10" s="16"/>
      <c r="DH10" s="16"/>
      <c r="DI10" s="25"/>
      <c r="DJ10" s="106" t="s">
        <v>478</v>
      </c>
      <c r="DK10" s="16"/>
      <c r="DL10" s="16"/>
      <c r="DM10" s="16"/>
      <c r="DN10" s="16"/>
      <c r="DO10" s="16"/>
      <c r="DP10" s="16"/>
      <c r="DQ10" s="16"/>
      <c r="DR10" s="106" t="s">
        <v>480</v>
      </c>
      <c r="DS10" s="16"/>
      <c r="DT10" s="16"/>
      <c r="DU10" s="16"/>
      <c r="DV10" s="16"/>
      <c r="DW10" s="16"/>
      <c r="DX10" s="106" t="s">
        <v>481</v>
      </c>
      <c r="DY10" s="16"/>
      <c r="DZ10" s="16"/>
      <c r="EA10" s="16"/>
      <c r="EB10" s="16"/>
      <c r="EC10" s="16"/>
      <c r="ED10" s="25"/>
      <c r="EE10" s="106" t="s">
        <v>483</v>
      </c>
      <c r="EF10" s="16"/>
      <c r="EG10" s="16"/>
      <c r="EH10" s="16"/>
      <c r="EI10" s="16"/>
      <c r="EJ10" s="16"/>
      <c r="EK10" s="25"/>
      <c r="EL10" s="106" t="s">
        <v>478</v>
      </c>
      <c r="EM10" s="16"/>
      <c r="EN10" s="16"/>
      <c r="EO10" s="16"/>
      <c r="EP10" s="16"/>
      <c r="EQ10" s="16"/>
      <c r="ER10" s="25"/>
      <c r="ES10" s="106" t="s">
        <v>487</v>
      </c>
      <c r="ET10" s="16"/>
      <c r="EU10" s="16"/>
      <c r="EV10" s="16"/>
      <c r="EW10" s="16"/>
      <c r="EX10" s="16"/>
      <c r="EY10" s="25"/>
      <c r="EZ10" s="106" t="s">
        <v>488</v>
      </c>
      <c r="FA10" s="16"/>
      <c r="FB10" s="16"/>
      <c r="FC10" s="16"/>
      <c r="FD10" s="16"/>
      <c r="FE10" s="16"/>
      <c r="FF10" s="25"/>
      <c r="FG10" s="106" t="s">
        <v>491</v>
      </c>
      <c r="FH10" s="16"/>
      <c r="FI10" s="16"/>
      <c r="FJ10" s="16"/>
      <c r="FK10" s="16"/>
      <c r="FL10" s="16"/>
      <c r="FM10" s="25"/>
      <c r="FN10" s="106" t="s">
        <v>449</v>
      </c>
      <c r="FO10" s="16"/>
      <c r="FP10" s="16"/>
      <c r="FQ10" s="16"/>
      <c r="FR10" s="16"/>
      <c r="FS10" s="16"/>
      <c r="FT10" s="25"/>
      <c r="FU10" s="106" t="s">
        <v>494</v>
      </c>
      <c r="FV10" s="16"/>
      <c r="FW10" s="16"/>
      <c r="FX10" s="16"/>
      <c r="FY10" s="16"/>
      <c r="FZ10" s="16"/>
      <c r="GA10" s="25"/>
      <c r="GB10" s="168" t="s">
        <v>497</v>
      </c>
      <c r="GC10" s="16"/>
      <c r="GD10" s="16"/>
      <c r="GE10" s="16"/>
      <c r="GF10" s="16"/>
      <c r="GG10" s="16"/>
      <c r="GH10" s="25"/>
      <c r="GI10" s="168" t="s">
        <v>499</v>
      </c>
      <c r="GJ10" s="16"/>
      <c r="GK10" s="16"/>
      <c r="GL10" s="16"/>
      <c r="GM10" s="16"/>
      <c r="GN10" s="16"/>
      <c r="GO10" s="25"/>
      <c r="GP10" s="168"/>
      <c r="GQ10" s="16"/>
      <c r="GR10" s="16"/>
      <c r="GS10" s="16"/>
      <c r="GT10" s="16"/>
      <c r="GU10" s="16"/>
      <c r="GV10" s="25"/>
      <c r="GW10" s="106"/>
      <c r="GX10" s="16"/>
      <c r="GY10" s="16"/>
      <c r="GZ10" s="16"/>
      <c r="HA10" s="16"/>
      <c r="HB10" s="16"/>
      <c r="HC10" s="25"/>
      <c r="HD10" s="106"/>
      <c r="HE10" s="16"/>
      <c r="HF10" s="16"/>
      <c r="HG10" s="16"/>
      <c r="HH10" s="16"/>
      <c r="HI10" s="16"/>
      <c r="HJ10" s="25"/>
      <c r="HK10" s="106"/>
      <c r="HL10" s="16"/>
      <c r="HM10" s="16"/>
      <c r="HN10" s="16"/>
      <c r="HO10" s="16"/>
      <c r="HP10" s="16"/>
      <c r="HQ10" s="25"/>
      <c r="HR10" s="106"/>
      <c r="HS10" s="16"/>
      <c r="HT10" s="16"/>
      <c r="HU10" s="16"/>
      <c r="HV10" s="16"/>
      <c r="HW10" s="16"/>
      <c r="HX10" s="25"/>
      <c r="HY10" s="106"/>
      <c r="HZ10" s="16"/>
      <c r="IA10" s="16"/>
      <c r="IB10" s="16"/>
      <c r="IC10" s="16"/>
      <c r="ID10" s="16"/>
      <c r="IE10" s="25"/>
      <c r="IF10" s="106"/>
      <c r="IG10" s="16"/>
      <c r="IH10" s="16"/>
      <c r="II10" s="16"/>
      <c r="IJ10" s="16"/>
      <c r="IK10" s="16"/>
      <c r="IL10" s="16"/>
      <c r="IM10" s="25"/>
      <c r="IN10" s="106"/>
      <c r="IO10" s="16"/>
      <c r="IP10" s="16"/>
      <c r="IQ10" s="16"/>
      <c r="IR10" s="16"/>
      <c r="IS10" s="25"/>
      <c r="IT10" s="106"/>
      <c r="IU10" s="16"/>
      <c r="IV10" s="16"/>
      <c r="IW10" s="16"/>
      <c r="IX10" s="16"/>
      <c r="IY10" s="16"/>
      <c r="IZ10" s="25"/>
      <c r="JA10" s="106"/>
      <c r="JB10" s="16"/>
      <c r="JC10" s="16"/>
      <c r="JD10" s="16"/>
      <c r="JE10" s="16"/>
      <c r="JF10" s="16"/>
      <c r="JG10" s="25"/>
      <c r="JH10" s="106"/>
      <c r="JI10" s="16"/>
      <c r="JJ10" s="16"/>
      <c r="JK10" s="16"/>
      <c r="JL10" s="16"/>
      <c r="JM10" s="16"/>
      <c r="JN10" s="25"/>
      <c r="JO10" s="106"/>
      <c r="JP10" s="16"/>
      <c r="JQ10" s="16"/>
      <c r="JR10" s="16"/>
      <c r="JS10" s="16"/>
      <c r="JT10" s="16"/>
      <c r="JU10" s="25"/>
      <c r="JV10" s="106"/>
      <c r="JW10" s="16"/>
      <c r="JX10" s="16"/>
      <c r="JY10" s="16"/>
      <c r="JZ10" s="16"/>
      <c r="KA10" s="16"/>
      <c r="KB10" s="25"/>
      <c r="KC10" s="106"/>
      <c r="KD10" s="16"/>
      <c r="KE10" s="16"/>
      <c r="KF10" s="16"/>
      <c r="KG10" s="16"/>
      <c r="KH10" s="16"/>
      <c r="KI10" s="25"/>
      <c r="KJ10" s="106"/>
      <c r="KK10" s="16"/>
      <c r="KL10" s="16"/>
      <c r="KM10" s="16"/>
      <c r="KN10" s="16"/>
      <c r="KO10" s="16"/>
      <c r="KP10" s="25"/>
      <c r="KQ10" s="108"/>
      <c r="KR10" s="16"/>
      <c r="KS10" s="16"/>
      <c r="KT10" s="16"/>
      <c r="KU10" s="16"/>
      <c r="KV10" s="16"/>
      <c r="KW10" s="16"/>
      <c r="KX10" s="16"/>
      <c r="KY10" s="16"/>
      <c r="KZ10" s="16"/>
      <c r="LA10" s="16"/>
      <c r="LB10" s="16"/>
      <c r="LC10" s="16"/>
      <c r="LD10" s="16"/>
      <c r="LE10" s="106"/>
      <c r="LF10" s="16"/>
      <c r="LG10" s="16"/>
      <c r="LH10" s="16"/>
      <c r="LI10" s="16"/>
      <c r="LJ10" s="16"/>
      <c r="LK10" s="25"/>
      <c r="LL10" s="106"/>
      <c r="LM10" s="16"/>
      <c r="LN10" s="16"/>
      <c r="LO10" s="16"/>
      <c r="LP10" s="16"/>
      <c r="LQ10" s="16"/>
      <c r="LR10" s="25"/>
      <c r="LS10" s="106"/>
      <c r="LT10" s="16"/>
      <c r="LU10" s="16"/>
      <c r="LV10" s="16"/>
      <c r="LW10" s="16"/>
      <c r="LX10" s="16"/>
      <c r="LY10" s="25"/>
      <c r="LZ10" s="106"/>
      <c r="MA10" s="16"/>
      <c r="MB10" s="16"/>
      <c r="MC10" s="16"/>
      <c r="MD10" s="16"/>
      <c r="ME10" s="16"/>
      <c r="MF10" s="25"/>
      <c r="MG10" s="108"/>
      <c r="MH10" s="16"/>
      <c r="MI10" s="16"/>
      <c r="MJ10" s="16"/>
      <c r="MK10" s="16"/>
      <c r="ML10" s="16"/>
      <c r="MM10" s="25"/>
      <c r="MN10" s="108"/>
      <c r="MO10" s="16"/>
      <c r="MP10" s="16"/>
      <c r="MQ10" s="16"/>
      <c r="MR10" s="16"/>
      <c r="MS10" s="16"/>
      <c r="MT10" s="25"/>
      <c r="MU10" s="108"/>
      <c r="MV10" s="16"/>
      <c r="MW10" s="16"/>
      <c r="MX10" s="16"/>
      <c r="MY10" s="16"/>
      <c r="MZ10" s="16"/>
      <c r="NA10" s="25"/>
      <c r="NB10" s="84"/>
      <c r="NC10" s="84"/>
      <c r="ND10" s="84"/>
      <c r="NE10" s="84"/>
      <c r="NF10" s="84"/>
      <c r="NG10" s="84"/>
      <c r="NH10" s="84"/>
      <c r="NI10" s="84"/>
      <c r="NJ10" s="84"/>
      <c r="NK10" s="84"/>
      <c r="NL10" s="84"/>
      <c r="NM10" s="84"/>
      <c r="NN10" s="84"/>
      <c r="NO10" s="84"/>
      <c r="NP10" s="84"/>
      <c r="NQ10" s="84"/>
      <c r="NR10" s="84"/>
      <c r="NS10" s="84"/>
      <c r="NT10" s="84"/>
      <c r="NU10" s="84"/>
      <c r="NV10" s="84"/>
      <c r="NW10" s="84"/>
      <c r="NX10" s="84"/>
      <c r="NY10" s="84"/>
      <c r="NZ10" s="84"/>
      <c r="OA10" s="84"/>
      <c r="OB10" s="84"/>
      <c r="OC10" s="84"/>
      <c r="OD10" s="84"/>
      <c r="OE10" s="84"/>
      <c r="OF10" s="84"/>
      <c r="OG10" s="84"/>
      <c r="OH10" s="84"/>
      <c r="OI10" s="84"/>
      <c r="OJ10" s="84"/>
      <c r="OK10" s="84"/>
      <c r="OL10" s="84"/>
      <c r="OM10" s="84"/>
      <c r="ON10" s="84"/>
      <c r="OO10" s="84"/>
      <c r="OP10" s="84"/>
      <c r="OQ10" s="84"/>
      <c r="OR10" s="84"/>
      <c r="OS10" s="84"/>
      <c r="OT10" s="84"/>
      <c r="OU10" s="84"/>
      <c r="OV10" s="84"/>
      <c r="OW10" s="84"/>
      <c r="OX10" s="84"/>
      <c r="OY10" s="84"/>
      <c r="OZ10" s="84"/>
      <c r="PA10" s="84"/>
      <c r="PB10" s="84"/>
      <c r="PC10" s="84"/>
      <c r="PD10" s="84"/>
      <c r="PE10" s="84"/>
      <c r="PF10" s="84"/>
      <c r="PG10" s="84"/>
      <c r="PH10" s="84"/>
      <c r="PI10" s="84"/>
      <c r="PJ10" s="84"/>
      <c r="PK10" s="84"/>
      <c r="PL10" s="84"/>
      <c r="PM10" s="84"/>
      <c r="PN10" s="84"/>
      <c r="PO10" s="84"/>
      <c r="PP10" s="84"/>
      <c r="PQ10" s="84"/>
      <c r="PR10" s="84"/>
      <c r="PS10" s="84"/>
      <c r="PT10" s="84"/>
      <c r="PU10" s="84"/>
      <c r="PV10" s="84"/>
      <c r="PW10" s="84"/>
      <c r="PX10" s="84"/>
      <c r="PY10" s="84"/>
      <c r="PZ10" s="84"/>
      <c r="QA10" s="84"/>
      <c r="QB10" s="84"/>
      <c r="QC10" s="84"/>
      <c r="QD10" s="84"/>
      <c r="QE10" s="84"/>
      <c r="QF10" s="84"/>
      <c r="QG10" s="84"/>
      <c r="QH10" s="84"/>
      <c r="QI10" s="84"/>
      <c r="QJ10" s="84"/>
      <c r="QK10" s="84"/>
      <c r="QL10" s="84"/>
      <c r="QM10" s="84"/>
      <c r="QN10" s="84"/>
      <c r="QO10" s="84"/>
      <c r="QP10" s="84"/>
      <c r="QQ10" s="84"/>
      <c r="QR10" s="84"/>
      <c r="QS10" s="84"/>
      <c r="QT10" s="84"/>
      <c r="QU10" s="84"/>
      <c r="QV10" s="84"/>
      <c r="QW10" s="84"/>
      <c r="QX10" s="84"/>
      <c r="QY10" s="84"/>
      <c r="QZ10" s="84"/>
      <c r="RA10" s="84"/>
      <c r="RB10" s="84"/>
      <c r="RC10" s="84"/>
      <c r="RD10" s="84"/>
      <c r="RE10" s="84"/>
      <c r="RF10" s="84"/>
      <c r="RG10" s="84"/>
      <c r="RH10" s="84"/>
      <c r="RI10" s="84"/>
      <c r="RJ10" s="84"/>
      <c r="RK10" s="84"/>
      <c r="RL10" s="84"/>
      <c r="RM10" s="84"/>
      <c r="RN10" s="84"/>
      <c r="RO10" s="84"/>
      <c r="RP10" s="84"/>
      <c r="RQ10" s="84"/>
      <c r="RR10" s="84"/>
      <c r="RS10" s="84"/>
      <c r="RT10" s="84"/>
      <c r="RU10" s="84"/>
      <c r="RV10" s="84"/>
      <c r="RW10" s="84"/>
      <c r="RX10" s="84"/>
      <c r="RY10" s="84"/>
      <c r="RZ10" s="84"/>
      <c r="SA10" s="84"/>
      <c r="SB10" s="84"/>
      <c r="SC10" s="84"/>
      <c r="SD10" s="84"/>
      <c r="SE10" s="84"/>
      <c r="SF10" s="84"/>
      <c r="SG10" s="84"/>
      <c r="SH10" s="84"/>
      <c r="SI10" s="84"/>
      <c r="SJ10" s="84"/>
      <c r="SK10" s="84"/>
      <c r="SL10" s="84"/>
      <c r="SM10" s="84"/>
      <c r="SN10" s="84"/>
      <c r="SO10" s="84"/>
      <c r="SP10" s="84"/>
      <c r="SQ10" s="84"/>
      <c r="SR10" s="84"/>
      <c r="SS10" s="84"/>
      <c r="ST10" s="84"/>
      <c r="SU10" s="84"/>
      <c r="SV10" s="84"/>
      <c r="SW10" s="84"/>
      <c r="SX10" s="84"/>
      <c r="SY10" s="84"/>
      <c r="SZ10" s="84"/>
      <c r="TA10" s="84"/>
      <c r="TB10" s="84"/>
      <c r="TC10" s="84"/>
      <c r="TD10" s="84"/>
      <c r="TE10" s="84"/>
      <c r="TF10" s="84"/>
      <c r="TG10" s="84"/>
      <c r="TH10" s="84"/>
      <c r="TI10" s="84"/>
      <c r="TJ10" s="84"/>
      <c r="TK10" s="84"/>
      <c r="TL10" s="84"/>
      <c r="TM10" s="84"/>
      <c r="TN10" s="84"/>
      <c r="TO10" s="84"/>
      <c r="TP10" s="84"/>
      <c r="TQ10" s="84"/>
      <c r="TR10" s="84"/>
      <c r="TS10" s="84"/>
      <c r="TT10" s="84"/>
      <c r="TU10" s="84"/>
      <c r="TV10" s="84"/>
      <c r="TW10" s="84"/>
      <c r="TX10" s="84"/>
      <c r="TY10" s="84"/>
      <c r="TZ10" s="84"/>
      <c r="UA10" s="84"/>
      <c r="UB10" s="84"/>
      <c r="UC10" s="84"/>
      <c r="UD10" s="84"/>
      <c r="UE10" s="84"/>
      <c r="UF10" s="84"/>
      <c r="UG10" s="84"/>
      <c r="UH10" s="84"/>
      <c r="UI10" s="84"/>
      <c r="UJ10" s="84"/>
      <c r="UK10" s="84"/>
      <c r="UL10" s="84"/>
      <c r="UM10" s="84"/>
      <c r="UN10" s="84"/>
      <c r="UO10" s="84"/>
      <c r="UP10" s="84"/>
      <c r="UQ10" s="84"/>
      <c r="UR10" s="84"/>
      <c r="US10" s="84"/>
      <c r="UT10" s="84"/>
      <c r="UU10" s="84"/>
      <c r="UV10" s="84"/>
      <c r="UW10" s="84"/>
      <c r="UX10" s="84"/>
      <c r="UY10" s="84"/>
      <c r="UZ10" s="84"/>
      <c r="VA10" s="84"/>
      <c r="VB10" s="84"/>
      <c r="VC10" s="84"/>
      <c r="VD10" s="84"/>
      <c r="VE10" s="84"/>
      <c r="VF10" s="84"/>
      <c r="VG10" s="84"/>
      <c r="VH10" s="84"/>
      <c r="VI10" s="84"/>
      <c r="VJ10" s="84"/>
      <c r="VK10" s="84"/>
      <c r="VL10" s="84"/>
      <c r="VM10" s="84"/>
      <c r="VN10" s="84"/>
      <c r="VO10" s="84"/>
      <c r="VP10" s="84"/>
      <c r="VQ10" s="84"/>
      <c r="VR10" s="84"/>
      <c r="VS10" s="84"/>
      <c r="VT10" s="84"/>
      <c r="VU10" s="84"/>
      <c r="VV10" s="84"/>
      <c r="VW10" s="84"/>
      <c r="VX10" s="84"/>
      <c r="VY10" s="84"/>
      <c r="VZ10" s="84"/>
      <c r="WA10" s="84"/>
      <c r="WB10" s="84"/>
      <c r="WC10" s="84"/>
      <c r="WD10" s="84"/>
      <c r="WE10" s="84"/>
      <c r="WF10" s="84"/>
      <c r="WG10" s="84"/>
      <c r="WH10" s="84"/>
      <c r="WI10" s="84"/>
      <c r="WJ10" s="84"/>
      <c r="WK10" s="84"/>
      <c r="WL10" s="84"/>
      <c r="WM10" s="84"/>
      <c r="WN10" s="84"/>
      <c r="WO10" s="84"/>
      <c r="WP10" s="84"/>
      <c r="WQ10" s="84"/>
      <c r="WR10" s="84"/>
      <c r="WS10" s="84"/>
      <c r="WT10" s="84"/>
      <c r="WU10" s="84"/>
      <c r="WV10" s="84"/>
      <c r="WW10" s="84"/>
      <c r="WX10" s="84"/>
      <c r="WY10" s="84"/>
      <c r="WZ10" s="84"/>
      <c r="XA10" s="84"/>
      <c r="XB10" s="84"/>
      <c r="XC10" s="84"/>
      <c r="XD10" s="84"/>
      <c r="XE10" s="84"/>
      <c r="XF10" s="84"/>
      <c r="XG10" s="84"/>
      <c r="XH10" s="84"/>
      <c r="XI10" s="84"/>
      <c r="XJ10" s="84"/>
      <c r="XK10" s="84"/>
      <c r="XL10" s="84"/>
      <c r="XM10" s="84"/>
      <c r="XN10" s="84"/>
      <c r="XO10" s="84"/>
      <c r="XP10" s="84"/>
      <c r="XQ10" s="84"/>
      <c r="XR10" s="84"/>
      <c r="XS10" s="84"/>
      <c r="XT10" s="84"/>
      <c r="XU10" s="84"/>
      <c r="XV10" s="84"/>
      <c r="XW10" s="84"/>
      <c r="XX10" s="84"/>
      <c r="XY10" s="84"/>
      <c r="XZ10" s="84"/>
      <c r="YA10" s="84"/>
      <c r="YB10" s="84"/>
      <c r="YC10" s="84"/>
      <c r="YD10" s="84"/>
      <c r="YE10" s="84"/>
      <c r="YF10" s="84"/>
      <c r="YG10" s="84"/>
      <c r="YH10" s="84"/>
      <c r="YI10" s="84"/>
      <c r="YJ10" s="84"/>
      <c r="YK10" s="84"/>
      <c r="YL10" s="84"/>
      <c r="YM10" s="84"/>
      <c r="YN10" s="84"/>
      <c r="YO10" s="84"/>
      <c r="YP10" s="84"/>
      <c r="YQ10" s="84"/>
      <c r="YR10" s="84"/>
      <c r="YS10" s="84"/>
      <c r="YT10" s="84"/>
      <c r="YU10" s="84"/>
      <c r="YV10" s="84"/>
      <c r="YW10" s="84"/>
      <c r="YX10" s="84"/>
      <c r="YY10" s="84"/>
      <c r="YZ10" s="84"/>
      <c r="ZA10" s="84"/>
      <c r="ZB10" s="84"/>
      <c r="ZC10" s="84"/>
      <c r="ZD10" s="84"/>
      <c r="ZE10" s="84"/>
    </row>
    <row r="11" ht="51.0" customHeight="1">
      <c r="A11" s="156" t="s">
        <v>570</v>
      </c>
      <c r="B11" s="191" t="s">
        <v>571</v>
      </c>
      <c r="C11" s="16"/>
      <c r="D11" s="16"/>
      <c r="E11" s="16"/>
      <c r="F11" s="16"/>
      <c r="G11" s="16"/>
      <c r="H11" s="25"/>
      <c r="I11" s="106" t="s">
        <v>573</v>
      </c>
      <c r="J11" s="16"/>
      <c r="K11" s="16"/>
      <c r="L11" s="16"/>
      <c r="M11" s="16"/>
      <c r="N11" s="16"/>
      <c r="O11" s="25"/>
      <c r="P11" s="106" t="s">
        <v>575</v>
      </c>
      <c r="Q11" s="16"/>
      <c r="R11" s="16"/>
      <c r="S11" s="16"/>
      <c r="T11" s="16"/>
      <c r="U11" s="16"/>
      <c r="V11" s="25"/>
      <c r="W11" s="106" t="s">
        <v>577</v>
      </c>
      <c r="X11" s="16"/>
      <c r="Y11" s="16"/>
      <c r="Z11" s="16"/>
      <c r="AA11" s="16"/>
      <c r="AB11" s="16"/>
      <c r="AC11" s="16"/>
      <c r="AD11" s="25"/>
      <c r="AE11" s="106" t="s">
        <v>578</v>
      </c>
      <c r="AF11" s="16"/>
      <c r="AG11" s="16"/>
      <c r="AH11" s="16"/>
      <c r="AI11" s="16"/>
      <c r="AJ11" s="25"/>
      <c r="AK11" s="106" t="s">
        <v>579</v>
      </c>
      <c r="AL11" s="16"/>
      <c r="AM11" s="16"/>
      <c r="AN11" s="16"/>
      <c r="AO11" s="106" t="s">
        <v>581</v>
      </c>
      <c r="AP11" s="16"/>
      <c r="AQ11" s="16"/>
      <c r="AR11" s="16"/>
      <c r="AS11" s="16"/>
      <c r="AT11" s="16"/>
      <c r="AU11" s="16"/>
      <c r="AV11" s="106" t="s">
        <v>583</v>
      </c>
      <c r="AW11" s="16"/>
      <c r="AX11" s="16"/>
      <c r="AY11" s="16"/>
      <c r="AZ11" s="16"/>
      <c r="BA11" s="16"/>
      <c r="BB11" s="16"/>
      <c r="BC11" s="16"/>
      <c r="BD11" s="16"/>
      <c r="BE11" s="16"/>
      <c r="BF11" s="25"/>
      <c r="BG11" s="227" t="s">
        <v>584</v>
      </c>
      <c r="BH11" s="16"/>
      <c r="BI11" s="16"/>
      <c r="BJ11" s="16"/>
      <c r="BK11" s="16"/>
      <c r="BL11" s="25"/>
      <c r="BM11" s="106" t="s">
        <v>586</v>
      </c>
      <c r="BN11" s="16"/>
      <c r="BO11" s="16"/>
      <c r="BP11" s="16"/>
      <c r="BQ11" s="16"/>
      <c r="BR11" s="16"/>
      <c r="BS11" s="25"/>
      <c r="BT11" s="106" t="s">
        <v>587</v>
      </c>
      <c r="BU11" s="16"/>
      <c r="BV11" s="16"/>
      <c r="BW11" s="16"/>
      <c r="BX11" s="16"/>
      <c r="BY11" s="16"/>
      <c r="BZ11" s="25"/>
      <c r="CA11" s="106" t="s">
        <v>589</v>
      </c>
      <c r="CB11" s="16"/>
      <c r="CC11" s="16"/>
      <c r="CD11" s="16"/>
      <c r="CE11" s="16"/>
      <c r="CF11" s="16"/>
      <c r="CG11" s="25"/>
      <c r="CH11" s="106" t="s">
        <v>590</v>
      </c>
      <c r="CI11" s="16"/>
      <c r="CJ11" s="16"/>
      <c r="CK11" s="16"/>
      <c r="CL11" s="16"/>
      <c r="CM11" s="16"/>
      <c r="CN11" s="16"/>
      <c r="CO11" s="16"/>
      <c r="CP11" s="106" t="s">
        <v>592</v>
      </c>
      <c r="CQ11" s="16"/>
      <c r="CR11" s="16"/>
      <c r="CS11" s="16"/>
      <c r="CT11" s="16"/>
      <c r="CU11" s="25"/>
      <c r="CV11" s="106" t="s">
        <v>593</v>
      </c>
      <c r="CW11" s="16"/>
      <c r="CX11" s="16"/>
      <c r="CY11" s="16"/>
      <c r="CZ11" s="16"/>
      <c r="DA11" s="16"/>
      <c r="DB11" s="25"/>
      <c r="DC11" s="106" t="s">
        <v>595</v>
      </c>
      <c r="DD11" s="16"/>
      <c r="DE11" s="16"/>
      <c r="DF11" s="16"/>
      <c r="DG11" s="16"/>
      <c r="DH11" s="16"/>
      <c r="DI11" s="25"/>
      <c r="DJ11" s="106" t="s">
        <v>597</v>
      </c>
      <c r="DK11" s="16"/>
      <c r="DL11" s="16"/>
      <c r="DM11" s="16"/>
      <c r="DN11" s="16"/>
      <c r="DO11" s="16"/>
      <c r="DP11" s="16"/>
      <c r="DQ11" s="16"/>
      <c r="DR11" s="106" t="s">
        <v>598</v>
      </c>
      <c r="DS11" s="16"/>
      <c r="DT11" s="16"/>
      <c r="DU11" s="16"/>
      <c r="DV11" s="16"/>
      <c r="DW11" s="25"/>
      <c r="DX11" s="106" t="s">
        <v>599</v>
      </c>
      <c r="DY11" s="16"/>
      <c r="DZ11" s="16"/>
      <c r="EA11" s="16"/>
      <c r="EB11" s="16"/>
      <c r="EC11" s="16"/>
      <c r="ED11" s="25"/>
      <c r="EE11" s="106" t="s">
        <v>601</v>
      </c>
      <c r="EF11" s="16"/>
      <c r="EG11" s="16"/>
      <c r="EH11" s="16"/>
      <c r="EI11" s="16"/>
      <c r="EJ11" s="16"/>
      <c r="EK11" s="25"/>
      <c r="EL11" s="106" t="s">
        <v>583</v>
      </c>
      <c r="EM11" s="16"/>
      <c r="EN11" s="16"/>
      <c r="EO11" s="16"/>
      <c r="EP11" s="16"/>
      <c r="EQ11" s="16"/>
      <c r="ER11" s="25"/>
      <c r="ES11" s="106" t="s">
        <v>604</v>
      </c>
      <c r="ET11" s="16"/>
      <c r="EU11" s="16"/>
      <c r="EV11" s="16"/>
      <c r="EW11" s="16"/>
      <c r="EX11" s="16"/>
      <c r="EY11" s="25"/>
      <c r="EZ11" s="106" t="s">
        <v>606</v>
      </c>
      <c r="FA11" s="16"/>
      <c r="FB11" s="16"/>
      <c r="FC11" s="16"/>
      <c r="FD11" s="16"/>
      <c r="FE11" s="16"/>
      <c r="FF11" s="25"/>
      <c r="FG11" s="106" t="s">
        <v>607</v>
      </c>
      <c r="FH11" s="16"/>
      <c r="FI11" s="16"/>
      <c r="FJ11" s="16"/>
      <c r="FK11" s="16"/>
      <c r="FL11" s="16"/>
      <c r="FM11" s="25"/>
      <c r="FN11" s="106" t="s">
        <v>583</v>
      </c>
      <c r="FO11" s="16"/>
      <c r="FP11" s="16"/>
      <c r="FQ11" s="16"/>
      <c r="FR11" s="16"/>
      <c r="FS11" s="16"/>
      <c r="FT11" s="25"/>
      <c r="FU11" s="106" t="s">
        <v>608</v>
      </c>
      <c r="FV11" s="16"/>
      <c r="FW11" s="16"/>
      <c r="FX11" s="16"/>
      <c r="FY11" s="16"/>
      <c r="FZ11" s="16"/>
      <c r="GA11" s="25"/>
      <c r="GB11" s="229"/>
      <c r="GC11" s="16"/>
      <c r="GD11" s="16"/>
      <c r="GE11" s="16"/>
      <c r="GF11" s="16"/>
      <c r="GG11" s="16"/>
      <c r="GH11" s="25"/>
      <c r="GI11" s="229"/>
      <c r="GJ11" s="16"/>
      <c r="GK11" s="16"/>
      <c r="GL11" s="16"/>
      <c r="GM11" s="16"/>
      <c r="GN11" s="16"/>
      <c r="GO11" s="25"/>
      <c r="GP11" s="229"/>
      <c r="GQ11" s="16"/>
      <c r="GR11" s="16"/>
      <c r="GS11" s="16"/>
      <c r="GT11" s="16"/>
      <c r="GU11" s="16"/>
      <c r="GV11" s="25"/>
      <c r="GW11" s="153"/>
      <c r="GX11" s="16"/>
      <c r="GY11" s="16"/>
      <c r="GZ11" s="16"/>
      <c r="HA11" s="16"/>
      <c r="HB11" s="16"/>
      <c r="HC11" s="25"/>
      <c r="HD11" s="153"/>
      <c r="HE11" s="16"/>
      <c r="HF11" s="16"/>
      <c r="HG11" s="16"/>
      <c r="HH11" s="16"/>
      <c r="HI11" s="16"/>
      <c r="HJ11" s="25"/>
      <c r="HK11" s="153"/>
      <c r="HL11" s="16"/>
      <c r="HM11" s="16"/>
      <c r="HN11" s="16"/>
      <c r="HO11" s="16"/>
      <c r="HP11" s="16"/>
      <c r="HQ11" s="25"/>
      <c r="HR11" s="153"/>
      <c r="HS11" s="16"/>
      <c r="HT11" s="16"/>
      <c r="HU11" s="16"/>
      <c r="HV11" s="16"/>
      <c r="HW11" s="16"/>
      <c r="HX11" s="25"/>
      <c r="HY11" s="153"/>
      <c r="HZ11" s="16"/>
      <c r="IA11" s="16"/>
      <c r="IB11" s="16"/>
      <c r="IC11" s="16"/>
      <c r="ID11" s="16"/>
      <c r="IE11" s="25"/>
      <c r="IF11" s="153"/>
      <c r="IG11" s="16"/>
      <c r="IH11" s="16"/>
      <c r="II11" s="16"/>
      <c r="IJ11" s="16"/>
      <c r="IK11" s="16"/>
      <c r="IL11" s="16"/>
      <c r="IM11" s="25"/>
      <c r="IN11" s="153"/>
      <c r="IO11" s="16"/>
      <c r="IP11" s="16"/>
      <c r="IQ11" s="16"/>
      <c r="IR11" s="16"/>
      <c r="IS11" s="25"/>
      <c r="IT11" s="153"/>
      <c r="IU11" s="16"/>
      <c r="IV11" s="16"/>
      <c r="IW11" s="16"/>
      <c r="IX11" s="16"/>
      <c r="IY11" s="16"/>
      <c r="IZ11" s="25"/>
      <c r="JA11" s="153"/>
      <c r="JB11" s="16"/>
      <c r="JC11" s="16"/>
      <c r="JD11" s="16"/>
      <c r="JE11" s="16"/>
      <c r="JF11" s="16"/>
      <c r="JG11" s="25"/>
      <c r="JH11" s="153"/>
      <c r="JI11" s="16"/>
      <c r="JJ11" s="16"/>
      <c r="JK11" s="16"/>
      <c r="JL11" s="16"/>
      <c r="JM11" s="16"/>
      <c r="JN11" s="25"/>
      <c r="JO11" s="153"/>
      <c r="JP11" s="16"/>
      <c r="JQ11" s="16"/>
      <c r="JR11" s="16"/>
      <c r="JS11" s="16"/>
      <c r="JT11" s="16"/>
      <c r="JU11" s="25"/>
      <c r="JV11" s="153"/>
      <c r="JW11" s="16"/>
      <c r="JX11" s="16"/>
      <c r="JY11" s="16"/>
      <c r="JZ11" s="16"/>
      <c r="KA11" s="16"/>
      <c r="KB11" s="25"/>
      <c r="KC11" s="153"/>
      <c r="KD11" s="16"/>
      <c r="KE11" s="16"/>
      <c r="KF11" s="16"/>
      <c r="KG11" s="16"/>
      <c r="KH11" s="16"/>
      <c r="KI11" s="25"/>
      <c r="KJ11" s="153"/>
      <c r="KK11" s="16"/>
      <c r="KL11" s="16"/>
      <c r="KM11" s="16"/>
      <c r="KN11" s="16"/>
      <c r="KO11" s="16"/>
      <c r="KP11" s="25"/>
      <c r="KQ11" s="153"/>
      <c r="KR11" s="16"/>
      <c r="KS11" s="16"/>
      <c r="KT11" s="16"/>
      <c r="KU11" s="16"/>
      <c r="KV11" s="16"/>
      <c r="KW11" s="25"/>
      <c r="KX11" s="153"/>
      <c r="KY11" s="16"/>
      <c r="KZ11" s="16"/>
      <c r="LA11" s="16"/>
      <c r="LB11" s="16"/>
      <c r="LC11" s="16"/>
      <c r="LD11" s="25"/>
      <c r="LE11" s="153"/>
      <c r="LF11" s="16"/>
      <c r="LG11" s="16"/>
      <c r="LH11" s="16"/>
      <c r="LI11" s="16"/>
      <c r="LJ11" s="16"/>
      <c r="LK11" s="25"/>
      <c r="LL11" s="153"/>
      <c r="LM11" s="16"/>
      <c r="LN11" s="16"/>
      <c r="LO11" s="16"/>
      <c r="LP11" s="16"/>
      <c r="LQ11" s="16"/>
      <c r="LR11" s="25"/>
      <c r="LS11" s="151"/>
      <c r="LT11" s="16"/>
      <c r="LU11" s="16"/>
      <c r="LV11" s="16"/>
      <c r="LW11" s="16"/>
      <c r="LX11" s="16"/>
      <c r="LY11" s="25"/>
      <c r="LZ11" s="154"/>
      <c r="MG11" s="153"/>
      <c r="MH11" s="16"/>
      <c r="MI11" s="16"/>
      <c r="MJ11" s="16"/>
      <c r="MK11" s="16"/>
      <c r="ML11" s="16"/>
      <c r="MM11" s="25"/>
      <c r="MN11" s="154"/>
      <c r="MU11" s="153"/>
      <c r="MV11" s="16"/>
      <c r="MW11" s="16"/>
      <c r="MX11" s="16"/>
      <c r="MY11" s="16"/>
      <c r="MZ11" s="16"/>
      <c r="NA11" s="25"/>
      <c r="NB11" s="233"/>
      <c r="NC11" s="235"/>
      <c r="ND11" s="235"/>
      <c r="NE11" s="235"/>
      <c r="NF11" s="235"/>
      <c r="NG11" s="235"/>
      <c r="NH11" s="235"/>
      <c r="NI11" s="235"/>
      <c r="NJ11" s="235"/>
      <c r="NK11" s="235"/>
      <c r="NL11" s="235"/>
      <c r="NM11" s="235"/>
      <c r="NN11" s="235"/>
      <c r="NO11" s="235"/>
      <c r="NP11" s="235"/>
      <c r="NQ11" s="235"/>
      <c r="NR11" s="235"/>
      <c r="NS11" s="235"/>
      <c r="NT11" s="235"/>
      <c r="NU11" s="235"/>
      <c r="NV11" s="235"/>
      <c r="NW11" s="235"/>
      <c r="NX11" s="235"/>
      <c r="NY11" s="235"/>
      <c r="NZ11" s="235"/>
      <c r="OA11" s="235"/>
      <c r="OB11" s="235"/>
      <c r="OC11" s="235"/>
      <c r="OD11" s="235"/>
      <c r="OE11" s="235"/>
      <c r="OF11" s="235"/>
      <c r="OG11" s="235"/>
      <c r="OH11" s="235"/>
      <c r="OI11" s="235"/>
      <c r="OJ11" s="235"/>
      <c r="OK11" s="235"/>
      <c r="OL11" s="235"/>
      <c r="OM11" s="235"/>
      <c r="ON11" s="235"/>
      <c r="OO11" s="235"/>
      <c r="OP11" s="235"/>
      <c r="OQ11" s="235"/>
      <c r="OR11" s="235"/>
      <c r="OS11" s="235"/>
      <c r="OT11" s="235"/>
      <c r="OU11" s="235"/>
      <c r="OV11" s="235"/>
      <c r="OW11" s="235"/>
      <c r="OX11" s="235"/>
      <c r="OY11" s="235"/>
      <c r="OZ11" s="235"/>
      <c r="PA11" s="235"/>
      <c r="PB11" s="235"/>
      <c r="PC11" s="235"/>
      <c r="PD11" s="235"/>
      <c r="PE11" s="235"/>
      <c r="PF11" s="235"/>
      <c r="PG11" s="235"/>
      <c r="PH11" s="235"/>
      <c r="PI11" s="235"/>
      <c r="PJ11" s="235"/>
      <c r="PK11" s="235"/>
      <c r="PL11" s="235"/>
      <c r="PM11" s="235"/>
      <c r="PN11" s="235"/>
      <c r="PO11" s="235"/>
      <c r="PP11" s="235"/>
      <c r="PQ11" s="235"/>
      <c r="PR11" s="235"/>
      <c r="PS11" s="235"/>
      <c r="PT11" s="235"/>
      <c r="PU11" s="235"/>
      <c r="PV11" s="235"/>
      <c r="PW11" s="235"/>
      <c r="PX11" s="235"/>
      <c r="PY11" s="235"/>
      <c r="PZ11" s="235"/>
      <c r="QA11" s="235"/>
      <c r="QB11" s="235"/>
      <c r="QC11" s="235"/>
      <c r="QD11" s="235"/>
      <c r="QE11" s="235"/>
      <c r="QF11" s="235"/>
      <c r="QG11" s="235"/>
      <c r="QH11" s="235"/>
      <c r="QI11" s="235"/>
      <c r="QJ11" s="235"/>
      <c r="QK11" s="235"/>
      <c r="QL11" s="235"/>
      <c r="QM11" s="235"/>
      <c r="QN11" s="235"/>
      <c r="QO11" s="235"/>
      <c r="QP11" s="235"/>
      <c r="QQ11" s="235"/>
      <c r="QR11" s="235"/>
      <c r="QS11" s="235"/>
      <c r="QT11" s="235"/>
      <c r="QU11" s="235"/>
      <c r="QV11" s="235"/>
      <c r="QW11" s="235"/>
      <c r="QX11" s="235"/>
      <c r="QY11" s="235"/>
      <c r="QZ11" s="235"/>
      <c r="RA11" s="235"/>
      <c r="RB11" s="235"/>
      <c r="RC11" s="235"/>
      <c r="RD11" s="235"/>
      <c r="RE11" s="235"/>
      <c r="RF11" s="235"/>
      <c r="RG11" s="235"/>
      <c r="RH11" s="235"/>
      <c r="RI11" s="235"/>
      <c r="RJ11" s="235"/>
      <c r="RK11" s="235"/>
      <c r="RL11" s="235"/>
      <c r="RM11" s="235"/>
      <c r="RN11" s="235"/>
      <c r="RO11" s="235"/>
      <c r="RP11" s="235"/>
      <c r="RQ11" s="235"/>
      <c r="RR11" s="235"/>
      <c r="RS11" s="235"/>
      <c r="RT11" s="235"/>
      <c r="RU11" s="235"/>
      <c r="RV11" s="235"/>
      <c r="RW11" s="235"/>
      <c r="RX11" s="235"/>
      <c r="RY11" s="235"/>
      <c r="RZ11" s="235"/>
      <c r="SA11" s="235"/>
      <c r="SB11" s="235"/>
      <c r="SC11" s="235"/>
      <c r="SD11" s="235"/>
      <c r="SE11" s="235"/>
      <c r="SF11" s="235"/>
      <c r="SG11" s="235"/>
      <c r="SH11" s="235"/>
      <c r="SI11" s="235"/>
      <c r="SJ11" s="235"/>
      <c r="SK11" s="235"/>
      <c r="SL11" s="235"/>
      <c r="SM11" s="235"/>
      <c r="SN11" s="235"/>
      <c r="SO11" s="235"/>
      <c r="SP11" s="235"/>
      <c r="SQ11" s="235"/>
      <c r="SR11" s="235"/>
      <c r="SS11" s="235"/>
      <c r="ST11" s="235"/>
      <c r="SU11" s="235"/>
      <c r="SV11" s="235"/>
      <c r="SW11" s="235"/>
      <c r="SX11" s="235"/>
      <c r="SY11" s="235"/>
      <c r="SZ11" s="235"/>
      <c r="TA11" s="235"/>
      <c r="TB11" s="235"/>
      <c r="TC11" s="235"/>
      <c r="TD11" s="235"/>
      <c r="TE11" s="235"/>
      <c r="TF11" s="235"/>
      <c r="TG11" s="235"/>
      <c r="TH11" s="235"/>
      <c r="TI11" s="235"/>
      <c r="TJ11" s="235"/>
      <c r="TK11" s="235"/>
      <c r="TL11" s="235"/>
      <c r="TM11" s="235"/>
      <c r="TN11" s="235"/>
      <c r="TO11" s="235"/>
      <c r="TP11" s="235"/>
      <c r="TQ11" s="235"/>
      <c r="TR11" s="235"/>
      <c r="TS11" s="235"/>
      <c r="TT11" s="235"/>
      <c r="TU11" s="235"/>
      <c r="TV11" s="235"/>
      <c r="TW11" s="235"/>
      <c r="TX11" s="235"/>
      <c r="TY11" s="235"/>
      <c r="TZ11" s="235"/>
      <c r="UA11" s="235"/>
      <c r="UB11" s="235"/>
      <c r="UC11" s="235"/>
      <c r="UD11" s="235"/>
      <c r="UE11" s="235"/>
      <c r="UF11" s="235"/>
      <c r="UG11" s="235"/>
      <c r="UH11" s="235"/>
      <c r="UI11" s="235"/>
      <c r="UJ11" s="235"/>
      <c r="UK11" s="235"/>
      <c r="UL11" s="235"/>
      <c r="UM11" s="235"/>
      <c r="UN11" s="235"/>
      <c r="UO11" s="235"/>
      <c r="UP11" s="235"/>
      <c r="UQ11" s="235"/>
      <c r="UR11" s="235"/>
      <c r="US11" s="235"/>
      <c r="UT11" s="235"/>
      <c r="UU11" s="235"/>
      <c r="UV11" s="235"/>
      <c r="UW11" s="235"/>
      <c r="UX11" s="235"/>
      <c r="UY11" s="235"/>
      <c r="UZ11" s="235"/>
      <c r="VA11" s="235"/>
      <c r="VB11" s="235"/>
      <c r="VC11" s="235"/>
      <c r="VD11" s="235"/>
      <c r="VE11" s="235"/>
      <c r="VF11" s="235"/>
      <c r="VG11" s="235"/>
      <c r="VH11" s="235"/>
      <c r="VI11" s="235"/>
      <c r="VJ11" s="235"/>
      <c r="VK11" s="235"/>
      <c r="VL11" s="235"/>
      <c r="VM11" s="235"/>
      <c r="VN11" s="235"/>
      <c r="VO11" s="235"/>
      <c r="VP11" s="235"/>
      <c r="VQ11" s="235"/>
      <c r="VR11" s="235"/>
      <c r="VS11" s="235"/>
      <c r="VT11" s="235"/>
      <c r="VU11" s="235"/>
      <c r="VV11" s="235"/>
      <c r="VW11" s="235"/>
      <c r="VX11" s="235"/>
      <c r="VY11" s="235"/>
      <c r="VZ11" s="235"/>
      <c r="WA11" s="235"/>
      <c r="WB11" s="235"/>
      <c r="WC11" s="235"/>
      <c r="WD11" s="235"/>
      <c r="WE11" s="235"/>
      <c r="WF11" s="235"/>
      <c r="WG11" s="235"/>
      <c r="WH11" s="235"/>
      <c r="WI11" s="235"/>
      <c r="WJ11" s="235"/>
      <c r="WK11" s="235"/>
      <c r="WL11" s="235"/>
      <c r="WM11" s="235"/>
      <c r="WN11" s="235"/>
      <c r="WO11" s="235"/>
      <c r="WP11" s="235"/>
      <c r="WQ11" s="235"/>
      <c r="WR11" s="235"/>
      <c r="WS11" s="235"/>
      <c r="WT11" s="235"/>
      <c r="WU11" s="235"/>
      <c r="WV11" s="235"/>
      <c r="WW11" s="235"/>
      <c r="WX11" s="235"/>
      <c r="WY11" s="235"/>
      <c r="WZ11" s="235"/>
      <c r="XA11" s="235"/>
      <c r="XB11" s="235"/>
      <c r="XC11" s="235"/>
      <c r="XD11" s="235"/>
      <c r="XE11" s="235"/>
      <c r="XF11" s="235"/>
      <c r="XG11" s="235"/>
      <c r="XH11" s="235"/>
      <c r="XI11" s="235"/>
      <c r="XJ11" s="235"/>
      <c r="XK11" s="235"/>
      <c r="XL11" s="235"/>
      <c r="XM11" s="235"/>
      <c r="XN11" s="235"/>
      <c r="XO11" s="235"/>
      <c r="XP11" s="235"/>
      <c r="XQ11" s="235"/>
      <c r="XR11" s="235"/>
      <c r="XS11" s="235"/>
      <c r="XT11" s="235"/>
      <c r="XU11" s="235"/>
      <c r="XV11" s="235"/>
      <c r="XW11" s="235"/>
      <c r="XX11" s="235"/>
      <c r="XY11" s="235"/>
      <c r="XZ11" s="235"/>
      <c r="YA11" s="235"/>
      <c r="YB11" s="235"/>
      <c r="YC11" s="235"/>
      <c r="YD11" s="235"/>
      <c r="YE11" s="235"/>
      <c r="YF11" s="235"/>
      <c r="YG11" s="235"/>
      <c r="YH11" s="235"/>
      <c r="YI11" s="235"/>
      <c r="YJ11" s="235"/>
      <c r="YK11" s="235"/>
      <c r="YL11" s="235"/>
      <c r="YM11" s="235"/>
      <c r="YN11" s="235"/>
      <c r="YO11" s="235"/>
      <c r="YP11" s="235"/>
      <c r="YQ11" s="235"/>
      <c r="YR11" s="235"/>
      <c r="YS11" s="235"/>
      <c r="YT11" s="235"/>
      <c r="YU11" s="235"/>
      <c r="YV11" s="235"/>
      <c r="YW11" s="235"/>
      <c r="YX11" s="235"/>
      <c r="YY11" s="235"/>
      <c r="YZ11" s="235"/>
      <c r="ZA11" s="235"/>
      <c r="ZB11" s="235"/>
      <c r="ZC11" s="235"/>
      <c r="ZD11" s="235"/>
      <c r="ZE11" s="235"/>
    </row>
    <row r="12" ht="69.0" customHeight="1">
      <c r="A12" s="236" t="s">
        <v>633</v>
      </c>
      <c r="B12" s="106" t="s">
        <v>634</v>
      </c>
      <c r="C12" s="16"/>
      <c r="D12" s="16"/>
      <c r="E12" s="16"/>
      <c r="F12" s="16"/>
      <c r="G12" s="16"/>
      <c r="H12" s="25"/>
      <c r="I12" s="237" t="s">
        <v>637</v>
      </c>
      <c r="J12" s="16"/>
      <c r="K12" s="16"/>
      <c r="L12" s="16"/>
      <c r="M12" s="16"/>
      <c r="N12" s="16"/>
      <c r="O12" s="16"/>
      <c r="P12" s="16"/>
      <c r="Q12" s="16"/>
      <c r="R12" s="16"/>
      <c r="S12" s="16"/>
      <c r="T12" s="16"/>
      <c r="U12" s="16"/>
      <c r="V12" s="25"/>
      <c r="W12" s="237" t="s">
        <v>640</v>
      </c>
      <c r="X12" s="16"/>
      <c r="Y12" s="16"/>
      <c r="Z12" s="16"/>
      <c r="AA12" s="16"/>
      <c r="AB12" s="16"/>
      <c r="AC12" s="16"/>
      <c r="AD12" s="16"/>
      <c r="AE12" s="16"/>
      <c r="AF12" s="16"/>
      <c r="AG12" s="16"/>
      <c r="AH12" s="16"/>
      <c r="AI12" s="16"/>
      <c r="AJ12" s="16"/>
      <c r="AK12" s="106" t="s">
        <v>644</v>
      </c>
      <c r="AL12" s="16"/>
      <c r="AM12" s="16"/>
      <c r="AN12" s="16"/>
      <c r="AO12" s="16"/>
      <c r="AP12" s="16"/>
      <c r="AQ12" s="16"/>
      <c r="AR12" s="16"/>
      <c r="AS12" s="238" t="s">
        <v>646</v>
      </c>
      <c r="AT12" s="16"/>
      <c r="AU12" s="25"/>
      <c r="AV12" s="106" t="s">
        <v>649</v>
      </c>
      <c r="AW12" s="16"/>
      <c r="AX12" s="16"/>
      <c r="AY12" s="16"/>
      <c r="AZ12" s="16"/>
      <c r="BA12" s="16"/>
      <c r="BB12" s="16"/>
      <c r="BC12" s="16"/>
      <c r="BD12" s="16"/>
      <c r="BE12" s="16"/>
      <c r="BF12" s="237" t="s">
        <v>652</v>
      </c>
      <c r="BG12" s="16"/>
      <c r="BH12" s="16"/>
      <c r="BI12" s="16"/>
      <c r="BJ12" s="16"/>
      <c r="BK12" s="16"/>
      <c r="BL12" s="25"/>
      <c r="BM12" s="238" t="s">
        <v>656</v>
      </c>
      <c r="BN12" s="16"/>
      <c r="BO12" s="16"/>
      <c r="BP12" s="16"/>
      <c r="BQ12" s="16"/>
      <c r="BR12" s="16"/>
      <c r="BS12" s="25"/>
      <c r="BT12" s="238" t="s">
        <v>662</v>
      </c>
      <c r="BU12" s="16"/>
      <c r="BV12" s="16"/>
      <c r="BW12" s="16"/>
      <c r="BX12" s="16"/>
      <c r="BY12" s="16"/>
      <c r="BZ12" s="25"/>
      <c r="CA12" s="237" t="s">
        <v>663</v>
      </c>
      <c r="CB12" s="16"/>
      <c r="CC12" s="16"/>
      <c r="CD12" s="16"/>
      <c r="CE12" s="16"/>
      <c r="CF12" s="16"/>
      <c r="CG12" s="25"/>
      <c r="CH12" s="237" t="s">
        <v>663</v>
      </c>
      <c r="CI12" s="16"/>
      <c r="CJ12" s="16"/>
      <c r="CK12" s="16"/>
      <c r="CL12" s="16"/>
      <c r="CM12" s="16"/>
      <c r="CN12" s="25"/>
      <c r="CO12" s="237" t="s">
        <v>665</v>
      </c>
      <c r="CP12" s="16"/>
      <c r="CQ12" s="16"/>
      <c r="CR12" s="16"/>
      <c r="CS12" s="16"/>
      <c r="CT12" s="16"/>
      <c r="CU12" s="25"/>
      <c r="CV12" s="237" t="s">
        <v>665</v>
      </c>
      <c r="CW12" s="16"/>
      <c r="CX12" s="16"/>
      <c r="CY12" s="16"/>
      <c r="CZ12" s="16"/>
      <c r="DA12" s="16"/>
      <c r="DB12" s="25"/>
      <c r="DC12" s="237" t="s">
        <v>665</v>
      </c>
      <c r="DD12" s="16"/>
      <c r="DE12" s="16"/>
      <c r="DF12" s="16"/>
      <c r="DG12" s="16"/>
      <c r="DH12" s="16"/>
      <c r="DI12" s="25"/>
      <c r="DJ12" s="106" t="s">
        <v>669</v>
      </c>
      <c r="DK12" s="16"/>
      <c r="DL12" s="16"/>
      <c r="DM12" s="16"/>
      <c r="DN12" s="16"/>
      <c r="DO12" s="16"/>
      <c r="DP12" s="25"/>
      <c r="DQ12" s="106" t="s">
        <v>671</v>
      </c>
      <c r="DR12" s="16"/>
      <c r="DS12" s="16"/>
      <c r="DT12" s="16"/>
      <c r="DU12" s="16"/>
      <c r="DV12" s="16"/>
      <c r="DW12" s="25"/>
      <c r="DX12" s="106" t="s">
        <v>673</v>
      </c>
      <c r="DY12" s="16"/>
      <c r="DZ12" s="16"/>
      <c r="EA12" s="16"/>
      <c r="EB12" s="16"/>
      <c r="EC12" s="16"/>
      <c r="ED12" s="25"/>
      <c r="EE12" s="106" t="s">
        <v>676</v>
      </c>
      <c r="EF12" s="16"/>
      <c r="EG12" s="16"/>
      <c r="EH12" s="16"/>
      <c r="EI12" s="16"/>
      <c r="EJ12" s="16"/>
      <c r="EK12" s="25"/>
      <c r="EL12" s="106" t="s">
        <v>677</v>
      </c>
      <c r="EM12" s="16"/>
      <c r="EN12" s="16"/>
      <c r="EO12" s="16"/>
      <c r="EP12" s="16"/>
      <c r="EQ12" s="16"/>
      <c r="ER12" s="25"/>
      <c r="ES12" s="106" t="s">
        <v>680</v>
      </c>
      <c r="ET12" s="16"/>
      <c r="EU12" s="16"/>
      <c r="EV12" s="16"/>
      <c r="EW12" s="16"/>
      <c r="EX12" s="16"/>
      <c r="EY12" s="25"/>
      <c r="EZ12" s="239" t="s">
        <v>682</v>
      </c>
      <c r="FA12" s="16"/>
      <c r="FB12" s="16"/>
      <c r="FC12" s="16"/>
      <c r="FD12" s="16"/>
      <c r="FE12" s="16"/>
      <c r="FF12" s="25"/>
      <c r="FG12" s="240" t="s">
        <v>683</v>
      </c>
      <c r="FH12" s="16"/>
      <c r="FI12" s="16"/>
      <c r="FJ12" s="16"/>
      <c r="FK12" s="16"/>
      <c r="FL12" s="16"/>
      <c r="FM12" s="25"/>
      <c r="FN12" s="106" t="s">
        <v>686</v>
      </c>
      <c r="FO12" s="16"/>
      <c r="FP12" s="16"/>
      <c r="FQ12" s="16"/>
      <c r="FR12" s="16"/>
      <c r="FS12" s="16"/>
      <c r="FT12" s="25"/>
      <c r="FU12" s="106" t="s">
        <v>686</v>
      </c>
      <c r="FV12" s="16"/>
      <c r="FW12" s="16"/>
      <c r="FX12" s="16"/>
      <c r="FY12" s="16"/>
      <c r="FZ12" s="16"/>
      <c r="GA12" s="25"/>
      <c r="GB12" s="168"/>
      <c r="GC12" s="16"/>
      <c r="GD12" s="16"/>
      <c r="GE12" s="16"/>
      <c r="GF12" s="16"/>
      <c r="GG12" s="16"/>
      <c r="GH12" s="25"/>
      <c r="GI12" s="229"/>
      <c r="GJ12" s="16"/>
      <c r="GK12" s="16"/>
      <c r="GL12" s="16"/>
      <c r="GM12" s="16"/>
      <c r="GN12" s="16"/>
      <c r="GO12" s="25"/>
      <c r="GP12" s="229"/>
      <c r="GQ12" s="16"/>
      <c r="GR12" s="16"/>
      <c r="GS12" s="16"/>
      <c r="GT12" s="16"/>
      <c r="GU12" s="16"/>
      <c r="GV12" s="25"/>
      <c r="GW12" s="151"/>
      <c r="GX12" s="16"/>
      <c r="GY12" s="16"/>
      <c r="GZ12" s="16"/>
      <c r="HA12" s="16"/>
      <c r="HB12" s="16"/>
      <c r="HC12" s="25"/>
      <c r="HD12" s="173"/>
      <c r="HE12" s="16"/>
      <c r="HF12" s="16"/>
      <c r="HG12" s="16"/>
      <c r="HH12" s="16"/>
      <c r="HI12" s="16"/>
      <c r="HJ12" s="25"/>
      <c r="HK12" s="173"/>
      <c r="HL12" s="16"/>
      <c r="HM12" s="16"/>
      <c r="HN12" s="16"/>
      <c r="HO12" s="16"/>
      <c r="HP12" s="16"/>
      <c r="HQ12" s="25"/>
      <c r="HR12" s="151"/>
      <c r="HS12" s="16"/>
      <c r="HT12" s="16"/>
      <c r="HU12" s="16"/>
      <c r="HV12" s="16"/>
      <c r="HW12" s="16"/>
      <c r="HX12" s="25"/>
      <c r="HY12" s="151"/>
      <c r="HZ12" s="16"/>
      <c r="IA12" s="16"/>
      <c r="IB12" s="16"/>
      <c r="IC12" s="16"/>
      <c r="ID12" s="16"/>
      <c r="IE12" s="25"/>
      <c r="IF12" s="151"/>
      <c r="IG12" s="16"/>
      <c r="IH12" s="16"/>
      <c r="II12" s="16"/>
      <c r="IJ12" s="16"/>
      <c r="IK12" s="16"/>
      <c r="IL12" s="16"/>
      <c r="IM12" s="25"/>
      <c r="IN12" s="151"/>
      <c r="IO12" s="16"/>
      <c r="IP12" s="16"/>
      <c r="IQ12" s="16"/>
      <c r="IR12" s="16"/>
      <c r="IS12" s="25"/>
      <c r="IT12" s="151"/>
      <c r="IU12" s="16"/>
      <c r="IV12" s="16"/>
      <c r="IW12" s="16"/>
      <c r="IX12" s="16"/>
      <c r="IY12" s="16"/>
      <c r="IZ12" s="25"/>
      <c r="JA12" s="151"/>
      <c r="JB12" s="16"/>
      <c r="JC12" s="16"/>
      <c r="JD12" s="16"/>
      <c r="JE12" s="16"/>
      <c r="JF12" s="16"/>
      <c r="JG12" s="25"/>
      <c r="JH12" s="151"/>
      <c r="JI12" s="16"/>
      <c r="JJ12" s="16"/>
      <c r="JK12" s="16"/>
      <c r="JL12" s="16"/>
      <c r="JM12" s="16"/>
      <c r="JN12" s="25"/>
      <c r="JO12" s="151"/>
      <c r="JP12" s="16"/>
      <c r="JQ12" s="16"/>
      <c r="JR12" s="16"/>
      <c r="JS12" s="16"/>
      <c r="JT12" s="16"/>
      <c r="JU12" s="25"/>
      <c r="JV12" s="151"/>
      <c r="JW12" s="16"/>
      <c r="JX12" s="16"/>
      <c r="JY12" s="16"/>
      <c r="JZ12" s="16"/>
      <c r="KA12" s="16"/>
      <c r="KB12" s="25"/>
      <c r="KC12" s="151"/>
      <c r="KD12" s="16"/>
      <c r="KE12" s="16"/>
      <c r="KF12" s="16"/>
      <c r="KG12" s="16"/>
      <c r="KH12" s="16"/>
      <c r="KI12" s="25"/>
      <c r="KJ12" s="151"/>
      <c r="KK12" s="16"/>
      <c r="KL12" s="16"/>
      <c r="KM12" s="16"/>
      <c r="KN12" s="16"/>
      <c r="KO12" s="16"/>
      <c r="KP12" s="25"/>
      <c r="KQ12" s="151"/>
      <c r="KR12" s="16"/>
      <c r="KS12" s="16"/>
      <c r="KT12" s="16"/>
      <c r="KU12" s="16"/>
      <c r="KV12" s="16"/>
      <c r="KW12" s="16"/>
      <c r="KX12" s="151"/>
      <c r="KY12" s="16"/>
      <c r="KZ12" s="16"/>
      <c r="LA12" s="16"/>
      <c r="LB12" s="16"/>
      <c r="LC12" s="16"/>
      <c r="LD12" s="16"/>
      <c r="LE12" s="151"/>
      <c r="LF12" s="16"/>
      <c r="LG12" s="16"/>
      <c r="LH12" s="16"/>
      <c r="LI12" s="16"/>
      <c r="LJ12" s="16"/>
      <c r="LK12" s="25"/>
      <c r="LL12" s="151"/>
      <c r="LM12" s="16"/>
      <c r="LN12" s="16"/>
      <c r="LO12" s="16"/>
      <c r="LP12" s="16"/>
      <c r="LQ12" s="16"/>
      <c r="LR12" s="25"/>
      <c r="LS12" s="151"/>
      <c r="LT12" s="16"/>
      <c r="LU12" s="16"/>
      <c r="LV12" s="16"/>
      <c r="LW12" s="16"/>
      <c r="LX12" s="16"/>
      <c r="LY12" s="25"/>
      <c r="LZ12" s="151"/>
      <c r="MA12" s="16"/>
      <c r="MB12" s="16"/>
      <c r="MC12" s="16"/>
      <c r="MD12" s="16"/>
      <c r="ME12" s="16"/>
      <c r="MF12" s="25"/>
      <c r="MG12" s="151"/>
      <c r="MH12" s="16"/>
      <c r="MI12" s="16"/>
      <c r="MJ12" s="16"/>
      <c r="MK12" s="16"/>
      <c r="ML12" s="16"/>
      <c r="MM12" s="25"/>
      <c r="MN12" s="151"/>
      <c r="MO12" s="16"/>
      <c r="MP12" s="16"/>
      <c r="MQ12" s="16"/>
      <c r="MR12" s="16"/>
      <c r="MS12" s="16"/>
      <c r="MT12" s="25"/>
      <c r="MU12" s="153"/>
      <c r="MV12" s="16"/>
      <c r="MW12" s="16"/>
      <c r="MX12" s="16"/>
      <c r="MY12" s="16"/>
      <c r="MZ12" s="16"/>
      <c r="NA12" s="25"/>
      <c r="NB12" s="154"/>
      <c r="NC12" s="111"/>
      <c r="ND12" s="111"/>
      <c r="NE12" s="111"/>
      <c r="NF12" s="111"/>
      <c r="NG12" s="111"/>
      <c r="NH12" s="111"/>
      <c r="NI12" s="111"/>
      <c r="NJ12" s="111"/>
      <c r="NK12" s="111"/>
      <c r="NL12" s="111"/>
      <c r="NM12" s="111"/>
      <c r="NN12" s="111"/>
      <c r="NO12" s="111"/>
      <c r="NP12" s="111"/>
      <c r="NQ12" s="111"/>
      <c r="NR12" s="111"/>
      <c r="NS12" s="111"/>
      <c r="NT12" s="111"/>
      <c r="NU12" s="111"/>
      <c r="NV12" s="111"/>
      <c r="NW12" s="111"/>
      <c r="NX12" s="111"/>
      <c r="NY12" s="111"/>
      <c r="NZ12" s="111"/>
      <c r="OA12" s="111"/>
      <c r="OB12" s="111"/>
      <c r="OC12" s="111"/>
      <c r="OD12" s="111"/>
      <c r="OE12" s="111"/>
      <c r="OF12" s="111"/>
      <c r="OG12" s="111"/>
      <c r="OH12" s="111"/>
      <c r="OI12" s="111"/>
      <c r="OJ12" s="111"/>
      <c r="OK12" s="111"/>
      <c r="OL12" s="111"/>
      <c r="OM12" s="111"/>
      <c r="ON12" s="111"/>
      <c r="OO12" s="111"/>
      <c r="OP12" s="111"/>
      <c r="OQ12" s="111"/>
      <c r="OR12" s="111"/>
      <c r="OS12" s="111"/>
      <c r="OT12" s="111"/>
      <c r="OU12" s="111"/>
      <c r="OV12" s="111"/>
      <c r="OW12" s="111"/>
      <c r="OX12" s="111"/>
      <c r="OY12" s="111"/>
      <c r="OZ12" s="111"/>
      <c r="PA12" s="111"/>
      <c r="PB12" s="111"/>
      <c r="PC12" s="111"/>
      <c r="PD12" s="111"/>
      <c r="PE12" s="111"/>
      <c r="PF12" s="111"/>
      <c r="PG12" s="111"/>
      <c r="PH12" s="111"/>
      <c r="PI12" s="111"/>
      <c r="PJ12" s="111"/>
      <c r="PK12" s="111"/>
      <c r="PL12" s="111"/>
      <c r="PM12" s="111"/>
      <c r="PN12" s="111"/>
      <c r="PO12" s="111"/>
      <c r="PP12" s="111"/>
      <c r="PQ12" s="111"/>
      <c r="PR12" s="111"/>
      <c r="PS12" s="111"/>
      <c r="PT12" s="111"/>
      <c r="PU12" s="111"/>
      <c r="PV12" s="111"/>
      <c r="PW12" s="111"/>
      <c r="PX12" s="111"/>
      <c r="PY12" s="111"/>
      <c r="PZ12" s="111"/>
      <c r="QA12" s="111"/>
      <c r="QB12" s="111"/>
      <c r="QC12" s="111"/>
      <c r="QD12" s="111"/>
      <c r="QE12" s="111"/>
      <c r="QF12" s="111"/>
      <c r="QG12" s="111"/>
      <c r="QH12" s="111"/>
      <c r="QI12" s="111"/>
      <c r="QJ12" s="111"/>
      <c r="QK12" s="111"/>
      <c r="QL12" s="111"/>
      <c r="QM12" s="111"/>
      <c r="QN12" s="111"/>
      <c r="QO12" s="111"/>
      <c r="QP12" s="111"/>
      <c r="QQ12" s="111"/>
      <c r="QR12" s="111"/>
      <c r="QS12" s="111"/>
      <c r="QT12" s="111"/>
      <c r="QU12" s="111"/>
      <c r="QV12" s="111"/>
      <c r="QW12" s="111"/>
      <c r="QX12" s="111"/>
      <c r="QY12" s="111"/>
      <c r="QZ12" s="111"/>
      <c r="RA12" s="111"/>
      <c r="RB12" s="111"/>
      <c r="RC12" s="111"/>
      <c r="RD12" s="111"/>
      <c r="RE12" s="111"/>
      <c r="RF12" s="111"/>
      <c r="RG12" s="111"/>
      <c r="RH12" s="111"/>
      <c r="RI12" s="111"/>
      <c r="RJ12" s="111"/>
      <c r="RK12" s="111"/>
      <c r="RL12" s="111"/>
      <c r="RM12" s="111"/>
      <c r="RN12" s="111"/>
      <c r="RO12" s="111"/>
      <c r="RP12" s="111"/>
      <c r="RQ12" s="111"/>
      <c r="RR12" s="111"/>
      <c r="RS12" s="111"/>
      <c r="RT12" s="111"/>
      <c r="RU12" s="111"/>
      <c r="RV12" s="111"/>
      <c r="RW12" s="111"/>
      <c r="RX12" s="111"/>
      <c r="RY12" s="111"/>
      <c r="RZ12" s="111"/>
      <c r="SA12" s="111"/>
      <c r="SB12" s="111"/>
      <c r="SC12" s="111"/>
      <c r="SD12" s="111"/>
      <c r="SE12" s="111"/>
      <c r="SF12" s="111"/>
      <c r="SG12" s="111"/>
      <c r="SH12" s="111"/>
      <c r="SI12" s="111"/>
      <c r="SJ12" s="111"/>
      <c r="SK12" s="111"/>
      <c r="SL12" s="111"/>
      <c r="SM12" s="111"/>
      <c r="SN12" s="111"/>
      <c r="SO12" s="111"/>
      <c r="SP12" s="111"/>
      <c r="SQ12" s="111"/>
      <c r="SR12" s="111"/>
      <c r="SS12" s="111"/>
      <c r="ST12" s="111"/>
      <c r="SU12" s="111"/>
      <c r="SV12" s="111"/>
      <c r="SW12" s="111"/>
      <c r="SX12" s="111"/>
      <c r="SY12" s="111"/>
      <c r="SZ12" s="111"/>
      <c r="TA12" s="111"/>
      <c r="TB12" s="111"/>
      <c r="TC12" s="111"/>
      <c r="TD12" s="111"/>
      <c r="TE12" s="111"/>
      <c r="TF12" s="111"/>
      <c r="TG12" s="111"/>
      <c r="TH12" s="111"/>
      <c r="TI12" s="111"/>
      <c r="TJ12" s="111"/>
      <c r="TK12" s="111"/>
      <c r="TL12" s="111"/>
      <c r="TM12" s="111"/>
      <c r="TN12" s="111"/>
      <c r="TO12" s="111"/>
      <c r="TP12" s="111"/>
      <c r="TQ12" s="111"/>
      <c r="TR12" s="111"/>
      <c r="TS12" s="111"/>
      <c r="TT12" s="111"/>
      <c r="TU12" s="111"/>
      <c r="TV12" s="111"/>
      <c r="TW12" s="111"/>
      <c r="TX12" s="111"/>
      <c r="TY12" s="111"/>
      <c r="TZ12" s="111"/>
      <c r="UA12" s="111"/>
      <c r="UB12" s="111"/>
      <c r="UC12" s="111"/>
      <c r="UD12" s="111"/>
      <c r="UE12" s="111"/>
      <c r="UF12" s="111"/>
      <c r="UG12" s="111"/>
      <c r="UH12" s="111"/>
      <c r="UI12" s="111"/>
      <c r="UJ12" s="111"/>
      <c r="UK12" s="111"/>
      <c r="UL12" s="111"/>
      <c r="UM12" s="111"/>
      <c r="UN12" s="111"/>
      <c r="UO12" s="111"/>
      <c r="UP12" s="111"/>
      <c r="UQ12" s="111"/>
      <c r="UR12" s="111"/>
      <c r="US12" s="111"/>
      <c r="UT12" s="111"/>
      <c r="UU12" s="111"/>
      <c r="UV12" s="111"/>
      <c r="UW12" s="111"/>
      <c r="UX12" s="111"/>
      <c r="UY12" s="111"/>
      <c r="UZ12" s="111"/>
      <c r="VA12" s="111"/>
      <c r="VB12" s="111"/>
      <c r="VC12" s="111"/>
      <c r="VD12" s="111"/>
      <c r="VE12" s="111"/>
      <c r="VF12" s="111"/>
      <c r="VG12" s="111"/>
      <c r="VH12" s="111"/>
      <c r="VI12" s="111"/>
      <c r="VJ12" s="111"/>
      <c r="VK12" s="111"/>
      <c r="VL12" s="111"/>
      <c r="VM12" s="111"/>
      <c r="VN12" s="111"/>
      <c r="VO12" s="111"/>
      <c r="VP12" s="111"/>
      <c r="VQ12" s="111"/>
      <c r="VR12" s="111"/>
      <c r="VS12" s="111"/>
      <c r="VT12" s="111"/>
      <c r="VU12" s="111"/>
      <c r="VV12" s="111"/>
      <c r="VW12" s="111"/>
      <c r="VX12" s="111"/>
      <c r="VY12" s="111"/>
      <c r="VZ12" s="111"/>
      <c r="WA12" s="111"/>
      <c r="WB12" s="111"/>
      <c r="WC12" s="111"/>
      <c r="WD12" s="111"/>
      <c r="WE12" s="111"/>
      <c r="WF12" s="111"/>
      <c r="WG12" s="111"/>
      <c r="WH12" s="111"/>
      <c r="WI12" s="111"/>
      <c r="WJ12" s="111"/>
      <c r="WK12" s="111"/>
      <c r="WL12" s="111"/>
      <c r="WM12" s="111"/>
      <c r="WN12" s="111"/>
      <c r="WO12" s="111"/>
      <c r="WP12" s="111"/>
      <c r="WQ12" s="111"/>
      <c r="WR12" s="111"/>
      <c r="WS12" s="111"/>
      <c r="WT12" s="111"/>
      <c r="WU12" s="111"/>
      <c r="WV12" s="111"/>
      <c r="WW12" s="111"/>
      <c r="WX12" s="111"/>
      <c r="WY12" s="111"/>
      <c r="WZ12" s="111"/>
      <c r="XA12" s="111"/>
      <c r="XB12" s="111"/>
      <c r="XC12" s="111"/>
      <c r="XD12" s="111"/>
      <c r="XE12" s="111"/>
      <c r="XF12" s="111"/>
      <c r="XG12" s="111"/>
      <c r="XH12" s="111"/>
      <c r="XI12" s="111"/>
      <c r="XJ12" s="111"/>
      <c r="XK12" s="111"/>
      <c r="XL12" s="111"/>
      <c r="XM12" s="111"/>
      <c r="XN12" s="111"/>
      <c r="XO12" s="111"/>
      <c r="XP12" s="111"/>
      <c r="XQ12" s="111"/>
      <c r="XR12" s="111"/>
      <c r="XS12" s="111"/>
      <c r="XT12" s="111"/>
      <c r="XU12" s="111"/>
      <c r="XV12" s="111"/>
      <c r="XW12" s="111"/>
      <c r="XX12" s="111"/>
      <c r="XY12" s="111"/>
      <c r="XZ12" s="111"/>
      <c r="YA12" s="111"/>
      <c r="YB12" s="111"/>
      <c r="YC12" s="111"/>
      <c r="YD12" s="111"/>
      <c r="YE12" s="111"/>
      <c r="YF12" s="111"/>
      <c r="YG12" s="111"/>
      <c r="YH12" s="111"/>
      <c r="YI12" s="111"/>
      <c r="YJ12" s="111"/>
      <c r="YK12" s="111"/>
      <c r="YL12" s="111"/>
      <c r="YM12" s="111"/>
      <c r="YN12" s="111"/>
      <c r="YO12" s="111"/>
      <c r="YP12" s="111"/>
      <c r="YQ12" s="111"/>
      <c r="YR12" s="111"/>
      <c r="YS12" s="111"/>
      <c r="YT12" s="111"/>
      <c r="YU12" s="111"/>
      <c r="YV12" s="111"/>
      <c r="YW12" s="111"/>
      <c r="YX12" s="111"/>
      <c r="YY12" s="111"/>
      <c r="YZ12" s="111"/>
      <c r="ZA12" s="111"/>
      <c r="ZB12" s="111"/>
      <c r="ZC12" s="111"/>
      <c r="ZD12" s="111"/>
      <c r="ZE12" s="111"/>
    </row>
    <row r="13" ht="67.5" customHeight="1">
      <c r="A13" s="156" t="s">
        <v>714</v>
      </c>
      <c r="B13" s="191" t="s">
        <v>715</v>
      </c>
      <c r="C13" s="16"/>
      <c r="D13" s="16"/>
      <c r="E13" s="16"/>
      <c r="F13" s="16"/>
      <c r="G13" s="16"/>
      <c r="H13" s="25"/>
      <c r="I13" s="106" t="s">
        <v>716</v>
      </c>
      <c r="J13" s="16"/>
      <c r="K13" s="16"/>
      <c r="L13" s="16"/>
      <c r="M13" s="16"/>
      <c r="N13" s="16"/>
      <c r="O13" s="25"/>
      <c r="P13" s="106" t="s">
        <v>718</v>
      </c>
      <c r="Q13" s="16"/>
      <c r="R13" s="16"/>
      <c r="S13" s="16"/>
      <c r="T13" s="16"/>
      <c r="U13" s="16"/>
      <c r="V13" s="25"/>
      <c r="W13" s="106" t="s">
        <v>719</v>
      </c>
      <c r="X13" s="16"/>
      <c r="Y13" s="16"/>
      <c r="Z13" s="16"/>
      <c r="AA13" s="16"/>
      <c r="AB13" s="16"/>
      <c r="AC13" s="16"/>
      <c r="AD13" s="25"/>
      <c r="AE13" s="106" t="s">
        <v>720</v>
      </c>
      <c r="AF13" s="16"/>
      <c r="AG13" s="16"/>
      <c r="AH13" s="16"/>
      <c r="AI13" s="16"/>
      <c r="AJ13" s="25"/>
      <c r="AK13" s="106" t="s">
        <v>721</v>
      </c>
      <c r="AL13" s="16"/>
      <c r="AM13" s="16"/>
      <c r="AN13" s="25"/>
      <c r="AO13" s="106"/>
      <c r="AP13" s="16"/>
      <c r="AQ13" s="16"/>
      <c r="AR13" s="16"/>
      <c r="AS13" s="16"/>
      <c r="AT13" s="16"/>
      <c r="AU13" s="25"/>
      <c r="AV13" s="106"/>
      <c r="AW13" s="16"/>
      <c r="AX13" s="16"/>
      <c r="AY13" s="106" t="s">
        <v>725</v>
      </c>
      <c r="AZ13" s="16"/>
      <c r="BA13" s="16"/>
      <c r="BB13" s="16"/>
      <c r="BC13" s="16"/>
      <c r="BD13" s="16"/>
      <c r="BE13" s="16"/>
      <c r="BF13" s="16"/>
      <c r="BG13" s="106" t="s">
        <v>726</v>
      </c>
      <c r="BH13" s="16"/>
      <c r="BI13" s="16"/>
      <c r="BJ13" s="16"/>
      <c r="BK13" s="16"/>
      <c r="BL13" s="25"/>
      <c r="BM13" s="106" t="s">
        <v>727</v>
      </c>
      <c r="BN13" s="16"/>
      <c r="BO13" s="16"/>
      <c r="BP13" s="16"/>
      <c r="BQ13" s="16"/>
      <c r="BR13" s="16"/>
      <c r="BS13" s="25"/>
      <c r="BT13" s="106" t="s">
        <v>728</v>
      </c>
      <c r="BU13" s="16"/>
      <c r="BV13" s="16"/>
      <c r="BW13" s="16"/>
      <c r="BX13" s="16"/>
      <c r="BY13" s="16"/>
      <c r="BZ13" s="25"/>
      <c r="CA13" s="106" t="s">
        <v>729</v>
      </c>
      <c r="CB13" s="16"/>
      <c r="CC13" s="16"/>
      <c r="CD13" s="16"/>
      <c r="CE13" s="16"/>
      <c r="CF13" s="16"/>
      <c r="CG13" s="25"/>
      <c r="CH13" s="191" t="s">
        <v>730</v>
      </c>
      <c r="CI13" s="16"/>
      <c r="CJ13" s="16"/>
      <c r="CK13" s="16"/>
      <c r="CL13" s="16"/>
      <c r="CM13" s="16"/>
      <c r="CN13" s="16"/>
      <c r="CO13" s="25"/>
      <c r="CP13" s="191" t="s">
        <v>731</v>
      </c>
      <c r="CQ13" s="16"/>
      <c r="CR13" s="16"/>
      <c r="CS13" s="16"/>
      <c r="CT13" s="16"/>
      <c r="CU13" s="25"/>
      <c r="CV13" s="106" t="s">
        <v>734</v>
      </c>
      <c r="CW13" s="16"/>
      <c r="CX13" s="16"/>
      <c r="CY13" s="16"/>
      <c r="CZ13" s="16"/>
      <c r="DA13" s="16"/>
      <c r="DB13" s="16"/>
      <c r="DC13" s="16"/>
      <c r="DD13" s="106" t="s">
        <v>736</v>
      </c>
      <c r="DE13" s="16"/>
      <c r="DF13" s="16"/>
      <c r="DG13" s="16"/>
      <c r="DH13" s="16"/>
      <c r="DI13" s="25"/>
      <c r="DJ13" s="191" t="s">
        <v>737</v>
      </c>
      <c r="DK13" s="16"/>
      <c r="DL13" s="16"/>
      <c r="DM13" s="16"/>
      <c r="DN13" s="16"/>
      <c r="DO13" s="16"/>
      <c r="DP13" s="16"/>
      <c r="DQ13" s="16"/>
      <c r="DR13" s="106" t="s">
        <v>739</v>
      </c>
      <c r="DS13" s="16"/>
      <c r="DT13" s="16"/>
      <c r="DU13" s="16"/>
      <c r="DV13" s="16"/>
      <c r="DW13" s="25"/>
      <c r="DX13" s="106" t="s">
        <v>743</v>
      </c>
      <c r="DY13" s="16"/>
      <c r="DZ13" s="16"/>
      <c r="EA13" s="16"/>
      <c r="EB13" s="16"/>
      <c r="EC13" s="16"/>
      <c r="ED13" s="25"/>
      <c r="EE13" s="106" t="s">
        <v>748</v>
      </c>
      <c r="EF13" s="16"/>
      <c r="EG13" s="16"/>
      <c r="EH13" s="16"/>
      <c r="EI13" s="16"/>
      <c r="EJ13" s="16"/>
      <c r="EK13" s="25"/>
      <c r="EL13" s="106" t="s">
        <v>751</v>
      </c>
      <c r="EM13" s="16"/>
      <c r="EN13" s="16"/>
      <c r="EO13" s="16"/>
      <c r="EP13" s="16"/>
      <c r="EQ13" s="16"/>
      <c r="ER13" s="25"/>
      <c r="ES13" s="106" t="s">
        <v>754</v>
      </c>
      <c r="ET13" s="16"/>
      <c r="EU13" s="16"/>
      <c r="EV13" s="16"/>
      <c r="EW13" s="16"/>
      <c r="EX13" s="16"/>
      <c r="EY13" s="25"/>
      <c r="EZ13" s="106" t="s">
        <v>756</v>
      </c>
      <c r="FA13" s="16"/>
      <c r="FB13" s="16"/>
      <c r="FC13" s="16"/>
      <c r="FD13" s="16"/>
      <c r="FE13" s="16"/>
      <c r="FF13" s="25"/>
      <c r="FG13" s="106" t="s">
        <v>756</v>
      </c>
      <c r="FH13" s="16"/>
      <c r="FI13" s="16"/>
      <c r="FJ13" s="16"/>
      <c r="FK13" s="16"/>
      <c r="FL13" s="16"/>
      <c r="FM13" s="25"/>
      <c r="FN13" s="106" t="s">
        <v>757</v>
      </c>
      <c r="FO13" s="16"/>
      <c r="FP13" s="16"/>
      <c r="FQ13" s="16"/>
      <c r="FR13" s="16"/>
      <c r="FS13" s="16"/>
      <c r="FT13" s="25"/>
      <c r="FU13" s="106" t="s">
        <v>730</v>
      </c>
      <c r="FV13" s="16"/>
      <c r="FW13" s="16"/>
      <c r="FX13" s="16"/>
      <c r="FY13" s="16"/>
      <c r="FZ13" s="16"/>
      <c r="GA13" s="25"/>
      <c r="GB13" s="168" t="s">
        <v>760</v>
      </c>
      <c r="GC13" s="16"/>
      <c r="GD13" s="16"/>
      <c r="GE13" s="16"/>
      <c r="GF13" s="16"/>
      <c r="GG13" s="16"/>
      <c r="GH13" s="25"/>
      <c r="GI13" s="229"/>
      <c r="GJ13" s="16"/>
      <c r="GK13" s="16"/>
      <c r="GL13" s="16"/>
      <c r="GM13" s="16"/>
      <c r="GN13" s="16"/>
      <c r="GO13" s="25"/>
      <c r="GP13" s="171"/>
      <c r="GQ13" s="16"/>
      <c r="GR13" s="16"/>
      <c r="GS13" s="16"/>
      <c r="GT13" s="16"/>
      <c r="GU13" s="16"/>
      <c r="GV13" s="25"/>
      <c r="GW13" s="151"/>
      <c r="GX13" s="16"/>
      <c r="GY13" s="16"/>
      <c r="GZ13" s="16"/>
      <c r="HA13" s="16"/>
      <c r="HB13" s="16"/>
      <c r="HC13" s="25"/>
      <c r="HD13" s="173"/>
      <c r="HE13" s="16"/>
      <c r="HF13" s="16"/>
      <c r="HG13" s="16"/>
      <c r="HH13" s="16"/>
      <c r="HI13" s="16"/>
      <c r="HJ13" s="25"/>
      <c r="HK13" s="173"/>
      <c r="HL13" s="16"/>
      <c r="HM13" s="16"/>
      <c r="HN13" s="16"/>
      <c r="HO13" s="16"/>
      <c r="HP13" s="16"/>
      <c r="HQ13" s="25"/>
      <c r="HR13" s="151"/>
      <c r="HS13" s="16"/>
      <c r="HT13" s="16"/>
      <c r="HU13" s="16"/>
      <c r="HV13" s="16"/>
      <c r="HW13" s="16"/>
      <c r="HX13" s="25"/>
      <c r="HY13" s="151"/>
      <c r="HZ13" s="16"/>
      <c r="IA13" s="16"/>
      <c r="IB13" s="16"/>
      <c r="IC13" s="16"/>
      <c r="ID13" s="16"/>
      <c r="IE13" s="25"/>
      <c r="IF13" s="243"/>
      <c r="IG13" s="16"/>
      <c r="IH13" s="16"/>
      <c r="II13" s="16"/>
      <c r="IJ13" s="16"/>
      <c r="IK13" s="16"/>
      <c r="IL13" s="16"/>
      <c r="IM13" s="16"/>
      <c r="IN13" s="151"/>
      <c r="IO13" s="16"/>
      <c r="IP13" s="16"/>
      <c r="IQ13" s="16"/>
      <c r="IR13" s="16"/>
      <c r="IS13" s="25"/>
      <c r="IT13" s="151"/>
      <c r="IU13" s="16"/>
      <c r="IV13" s="16"/>
      <c r="IW13" s="16"/>
      <c r="IX13" s="16"/>
      <c r="IY13" s="16"/>
      <c r="IZ13" s="25"/>
      <c r="JA13" s="151"/>
      <c r="JB13" s="16"/>
      <c r="JC13" s="16"/>
      <c r="JD13" s="16"/>
      <c r="JE13" s="16"/>
      <c r="JF13" s="16"/>
      <c r="JG13" s="25"/>
      <c r="JH13" s="151"/>
      <c r="JI13" s="16"/>
      <c r="JJ13" s="16"/>
      <c r="JK13" s="16"/>
      <c r="JL13" s="16"/>
      <c r="JM13" s="16"/>
      <c r="JN13" s="25"/>
      <c r="JO13" s="244"/>
      <c r="JV13" s="151"/>
      <c r="JW13" s="16"/>
      <c r="JX13" s="16"/>
      <c r="JY13" s="16"/>
      <c r="JZ13" s="16"/>
      <c r="KA13" s="16"/>
      <c r="KB13" s="25"/>
      <c r="KC13" s="151"/>
      <c r="KD13" s="16"/>
      <c r="KE13" s="16"/>
      <c r="KF13" s="16"/>
      <c r="KG13" s="16"/>
      <c r="KH13" s="16"/>
      <c r="KI13" s="25"/>
      <c r="KJ13" s="151"/>
      <c r="KK13" s="16"/>
      <c r="KL13" s="16"/>
      <c r="KM13" s="16"/>
      <c r="KN13" s="16"/>
      <c r="KO13" s="16"/>
      <c r="KP13" s="25"/>
      <c r="KQ13" s="151"/>
      <c r="KR13" s="16"/>
      <c r="KS13" s="16"/>
      <c r="KT13" s="16"/>
      <c r="KU13" s="16"/>
      <c r="KV13" s="16"/>
      <c r="KW13" s="25"/>
      <c r="KX13" s="151"/>
      <c r="KY13" s="16"/>
      <c r="KZ13" s="16"/>
      <c r="LA13" s="16"/>
      <c r="LB13" s="16"/>
      <c r="LC13" s="16"/>
      <c r="LD13" s="25"/>
      <c r="LE13" s="151"/>
      <c r="LF13" s="16"/>
      <c r="LG13" s="16"/>
      <c r="LH13" s="16"/>
      <c r="LI13" s="16"/>
      <c r="LJ13" s="16"/>
      <c r="LK13" s="25"/>
      <c r="LL13" s="151"/>
      <c r="LM13" s="16"/>
      <c r="LN13" s="16"/>
      <c r="LO13" s="16"/>
      <c r="LP13" s="16"/>
      <c r="LQ13" s="16"/>
      <c r="LR13" s="25"/>
      <c r="LS13" s="151"/>
      <c r="LT13" s="16"/>
      <c r="LU13" s="16"/>
      <c r="LV13" s="16"/>
      <c r="LW13" s="16"/>
      <c r="LX13" s="16"/>
      <c r="LY13" s="25"/>
      <c r="LZ13" s="151"/>
      <c r="MA13" s="16"/>
      <c r="MB13" s="16"/>
      <c r="MC13" s="16"/>
      <c r="MD13" s="16"/>
      <c r="ME13" s="16"/>
      <c r="MF13" s="25"/>
      <c r="MG13" s="245"/>
      <c r="MH13" s="16"/>
      <c r="MI13" s="16"/>
      <c r="MJ13" s="16"/>
      <c r="MK13" s="151"/>
      <c r="ML13" s="16"/>
      <c r="MM13" s="16"/>
      <c r="MN13" s="16"/>
      <c r="MO13" s="16"/>
      <c r="MP13" s="16"/>
      <c r="MQ13" s="16"/>
      <c r="MR13" s="16"/>
      <c r="MS13" s="16"/>
      <c r="MT13" s="25"/>
      <c r="MU13" s="151"/>
      <c r="MV13" s="16"/>
      <c r="MW13" s="16"/>
      <c r="MX13" s="16"/>
      <c r="MY13" s="16"/>
      <c r="MZ13" s="16"/>
      <c r="NA13" s="25"/>
      <c r="NB13" s="246"/>
      <c r="NC13" s="235"/>
      <c r="ND13" s="235"/>
      <c r="NE13" s="235"/>
      <c r="NF13" s="235"/>
      <c r="NG13" s="235"/>
      <c r="NH13" s="235"/>
      <c r="NI13" s="235"/>
      <c r="NJ13" s="235"/>
      <c r="NK13" s="235"/>
      <c r="NL13" s="235"/>
      <c r="NM13" s="235"/>
      <c r="NN13" s="235"/>
      <c r="NO13" s="235"/>
      <c r="NP13" s="235"/>
      <c r="NQ13" s="235"/>
      <c r="NR13" s="235"/>
      <c r="NS13" s="235"/>
      <c r="NT13" s="235"/>
      <c r="NU13" s="235"/>
      <c r="NV13" s="235"/>
      <c r="NW13" s="235"/>
      <c r="NX13" s="235"/>
      <c r="NY13" s="235"/>
      <c r="NZ13" s="235"/>
      <c r="OA13" s="235"/>
      <c r="OB13" s="235"/>
      <c r="OC13" s="235"/>
      <c r="OD13" s="235"/>
      <c r="OE13" s="235"/>
      <c r="OF13" s="235"/>
      <c r="OG13" s="235"/>
      <c r="OH13" s="235"/>
      <c r="OI13" s="235"/>
      <c r="OJ13" s="235"/>
      <c r="OK13" s="235"/>
      <c r="OL13" s="235"/>
      <c r="OM13" s="235"/>
      <c r="ON13" s="235"/>
      <c r="OO13" s="235"/>
      <c r="OP13" s="235"/>
      <c r="OQ13" s="235"/>
      <c r="OR13" s="235"/>
      <c r="OS13" s="235"/>
      <c r="OT13" s="235"/>
      <c r="OU13" s="235"/>
      <c r="OV13" s="235"/>
      <c r="OW13" s="235"/>
      <c r="OX13" s="235"/>
      <c r="OY13" s="235"/>
      <c r="OZ13" s="235"/>
      <c r="PA13" s="235"/>
      <c r="PB13" s="235"/>
      <c r="PC13" s="235"/>
      <c r="PD13" s="235"/>
      <c r="PE13" s="235"/>
      <c r="PF13" s="235"/>
      <c r="PG13" s="235"/>
      <c r="PH13" s="235"/>
      <c r="PI13" s="235"/>
      <c r="PJ13" s="235"/>
      <c r="PK13" s="235"/>
      <c r="PL13" s="235"/>
      <c r="PM13" s="235"/>
      <c r="PN13" s="235"/>
      <c r="PO13" s="235"/>
      <c r="PP13" s="235"/>
      <c r="PQ13" s="235"/>
      <c r="PR13" s="235"/>
      <c r="PS13" s="235"/>
      <c r="PT13" s="235"/>
      <c r="PU13" s="235"/>
      <c r="PV13" s="235"/>
      <c r="PW13" s="235"/>
      <c r="PX13" s="235"/>
      <c r="PY13" s="235"/>
      <c r="PZ13" s="235"/>
      <c r="QA13" s="235"/>
      <c r="QB13" s="235"/>
      <c r="QC13" s="235"/>
      <c r="QD13" s="235"/>
      <c r="QE13" s="235"/>
      <c r="QF13" s="235"/>
      <c r="QG13" s="235"/>
      <c r="QH13" s="235"/>
      <c r="QI13" s="235"/>
      <c r="QJ13" s="235"/>
      <c r="QK13" s="235"/>
      <c r="QL13" s="235"/>
      <c r="QM13" s="235"/>
      <c r="QN13" s="235"/>
      <c r="QO13" s="235"/>
      <c r="QP13" s="235"/>
      <c r="QQ13" s="235"/>
      <c r="QR13" s="235"/>
      <c r="QS13" s="235"/>
      <c r="QT13" s="235"/>
      <c r="QU13" s="235"/>
      <c r="QV13" s="235"/>
      <c r="QW13" s="235"/>
      <c r="QX13" s="235"/>
      <c r="QY13" s="235"/>
      <c r="QZ13" s="235"/>
      <c r="RA13" s="235"/>
      <c r="RB13" s="235"/>
      <c r="RC13" s="235"/>
      <c r="RD13" s="235"/>
      <c r="RE13" s="235"/>
      <c r="RF13" s="235"/>
      <c r="RG13" s="235"/>
      <c r="RH13" s="235"/>
      <c r="RI13" s="235"/>
      <c r="RJ13" s="235"/>
      <c r="RK13" s="235"/>
      <c r="RL13" s="235"/>
      <c r="RM13" s="235"/>
      <c r="RN13" s="235"/>
      <c r="RO13" s="235"/>
      <c r="RP13" s="235"/>
      <c r="RQ13" s="235"/>
      <c r="RR13" s="235"/>
      <c r="RS13" s="235"/>
      <c r="RT13" s="235"/>
      <c r="RU13" s="235"/>
      <c r="RV13" s="235"/>
      <c r="RW13" s="235"/>
      <c r="RX13" s="235"/>
      <c r="RY13" s="235"/>
      <c r="RZ13" s="235"/>
      <c r="SA13" s="235"/>
      <c r="SB13" s="235"/>
      <c r="SC13" s="235"/>
      <c r="SD13" s="235"/>
      <c r="SE13" s="235"/>
      <c r="SF13" s="235"/>
      <c r="SG13" s="235"/>
      <c r="SH13" s="235"/>
      <c r="SI13" s="235"/>
      <c r="SJ13" s="235"/>
      <c r="SK13" s="235"/>
      <c r="SL13" s="235"/>
      <c r="SM13" s="235"/>
      <c r="SN13" s="235"/>
      <c r="SO13" s="235"/>
      <c r="SP13" s="235"/>
      <c r="SQ13" s="235"/>
      <c r="SR13" s="235"/>
      <c r="SS13" s="235"/>
      <c r="ST13" s="235"/>
      <c r="SU13" s="235"/>
      <c r="SV13" s="235"/>
      <c r="SW13" s="235"/>
      <c r="SX13" s="235"/>
      <c r="SY13" s="235"/>
      <c r="SZ13" s="235"/>
      <c r="TA13" s="235"/>
      <c r="TB13" s="235"/>
      <c r="TC13" s="235"/>
      <c r="TD13" s="235"/>
      <c r="TE13" s="235"/>
      <c r="TF13" s="235"/>
      <c r="TG13" s="235"/>
      <c r="TH13" s="235"/>
      <c r="TI13" s="235"/>
      <c r="TJ13" s="235"/>
      <c r="TK13" s="235"/>
      <c r="TL13" s="235"/>
      <c r="TM13" s="235"/>
      <c r="TN13" s="235"/>
      <c r="TO13" s="235"/>
      <c r="TP13" s="235"/>
      <c r="TQ13" s="235"/>
      <c r="TR13" s="235"/>
      <c r="TS13" s="235"/>
      <c r="TT13" s="235"/>
      <c r="TU13" s="235"/>
      <c r="TV13" s="235"/>
      <c r="TW13" s="235"/>
      <c r="TX13" s="235"/>
      <c r="TY13" s="235"/>
      <c r="TZ13" s="235"/>
      <c r="UA13" s="235"/>
      <c r="UB13" s="235"/>
      <c r="UC13" s="235"/>
      <c r="UD13" s="235"/>
      <c r="UE13" s="235"/>
      <c r="UF13" s="235"/>
      <c r="UG13" s="235"/>
      <c r="UH13" s="235"/>
      <c r="UI13" s="235"/>
      <c r="UJ13" s="235"/>
      <c r="UK13" s="235"/>
      <c r="UL13" s="235"/>
      <c r="UM13" s="235"/>
      <c r="UN13" s="235"/>
      <c r="UO13" s="235"/>
      <c r="UP13" s="235"/>
      <c r="UQ13" s="235"/>
      <c r="UR13" s="235"/>
      <c r="US13" s="235"/>
      <c r="UT13" s="235"/>
      <c r="UU13" s="235"/>
      <c r="UV13" s="235"/>
      <c r="UW13" s="235"/>
      <c r="UX13" s="235"/>
      <c r="UY13" s="235"/>
      <c r="UZ13" s="235"/>
      <c r="VA13" s="235"/>
      <c r="VB13" s="235"/>
      <c r="VC13" s="235"/>
      <c r="VD13" s="235"/>
      <c r="VE13" s="235"/>
      <c r="VF13" s="235"/>
      <c r="VG13" s="235"/>
      <c r="VH13" s="235"/>
      <c r="VI13" s="235"/>
      <c r="VJ13" s="235"/>
      <c r="VK13" s="235"/>
      <c r="VL13" s="235"/>
      <c r="VM13" s="235"/>
      <c r="VN13" s="235"/>
      <c r="VO13" s="235"/>
      <c r="VP13" s="235"/>
      <c r="VQ13" s="235"/>
      <c r="VR13" s="235"/>
      <c r="VS13" s="235"/>
      <c r="VT13" s="235"/>
      <c r="VU13" s="235"/>
      <c r="VV13" s="235"/>
      <c r="VW13" s="235"/>
      <c r="VX13" s="235"/>
      <c r="VY13" s="235"/>
      <c r="VZ13" s="235"/>
      <c r="WA13" s="235"/>
      <c r="WB13" s="235"/>
      <c r="WC13" s="235"/>
      <c r="WD13" s="235"/>
      <c r="WE13" s="235"/>
      <c r="WF13" s="235"/>
      <c r="WG13" s="235"/>
      <c r="WH13" s="235"/>
      <c r="WI13" s="235"/>
      <c r="WJ13" s="235"/>
      <c r="WK13" s="235"/>
      <c r="WL13" s="235"/>
      <c r="WM13" s="235"/>
      <c r="WN13" s="235"/>
      <c r="WO13" s="235"/>
      <c r="WP13" s="235"/>
      <c r="WQ13" s="235"/>
      <c r="WR13" s="235"/>
      <c r="WS13" s="235"/>
      <c r="WT13" s="235"/>
      <c r="WU13" s="235"/>
      <c r="WV13" s="235"/>
      <c r="WW13" s="235"/>
      <c r="WX13" s="235"/>
      <c r="WY13" s="235"/>
      <c r="WZ13" s="235"/>
      <c r="XA13" s="235"/>
      <c r="XB13" s="235"/>
      <c r="XC13" s="235"/>
      <c r="XD13" s="235"/>
      <c r="XE13" s="235"/>
      <c r="XF13" s="235"/>
      <c r="XG13" s="235"/>
      <c r="XH13" s="235"/>
      <c r="XI13" s="235"/>
      <c r="XJ13" s="235"/>
      <c r="XK13" s="235"/>
      <c r="XL13" s="235"/>
      <c r="XM13" s="235"/>
      <c r="XN13" s="235"/>
      <c r="XO13" s="235"/>
      <c r="XP13" s="235"/>
      <c r="XQ13" s="235"/>
      <c r="XR13" s="235"/>
      <c r="XS13" s="235"/>
      <c r="XT13" s="235"/>
      <c r="XU13" s="235"/>
      <c r="XV13" s="235"/>
      <c r="XW13" s="235"/>
      <c r="XX13" s="235"/>
      <c r="XY13" s="235"/>
      <c r="XZ13" s="235"/>
      <c r="YA13" s="235"/>
      <c r="YB13" s="235"/>
      <c r="YC13" s="235"/>
      <c r="YD13" s="235"/>
      <c r="YE13" s="235"/>
      <c r="YF13" s="235"/>
      <c r="YG13" s="235"/>
      <c r="YH13" s="235"/>
      <c r="YI13" s="235"/>
      <c r="YJ13" s="235"/>
      <c r="YK13" s="235"/>
      <c r="YL13" s="235"/>
      <c r="YM13" s="235"/>
      <c r="YN13" s="235"/>
      <c r="YO13" s="235"/>
      <c r="YP13" s="235"/>
      <c r="YQ13" s="235"/>
      <c r="YR13" s="235"/>
      <c r="YS13" s="235"/>
      <c r="YT13" s="235"/>
      <c r="YU13" s="235"/>
      <c r="YV13" s="235"/>
      <c r="YW13" s="235"/>
      <c r="YX13" s="235"/>
      <c r="YY13" s="235"/>
      <c r="YZ13" s="235"/>
      <c r="ZA13" s="235"/>
      <c r="ZB13" s="235"/>
      <c r="ZC13" s="235"/>
      <c r="ZD13" s="235"/>
      <c r="ZE13" s="235"/>
    </row>
    <row r="14" ht="44.25" customHeight="1">
      <c r="A14" s="156" t="s">
        <v>441</v>
      </c>
      <c r="B14" s="151"/>
      <c r="C14" s="16"/>
      <c r="D14" s="16"/>
      <c r="E14" s="16"/>
      <c r="F14" s="16"/>
      <c r="G14" s="16"/>
      <c r="H14" s="25"/>
      <c r="I14" s="106"/>
      <c r="J14" s="16"/>
      <c r="K14" s="16"/>
      <c r="L14" s="16"/>
      <c r="M14" s="16"/>
      <c r="N14" s="16"/>
      <c r="O14" s="16"/>
      <c r="P14" s="16"/>
      <c r="Q14" s="106"/>
      <c r="R14" s="25"/>
      <c r="S14" s="135" t="s">
        <v>794</v>
      </c>
      <c r="T14" s="16"/>
      <c r="U14" s="16"/>
      <c r="V14" s="16"/>
      <c r="W14" s="16"/>
      <c r="X14" s="16"/>
      <c r="Y14" s="16"/>
      <c r="Z14" s="16"/>
      <c r="AA14" s="16"/>
      <c r="AB14" s="16"/>
      <c r="AC14" s="16"/>
      <c r="AD14" s="25"/>
      <c r="AE14" s="187"/>
      <c r="AF14" s="16"/>
      <c r="AG14" s="16"/>
      <c r="AH14" s="16"/>
      <c r="AI14" s="16"/>
      <c r="AJ14" s="16"/>
      <c r="AK14" s="106" t="s">
        <v>795</v>
      </c>
      <c r="AL14" s="16"/>
      <c r="AM14" s="16"/>
      <c r="AN14" s="16"/>
      <c r="AO14" s="16"/>
      <c r="AP14" s="16"/>
      <c r="AQ14" s="16"/>
      <c r="AR14" s="16"/>
      <c r="AS14" s="16"/>
      <c r="AT14" s="25"/>
      <c r="AU14" s="151"/>
      <c r="AV14" s="16"/>
      <c r="AW14" s="16"/>
      <c r="AX14" s="16"/>
      <c r="AY14" s="16"/>
      <c r="AZ14" s="16"/>
      <c r="BA14" s="16"/>
      <c r="BB14" s="16"/>
      <c r="BC14" s="16"/>
      <c r="BD14" s="16"/>
      <c r="BE14" s="25"/>
      <c r="BF14" s="151"/>
      <c r="BG14" s="16"/>
      <c r="BH14" s="16"/>
      <c r="BI14" s="16"/>
      <c r="BJ14" s="16"/>
      <c r="BK14" s="16"/>
      <c r="BL14" s="25"/>
      <c r="BM14" s="151"/>
      <c r="BN14" s="16"/>
      <c r="BO14" s="16"/>
      <c r="BP14" s="16"/>
      <c r="BQ14" s="16"/>
      <c r="BR14" s="16"/>
      <c r="BS14" s="25"/>
      <c r="BT14" s="135"/>
      <c r="BU14" s="16"/>
      <c r="BV14" s="16"/>
      <c r="BW14" s="16"/>
      <c r="BX14" s="16"/>
      <c r="BY14" s="16"/>
      <c r="BZ14" s="25"/>
      <c r="CA14" s="187" t="s">
        <v>796</v>
      </c>
      <c r="CB14" s="16"/>
      <c r="CC14" s="16"/>
      <c r="CD14" s="16"/>
      <c r="CE14" s="16"/>
      <c r="CF14" s="16"/>
      <c r="CG14" s="16"/>
      <c r="CH14" s="16"/>
      <c r="CI14" s="16"/>
      <c r="CJ14" s="16"/>
      <c r="CK14" s="16"/>
      <c r="CL14" s="16"/>
      <c r="CM14" s="16"/>
      <c r="CN14" s="25"/>
      <c r="CO14" s="247"/>
      <c r="CP14" s="16"/>
      <c r="CQ14" s="16"/>
      <c r="CR14" s="16"/>
      <c r="CS14" s="16"/>
      <c r="CT14" s="16"/>
      <c r="CU14" s="25"/>
      <c r="CV14" s="135" t="s">
        <v>800</v>
      </c>
      <c r="CW14" s="16"/>
      <c r="CX14" s="16"/>
      <c r="CY14" s="16"/>
      <c r="CZ14" s="16"/>
      <c r="DA14" s="16"/>
      <c r="DB14" s="25"/>
      <c r="DC14" s="247"/>
      <c r="DD14" s="16"/>
      <c r="DE14" s="16"/>
      <c r="DF14" s="16"/>
      <c r="DG14" s="16"/>
      <c r="DH14" s="16"/>
      <c r="DI14" s="25"/>
      <c r="DQ14" s="23"/>
      <c r="DR14" s="23"/>
      <c r="DS14" s="23"/>
      <c r="DT14" s="23"/>
      <c r="DU14" s="23"/>
      <c r="DV14" s="23"/>
      <c r="DW14" s="183" t="s">
        <v>803</v>
      </c>
      <c r="DX14" s="16"/>
      <c r="DY14" s="16"/>
      <c r="DZ14" s="16"/>
      <c r="EA14" s="16"/>
      <c r="EB14" s="16"/>
      <c r="EC14" s="16"/>
      <c r="ED14" s="16"/>
      <c r="EE14" s="151"/>
      <c r="EF14" s="16"/>
      <c r="EG14" s="16"/>
      <c r="EH14" s="16"/>
      <c r="EI14" s="16"/>
      <c r="EJ14" s="16"/>
      <c r="EK14" s="25"/>
      <c r="EL14" s="151"/>
      <c r="EM14" s="16"/>
      <c r="EN14" s="16"/>
      <c r="EO14" s="16"/>
      <c r="EP14" s="16"/>
      <c r="EQ14" s="16"/>
      <c r="ER14" s="25"/>
      <c r="ES14" s="151"/>
      <c r="ET14" s="16"/>
      <c r="EU14" s="16"/>
      <c r="EV14" s="16"/>
      <c r="EW14" s="16"/>
      <c r="EX14" s="16"/>
      <c r="EY14" s="25"/>
      <c r="EZ14" s="248" t="s">
        <v>806</v>
      </c>
      <c r="FA14" s="16"/>
      <c r="FB14" s="16"/>
      <c r="FC14" s="16"/>
      <c r="FD14" s="16"/>
      <c r="FE14" s="16"/>
      <c r="FF14" s="16"/>
      <c r="FG14" s="16"/>
      <c r="FH14" s="16"/>
      <c r="FI14" s="16"/>
      <c r="FJ14" s="16"/>
      <c r="FK14" s="16"/>
      <c r="FL14" s="16"/>
      <c r="FM14" s="25"/>
      <c r="FN14" s="153"/>
      <c r="FO14" s="16"/>
      <c r="FP14" s="16"/>
      <c r="FQ14" s="16"/>
      <c r="FR14" s="16"/>
      <c r="FS14" s="16"/>
      <c r="FT14" s="25"/>
      <c r="FU14" s="248" t="s">
        <v>807</v>
      </c>
      <c r="FV14" s="16"/>
      <c r="FW14" s="16"/>
      <c r="FX14" s="16"/>
      <c r="FY14" s="16"/>
      <c r="FZ14" s="16"/>
      <c r="GA14" s="25"/>
      <c r="GB14" s="168"/>
      <c r="GC14" s="16"/>
      <c r="GD14" s="16"/>
      <c r="GE14" s="16"/>
      <c r="GF14" s="16"/>
      <c r="GG14" s="16"/>
      <c r="GH14" s="25"/>
      <c r="GI14" s="229"/>
      <c r="GJ14" s="16"/>
      <c r="GK14" s="16"/>
      <c r="GL14" s="16"/>
      <c r="GM14" s="16"/>
      <c r="GN14" s="16"/>
      <c r="GO14" s="25"/>
      <c r="GP14" s="171"/>
      <c r="GQ14" s="16"/>
      <c r="GR14" s="16"/>
      <c r="GS14" s="16"/>
      <c r="GT14" s="16"/>
      <c r="GU14" s="16"/>
      <c r="GV14" s="25"/>
      <c r="GW14" s="153"/>
      <c r="GX14" s="16"/>
      <c r="GY14" s="16"/>
      <c r="GZ14" s="16"/>
      <c r="HA14" s="16"/>
      <c r="HB14" s="16"/>
      <c r="HC14" s="25"/>
      <c r="HD14" s="250"/>
      <c r="HE14" s="16"/>
      <c r="HF14" s="16"/>
      <c r="HG14" s="16"/>
      <c r="HH14" s="16"/>
      <c r="HI14" s="16"/>
      <c r="HJ14" s="25"/>
      <c r="HK14" s="250"/>
      <c r="HL14" s="16"/>
      <c r="HM14" s="16"/>
      <c r="HN14" s="16"/>
      <c r="HO14" s="16"/>
      <c r="HP14" s="16"/>
      <c r="HQ14" s="25"/>
      <c r="HR14" s="151"/>
      <c r="HS14" s="16"/>
      <c r="HT14" s="16"/>
      <c r="HU14" s="16"/>
      <c r="HV14" s="16"/>
      <c r="HW14" s="16"/>
      <c r="HX14" s="25"/>
      <c r="HY14" s="151"/>
      <c r="HZ14" s="16"/>
      <c r="IA14" s="16"/>
      <c r="IB14" s="16"/>
      <c r="IC14" s="16"/>
      <c r="ID14" s="16"/>
      <c r="IE14" s="25"/>
      <c r="IF14" s="251"/>
      <c r="IG14" s="16"/>
      <c r="IH14" s="16"/>
      <c r="II14" s="16"/>
      <c r="IJ14" s="16"/>
      <c r="IK14" s="16"/>
      <c r="IL14" s="16"/>
      <c r="IM14" s="16"/>
      <c r="IN14" s="16"/>
      <c r="IO14" s="16"/>
      <c r="IP14" s="16"/>
      <c r="IQ14" s="16"/>
      <c r="IR14" s="16"/>
      <c r="IS14" s="25"/>
      <c r="IT14" s="253"/>
      <c r="JA14" s="151"/>
      <c r="JB14" s="16"/>
      <c r="JC14" s="16"/>
      <c r="JD14" s="16"/>
      <c r="JE14" s="16"/>
      <c r="JF14" s="16"/>
      <c r="JG14" s="25"/>
      <c r="JH14" s="151"/>
      <c r="JI14" s="16"/>
      <c r="JJ14" s="16"/>
      <c r="JK14" s="16"/>
      <c r="JL14" s="16"/>
      <c r="JM14" s="16"/>
      <c r="JN14" s="25"/>
      <c r="JO14" s="254"/>
      <c r="JP14" s="16"/>
      <c r="JQ14" s="16"/>
      <c r="JR14" s="16"/>
      <c r="JS14" s="16"/>
      <c r="JT14" s="16"/>
      <c r="JU14" s="16"/>
      <c r="JV14" s="16"/>
      <c r="JW14" s="16"/>
      <c r="JX14" s="16"/>
      <c r="JY14" s="16"/>
      <c r="JZ14" s="16"/>
      <c r="KA14" s="16"/>
      <c r="KB14" s="16"/>
      <c r="KC14" s="16"/>
      <c r="KD14" s="16"/>
      <c r="KE14" s="16"/>
      <c r="KF14" s="16"/>
      <c r="KG14" s="16"/>
      <c r="KH14" s="16"/>
      <c r="KI14" s="25"/>
      <c r="KJ14" s="251"/>
      <c r="KK14" s="16"/>
      <c r="KL14" s="16"/>
      <c r="KM14" s="16"/>
      <c r="KN14" s="16"/>
      <c r="KO14" s="16"/>
      <c r="KP14" s="16"/>
      <c r="KQ14" s="255"/>
      <c r="KR14" s="16"/>
      <c r="KS14" s="16"/>
      <c r="KT14" s="16"/>
      <c r="KU14" s="16"/>
      <c r="KV14" s="16"/>
      <c r="KW14" s="16"/>
      <c r="KX14" s="16"/>
      <c r="KY14" s="16"/>
      <c r="KZ14" s="16"/>
      <c r="LA14" s="16"/>
      <c r="LB14" s="16"/>
      <c r="LC14" s="16"/>
      <c r="LD14" s="16"/>
      <c r="LE14" s="151"/>
      <c r="LF14" s="16"/>
      <c r="LG14" s="16"/>
      <c r="LH14" s="16"/>
      <c r="LI14" s="16"/>
      <c r="LJ14" s="16"/>
      <c r="LK14" s="25"/>
      <c r="LL14" s="151"/>
      <c r="LM14" s="16"/>
      <c r="LN14" s="16"/>
      <c r="LO14" s="16"/>
      <c r="LP14" s="16"/>
      <c r="LQ14" s="16"/>
      <c r="LR14" s="25"/>
      <c r="LS14" s="254"/>
      <c r="LT14" s="16"/>
      <c r="LU14" s="16"/>
      <c r="LV14" s="16"/>
      <c r="LW14" s="16"/>
      <c r="LX14" s="16"/>
      <c r="LY14" s="16"/>
      <c r="LZ14" s="16"/>
      <c r="MA14" s="16"/>
      <c r="MB14" s="16"/>
      <c r="MC14" s="16"/>
      <c r="MD14" s="256"/>
      <c r="ME14" s="23"/>
      <c r="MF14" s="23"/>
      <c r="MG14" s="23"/>
      <c r="MH14" s="23"/>
      <c r="MI14" s="23"/>
      <c r="MJ14" s="23"/>
      <c r="MK14" s="23"/>
      <c r="ML14" s="23"/>
      <c r="MM14" s="23"/>
      <c r="MN14" s="23"/>
      <c r="MO14" s="23"/>
      <c r="MP14" s="23"/>
      <c r="MQ14" s="23"/>
      <c r="MR14" s="23"/>
      <c r="MS14" s="257"/>
      <c r="MT14" s="16"/>
      <c r="MU14" s="16"/>
      <c r="MV14" s="16"/>
      <c r="MW14" s="16"/>
      <c r="MX14" s="16"/>
      <c r="MY14" s="16"/>
      <c r="MZ14" s="16"/>
      <c r="NA14" s="25"/>
      <c r="NB14" s="246"/>
      <c r="NC14" s="235"/>
      <c r="ND14" s="235"/>
      <c r="NE14" s="235"/>
      <c r="NF14" s="235"/>
      <c r="NG14" s="235"/>
      <c r="NH14" s="235"/>
      <c r="NI14" s="235"/>
      <c r="NJ14" s="235"/>
      <c r="NK14" s="235"/>
      <c r="NL14" s="235"/>
      <c r="NM14" s="235"/>
      <c r="NN14" s="235"/>
      <c r="NO14" s="235"/>
      <c r="NP14" s="235"/>
      <c r="NQ14" s="235"/>
      <c r="NR14" s="235"/>
      <c r="NS14" s="235"/>
      <c r="NT14" s="235"/>
      <c r="NU14" s="235"/>
      <c r="NV14" s="235"/>
      <c r="NW14" s="235"/>
      <c r="NX14" s="235"/>
      <c r="NY14" s="235"/>
      <c r="NZ14" s="235"/>
      <c r="OA14" s="235"/>
      <c r="OB14" s="235"/>
      <c r="OC14" s="235"/>
      <c r="OD14" s="235"/>
      <c r="OE14" s="235"/>
      <c r="OF14" s="235"/>
      <c r="OG14" s="235"/>
      <c r="OH14" s="235"/>
      <c r="OI14" s="235"/>
      <c r="OJ14" s="235"/>
      <c r="OK14" s="235"/>
      <c r="OL14" s="235"/>
      <c r="OM14" s="235"/>
      <c r="ON14" s="235"/>
      <c r="OO14" s="235"/>
      <c r="OP14" s="235"/>
      <c r="OQ14" s="235"/>
      <c r="OR14" s="235"/>
      <c r="OS14" s="235"/>
      <c r="OT14" s="235"/>
      <c r="OU14" s="235"/>
      <c r="OV14" s="235"/>
      <c r="OW14" s="235"/>
      <c r="OX14" s="235"/>
      <c r="OY14" s="235"/>
      <c r="OZ14" s="235"/>
      <c r="PA14" s="235"/>
      <c r="PB14" s="235"/>
      <c r="PC14" s="235"/>
      <c r="PD14" s="235"/>
      <c r="PE14" s="235"/>
      <c r="PF14" s="235"/>
      <c r="PG14" s="235"/>
      <c r="PH14" s="235"/>
      <c r="PI14" s="235"/>
      <c r="PJ14" s="235"/>
      <c r="PK14" s="235"/>
      <c r="PL14" s="235"/>
      <c r="PM14" s="235"/>
      <c r="PN14" s="235"/>
      <c r="PO14" s="235"/>
      <c r="PP14" s="235"/>
      <c r="PQ14" s="235"/>
      <c r="PR14" s="235"/>
      <c r="PS14" s="235"/>
      <c r="PT14" s="235"/>
      <c r="PU14" s="235"/>
      <c r="PV14" s="235"/>
      <c r="PW14" s="235"/>
      <c r="PX14" s="235"/>
      <c r="PY14" s="235"/>
      <c r="PZ14" s="235"/>
      <c r="QA14" s="235"/>
      <c r="QB14" s="235"/>
      <c r="QC14" s="235"/>
      <c r="QD14" s="235"/>
      <c r="QE14" s="235"/>
      <c r="QF14" s="235"/>
      <c r="QG14" s="235"/>
      <c r="QH14" s="235"/>
      <c r="QI14" s="235"/>
      <c r="QJ14" s="235"/>
      <c r="QK14" s="235"/>
      <c r="QL14" s="235"/>
      <c r="QM14" s="235"/>
      <c r="QN14" s="235"/>
      <c r="QO14" s="235"/>
      <c r="QP14" s="235"/>
      <c r="QQ14" s="235"/>
      <c r="QR14" s="235"/>
      <c r="QS14" s="235"/>
      <c r="QT14" s="235"/>
      <c r="QU14" s="235"/>
      <c r="QV14" s="235"/>
      <c r="QW14" s="235"/>
      <c r="QX14" s="235"/>
      <c r="QY14" s="235"/>
      <c r="QZ14" s="235"/>
      <c r="RA14" s="235"/>
      <c r="RB14" s="235"/>
      <c r="RC14" s="235"/>
      <c r="RD14" s="235"/>
      <c r="RE14" s="235"/>
      <c r="RF14" s="235"/>
      <c r="RG14" s="235"/>
      <c r="RH14" s="235"/>
      <c r="RI14" s="235"/>
      <c r="RJ14" s="235"/>
      <c r="RK14" s="235"/>
      <c r="RL14" s="235"/>
      <c r="RM14" s="235"/>
      <c r="RN14" s="235"/>
      <c r="RO14" s="235"/>
      <c r="RP14" s="235"/>
      <c r="RQ14" s="235"/>
      <c r="RR14" s="235"/>
      <c r="RS14" s="235"/>
      <c r="RT14" s="235"/>
      <c r="RU14" s="235"/>
      <c r="RV14" s="235"/>
      <c r="RW14" s="235"/>
      <c r="RX14" s="235"/>
      <c r="RY14" s="235"/>
      <c r="RZ14" s="235"/>
      <c r="SA14" s="235"/>
      <c r="SB14" s="235"/>
      <c r="SC14" s="235"/>
      <c r="SD14" s="235"/>
      <c r="SE14" s="235"/>
      <c r="SF14" s="235"/>
      <c r="SG14" s="235"/>
      <c r="SH14" s="235"/>
      <c r="SI14" s="235"/>
      <c r="SJ14" s="235"/>
      <c r="SK14" s="235"/>
      <c r="SL14" s="235"/>
      <c r="SM14" s="235"/>
      <c r="SN14" s="235"/>
      <c r="SO14" s="235"/>
      <c r="SP14" s="235"/>
      <c r="SQ14" s="235"/>
      <c r="SR14" s="235"/>
      <c r="SS14" s="235"/>
      <c r="ST14" s="235"/>
      <c r="SU14" s="235"/>
      <c r="SV14" s="235"/>
      <c r="SW14" s="235"/>
      <c r="SX14" s="235"/>
      <c r="SY14" s="235"/>
      <c r="SZ14" s="235"/>
      <c r="TA14" s="235"/>
      <c r="TB14" s="235"/>
      <c r="TC14" s="235"/>
      <c r="TD14" s="235"/>
      <c r="TE14" s="235"/>
      <c r="TF14" s="235"/>
      <c r="TG14" s="235"/>
      <c r="TH14" s="235"/>
      <c r="TI14" s="235"/>
      <c r="TJ14" s="235"/>
      <c r="TK14" s="235"/>
      <c r="TL14" s="235"/>
      <c r="TM14" s="235"/>
      <c r="TN14" s="235"/>
      <c r="TO14" s="235"/>
      <c r="TP14" s="235"/>
      <c r="TQ14" s="235"/>
      <c r="TR14" s="235"/>
      <c r="TS14" s="235"/>
      <c r="TT14" s="235"/>
      <c r="TU14" s="235"/>
      <c r="TV14" s="235"/>
      <c r="TW14" s="235"/>
      <c r="TX14" s="235"/>
      <c r="TY14" s="235"/>
      <c r="TZ14" s="235"/>
      <c r="UA14" s="235"/>
      <c r="UB14" s="235"/>
      <c r="UC14" s="235"/>
      <c r="UD14" s="235"/>
      <c r="UE14" s="235"/>
      <c r="UF14" s="235"/>
      <c r="UG14" s="235"/>
      <c r="UH14" s="235"/>
      <c r="UI14" s="235"/>
      <c r="UJ14" s="235"/>
      <c r="UK14" s="235"/>
      <c r="UL14" s="235"/>
      <c r="UM14" s="235"/>
      <c r="UN14" s="235"/>
      <c r="UO14" s="235"/>
      <c r="UP14" s="235"/>
      <c r="UQ14" s="235"/>
      <c r="UR14" s="235"/>
      <c r="US14" s="235"/>
      <c r="UT14" s="235"/>
      <c r="UU14" s="235"/>
      <c r="UV14" s="235"/>
      <c r="UW14" s="235"/>
      <c r="UX14" s="235"/>
      <c r="UY14" s="235"/>
      <c r="UZ14" s="235"/>
      <c r="VA14" s="235"/>
      <c r="VB14" s="235"/>
      <c r="VC14" s="235"/>
      <c r="VD14" s="235"/>
      <c r="VE14" s="235"/>
      <c r="VF14" s="235"/>
      <c r="VG14" s="235"/>
      <c r="VH14" s="235"/>
      <c r="VI14" s="235"/>
      <c r="VJ14" s="235"/>
      <c r="VK14" s="235"/>
      <c r="VL14" s="235"/>
      <c r="VM14" s="235"/>
      <c r="VN14" s="235"/>
      <c r="VO14" s="235"/>
      <c r="VP14" s="235"/>
      <c r="VQ14" s="235"/>
      <c r="VR14" s="235"/>
      <c r="VS14" s="235"/>
      <c r="VT14" s="235"/>
      <c r="VU14" s="235"/>
      <c r="VV14" s="235"/>
      <c r="VW14" s="235"/>
      <c r="VX14" s="235"/>
      <c r="VY14" s="235"/>
      <c r="VZ14" s="235"/>
      <c r="WA14" s="235"/>
      <c r="WB14" s="235"/>
      <c r="WC14" s="235"/>
      <c r="WD14" s="235"/>
      <c r="WE14" s="235"/>
      <c r="WF14" s="235"/>
      <c r="WG14" s="235"/>
      <c r="WH14" s="235"/>
      <c r="WI14" s="235"/>
      <c r="WJ14" s="235"/>
      <c r="WK14" s="235"/>
      <c r="WL14" s="235"/>
      <c r="WM14" s="235"/>
      <c r="WN14" s="235"/>
      <c r="WO14" s="235"/>
      <c r="WP14" s="235"/>
      <c r="WQ14" s="235"/>
      <c r="WR14" s="235"/>
      <c r="WS14" s="235"/>
      <c r="WT14" s="235"/>
      <c r="WU14" s="235"/>
      <c r="WV14" s="235"/>
      <c r="WW14" s="235"/>
      <c r="WX14" s="235"/>
      <c r="WY14" s="235"/>
      <c r="WZ14" s="235"/>
      <c r="XA14" s="235"/>
      <c r="XB14" s="235"/>
      <c r="XC14" s="235"/>
      <c r="XD14" s="235"/>
      <c r="XE14" s="235"/>
      <c r="XF14" s="235"/>
      <c r="XG14" s="235"/>
      <c r="XH14" s="235"/>
      <c r="XI14" s="235"/>
      <c r="XJ14" s="235"/>
      <c r="XK14" s="235"/>
      <c r="XL14" s="235"/>
      <c r="XM14" s="235"/>
      <c r="XN14" s="235"/>
      <c r="XO14" s="235"/>
      <c r="XP14" s="235"/>
      <c r="XQ14" s="235"/>
      <c r="XR14" s="235"/>
      <c r="XS14" s="235"/>
      <c r="XT14" s="235"/>
      <c r="XU14" s="235"/>
      <c r="XV14" s="235"/>
      <c r="XW14" s="235"/>
      <c r="XX14" s="235"/>
      <c r="XY14" s="235"/>
      <c r="XZ14" s="235"/>
      <c r="YA14" s="235"/>
      <c r="YB14" s="235"/>
      <c r="YC14" s="235"/>
      <c r="YD14" s="235"/>
      <c r="YE14" s="235"/>
      <c r="YF14" s="235"/>
      <c r="YG14" s="235"/>
      <c r="YH14" s="235"/>
      <c r="YI14" s="235"/>
      <c r="YJ14" s="235"/>
      <c r="YK14" s="235"/>
      <c r="YL14" s="235"/>
      <c r="YM14" s="235"/>
      <c r="YN14" s="235"/>
      <c r="YO14" s="235"/>
      <c r="YP14" s="235"/>
      <c r="YQ14" s="235"/>
      <c r="YR14" s="235"/>
      <c r="YS14" s="235"/>
      <c r="YT14" s="235"/>
      <c r="YU14" s="235"/>
      <c r="YV14" s="235"/>
      <c r="YW14" s="235"/>
      <c r="YX14" s="235"/>
      <c r="YY14" s="235"/>
      <c r="YZ14" s="235"/>
      <c r="ZA14" s="235"/>
      <c r="ZB14" s="235"/>
      <c r="ZC14" s="235"/>
      <c r="ZD14" s="235"/>
      <c r="ZE14" s="235"/>
    </row>
    <row r="15" ht="19.5" customHeight="1">
      <c r="A15" s="236" t="s">
        <v>840</v>
      </c>
      <c r="B15" s="260"/>
      <c r="C15" s="16"/>
      <c r="D15" s="16"/>
      <c r="E15" s="16"/>
      <c r="F15" s="16"/>
      <c r="G15" s="16"/>
      <c r="H15" s="25"/>
      <c r="I15" s="142" t="s">
        <v>844</v>
      </c>
      <c r="J15" s="16"/>
      <c r="K15" s="16"/>
      <c r="L15" s="16"/>
      <c r="M15" s="16"/>
      <c r="N15" s="16"/>
      <c r="O15" s="25"/>
      <c r="P15" s="260" t="s">
        <v>846</v>
      </c>
      <c r="Q15" s="16"/>
      <c r="R15" s="16"/>
      <c r="S15" s="16"/>
      <c r="T15" s="16"/>
      <c r="U15" s="16"/>
      <c r="V15" s="25"/>
      <c r="W15" s="260" t="s">
        <v>848</v>
      </c>
      <c r="X15" s="16"/>
      <c r="Y15" s="16"/>
      <c r="Z15" s="16"/>
      <c r="AA15" s="16"/>
      <c r="AB15" s="16"/>
      <c r="AC15" s="25"/>
      <c r="AD15" s="106" t="s">
        <v>850</v>
      </c>
      <c r="AE15" s="16"/>
      <c r="AF15" s="16"/>
      <c r="AG15" s="16"/>
      <c r="AH15" s="16"/>
      <c r="AI15" s="16"/>
      <c r="AJ15" s="25"/>
      <c r="AK15" s="106" t="s">
        <v>853</v>
      </c>
      <c r="AL15" s="16"/>
      <c r="AM15" s="16"/>
      <c r="AN15" s="16"/>
      <c r="AO15" s="16"/>
      <c r="AP15" s="16"/>
      <c r="AQ15" s="16"/>
      <c r="AR15" s="16"/>
      <c r="AS15" s="16"/>
      <c r="AT15" s="16"/>
      <c r="AU15" s="25"/>
      <c r="AV15" s="151"/>
      <c r="AW15" s="16"/>
      <c r="AX15" s="16"/>
      <c r="AY15" s="16"/>
      <c r="AZ15" s="16"/>
      <c r="BA15" s="16"/>
      <c r="BB15" s="16"/>
      <c r="BC15" s="16"/>
      <c r="BD15" s="16"/>
      <c r="BE15" s="25"/>
      <c r="BF15" s="260" t="s">
        <v>856</v>
      </c>
      <c r="BG15" s="16"/>
      <c r="BH15" s="16"/>
      <c r="BI15" s="16"/>
      <c r="BJ15" s="16"/>
      <c r="BK15" s="16"/>
      <c r="BL15" s="25"/>
      <c r="BM15" s="260" t="s">
        <v>858</v>
      </c>
      <c r="BN15" s="16"/>
      <c r="BO15" s="16"/>
      <c r="BP15" s="16"/>
      <c r="BQ15" s="16"/>
      <c r="BR15" s="16"/>
      <c r="BS15" s="25"/>
      <c r="BT15" s="260" t="s">
        <v>860</v>
      </c>
      <c r="BU15" s="16"/>
      <c r="BV15" s="16"/>
      <c r="BW15" s="16"/>
      <c r="BX15" s="16"/>
      <c r="BY15" s="16"/>
      <c r="BZ15" s="25"/>
      <c r="CA15" s="260" t="s">
        <v>863</v>
      </c>
      <c r="CB15" s="16"/>
      <c r="CC15" s="16"/>
      <c r="CD15" s="16"/>
      <c r="CE15" s="16"/>
      <c r="CF15" s="16"/>
      <c r="CG15" s="25"/>
      <c r="CH15" s="260" t="s">
        <v>866</v>
      </c>
      <c r="CI15" s="16"/>
      <c r="CJ15" s="16"/>
      <c r="CK15" s="16"/>
      <c r="CL15" s="16"/>
      <c r="CM15" s="16"/>
      <c r="CN15" s="25"/>
      <c r="CO15" s="226" t="s">
        <v>869</v>
      </c>
      <c r="CP15" s="16"/>
      <c r="CQ15" s="16"/>
      <c r="CR15" s="16"/>
      <c r="CS15" s="16"/>
      <c r="CT15" s="16"/>
      <c r="CU15" s="25"/>
      <c r="CV15" s="247"/>
      <c r="CW15" s="16"/>
      <c r="CX15" s="16"/>
      <c r="CY15" s="16"/>
      <c r="CZ15" s="16"/>
      <c r="DA15" s="16"/>
      <c r="DB15" s="25"/>
      <c r="DC15" s="247"/>
      <c r="DD15" s="16"/>
      <c r="DE15" s="16"/>
      <c r="DF15" s="16"/>
      <c r="DG15" s="16"/>
      <c r="DH15" s="16"/>
      <c r="DI15" s="25"/>
      <c r="DJ15" s="106" t="s">
        <v>874</v>
      </c>
      <c r="DK15" s="16"/>
      <c r="DL15" s="16"/>
      <c r="DM15" s="16"/>
      <c r="DN15" s="16"/>
      <c r="DO15" s="16"/>
      <c r="DP15" s="25"/>
      <c r="DQ15" s="151"/>
      <c r="DR15" s="16"/>
      <c r="DS15" s="16"/>
      <c r="DT15" s="16"/>
      <c r="DU15" s="16"/>
      <c r="DV15" s="16"/>
      <c r="DW15" s="25"/>
      <c r="DX15" s="262"/>
      <c r="DY15" s="16"/>
      <c r="DZ15" s="16"/>
      <c r="EA15" s="16"/>
      <c r="EB15" s="16"/>
      <c r="EC15" s="16"/>
      <c r="ED15" s="25"/>
      <c r="EE15" s="151"/>
      <c r="EF15" s="16"/>
      <c r="EG15" s="16"/>
      <c r="EH15" s="16"/>
      <c r="EI15" s="16"/>
      <c r="EJ15" s="16"/>
      <c r="EK15" s="25"/>
      <c r="EL15" s="151"/>
      <c r="EM15" s="16"/>
      <c r="EN15" s="16"/>
      <c r="EO15" s="16"/>
      <c r="EP15" s="16"/>
      <c r="EQ15" s="16"/>
      <c r="ER15" s="25"/>
      <c r="ES15" s="106" t="s">
        <v>884</v>
      </c>
      <c r="ET15" s="16"/>
      <c r="EU15" s="16"/>
      <c r="EV15" s="16"/>
      <c r="EW15" s="16"/>
      <c r="EX15" s="16"/>
      <c r="EY15" s="25"/>
      <c r="EZ15" s="257"/>
      <c r="FA15" s="16"/>
      <c r="FB15" s="16"/>
      <c r="FC15" s="16"/>
      <c r="FD15" s="16"/>
      <c r="FE15" s="16"/>
      <c r="FF15" s="25"/>
      <c r="FG15" s="257"/>
      <c r="FH15" s="16"/>
      <c r="FI15" s="16"/>
      <c r="FJ15" s="16"/>
      <c r="FK15" s="16"/>
      <c r="FL15" s="16"/>
      <c r="FM15" s="25"/>
      <c r="FN15" s="264"/>
      <c r="FO15" s="16"/>
      <c r="FP15" s="16"/>
      <c r="FQ15" s="16"/>
      <c r="FR15" s="16"/>
      <c r="FS15" s="16"/>
      <c r="FT15" s="25"/>
      <c r="FU15" s="264"/>
      <c r="FV15" s="16"/>
      <c r="FW15" s="16"/>
      <c r="FX15" s="16"/>
      <c r="FY15" s="16"/>
      <c r="FZ15" s="16"/>
      <c r="GA15" s="25"/>
      <c r="GB15" s="265"/>
      <c r="GC15" s="16"/>
      <c r="GD15" s="16"/>
      <c r="GE15" s="16"/>
      <c r="GF15" s="16"/>
      <c r="GG15" s="16"/>
      <c r="GH15" s="25"/>
      <c r="GI15" s="265"/>
      <c r="GJ15" s="16"/>
      <c r="GK15" s="16"/>
      <c r="GL15" s="16"/>
      <c r="GM15" s="16"/>
      <c r="GN15" s="16"/>
      <c r="GO15" s="25"/>
      <c r="GP15" s="265"/>
      <c r="GQ15" s="16"/>
      <c r="GR15" s="16"/>
      <c r="GS15" s="16"/>
      <c r="GT15" s="16"/>
      <c r="GU15" s="16"/>
      <c r="GV15" s="25"/>
      <c r="GW15" s="264"/>
      <c r="GX15" s="16"/>
      <c r="GY15" s="16"/>
      <c r="GZ15" s="16"/>
      <c r="HA15" s="16"/>
      <c r="HB15" s="16"/>
      <c r="HC15" s="25"/>
      <c r="HD15" s="266"/>
      <c r="HE15" s="16"/>
      <c r="HF15" s="16"/>
      <c r="HG15" s="16"/>
      <c r="HH15" s="16"/>
      <c r="HI15" s="16"/>
      <c r="HJ15" s="25"/>
      <c r="HK15" s="264"/>
      <c r="HL15" s="16"/>
      <c r="HM15" s="16"/>
      <c r="HN15" s="16"/>
      <c r="HO15" s="16"/>
      <c r="HP15" s="16"/>
      <c r="HQ15" s="25"/>
      <c r="HR15" s="266"/>
      <c r="HS15" s="16"/>
      <c r="HT15" s="16"/>
      <c r="HU15" s="16"/>
      <c r="HV15" s="16"/>
      <c r="HW15" s="16"/>
      <c r="HX15" s="25"/>
      <c r="HY15" s="266"/>
      <c r="HZ15" s="16"/>
      <c r="IA15" s="16"/>
      <c r="IB15" s="16"/>
      <c r="IC15" s="16"/>
      <c r="ID15" s="16"/>
      <c r="IE15" s="25"/>
      <c r="IF15" s="268"/>
      <c r="IG15" s="16"/>
      <c r="IH15" s="16"/>
      <c r="II15" s="16"/>
      <c r="IJ15" s="16"/>
      <c r="IK15" s="16"/>
      <c r="IL15" s="25"/>
      <c r="IM15" s="266"/>
      <c r="IN15" s="16"/>
      <c r="IO15" s="16"/>
      <c r="IP15" s="16"/>
      <c r="IQ15" s="16"/>
      <c r="IR15" s="16"/>
      <c r="IS15" s="25"/>
      <c r="IT15" s="264"/>
      <c r="IU15" s="16"/>
      <c r="IV15" s="16"/>
      <c r="IW15" s="16"/>
      <c r="IX15" s="16"/>
      <c r="IY15" s="16"/>
      <c r="IZ15" s="25"/>
      <c r="JA15" s="264"/>
      <c r="JB15" s="16"/>
      <c r="JC15" s="16"/>
      <c r="JD15" s="16"/>
      <c r="JE15" s="16"/>
      <c r="JF15" s="16"/>
      <c r="JG15" s="25"/>
      <c r="JH15" s="264"/>
      <c r="JI15" s="16"/>
      <c r="JJ15" s="16"/>
      <c r="JK15" s="16"/>
      <c r="JL15" s="16"/>
      <c r="JM15" s="16"/>
      <c r="JN15" s="25"/>
      <c r="JO15" s="173"/>
      <c r="JP15" s="16"/>
      <c r="JQ15" s="16"/>
      <c r="JR15" s="16"/>
      <c r="JS15" s="16"/>
      <c r="JT15" s="16"/>
      <c r="JU15" s="25"/>
      <c r="JV15" s="250"/>
      <c r="JW15" s="16"/>
      <c r="JX15" s="16"/>
      <c r="JY15" s="16"/>
      <c r="JZ15" s="16"/>
      <c r="KA15" s="16"/>
      <c r="KB15" s="25"/>
      <c r="KC15" s="250"/>
      <c r="KD15" s="16"/>
      <c r="KE15" s="16"/>
      <c r="KF15" s="16"/>
      <c r="KG15" s="16"/>
      <c r="KH15" s="16"/>
      <c r="KI15" s="25"/>
      <c r="KJ15" s="173"/>
      <c r="KK15" s="16"/>
      <c r="KL15" s="16"/>
      <c r="KM15" s="16"/>
      <c r="KN15" s="16"/>
      <c r="KO15" s="16"/>
      <c r="KP15" s="25"/>
      <c r="KQ15" s="250"/>
      <c r="KR15" s="16"/>
      <c r="KS15" s="16"/>
      <c r="KT15" s="16"/>
      <c r="KU15" s="16"/>
      <c r="KV15" s="16"/>
      <c r="KW15" s="25"/>
      <c r="KX15" s="173"/>
      <c r="KY15" s="16"/>
      <c r="KZ15" s="16"/>
      <c r="LA15" s="16"/>
      <c r="LB15" s="16"/>
      <c r="LC15" s="16"/>
      <c r="LD15" s="25"/>
      <c r="LE15" s="173"/>
      <c r="LF15" s="16"/>
      <c r="LG15" s="16"/>
      <c r="LH15" s="16"/>
      <c r="LI15" s="16"/>
      <c r="LJ15" s="16"/>
      <c r="LK15" s="25"/>
      <c r="LL15" s="151"/>
      <c r="LM15" s="16"/>
      <c r="LN15" s="16"/>
      <c r="LO15" s="16"/>
      <c r="LP15" s="16"/>
      <c r="LQ15" s="16"/>
      <c r="LR15" s="25"/>
      <c r="LS15" s="173"/>
      <c r="LT15" s="16"/>
      <c r="LU15" s="16"/>
      <c r="LV15" s="16"/>
      <c r="LW15" s="16"/>
      <c r="LX15" s="16"/>
      <c r="LY15" s="25"/>
      <c r="LZ15" s="250"/>
      <c r="MA15" s="16"/>
      <c r="MB15" s="16"/>
      <c r="MC15" s="16"/>
      <c r="MD15" s="16"/>
      <c r="ME15" s="16"/>
      <c r="MF15" s="25"/>
      <c r="MG15" s="250"/>
      <c r="MH15" s="16"/>
      <c r="MI15" s="16"/>
      <c r="MJ15" s="16"/>
      <c r="MK15" s="16"/>
      <c r="ML15" s="16"/>
      <c r="MM15" s="25"/>
      <c r="MN15" s="250"/>
      <c r="MO15" s="16"/>
      <c r="MP15" s="16"/>
      <c r="MQ15" s="16"/>
      <c r="MR15" s="16"/>
      <c r="MS15" s="16"/>
      <c r="MT15" s="25"/>
      <c r="MU15" s="250"/>
      <c r="MV15" s="16"/>
      <c r="MW15" s="16"/>
      <c r="MX15" s="16"/>
      <c r="MY15" s="16"/>
      <c r="MZ15" s="16"/>
      <c r="NA15" s="25"/>
      <c r="NB15" s="273"/>
      <c r="NC15" s="274"/>
      <c r="ND15" s="274"/>
      <c r="NE15" s="274"/>
      <c r="NF15" s="274"/>
      <c r="NG15" s="274"/>
      <c r="NH15" s="274"/>
      <c r="NI15" s="274"/>
      <c r="NJ15" s="274"/>
      <c r="NK15" s="274"/>
      <c r="NL15" s="274"/>
      <c r="NM15" s="274"/>
      <c r="NN15" s="274"/>
      <c r="NO15" s="274"/>
      <c r="NP15" s="274"/>
      <c r="NQ15" s="274"/>
      <c r="NR15" s="274"/>
      <c r="NS15" s="274"/>
      <c r="NT15" s="274"/>
      <c r="NU15" s="274"/>
      <c r="NV15" s="274"/>
      <c r="NW15" s="274"/>
      <c r="NX15" s="274"/>
      <c r="NY15" s="274"/>
      <c r="NZ15" s="274"/>
      <c r="OA15" s="274"/>
      <c r="OB15" s="274"/>
      <c r="OC15" s="274"/>
      <c r="OD15" s="274"/>
      <c r="OE15" s="274"/>
      <c r="OF15" s="274"/>
      <c r="OG15" s="274"/>
      <c r="OH15" s="274"/>
      <c r="OI15" s="274"/>
      <c r="OJ15" s="274"/>
      <c r="OK15" s="274"/>
      <c r="OL15" s="274"/>
      <c r="OM15" s="274"/>
      <c r="ON15" s="274"/>
      <c r="OO15" s="274"/>
      <c r="OP15" s="274"/>
      <c r="OQ15" s="274"/>
      <c r="OR15" s="274"/>
      <c r="OS15" s="274"/>
      <c r="OT15" s="274"/>
      <c r="OU15" s="274"/>
      <c r="OV15" s="274"/>
      <c r="OW15" s="274"/>
      <c r="OX15" s="274"/>
      <c r="OY15" s="274"/>
      <c r="OZ15" s="274"/>
      <c r="PA15" s="274"/>
      <c r="PB15" s="274"/>
      <c r="PC15" s="274"/>
      <c r="PD15" s="274"/>
      <c r="PE15" s="274"/>
      <c r="PF15" s="274"/>
      <c r="PG15" s="274"/>
      <c r="PH15" s="274"/>
      <c r="PI15" s="274"/>
      <c r="PJ15" s="274"/>
      <c r="PK15" s="274"/>
      <c r="PL15" s="274"/>
      <c r="PM15" s="274"/>
      <c r="PN15" s="274"/>
      <c r="PO15" s="274"/>
      <c r="PP15" s="274"/>
      <c r="PQ15" s="274"/>
      <c r="PR15" s="274"/>
      <c r="PS15" s="274"/>
      <c r="PT15" s="274"/>
      <c r="PU15" s="274"/>
      <c r="PV15" s="274"/>
      <c r="PW15" s="274"/>
      <c r="PX15" s="274"/>
      <c r="PY15" s="274"/>
      <c r="PZ15" s="274"/>
      <c r="QA15" s="274"/>
      <c r="QB15" s="274"/>
      <c r="QC15" s="274"/>
      <c r="QD15" s="274"/>
      <c r="QE15" s="274"/>
      <c r="QF15" s="274"/>
      <c r="QG15" s="274"/>
      <c r="QH15" s="274"/>
      <c r="QI15" s="274"/>
      <c r="QJ15" s="274"/>
      <c r="QK15" s="274"/>
      <c r="QL15" s="274"/>
      <c r="QM15" s="274"/>
      <c r="QN15" s="274"/>
      <c r="QO15" s="274"/>
      <c r="QP15" s="274"/>
      <c r="QQ15" s="274"/>
      <c r="QR15" s="274"/>
      <c r="QS15" s="274"/>
      <c r="QT15" s="274"/>
      <c r="QU15" s="274"/>
      <c r="QV15" s="274"/>
      <c r="QW15" s="274"/>
      <c r="QX15" s="274"/>
      <c r="QY15" s="274"/>
      <c r="QZ15" s="274"/>
      <c r="RA15" s="274"/>
      <c r="RB15" s="274"/>
      <c r="RC15" s="274"/>
      <c r="RD15" s="274"/>
      <c r="RE15" s="274"/>
      <c r="RF15" s="274"/>
      <c r="RG15" s="274"/>
      <c r="RH15" s="274"/>
      <c r="RI15" s="274"/>
      <c r="RJ15" s="274"/>
      <c r="RK15" s="274"/>
      <c r="RL15" s="274"/>
      <c r="RM15" s="274"/>
      <c r="RN15" s="274"/>
      <c r="RO15" s="274"/>
      <c r="RP15" s="274"/>
      <c r="RQ15" s="274"/>
      <c r="RR15" s="274"/>
      <c r="RS15" s="274"/>
      <c r="RT15" s="274"/>
      <c r="RU15" s="274"/>
      <c r="RV15" s="274"/>
      <c r="RW15" s="274"/>
      <c r="RX15" s="274"/>
      <c r="RY15" s="274"/>
      <c r="RZ15" s="274"/>
      <c r="SA15" s="274"/>
      <c r="SB15" s="274"/>
      <c r="SC15" s="274"/>
      <c r="SD15" s="274"/>
      <c r="SE15" s="274"/>
      <c r="SF15" s="274"/>
      <c r="SG15" s="274"/>
      <c r="SH15" s="274"/>
      <c r="SI15" s="274"/>
      <c r="SJ15" s="274"/>
      <c r="SK15" s="274"/>
      <c r="SL15" s="274"/>
      <c r="SM15" s="274"/>
      <c r="SN15" s="274"/>
      <c r="SO15" s="274"/>
      <c r="SP15" s="274"/>
      <c r="SQ15" s="274"/>
      <c r="SR15" s="274"/>
      <c r="SS15" s="274"/>
      <c r="ST15" s="274"/>
      <c r="SU15" s="274"/>
      <c r="SV15" s="274"/>
      <c r="SW15" s="274"/>
      <c r="SX15" s="274"/>
      <c r="SY15" s="274"/>
      <c r="SZ15" s="274"/>
      <c r="TA15" s="274"/>
      <c r="TB15" s="274"/>
      <c r="TC15" s="274"/>
      <c r="TD15" s="274"/>
      <c r="TE15" s="274"/>
      <c r="TF15" s="274"/>
      <c r="TG15" s="274"/>
      <c r="TH15" s="274"/>
      <c r="TI15" s="274"/>
      <c r="TJ15" s="274"/>
      <c r="TK15" s="274"/>
      <c r="TL15" s="274"/>
      <c r="TM15" s="274"/>
      <c r="TN15" s="274"/>
      <c r="TO15" s="274"/>
      <c r="TP15" s="274"/>
      <c r="TQ15" s="274"/>
      <c r="TR15" s="274"/>
      <c r="TS15" s="274"/>
      <c r="TT15" s="274"/>
      <c r="TU15" s="274"/>
      <c r="TV15" s="274"/>
      <c r="TW15" s="274"/>
      <c r="TX15" s="274"/>
      <c r="TY15" s="274"/>
      <c r="TZ15" s="274"/>
      <c r="UA15" s="274"/>
      <c r="UB15" s="274"/>
      <c r="UC15" s="274"/>
      <c r="UD15" s="274"/>
      <c r="UE15" s="274"/>
      <c r="UF15" s="274"/>
      <c r="UG15" s="274"/>
      <c r="UH15" s="274"/>
      <c r="UI15" s="274"/>
      <c r="UJ15" s="274"/>
      <c r="UK15" s="274"/>
      <c r="UL15" s="274"/>
      <c r="UM15" s="274"/>
      <c r="UN15" s="274"/>
      <c r="UO15" s="274"/>
      <c r="UP15" s="274"/>
      <c r="UQ15" s="274"/>
      <c r="UR15" s="274"/>
      <c r="US15" s="274"/>
      <c r="UT15" s="274"/>
      <c r="UU15" s="274"/>
      <c r="UV15" s="274"/>
      <c r="UW15" s="274"/>
      <c r="UX15" s="274"/>
      <c r="UY15" s="274"/>
      <c r="UZ15" s="274"/>
      <c r="VA15" s="274"/>
      <c r="VB15" s="274"/>
      <c r="VC15" s="274"/>
      <c r="VD15" s="274"/>
      <c r="VE15" s="274"/>
      <c r="VF15" s="274"/>
      <c r="VG15" s="274"/>
      <c r="VH15" s="274"/>
      <c r="VI15" s="274"/>
      <c r="VJ15" s="274"/>
      <c r="VK15" s="274"/>
      <c r="VL15" s="274"/>
      <c r="VM15" s="274"/>
      <c r="VN15" s="274"/>
      <c r="VO15" s="274"/>
      <c r="VP15" s="274"/>
      <c r="VQ15" s="274"/>
      <c r="VR15" s="274"/>
      <c r="VS15" s="274"/>
      <c r="VT15" s="274"/>
      <c r="VU15" s="274"/>
      <c r="VV15" s="274"/>
      <c r="VW15" s="274"/>
      <c r="VX15" s="274"/>
      <c r="VY15" s="274"/>
      <c r="VZ15" s="274"/>
      <c r="WA15" s="274"/>
      <c r="WB15" s="274"/>
      <c r="WC15" s="274"/>
      <c r="WD15" s="274"/>
      <c r="WE15" s="274"/>
      <c r="WF15" s="274"/>
      <c r="WG15" s="274"/>
      <c r="WH15" s="274"/>
      <c r="WI15" s="274"/>
      <c r="WJ15" s="274"/>
      <c r="WK15" s="274"/>
      <c r="WL15" s="274"/>
      <c r="WM15" s="274"/>
      <c r="WN15" s="274"/>
      <c r="WO15" s="274"/>
      <c r="WP15" s="274"/>
      <c r="WQ15" s="274"/>
      <c r="WR15" s="274"/>
      <c r="WS15" s="274"/>
      <c r="WT15" s="274"/>
      <c r="WU15" s="274"/>
      <c r="WV15" s="274"/>
      <c r="WW15" s="274"/>
      <c r="WX15" s="274"/>
      <c r="WY15" s="274"/>
      <c r="WZ15" s="274"/>
      <c r="XA15" s="274"/>
      <c r="XB15" s="274"/>
      <c r="XC15" s="274"/>
      <c r="XD15" s="274"/>
      <c r="XE15" s="274"/>
      <c r="XF15" s="274"/>
      <c r="XG15" s="274"/>
      <c r="XH15" s="274"/>
      <c r="XI15" s="274"/>
      <c r="XJ15" s="274"/>
      <c r="XK15" s="274"/>
      <c r="XL15" s="274"/>
      <c r="XM15" s="274"/>
      <c r="XN15" s="274"/>
      <c r="XO15" s="274"/>
      <c r="XP15" s="274"/>
      <c r="XQ15" s="274"/>
      <c r="XR15" s="274"/>
      <c r="XS15" s="274"/>
      <c r="XT15" s="274"/>
      <c r="XU15" s="274"/>
      <c r="XV15" s="274"/>
      <c r="XW15" s="274"/>
      <c r="XX15" s="274"/>
      <c r="XY15" s="274"/>
      <c r="XZ15" s="274"/>
      <c r="YA15" s="274"/>
      <c r="YB15" s="274"/>
      <c r="YC15" s="274"/>
      <c r="YD15" s="274"/>
      <c r="YE15" s="274"/>
      <c r="YF15" s="274"/>
      <c r="YG15" s="274"/>
      <c r="YH15" s="274"/>
      <c r="YI15" s="274"/>
      <c r="YJ15" s="274"/>
      <c r="YK15" s="274"/>
      <c r="YL15" s="274"/>
      <c r="YM15" s="274"/>
      <c r="YN15" s="274"/>
      <c r="YO15" s="274"/>
      <c r="YP15" s="274"/>
      <c r="YQ15" s="274"/>
      <c r="YR15" s="274"/>
      <c r="YS15" s="274"/>
      <c r="YT15" s="274"/>
      <c r="YU15" s="274"/>
      <c r="YV15" s="274"/>
      <c r="YW15" s="274"/>
      <c r="YX15" s="274"/>
      <c r="YY15" s="274"/>
      <c r="YZ15" s="274"/>
      <c r="ZA15" s="274"/>
      <c r="ZB15" s="274"/>
      <c r="ZC15" s="274"/>
      <c r="ZD15" s="274"/>
      <c r="ZE15" s="274"/>
    </row>
    <row r="16">
      <c r="A16" s="33" t="s">
        <v>927</v>
      </c>
      <c r="B16" s="275"/>
      <c r="I16" s="275"/>
      <c r="P16" s="275"/>
      <c r="W16" s="275"/>
      <c r="AD16" s="275"/>
      <c r="AK16" s="275"/>
      <c r="AR16" s="275"/>
      <c r="AY16" s="275"/>
      <c r="BF16" s="275"/>
      <c r="BM16" s="275"/>
      <c r="BT16" s="275"/>
      <c r="CA16" s="275"/>
      <c r="CH16" s="275"/>
      <c r="CO16" s="275"/>
      <c r="CV16" s="275"/>
      <c r="DC16" s="276"/>
      <c r="DD16" s="23"/>
      <c r="DE16" s="23"/>
      <c r="DF16" s="23"/>
      <c r="DG16" s="23"/>
      <c r="DH16" s="23"/>
      <c r="DI16" s="23"/>
      <c r="DJ16" s="276"/>
      <c r="DK16" s="23"/>
      <c r="DL16" s="23"/>
      <c r="DM16" s="23"/>
      <c r="DN16" s="23"/>
      <c r="DO16" s="23"/>
      <c r="DP16" s="23"/>
      <c r="DQ16" s="276"/>
      <c r="DR16" s="23"/>
      <c r="DS16" s="23"/>
      <c r="DT16" s="23"/>
      <c r="DU16" s="23"/>
      <c r="DV16" s="23"/>
      <c r="DW16" s="23"/>
      <c r="DX16" s="276"/>
      <c r="DY16" s="23"/>
      <c r="DZ16" s="23"/>
      <c r="EA16" s="23"/>
      <c r="EB16" s="23"/>
      <c r="EC16" s="23"/>
      <c r="ED16" s="23"/>
      <c r="EE16" s="276"/>
      <c r="EF16" s="23"/>
      <c r="EG16" s="23"/>
      <c r="EH16" s="23"/>
      <c r="EI16" s="23"/>
      <c r="EJ16" s="23"/>
      <c r="EK16" s="23"/>
      <c r="EL16" s="276"/>
      <c r="EM16" s="23"/>
      <c r="EN16" s="23"/>
      <c r="EO16" s="23"/>
      <c r="EP16" s="23"/>
      <c r="EQ16" s="23"/>
      <c r="ER16" s="23"/>
      <c r="ES16" s="276"/>
      <c r="ET16" s="23"/>
      <c r="EU16" s="23"/>
      <c r="EV16" s="23"/>
      <c r="EW16" s="23"/>
      <c r="EX16" s="23"/>
      <c r="EY16" s="23"/>
      <c r="EZ16" s="276"/>
      <c r="FA16" s="23"/>
      <c r="FB16" s="23"/>
      <c r="FC16" s="23"/>
      <c r="FD16" s="23"/>
      <c r="FE16" s="23"/>
      <c r="FF16" s="23"/>
      <c r="FG16" s="276"/>
      <c r="FH16" s="23"/>
      <c r="FI16" s="23"/>
      <c r="FJ16" s="23"/>
      <c r="FK16" s="23"/>
      <c r="FL16" s="23"/>
      <c r="FM16" s="23"/>
      <c r="FN16" s="276"/>
      <c r="FO16" s="23"/>
      <c r="FP16" s="23"/>
      <c r="FQ16" s="23"/>
      <c r="FR16" s="23"/>
      <c r="FS16" s="23"/>
      <c r="FT16" s="23"/>
      <c r="FU16" s="276"/>
      <c r="FV16" s="23"/>
      <c r="FW16" s="23"/>
      <c r="FX16" s="23"/>
      <c r="FY16" s="23"/>
      <c r="FZ16" s="23"/>
      <c r="GA16" s="23"/>
      <c r="GB16" s="276"/>
      <c r="GC16" s="23"/>
      <c r="GD16" s="23"/>
      <c r="GE16" s="23"/>
      <c r="GF16" s="23"/>
      <c r="GG16" s="23"/>
      <c r="GH16" s="23"/>
      <c r="GI16" s="276"/>
      <c r="GJ16" s="23"/>
      <c r="GK16" s="23"/>
      <c r="GL16" s="23"/>
      <c r="GM16" s="23"/>
      <c r="GN16" s="23"/>
      <c r="GO16" s="23"/>
      <c r="GP16" s="276"/>
      <c r="GQ16" s="23"/>
      <c r="GR16" s="23"/>
      <c r="GS16" s="23"/>
      <c r="GT16" s="23"/>
      <c r="GU16" s="23"/>
      <c r="GV16" s="23"/>
      <c r="GW16" s="276"/>
      <c r="GX16" s="23"/>
      <c r="GY16" s="23"/>
      <c r="GZ16" s="23"/>
      <c r="HA16" s="23"/>
      <c r="HB16" s="23"/>
      <c r="HC16" s="23"/>
      <c r="HD16" s="276"/>
      <c r="HE16" s="23"/>
      <c r="HF16" s="23"/>
      <c r="HG16" s="23"/>
      <c r="HH16" s="23"/>
      <c r="HI16" s="23"/>
      <c r="HJ16" s="23"/>
      <c r="HK16" s="276"/>
      <c r="HL16" s="23"/>
      <c r="HM16" s="23"/>
      <c r="HN16" s="23"/>
      <c r="HO16" s="23"/>
      <c r="HP16" s="23"/>
      <c r="HQ16" s="23"/>
      <c r="HR16" s="276"/>
      <c r="HS16" s="23"/>
      <c r="HT16" s="23"/>
      <c r="HU16" s="23"/>
      <c r="HV16" s="23"/>
      <c r="HW16" s="23"/>
      <c r="HX16" s="23"/>
      <c r="HY16" s="276"/>
      <c r="HZ16" s="23"/>
      <c r="IA16" s="23"/>
      <c r="IB16" s="23"/>
      <c r="IC16" s="23"/>
      <c r="ID16" s="23"/>
      <c r="IE16" s="23"/>
      <c r="IF16" s="276"/>
      <c r="IG16" s="23"/>
      <c r="IH16" s="23"/>
      <c r="II16" s="23"/>
      <c r="IJ16" s="23"/>
      <c r="IK16" s="23"/>
      <c r="IL16" s="23"/>
      <c r="IM16" s="276"/>
      <c r="IN16" s="23"/>
      <c r="IO16" s="23"/>
      <c r="IP16" s="23"/>
      <c r="IQ16" s="23"/>
      <c r="IR16" s="23"/>
      <c r="IS16" s="23"/>
      <c r="IT16" s="276"/>
      <c r="IU16" s="23"/>
      <c r="IV16" s="23"/>
      <c r="IW16" s="23"/>
      <c r="IX16" s="23"/>
      <c r="IY16" s="23"/>
      <c r="IZ16" s="23"/>
      <c r="JA16" s="276"/>
      <c r="JB16" s="23"/>
      <c r="JC16" s="23"/>
      <c r="JD16" s="23"/>
      <c r="JE16" s="23"/>
      <c r="JF16" s="23"/>
      <c r="JG16" s="23"/>
      <c r="JH16" s="276"/>
      <c r="JI16" s="23"/>
      <c r="JJ16" s="23"/>
      <c r="JK16" s="23"/>
      <c r="JL16" s="23"/>
      <c r="JM16" s="23"/>
      <c r="JN16" s="23"/>
      <c r="JO16" s="278"/>
      <c r="JP16" s="23"/>
      <c r="JQ16" s="23"/>
      <c r="JR16" s="23"/>
      <c r="JS16" s="23"/>
      <c r="JT16" s="23"/>
      <c r="JU16" s="23"/>
      <c r="JV16" s="276"/>
      <c r="JW16" s="23"/>
      <c r="JX16" s="23"/>
      <c r="JY16" s="23"/>
      <c r="JZ16" s="23"/>
      <c r="KA16" s="23"/>
      <c r="KB16" s="23"/>
      <c r="KC16" s="276"/>
      <c r="KD16" s="23"/>
      <c r="KE16" s="23"/>
      <c r="KF16" s="23"/>
      <c r="KG16" s="23"/>
      <c r="KH16" s="23"/>
      <c r="KI16" s="23"/>
      <c r="KJ16" s="276"/>
      <c r="KK16" s="23"/>
      <c r="KL16" s="23"/>
      <c r="KM16" s="23"/>
      <c r="KN16" s="23"/>
      <c r="KO16" s="23"/>
      <c r="KP16" s="23"/>
      <c r="KQ16" s="276"/>
      <c r="KR16" s="23"/>
      <c r="KS16" s="23"/>
      <c r="KT16" s="23"/>
      <c r="KU16" s="23"/>
      <c r="KV16" s="23"/>
      <c r="KW16" s="23"/>
      <c r="KX16" s="276"/>
      <c r="KY16" s="23"/>
      <c r="KZ16" s="23"/>
      <c r="LA16" s="23"/>
      <c r="LB16" s="23"/>
      <c r="LC16" s="23"/>
      <c r="LD16" s="23"/>
      <c r="LE16" s="276"/>
      <c r="LF16" s="23"/>
      <c r="LG16" s="23"/>
      <c r="LH16" s="23"/>
      <c r="LI16" s="23"/>
      <c r="LJ16" s="23"/>
      <c r="LK16" s="23"/>
      <c r="LL16" s="276"/>
      <c r="LM16" s="23"/>
      <c r="LN16" s="23"/>
      <c r="LO16" s="23"/>
      <c r="LP16" s="23"/>
      <c r="LQ16" s="23"/>
      <c r="LR16" s="23"/>
      <c r="LS16" s="276"/>
      <c r="LT16" s="23"/>
      <c r="LU16" s="23"/>
      <c r="LV16" s="23"/>
      <c r="LW16" s="23"/>
      <c r="LX16" s="23"/>
      <c r="LY16" s="23"/>
      <c r="LZ16" s="276"/>
      <c r="MA16" s="23"/>
      <c r="MB16" s="23"/>
      <c r="MC16" s="23"/>
      <c r="MD16" s="23"/>
      <c r="ME16" s="23"/>
      <c r="MF16" s="23"/>
      <c r="MG16" s="276"/>
      <c r="MH16" s="23"/>
      <c r="MI16" s="23"/>
      <c r="MJ16" s="23"/>
      <c r="MK16" s="23"/>
      <c r="ML16" s="23"/>
      <c r="MM16" s="23"/>
      <c r="MN16" s="276"/>
      <c r="MO16" s="23"/>
      <c r="MP16" s="23"/>
      <c r="MQ16" s="23"/>
      <c r="MR16" s="23"/>
      <c r="MS16" s="23"/>
      <c r="MT16" s="23"/>
      <c r="MU16" s="276"/>
      <c r="MV16" s="23"/>
      <c r="MW16" s="23"/>
      <c r="MX16" s="23"/>
      <c r="MY16" s="23"/>
      <c r="MZ16" s="23"/>
      <c r="NA16" s="23"/>
      <c r="NB16" s="275"/>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82"/>
      <c r="SK16" s="282"/>
      <c r="SL16" s="282"/>
      <c r="SM16" s="282"/>
      <c r="SN16" s="282"/>
      <c r="SO16" s="282"/>
      <c r="SP16" s="282"/>
      <c r="SQ16" s="282"/>
      <c r="SR16" s="282"/>
      <c r="SS16" s="282"/>
      <c r="ST16" s="282"/>
      <c r="SU16" s="282"/>
      <c r="SV16" s="282"/>
      <c r="SW16" s="282"/>
      <c r="SX16" s="282"/>
      <c r="SY16" s="282"/>
      <c r="SZ16" s="282"/>
      <c r="TA16" s="282"/>
      <c r="TB16" s="282"/>
      <c r="TC16" s="282"/>
      <c r="TD16" s="282"/>
      <c r="TE16" s="282"/>
      <c r="TF16" s="282"/>
      <c r="TG16" s="282"/>
      <c r="TH16" s="282"/>
      <c r="TI16" s="282"/>
      <c r="TJ16" s="282"/>
      <c r="TK16" s="282"/>
      <c r="TL16" s="282"/>
      <c r="TM16" s="282"/>
      <c r="TN16" s="282"/>
      <c r="TO16" s="282"/>
      <c r="TP16" s="282"/>
      <c r="TQ16" s="282"/>
      <c r="TR16" s="282"/>
      <c r="TS16" s="282"/>
      <c r="TT16" s="282"/>
      <c r="TU16" s="282"/>
      <c r="TV16" s="282"/>
      <c r="TW16" s="282"/>
      <c r="TX16" s="282"/>
      <c r="TY16" s="282"/>
      <c r="TZ16" s="282"/>
      <c r="UA16" s="282"/>
      <c r="UB16" s="282"/>
      <c r="UC16" s="282"/>
      <c r="UD16" s="282"/>
      <c r="UE16" s="282"/>
      <c r="UF16" s="282"/>
      <c r="UG16" s="282"/>
      <c r="UH16" s="282"/>
      <c r="UI16" s="282"/>
      <c r="UJ16" s="282"/>
      <c r="UK16" s="282"/>
      <c r="UL16" s="282"/>
      <c r="UM16" s="282"/>
      <c r="UN16" s="282"/>
      <c r="UO16" s="282"/>
      <c r="UP16" s="282"/>
      <c r="UQ16" s="282"/>
      <c r="UR16" s="282"/>
      <c r="US16" s="282"/>
      <c r="UT16" s="282"/>
      <c r="UU16" s="282"/>
      <c r="UV16" s="282"/>
      <c r="UW16" s="282"/>
      <c r="UX16" s="282"/>
      <c r="UY16" s="282"/>
      <c r="UZ16" s="282"/>
      <c r="VA16" s="282"/>
      <c r="VB16" s="282"/>
      <c r="VC16" s="282"/>
      <c r="VD16" s="282"/>
      <c r="VE16" s="282"/>
      <c r="VF16" s="282"/>
      <c r="VG16" s="282"/>
      <c r="VH16" s="282"/>
      <c r="VI16" s="282"/>
      <c r="VJ16" s="282"/>
      <c r="VK16" s="282"/>
      <c r="VL16" s="282"/>
      <c r="VM16" s="282"/>
      <c r="VN16" s="282"/>
      <c r="VO16" s="282"/>
      <c r="VP16" s="282"/>
      <c r="VQ16" s="282"/>
      <c r="VR16" s="282"/>
      <c r="VS16" s="282"/>
      <c r="VT16" s="282"/>
      <c r="VU16" s="282"/>
      <c r="VV16" s="282"/>
      <c r="VW16" s="282"/>
      <c r="VX16" s="282"/>
      <c r="VY16" s="282"/>
      <c r="VZ16" s="282"/>
      <c r="WA16" s="282"/>
      <c r="WB16" s="282"/>
      <c r="WC16" s="282"/>
      <c r="WD16" s="282"/>
      <c r="WE16" s="282"/>
      <c r="WF16" s="282"/>
      <c r="WG16" s="282"/>
      <c r="WH16" s="282"/>
      <c r="WI16" s="282"/>
      <c r="WJ16" s="282"/>
      <c r="WK16" s="282"/>
      <c r="WL16" s="282"/>
      <c r="WM16" s="282"/>
      <c r="WN16" s="282"/>
      <c r="WO16" s="282"/>
      <c r="WP16" s="282"/>
      <c r="WQ16" s="282"/>
      <c r="WR16" s="282"/>
      <c r="WS16" s="282"/>
      <c r="WT16" s="282"/>
      <c r="WU16" s="282"/>
      <c r="WV16" s="282"/>
      <c r="WW16" s="282"/>
      <c r="WX16" s="282"/>
      <c r="WY16" s="282"/>
      <c r="WZ16" s="282"/>
      <c r="XA16" s="282"/>
      <c r="XB16" s="282"/>
      <c r="XC16" s="282"/>
      <c r="XD16" s="282"/>
      <c r="XE16" s="282"/>
      <c r="XF16" s="282"/>
      <c r="XG16" s="282"/>
      <c r="XH16" s="282"/>
      <c r="XI16" s="282"/>
      <c r="XJ16" s="282"/>
      <c r="XK16" s="282"/>
      <c r="XL16" s="282"/>
      <c r="XM16" s="282"/>
      <c r="XN16" s="282"/>
      <c r="XO16" s="282"/>
      <c r="XP16" s="282"/>
      <c r="XQ16" s="282"/>
      <c r="XR16" s="282"/>
      <c r="XS16" s="282"/>
      <c r="XT16" s="282"/>
      <c r="XU16" s="282"/>
      <c r="XV16" s="282"/>
      <c r="XW16" s="282"/>
      <c r="XX16" s="282"/>
      <c r="XY16" s="282"/>
      <c r="XZ16" s="282"/>
      <c r="YA16" s="282"/>
      <c r="YB16" s="282"/>
      <c r="YC16" s="282"/>
      <c r="YD16" s="282"/>
      <c r="YE16" s="282"/>
      <c r="YF16" s="282"/>
      <c r="YG16" s="282"/>
      <c r="YH16" s="282"/>
      <c r="YI16" s="282"/>
      <c r="YJ16" s="282"/>
      <c r="YK16" s="282"/>
      <c r="YL16" s="282"/>
      <c r="YM16" s="282"/>
      <c r="YN16" s="282"/>
      <c r="YO16" s="282"/>
      <c r="YP16" s="282"/>
      <c r="YQ16" s="282"/>
      <c r="YR16" s="282"/>
      <c r="YS16" s="282"/>
      <c r="YT16" s="282"/>
      <c r="YU16" s="282"/>
      <c r="YV16" s="282"/>
      <c r="YW16" s="282"/>
      <c r="YX16" s="282"/>
      <c r="YY16" s="282"/>
      <c r="YZ16" s="282"/>
      <c r="ZA16" s="282"/>
      <c r="ZB16" s="282"/>
      <c r="ZC16" s="282"/>
      <c r="ZD16" s="282"/>
      <c r="ZE16" s="282"/>
    </row>
    <row r="17">
      <c r="A17" s="156" t="s">
        <v>811</v>
      </c>
      <c r="B17" s="283"/>
      <c r="C17" s="16"/>
      <c r="D17" s="16"/>
      <c r="E17" s="16"/>
      <c r="F17" s="16"/>
      <c r="G17" s="16"/>
      <c r="H17" s="25"/>
      <c r="I17" s="283"/>
      <c r="J17" s="16"/>
      <c r="K17" s="16"/>
      <c r="L17" s="16"/>
      <c r="M17" s="16"/>
      <c r="N17" s="16"/>
      <c r="O17" s="25"/>
      <c r="P17" s="283"/>
      <c r="Q17" s="16"/>
      <c r="R17" s="16"/>
      <c r="S17" s="16"/>
      <c r="T17" s="16"/>
      <c r="U17" s="16"/>
      <c r="V17" s="25"/>
      <c r="W17" s="283"/>
      <c r="X17" s="16"/>
      <c r="Y17" s="16"/>
      <c r="Z17" s="16"/>
      <c r="AA17" s="16"/>
      <c r="AB17" s="16"/>
      <c r="AC17" s="25"/>
      <c r="AD17" s="283"/>
      <c r="AE17" s="16"/>
      <c r="AF17" s="16"/>
      <c r="AG17" s="16"/>
      <c r="AH17" s="16"/>
      <c r="AI17" s="16"/>
      <c r="AJ17" s="25"/>
      <c r="AK17" s="283"/>
      <c r="AL17" s="16"/>
      <c r="AM17" s="16"/>
      <c r="AN17" s="16"/>
      <c r="AO17" s="16"/>
      <c r="AP17" s="16"/>
      <c r="AQ17" s="25"/>
      <c r="AR17" s="283"/>
      <c r="AS17" s="16"/>
      <c r="AT17" s="16"/>
      <c r="AU17" s="16"/>
      <c r="AV17" s="16"/>
      <c r="AW17" s="16"/>
      <c r="AX17" s="25"/>
      <c r="AY17" s="283"/>
      <c r="AZ17" s="16"/>
      <c r="BA17" s="16"/>
      <c r="BB17" s="16"/>
      <c r="BC17" s="16"/>
      <c r="BD17" s="16"/>
      <c r="BE17" s="25"/>
      <c r="BF17" s="283"/>
      <c r="BG17" s="16"/>
      <c r="BH17" s="16"/>
      <c r="BI17" s="16"/>
      <c r="BJ17" s="16"/>
      <c r="BK17" s="16"/>
      <c r="BL17" s="25"/>
      <c r="BM17" s="283"/>
      <c r="BN17" s="16"/>
      <c r="BO17" s="16"/>
      <c r="BP17" s="16"/>
      <c r="BQ17" s="16"/>
      <c r="BR17" s="16"/>
      <c r="BS17" s="25"/>
      <c r="BT17" s="283"/>
      <c r="BU17" s="16"/>
      <c r="BV17" s="16"/>
      <c r="BW17" s="16"/>
      <c r="BX17" s="16"/>
      <c r="BY17" s="16"/>
      <c r="BZ17" s="25"/>
      <c r="CA17" s="283"/>
      <c r="CB17" s="16"/>
      <c r="CC17" s="16"/>
      <c r="CD17" s="16"/>
      <c r="CE17" s="16"/>
      <c r="CF17" s="16"/>
      <c r="CG17" s="25"/>
      <c r="CH17" s="283"/>
      <c r="CI17" s="16"/>
      <c r="CJ17" s="16"/>
      <c r="CK17" s="16"/>
      <c r="CL17" s="16"/>
      <c r="CM17" s="16"/>
      <c r="CN17" s="25"/>
      <c r="CO17" s="283"/>
      <c r="CP17" s="16"/>
      <c r="CQ17" s="16"/>
      <c r="CR17" s="16"/>
      <c r="CS17" s="16"/>
      <c r="CT17" s="16"/>
      <c r="CU17" s="25"/>
      <c r="CV17" s="283"/>
      <c r="CW17" s="16"/>
      <c r="CX17" s="16"/>
      <c r="CY17" s="16"/>
      <c r="CZ17" s="16"/>
      <c r="DA17" s="16"/>
      <c r="DB17" s="25"/>
      <c r="DC17" s="285"/>
      <c r="DD17" s="10"/>
      <c r="DE17" s="10"/>
      <c r="DF17" s="10"/>
      <c r="DG17" s="10"/>
      <c r="DH17" s="10"/>
      <c r="DI17" s="121"/>
      <c r="DJ17" s="286"/>
      <c r="DQ17" s="286"/>
      <c r="DX17" s="286"/>
      <c r="EE17" s="286"/>
      <c r="EK17" s="83"/>
      <c r="EL17" s="286"/>
      <c r="ES17" s="286"/>
      <c r="EZ17" s="286"/>
      <c r="FG17" s="286"/>
      <c r="FM17" s="83"/>
      <c r="FN17" s="286"/>
      <c r="FU17" s="286"/>
      <c r="GB17" s="286"/>
      <c r="GI17" s="286"/>
      <c r="GO17" s="83"/>
      <c r="GP17" s="286"/>
      <c r="GW17" s="286"/>
      <c r="HD17" s="286"/>
      <c r="HJ17" s="83"/>
      <c r="HK17" s="286"/>
      <c r="HR17" s="286"/>
      <c r="HY17" s="286"/>
      <c r="IE17" s="83"/>
      <c r="IF17" s="286"/>
      <c r="IM17" s="286"/>
      <c r="IT17" s="286"/>
      <c r="IZ17" s="83"/>
      <c r="JA17" s="286"/>
      <c r="JH17" s="286"/>
      <c r="JN17" s="83"/>
      <c r="JO17" s="287"/>
      <c r="JV17" s="286"/>
      <c r="KC17" s="286"/>
      <c r="KI17" s="83"/>
      <c r="KJ17" s="286"/>
      <c r="KP17" s="83"/>
      <c r="KQ17" s="286"/>
      <c r="KW17" s="83"/>
      <c r="KX17" s="286"/>
      <c r="LE17" s="286"/>
      <c r="LL17" s="286"/>
      <c r="LS17" s="286"/>
      <c r="LZ17" s="286"/>
      <c r="MG17" s="286"/>
      <c r="MN17" s="286"/>
      <c r="MU17" s="286"/>
      <c r="NB17" s="288"/>
      <c r="NC17" s="113"/>
      <c r="ND17" s="113"/>
      <c r="NE17" s="113"/>
      <c r="NF17" s="113"/>
      <c r="NG17" s="113"/>
      <c r="NH17" s="113"/>
      <c r="NI17" s="113"/>
      <c r="NJ17" s="113"/>
      <c r="NK17" s="113"/>
      <c r="NL17" s="113"/>
      <c r="NM17" s="113"/>
      <c r="NN17" s="113"/>
      <c r="NO17" s="113"/>
      <c r="NP17" s="113"/>
      <c r="NQ17" s="113"/>
      <c r="NR17" s="113"/>
      <c r="NS17" s="113"/>
      <c r="NT17" s="113"/>
      <c r="NU17" s="113"/>
      <c r="NV17" s="113"/>
      <c r="NW17" s="113"/>
      <c r="NX17" s="113"/>
      <c r="NY17" s="113"/>
      <c r="NZ17" s="113"/>
      <c r="OA17" s="113"/>
      <c r="OB17" s="113"/>
      <c r="OC17" s="113"/>
      <c r="OD17" s="113"/>
      <c r="OE17" s="113"/>
      <c r="OF17" s="113"/>
      <c r="OG17" s="113"/>
      <c r="OH17" s="113"/>
      <c r="OI17" s="113"/>
      <c r="OJ17" s="113"/>
      <c r="OK17" s="113"/>
      <c r="OL17" s="113"/>
      <c r="OM17" s="113"/>
      <c r="ON17" s="113"/>
      <c r="OO17" s="113"/>
      <c r="OP17" s="113"/>
      <c r="OQ17" s="113"/>
      <c r="OR17" s="113"/>
      <c r="OS17" s="113"/>
      <c r="OT17" s="113"/>
      <c r="OU17" s="113"/>
      <c r="OV17" s="113"/>
      <c r="OW17" s="113"/>
      <c r="OX17" s="113"/>
      <c r="OY17" s="113"/>
      <c r="OZ17" s="113"/>
      <c r="PA17" s="113"/>
      <c r="PB17" s="113"/>
      <c r="PC17" s="113"/>
      <c r="PD17" s="113"/>
      <c r="PE17" s="113"/>
      <c r="PF17" s="113"/>
      <c r="PG17" s="113"/>
      <c r="PH17" s="113"/>
      <c r="PI17" s="113"/>
      <c r="PJ17" s="113"/>
      <c r="PK17" s="113"/>
      <c r="PL17" s="113"/>
      <c r="PM17" s="113"/>
      <c r="PN17" s="113"/>
      <c r="PO17" s="113"/>
      <c r="PP17" s="113"/>
      <c r="PQ17" s="113"/>
      <c r="PR17" s="113"/>
      <c r="PS17" s="113"/>
      <c r="PT17" s="113"/>
      <c r="PU17" s="113"/>
      <c r="PV17" s="113"/>
      <c r="PW17" s="113"/>
      <c r="PX17" s="113"/>
      <c r="PY17" s="113"/>
      <c r="PZ17" s="113"/>
      <c r="QA17" s="113"/>
      <c r="QB17" s="113"/>
      <c r="QC17" s="113"/>
      <c r="QD17" s="113"/>
      <c r="QE17" s="113"/>
      <c r="QF17" s="113"/>
      <c r="QG17" s="113"/>
      <c r="QH17" s="113"/>
      <c r="QI17" s="113"/>
      <c r="QJ17" s="113"/>
      <c r="QK17" s="113"/>
      <c r="QL17" s="113"/>
      <c r="QM17" s="113"/>
      <c r="QN17" s="113"/>
      <c r="QO17" s="113"/>
      <c r="QP17" s="113"/>
      <c r="QQ17" s="113"/>
      <c r="QR17" s="113"/>
      <c r="QS17" s="113"/>
      <c r="QT17" s="113"/>
      <c r="QU17" s="113"/>
      <c r="QV17" s="113"/>
      <c r="QW17" s="113"/>
      <c r="QX17" s="113"/>
      <c r="QY17" s="113"/>
      <c r="QZ17" s="113"/>
      <c r="RA17" s="113"/>
      <c r="RB17" s="113"/>
      <c r="RC17" s="113"/>
      <c r="RD17" s="113"/>
      <c r="RE17" s="113"/>
      <c r="RF17" s="113"/>
      <c r="RG17" s="113"/>
      <c r="RH17" s="113"/>
      <c r="RI17" s="113"/>
      <c r="RJ17" s="113"/>
      <c r="RK17" s="113"/>
      <c r="RL17" s="113"/>
      <c r="RM17" s="113"/>
      <c r="RN17" s="113"/>
      <c r="RO17" s="113"/>
      <c r="RP17" s="113"/>
      <c r="RQ17" s="113"/>
      <c r="RR17" s="113"/>
      <c r="RS17" s="113"/>
      <c r="RT17" s="113"/>
      <c r="RU17" s="113"/>
      <c r="RV17" s="113"/>
      <c r="RW17" s="113"/>
      <c r="RX17" s="113"/>
      <c r="RY17" s="113"/>
      <c r="RZ17" s="113"/>
      <c r="SA17" s="113"/>
      <c r="SB17" s="113"/>
      <c r="SC17" s="113"/>
      <c r="SD17" s="113"/>
      <c r="SE17" s="113"/>
      <c r="SF17" s="113"/>
      <c r="SG17" s="113"/>
      <c r="SH17" s="113"/>
      <c r="SI17" s="113"/>
      <c r="SJ17" s="113"/>
      <c r="SK17" s="113"/>
      <c r="SL17" s="113"/>
      <c r="SM17" s="113"/>
      <c r="SN17" s="113"/>
      <c r="SO17" s="113"/>
      <c r="SP17" s="113"/>
      <c r="SQ17" s="113"/>
      <c r="SR17" s="113"/>
      <c r="SS17" s="113"/>
      <c r="ST17" s="113"/>
      <c r="SU17" s="113"/>
      <c r="SV17" s="113"/>
      <c r="SW17" s="113"/>
      <c r="SX17" s="113"/>
      <c r="SY17" s="113"/>
      <c r="SZ17" s="113"/>
      <c r="TA17" s="113"/>
      <c r="TB17" s="113"/>
      <c r="TC17" s="113"/>
      <c r="TD17" s="113"/>
      <c r="TE17" s="113"/>
      <c r="TF17" s="113"/>
      <c r="TG17" s="113"/>
      <c r="TH17" s="113"/>
      <c r="TI17" s="113"/>
      <c r="TJ17" s="113"/>
      <c r="TK17" s="113"/>
      <c r="TL17" s="113"/>
      <c r="TM17" s="113"/>
      <c r="TN17" s="113"/>
      <c r="TO17" s="113"/>
      <c r="TP17" s="113"/>
      <c r="TQ17" s="113"/>
      <c r="TR17" s="113"/>
      <c r="TS17" s="113"/>
      <c r="TT17" s="113"/>
      <c r="TU17" s="113"/>
      <c r="TV17" s="113"/>
      <c r="TW17" s="113"/>
      <c r="TX17" s="113"/>
      <c r="TY17" s="113"/>
      <c r="TZ17" s="113"/>
      <c r="UA17" s="113"/>
      <c r="UB17" s="113"/>
      <c r="UC17" s="113"/>
      <c r="UD17" s="113"/>
      <c r="UE17" s="113"/>
      <c r="UF17" s="113"/>
      <c r="UG17" s="113"/>
      <c r="UH17" s="113"/>
      <c r="UI17" s="113"/>
      <c r="UJ17" s="113"/>
      <c r="UK17" s="113"/>
      <c r="UL17" s="113"/>
      <c r="UM17" s="113"/>
      <c r="UN17" s="113"/>
      <c r="UO17" s="113"/>
      <c r="UP17" s="113"/>
      <c r="UQ17" s="113"/>
      <c r="UR17" s="113"/>
      <c r="US17" s="113"/>
      <c r="UT17" s="113"/>
      <c r="UU17" s="113"/>
      <c r="UV17" s="113"/>
      <c r="UW17" s="113"/>
      <c r="UX17" s="113"/>
      <c r="UY17" s="113"/>
      <c r="UZ17" s="113"/>
      <c r="VA17" s="113"/>
      <c r="VB17" s="113"/>
      <c r="VC17" s="113"/>
      <c r="VD17" s="113"/>
      <c r="VE17" s="113"/>
      <c r="VF17" s="113"/>
      <c r="VG17" s="113"/>
      <c r="VH17" s="113"/>
      <c r="VI17" s="113"/>
      <c r="VJ17" s="113"/>
      <c r="VK17" s="113"/>
      <c r="VL17" s="113"/>
      <c r="VM17" s="113"/>
      <c r="VN17" s="113"/>
      <c r="VO17" s="113"/>
      <c r="VP17" s="113"/>
      <c r="VQ17" s="113"/>
      <c r="VR17" s="113"/>
      <c r="VS17" s="113"/>
      <c r="VT17" s="113"/>
      <c r="VU17" s="113"/>
      <c r="VV17" s="113"/>
      <c r="VW17" s="113"/>
      <c r="VX17" s="113"/>
      <c r="VY17" s="113"/>
      <c r="VZ17" s="113"/>
      <c r="WA17" s="113"/>
      <c r="WB17" s="113"/>
      <c r="WC17" s="113"/>
      <c r="WD17" s="113"/>
      <c r="WE17" s="113"/>
      <c r="WF17" s="113"/>
      <c r="WG17" s="113"/>
      <c r="WH17" s="113"/>
      <c r="WI17" s="113"/>
      <c r="WJ17" s="113"/>
      <c r="WK17" s="113"/>
      <c r="WL17" s="113"/>
      <c r="WM17" s="113"/>
      <c r="WN17" s="113"/>
      <c r="WO17" s="113"/>
      <c r="WP17" s="113"/>
      <c r="WQ17" s="113"/>
      <c r="WR17" s="113"/>
      <c r="WS17" s="113"/>
      <c r="WT17" s="113"/>
      <c r="WU17" s="113"/>
      <c r="WV17" s="113"/>
      <c r="WW17" s="113"/>
      <c r="WX17" s="113"/>
      <c r="WY17" s="113"/>
      <c r="WZ17" s="113"/>
      <c r="XA17" s="113"/>
      <c r="XB17" s="113"/>
      <c r="XC17" s="113"/>
      <c r="XD17" s="113"/>
      <c r="XE17" s="113"/>
      <c r="XF17" s="113"/>
      <c r="XG17" s="113"/>
      <c r="XH17" s="113"/>
      <c r="XI17" s="113"/>
      <c r="XJ17" s="113"/>
      <c r="XK17" s="113"/>
      <c r="XL17" s="113"/>
      <c r="XM17" s="113"/>
      <c r="XN17" s="113"/>
      <c r="XO17" s="113"/>
      <c r="XP17" s="113"/>
      <c r="XQ17" s="113"/>
      <c r="XR17" s="113"/>
      <c r="XS17" s="113"/>
      <c r="XT17" s="113"/>
      <c r="XU17" s="113"/>
      <c r="XV17" s="113"/>
      <c r="XW17" s="113"/>
      <c r="XX17" s="113"/>
      <c r="XY17" s="113"/>
      <c r="XZ17" s="113"/>
      <c r="YA17" s="113"/>
      <c r="YB17" s="113"/>
      <c r="YC17" s="113"/>
      <c r="YD17" s="113"/>
      <c r="YE17" s="113"/>
      <c r="YF17" s="113"/>
      <c r="YG17" s="113"/>
      <c r="YH17" s="113"/>
      <c r="YI17" s="113"/>
      <c r="YJ17" s="113"/>
      <c r="YK17" s="113"/>
      <c r="YL17" s="113"/>
      <c r="YM17" s="113"/>
      <c r="YN17" s="113"/>
      <c r="YO17" s="113"/>
      <c r="YP17" s="113"/>
      <c r="YQ17" s="113"/>
      <c r="YR17" s="113"/>
      <c r="YS17" s="113"/>
      <c r="YT17" s="113"/>
      <c r="YU17" s="113"/>
      <c r="YV17" s="113"/>
      <c r="YW17" s="113"/>
      <c r="YX17" s="113"/>
      <c r="YY17" s="113"/>
      <c r="YZ17" s="113"/>
      <c r="ZA17" s="113"/>
      <c r="ZB17" s="113"/>
      <c r="ZC17" s="113"/>
      <c r="ZD17" s="113"/>
      <c r="ZE17" s="113"/>
    </row>
    <row r="18">
      <c r="A18" s="289" t="s">
        <v>957</v>
      </c>
      <c r="B18" s="290"/>
      <c r="C18" s="16"/>
      <c r="D18" s="16"/>
      <c r="E18" s="16"/>
      <c r="F18" s="16"/>
      <c r="G18" s="16"/>
      <c r="H18" s="25"/>
      <c r="I18" s="290" t="s">
        <v>962</v>
      </c>
      <c r="J18" s="16"/>
      <c r="K18" s="16"/>
      <c r="L18" s="16"/>
      <c r="M18" s="16"/>
      <c r="N18" s="16"/>
      <c r="O18" s="25"/>
      <c r="P18" s="290"/>
      <c r="Q18" s="16"/>
      <c r="R18" s="16"/>
      <c r="S18" s="16"/>
      <c r="T18" s="16"/>
      <c r="U18" s="16"/>
      <c r="V18" s="25"/>
      <c r="W18" s="290"/>
      <c r="X18" s="16"/>
      <c r="Y18" s="16"/>
      <c r="Z18" s="16"/>
      <c r="AA18" s="16"/>
      <c r="AB18" s="16"/>
      <c r="AC18" s="25"/>
      <c r="AD18" s="290"/>
      <c r="AE18" s="16"/>
      <c r="AF18" s="16"/>
      <c r="AG18" s="16"/>
      <c r="AH18" s="16"/>
      <c r="AI18" s="16"/>
      <c r="AJ18" s="25"/>
      <c r="AK18" s="290" t="s">
        <v>966</v>
      </c>
      <c r="AL18" s="16"/>
      <c r="AM18" s="16"/>
      <c r="AN18" s="16"/>
      <c r="AO18" s="16"/>
      <c r="AP18" s="16"/>
      <c r="AQ18" s="16"/>
      <c r="AR18" s="16"/>
      <c r="AS18" s="16"/>
      <c r="AT18" s="291"/>
      <c r="AU18" s="16"/>
      <c r="AV18" s="16"/>
      <c r="AW18" s="16"/>
      <c r="AX18" s="25"/>
      <c r="AY18" s="290" t="s">
        <v>969</v>
      </c>
      <c r="AZ18" s="16"/>
      <c r="BA18" s="16"/>
      <c r="BB18" s="16"/>
      <c r="BC18" s="16"/>
      <c r="BD18" s="16"/>
      <c r="BE18" s="25"/>
      <c r="BF18" s="290"/>
      <c r="BG18" s="16"/>
      <c r="BH18" s="16"/>
      <c r="BI18" s="16"/>
      <c r="BJ18" s="16"/>
      <c r="BK18" s="16"/>
      <c r="BL18" s="25"/>
      <c r="BM18" s="290"/>
      <c r="BN18" s="16"/>
      <c r="BO18" s="16"/>
      <c r="BP18" s="16"/>
      <c r="BQ18" s="16"/>
      <c r="BR18" s="16"/>
      <c r="BS18" s="25"/>
      <c r="BT18" s="290" t="s">
        <v>971</v>
      </c>
      <c r="BU18" s="16"/>
      <c r="BV18" s="16"/>
      <c r="BW18" s="16"/>
      <c r="BX18" s="16"/>
      <c r="BY18" s="16"/>
      <c r="BZ18" s="25"/>
      <c r="CA18" s="290"/>
      <c r="CB18" s="16"/>
      <c r="CC18" s="16"/>
      <c r="CD18" s="16"/>
      <c r="CE18" s="16"/>
      <c r="CF18" s="16"/>
      <c r="CG18" s="25"/>
      <c r="CO18" s="290"/>
      <c r="CP18" s="16"/>
      <c r="CQ18" s="16"/>
      <c r="CR18" s="16"/>
      <c r="CS18" s="16"/>
      <c r="CT18" s="16"/>
      <c r="CU18" s="25"/>
      <c r="CV18" s="290"/>
      <c r="CW18" s="16"/>
      <c r="CX18" s="16"/>
      <c r="CY18" s="16"/>
      <c r="CZ18" s="16"/>
      <c r="DA18" s="16"/>
      <c r="DB18" s="25"/>
      <c r="DC18" s="292"/>
      <c r="DD18" s="16"/>
      <c r="DE18" s="16"/>
      <c r="DF18" s="16"/>
      <c r="DG18" s="16"/>
      <c r="DH18" s="16"/>
      <c r="DI18" s="25"/>
      <c r="DJ18" s="290" t="s">
        <v>975</v>
      </c>
      <c r="DK18" s="16"/>
      <c r="DL18" s="16"/>
      <c r="DM18" s="16"/>
      <c r="DN18" s="16"/>
      <c r="DO18" s="16"/>
      <c r="DP18" s="25"/>
      <c r="DQ18" s="293" t="s">
        <v>977</v>
      </c>
      <c r="DR18" s="16"/>
      <c r="DS18" s="16"/>
      <c r="DT18" s="16"/>
      <c r="DU18" s="16"/>
      <c r="DV18" s="16"/>
      <c r="DW18" s="16"/>
      <c r="DX18" s="16"/>
      <c r="DY18" s="16"/>
      <c r="DZ18" s="16"/>
      <c r="EA18" s="16"/>
      <c r="EB18" s="16"/>
      <c r="EC18" s="16"/>
      <c r="ED18" s="16"/>
      <c r="EE18" s="292"/>
      <c r="EF18" s="16"/>
      <c r="EG18" s="16"/>
      <c r="EH18" s="16"/>
      <c r="EI18" s="16"/>
      <c r="EJ18" s="16"/>
      <c r="EK18" s="25"/>
      <c r="EL18" s="293" t="s">
        <v>384</v>
      </c>
      <c r="EM18" s="16"/>
      <c r="EN18" s="16"/>
      <c r="EO18" s="16"/>
      <c r="EP18" s="16"/>
      <c r="EQ18" s="16"/>
      <c r="ER18" s="25"/>
      <c r="ES18" s="262"/>
      <c r="ET18" s="16"/>
      <c r="EU18" s="16"/>
      <c r="EV18" s="16"/>
      <c r="EW18" s="16"/>
      <c r="EX18" s="16"/>
      <c r="EY18" s="25"/>
      <c r="EZ18" s="293" t="s">
        <v>980</v>
      </c>
      <c r="FA18" s="16"/>
      <c r="FB18" s="16"/>
      <c r="FC18" s="16"/>
      <c r="FD18" s="16"/>
      <c r="FE18" s="16"/>
      <c r="FF18" s="16"/>
      <c r="FG18" s="16"/>
      <c r="FH18" s="16"/>
      <c r="FI18" s="16"/>
      <c r="FJ18" s="16"/>
      <c r="FK18" s="16"/>
      <c r="FL18" s="16"/>
      <c r="FM18" s="25"/>
      <c r="FN18" s="293" t="s">
        <v>982</v>
      </c>
      <c r="FO18" s="16"/>
      <c r="FP18" s="16"/>
      <c r="FQ18" s="16"/>
      <c r="FR18" s="16"/>
      <c r="FS18" s="16"/>
      <c r="FT18" s="25"/>
      <c r="FU18" s="292"/>
      <c r="FV18" s="16"/>
      <c r="FW18" s="16"/>
      <c r="FX18" s="16"/>
      <c r="FY18" s="16"/>
      <c r="FZ18" s="16"/>
      <c r="GA18" s="25"/>
      <c r="GB18" s="292"/>
      <c r="GC18" s="16"/>
      <c r="GD18" s="16"/>
      <c r="GE18" s="16"/>
      <c r="GF18" s="16"/>
      <c r="GG18" s="16"/>
      <c r="GH18" s="25"/>
      <c r="GI18" s="293" t="s">
        <v>985</v>
      </c>
      <c r="GJ18" s="16"/>
      <c r="GK18" s="16"/>
      <c r="GL18" s="16"/>
      <c r="GM18" s="16"/>
      <c r="GN18" s="16"/>
      <c r="GO18" s="25"/>
      <c r="GP18" s="290" t="s">
        <v>986</v>
      </c>
      <c r="GQ18" s="16"/>
      <c r="GR18" s="16"/>
      <c r="GS18" s="16"/>
      <c r="GT18" s="16"/>
      <c r="GU18" s="16"/>
      <c r="GV18" s="25"/>
      <c r="GW18" s="295"/>
      <c r="HD18" s="293" t="s">
        <v>988</v>
      </c>
      <c r="HE18" s="16"/>
      <c r="HF18" s="16"/>
      <c r="HG18" s="16"/>
      <c r="HH18" s="16"/>
      <c r="HI18" s="16"/>
      <c r="HJ18" s="25"/>
      <c r="HK18" s="296"/>
      <c r="HY18" s="293" t="s">
        <v>990</v>
      </c>
      <c r="HZ18" s="16"/>
      <c r="IA18" s="16"/>
      <c r="IB18" s="16"/>
      <c r="IC18" s="16"/>
      <c r="ID18" s="16"/>
      <c r="IE18" s="25"/>
      <c r="IF18" s="292"/>
      <c r="IG18" s="16"/>
      <c r="IH18" s="16"/>
      <c r="II18" s="16"/>
      <c r="IJ18" s="16"/>
      <c r="IK18" s="16"/>
      <c r="IL18" s="25"/>
      <c r="IM18" s="297"/>
      <c r="IT18" s="297"/>
      <c r="JA18" s="290" t="s">
        <v>1001</v>
      </c>
      <c r="JB18" s="16"/>
      <c r="JC18" s="16"/>
      <c r="JD18" s="16"/>
      <c r="JE18" s="16"/>
      <c r="JF18" s="16"/>
      <c r="JG18" s="25"/>
      <c r="JH18" s="290" t="s">
        <v>1004</v>
      </c>
      <c r="JI18" s="16"/>
      <c r="JJ18" s="16"/>
      <c r="JK18" s="16"/>
      <c r="JL18" s="16"/>
      <c r="JM18" s="16"/>
      <c r="JN18" s="25"/>
      <c r="JO18" s="298"/>
      <c r="JV18" s="299" t="s">
        <v>1009</v>
      </c>
      <c r="KB18" s="83"/>
      <c r="KC18" s="295"/>
      <c r="KI18" s="83"/>
      <c r="KJ18" s="295"/>
      <c r="KP18" s="83"/>
      <c r="KQ18" s="295"/>
      <c r="KW18" s="83"/>
      <c r="KX18" s="295"/>
      <c r="LE18" s="290" t="s">
        <v>1015</v>
      </c>
      <c r="LF18" s="16"/>
      <c r="LG18" s="16"/>
      <c r="LH18" s="16"/>
      <c r="LI18" s="16"/>
      <c r="LJ18" s="16"/>
      <c r="LK18" s="25"/>
      <c r="LL18" s="290" t="s">
        <v>1020</v>
      </c>
      <c r="LM18" s="16"/>
      <c r="LN18" s="16"/>
      <c r="LO18" s="16"/>
      <c r="LP18" s="16"/>
      <c r="LQ18" s="16"/>
      <c r="LR18" s="25"/>
      <c r="LS18" s="297"/>
      <c r="LT18" s="297"/>
      <c r="LU18" s="297"/>
      <c r="LV18" s="301" t="s">
        <v>1024</v>
      </c>
      <c r="LW18" s="16"/>
      <c r="LX18" s="16"/>
      <c r="LY18" s="16"/>
      <c r="LZ18" s="16"/>
      <c r="MA18" s="16"/>
      <c r="MB18" s="16"/>
      <c r="MC18" s="16"/>
      <c r="MD18" s="16"/>
      <c r="ME18" s="16"/>
      <c r="MF18" s="25"/>
      <c r="MG18" s="290" t="s">
        <v>1034</v>
      </c>
      <c r="MH18" s="16"/>
      <c r="MI18" s="16"/>
      <c r="MJ18" s="16"/>
      <c r="MK18" s="16"/>
      <c r="ML18" s="16"/>
      <c r="MM18" s="25"/>
      <c r="MN18" s="295"/>
      <c r="MU18" s="295"/>
      <c r="NB18" s="302"/>
      <c r="NC18" s="302"/>
      <c r="ND18" s="302"/>
      <c r="NE18" s="302"/>
      <c r="NF18" s="302"/>
      <c r="NG18" s="302"/>
      <c r="NH18" s="302"/>
      <c r="NI18" s="302"/>
      <c r="NJ18" s="302"/>
      <c r="NK18" s="302"/>
      <c r="NL18" s="302"/>
      <c r="NM18" s="302"/>
      <c r="NN18" s="302"/>
      <c r="NO18" s="302"/>
      <c r="NP18" s="302"/>
      <c r="NQ18" s="302"/>
      <c r="NR18" s="302"/>
      <c r="NS18" s="302"/>
      <c r="NT18" s="302"/>
      <c r="NU18" s="302"/>
      <c r="NV18" s="302"/>
      <c r="NW18" s="302"/>
      <c r="NX18" s="302"/>
      <c r="NY18" s="302"/>
      <c r="NZ18" s="302"/>
      <c r="OA18" s="302"/>
      <c r="OB18" s="302"/>
      <c r="OC18" s="302"/>
      <c r="OD18" s="302"/>
      <c r="OE18" s="302"/>
      <c r="OF18" s="302"/>
      <c r="OG18" s="302"/>
      <c r="OH18" s="302"/>
      <c r="OI18" s="302"/>
      <c r="OJ18" s="302"/>
      <c r="OK18" s="302"/>
      <c r="OL18" s="302"/>
      <c r="OM18" s="302"/>
      <c r="ON18" s="302"/>
      <c r="OO18" s="302"/>
      <c r="OP18" s="302"/>
      <c r="OQ18" s="302"/>
      <c r="OR18" s="302"/>
      <c r="OS18" s="302"/>
      <c r="OT18" s="302"/>
      <c r="OU18" s="302"/>
      <c r="OV18" s="302"/>
      <c r="OW18" s="302"/>
      <c r="OX18" s="302"/>
      <c r="OY18" s="302"/>
      <c r="OZ18" s="302"/>
      <c r="PA18" s="302"/>
      <c r="PB18" s="302"/>
      <c r="PC18" s="302"/>
      <c r="PD18" s="302"/>
      <c r="PE18" s="302"/>
      <c r="PF18" s="302"/>
      <c r="PG18" s="302"/>
      <c r="PH18" s="302"/>
      <c r="PI18" s="302"/>
      <c r="PJ18" s="302"/>
      <c r="PK18" s="302"/>
      <c r="PL18" s="302"/>
      <c r="PM18" s="302"/>
      <c r="PN18" s="302"/>
      <c r="PO18" s="302"/>
      <c r="PP18" s="302"/>
      <c r="PQ18" s="302"/>
      <c r="PR18" s="302"/>
      <c r="PS18" s="302"/>
      <c r="PT18" s="302"/>
      <c r="PU18" s="302"/>
      <c r="PV18" s="302"/>
      <c r="PW18" s="302"/>
      <c r="PX18" s="302"/>
      <c r="PY18" s="302"/>
      <c r="PZ18" s="302"/>
      <c r="QA18" s="302"/>
      <c r="QB18" s="302"/>
      <c r="QC18" s="302"/>
      <c r="QD18" s="302"/>
      <c r="QE18" s="302"/>
      <c r="QF18" s="302"/>
      <c r="QG18" s="302"/>
      <c r="QH18" s="302"/>
      <c r="QI18" s="302"/>
      <c r="QJ18" s="302"/>
      <c r="QK18" s="302"/>
      <c r="QL18" s="302"/>
      <c r="QM18" s="302"/>
      <c r="QN18" s="302"/>
      <c r="QO18" s="302"/>
      <c r="QP18" s="302"/>
      <c r="QQ18" s="302"/>
      <c r="QR18" s="302"/>
      <c r="QS18" s="302"/>
      <c r="QT18" s="302"/>
      <c r="QU18" s="302"/>
      <c r="QV18" s="302"/>
      <c r="QW18" s="302"/>
      <c r="QX18" s="302"/>
      <c r="QY18" s="302"/>
      <c r="QZ18" s="302"/>
      <c r="RA18" s="302"/>
      <c r="RB18" s="302"/>
      <c r="RC18" s="302"/>
      <c r="RD18" s="302"/>
      <c r="RE18" s="302"/>
      <c r="RF18" s="302"/>
      <c r="RG18" s="302"/>
      <c r="RH18" s="302"/>
      <c r="RI18" s="302"/>
      <c r="RJ18" s="302"/>
      <c r="RK18" s="302"/>
      <c r="RL18" s="302"/>
      <c r="RM18" s="302"/>
      <c r="RN18" s="302"/>
      <c r="RO18" s="302"/>
      <c r="RP18" s="302"/>
      <c r="RQ18" s="302"/>
      <c r="RR18" s="302"/>
      <c r="RS18" s="302"/>
      <c r="RT18" s="302"/>
      <c r="RU18" s="302"/>
      <c r="RV18" s="302"/>
      <c r="RW18" s="302"/>
      <c r="RX18" s="302"/>
      <c r="RY18" s="302"/>
      <c r="RZ18" s="302"/>
      <c r="SA18" s="302"/>
      <c r="SB18" s="302"/>
      <c r="SC18" s="302"/>
      <c r="SD18" s="302"/>
      <c r="SE18" s="302"/>
      <c r="SF18" s="302"/>
      <c r="SG18" s="302"/>
      <c r="SH18" s="302"/>
      <c r="SI18" s="302"/>
      <c r="SJ18" s="302"/>
      <c r="SK18" s="302"/>
      <c r="SL18" s="302"/>
      <c r="SM18" s="302"/>
      <c r="SN18" s="302"/>
      <c r="SO18" s="302"/>
      <c r="SP18" s="302"/>
      <c r="SQ18" s="302"/>
      <c r="SR18" s="302"/>
      <c r="SS18" s="302"/>
      <c r="ST18" s="302"/>
      <c r="SU18" s="302"/>
      <c r="SV18" s="302"/>
      <c r="SW18" s="302"/>
      <c r="SX18" s="302"/>
      <c r="SY18" s="302"/>
      <c r="SZ18" s="302"/>
      <c r="TA18" s="302"/>
      <c r="TB18" s="302"/>
      <c r="TC18" s="302"/>
      <c r="TD18" s="302"/>
      <c r="TE18" s="302"/>
      <c r="TF18" s="302"/>
      <c r="TG18" s="302"/>
      <c r="TH18" s="302"/>
      <c r="TI18" s="302"/>
      <c r="TJ18" s="302"/>
      <c r="TK18" s="302"/>
      <c r="TL18" s="302"/>
      <c r="TM18" s="302"/>
      <c r="TN18" s="302"/>
      <c r="TO18" s="302"/>
      <c r="TP18" s="302"/>
      <c r="TQ18" s="302"/>
      <c r="TR18" s="302"/>
      <c r="TS18" s="302"/>
      <c r="TT18" s="302"/>
      <c r="TU18" s="302"/>
      <c r="TV18" s="302"/>
      <c r="TW18" s="302"/>
      <c r="TX18" s="302"/>
      <c r="TY18" s="302"/>
      <c r="TZ18" s="302"/>
      <c r="UA18" s="302"/>
      <c r="UB18" s="302"/>
      <c r="UC18" s="302"/>
      <c r="UD18" s="302"/>
      <c r="UE18" s="302"/>
      <c r="UF18" s="302"/>
      <c r="UG18" s="302"/>
      <c r="UH18" s="302"/>
      <c r="UI18" s="302"/>
      <c r="UJ18" s="302"/>
      <c r="UK18" s="302"/>
      <c r="UL18" s="302"/>
      <c r="UM18" s="302"/>
      <c r="UN18" s="302"/>
      <c r="UO18" s="302"/>
      <c r="UP18" s="302"/>
      <c r="UQ18" s="302"/>
      <c r="UR18" s="302"/>
      <c r="US18" s="302"/>
      <c r="UT18" s="302"/>
      <c r="UU18" s="302"/>
      <c r="UV18" s="302"/>
      <c r="UW18" s="302"/>
      <c r="UX18" s="302"/>
      <c r="UY18" s="302"/>
      <c r="UZ18" s="302"/>
      <c r="VA18" s="302"/>
      <c r="VB18" s="302"/>
      <c r="VC18" s="302"/>
      <c r="VD18" s="302"/>
      <c r="VE18" s="302"/>
      <c r="VF18" s="302"/>
      <c r="VG18" s="302"/>
      <c r="VH18" s="302"/>
      <c r="VI18" s="302"/>
      <c r="VJ18" s="302"/>
      <c r="VK18" s="302"/>
      <c r="VL18" s="302"/>
      <c r="VM18" s="302"/>
      <c r="VN18" s="302"/>
      <c r="VO18" s="302"/>
      <c r="VP18" s="302"/>
      <c r="VQ18" s="302"/>
      <c r="VR18" s="302"/>
      <c r="VS18" s="302"/>
      <c r="VT18" s="302"/>
      <c r="VU18" s="302"/>
      <c r="VV18" s="302"/>
      <c r="VW18" s="302"/>
      <c r="VX18" s="302"/>
      <c r="VY18" s="302"/>
      <c r="VZ18" s="302"/>
      <c r="WA18" s="302"/>
      <c r="WB18" s="302"/>
      <c r="WC18" s="302"/>
      <c r="WD18" s="302"/>
      <c r="WE18" s="302"/>
      <c r="WF18" s="302"/>
      <c r="WG18" s="302"/>
      <c r="WH18" s="302"/>
      <c r="WI18" s="302"/>
      <c r="WJ18" s="302"/>
      <c r="WK18" s="302"/>
      <c r="WL18" s="302"/>
      <c r="WM18" s="302"/>
      <c r="WN18" s="302"/>
      <c r="WO18" s="302"/>
      <c r="WP18" s="302"/>
      <c r="WQ18" s="302"/>
      <c r="WR18" s="302"/>
      <c r="WS18" s="302"/>
      <c r="WT18" s="302"/>
      <c r="WU18" s="302"/>
      <c r="WV18" s="302"/>
      <c r="WW18" s="302"/>
      <c r="WX18" s="302"/>
      <c r="WY18" s="302"/>
      <c r="WZ18" s="302"/>
      <c r="XA18" s="302"/>
      <c r="XB18" s="302"/>
      <c r="XC18" s="302"/>
      <c r="XD18" s="302"/>
      <c r="XE18" s="302"/>
      <c r="XF18" s="302"/>
      <c r="XG18" s="302"/>
      <c r="XH18" s="302"/>
      <c r="XI18" s="302"/>
      <c r="XJ18" s="302"/>
      <c r="XK18" s="302"/>
      <c r="XL18" s="302"/>
      <c r="XM18" s="302"/>
      <c r="XN18" s="302"/>
      <c r="XO18" s="302"/>
      <c r="XP18" s="302"/>
      <c r="XQ18" s="302"/>
      <c r="XR18" s="302"/>
      <c r="XS18" s="302"/>
      <c r="XT18" s="302"/>
      <c r="XU18" s="302"/>
      <c r="XV18" s="302"/>
      <c r="XW18" s="302"/>
      <c r="XX18" s="302"/>
      <c r="XY18" s="302"/>
      <c r="XZ18" s="302"/>
      <c r="YA18" s="302"/>
      <c r="YB18" s="302"/>
      <c r="YC18" s="302"/>
      <c r="YD18" s="302"/>
      <c r="YE18" s="302"/>
      <c r="YF18" s="302"/>
      <c r="YG18" s="302"/>
      <c r="YH18" s="302"/>
      <c r="YI18" s="302"/>
      <c r="YJ18" s="302"/>
      <c r="YK18" s="302"/>
      <c r="YL18" s="302"/>
      <c r="YM18" s="302"/>
      <c r="YN18" s="302"/>
      <c r="YO18" s="302"/>
      <c r="YP18" s="302"/>
      <c r="YQ18" s="302"/>
      <c r="YR18" s="302"/>
      <c r="YS18" s="302"/>
      <c r="YT18" s="302"/>
      <c r="YU18" s="302"/>
      <c r="YV18" s="302"/>
      <c r="YW18" s="302"/>
      <c r="YX18" s="302"/>
      <c r="YY18" s="302"/>
      <c r="YZ18" s="302"/>
      <c r="ZA18" s="302"/>
      <c r="ZB18" s="302"/>
      <c r="ZC18" s="302"/>
      <c r="ZD18" s="302"/>
      <c r="ZE18" s="302"/>
    </row>
    <row r="19" ht="46.5" customHeight="1">
      <c r="A19" s="303" t="s">
        <v>1059</v>
      </c>
      <c r="B19" s="304" t="s">
        <v>1061</v>
      </c>
      <c r="C19" s="16"/>
      <c r="D19" s="16"/>
      <c r="E19" s="16"/>
      <c r="F19" s="16"/>
      <c r="G19" s="16"/>
      <c r="H19" s="25"/>
      <c r="I19" s="304" t="s">
        <v>1068</v>
      </c>
      <c r="J19" s="16"/>
      <c r="K19" s="16"/>
      <c r="L19" s="16"/>
      <c r="M19" s="16"/>
      <c r="N19" s="16"/>
      <c r="O19" s="25"/>
      <c r="P19" s="306"/>
      <c r="Q19" s="16"/>
      <c r="R19" s="16"/>
      <c r="S19" s="16"/>
      <c r="T19" s="16"/>
      <c r="U19" s="16"/>
      <c r="V19" s="25"/>
      <c r="W19" s="304" t="s">
        <v>1076</v>
      </c>
      <c r="X19" s="16"/>
      <c r="Y19" s="16"/>
      <c r="Z19" s="16"/>
      <c r="AA19" s="16"/>
      <c r="AB19" s="16"/>
      <c r="AC19" s="25"/>
      <c r="AD19" s="306"/>
      <c r="AE19" s="16"/>
      <c r="AF19" s="16"/>
      <c r="AG19" s="16"/>
      <c r="AH19" s="16"/>
      <c r="AI19" s="16"/>
      <c r="AJ19" s="25"/>
      <c r="AK19" s="304" t="s">
        <v>1082</v>
      </c>
      <c r="AL19" s="16"/>
      <c r="AM19" s="16"/>
      <c r="AN19" s="16"/>
      <c r="AO19" s="16"/>
      <c r="AP19" s="16"/>
      <c r="AQ19" s="16"/>
      <c r="AR19" s="16"/>
      <c r="AS19" s="16"/>
      <c r="AT19" s="307" t="s">
        <v>1084</v>
      </c>
      <c r="AU19" s="16"/>
      <c r="AV19" s="16"/>
      <c r="AW19" s="16"/>
      <c r="AX19" s="25"/>
      <c r="AY19" s="304" t="s">
        <v>969</v>
      </c>
      <c r="AZ19" s="16"/>
      <c r="BA19" s="16"/>
      <c r="BB19" s="16"/>
      <c r="BC19" s="16"/>
      <c r="BD19" s="16"/>
      <c r="BE19" s="25"/>
      <c r="BF19" s="306"/>
      <c r="BG19" s="16"/>
      <c r="BH19" s="16"/>
      <c r="BI19" s="16"/>
      <c r="BJ19" s="16"/>
      <c r="BK19" s="16"/>
      <c r="BL19" s="25"/>
      <c r="BM19" s="308" t="s">
        <v>1092</v>
      </c>
      <c r="BN19" s="16"/>
      <c r="BO19" s="16"/>
      <c r="BP19" s="16"/>
      <c r="BQ19" s="16"/>
      <c r="BR19" s="16"/>
      <c r="BS19" s="16"/>
      <c r="BT19" s="16"/>
      <c r="BU19" s="16"/>
      <c r="BV19" s="16"/>
      <c r="BW19" s="16"/>
      <c r="BX19" s="16"/>
      <c r="BY19" s="16"/>
      <c r="BZ19" s="25"/>
      <c r="CA19" s="308" t="s">
        <v>1098</v>
      </c>
      <c r="CB19" s="16"/>
      <c r="CC19" s="16"/>
      <c r="CD19" s="16"/>
      <c r="CE19" s="16"/>
      <c r="CF19" s="16"/>
      <c r="CG19" s="16"/>
      <c r="CH19" s="16"/>
      <c r="CI19" s="16"/>
      <c r="CJ19" s="16"/>
      <c r="CK19" s="16"/>
      <c r="CL19" s="16"/>
      <c r="CM19" s="16"/>
      <c r="CN19" s="25"/>
      <c r="CO19" s="304" t="s">
        <v>1103</v>
      </c>
      <c r="CP19" s="16"/>
      <c r="CQ19" s="16"/>
      <c r="CR19" s="16"/>
      <c r="CS19" s="16"/>
      <c r="CT19" s="16"/>
      <c r="CU19" s="25"/>
      <c r="CV19" s="308" t="s">
        <v>1106</v>
      </c>
      <c r="CW19" s="16"/>
      <c r="CX19" s="16"/>
      <c r="CY19" s="16"/>
      <c r="CZ19" s="16"/>
      <c r="DA19" s="16"/>
      <c r="DB19" s="16"/>
      <c r="DC19" s="16"/>
      <c r="DD19" s="16"/>
      <c r="DE19" s="16"/>
      <c r="DF19" s="16"/>
      <c r="DG19" s="16"/>
      <c r="DH19" s="290" t="s">
        <v>975</v>
      </c>
      <c r="DI19" s="16"/>
      <c r="DJ19" s="16"/>
      <c r="DK19" s="16"/>
      <c r="DL19" s="16"/>
      <c r="DM19" s="16"/>
      <c r="DN19" s="16"/>
      <c r="DO19" s="16"/>
      <c r="DP19" s="16"/>
      <c r="DQ19" s="25"/>
      <c r="DR19" s="310"/>
      <c r="DS19" s="16"/>
      <c r="DT19" s="16"/>
      <c r="DU19" s="16"/>
      <c r="DV19" s="16"/>
      <c r="DW19" s="25"/>
      <c r="DX19" s="306"/>
      <c r="DY19" s="16"/>
      <c r="DZ19" s="16"/>
      <c r="EA19" s="16"/>
      <c r="EB19" s="16"/>
      <c r="EC19" s="16"/>
      <c r="ED19" s="25"/>
      <c r="EL19" s="308" t="s">
        <v>1116</v>
      </c>
      <c r="EM19" s="16"/>
      <c r="EN19" s="16"/>
      <c r="EO19" s="16"/>
      <c r="EP19" s="16"/>
      <c r="EQ19" s="16"/>
      <c r="ER19" s="25"/>
      <c r="ES19" s="293" t="s">
        <v>1119</v>
      </c>
      <c r="ET19" s="16"/>
      <c r="EU19" s="16"/>
      <c r="EV19" s="16"/>
      <c r="EW19" s="16"/>
      <c r="EX19" s="16"/>
      <c r="EY19" s="25"/>
      <c r="EZ19" s="306"/>
      <c r="FA19" s="16"/>
      <c r="FB19" s="16"/>
      <c r="FC19" s="16"/>
      <c r="FD19" s="16"/>
      <c r="FE19" s="16"/>
      <c r="FF19" s="25"/>
      <c r="FG19" s="312"/>
      <c r="FN19" s="293" t="s">
        <v>982</v>
      </c>
      <c r="FO19" s="16"/>
      <c r="FP19" s="16"/>
      <c r="FQ19" s="16"/>
      <c r="FR19" s="16"/>
      <c r="FS19" s="16"/>
      <c r="FT19" s="25"/>
      <c r="FU19" s="306"/>
      <c r="FV19" s="16"/>
      <c r="FW19" s="16"/>
      <c r="FX19" s="16"/>
      <c r="FY19" s="16"/>
      <c r="FZ19" s="16"/>
      <c r="GA19" s="25"/>
      <c r="GB19" s="313" t="s">
        <v>1130</v>
      </c>
      <c r="GI19" s="306"/>
      <c r="GJ19" s="16"/>
      <c r="GK19" s="16"/>
      <c r="GL19" s="16"/>
      <c r="GM19" s="16"/>
      <c r="GN19" s="16"/>
      <c r="GO19" s="25"/>
      <c r="GP19" s="306"/>
      <c r="GQ19" s="16"/>
      <c r="GR19" s="16"/>
      <c r="GS19" s="16"/>
      <c r="GT19" s="16"/>
      <c r="GU19" s="16"/>
      <c r="GV19" s="25"/>
      <c r="GW19" s="308" t="s">
        <v>1139</v>
      </c>
      <c r="GX19" s="16"/>
      <c r="GY19" s="16"/>
      <c r="GZ19" s="16"/>
      <c r="HA19" s="16"/>
      <c r="HB19" s="16"/>
      <c r="HC19" s="16"/>
      <c r="HD19" s="16"/>
      <c r="HE19" s="16"/>
      <c r="HF19" s="16"/>
      <c r="HG19" s="16"/>
      <c r="HH19" s="16"/>
      <c r="HI19" s="16"/>
      <c r="HJ19" s="16"/>
      <c r="HK19" s="308" t="s">
        <v>1146</v>
      </c>
      <c r="HL19" s="16"/>
      <c r="HM19" s="16"/>
      <c r="HN19" s="16"/>
      <c r="HO19" s="16"/>
      <c r="HP19" s="16"/>
      <c r="HQ19" s="16"/>
      <c r="HR19" s="16"/>
      <c r="HS19" s="16"/>
      <c r="HT19" s="16"/>
      <c r="HU19" s="16"/>
      <c r="HV19" s="16"/>
      <c r="HW19" s="16"/>
      <c r="HX19" s="25"/>
      <c r="HY19" s="314"/>
      <c r="HZ19" s="16"/>
      <c r="IA19" s="16"/>
      <c r="IB19" s="16"/>
      <c r="IC19" s="16"/>
      <c r="ID19" s="16"/>
      <c r="IE19" s="16"/>
      <c r="IF19" s="306"/>
      <c r="IG19" s="16"/>
      <c r="IH19" s="16"/>
      <c r="II19" s="16"/>
      <c r="IJ19" s="16"/>
      <c r="IK19" s="16"/>
      <c r="IL19" s="25"/>
      <c r="IM19" s="308" t="s">
        <v>1162</v>
      </c>
      <c r="IN19" s="16"/>
      <c r="IO19" s="16"/>
      <c r="IP19" s="16"/>
      <c r="IQ19" s="16"/>
      <c r="IR19" s="16"/>
      <c r="IS19" s="16"/>
      <c r="IT19" s="16"/>
      <c r="IU19" s="16"/>
      <c r="IV19" s="16"/>
      <c r="IW19" s="16"/>
      <c r="IX19" s="16"/>
      <c r="IY19" s="16"/>
      <c r="IZ19" s="25"/>
      <c r="JA19" s="312"/>
      <c r="JH19" s="312"/>
      <c r="JN19" s="83"/>
      <c r="JO19" s="315"/>
      <c r="JV19" s="316" t="s">
        <v>1169</v>
      </c>
      <c r="KC19" s="312"/>
      <c r="KJ19" s="317"/>
      <c r="KK19" s="317"/>
      <c r="KL19" s="317"/>
      <c r="KM19" s="317"/>
      <c r="KN19" s="317"/>
      <c r="KO19" s="317"/>
      <c r="KP19" s="317"/>
      <c r="KQ19" s="317"/>
      <c r="KR19" s="317"/>
      <c r="KS19" s="317"/>
      <c r="KT19" s="317"/>
      <c r="KU19" s="317"/>
      <c r="KV19" s="317"/>
      <c r="KW19" s="317"/>
      <c r="KX19" s="316" t="s">
        <v>1172</v>
      </c>
      <c r="LE19" s="312"/>
      <c r="LL19" s="304" t="s">
        <v>1175</v>
      </c>
      <c r="LM19" s="16"/>
      <c r="LN19" s="16"/>
      <c r="LO19" s="16"/>
      <c r="LP19" s="16"/>
      <c r="LQ19" s="16"/>
      <c r="LR19" s="16"/>
      <c r="LS19" s="16"/>
      <c r="LT19" s="16"/>
      <c r="LU19" s="16"/>
      <c r="LV19" s="16"/>
      <c r="LW19" s="16"/>
      <c r="LX19" s="16"/>
      <c r="LY19" s="16"/>
      <c r="LZ19" s="25"/>
      <c r="MA19" s="319" t="s">
        <v>1179</v>
      </c>
      <c r="MB19" s="16"/>
      <c r="MC19" s="16"/>
      <c r="MD19" s="16"/>
      <c r="ME19" s="16"/>
      <c r="MF19" s="16"/>
      <c r="MG19" s="16"/>
      <c r="MH19" s="16"/>
      <c r="MI19" s="16"/>
      <c r="MJ19" s="16"/>
      <c r="MK19" s="16"/>
      <c r="ML19" s="16"/>
      <c r="MM19" s="16"/>
      <c r="MN19" s="16"/>
      <c r="MO19" s="16"/>
      <c r="MP19" s="16"/>
      <c r="MQ19" s="16"/>
      <c r="MR19" s="16"/>
      <c r="MS19" s="16"/>
      <c r="MT19" s="25"/>
      <c r="MU19" s="304" t="s">
        <v>1186</v>
      </c>
      <c r="MV19" s="16"/>
      <c r="MW19" s="16"/>
      <c r="MX19" s="16"/>
      <c r="MY19" s="16"/>
      <c r="MZ19" s="16"/>
      <c r="NA19" s="16"/>
      <c r="NB19" s="25"/>
      <c r="NC19" s="321"/>
      <c r="ND19" s="321"/>
      <c r="NE19" s="321"/>
      <c r="NF19" s="321"/>
      <c r="NG19" s="321"/>
      <c r="NH19" s="321"/>
      <c r="NI19" s="321"/>
      <c r="NJ19" s="321"/>
      <c r="NK19" s="321"/>
      <c r="NL19" s="321"/>
      <c r="NM19" s="321"/>
      <c r="NN19" s="321"/>
      <c r="NO19" s="321"/>
      <c r="NP19" s="321"/>
      <c r="NQ19" s="321"/>
      <c r="NR19" s="321"/>
      <c r="NS19" s="321"/>
      <c r="NT19" s="321"/>
      <c r="NU19" s="321"/>
      <c r="NV19" s="321"/>
      <c r="NW19" s="321"/>
      <c r="NX19" s="321"/>
      <c r="NY19" s="321"/>
      <c r="NZ19" s="321"/>
      <c r="OA19" s="321"/>
      <c r="OB19" s="321"/>
      <c r="OC19" s="321"/>
      <c r="OD19" s="321"/>
      <c r="OE19" s="321"/>
      <c r="OF19" s="321"/>
      <c r="OG19" s="321"/>
      <c r="OH19" s="321"/>
      <c r="OI19" s="321"/>
      <c r="OJ19" s="321"/>
      <c r="OK19" s="321"/>
      <c r="OL19" s="321"/>
      <c r="OM19" s="321"/>
      <c r="ON19" s="321"/>
      <c r="OO19" s="321"/>
      <c r="OP19" s="321"/>
      <c r="OQ19" s="321"/>
      <c r="OR19" s="321"/>
      <c r="OS19" s="321"/>
      <c r="OT19" s="321"/>
      <c r="OU19" s="321"/>
      <c r="OV19" s="321"/>
      <c r="OW19" s="321"/>
      <c r="OX19" s="321"/>
      <c r="OY19" s="321"/>
      <c r="OZ19" s="321"/>
      <c r="PA19" s="321"/>
      <c r="PB19" s="321"/>
      <c r="PC19" s="321"/>
      <c r="PD19" s="321"/>
      <c r="PE19" s="321"/>
      <c r="PF19" s="321"/>
      <c r="PG19" s="321"/>
      <c r="PH19" s="321"/>
      <c r="PI19" s="321"/>
      <c r="PJ19" s="321"/>
      <c r="PK19" s="321"/>
      <c r="PL19" s="321"/>
      <c r="PM19" s="321"/>
      <c r="PN19" s="321"/>
      <c r="PO19" s="321"/>
      <c r="PP19" s="321"/>
      <c r="PQ19" s="321"/>
      <c r="PR19" s="321"/>
      <c r="PS19" s="321"/>
      <c r="PT19" s="321"/>
      <c r="PU19" s="321"/>
      <c r="PV19" s="321"/>
      <c r="PW19" s="321"/>
      <c r="PX19" s="321"/>
      <c r="PY19" s="321"/>
      <c r="PZ19" s="321"/>
      <c r="QA19" s="321"/>
      <c r="QB19" s="321"/>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c r="RR19" s="321"/>
      <c r="RS19" s="321"/>
      <c r="RT19" s="321"/>
      <c r="RU19" s="321"/>
      <c r="RV19" s="321"/>
      <c r="RW19" s="321"/>
      <c r="RX19" s="321"/>
      <c r="RY19" s="321"/>
      <c r="RZ19" s="321"/>
      <c r="SA19" s="321"/>
      <c r="SB19" s="321"/>
      <c r="SC19" s="321"/>
      <c r="SD19" s="321"/>
      <c r="SE19" s="321"/>
      <c r="SF19" s="321"/>
      <c r="SG19" s="321"/>
      <c r="SH19" s="321"/>
      <c r="SI19" s="321"/>
      <c r="SJ19" s="321"/>
      <c r="SK19" s="321"/>
      <c r="SL19" s="321"/>
      <c r="SM19" s="321"/>
      <c r="SN19" s="321"/>
      <c r="SO19" s="321"/>
      <c r="SP19" s="321"/>
      <c r="SQ19" s="321"/>
      <c r="SR19" s="321"/>
      <c r="SS19" s="321"/>
      <c r="ST19" s="321"/>
      <c r="SU19" s="321"/>
      <c r="SV19" s="321"/>
      <c r="SW19" s="321"/>
      <c r="SX19" s="321"/>
      <c r="SY19" s="321"/>
      <c r="SZ19" s="321"/>
      <c r="TA19" s="321"/>
      <c r="TB19" s="321"/>
      <c r="TC19" s="321"/>
      <c r="TD19" s="321"/>
      <c r="TE19" s="321"/>
      <c r="TF19" s="321"/>
      <c r="TG19" s="321"/>
      <c r="TH19" s="321"/>
      <c r="TI19" s="321"/>
      <c r="TJ19" s="321"/>
      <c r="TK19" s="321"/>
      <c r="TL19" s="321"/>
      <c r="TM19" s="321"/>
      <c r="TN19" s="321"/>
      <c r="TO19" s="321"/>
      <c r="TP19" s="321"/>
      <c r="TQ19" s="321"/>
      <c r="TR19" s="321"/>
      <c r="TS19" s="321"/>
      <c r="TT19" s="321"/>
      <c r="TU19" s="321"/>
      <c r="TV19" s="321"/>
      <c r="TW19" s="321"/>
      <c r="TX19" s="321"/>
      <c r="TY19" s="321"/>
      <c r="TZ19" s="321"/>
      <c r="UA19" s="321"/>
      <c r="UB19" s="321"/>
      <c r="UC19" s="321"/>
      <c r="UD19" s="321"/>
      <c r="UE19" s="321"/>
      <c r="UF19" s="321"/>
      <c r="UG19" s="321"/>
      <c r="UH19" s="321"/>
      <c r="UI19" s="321"/>
      <c r="UJ19" s="321"/>
      <c r="UK19" s="321"/>
      <c r="UL19" s="321"/>
      <c r="UM19" s="321"/>
      <c r="UN19" s="321"/>
      <c r="UO19" s="321"/>
      <c r="UP19" s="321"/>
      <c r="UQ19" s="321"/>
      <c r="UR19" s="321"/>
      <c r="US19" s="321"/>
      <c r="UT19" s="321"/>
      <c r="UU19" s="321"/>
      <c r="UV19" s="321"/>
      <c r="UW19" s="321"/>
      <c r="UX19" s="321"/>
      <c r="UY19" s="321"/>
      <c r="UZ19" s="321"/>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c r="WP19" s="321"/>
      <c r="WQ19" s="321"/>
      <c r="WR19" s="321"/>
      <c r="WS19" s="321"/>
      <c r="WT19" s="321"/>
      <c r="WU19" s="321"/>
      <c r="WV19" s="321"/>
      <c r="WW19" s="321"/>
      <c r="WX19" s="321"/>
      <c r="WY19" s="321"/>
      <c r="WZ19" s="321"/>
      <c r="XA19" s="321"/>
      <c r="XB19" s="321"/>
      <c r="XC19" s="321"/>
      <c r="XD19" s="321"/>
      <c r="XE19" s="321"/>
      <c r="XF19" s="321"/>
      <c r="XG19" s="321"/>
      <c r="XH19" s="321"/>
      <c r="XI19" s="321"/>
      <c r="XJ19" s="321"/>
      <c r="XK19" s="321"/>
      <c r="XL19" s="321"/>
      <c r="XM19" s="321"/>
      <c r="XN19" s="321"/>
      <c r="XO19" s="321"/>
      <c r="XP19" s="321"/>
      <c r="XQ19" s="321"/>
      <c r="XR19" s="321"/>
      <c r="XS19" s="321"/>
      <c r="XT19" s="321"/>
      <c r="XU19" s="321"/>
      <c r="XV19" s="321"/>
      <c r="XW19" s="321"/>
      <c r="XX19" s="321"/>
      <c r="XY19" s="321"/>
      <c r="XZ19" s="321"/>
      <c r="YA19" s="321"/>
      <c r="YB19" s="321"/>
      <c r="YC19" s="321"/>
      <c r="YD19" s="321"/>
      <c r="YE19" s="321"/>
      <c r="YF19" s="321"/>
      <c r="YG19" s="321"/>
      <c r="YH19" s="321"/>
      <c r="YI19" s="321"/>
      <c r="YJ19" s="321"/>
      <c r="YK19" s="321"/>
      <c r="YL19" s="321"/>
      <c r="YM19" s="321"/>
      <c r="YN19" s="321"/>
      <c r="YO19" s="321"/>
      <c r="YP19" s="321"/>
      <c r="YQ19" s="321"/>
      <c r="YR19" s="321"/>
      <c r="YS19" s="321"/>
      <c r="YT19" s="321"/>
      <c r="YU19" s="321"/>
      <c r="YV19" s="321"/>
      <c r="YW19" s="321"/>
      <c r="YX19" s="321"/>
      <c r="YY19" s="321"/>
      <c r="YZ19" s="321"/>
      <c r="ZA19" s="321"/>
      <c r="ZB19" s="321"/>
      <c r="ZC19" s="321"/>
      <c r="ZD19" s="321"/>
      <c r="ZE19" s="321"/>
    </row>
    <row r="20">
      <c r="A20" s="289" t="s">
        <v>1204</v>
      </c>
      <c r="B20" s="292"/>
      <c r="C20" s="16"/>
      <c r="D20" s="16"/>
      <c r="E20" s="16"/>
      <c r="F20" s="16"/>
      <c r="G20" s="16"/>
      <c r="H20" s="25"/>
      <c r="I20" s="292"/>
      <c r="J20" s="16"/>
      <c r="K20" s="16"/>
      <c r="L20" s="16"/>
      <c r="M20" s="16"/>
      <c r="N20" s="16"/>
      <c r="O20" s="25"/>
      <c r="P20" s="323" t="s">
        <v>1208</v>
      </c>
      <c r="Q20" s="16"/>
      <c r="R20" s="16"/>
      <c r="S20" s="16"/>
      <c r="T20" s="16"/>
      <c r="U20" s="16"/>
      <c r="V20" s="16"/>
      <c r="W20" s="16"/>
      <c r="X20" s="16"/>
      <c r="Y20" s="16"/>
      <c r="Z20" s="16"/>
      <c r="AA20" s="16"/>
      <c r="AB20" s="16"/>
      <c r="AC20" s="16"/>
      <c r="AD20" s="16"/>
      <c r="AE20" s="16"/>
      <c r="AF20" s="16"/>
      <c r="AG20" s="16"/>
      <c r="AH20" s="16"/>
      <c r="AI20" s="16"/>
      <c r="AJ20" s="25"/>
      <c r="AK20" s="293" t="s">
        <v>1215</v>
      </c>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25"/>
      <c r="BM20" s="323" t="s">
        <v>1222</v>
      </c>
      <c r="BN20" s="16"/>
      <c r="BO20" s="16"/>
      <c r="BP20" s="16"/>
      <c r="BQ20" s="16"/>
      <c r="BR20" s="16"/>
      <c r="BS20" s="16"/>
      <c r="BT20" s="16"/>
      <c r="BU20" s="16"/>
      <c r="BV20" s="16"/>
      <c r="BW20" s="16"/>
      <c r="BX20" s="16"/>
      <c r="BY20" s="16"/>
      <c r="BZ20" s="25"/>
      <c r="CA20" s="293" t="s">
        <v>1225</v>
      </c>
      <c r="CB20" s="16"/>
      <c r="CC20" s="16"/>
      <c r="CD20" s="16"/>
      <c r="CE20" s="16"/>
      <c r="CF20" s="16"/>
      <c r="CG20" s="25"/>
      <c r="CH20" s="323" t="s">
        <v>1228</v>
      </c>
      <c r="CI20" s="16"/>
      <c r="CJ20" s="16"/>
      <c r="CK20" s="16"/>
      <c r="CL20" s="16"/>
      <c r="CM20" s="16"/>
      <c r="CN20" s="16"/>
      <c r="CO20" s="16"/>
      <c r="CP20" s="16"/>
      <c r="CQ20" s="16"/>
      <c r="CR20" s="16"/>
      <c r="CS20" s="16"/>
      <c r="CT20" s="16"/>
      <c r="CU20" s="16"/>
      <c r="CV20" s="16"/>
      <c r="CW20" s="16"/>
      <c r="CX20" s="16"/>
      <c r="CY20" s="16"/>
      <c r="CZ20" s="16"/>
      <c r="DA20" s="16"/>
      <c r="DB20" s="16"/>
      <c r="DC20" s="292"/>
      <c r="DD20" s="16"/>
      <c r="DE20" s="16"/>
      <c r="DF20" s="16"/>
      <c r="DG20" s="16"/>
      <c r="DH20" s="16"/>
      <c r="DI20" s="25"/>
      <c r="DJ20" s="325" t="s">
        <v>1236</v>
      </c>
      <c r="DK20" s="16"/>
      <c r="DL20" s="16"/>
      <c r="DM20" s="16"/>
      <c r="DN20" s="16"/>
      <c r="DO20" s="16"/>
      <c r="DP20" s="16"/>
      <c r="DQ20" s="25"/>
      <c r="DR20" s="323" t="s">
        <v>1239</v>
      </c>
      <c r="DS20" s="16"/>
      <c r="DT20" s="16"/>
      <c r="DU20" s="16"/>
      <c r="DV20" s="16"/>
      <c r="DW20" s="16"/>
      <c r="DX20" s="16"/>
      <c r="DY20" s="16"/>
      <c r="DZ20" s="16"/>
      <c r="EA20" s="16"/>
      <c r="EB20" s="16"/>
      <c r="EC20" s="16"/>
      <c r="ED20" s="25"/>
      <c r="EL20" s="323" t="s">
        <v>1228</v>
      </c>
      <c r="EM20" s="16"/>
      <c r="EN20" s="16"/>
      <c r="EO20" s="16"/>
      <c r="EP20" s="16"/>
      <c r="EQ20" s="16"/>
      <c r="ER20" s="16"/>
      <c r="ES20" s="16"/>
      <c r="ET20" s="16"/>
      <c r="EU20" s="16"/>
      <c r="EV20" s="16"/>
      <c r="EW20" s="16"/>
      <c r="EX20" s="16"/>
      <c r="EY20" s="16"/>
      <c r="EZ20" s="16"/>
      <c r="FA20" s="16"/>
      <c r="FB20" s="16"/>
      <c r="FC20" s="16"/>
      <c r="FD20" s="16"/>
      <c r="FE20" s="16"/>
      <c r="FF20" s="25"/>
      <c r="FG20" s="293"/>
      <c r="FH20" s="16"/>
      <c r="FI20" s="16"/>
      <c r="FJ20" s="16"/>
      <c r="FK20" s="16"/>
      <c r="FL20" s="16"/>
      <c r="FM20" s="25"/>
      <c r="FN20" s="325" t="s">
        <v>1241</v>
      </c>
      <c r="FO20" s="16"/>
      <c r="FP20" s="16"/>
      <c r="FQ20" s="16"/>
      <c r="FR20" s="16"/>
      <c r="FS20" s="16"/>
      <c r="FT20" s="16"/>
      <c r="FU20" s="323" t="s">
        <v>1239</v>
      </c>
      <c r="FV20" s="16"/>
      <c r="FW20" s="16"/>
      <c r="FX20" s="16"/>
      <c r="FY20" s="16"/>
      <c r="FZ20" s="16"/>
      <c r="GA20" s="16"/>
      <c r="GB20" s="16"/>
      <c r="GC20" s="16"/>
      <c r="GD20" s="16"/>
      <c r="GE20" s="16"/>
      <c r="GF20" s="16"/>
      <c r="GG20" s="16"/>
      <c r="GH20" s="25"/>
      <c r="GI20" s="292"/>
      <c r="GJ20" s="16"/>
      <c r="GK20" s="16"/>
      <c r="GL20" s="16"/>
      <c r="GM20" s="16"/>
      <c r="GN20" s="16"/>
      <c r="GO20" s="25"/>
      <c r="GP20" s="292"/>
      <c r="GQ20" s="16"/>
      <c r="GR20" s="16"/>
      <c r="GS20" s="16"/>
      <c r="GT20" s="16"/>
      <c r="GU20" s="16"/>
      <c r="GV20" s="25"/>
      <c r="GW20" s="292"/>
      <c r="GX20" s="16"/>
      <c r="GY20" s="16"/>
      <c r="GZ20" s="16"/>
      <c r="HA20" s="16"/>
      <c r="HB20" s="16"/>
      <c r="HC20" s="25"/>
      <c r="HD20" s="292"/>
      <c r="HE20" s="16"/>
      <c r="HF20" s="16"/>
      <c r="HG20" s="16"/>
      <c r="HH20" s="16"/>
      <c r="HI20" s="16"/>
      <c r="HJ20" s="25"/>
      <c r="HK20" s="292"/>
      <c r="HL20" s="16"/>
      <c r="HM20" s="16"/>
      <c r="HN20" s="16"/>
      <c r="HO20" s="16"/>
      <c r="HP20" s="16"/>
      <c r="HQ20" s="25"/>
      <c r="HR20" s="292"/>
      <c r="HS20" s="16"/>
      <c r="HT20" s="16"/>
      <c r="HU20" s="16"/>
      <c r="HV20" s="16"/>
      <c r="HW20" s="16"/>
      <c r="HX20" s="25"/>
      <c r="HY20" s="292"/>
      <c r="HZ20" s="16"/>
      <c r="IA20" s="16"/>
      <c r="IB20" s="16"/>
      <c r="IC20" s="16"/>
      <c r="ID20" s="16"/>
      <c r="IE20" s="25"/>
      <c r="IF20" s="292"/>
      <c r="IG20" s="16"/>
      <c r="IH20" s="16"/>
      <c r="II20" s="16"/>
      <c r="IJ20" s="16"/>
      <c r="IK20" s="16"/>
      <c r="IL20" s="25"/>
      <c r="IM20" s="293" t="s">
        <v>1243</v>
      </c>
      <c r="IN20" s="16"/>
      <c r="IO20" s="16"/>
      <c r="IP20" s="16"/>
      <c r="IQ20" s="16"/>
      <c r="IR20" s="16"/>
      <c r="IS20" s="16"/>
      <c r="IT20" s="16"/>
      <c r="IU20" s="16"/>
      <c r="IV20" s="16"/>
      <c r="IW20" s="16"/>
      <c r="IX20" s="16"/>
      <c r="IY20" s="16"/>
      <c r="IZ20" s="25"/>
      <c r="JA20" s="295"/>
      <c r="JH20" s="295"/>
      <c r="JN20" s="83"/>
      <c r="JO20" s="298"/>
      <c r="JV20" s="295"/>
      <c r="KC20" s="295"/>
      <c r="KI20" s="83"/>
      <c r="KJ20" s="331" t="s">
        <v>928</v>
      </c>
      <c r="KK20" s="16"/>
      <c r="KL20" s="16"/>
      <c r="KM20" s="16"/>
      <c r="KN20" s="16"/>
      <c r="KO20" s="16"/>
      <c r="KP20" s="16"/>
      <c r="KQ20" s="331" t="s">
        <v>928</v>
      </c>
      <c r="KR20" s="16"/>
      <c r="KS20" s="16"/>
      <c r="KT20" s="16"/>
      <c r="KU20" s="16"/>
      <c r="KV20" s="16"/>
      <c r="KW20" s="16"/>
      <c r="KX20" s="295"/>
      <c r="LE20" s="295"/>
      <c r="LL20" s="295"/>
      <c r="LS20" s="295"/>
      <c r="LZ20" s="295"/>
      <c r="MG20" s="295"/>
      <c r="MN20" s="295"/>
      <c r="MU20" s="295"/>
      <c r="NB20" s="302"/>
      <c r="NC20" s="302"/>
      <c r="ND20" s="302"/>
      <c r="NE20" s="302"/>
      <c r="NF20" s="302"/>
      <c r="NG20" s="302"/>
      <c r="NH20" s="302"/>
      <c r="NI20" s="302"/>
      <c r="NJ20" s="302"/>
      <c r="NK20" s="302"/>
      <c r="NL20" s="302"/>
      <c r="NM20" s="302"/>
      <c r="NN20" s="302"/>
      <c r="NO20" s="302"/>
      <c r="NP20" s="302"/>
      <c r="NQ20" s="302"/>
      <c r="NR20" s="302"/>
      <c r="NS20" s="302"/>
      <c r="NT20" s="302"/>
      <c r="NU20" s="302"/>
      <c r="NV20" s="302"/>
      <c r="NW20" s="302"/>
      <c r="NX20" s="302"/>
      <c r="NY20" s="302"/>
      <c r="NZ20" s="302"/>
      <c r="OA20" s="302"/>
      <c r="OB20" s="302"/>
      <c r="OC20" s="302"/>
      <c r="OD20" s="302"/>
      <c r="OE20" s="302"/>
      <c r="OF20" s="302"/>
      <c r="OG20" s="302"/>
      <c r="OH20" s="302"/>
      <c r="OI20" s="302"/>
      <c r="OJ20" s="302"/>
      <c r="OK20" s="302"/>
      <c r="OL20" s="302"/>
      <c r="OM20" s="302"/>
      <c r="ON20" s="302"/>
      <c r="OO20" s="302"/>
      <c r="OP20" s="302"/>
      <c r="OQ20" s="302"/>
      <c r="OR20" s="302"/>
      <c r="OS20" s="302"/>
      <c r="OT20" s="302"/>
      <c r="OU20" s="302"/>
      <c r="OV20" s="302"/>
      <c r="OW20" s="302"/>
      <c r="OX20" s="302"/>
      <c r="OY20" s="302"/>
      <c r="OZ20" s="302"/>
      <c r="PA20" s="302"/>
      <c r="PB20" s="302"/>
      <c r="PC20" s="302"/>
      <c r="PD20" s="302"/>
      <c r="PE20" s="302"/>
      <c r="PF20" s="302"/>
      <c r="PG20" s="302"/>
      <c r="PH20" s="302"/>
      <c r="PI20" s="302"/>
      <c r="PJ20" s="302"/>
      <c r="PK20" s="302"/>
      <c r="PL20" s="302"/>
      <c r="PM20" s="302"/>
      <c r="PN20" s="302"/>
      <c r="PO20" s="302"/>
      <c r="PP20" s="302"/>
      <c r="PQ20" s="302"/>
      <c r="PR20" s="302"/>
      <c r="PS20" s="302"/>
      <c r="PT20" s="302"/>
      <c r="PU20" s="302"/>
      <c r="PV20" s="302"/>
      <c r="PW20" s="302"/>
      <c r="PX20" s="302"/>
      <c r="PY20" s="302"/>
      <c r="PZ20" s="302"/>
      <c r="QA20" s="302"/>
      <c r="QB20" s="302"/>
      <c r="QC20" s="302"/>
      <c r="QD20" s="302"/>
      <c r="QE20" s="302"/>
      <c r="QF20" s="302"/>
      <c r="QG20" s="302"/>
      <c r="QH20" s="302"/>
      <c r="QI20" s="302"/>
      <c r="QJ20" s="302"/>
      <c r="QK20" s="302"/>
      <c r="QL20" s="302"/>
      <c r="QM20" s="302"/>
      <c r="QN20" s="302"/>
      <c r="QO20" s="302"/>
      <c r="QP20" s="302"/>
      <c r="QQ20" s="302"/>
      <c r="QR20" s="302"/>
      <c r="QS20" s="302"/>
      <c r="QT20" s="302"/>
      <c r="QU20" s="302"/>
      <c r="QV20" s="302"/>
      <c r="QW20" s="302"/>
      <c r="QX20" s="302"/>
      <c r="QY20" s="302"/>
      <c r="QZ20" s="302"/>
      <c r="RA20" s="302"/>
      <c r="RB20" s="302"/>
      <c r="RC20" s="302"/>
      <c r="RD20" s="302"/>
      <c r="RE20" s="302"/>
      <c r="RF20" s="302"/>
      <c r="RG20" s="302"/>
      <c r="RH20" s="302"/>
      <c r="RI20" s="302"/>
      <c r="RJ20" s="302"/>
      <c r="RK20" s="302"/>
      <c r="RL20" s="302"/>
      <c r="RM20" s="302"/>
      <c r="RN20" s="302"/>
      <c r="RO20" s="302"/>
      <c r="RP20" s="302"/>
      <c r="RQ20" s="302"/>
      <c r="RR20" s="302"/>
      <c r="RS20" s="302"/>
      <c r="RT20" s="302"/>
      <c r="RU20" s="302"/>
      <c r="RV20" s="302"/>
      <c r="RW20" s="302"/>
      <c r="RX20" s="302"/>
      <c r="RY20" s="302"/>
      <c r="RZ20" s="302"/>
      <c r="SA20" s="302"/>
      <c r="SB20" s="302"/>
      <c r="SC20" s="302"/>
      <c r="SD20" s="302"/>
      <c r="SE20" s="302"/>
      <c r="SF20" s="302"/>
      <c r="SG20" s="302"/>
      <c r="SH20" s="302"/>
      <c r="SI20" s="302"/>
      <c r="SJ20" s="302"/>
      <c r="SK20" s="302"/>
      <c r="SL20" s="302"/>
      <c r="SM20" s="302"/>
      <c r="SN20" s="302"/>
      <c r="SO20" s="302"/>
      <c r="SP20" s="302"/>
      <c r="SQ20" s="302"/>
      <c r="SR20" s="302"/>
      <c r="SS20" s="302"/>
      <c r="ST20" s="302"/>
      <c r="SU20" s="302"/>
      <c r="SV20" s="302"/>
      <c r="SW20" s="302"/>
      <c r="SX20" s="302"/>
      <c r="SY20" s="302"/>
      <c r="SZ20" s="302"/>
      <c r="TA20" s="302"/>
      <c r="TB20" s="302"/>
      <c r="TC20" s="302"/>
      <c r="TD20" s="302"/>
      <c r="TE20" s="302"/>
      <c r="TF20" s="302"/>
      <c r="TG20" s="302"/>
      <c r="TH20" s="302"/>
      <c r="TI20" s="302"/>
      <c r="TJ20" s="302"/>
      <c r="TK20" s="302"/>
      <c r="TL20" s="302"/>
      <c r="TM20" s="302"/>
      <c r="TN20" s="302"/>
      <c r="TO20" s="302"/>
      <c r="TP20" s="302"/>
      <c r="TQ20" s="302"/>
      <c r="TR20" s="302"/>
      <c r="TS20" s="302"/>
      <c r="TT20" s="302"/>
      <c r="TU20" s="302"/>
      <c r="TV20" s="302"/>
      <c r="TW20" s="302"/>
      <c r="TX20" s="302"/>
      <c r="TY20" s="302"/>
      <c r="TZ20" s="302"/>
      <c r="UA20" s="302"/>
      <c r="UB20" s="302"/>
      <c r="UC20" s="302"/>
      <c r="UD20" s="302"/>
      <c r="UE20" s="302"/>
      <c r="UF20" s="302"/>
      <c r="UG20" s="302"/>
      <c r="UH20" s="302"/>
      <c r="UI20" s="302"/>
      <c r="UJ20" s="302"/>
      <c r="UK20" s="302"/>
      <c r="UL20" s="302"/>
      <c r="UM20" s="302"/>
      <c r="UN20" s="302"/>
      <c r="UO20" s="302"/>
      <c r="UP20" s="302"/>
      <c r="UQ20" s="302"/>
      <c r="UR20" s="302"/>
      <c r="US20" s="302"/>
      <c r="UT20" s="302"/>
      <c r="UU20" s="302"/>
      <c r="UV20" s="302"/>
      <c r="UW20" s="302"/>
      <c r="UX20" s="302"/>
      <c r="UY20" s="302"/>
      <c r="UZ20" s="302"/>
      <c r="VA20" s="302"/>
      <c r="VB20" s="302"/>
      <c r="VC20" s="302"/>
      <c r="VD20" s="302"/>
      <c r="VE20" s="302"/>
      <c r="VF20" s="302"/>
      <c r="VG20" s="302"/>
      <c r="VH20" s="302"/>
      <c r="VI20" s="302"/>
      <c r="VJ20" s="302"/>
      <c r="VK20" s="302"/>
      <c r="VL20" s="302"/>
      <c r="VM20" s="302"/>
      <c r="VN20" s="302"/>
      <c r="VO20" s="302"/>
      <c r="VP20" s="302"/>
      <c r="VQ20" s="302"/>
      <c r="VR20" s="302"/>
      <c r="VS20" s="302"/>
      <c r="VT20" s="302"/>
      <c r="VU20" s="302"/>
      <c r="VV20" s="302"/>
      <c r="VW20" s="302"/>
      <c r="VX20" s="302"/>
      <c r="VY20" s="302"/>
      <c r="VZ20" s="302"/>
      <c r="WA20" s="302"/>
      <c r="WB20" s="302"/>
      <c r="WC20" s="302"/>
      <c r="WD20" s="302"/>
      <c r="WE20" s="302"/>
      <c r="WF20" s="302"/>
      <c r="WG20" s="302"/>
      <c r="WH20" s="302"/>
      <c r="WI20" s="302"/>
      <c r="WJ20" s="302"/>
      <c r="WK20" s="302"/>
      <c r="WL20" s="302"/>
      <c r="WM20" s="302"/>
      <c r="WN20" s="302"/>
      <c r="WO20" s="302"/>
      <c r="WP20" s="302"/>
      <c r="WQ20" s="302"/>
      <c r="WR20" s="302"/>
      <c r="WS20" s="302"/>
      <c r="WT20" s="302"/>
      <c r="WU20" s="302"/>
      <c r="WV20" s="302"/>
      <c r="WW20" s="302"/>
      <c r="WX20" s="302"/>
      <c r="WY20" s="302"/>
      <c r="WZ20" s="302"/>
      <c r="XA20" s="302"/>
      <c r="XB20" s="302"/>
      <c r="XC20" s="302"/>
      <c r="XD20" s="302"/>
      <c r="XE20" s="302"/>
      <c r="XF20" s="302"/>
      <c r="XG20" s="302"/>
      <c r="XH20" s="302"/>
      <c r="XI20" s="302"/>
      <c r="XJ20" s="302"/>
      <c r="XK20" s="302"/>
      <c r="XL20" s="302"/>
      <c r="XM20" s="302"/>
      <c r="XN20" s="302"/>
      <c r="XO20" s="302"/>
      <c r="XP20" s="302"/>
      <c r="XQ20" s="302"/>
      <c r="XR20" s="302"/>
      <c r="XS20" s="302"/>
      <c r="XT20" s="302"/>
      <c r="XU20" s="302"/>
      <c r="XV20" s="302"/>
      <c r="XW20" s="302"/>
      <c r="XX20" s="302"/>
      <c r="XY20" s="302"/>
      <c r="XZ20" s="302"/>
      <c r="YA20" s="302"/>
      <c r="YB20" s="302"/>
      <c r="YC20" s="302"/>
      <c r="YD20" s="302"/>
      <c r="YE20" s="302"/>
      <c r="YF20" s="302"/>
      <c r="YG20" s="302"/>
      <c r="YH20" s="302"/>
      <c r="YI20" s="302"/>
      <c r="YJ20" s="302"/>
      <c r="YK20" s="302"/>
      <c r="YL20" s="302"/>
      <c r="YM20" s="302"/>
      <c r="YN20" s="302"/>
      <c r="YO20" s="302"/>
      <c r="YP20" s="302"/>
      <c r="YQ20" s="302"/>
      <c r="YR20" s="302"/>
      <c r="YS20" s="302"/>
      <c r="YT20" s="302"/>
      <c r="YU20" s="302"/>
      <c r="YV20" s="302"/>
      <c r="YW20" s="302"/>
      <c r="YX20" s="302"/>
      <c r="YY20" s="302"/>
      <c r="YZ20" s="302"/>
      <c r="ZA20" s="302"/>
      <c r="ZB20" s="302"/>
      <c r="ZC20" s="302"/>
      <c r="ZD20" s="302"/>
      <c r="ZE20" s="302"/>
    </row>
    <row r="21" ht="17.25" customHeight="1">
      <c r="A21" s="156" t="s">
        <v>1248</v>
      </c>
      <c r="B21" s="108" t="s">
        <v>1249</v>
      </c>
      <c r="C21" s="16"/>
      <c r="D21" s="16"/>
      <c r="E21" s="16"/>
      <c r="F21" s="16"/>
      <c r="G21" s="16"/>
      <c r="H21" s="25"/>
      <c r="I21" s="108" t="s">
        <v>1250</v>
      </c>
      <c r="J21" s="16"/>
      <c r="K21" s="16"/>
      <c r="L21" s="16"/>
      <c r="M21" s="16"/>
      <c r="N21" s="16"/>
      <c r="O21" s="25"/>
      <c r="P21" s="108" t="s">
        <v>1250</v>
      </c>
      <c r="Q21" s="16"/>
      <c r="R21" s="16"/>
      <c r="S21" s="16"/>
      <c r="T21" s="16"/>
      <c r="U21" s="16"/>
      <c r="V21" s="25"/>
      <c r="W21" s="108" t="s">
        <v>1207</v>
      </c>
      <c r="X21" s="16"/>
      <c r="Y21" s="16"/>
      <c r="Z21" s="16"/>
      <c r="AA21" s="16"/>
      <c r="AB21" s="16"/>
      <c r="AC21" s="25"/>
      <c r="AD21" s="108" t="s">
        <v>1252</v>
      </c>
      <c r="AE21" s="16"/>
      <c r="AF21" s="16"/>
      <c r="AG21" s="16"/>
      <c r="AH21" s="16"/>
      <c r="AI21" s="16"/>
      <c r="AJ21" s="25"/>
      <c r="AK21" s="108" t="s">
        <v>189</v>
      </c>
      <c r="AL21" s="16"/>
      <c r="AM21" s="16"/>
      <c r="AN21" s="16"/>
      <c r="AO21" s="16"/>
      <c r="AP21" s="16"/>
      <c r="AQ21" s="25"/>
      <c r="AR21" s="108" t="s">
        <v>189</v>
      </c>
      <c r="AS21" s="16"/>
      <c r="AT21" s="16"/>
      <c r="AU21" s="16"/>
      <c r="AV21" s="16"/>
      <c r="AW21" s="16"/>
      <c r="AX21" s="25"/>
      <c r="AY21" s="108" t="s">
        <v>1253</v>
      </c>
      <c r="AZ21" s="16"/>
      <c r="BA21" s="16"/>
      <c r="BB21" s="16"/>
      <c r="BC21" s="16"/>
      <c r="BD21" s="16"/>
      <c r="BE21" s="25"/>
      <c r="BF21" s="108" t="s">
        <v>1254</v>
      </c>
      <c r="BG21" s="16"/>
      <c r="BH21" s="16"/>
      <c r="BI21" s="16"/>
      <c r="BJ21" s="16"/>
      <c r="BK21" s="16"/>
      <c r="BL21" s="25"/>
      <c r="BM21" s="108" t="s">
        <v>1255</v>
      </c>
      <c r="BN21" s="16"/>
      <c r="BO21" s="16"/>
      <c r="BP21" s="16"/>
      <c r="BQ21" s="16"/>
      <c r="BR21" s="16"/>
      <c r="BS21" s="25"/>
      <c r="BT21" s="108" t="s">
        <v>1257</v>
      </c>
      <c r="BU21" s="16"/>
      <c r="BV21" s="16"/>
      <c r="BW21" s="16"/>
      <c r="BX21" s="16"/>
      <c r="BY21" s="16"/>
      <c r="BZ21" s="25"/>
      <c r="CA21" s="108" t="s">
        <v>1258</v>
      </c>
      <c r="CB21" s="16"/>
      <c r="CC21" s="16"/>
      <c r="CD21" s="16"/>
      <c r="CE21" s="16"/>
      <c r="CF21" s="16"/>
      <c r="CG21" s="25"/>
      <c r="CH21" s="333" t="s">
        <v>1207</v>
      </c>
      <c r="CI21" s="16"/>
      <c r="CJ21" s="16"/>
      <c r="CK21" s="16"/>
      <c r="CL21" s="16"/>
      <c r="CM21" s="16"/>
      <c r="CN21" s="25"/>
      <c r="CO21" s="108" t="s">
        <v>1259</v>
      </c>
      <c r="CP21" s="16"/>
      <c r="CQ21" s="16"/>
      <c r="CR21" s="16"/>
      <c r="CS21" s="16"/>
      <c r="CT21" s="16"/>
      <c r="CU21" s="25"/>
      <c r="CV21" s="108" t="s">
        <v>1259</v>
      </c>
      <c r="CW21" s="16"/>
      <c r="CX21" s="16"/>
      <c r="CY21" s="16"/>
      <c r="CZ21" s="16"/>
      <c r="DA21" s="16"/>
      <c r="DB21" s="25"/>
      <c r="DC21" s="108" t="s">
        <v>1260</v>
      </c>
      <c r="DD21" s="16"/>
      <c r="DE21" s="16"/>
      <c r="DF21" s="16"/>
      <c r="DG21" s="16"/>
      <c r="DH21" s="16"/>
      <c r="DI21" s="25"/>
      <c r="DJ21" s="108" t="s">
        <v>425</v>
      </c>
      <c r="DK21" s="16"/>
      <c r="DL21" s="16"/>
      <c r="DM21" s="16"/>
      <c r="DN21" s="16"/>
      <c r="DO21" s="16"/>
      <c r="DP21" s="25"/>
      <c r="DQ21" s="108" t="s">
        <v>1261</v>
      </c>
      <c r="DR21" s="16"/>
      <c r="DS21" s="16"/>
      <c r="DT21" s="16"/>
      <c r="DU21" s="16"/>
      <c r="DV21" s="16"/>
      <c r="DW21" s="25"/>
      <c r="DX21" s="333" t="s">
        <v>1262</v>
      </c>
      <c r="DY21" s="16"/>
      <c r="DZ21" s="16"/>
      <c r="EA21" s="16"/>
      <c r="EB21" s="16"/>
      <c r="EC21" s="16"/>
      <c r="ED21" s="25"/>
      <c r="EE21" s="108" t="s">
        <v>1263</v>
      </c>
      <c r="EF21" s="16"/>
      <c r="EG21" s="16"/>
      <c r="EH21" s="16"/>
      <c r="EI21" s="16"/>
      <c r="EJ21" s="16"/>
      <c r="EK21" s="25"/>
      <c r="EL21" s="108" t="s">
        <v>1263</v>
      </c>
      <c r="EM21" s="16"/>
      <c r="EN21" s="16"/>
      <c r="EO21" s="16"/>
      <c r="EP21" s="16"/>
      <c r="EQ21" s="16"/>
      <c r="ER21" s="25"/>
      <c r="ES21" s="108" t="s">
        <v>1263</v>
      </c>
      <c r="ET21" s="16"/>
      <c r="EU21" s="16"/>
      <c r="EV21" s="16"/>
      <c r="EW21" s="16"/>
      <c r="EX21" s="16"/>
      <c r="EY21" s="25"/>
      <c r="EZ21" s="336" t="s">
        <v>1264</v>
      </c>
      <c r="FG21" s="86" t="s">
        <v>1265</v>
      </c>
      <c r="FM21" s="83"/>
      <c r="FN21" s="86" t="s">
        <v>1266</v>
      </c>
      <c r="FU21" s="333" t="s">
        <v>1207</v>
      </c>
      <c r="FV21" s="16"/>
      <c r="FW21" s="16"/>
      <c r="FX21" s="16"/>
      <c r="FY21" s="16"/>
      <c r="FZ21" s="16"/>
      <c r="GA21" s="25"/>
      <c r="GB21" s="153"/>
      <c r="GC21" s="16"/>
      <c r="GD21" s="16"/>
      <c r="GE21" s="16"/>
      <c r="GF21" s="16"/>
      <c r="GG21" s="16"/>
      <c r="GH21" s="25"/>
      <c r="GI21" s="153"/>
      <c r="GJ21" s="16"/>
      <c r="GK21" s="16"/>
      <c r="GL21" s="16"/>
      <c r="GM21" s="16"/>
      <c r="GN21" s="16"/>
      <c r="GO21" s="25"/>
      <c r="GP21" s="153"/>
      <c r="GQ21" s="16"/>
      <c r="GR21" s="16"/>
      <c r="GS21" s="16"/>
      <c r="GT21" s="16"/>
      <c r="GU21" s="16"/>
      <c r="GV21" s="25"/>
      <c r="GW21" s="153"/>
      <c r="GX21" s="16"/>
      <c r="GY21" s="16"/>
      <c r="GZ21" s="16"/>
      <c r="HA21" s="16"/>
      <c r="HB21" s="16"/>
      <c r="HC21" s="25"/>
      <c r="HD21" s="153"/>
      <c r="HE21" s="16"/>
      <c r="HF21" s="16"/>
      <c r="HG21" s="16"/>
      <c r="HH21" s="16"/>
      <c r="HI21" s="16"/>
      <c r="HJ21" s="25"/>
      <c r="HK21" s="153"/>
      <c r="HL21" s="16"/>
      <c r="HM21" s="16"/>
      <c r="HN21" s="16"/>
      <c r="HO21" s="16"/>
      <c r="HP21" s="16"/>
      <c r="HQ21" s="25"/>
      <c r="HR21" s="153"/>
      <c r="HS21" s="16"/>
      <c r="HT21" s="16"/>
      <c r="HU21" s="16"/>
      <c r="HV21" s="16"/>
      <c r="HW21" s="16"/>
      <c r="HX21" s="25"/>
      <c r="HY21" s="153"/>
      <c r="HZ21" s="16"/>
      <c r="IA21" s="16"/>
      <c r="IB21" s="16"/>
      <c r="IC21" s="16"/>
      <c r="ID21" s="16"/>
      <c r="IE21" s="25"/>
      <c r="IF21" s="153"/>
      <c r="IG21" s="16"/>
      <c r="IH21" s="16"/>
      <c r="II21" s="16"/>
      <c r="IJ21" s="16"/>
      <c r="IK21" s="16"/>
      <c r="IL21" s="25"/>
      <c r="IM21" s="339"/>
      <c r="IT21" s="339"/>
      <c r="JA21" s="339"/>
      <c r="JH21" s="339"/>
      <c r="JN21" s="83"/>
      <c r="JO21" s="339"/>
      <c r="JV21" s="339"/>
      <c r="KC21" s="339"/>
      <c r="KI21" s="83"/>
      <c r="KJ21" s="339"/>
      <c r="KP21" s="83"/>
      <c r="KQ21" s="339"/>
      <c r="KX21" s="339"/>
      <c r="LE21" s="339"/>
      <c r="LL21" s="339"/>
      <c r="LS21" s="339"/>
      <c r="LZ21" s="339"/>
      <c r="MG21" s="339"/>
      <c r="MN21" s="339"/>
      <c r="MU21" s="339"/>
      <c r="NB21" s="288"/>
      <c r="NC21" s="113"/>
      <c r="ND21" s="113"/>
      <c r="NE21" s="113"/>
      <c r="NF21" s="113"/>
      <c r="NG21" s="113"/>
      <c r="NH21" s="113"/>
      <c r="NI21" s="113"/>
      <c r="NJ21" s="113"/>
      <c r="NK21" s="113"/>
      <c r="NL21" s="113"/>
      <c r="NM21" s="113"/>
      <c r="NN21" s="113"/>
      <c r="NO21" s="113"/>
      <c r="NP21" s="113"/>
      <c r="NQ21" s="113"/>
      <c r="NR21" s="113"/>
      <c r="NS21" s="113"/>
      <c r="NT21" s="113"/>
      <c r="NU21" s="113"/>
      <c r="NV21" s="113"/>
      <c r="NW21" s="113"/>
      <c r="NX21" s="113"/>
      <c r="NY21" s="113"/>
      <c r="NZ21" s="113"/>
      <c r="OA21" s="113"/>
      <c r="OB21" s="113"/>
      <c r="OC21" s="113"/>
      <c r="OD21" s="113"/>
      <c r="OE21" s="113"/>
      <c r="OF21" s="113"/>
      <c r="OG21" s="113"/>
      <c r="OH21" s="113"/>
      <c r="OI21" s="113"/>
      <c r="OJ21" s="113"/>
      <c r="OK21" s="113"/>
      <c r="OL21" s="113"/>
      <c r="OM21" s="113"/>
      <c r="ON21" s="113"/>
      <c r="OO21" s="113"/>
      <c r="OP21" s="113"/>
      <c r="OQ21" s="113"/>
      <c r="OR21" s="113"/>
      <c r="OS21" s="113"/>
      <c r="OT21" s="113"/>
      <c r="OU21" s="113"/>
      <c r="OV21" s="113"/>
      <c r="OW21" s="113"/>
      <c r="OX21" s="113"/>
      <c r="OY21" s="113"/>
      <c r="OZ21" s="113"/>
      <c r="PA21" s="113"/>
      <c r="PB21" s="113"/>
      <c r="PC21" s="113"/>
      <c r="PD21" s="113"/>
      <c r="PE21" s="113"/>
      <c r="PF21" s="113"/>
      <c r="PG21" s="113"/>
      <c r="PH21" s="113"/>
      <c r="PI21" s="113"/>
      <c r="PJ21" s="113"/>
      <c r="PK21" s="113"/>
      <c r="PL21" s="113"/>
      <c r="PM21" s="113"/>
      <c r="PN21" s="113"/>
      <c r="PO21" s="113"/>
      <c r="PP21" s="113"/>
      <c r="PQ21" s="113"/>
      <c r="PR21" s="113"/>
      <c r="PS21" s="113"/>
      <c r="PT21" s="113"/>
      <c r="PU21" s="113"/>
      <c r="PV21" s="113"/>
      <c r="PW21" s="113"/>
      <c r="PX21" s="113"/>
      <c r="PY21" s="113"/>
      <c r="PZ21" s="113"/>
      <c r="QA21" s="113"/>
      <c r="QB21" s="113"/>
      <c r="QC21" s="113"/>
      <c r="QD21" s="113"/>
      <c r="QE21" s="113"/>
      <c r="QF21" s="113"/>
      <c r="QG21" s="113"/>
      <c r="QH21" s="113"/>
      <c r="QI21" s="113"/>
      <c r="QJ21" s="113"/>
      <c r="QK21" s="113"/>
      <c r="QL21" s="113"/>
      <c r="QM21" s="113"/>
      <c r="QN21" s="113"/>
      <c r="QO21" s="113"/>
      <c r="QP21" s="113"/>
      <c r="QQ21" s="113"/>
      <c r="QR21" s="113"/>
      <c r="QS21" s="113"/>
      <c r="QT21" s="113"/>
      <c r="QU21" s="113"/>
      <c r="QV21" s="113"/>
      <c r="QW21" s="113"/>
      <c r="QX21" s="113"/>
      <c r="QY21" s="113"/>
      <c r="QZ21" s="113"/>
      <c r="RA21" s="113"/>
      <c r="RB21" s="113"/>
      <c r="RC21" s="113"/>
      <c r="RD21" s="113"/>
      <c r="RE21" s="113"/>
      <c r="RF21" s="113"/>
      <c r="RG21" s="113"/>
      <c r="RH21" s="113"/>
      <c r="RI21" s="113"/>
      <c r="RJ21" s="113"/>
      <c r="RK21" s="113"/>
      <c r="RL21" s="113"/>
      <c r="RM21" s="113"/>
      <c r="RN21" s="113"/>
      <c r="RO21" s="113"/>
      <c r="RP21" s="113"/>
      <c r="RQ21" s="113"/>
      <c r="RR21" s="113"/>
      <c r="RS21" s="113"/>
      <c r="RT21" s="113"/>
      <c r="RU21" s="113"/>
      <c r="RV21" s="113"/>
      <c r="RW21" s="113"/>
      <c r="RX21" s="113"/>
      <c r="RY21" s="113"/>
      <c r="RZ21" s="113"/>
      <c r="SA21" s="113"/>
      <c r="SB21" s="113"/>
      <c r="SC21" s="113"/>
      <c r="SD21" s="113"/>
      <c r="SE21" s="113"/>
      <c r="SF21" s="113"/>
      <c r="SG21" s="113"/>
      <c r="SH21" s="113"/>
      <c r="SI21" s="113"/>
      <c r="SJ21" s="113"/>
      <c r="SK21" s="113"/>
      <c r="SL21" s="113"/>
      <c r="SM21" s="113"/>
      <c r="SN21" s="113"/>
      <c r="SO21" s="113"/>
      <c r="SP21" s="113"/>
      <c r="SQ21" s="113"/>
      <c r="SR21" s="113"/>
      <c r="SS21" s="113"/>
      <c r="ST21" s="113"/>
      <c r="SU21" s="113"/>
      <c r="SV21" s="113"/>
      <c r="SW21" s="113"/>
      <c r="SX21" s="113"/>
      <c r="SY21" s="113"/>
      <c r="SZ21" s="113"/>
      <c r="TA21" s="113"/>
      <c r="TB21" s="113"/>
      <c r="TC21" s="113"/>
      <c r="TD21" s="113"/>
      <c r="TE21" s="113"/>
      <c r="TF21" s="113"/>
      <c r="TG21" s="113"/>
      <c r="TH21" s="113"/>
      <c r="TI21" s="113"/>
      <c r="TJ21" s="113"/>
      <c r="TK21" s="113"/>
      <c r="TL21" s="113"/>
      <c r="TM21" s="113"/>
      <c r="TN21" s="113"/>
      <c r="TO21" s="113"/>
      <c r="TP21" s="113"/>
      <c r="TQ21" s="113"/>
      <c r="TR21" s="113"/>
      <c r="TS21" s="113"/>
      <c r="TT21" s="113"/>
      <c r="TU21" s="113"/>
      <c r="TV21" s="113"/>
      <c r="TW21" s="113"/>
      <c r="TX21" s="113"/>
      <c r="TY21" s="113"/>
      <c r="TZ21" s="113"/>
      <c r="UA21" s="113"/>
      <c r="UB21" s="113"/>
      <c r="UC21" s="113"/>
      <c r="UD21" s="113"/>
      <c r="UE21" s="113"/>
      <c r="UF21" s="113"/>
      <c r="UG21" s="113"/>
      <c r="UH21" s="113"/>
      <c r="UI21" s="113"/>
      <c r="UJ21" s="113"/>
      <c r="UK21" s="113"/>
      <c r="UL21" s="113"/>
      <c r="UM21" s="113"/>
      <c r="UN21" s="113"/>
      <c r="UO21" s="113"/>
      <c r="UP21" s="113"/>
      <c r="UQ21" s="113"/>
      <c r="UR21" s="113"/>
      <c r="US21" s="113"/>
      <c r="UT21" s="113"/>
      <c r="UU21" s="113"/>
      <c r="UV21" s="113"/>
      <c r="UW21" s="113"/>
      <c r="UX21" s="113"/>
      <c r="UY21" s="113"/>
      <c r="UZ21" s="113"/>
      <c r="VA21" s="113"/>
      <c r="VB21" s="113"/>
      <c r="VC21" s="113"/>
      <c r="VD21" s="113"/>
      <c r="VE21" s="113"/>
      <c r="VF21" s="113"/>
      <c r="VG21" s="113"/>
      <c r="VH21" s="113"/>
      <c r="VI21" s="113"/>
      <c r="VJ21" s="113"/>
      <c r="VK21" s="113"/>
      <c r="VL21" s="113"/>
      <c r="VM21" s="113"/>
      <c r="VN21" s="113"/>
      <c r="VO21" s="113"/>
      <c r="VP21" s="113"/>
      <c r="VQ21" s="113"/>
      <c r="VR21" s="113"/>
      <c r="VS21" s="113"/>
      <c r="VT21" s="113"/>
      <c r="VU21" s="113"/>
      <c r="VV21" s="113"/>
      <c r="VW21" s="113"/>
      <c r="VX21" s="113"/>
      <c r="VY21" s="113"/>
      <c r="VZ21" s="113"/>
      <c r="WA21" s="113"/>
      <c r="WB21" s="113"/>
      <c r="WC21" s="113"/>
      <c r="WD21" s="113"/>
      <c r="WE21" s="113"/>
      <c r="WF21" s="113"/>
      <c r="WG21" s="113"/>
      <c r="WH21" s="113"/>
      <c r="WI21" s="113"/>
      <c r="WJ21" s="113"/>
      <c r="WK21" s="113"/>
      <c r="WL21" s="113"/>
      <c r="WM21" s="113"/>
      <c r="WN21" s="113"/>
      <c r="WO21" s="113"/>
      <c r="WP21" s="113"/>
      <c r="WQ21" s="113"/>
      <c r="WR21" s="113"/>
      <c r="WS21" s="113"/>
      <c r="WT21" s="113"/>
      <c r="WU21" s="113"/>
      <c r="WV21" s="113"/>
      <c r="WW21" s="113"/>
      <c r="WX21" s="113"/>
      <c r="WY21" s="113"/>
      <c r="WZ21" s="113"/>
      <c r="XA21" s="113"/>
      <c r="XB21" s="113"/>
      <c r="XC21" s="113"/>
      <c r="XD21" s="113"/>
      <c r="XE21" s="113"/>
      <c r="XF21" s="113"/>
      <c r="XG21" s="113"/>
      <c r="XH21" s="113"/>
      <c r="XI21" s="113"/>
      <c r="XJ21" s="113"/>
      <c r="XK21" s="113"/>
      <c r="XL21" s="113"/>
      <c r="XM21" s="113"/>
      <c r="XN21" s="113"/>
      <c r="XO21" s="113"/>
      <c r="XP21" s="113"/>
      <c r="XQ21" s="113"/>
      <c r="XR21" s="113"/>
      <c r="XS21" s="113"/>
      <c r="XT21" s="113"/>
      <c r="XU21" s="113"/>
      <c r="XV21" s="113"/>
      <c r="XW21" s="113"/>
      <c r="XX21" s="113"/>
      <c r="XY21" s="113"/>
      <c r="XZ21" s="113"/>
      <c r="YA21" s="113"/>
      <c r="YB21" s="113"/>
      <c r="YC21" s="113"/>
      <c r="YD21" s="113"/>
      <c r="YE21" s="113"/>
      <c r="YF21" s="113"/>
      <c r="YG21" s="113"/>
      <c r="YH21" s="113"/>
      <c r="YI21" s="113"/>
      <c r="YJ21" s="113"/>
      <c r="YK21" s="113"/>
      <c r="YL21" s="113"/>
      <c r="YM21" s="113"/>
      <c r="YN21" s="113"/>
      <c r="YO21" s="113"/>
      <c r="YP21" s="113"/>
      <c r="YQ21" s="113"/>
      <c r="YR21" s="113"/>
      <c r="YS21" s="113"/>
      <c r="YT21" s="113"/>
      <c r="YU21" s="113"/>
      <c r="YV21" s="113"/>
      <c r="YW21" s="113"/>
      <c r="YX21" s="113"/>
      <c r="YY21" s="113"/>
      <c r="YZ21" s="113"/>
      <c r="ZA21" s="113"/>
      <c r="ZB21" s="113"/>
      <c r="ZC21" s="113"/>
      <c r="ZD21" s="113"/>
      <c r="ZE21" s="113"/>
    </row>
    <row r="22">
      <c r="A22" s="156" t="s">
        <v>343</v>
      </c>
      <c r="I22" s="108" t="s">
        <v>1039</v>
      </c>
      <c r="J22" s="16"/>
      <c r="K22" s="16"/>
      <c r="L22" s="16"/>
      <c r="M22" s="16"/>
      <c r="N22" s="16"/>
      <c r="O22" s="25"/>
      <c r="P22" s="108" t="s">
        <v>1039</v>
      </c>
      <c r="Q22" s="16"/>
      <c r="R22" s="16"/>
      <c r="S22" s="16"/>
      <c r="T22" s="16"/>
      <c r="U22" s="16"/>
      <c r="V22" s="25"/>
      <c r="W22" s="108" t="s">
        <v>1310</v>
      </c>
      <c r="X22" s="16"/>
      <c r="Y22" s="16"/>
      <c r="Z22" s="16"/>
      <c r="AA22" s="16"/>
      <c r="AB22" s="16"/>
      <c r="AC22" s="25"/>
      <c r="AD22" s="108" t="s">
        <v>1313</v>
      </c>
      <c r="AE22" s="16"/>
      <c r="AF22" s="16"/>
      <c r="AG22" s="16"/>
      <c r="AH22" s="16"/>
      <c r="AI22" s="16"/>
      <c r="AJ22" s="25"/>
      <c r="AK22" s="108" t="s">
        <v>189</v>
      </c>
      <c r="AL22" s="16"/>
      <c r="AM22" s="16"/>
      <c r="AN22" s="16"/>
      <c r="AO22" s="16"/>
      <c r="AP22" s="16"/>
      <c r="AQ22" s="25"/>
      <c r="AR22" s="108" t="s">
        <v>189</v>
      </c>
      <c r="AS22" s="16"/>
      <c r="AT22" s="16"/>
      <c r="AU22" s="16"/>
      <c r="AV22" s="16"/>
      <c r="AW22" s="16"/>
      <c r="AX22" s="25"/>
      <c r="AY22" s="108" t="s">
        <v>1322</v>
      </c>
      <c r="AZ22" s="16"/>
      <c r="BA22" s="16"/>
      <c r="BB22" s="16"/>
      <c r="BC22" s="16"/>
      <c r="BD22" s="16"/>
      <c r="BE22" s="25"/>
      <c r="BF22" s="108" t="s">
        <v>1323</v>
      </c>
      <c r="BG22" s="16"/>
      <c r="BH22" s="16"/>
      <c r="BI22" s="16"/>
      <c r="BJ22" s="16"/>
      <c r="BK22" s="16"/>
      <c r="BL22" s="25"/>
      <c r="BM22" s="108" t="s">
        <v>1326</v>
      </c>
      <c r="BN22" s="16"/>
      <c r="BO22" s="16"/>
      <c r="BP22" s="16"/>
      <c r="BQ22" s="16"/>
      <c r="BR22" s="16"/>
      <c r="BS22" s="25"/>
      <c r="BT22" s="108" t="s">
        <v>1326</v>
      </c>
      <c r="BU22" s="16"/>
      <c r="BV22" s="16"/>
      <c r="BW22" s="16"/>
      <c r="BX22" s="16"/>
      <c r="BY22" s="16"/>
      <c r="BZ22" s="25"/>
      <c r="CA22" s="108" t="s">
        <v>635</v>
      </c>
      <c r="CB22" s="16"/>
      <c r="CC22" s="16"/>
      <c r="CD22" s="16"/>
      <c r="CE22" s="16"/>
      <c r="CF22" s="16"/>
      <c r="CG22" s="25"/>
      <c r="CH22" s="108" t="s">
        <v>1332</v>
      </c>
      <c r="CI22" s="16"/>
      <c r="CJ22" s="16"/>
      <c r="CK22" s="16"/>
      <c r="CL22" s="16"/>
      <c r="CM22" s="16"/>
      <c r="CN22" s="25"/>
      <c r="CO22" s="108" t="s">
        <v>1332</v>
      </c>
      <c r="CP22" s="16"/>
      <c r="CQ22" s="16"/>
      <c r="CR22" s="16"/>
      <c r="CS22" s="16"/>
      <c r="CT22" s="16"/>
      <c r="CU22" s="25"/>
      <c r="CV22" s="333" t="s">
        <v>1207</v>
      </c>
      <c r="CW22" s="16"/>
      <c r="CX22" s="16"/>
      <c r="CY22" s="16"/>
      <c r="CZ22" s="16"/>
      <c r="DA22" s="16"/>
      <c r="DB22" s="25"/>
      <c r="DC22" s="108" t="s">
        <v>1336</v>
      </c>
      <c r="DD22" s="16"/>
      <c r="DE22" s="16"/>
      <c r="DF22" s="16"/>
      <c r="DG22" s="16"/>
      <c r="DH22" s="16"/>
      <c r="DI22" s="25"/>
      <c r="DJ22" s="108" t="s">
        <v>1338</v>
      </c>
      <c r="DK22" s="16"/>
      <c r="DL22" s="16"/>
      <c r="DM22" s="16"/>
      <c r="DN22" s="16"/>
      <c r="DO22" s="16"/>
      <c r="DP22" s="25"/>
      <c r="DQ22" s="108" t="s">
        <v>1340</v>
      </c>
      <c r="DR22" s="16"/>
      <c r="DS22" s="16"/>
      <c r="DT22" s="16"/>
      <c r="DU22" s="16"/>
      <c r="DV22" s="16"/>
      <c r="DW22" s="25"/>
      <c r="DX22" s="108" t="s">
        <v>1340</v>
      </c>
      <c r="DY22" s="16"/>
      <c r="DZ22" s="16"/>
      <c r="EA22" s="16"/>
      <c r="EB22" s="16"/>
      <c r="EC22" s="16"/>
      <c r="ED22" s="25"/>
      <c r="EE22" s="333" t="s">
        <v>1346</v>
      </c>
      <c r="EF22" s="16"/>
      <c r="EG22" s="16"/>
      <c r="EH22" s="16"/>
      <c r="EI22" s="16"/>
      <c r="EJ22" s="16"/>
      <c r="EK22" s="25"/>
      <c r="EL22" s="333" t="s">
        <v>1352</v>
      </c>
      <c r="EM22" s="16"/>
      <c r="EN22" s="16"/>
      <c r="EO22" s="16"/>
      <c r="EP22" s="16"/>
      <c r="EQ22" s="16"/>
      <c r="ER22" s="25"/>
      <c r="ES22" s="108" t="s">
        <v>1353</v>
      </c>
      <c r="ET22" s="16"/>
      <c r="EU22" s="16"/>
      <c r="EV22" s="16"/>
      <c r="EW22" s="16"/>
      <c r="EX22" s="16"/>
      <c r="EY22" s="25"/>
      <c r="EZ22" s="108" t="s">
        <v>1355</v>
      </c>
      <c r="FA22" s="16"/>
      <c r="FB22" s="16"/>
      <c r="FC22" s="16"/>
      <c r="FD22" s="16"/>
      <c r="FE22" s="16"/>
      <c r="FF22" s="25"/>
      <c r="FG22" s="108" t="s">
        <v>1357</v>
      </c>
      <c r="FH22" s="16"/>
      <c r="FI22" s="16"/>
      <c r="FJ22" s="16"/>
      <c r="FK22" s="16"/>
      <c r="FL22" s="16"/>
      <c r="FM22" s="25"/>
      <c r="FN22" s="333" t="s">
        <v>1358</v>
      </c>
      <c r="FO22" s="16"/>
      <c r="FP22" s="16"/>
      <c r="FQ22" s="16"/>
      <c r="FR22" s="16"/>
      <c r="FS22" s="16"/>
      <c r="FT22" s="25"/>
      <c r="FU22" s="108" t="s">
        <v>1361</v>
      </c>
      <c r="FV22" s="16"/>
      <c r="FW22" s="16"/>
      <c r="FX22" s="16"/>
      <c r="FY22" s="16"/>
      <c r="FZ22" s="16"/>
      <c r="GA22" s="25"/>
      <c r="GB22" s="153"/>
      <c r="GC22" s="16"/>
      <c r="GD22" s="16"/>
      <c r="GE22" s="16"/>
      <c r="GF22" s="16"/>
      <c r="GG22" s="16"/>
      <c r="GH22" s="25"/>
      <c r="GI22" s="153"/>
      <c r="GJ22" s="16"/>
      <c r="GK22" s="16"/>
      <c r="GL22" s="16"/>
      <c r="GM22" s="16"/>
      <c r="GN22" s="16"/>
      <c r="GO22" s="25"/>
      <c r="GP22" s="153"/>
      <c r="GQ22" s="16"/>
      <c r="GR22" s="16"/>
      <c r="GS22" s="16"/>
      <c r="GT22" s="16"/>
      <c r="GU22" s="16"/>
      <c r="GV22" s="25"/>
      <c r="GW22" s="153"/>
      <c r="GX22" s="16"/>
      <c r="GY22" s="16"/>
      <c r="GZ22" s="16"/>
      <c r="HA22" s="16"/>
      <c r="HB22" s="16"/>
      <c r="HC22" s="25"/>
      <c r="HD22" s="153"/>
      <c r="HE22" s="16"/>
      <c r="HF22" s="16"/>
      <c r="HG22" s="16"/>
      <c r="HH22" s="16"/>
      <c r="HI22" s="16"/>
      <c r="HJ22" s="25"/>
      <c r="HK22" s="153"/>
      <c r="HL22" s="16"/>
      <c r="HM22" s="16"/>
      <c r="HN22" s="16"/>
      <c r="HO22" s="16"/>
      <c r="HP22" s="16"/>
      <c r="HQ22" s="25"/>
      <c r="HR22" s="153"/>
      <c r="HS22" s="16"/>
      <c r="HT22" s="16"/>
      <c r="HU22" s="16"/>
      <c r="HV22" s="16"/>
      <c r="HW22" s="16"/>
      <c r="HX22" s="25"/>
      <c r="HY22" s="153"/>
      <c r="HZ22" s="16"/>
      <c r="IA22" s="16"/>
      <c r="IB22" s="16"/>
      <c r="IC22" s="16"/>
      <c r="ID22" s="16"/>
      <c r="IE22" s="25"/>
      <c r="IF22" s="153"/>
      <c r="IG22" s="16"/>
      <c r="IH22" s="16"/>
      <c r="II22" s="16"/>
      <c r="IJ22" s="16"/>
      <c r="IK22" s="16"/>
      <c r="IL22" s="25"/>
      <c r="IM22" s="339"/>
      <c r="IT22" s="339"/>
      <c r="JA22" s="339"/>
      <c r="JH22" s="339"/>
      <c r="JN22" s="83"/>
      <c r="JO22" s="344"/>
      <c r="JV22" s="339"/>
      <c r="KC22" s="339"/>
      <c r="KI22" s="83"/>
      <c r="KJ22" s="339"/>
      <c r="KP22" s="83"/>
      <c r="KQ22" s="339"/>
      <c r="KX22" s="339"/>
      <c r="LE22" s="339"/>
      <c r="LL22" s="339"/>
      <c r="LS22" s="339"/>
      <c r="LZ22" s="339"/>
      <c r="MG22" s="339"/>
      <c r="MN22" s="339"/>
      <c r="MU22" s="339"/>
      <c r="NB22" s="288"/>
      <c r="NC22" s="113"/>
      <c r="ND22" s="113"/>
      <c r="NE22" s="113"/>
      <c r="NF22" s="113"/>
      <c r="NG22" s="113"/>
      <c r="NH22" s="113"/>
      <c r="NI22" s="113"/>
      <c r="NJ22" s="113"/>
      <c r="NK22" s="113"/>
      <c r="NL22" s="113"/>
      <c r="NM22" s="113"/>
      <c r="NN22" s="113"/>
      <c r="NO22" s="113"/>
      <c r="NP22" s="113"/>
      <c r="NQ22" s="113"/>
      <c r="NR22" s="113"/>
      <c r="NS22" s="113"/>
      <c r="NT22" s="113"/>
      <c r="NU22" s="113"/>
      <c r="NV22" s="113"/>
      <c r="NW22" s="113"/>
      <c r="NX22" s="113"/>
      <c r="NY22" s="113"/>
      <c r="NZ22" s="113"/>
      <c r="OA22" s="113"/>
      <c r="OB22" s="113"/>
      <c r="OC22" s="113"/>
      <c r="OD22" s="113"/>
      <c r="OE22" s="113"/>
      <c r="OF22" s="113"/>
      <c r="OG22" s="113"/>
      <c r="OH22" s="113"/>
      <c r="OI22" s="113"/>
      <c r="OJ22" s="113"/>
      <c r="OK22" s="113"/>
      <c r="OL22" s="113"/>
      <c r="OM22" s="113"/>
      <c r="ON22" s="113"/>
      <c r="OO22" s="113"/>
      <c r="OP22" s="113"/>
      <c r="OQ22" s="113"/>
      <c r="OR22" s="113"/>
      <c r="OS22" s="113"/>
      <c r="OT22" s="113"/>
      <c r="OU22" s="113"/>
      <c r="OV22" s="113"/>
      <c r="OW22" s="113"/>
      <c r="OX22" s="113"/>
      <c r="OY22" s="113"/>
      <c r="OZ22" s="113"/>
      <c r="PA22" s="113"/>
      <c r="PB22" s="113"/>
      <c r="PC22" s="113"/>
      <c r="PD22" s="113"/>
      <c r="PE22" s="113"/>
      <c r="PF22" s="113"/>
      <c r="PG22" s="113"/>
      <c r="PH22" s="113"/>
      <c r="PI22" s="113"/>
      <c r="PJ22" s="113"/>
      <c r="PK22" s="113"/>
      <c r="PL22" s="113"/>
      <c r="PM22" s="113"/>
      <c r="PN22" s="113"/>
      <c r="PO22" s="113"/>
      <c r="PP22" s="113"/>
      <c r="PQ22" s="113"/>
      <c r="PR22" s="113"/>
      <c r="PS22" s="113"/>
      <c r="PT22" s="113"/>
      <c r="PU22" s="113"/>
      <c r="PV22" s="113"/>
      <c r="PW22" s="113"/>
      <c r="PX22" s="113"/>
      <c r="PY22" s="113"/>
      <c r="PZ22" s="113"/>
      <c r="QA22" s="113"/>
      <c r="QB22" s="113"/>
      <c r="QC22" s="113"/>
      <c r="QD22" s="113"/>
      <c r="QE22" s="113"/>
      <c r="QF22" s="113"/>
      <c r="QG22" s="113"/>
      <c r="QH22" s="113"/>
      <c r="QI22" s="113"/>
      <c r="QJ22" s="113"/>
      <c r="QK22" s="113"/>
      <c r="QL22" s="113"/>
      <c r="QM22" s="113"/>
      <c r="QN22" s="113"/>
      <c r="QO22" s="113"/>
      <c r="QP22" s="113"/>
      <c r="QQ22" s="113"/>
      <c r="QR22" s="113"/>
      <c r="QS22" s="113"/>
      <c r="QT22" s="113"/>
      <c r="QU22" s="113"/>
      <c r="QV22" s="113"/>
      <c r="QW22" s="113"/>
      <c r="QX22" s="113"/>
      <c r="QY22" s="113"/>
      <c r="QZ22" s="113"/>
      <c r="RA22" s="113"/>
      <c r="RB22" s="113"/>
      <c r="RC22" s="113"/>
      <c r="RD22" s="113"/>
      <c r="RE22" s="113"/>
      <c r="RF22" s="113"/>
      <c r="RG22" s="113"/>
      <c r="RH22" s="113"/>
      <c r="RI22" s="113"/>
      <c r="RJ22" s="113"/>
      <c r="RK22" s="113"/>
      <c r="RL22" s="113"/>
      <c r="RM22" s="113"/>
      <c r="RN22" s="113"/>
      <c r="RO22" s="113"/>
      <c r="RP22" s="113"/>
      <c r="RQ22" s="113"/>
      <c r="RR22" s="113"/>
      <c r="RS22" s="113"/>
      <c r="RT22" s="113"/>
      <c r="RU22" s="113"/>
      <c r="RV22" s="113"/>
      <c r="RW22" s="113"/>
      <c r="RX22" s="113"/>
      <c r="RY22" s="113"/>
      <c r="RZ22" s="113"/>
      <c r="SA22" s="113"/>
      <c r="SB22" s="113"/>
      <c r="SC22" s="113"/>
      <c r="SD22" s="113"/>
      <c r="SE22" s="113"/>
      <c r="SF22" s="113"/>
      <c r="SG22" s="113"/>
      <c r="SH22" s="113"/>
      <c r="SI22" s="113"/>
      <c r="SJ22" s="113"/>
      <c r="SK22" s="113"/>
      <c r="SL22" s="113"/>
      <c r="SM22" s="113"/>
      <c r="SN22" s="113"/>
      <c r="SO22" s="113"/>
      <c r="SP22" s="113"/>
      <c r="SQ22" s="113"/>
      <c r="SR22" s="113"/>
      <c r="SS22" s="113"/>
      <c r="ST22" s="113"/>
      <c r="SU22" s="113"/>
      <c r="SV22" s="113"/>
      <c r="SW22" s="113"/>
      <c r="SX22" s="113"/>
      <c r="SY22" s="113"/>
      <c r="SZ22" s="113"/>
      <c r="TA22" s="113"/>
      <c r="TB22" s="113"/>
      <c r="TC22" s="113"/>
      <c r="TD22" s="113"/>
      <c r="TE22" s="113"/>
      <c r="TF22" s="113"/>
      <c r="TG22" s="113"/>
      <c r="TH22" s="113"/>
      <c r="TI22" s="113"/>
      <c r="TJ22" s="113"/>
      <c r="TK22" s="113"/>
      <c r="TL22" s="113"/>
      <c r="TM22" s="113"/>
      <c r="TN22" s="113"/>
      <c r="TO22" s="113"/>
      <c r="TP22" s="113"/>
      <c r="TQ22" s="113"/>
      <c r="TR22" s="113"/>
      <c r="TS22" s="113"/>
      <c r="TT22" s="113"/>
      <c r="TU22" s="113"/>
      <c r="TV22" s="113"/>
      <c r="TW22" s="113"/>
      <c r="TX22" s="113"/>
      <c r="TY22" s="113"/>
      <c r="TZ22" s="113"/>
      <c r="UA22" s="113"/>
      <c r="UB22" s="113"/>
      <c r="UC22" s="113"/>
      <c r="UD22" s="113"/>
      <c r="UE22" s="113"/>
      <c r="UF22" s="113"/>
      <c r="UG22" s="113"/>
      <c r="UH22" s="113"/>
      <c r="UI22" s="113"/>
      <c r="UJ22" s="113"/>
      <c r="UK22" s="113"/>
      <c r="UL22" s="113"/>
      <c r="UM22" s="113"/>
      <c r="UN22" s="113"/>
      <c r="UO22" s="113"/>
      <c r="UP22" s="113"/>
      <c r="UQ22" s="113"/>
      <c r="UR22" s="113"/>
      <c r="US22" s="113"/>
      <c r="UT22" s="113"/>
      <c r="UU22" s="113"/>
      <c r="UV22" s="113"/>
      <c r="UW22" s="113"/>
      <c r="UX22" s="113"/>
      <c r="UY22" s="113"/>
      <c r="UZ22" s="113"/>
      <c r="VA22" s="113"/>
      <c r="VB22" s="113"/>
      <c r="VC22" s="113"/>
      <c r="VD22" s="113"/>
      <c r="VE22" s="113"/>
      <c r="VF22" s="113"/>
      <c r="VG22" s="113"/>
      <c r="VH22" s="113"/>
      <c r="VI22" s="113"/>
      <c r="VJ22" s="113"/>
      <c r="VK22" s="113"/>
      <c r="VL22" s="113"/>
      <c r="VM22" s="113"/>
      <c r="VN22" s="113"/>
      <c r="VO22" s="113"/>
      <c r="VP22" s="113"/>
      <c r="VQ22" s="113"/>
      <c r="VR22" s="113"/>
      <c r="VS22" s="113"/>
      <c r="VT22" s="113"/>
      <c r="VU22" s="113"/>
      <c r="VV22" s="113"/>
      <c r="VW22" s="113"/>
      <c r="VX22" s="113"/>
      <c r="VY22" s="113"/>
      <c r="VZ22" s="113"/>
      <c r="WA22" s="113"/>
      <c r="WB22" s="113"/>
      <c r="WC22" s="113"/>
      <c r="WD22" s="113"/>
      <c r="WE22" s="113"/>
      <c r="WF22" s="113"/>
      <c r="WG22" s="113"/>
      <c r="WH22" s="113"/>
      <c r="WI22" s="113"/>
      <c r="WJ22" s="113"/>
      <c r="WK22" s="113"/>
      <c r="WL22" s="113"/>
      <c r="WM22" s="113"/>
      <c r="WN22" s="113"/>
      <c r="WO22" s="113"/>
      <c r="WP22" s="113"/>
      <c r="WQ22" s="113"/>
      <c r="WR22" s="113"/>
      <c r="WS22" s="113"/>
      <c r="WT22" s="113"/>
      <c r="WU22" s="113"/>
      <c r="WV22" s="113"/>
      <c r="WW22" s="113"/>
      <c r="WX22" s="113"/>
      <c r="WY22" s="113"/>
      <c r="WZ22" s="113"/>
      <c r="XA22" s="113"/>
      <c r="XB22" s="113"/>
      <c r="XC22" s="113"/>
      <c r="XD22" s="113"/>
      <c r="XE22" s="113"/>
      <c r="XF22" s="113"/>
      <c r="XG22" s="113"/>
      <c r="XH22" s="113"/>
      <c r="XI22" s="113"/>
      <c r="XJ22" s="113"/>
      <c r="XK22" s="113"/>
      <c r="XL22" s="113"/>
      <c r="XM22" s="113"/>
      <c r="XN22" s="113"/>
      <c r="XO22" s="113"/>
      <c r="XP22" s="113"/>
      <c r="XQ22" s="113"/>
      <c r="XR22" s="113"/>
      <c r="XS22" s="113"/>
      <c r="XT22" s="113"/>
      <c r="XU22" s="113"/>
      <c r="XV22" s="113"/>
      <c r="XW22" s="113"/>
      <c r="XX22" s="113"/>
      <c r="XY22" s="113"/>
      <c r="XZ22" s="113"/>
      <c r="YA22" s="113"/>
      <c r="YB22" s="113"/>
      <c r="YC22" s="113"/>
      <c r="YD22" s="113"/>
      <c r="YE22" s="113"/>
      <c r="YF22" s="113"/>
      <c r="YG22" s="113"/>
      <c r="YH22" s="113"/>
      <c r="YI22" s="113"/>
      <c r="YJ22" s="113"/>
      <c r="YK22" s="113"/>
      <c r="YL22" s="113"/>
      <c r="YM22" s="113"/>
      <c r="YN22" s="113"/>
      <c r="YO22" s="113"/>
      <c r="YP22" s="113"/>
      <c r="YQ22" s="113"/>
      <c r="YR22" s="113"/>
      <c r="YS22" s="113"/>
      <c r="YT22" s="113"/>
      <c r="YU22" s="113"/>
      <c r="YV22" s="113"/>
      <c r="YW22" s="113"/>
      <c r="YX22" s="113"/>
      <c r="YY22" s="113"/>
      <c r="YZ22" s="113"/>
      <c r="ZA22" s="113"/>
      <c r="ZB22" s="113"/>
      <c r="ZC22" s="113"/>
      <c r="ZD22" s="113"/>
      <c r="ZE22" s="113"/>
    </row>
    <row r="23">
      <c r="A23" s="156" t="s">
        <v>1369</v>
      </c>
      <c r="B23" s="108" t="s">
        <v>1370</v>
      </c>
      <c r="C23" s="16"/>
      <c r="D23" s="16"/>
      <c r="E23" s="16"/>
      <c r="F23" s="16"/>
      <c r="G23" s="16"/>
      <c r="H23" s="25"/>
      <c r="I23" s="106" t="s">
        <v>1371</v>
      </c>
      <c r="J23" s="16"/>
      <c r="K23" s="16"/>
      <c r="L23" s="16"/>
      <c r="M23" s="16"/>
      <c r="N23" s="16"/>
      <c r="O23" s="25"/>
      <c r="P23" s="106" t="s">
        <v>1373</v>
      </c>
      <c r="Q23" s="16"/>
      <c r="R23" s="16"/>
      <c r="S23" s="16"/>
      <c r="T23" s="16"/>
      <c r="U23" s="16"/>
      <c r="V23" s="25"/>
      <c r="W23" s="106" t="s">
        <v>1371</v>
      </c>
      <c r="X23" s="16"/>
      <c r="Y23" s="16"/>
      <c r="Z23" s="16"/>
      <c r="AA23" s="16"/>
      <c r="AB23" s="16"/>
      <c r="AC23" s="25"/>
      <c r="AD23" s="106" t="s">
        <v>1374</v>
      </c>
      <c r="AE23" s="16"/>
      <c r="AF23" s="16"/>
      <c r="AG23" s="16"/>
      <c r="AH23" s="16"/>
      <c r="AI23" s="16"/>
      <c r="AJ23" s="25"/>
      <c r="AK23" s="108" t="s">
        <v>1376</v>
      </c>
      <c r="AL23" s="16"/>
      <c r="AM23" s="16"/>
      <c r="AN23" s="16"/>
      <c r="AO23" s="16"/>
      <c r="AP23" s="16"/>
      <c r="AQ23" s="25"/>
      <c r="AR23" s="108" t="s">
        <v>189</v>
      </c>
      <c r="AS23" s="16"/>
      <c r="AT23" s="16"/>
      <c r="AU23" s="16"/>
      <c r="AV23" s="16"/>
      <c r="AW23" s="16"/>
      <c r="AX23" s="25"/>
      <c r="AY23" s="108" t="s">
        <v>1377</v>
      </c>
      <c r="AZ23" s="16"/>
      <c r="BA23" s="16"/>
      <c r="BB23" s="16"/>
      <c r="BC23" s="16"/>
      <c r="BD23" s="16"/>
      <c r="BE23" s="25"/>
      <c r="BF23" s="108" t="s">
        <v>1377</v>
      </c>
      <c r="BG23" s="16"/>
      <c r="BH23" s="16"/>
      <c r="BI23" s="16"/>
      <c r="BJ23" s="16"/>
      <c r="BK23" s="16"/>
      <c r="BL23" s="25"/>
      <c r="BM23" s="108" t="s">
        <v>1380</v>
      </c>
      <c r="BN23" s="16"/>
      <c r="BO23" s="16"/>
      <c r="BP23" s="16"/>
      <c r="BQ23" s="16"/>
      <c r="BR23" s="16"/>
      <c r="BS23" s="25"/>
      <c r="BT23" s="108" t="s">
        <v>1380</v>
      </c>
      <c r="BU23" s="16"/>
      <c r="BV23" s="16"/>
      <c r="BW23" s="16"/>
      <c r="BX23" s="16"/>
      <c r="BY23" s="16"/>
      <c r="BZ23" s="25"/>
      <c r="CA23" s="108" t="s">
        <v>635</v>
      </c>
      <c r="CB23" s="16"/>
      <c r="CC23" s="16"/>
      <c r="CD23" s="16"/>
      <c r="CE23" s="16"/>
      <c r="CF23" s="16"/>
      <c r="CG23" s="25"/>
      <c r="CH23" s="108" t="s">
        <v>1385</v>
      </c>
      <c r="CI23" s="16"/>
      <c r="CJ23" s="16"/>
      <c r="CK23" s="16"/>
      <c r="CL23" s="16"/>
      <c r="CM23" s="16"/>
      <c r="CN23" s="25"/>
      <c r="CO23" s="108" t="s">
        <v>1385</v>
      </c>
      <c r="CP23" s="16"/>
      <c r="CQ23" s="16"/>
      <c r="CR23" s="16"/>
      <c r="CS23" s="16"/>
      <c r="CT23" s="16"/>
      <c r="CU23" s="25"/>
      <c r="CV23" s="350" t="s">
        <v>1387</v>
      </c>
      <c r="CW23" s="16"/>
      <c r="CX23" s="16"/>
      <c r="CY23" s="16"/>
      <c r="CZ23" s="16"/>
      <c r="DA23" s="16"/>
      <c r="DB23" s="25"/>
      <c r="DC23" s="350" t="s">
        <v>1387</v>
      </c>
      <c r="DD23" s="16"/>
      <c r="DE23" s="16"/>
      <c r="DF23" s="16"/>
      <c r="DG23" s="16"/>
      <c r="DH23" s="16"/>
      <c r="DI23" s="25"/>
      <c r="DJ23" s="351" t="s">
        <v>1394</v>
      </c>
      <c r="DK23" s="23"/>
      <c r="DL23" s="23"/>
      <c r="DM23" s="23"/>
      <c r="DN23" s="23"/>
      <c r="DO23" s="23"/>
      <c r="DP23" s="104"/>
      <c r="DQ23" s="351" t="s">
        <v>1394</v>
      </c>
      <c r="DR23" s="23"/>
      <c r="DS23" s="23"/>
      <c r="DT23" s="23"/>
      <c r="DU23" s="23"/>
      <c r="DV23" s="23"/>
      <c r="DW23" s="104"/>
      <c r="DX23" s="352" t="s">
        <v>280</v>
      </c>
      <c r="DY23" s="23"/>
      <c r="DZ23" s="23"/>
      <c r="EA23" s="23"/>
      <c r="EB23" s="23"/>
      <c r="EC23" s="23"/>
      <c r="ED23" s="104"/>
      <c r="EE23" s="352" t="s">
        <v>1404</v>
      </c>
      <c r="EF23" s="23"/>
      <c r="EG23" s="23"/>
      <c r="EH23" s="23"/>
      <c r="EI23" s="23"/>
      <c r="EJ23" s="23"/>
      <c r="EK23" s="104"/>
      <c r="EL23" s="351" t="s">
        <v>1406</v>
      </c>
      <c r="EM23" s="23"/>
      <c r="EN23" s="23"/>
      <c r="EO23" s="23"/>
      <c r="EP23" s="23"/>
      <c r="EQ23" s="23"/>
      <c r="ER23" s="104"/>
      <c r="ES23" s="353" t="s">
        <v>1408</v>
      </c>
      <c r="ET23" s="23"/>
      <c r="EU23" s="23"/>
      <c r="EV23" s="23"/>
      <c r="EW23" s="23"/>
      <c r="EX23" s="23"/>
      <c r="EY23" s="104"/>
      <c r="EZ23" s="352" t="s">
        <v>1412</v>
      </c>
      <c r="FA23" s="23"/>
      <c r="FB23" s="23"/>
      <c r="FC23" s="23"/>
      <c r="FD23" s="23"/>
      <c r="FE23" s="23"/>
      <c r="FF23" s="104"/>
      <c r="FG23" s="352" t="s">
        <v>1413</v>
      </c>
      <c r="FH23" s="23"/>
      <c r="FI23" s="23"/>
      <c r="FJ23" s="23"/>
      <c r="FK23" s="23"/>
      <c r="FL23" s="23"/>
      <c r="FM23" s="104"/>
      <c r="FN23" s="351" t="s">
        <v>1415</v>
      </c>
      <c r="FO23" s="23"/>
      <c r="FP23" s="23"/>
      <c r="FQ23" s="23"/>
      <c r="FR23" s="23"/>
      <c r="FS23" s="23"/>
      <c r="FT23" s="104"/>
      <c r="FU23" s="351" t="s">
        <v>1415</v>
      </c>
      <c r="FV23" s="23"/>
      <c r="FW23" s="23"/>
      <c r="FX23" s="23"/>
      <c r="FY23" s="23"/>
      <c r="FZ23" s="23"/>
      <c r="GA23" s="104"/>
      <c r="GB23" s="153"/>
      <c r="GC23" s="16"/>
      <c r="GD23" s="16"/>
      <c r="GE23" s="16"/>
      <c r="GF23" s="16"/>
      <c r="GG23" s="16"/>
      <c r="GH23" s="25"/>
      <c r="GI23" s="153"/>
      <c r="GJ23" s="16"/>
      <c r="GK23" s="16"/>
      <c r="GL23" s="16"/>
      <c r="GM23" s="16"/>
      <c r="GN23" s="16"/>
      <c r="GO23" s="25"/>
      <c r="GP23" s="153"/>
      <c r="GQ23" s="16"/>
      <c r="GR23" s="16"/>
      <c r="GS23" s="16"/>
      <c r="GT23" s="16"/>
      <c r="GU23" s="16"/>
      <c r="GV23" s="25"/>
      <c r="GW23" s="153"/>
      <c r="GX23" s="16"/>
      <c r="GY23" s="16"/>
      <c r="GZ23" s="16"/>
      <c r="HA23" s="16"/>
      <c r="HB23" s="16"/>
      <c r="HC23" s="25"/>
      <c r="HD23" s="153"/>
      <c r="HE23" s="16"/>
      <c r="HF23" s="16"/>
      <c r="HG23" s="16"/>
      <c r="HH23" s="16"/>
      <c r="HI23" s="16"/>
      <c r="HJ23" s="25"/>
      <c r="HK23" s="266"/>
      <c r="HL23" s="16"/>
      <c r="HM23" s="16"/>
      <c r="HN23" s="16"/>
      <c r="HO23" s="16"/>
      <c r="HP23" s="16"/>
      <c r="HQ23" s="25"/>
      <c r="HR23" s="153"/>
      <c r="HS23" s="16"/>
      <c r="HT23" s="16"/>
      <c r="HU23" s="16"/>
      <c r="HV23" s="16"/>
      <c r="HW23" s="16"/>
      <c r="HX23" s="25"/>
      <c r="HY23" s="153"/>
      <c r="HZ23" s="16"/>
      <c r="IA23" s="16"/>
      <c r="IB23" s="16"/>
      <c r="IC23" s="16"/>
      <c r="ID23" s="16"/>
      <c r="IE23" s="25"/>
      <c r="IF23" s="153"/>
      <c r="IG23" s="16"/>
      <c r="IH23" s="16"/>
      <c r="II23" s="16"/>
      <c r="IJ23" s="16"/>
      <c r="IK23" s="16"/>
      <c r="IL23" s="25"/>
      <c r="IM23" s="339"/>
      <c r="IT23" s="339"/>
      <c r="IZ23" s="83"/>
      <c r="JA23" s="339"/>
      <c r="JH23" s="339"/>
      <c r="JN23" s="83"/>
      <c r="JO23" s="339"/>
      <c r="JU23" s="83"/>
      <c r="JV23" s="339"/>
      <c r="KB23" s="83"/>
      <c r="KC23" s="339"/>
      <c r="KI23" s="83"/>
      <c r="KJ23" s="339"/>
      <c r="KP23" s="83"/>
      <c r="KQ23" s="339"/>
      <c r="KW23" s="83"/>
      <c r="KX23" s="339"/>
      <c r="LD23" s="83"/>
      <c r="LE23" s="339"/>
      <c r="LL23" s="339"/>
      <c r="LS23" s="339"/>
      <c r="LZ23" s="339"/>
      <c r="MG23" s="339"/>
      <c r="MN23" s="339"/>
      <c r="MU23" s="339"/>
      <c r="NB23" s="288"/>
      <c r="NC23" s="113"/>
      <c r="ND23" s="113"/>
      <c r="NE23" s="113"/>
      <c r="NF23" s="113"/>
      <c r="NG23" s="113"/>
      <c r="NH23" s="113"/>
      <c r="NI23" s="113"/>
      <c r="NJ23" s="113"/>
      <c r="NK23" s="113"/>
      <c r="NL23" s="113"/>
      <c r="NM23" s="113"/>
      <c r="NN23" s="113"/>
      <c r="NO23" s="113"/>
      <c r="NP23" s="113"/>
      <c r="NQ23" s="113"/>
      <c r="NR23" s="113"/>
      <c r="NS23" s="113"/>
      <c r="NT23" s="113"/>
      <c r="NU23" s="113"/>
      <c r="NV23" s="113"/>
      <c r="NW23" s="113"/>
      <c r="NX23" s="113"/>
      <c r="NY23" s="113"/>
      <c r="NZ23" s="113"/>
      <c r="OA23" s="113"/>
      <c r="OB23" s="113"/>
      <c r="OC23" s="113"/>
      <c r="OD23" s="113"/>
      <c r="OE23" s="113"/>
      <c r="OF23" s="113"/>
      <c r="OG23" s="113"/>
      <c r="OH23" s="113"/>
      <c r="OI23" s="113"/>
      <c r="OJ23" s="113"/>
      <c r="OK23" s="113"/>
      <c r="OL23" s="113"/>
      <c r="OM23" s="113"/>
      <c r="ON23" s="113"/>
      <c r="OO23" s="113"/>
      <c r="OP23" s="113"/>
      <c r="OQ23" s="113"/>
      <c r="OR23" s="113"/>
      <c r="OS23" s="113"/>
      <c r="OT23" s="113"/>
      <c r="OU23" s="113"/>
      <c r="OV23" s="113"/>
      <c r="OW23" s="113"/>
      <c r="OX23" s="113"/>
      <c r="OY23" s="113"/>
      <c r="OZ23" s="113"/>
      <c r="PA23" s="113"/>
      <c r="PB23" s="113"/>
      <c r="PC23" s="113"/>
      <c r="PD23" s="113"/>
      <c r="PE23" s="113"/>
      <c r="PF23" s="113"/>
      <c r="PG23" s="113"/>
      <c r="PH23" s="113"/>
      <c r="PI23" s="113"/>
      <c r="PJ23" s="113"/>
      <c r="PK23" s="113"/>
      <c r="PL23" s="113"/>
      <c r="PM23" s="113"/>
      <c r="PN23" s="113"/>
      <c r="PO23" s="113"/>
      <c r="PP23" s="113"/>
      <c r="PQ23" s="113"/>
      <c r="PR23" s="113"/>
      <c r="PS23" s="113"/>
      <c r="PT23" s="113"/>
      <c r="PU23" s="113"/>
      <c r="PV23" s="113"/>
      <c r="PW23" s="113"/>
      <c r="PX23" s="113"/>
      <c r="PY23" s="113"/>
      <c r="PZ23" s="113"/>
      <c r="QA23" s="113"/>
      <c r="QB23" s="113"/>
      <c r="QC23" s="113"/>
      <c r="QD23" s="113"/>
      <c r="QE23" s="113"/>
      <c r="QF23" s="113"/>
      <c r="QG23" s="113"/>
      <c r="QH23" s="113"/>
      <c r="QI23" s="113"/>
      <c r="QJ23" s="113"/>
      <c r="QK23" s="113"/>
      <c r="QL23" s="113"/>
      <c r="QM23" s="113"/>
      <c r="QN23" s="113"/>
      <c r="QO23" s="113"/>
      <c r="QP23" s="113"/>
      <c r="QQ23" s="113"/>
      <c r="QR23" s="113"/>
      <c r="QS23" s="113"/>
      <c r="QT23" s="113"/>
      <c r="QU23" s="113"/>
      <c r="QV23" s="113"/>
      <c r="QW23" s="113"/>
      <c r="QX23" s="113"/>
      <c r="QY23" s="113"/>
      <c r="QZ23" s="113"/>
      <c r="RA23" s="113"/>
      <c r="RB23" s="113"/>
      <c r="RC23" s="113"/>
      <c r="RD23" s="113"/>
      <c r="RE23" s="113"/>
      <c r="RF23" s="113"/>
      <c r="RG23" s="113"/>
      <c r="RH23" s="113"/>
      <c r="RI23" s="113"/>
      <c r="RJ23" s="113"/>
      <c r="RK23" s="113"/>
      <c r="RL23" s="113"/>
      <c r="RM23" s="113"/>
      <c r="RN23" s="113"/>
      <c r="RO23" s="113"/>
      <c r="RP23" s="113"/>
      <c r="RQ23" s="113"/>
      <c r="RR23" s="113"/>
      <c r="RS23" s="113"/>
      <c r="RT23" s="113"/>
      <c r="RU23" s="113"/>
      <c r="RV23" s="113"/>
      <c r="RW23" s="113"/>
      <c r="RX23" s="113"/>
      <c r="RY23" s="113"/>
      <c r="RZ23" s="113"/>
      <c r="SA23" s="113"/>
      <c r="SB23" s="113"/>
      <c r="SC23" s="113"/>
      <c r="SD23" s="113"/>
      <c r="SE23" s="113"/>
      <c r="SF23" s="113"/>
      <c r="SG23" s="113"/>
      <c r="SH23" s="113"/>
      <c r="SI23" s="113"/>
      <c r="SJ23" s="113"/>
      <c r="SK23" s="113"/>
      <c r="SL23" s="113"/>
      <c r="SM23" s="113"/>
      <c r="SN23" s="113"/>
      <c r="SO23" s="113"/>
      <c r="SP23" s="113"/>
      <c r="SQ23" s="113"/>
      <c r="SR23" s="113"/>
      <c r="SS23" s="113"/>
      <c r="ST23" s="113"/>
      <c r="SU23" s="113"/>
      <c r="SV23" s="113"/>
      <c r="SW23" s="113"/>
      <c r="SX23" s="113"/>
      <c r="SY23" s="113"/>
      <c r="SZ23" s="113"/>
      <c r="TA23" s="113"/>
      <c r="TB23" s="113"/>
      <c r="TC23" s="113"/>
      <c r="TD23" s="113"/>
      <c r="TE23" s="113"/>
      <c r="TF23" s="113"/>
      <c r="TG23" s="113"/>
      <c r="TH23" s="113"/>
      <c r="TI23" s="113"/>
      <c r="TJ23" s="113"/>
      <c r="TK23" s="113"/>
      <c r="TL23" s="113"/>
      <c r="TM23" s="113"/>
      <c r="TN23" s="113"/>
      <c r="TO23" s="113"/>
      <c r="TP23" s="113"/>
      <c r="TQ23" s="113"/>
      <c r="TR23" s="113"/>
      <c r="TS23" s="113"/>
      <c r="TT23" s="113"/>
      <c r="TU23" s="113"/>
      <c r="TV23" s="113"/>
      <c r="TW23" s="113"/>
      <c r="TX23" s="113"/>
      <c r="TY23" s="113"/>
      <c r="TZ23" s="113"/>
      <c r="UA23" s="113"/>
      <c r="UB23" s="113"/>
      <c r="UC23" s="113"/>
      <c r="UD23" s="113"/>
      <c r="UE23" s="113"/>
      <c r="UF23" s="113"/>
      <c r="UG23" s="113"/>
      <c r="UH23" s="113"/>
      <c r="UI23" s="113"/>
      <c r="UJ23" s="113"/>
      <c r="UK23" s="113"/>
      <c r="UL23" s="113"/>
      <c r="UM23" s="113"/>
      <c r="UN23" s="113"/>
      <c r="UO23" s="113"/>
      <c r="UP23" s="113"/>
      <c r="UQ23" s="113"/>
      <c r="UR23" s="113"/>
      <c r="US23" s="113"/>
      <c r="UT23" s="113"/>
      <c r="UU23" s="113"/>
      <c r="UV23" s="113"/>
      <c r="UW23" s="113"/>
      <c r="UX23" s="113"/>
      <c r="UY23" s="113"/>
      <c r="UZ23" s="113"/>
      <c r="VA23" s="113"/>
      <c r="VB23" s="113"/>
      <c r="VC23" s="113"/>
      <c r="VD23" s="113"/>
      <c r="VE23" s="113"/>
      <c r="VF23" s="113"/>
      <c r="VG23" s="113"/>
      <c r="VH23" s="113"/>
      <c r="VI23" s="113"/>
      <c r="VJ23" s="113"/>
      <c r="VK23" s="113"/>
      <c r="VL23" s="113"/>
      <c r="VM23" s="113"/>
      <c r="VN23" s="113"/>
      <c r="VO23" s="113"/>
      <c r="VP23" s="113"/>
      <c r="VQ23" s="113"/>
      <c r="VR23" s="113"/>
      <c r="VS23" s="113"/>
      <c r="VT23" s="113"/>
      <c r="VU23" s="113"/>
      <c r="VV23" s="113"/>
      <c r="VW23" s="113"/>
      <c r="VX23" s="113"/>
      <c r="VY23" s="113"/>
      <c r="VZ23" s="113"/>
      <c r="WA23" s="113"/>
      <c r="WB23" s="113"/>
      <c r="WC23" s="113"/>
      <c r="WD23" s="113"/>
      <c r="WE23" s="113"/>
      <c r="WF23" s="113"/>
      <c r="WG23" s="113"/>
      <c r="WH23" s="113"/>
      <c r="WI23" s="113"/>
      <c r="WJ23" s="113"/>
      <c r="WK23" s="113"/>
      <c r="WL23" s="113"/>
      <c r="WM23" s="113"/>
      <c r="WN23" s="113"/>
      <c r="WO23" s="113"/>
      <c r="WP23" s="113"/>
      <c r="WQ23" s="113"/>
      <c r="WR23" s="113"/>
      <c r="WS23" s="113"/>
      <c r="WT23" s="113"/>
      <c r="WU23" s="113"/>
      <c r="WV23" s="113"/>
      <c r="WW23" s="113"/>
      <c r="WX23" s="113"/>
      <c r="WY23" s="113"/>
      <c r="WZ23" s="113"/>
      <c r="XA23" s="113"/>
      <c r="XB23" s="113"/>
      <c r="XC23" s="113"/>
      <c r="XD23" s="113"/>
      <c r="XE23" s="113"/>
      <c r="XF23" s="113"/>
      <c r="XG23" s="113"/>
      <c r="XH23" s="113"/>
      <c r="XI23" s="113"/>
      <c r="XJ23" s="113"/>
      <c r="XK23" s="113"/>
      <c r="XL23" s="113"/>
      <c r="XM23" s="113"/>
      <c r="XN23" s="113"/>
      <c r="XO23" s="113"/>
      <c r="XP23" s="113"/>
      <c r="XQ23" s="113"/>
      <c r="XR23" s="113"/>
      <c r="XS23" s="113"/>
      <c r="XT23" s="113"/>
      <c r="XU23" s="113"/>
      <c r="XV23" s="113"/>
      <c r="XW23" s="113"/>
      <c r="XX23" s="113"/>
      <c r="XY23" s="113"/>
      <c r="XZ23" s="113"/>
      <c r="YA23" s="113"/>
      <c r="YB23" s="113"/>
      <c r="YC23" s="113"/>
      <c r="YD23" s="113"/>
      <c r="YE23" s="113"/>
      <c r="YF23" s="113"/>
      <c r="YG23" s="113"/>
      <c r="YH23" s="113"/>
      <c r="YI23" s="113"/>
      <c r="YJ23" s="113"/>
      <c r="YK23" s="113"/>
      <c r="YL23" s="113"/>
      <c r="YM23" s="113"/>
      <c r="YN23" s="113"/>
      <c r="YO23" s="113"/>
      <c r="YP23" s="113"/>
      <c r="YQ23" s="113"/>
      <c r="YR23" s="113"/>
      <c r="YS23" s="113"/>
      <c r="YT23" s="113"/>
      <c r="YU23" s="113"/>
      <c r="YV23" s="113"/>
      <c r="YW23" s="113"/>
      <c r="YX23" s="113"/>
      <c r="YY23" s="113"/>
      <c r="YZ23" s="113"/>
      <c r="ZA23" s="113"/>
      <c r="ZB23" s="113"/>
      <c r="ZC23" s="113"/>
      <c r="ZD23" s="113"/>
      <c r="ZE23" s="113"/>
    </row>
    <row r="24" ht="71.25" customHeight="1">
      <c r="A24" s="156" t="s">
        <v>338</v>
      </c>
      <c r="B24" s="108" t="s">
        <v>1444</v>
      </c>
      <c r="C24" s="16"/>
      <c r="D24" s="16"/>
      <c r="E24" s="16"/>
      <c r="F24" s="16"/>
      <c r="G24" s="16"/>
      <c r="H24" s="25"/>
      <c r="I24" s="106" t="s">
        <v>1446</v>
      </c>
      <c r="J24" s="16"/>
      <c r="K24" s="16"/>
      <c r="L24" s="16"/>
      <c r="M24" s="16"/>
      <c r="N24" s="16"/>
      <c r="O24" s="25"/>
      <c r="P24" s="106" t="s">
        <v>1446</v>
      </c>
      <c r="Q24" s="16"/>
      <c r="R24" s="16"/>
      <c r="S24" s="16"/>
      <c r="T24" s="16"/>
      <c r="U24" s="16"/>
      <c r="V24" s="25"/>
      <c r="W24" s="106" t="s">
        <v>259</v>
      </c>
      <c r="X24" s="16"/>
      <c r="Y24" s="16"/>
      <c r="Z24" s="16"/>
      <c r="AA24" s="16"/>
      <c r="AB24" s="16"/>
      <c r="AC24" s="25"/>
      <c r="AD24" s="106" t="s">
        <v>1453</v>
      </c>
      <c r="AE24" s="16"/>
      <c r="AF24" s="16"/>
      <c r="AG24" s="16"/>
      <c r="AH24" s="16"/>
      <c r="AI24" s="16"/>
      <c r="AJ24" s="25"/>
      <c r="AK24" s="108" t="s">
        <v>1461</v>
      </c>
      <c r="AL24" s="16"/>
      <c r="AM24" s="16"/>
      <c r="AN24" s="16"/>
      <c r="AO24" s="16"/>
      <c r="AP24" s="16"/>
      <c r="AQ24" s="25"/>
      <c r="AR24" s="108" t="s">
        <v>1464</v>
      </c>
      <c r="AS24" s="16"/>
      <c r="AT24" s="16"/>
      <c r="AU24" s="16"/>
      <c r="AV24" s="16"/>
      <c r="AW24" s="16"/>
      <c r="AX24" s="25"/>
      <c r="AY24" s="108" t="s">
        <v>1469</v>
      </c>
      <c r="AZ24" s="16"/>
      <c r="BA24" s="16"/>
      <c r="BB24" s="16"/>
      <c r="BC24" s="16"/>
      <c r="BD24" s="16"/>
      <c r="BE24" s="25"/>
      <c r="BF24" s="108" t="s">
        <v>1469</v>
      </c>
      <c r="BG24" s="16"/>
      <c r="BH24" s="16"/>
      <c r="BI24" s="16"/>
      <c r="BJ24" s="16"/>
      <c r="BK24" s="16"/>
      <c r="BL24" s="25"/>
      <c r="BM24" s="106" t="s">
        <v>1479</v>
      </c>
      <c r="BN24" s="16"/>
      <c r="BO24" s="16"/>
      <c r="BP24" s="16"/>
      <c r="BQ24" s="16"/>
      <c r="BR24" s="16"/>
      <c r="BS24" s="25"/>
      <c r="BT24" s="106" t="s">
        <v>1479</v>
      </c>
      <c r="BU24" s="16"/>
      <c r="BV24" s="16"/>
      <c r="BW24" s="16"/>
      <c r="BX24" s="16"/>
      <c r="BY24" s="16"/>
      <c r="BZ24" s="25"/>
      <c r="CA24" s="108" t="s">
        <v>635</v>
      </c>
      <c r="CB24" s="16"/>
      <c r="CC24" s="16"/>
      <c r="CD24" s="16"/>
      <c r="CE24" s="16"/>
      <c r="CF24" s="16"/>
      <c r="CG24" s="25"/>
      <c r="CH24" s="108" t="s">
        <v>1483</v>
      </c>
      <c r="CI24" s="16"/>
      <c r="CJ24" s="16"/>
      <c r="CK24" s="16"/>
      <c r="CL24" s="16"/>
      <c r="CM24" s="16"/>
      <c r="CN24" s="25"/>
      <c r="CO24" s="106" t="s">
        <v>1487</v>
      </c>
      <c r="CP24" s="16"/>
      <c r="CQ24" s="16"/>
      <c r="CR24" s="16"/>
      <c r="CS24" s="16"/>
      <c r="CT24" s="16"/>
      <c r="CU24" s="25"/>
      <c r="CV24" s="108" t="s">
        <v>1483</v>
      </c>
      <c r="CW24" s="16"/>
      <c r="CX24" s="16"/>
      <c r="CY24" s="16"/>
      <c r="CZ24" s="16"/>
      <c r="DA24" s="16"/>
      <c r="DB24" s="25"/>
      <c r="DC24" s="357" t="s">
        <v>1496</v>
      </c>
      <c r="DD24" s="16"/>
      <c r="DE24" s="16"/>
      <c r="DF24" s="16"/>
      <c r="DG24" s="16"/>
      <c r="DH24" s="16"/>
      <c r="DI24" s="25"/>
      <c r="DJ24" s="108" t="s">
        <v>1503</v>
      </c>
      <c r="DK24" s="16"/>
      <c r="DL24" s="16"/>
      <c r="DM24" s="16"/>
      <c r="DN24" s="16"/>
      <c r="DO24" s="16"/>
      <c r="DP24" s="25"/>
      <c r="DQ24" s="106" t="s">
        <v>1508</v>
      </c>
      <c r="DR24" s="16"/>
      <c r="DS24" s="16"/>
      <c r="DT24" s="16"/>
      <c r="DU24" s="16"/>
      <c r="DV24" s="16"/>
      <c r="DW24" s="25"/>
      <c r="DX24" s="352" t="s">
        <v>1510</v>
      </c>
      <c r="DY24" s="23"/>
      <c r="DZ24" s="23"/>
      <c r="EA24" s="23"/>
      <c r="EB24" s="23"/>
      <c r="EC24" s="23"/>
      <c r="ED24" s="104"/>
      <c r="EE24" s="358" t="s">
        <v>1511</v>
      </c>
      <c r="EF24" s="23"/>
      <c r="EG24" s="23"/>
      <c r="EH24" s="23"/>
      <c r="EI24" s="23"/>
      <c r="EJ24" s="23"/>
      <c r="EK24" s="104"/>
      <c r="EL24" s="351" t="s">
        <v>1515</v>
      </c>
      <c r="EM24" s="23"/>
      <c r="EN24" s="23"/>
      <c r="EO24" s="23"/>
      <c r="EP24" s="23"/>
      <c r="EQ24" s="23"/>
      <c r="ER24" s="104"/>
      <c r="ES24" s="352" t="s">
        <v>1516</v>
      </c>
      <c r="ET24" s="23"/>
      <c r="EU24" s="23"/>
      <c r="EV24" s="23"/>
      <c r="EW24" s="23"/>
      <c r="EX24" s="23"/>
      <c r="EY24" s="104"/>
      <c r="EZ24" s="352" t="s">
        <v>1518</v>
      </c>
      <c r="FA24" s="23"/>
      <c r="FB24" s="23"/>
      <c r="FC24" s="23"/>
      <c r="FD24" s="23"/>
      <c r="FE24" s="23"/>
      <c r="FF24" s="104"/>
      <c r="FG24" s="352" t="s">
        <v>1520</v>
      </c>
      <c r="FH24" s="23"/>
      <c r="FI24" s="23"/>
      <c r="FJ24" s="23"/>
      <c r="FK24" s="23"/>
      <c r="FL24" s="23"/>
      <c r="FM24" s="104"/>
      <c r="FN24" s="352" t="s">
        <v>1521</v>
      </c>
      <c r="FO24" s="23"/>
      <c r="FP24" s="23"/>
      <c r="FQ24" s="23"/>
      <c r="FR24" s="23"/>
      <c r="FS24" s="23"/>
      <c r="FT24" s="104"/>
      <c r="FU24" s="352" t="s">
        <v>1521</v>
      </c>
      <c r="FV24" s="23"/>
      <c r="FW24" s="23"/>
      <c r="FX24" s="23"/>
      <c r="FY24" s="23"/>
      <c r="FZ24" s="23"/>
      <c r="GA24" s="104"/>
      <c r="GB24" s="153"/>
      <c r="GC24" s="16"/>
      <c r="GD24" s="16"/>
      <c r="GE24" s="16"/>
      <c r="GF24" s="16"/>
      <c r="GG24" s="16"/>
      <c r="GH24" s="25"/>
      <c r="GI24" s="153"/>
      <c r="GJ24" s="16"/>
      <c r="GK24" s="16"/>
      <c r="GL24" s="16"/>
      <c r="GM24" s="16"/>
      <c r="GN24" s="16"/>
      <c r="GO24" s="25"/>
      <c r="GP24" s="153"/>
      <c r="GQ24" s="16"/>
      <c r="GR24" s="16"/>
      <c r="GS24" s="16"/>
      <c r="GT24" s="16"/>
      <c r="GU24" s="16"/>
      <c r="GV24" s="25"/>
      <c r="GW24" s="153"/>
      <c r="GX24" s="16"/>
      <c r="GY24" s="16"/>
      <c r="GZ24" s="16"/>
      <c r="HA24" s="16"/>
      <c r="HB24" s="16"/>
      <c r="HC24" s="25"/>
      <c r="HD24" s="153"/>
      <c r="HE24" s="16"/>
      <c r="HF24" s="16"/>
      <c r="HG24" s="16"/>
      <c r="HH24" s="16"/>
      <c r="HI24" s="16"/>
      <c r="HJ24" s="25"/>
      <c r="HK24" s="153"/>
      <c r="HL24" s="16"/>
      <c r="HM24" s="16"/>
      <c r="HN24" s="16"/>
      <c r="HO24" s="16"/>
      <c r="HP24" s="16"/>
      <c r="HQ24" s="25"/>
      <c r="HR24" s="153"/>
      <c r="HS24" s="16"/>
      <c r="HT24" s="16"/>
      <c r="HU24" s="16"/>
      <c r="HV24" s="16"/>
      <c r="HW24" s="16"/>
      <c r="HX24" s="25"/>
      <c r="HY24" s="153"/>
      <c r="HZ24" s="16"/>
      <c r="IA24" s="16"/>
      <c r="IB24" s="16"/>
      <c r="IC24" s="16"/>
      <c r="ID24" s="16"/>
      <c r="IE24" s="25"/>
      <c r="IF24" s="153"/>
      <c r="IG24" s="16"/>
      <c r="IH24" s="16"/>
      <c r="II24" s="16"/>
      <c r="IJ24" s="16"/>
      <c r="IK24" s="16"/>
      <c r="IL24" s="25"/>
      <c r="IM24" s="339"/>
      <c r="IT24" s="339"/>
      <c r="IZ24" s="83"/>
      <c r="JA24" s="339"/>
      <c r="JH24" s="339"/>
      <c r="JN24" s="83"/>
      <c r="JO24" s="344"/>
      <c r="JV24" s="339"/>
      <c r="KC24" s="339"/>
      <c r="KI24" s="83"/>
      <c r="KJ24" s="339"/>
      <c r="KP24" s="83"/>
      <c r="KQ24" s="339"/>
      <c r="KW24" s="83"/>
      <c r="KX24" s="339"/>
      <c r="LD24" s="83"/>
      <c r="LE24" s="339"/>
      <c r="LL24" s="339"/>
      <c r="LS24" s="339"/>
      <c r="LZ24" s="339"/>
      <c r="MG24" s="339"/>
      <c r="MN24" s="339"/>
      <c r="MU24" s="339"/>
      <c r="NB24" s="288"/>
      <c r="NC24" s="113"/>
      <c r="ND24" s="113"/>
      <c r="NE24" s="113"/>
      <c r="NF24" s="113"/>
      <c r="NG24" s="113"/>
      <c r="NH24" s="113"/>
      <c r="NI24" s="113"/>
      <c r="NJ24" s="113"/>
      <c r="NK24" s="113"/>
      <c r="NL24" s="113"/>
      <c r="NM24" s="113"/>
      <c r="NN24" s="113"/>
      <c r="NO24" s="113"/>
      <c r="NP24" s="113"/>
      <c r="NQ24" s="113"/>
      <c r="NR24" s="113"/>
      <c r="NS24" s="113"/>
      <c r="NT24" s="113"/>
      <c r="NU24" s="113"/>
      <c r="NV24" s="113"/>
      <c r="NW24" s="113"/>
      <c r="NX24" s="113"/>
      <c r="NY24" s="113"/>
      <c r="NZ24" s="113"/>
      <c r="OA24" s="113"/>
      <c r="OB24" s="113"/>
      <c r="OC24" s="113"/>
      <c r="OD24" s="113"/>
      <c r="OE24" s="113"/>
      <c r="OF24" s="113"/>
      <c r="OG24" s="113"/>
      <c r="OH24" s="113"/>
      <c r="OI24" s="113"/>
      <c r="OJ24" s="113"/>
      <c r="OK24" s="113"/>
      <c r="OL24" s="113"/>
      <c r="OM24" s="113"/>
      <c r="ON24" s="113"/>
      <c r="OO24" s="113"/>
      <c r="OP24" s="113"/>
      <c r="OQ24" s="113"/>
      <c r="OR24" s="113"/>
      <c r="OS24" s="113"/>
      <c r="OT24" s="113"/>
      <c r="OU24" s="113"/>
      <c r="OV24" s="113"/>
      <c r="OW24" s="113"/>
      <c r="OX24" s="113"/>
      <c r="OY24" s="113"/>
      <c r="OZ24" s="113"/>
      <c r="PA24" s="113"/>
      <c r="PB24" s="113"/>
      <c r="PC24" s="113"/>
      <c r="PD24" s="113"/>
      <c r="PE24" s="113"/>
      <c r="PF24" s="113"/>
      <c r="PG24" s="113"/>
      <c r="PH24" s="113"/>
      <c r="PI24" s="113"/>
      <c r="PJ24" s="113"/>
      <c r="PK24" s="113"/>
      <c r="PL24" s="113"/>
      <c r="PM24" s="113"/>
      <c r="PN24" s="113"/>
      <c r="PO24" s="113"/>
      <c r="PP24" s="113"/>
      <c r="PQ24" s="113"/>
      <c r="PR24" s="113"/>
      <c r="PS24" s="113"/>
      <c r="PT24" s="113"/>
      <c r="PU24" s="113"/>
      <c r="PV24" s="113"/>
      <c r="PW24" s="113"/>
      <c r="PX24" s="113"/>
      <c r="PY24" s="113"/>
      <c r="PZ24" s="113"/>
      <c r="QA24" s="113"/>
      <c r="QB24" s="113"/>
      <c r="QC24" s="113"/>
      <c r="QD24" s="113"/>
      <c r="QE24" s="113"/>
      <c r="QF24" s="113"/>
      <c r="QG24" s="113"/>
      <c r="QH24" s="113"/>
      <c r="QI24" s="113"/>
      <c r="QJ24" s="113"/>
      <c r="QK24" s="113"/>
      <c r="QL24" s="113"/>
      <c r="QM24" s="113"/>
      <c r="QN24" s="113"/>
      <c r="QO24" s="113"/>
      <c r="QP24" s="113"/>
      <c r="QQ24" s="113"/>
      <c r="QR24" s="113"/>
      <c r="QS24" s="113"/>
      <c r="QT24" s="113"/>
      <c r="QU24" s="113"/>
      <c r="QV24" s="113"/>
      <c r="QW24" s="113"/>
      <c r="QX24" s="113"/>
      <c r="QY24" s="113"/>
      <c r="QZ24" s="113"/>
      <c r="RA24" s="113"/>
      <c r="RB24" s="113"/>
      <c r="RC24" s="113"/>
      <c r="RD24" s="113"/>
      <c r="RE24" s="113"/>
      <c r="RF24" s="113"/>
      <c r="RG24" s="113"/>
      <c r="RH24" s="113"/>
      <c r="RI24" s="113"/>
      <c r="RJ24" s="113"/>
      <c r="RK24" s="113"/>
      <c r="RL24" s="113"/>
      <c r="RM24" s="113"/>
      <c r="RN24" s="113"/>
      <c r="RO24" s="113"/>
      <c r="RP24" s="113"/>
      <c r="RQ24" s="113"/>
      <c r="RR24" s="113"/>
      <c r="RS24" s="113"/>
      <c r="RT24" s="113"/>
      <c r="RU24" s="113"/>
      <c r="RV24" s="113"/>
      <c r="RW24" s="113"/>
      <c r="RX24" s="113"/>
      <c r="RY24" s="113"/>
      <c r="RZ24" s="113"/>
      <c r="SA24" s="113"/>
      <c r="SB24" s="113"/>
      <c r="SC24" s="113"/>
      <c r="SD24" s="113"/>
      <c r="SE24" s="113"/>
      <c r="SF24" s="113"/>
      <c r="SG24" s="113"/>
      <c r="SH24" s="113"/>
      <c r="SI24" s="113"/>
      <c r="SJ24" s="113"/>
      <c r="SK24" s="113"/>
      <c r="SL24" s="113"/>
      <c r="SM24" s="113"/>
      <c r="SN24" s="113"/>
      <c r="SO24" s="113"/>
      <c r="SP24" s="113"/>
      <c r="SQ24" s="113"/>
      <c r="SR24" s="113"/>
      <c r="SS24" s="113"/>
      <c r="ST24" s="113"/>
      <c r="SU24" s="113"/>
      <c r="SV24" s="113"/>
      <c r="SW24" s="113"/>
      <c r="SX24" s="113"/>
      <c r="SY24" s="113"/>
      <c r="SZ24" s="113"/>
      <c r="TA24" s="113"/>
      <c r="TB24" s="113"/>
      <c r="TC24" s="113"/>
      <c r="TD24" s="113"/>
      <c r="TE24" s="113"/>
      <c r="TF24" s="113"/>
      <c r="TG24" s="113"/>
      <c r="TH24" s="113"/>
      <c r="TI24" s="113"/>
      <c r="TJ24" s="113"/>
      <c r="TK24" s="113"/>
      <c r="TL24" s="113"/>
      <c r="TM24" s="113"/>
      <c r="TN24" s="113"/>
      <c r="TO24" s="113"/>
      <c r="TP24" s="113"/>
      <c r="TQ24" s="113"/>
      <c r="TR24" s="113"/>
      <c r="TS24" s="113"/>
      <c r="TT24" s="113"/>
      <c r="TU24" s="113"/>
      <c r="TV24" s="113"/>
      <c r="TW24" s="113"/>
      <c r="TX24" s="113"/>
      <c r="TY24" s="113"/>
      <c r="TZ24" s="113"/>
      <c r="UA24" s="113"/>
      <c r="UB24" s="113"/>
      <c r="UC24" s="113"/>
      <c r="UD24" s="113"/>
      <c r="UE24" s="113"/>
      <c r="UF24" s="113"/>
      <c r="UG24" s="113"/>
      <c r="UH24" s="113"/>
      <c r="UI24" s="113"/>
      <c r="UJ24" s="113"/>
      <c r="UK24" s="113"/>
      <c r="UL24" s="113"/>
      <c r="UM24" s="113"/>
      <c r="UN24" s="113"/>
      <c r="UO24" s="113"/>
      <c r="UP24" s="113"/>
      <c r="UQ24" s="113"/>
      <c r="UR24" s="113"/>
      <c r="US24" s="113"/>
      <c r="UT24" s="113"/>
      <c r="UU24" s="113"/>
      <c r="UV24" s="113"/>
      <c r="UW24" s="113"/>
      <c r="UX24" s="113"/>
      <c r="UY24" s="113"/>
      <c r="UZ24" s="113"/>
      <c r="VA24" s="113"/>
      <c r="VB24" s="113"/>
      <c r="VC24" s="113"/>
      <c r="VD24" s="113"/>
      <c r="VE24" s="113"/>
      <c r="VF24" s="113"/>
      <c r="VG24" s="113"/>
      <c r="VH24" s="113"/>
      <c r="VI24" s="113"/>
      <c r="VJ24" s="113"/>
      <c r="VK24" s="113"/>
      <c r="VL24" s="113"/>
      <c r="VM24" s="113"/>
      <c r="VN24" s="113"/>
      <c r="VO24" s="113"/>
      <c r="VP24" s="113"/>
      <c r="VQ24" s="113"/>
      <c r="VR24" s="113"/>
      <c r="VS24" s="113"/>
      <c r="VT24" s="113"/>
      <c r="VU24" s="113"/>
      <c r="VV24" s="113"/>
      <c r="VW24" s="113"/>
      <c r="VX24" s="113"/>
      <c r="VY24" s="113"/>
      <c r="VZ24" s="113"/>
      <c r="WA24" s="113"/>
      <c r="WB24" s="113"/>
      <c r="WC24" s="113"/>
      <c r="WD24" s="113"/>
      <c r="WE24" s="113"/>
      <c r="WF24" s="113"/>
      <c r="WG24" s="113"/>
      <c r="WH24" s="113"/>
      <c r="WI24" s="113"/>
      <c r="WJ24" s="113"/>
      <c r="WK24" s="113"/>
      <c r="WL24" s="113"/>
      <c r="WM24" s="113"/>
      <c r="WN24" s="113"/>
      <c r="WO24" s="113"/>
      <c r="WP24" s="113"/>
      <c r="WQ24" s="113"/>
      <c r="WR24" s="113"/>
      <c r="WS24" s="113"/>
      <c r="WT24" s="113"/>
      <c r="WU24" s="113"/>
      <c r="WV24" s="113"/>
      <c r="WW24" s="113"/>
      <c r="WX24" s="113"/>
      <c r="WY24" s="113"/>
      <c r="WZ24" s="113"/>
      <c r="XA24" s="113"/>
      <c r="XB24" s="113"/>
      <c r="XC24" s="113"/>
      <c r="XD24" s="113"/>
      <c r="XE24" s="113"/>
      <c r="XF24" s="113"/>
      <c r="XG24" s="113"/>
      <c r="XH24" s="113"/>
      <c r="XI24" s="113"/>
      <c r="XJ24" s="113"/>
      <c r="XK24" s="113"/>
      <c r="XL24" s="113"/>
      <c r="XM24" s="113"/>
      <c r="XN24" s="113"/>
      <c r="XO24" s="113"/>
      <c r="XP24" s="113"/>
      <c r="XQ24" s="113"/>
      <c r="XR24" s="113"/>
      <c r="XS24" s="113"/>
      <c r="XT24" s="113"/>
      <c r="XU24" s="113"/>
      <c r="XV24" s="113"/>
      <c r="XW24" s="113"/>
      <c r="XX24" s="113"/>
      <c r="XY24" s="113"/>
      <c r="XZ24" s="113"/>
      <c r="YA24" s="113"/>
      <c r="YB24" s="113"/>
      <c r="YC24" s="113"/>
      <c r="YD24" s="113"/>
      <c r="YE24" s="113"/>
      <c r="YF24" s="113"/>
      <c r="YG24" s="113"/>
      <c r="YH24" s="113"/>
      <c r="YI24" s="113"/>
      <c r="YJ24" s="113"/>
      <c r="YK24" s="113"/>
      <c r="YL24" s="113"/>
      <c r="YM24" s="113"/>
      <c r="YN24" s="113"/>
      <c r="YO24" s="113"/>
      <c r="YP24" s="113"/>
      <c r="YQ24" s="113"/>
      <c r="YR24" s="113"/>
      <c r="YS24" s="113"/>
      <c r="YT24" s="113"/>
      <c r="YU24" s="113"/>
      <c r="YV24" s="113"/>
      <c r="YW24" s="113"/>
      <c r="YX24" s="113"/>
      <c r="YY24" s="113"/>
      <c r="YZ24" s="113"/>
      <c r="ZA24" s="113"/>
      <c r="ZB24" s="113"/>
      <c r="ZC24" s="113"/>
      <c r="ZD24" s="113"/>
      <c r="ZE24" s="113"/>
    </row>
    <row r="25">
      <c r="A25" s="156" t="s">
        <v>1555</v>
      </c>
      <c r="B25" s="108" t="s">
        <v>1556</v>
      </c>
      <c r="C25" s="16"/>
      <c r="D25" s="16"/>
      <c r="E25" s="16"/>
      <c r="F25" s="16"/>
      <c r="G25" s="16"/>
      <c r="H25" s="25"/>
      <c r="I25" s="108" t="s">
        <v>1558</v>
      </c>
      <c r="J25" s="16"/>
      <c r="K25" s="16"/>
      <c r="L25" s="16"/>
      <c r="M25" s="16"/>
      <c r="N25" s="16"/>
      <c r="O25" s="25"/>
      <c r="P25" s="108" t="s">
        <v>1558</v>
      </c>
      <c r="Q25" s="16"/>
      <c r="R25" s="16"/>
      <c r="S25" s="16"/>
      <c r="T25" s="16"/>
      <c r="U25" s="16"/>
      <c r="V25" s="25"/>
      <c r="W25" s="108" t="s">
        <v>1558</v>
      </c>
      <c r="X25" s="16"/>
      <c r="Y25" s="16"/>
      <c r="Z25" s="16"/>
      <c r="AA25" s="16"/>
      <c r="AB25" s="16"/>
      <c r="AC25" s="25"/>
      <c r="AD25" s="108" t="s">
        <v>1558</v>
      </c>
      <c r="AE25" s="16"/>
      <c r="AF25" s="16"/>
      <c r="AG25" s="16"/>
      <c r="AH25" s="16"/>
      <c r="AI25" s="16"/>
      <c r="AJ25" s="25"/>
      <c r="AK25" s="108" t="s">
        <v>189</v>
      </c>
      <c r="AL25" s="16"/>
      <c r="AM25" s="16"/>
      <c r="AN25" s="16"/>
      <c r="AO25" s="16"/>
      <c r="AP25" s="16"/>
      <c r="AQ25" s="25"/>
      <c r="AR25" s="108" t="s">
        <v>1571</v>
      </c>
      <c r="AS25" s="16"/>
      <c r="AT25" s="16"/>
      <c r="AU25" s="16"/>
      <c r="AV25" s="16"/>
      <c r="AW25" s="16"/>
      <c r="AX25" s="25"/>
      <c r="AY25" s="108" t="s">
        <v>1556</v>
      </c>
      <c r="AZ25" s="16"/>
      <c r="BA25" s="16"/>
      <c r="BB25" s="16"/>
      <c r="BC25" s="16"/>
      <c r="BD25" s="16"/>
      <c r="BE25" s="25"/>
      <c r="BF25" s="108" t="s">
        <v>1572</v>
      </c>
      <c r="BG25" s="16"/>
      <c r="BH25" s="16"/>
      <c r="BI25" s="16"/>
      <c r="BJ25" s="16"/>
      <c r="BK25" s="16"/>
      <c r="BL25" s="25"/>
      <c r="BM25" s="108" t="s">
        <v>1572</v>
      </c>
      <c r="BN25" s="16"/>
      <c r="BO25" s="16"/>
      <c r="BP25" s="16"/>
      <c r="BQ25" s="16"/>
      <c r="BR25" s="16"/>
      <c r="BS25" s="25"/>
      <c r="BT25" s="108" t="s">
        <v>1572</v>
      </c>
      <c r="BU25" s="16"/>
      <c r="BV25" s="16"/>
      <c r="BW25" s="16"/>
      <c r="BX25" s="16"/>
      <c r="BY25" s="16"/>
      <c r="BZ25" s="25"/>
      <c r="CA25" s="108" t="s">
        <v>635</v>
      </c>
      <c r="CB25" s="16"/>
      <c r="CC25" s="16"/>
      <c r="CD25" s="16"/>
      <c r="CE25" s="16"/>
      <c r="CF25" s="16"/>
      <c r="CG25" s="25"/>
      <c r="CH25" s="108" t="s">
        <v>1575</v>
      </c>
      <c r="CI25" s="16"/>
      <c r="CJ25" s="16"/>
      <c r="CK25" s="16"/>
      <c r="CL25" s="16"/>
      <c r="CM25" s="16"/>
      <c r="CN25" s="25"/>
      <c r="CO25" s="108" t="s">
        <v>1575</v>
      </c>
      <c r="CP25" s="16"/>
      <c r="CQ25" s="16"/>
      <c r="CR25" s="16"/>
      <c r="CS25" s="16"/>
      <c r="CT25" s="16"/>
      <c r="CU25" s="25"/>
      <c r="CV25" s="108" t="s">
        <v>1579</v>
      </c>
      <c r="CW25" s="16"/>
      <c r="CX25" s="16"/>
      <c r="CY25" s="16"/>
      <c r="CZ25" s="16"/>
      <c r="DA25" s="16"/>
      <c r="DB25" s="25"/>
      <c r="DC25" s="106" t="s">
        <v>1636</v>
      </c>
      <c r="DD25" s="16"/>
      <c r="DE25" s="16"/>
      <c r="DF25" s="16"/>
      <c r="DG25" s="16"/>
      <c r="DH25" s="16"/>
      <c r="DI25" s="25"/>
      <c r="DJ25" s="106" t="s">
        <v>1636</v>
      </c>
      <c r="DK25" s="16"/>
      <c r="DL25" s="16"/>
      <c r="DM25" s="16"/>
      <c r="DN25" s="16"/>
      <c r="DO25" s="16"/>
      <c r="DP25" s="25"/>
      <c r="DQ25" s="352" t="s">
        <v>398</v>
      </c>
      <c r="DR25" s="23"/>
      <c r="DS25" s="23"/>
      <c r="DT25" s="23"/>
      <c r="DU25" s="23"/>
      <c r="DV25" s="23"/>
      <c r="DW25" s="104"/>
      <c r="DX25" s="352" t="s">
        <v>398</v>
      </c>
      <c r="DY25" s="23"/>
      <c r="DZ25" s="23"/>
      <c r="EA25" s="23"/>
      <c r="EB25" s="23"/>
      <c r="EC25" s="23"/>
      <c r="ED25" s="104"/>
      <c r="EE25" s="358" t="s">
        <v>1511</v>
      </c>
      <c r="EF25" s="23"/>
      <c r="EG25" s="23"/>
      <c r="EH25" s="23"/>
      <c r="EI25" s="23"/>
      <c r="EJ25" s="23"/>
      <c r="EK25" s="104"/>
      <c r="EL25" s="352" t="s">
        <v>1638</v>
      </c>
      <c r="EM25" s="23"/>
      <c r="EN25" s="23"/>
      <c r="EO25" s="23"/>
      <c r="EP25" s="23"/>
      <c r="EQ25" s="23"/>
      <c r="ER25" s="104"/>
      <c r="ES25" s="351" t="s">
        <v>1639</v>
      </c>
      <c r="ET25" s="23"/>
      <c r="EU25" s="23"/>
      <c r="EV25" s="23"/>
      <c r="EW25" s="23"/>
      <c r="EX25" s="23"/>
      <c r="EY25" s="104"/>
      <c r="EZ25" s="351" t="s">
        <v>1639</v>
      </c>
      <c r="FA25" s="23"/>
      <c r="FB25" s="23"/>
      <c r="FC25" s="23"/>
      <c r="FD25" s="23"/>
      <c r="FE25" s="23"/>
      <c r="FF25" s="104"/>
      <c r="FG25" s="362" t="s">
        <v>1640</v>
      </c>
      <c r="FH25" s="16"/>
      <c r="FI25" s="16"/>
      <c r="FJ25" s="16"/>
      <c r="FK25" s="16"/>
      <c r="FL25" s="16"/>
      <c r="FM25" s="25"/>
      <c r="FN25" s="352" t="s">
        <v>1641</v>
      </c>
      <c r="FO25" s="23"/>
      <c r="FP25" s="23"/>
      <c r="FQ25" s="23"/>
      <c r="FR25" s="23"/>
      <c r="FS25" s="23"/>
      <c r="FT25" s="104"/>
      <c r="FU25" s="352" t="s">
        <v>1641</v>
      </c>
      <c r="FV25" s="23"/>
      <c r="FW25" s="23"/>
      <c r="FX25" s="23"/>
      <c r="FY25" s="23"/>
      <c r="FZ25" s="23"/>
      <c r="GA25" s="104"/>
      <c r="GB25" s="283"/>
      <c r="GC25" s="16"/>
      <c r="GD25" s="16"/>
      <c r="GE25" s="16"/>
      <c r="GF25" s="16"/>
      <c r="GG25" s="16"/>
      <c r="GH25" s="25"/>
      <c r="GI25" s="283"/>
      <c r="GJ25" s="16"/>
      <c r="GK25" s="16"/>
      <c r="GL25" s="16"/>
      <c r="GM25" s="16"/>
      <c r="GN25" s="16"/>
      <c r="GO25" s="25"/>
      <c r="GP25" s="153"/>
      <c r="GQ25" s="16"/>
      <c r="GR25" s="16"/>
      <c r="GS25" s="16"/>
      <c r="GT25" s="16"/>
      <c r="GU25" s="16"/>
      <c r="GV25" s="25"/>
      <c r="GW25" s="153"/>
      <c r="GX25" s="16"/>
      <c r="GY25" s="16"/>
      <c r="GZ25" s="16"/>
      <c r="HA25" s="16"/>
      <c r="HB25" s="16"/>
      <c r="HC25" s="25"/>
      <c r="HD25" s="153"/>
      <c r="HE25" s="16"/>
      <c r="HF25" s="16"/>
      <c r="HG25" s="16"/>
      <c r="HH25" s="16"/>
      <c r="HI25" s="16"/>
      <c r="HJ25" s="25"/>
      <c r="HK25" s="153"/>
      <c r="HL25" s="16"/>
      <c r="HM25" s="16"/>
      <c r="HN25" s="16"/>
      <c r="HO25" s="16"/>
      <c r="HP25" s="16"/>
      <c r="HQ25" s="25"/>
      <c r="HR25" s="153"/>
      <c r="HS25" s="16"/>
      <c r="HT25" s="16"/>
      <c r="HU25" s="16"/>
      <c r="HV25" s="16"/>
      <c r="HW25" s="16"/>
      <c r="HX25" s="25"/>
      <c r="HY25" s="153"/>
      <c r="HZ25" s="16"/>
      <c r="IA25" s="16"/>
      <c r="IB25" s="16"/>
      <c r="IC25" s="16"/>
      <c r="ID25" s="16"/>
      <c r="IE25" s="25"/>
      <c r="IF25" s="283"/>
      <c r="IG25" s="16"/>
      <c r="IH25" s="16"/>
      <c r="II25" s="16"/>
      <c r="IJ25" s="16"/>
      <c r="IK25" s="16"/>
      <c r="IL25" s="25"/>
      <c r="IM25" s="286"/>
      <c r="IT25" s="286"/>
      <c r="IZ25" s="83"/>
      <c r="JA25" s="286"/>
      <c r="JH25" s="339"/>
      <c r="JN25" s="83"/>
      <c r="JO25" s="287"/>
      <c r="JV25" s="339"/>
      <c r="KC25" s="339"/>
      <c r="KD25" s="288"/>
      <c r="KE25" s="288"/>
      <c r="KF25" s="288"/>
      <c r="KG25" s="288"/>
      <c r="KH25" s="288"/>
      <c r="KI25" s="365"/>
      <c r="KJ25" s="286"/>
      <c r="KP25" s="83"/>
      <c r="KQ25" s="286"/>
      <c r="KW25" s="83"/>
      <c r="KX25" s="286"/>
      <c r="LD25" s="83"/>
      <c r="LE25" s="286"/>
      <c r="LL25" s="286"/>
      <c r="LS25" s="286"/>
      <c r="LZ25" s="286"/>
      <c r="MG25" s="286"/>
      <c r="MN25" s="286"/>
      <c r="MU25" s="286"/>
      <c r="NB25" s="288"/>
      <c r="NC25" s="113"/>
      <c r="ND25" s="113"/>
      <c r="NE25" s="113"/>
      <c r="NF25" s="113"/>
      <c r="NG25" s="113"/>
      <c r="NH25" s="113"/>
      <c r="NI25" s="113"/>
      <c r="NJ25" s="113"/>
      <c r="NK25" s="113"/>
      <c r="NL25" s="113"/>
      <c r="NM25" s="113"/>
      <c r="NN25" s="113"/>
      <c r="NO25" s="113"/>
      <c r="NP25" s="113"/>
      <c r="NQ25" s="113"/>
      <c r="NR25" s="113"/>
      <c r="NS25" s="113"/>
      <c r="NT25" s="113"/>
      <c r="NU25" s="113"/>
      <c r="NV25" s="113"/>
      <c r="NW25" s="113"/>
      <c r="NX25" s="113"/>
      <c r="NY25" s="113"/>
      <c r="NZ25" s="113"/>
      <c r="OA25" s="113"/>
      <c r="OB25" s="113"/>
      <c r="OC25" s="113"/>
      <c r="OD25" s="113"/>
      <c r="OE25" s="113"/>
      <c r="OF25" s="113"/>
      <c r="OG25" s="113"/>
      <c r="OH25" s="113"/>
      <c r="OI25" s="113"/>
      <c r="OJ25" s="113"/>
      <c r="OK25" s="113"/>
      <c r="OL25" s="113"/>
      <c r="OM25" s="113"/>
      <c r="ON25" s="113"/>
      <c r="OO25" s="113"/>
      <c r="OP25" s="113"/>
      <c r="OQ25" s="113"/>
      <c r="OR25" s="113"/>
      <c r="OS25" s="113"/>
      <c r="OT25" s="113"/>
      <c r="OU25" s="113"/>
      <c r="OV25" s="113"/>
      <c r="OW25" s="113"/>
      <c r="OX25" s="113"/>
      <c r="OY25" s="113"/>
      <c r="OZ25" s="113"/>
      <c r="PA25" s="113"/>
      <c r="PB25" s="113"/>
      <c r="PC25" s="113"/>
      <c r="PD25" s="113"/>
      <c r="PE25" s="113"/>
      <c r="PF25" s="113"/>
      <c r="PG25" s="113"/>
      <c r="PH25" s="113"/>
      <c r="PI25" s="113"/>
      <c r="PJ25" s="113"/>
      <c r="PK25" s="113"/>
      <c r="PL25" s="113"/>
      <c r="PM25" s="113"/>
      <c r="PN25" s="113"/>
      <c r="PO25" s="113"/>
      <c r="PP25" s="113"/>
      <c r="PQ25" s="113"/>
      <c r="PR25" s="113"/>
      <c r="PS25" s="113"/>
      <c r="PT25" s="113"/>
      <c r="PU25" s="113"/>
      <c r="PV25" s="113"/>
      <c r="PW25" s="113"/>
      <c r="PX25" s="113"/>
      <c r="PY25" s="113"/>
      <c r="PZ25" s="113"/>
      <c r="QA25" s="113"/>
      <c r="QB25" s="113"/>
      <c r="QC25" s="113"/>
      <c r="QD25" s="113"/>
      <c r="QE25" s="113"/>
      <c r="QF25" s="113"/>
      <c r="QG25" s="113"/>
      <c r="QH25" s="113"/>
      <c r="QI25" s="113"/>
      <c r="QJ25" s="113"/>
      <c r="QK25" s="113"/>
      <c r="QL25" s="113"/>
      <c r="QM25" s="113"/>
      <c r="QN25" s="113"/>
      <c r="QO25" s="113"/>
      <c r="QP25" s="113"/>
      <c r="QQ25" s="113"/>
      <c r="QR25" s="113"/>
      <c r="QS25" s="113"/>
      <c r="QT25" s="113"/>
      <c r="QU25" s="113"/>
      <c r="QV25" s="113"/>
      <c r="QW25" s="113"/>
      <c r="QX25" s="113"/>
      <c r="QY25" s="113"/>
      <c r="QZ25" s="113"/>
      <c r="RA25" s="113"/>
      <c r="RB25" s="113"/>
      <c r="RC25" s="113"/>
      <c r="RD25" s="113"/>
      <c r="RE25" s="113"/>
      <c r="RF25" s="113"/>
      <c r="RG25" s="113"/>
      <c r="RH25" s="113"/>
      <c r="RI25" s="113"/>
      <c r="RJ25" s="113"/>
      <c r="RK25" s="113"/>
      <c r="RL25" s="113"/>
      <c r="RM25" s="113"/>
      <c r="RN25" s="113"/>
      <c r="RO25" s="113"/>
      <c r="RP25" s="113"/>
      <c r="RQ25" s="113"/>
      <c r="RR25" s="113"/>
      <c r="RS25" s="113"/>
      <c r="RT25" s="113"/>
      <c r="RU25" s="113"/>
      <c r="RV25" s="113"/>
      <c r="RW25" s="113"/>
      <c r="RX25" s="113"/>
      <c r="RY25" s="113"/>
      <c r="RZ25" s="113"/>
      <c r="SA25" s="113"/>
      <c r="SB25" s="113"/>
      <c r="SC25" s="113"/>
      <c r="SD25" s="113"/>
      <c r="SE25" s="113"/>
      <c r="SF25" s="113"/>
      <c r="SG25" s="113"/>
      <c r="SH25" s="113"/>
      <c r="SI25" s="113"/>
      <c r="SJ25" s="113"/>
      <c r="SK25" s="113"/>
      <c r="SL25" s="113"/>
      <c r="SM25" s="113"/>
      <c r="SN25" s="113"/>
      <c r="SO25" s="113"/>
      <c r="SP25" s="113"/>
      <c r="SQ25" s="113"/>
      <c r="SR25" s="113"/>
      <c r="SS25" s="113"/>
      <c r="ST25" s="113"/>
      <c r="SU25" s="113"/>
      <c r="SV25" s="113"/>
      <c r="SW25" s="113"/>
      <c r="SX25" s="113"/>
      <c r="SY25" s="113"/>
      <c r="SZ25" s="113"/>
      <c r="TA25" s="113"/>
      <c r="TB25" s="113"/>
      <c r="TC25" s="113"/>
      <c r="TD25" s="113"/>
      <c r="TE25" s="113"/>
      <c r="TF25" s="113"/>
      <c r="TG25" s="113"/>
      <c r="TH25" s="113"/>
      <c r="TI25" s="113"/>
      <c r="TJ25" s="113"/>
      <c r="TK25" s="113"/>
      <c r="TL25" s="113"/>
      <c r="TM25" s="113"/>
      <c r="TN25" s="113"/>
      <c r="TO25" s="113"/>
      <c r="TP25" s="113"/>
      <c r="TQ25" s="113"/>
      <c r="TR25" s="113"/>
      <c r="TS25" s="113"/>
      <c r="TT25" s="113"/>
      <c r="TU25" s="113"/>
      <c r="TV25" s="113"/>
      <c r="TW25" s="113"/>
      <c r="TX25" s="113"/>
      <c r="TY25" s="113"/>
      <c r="TZ25" s="113"/>
      <c r="UA25" s="113"/>
      <c r="UB25" s="113"/>
      <c r="UC25" s="113"/>
      <c r="UD25" s="113"/>
      <c r="UE25" s="113"/>
      <c r="UF25" s="113"/>
      <c r="UG25" s="113"/>
      <c r="UH25" s="113"/>
      <c r="UI25" s="113"/>
      <c r="UJ25" s="113"/>
      <c r="UK25" s="113"/>
      <c r="UL25" s="113"/>
      <c r="UM25" s="113"/>
      <c r="UN25" s="113"/>
      <c r="UO25" s="113"/>
      <c r="UP25" s="113"/>
      <c r="UQ25" s="113"/>
      <c r="UR25" s="113"/>
      <c r="US25" s="113"/>
      <c r="UT25" s="113"/>
      <c r="UU25" s="113"/>
      <c r="UV25" s="113"/>
      <c r="UW25" s="113"/>
      <c r="UX25" s="113"/>
      <c r="UY25" s="113"/>
      <c r="UZ25" s="113"/>
      <c r="VA25" s="113"/>
      <c r="VB25" s="113"/>
      <c r="VC25" s="113"/>
      <c r="VD25" s="113"/>
      <c r="VE25" s="113"/>
      <c r="VF25" s="113"/>
      <c r="VG25" s="113"/>
      <c r="VH25" s="113"/>
      <c r="VI25" s="113"/>
      <c r="VJ25" s="113"/>
      <c r="VK25" s="113"/>
      <c r="VL25" s="113"/>
      <c r="VM25" s="113"/>
      <c r="VN25" s="113"/>
      <c r="VO25" s="113"/>
      <c r="VP25" s="113"/>
      <c r="VQ25" s="113"/>
      <c r="VR25" s="113"/>
      <c r="VS25" s="113"/>
      <c r="VT25" s="113"/>
      <c r="VU25" s="113"/>
      <c r="VV25" s="113"/>
      <c r="VW25" s="113"/>
      <c r="VX25" s="113"/>
      <c r="VY25" s="113"/>
      <c r="VZ25" s="113"/>
      <c r="WA25" s="113"/>
      <c r="WB25" s="113"/>
      <c r="WC25" s="113"/>
      <c r="WD25" s="113"/>
      <c r="WE25" s="113"/>
      <c r="WF25" s="113"/>
      <c r="WG25" s="113"/>
      <c r="WH25" s="113"/>
      <c r="WI25" s="113"/>
      <c r="WJ25" s="113"/>
      <c r="WK25" s="113"/>
      <c r="WL25" s="113"/>
      <c r="WM25" s="113"/>
      <c r="WN25" s="113"/>
      <c r="WO25" s="113"/>
      <c r="WP25" s="113"/>
      <c r="WQ25" s="113"/>
      <c r="WR25" s="113"/>
      <c r="WS25" s="113"/>
      <c r="WT25" s="113"/>
      <c r="WU25" s="113"/>
      <c r="WV25" s="113"/>
      <c r="WW25" s="113"/>
      <c r="WX25" s="113"/>
      <c r="WY25" s="113"/>
      <c r="WZ25" s="113"/>
      <c r="XA25" s="113"/>
      <c r="XB25" s="113"/>
      <c r="XC25" s="113"/>
      <c r="XD25" s="113"/>
      <c r="XE25" s="113"/>
      <c r="XF25" s="113"/>
      <c r="XG25" s="113"/>
      <c r="XH25" s="113"/>
      <c r="XI25" s="113"/>
      <c r="XJ25" s="113"/>
      <c r="XK25" s="113"/>
      <c r="XL25" s="113"/>
      <c r="XM25" s="113"/>
      <c r="XN25" s="113"/>
      <c r="XO25" s="113"/>
      <c r="XP25" s="113"/>
      <c r="XQ25" s="113"/>
      <c r="XR25" s="113"/>
      <c r="XS25" s="113"/>
      <c r="XT25" s="113"/>
      <c r="XU25" s="113"/>
      <c r="XV25" s="113"/>
      <c r="XW25" s="113"/>
      <c r="XX25" s="113"/>
      <c r="XY25" s="113"/>
      <c r="XZ25" s="113"/>
      <c r="YA25" s="113"/>
      <c r="YB25" s="113"/>
      <c r="YC25" s="113"/>
      <c r="YD25" s="113"/>
      <c r="YE25" s="113"/>
      <c r="YF25" s="113"/>
      <c r="YG25" s="113"/>
      <c r="YH25" s="113"/>
      <c r="YI25" s="113"/>
      <c r="YJ25" s="113"/>
      <c r="YK25" s="113"/>
      <c r="YL25" s="113"/>
      <c r="YM25" s="113"/>
      <c r="YN25" s="113"/>
      <c r="YO25" s="113"/>
      <c r="YP25" s="113"/>
      <c r="YQ25" s="113"/>
      <c r="YR25" s="113"/>
      <c r="YS25" s="113"/>
      <c r="YT25" s="113"/>
      <c r="YU25" s="113"/>
      <c r="YV25" s="113"/>
      <c r="YW25" s="113"/>
      <c r="YX25" s="113"/>
      <c r="YY25" s="113"/>
      <c r="YZ25" s="113"/>
      <c r="ZA25" s="113"/>
      <c r="ZB25" s="113"/>
      <c r="ZC25" s="113"/>
      <c r="ZD25" s="113"/>
      <c r="ZE25" s="113"/>
    </row>
    <row r="26" ht="22.5" customHeight="1">
      <c r="A26" s="156" t="s">
        <v>1676</v>
      </c>
      <c r="B26" s="108" t="s">
        <v>1677</v>
      </c>
      <c r="C26" s="16"/>
      <c r="D26" s="16"/>
      <c r="E26" s="16"/>
      <c r="F26" s="16"/>
      <c r="G26" s="16"/>
      <c r="H26" s="25"/>
      <c r="I26" s="108" t="s">
        <v>1677</v>
      </c>
      <c r="J26" s="16"/>
      <c r="K26" s="16"/>
      <c r="L26" s="16"/>
      <c r="M26" s="16"/>
      <c r="N26" s="16"/>
      <c r="O26" s="25"/>
      <c r="P26" s="108" t="s">
        <v>1677</v>
      </c>
      <c r="Q26" s="16"/>
      <c r="R26" s="16"/>
      <c r="S26" s="16"/>
      <c r="T26" s="16"/>
      <c r="U26" s="16"/>
      <c r="V26" s="25"/>
      <c r="W26" s="108" t="s">
        <v>1677</v>
      </c>
      <c r="X26" s="16"/>
      <c r="Y26" s="16"/>
      <c r="Z26" s="16"/>
      <c r="AA26" s="16"/>
      <c r="AB26" s="16"/>
      <c r="AC26" s="25"/>
      <c r="AD26" s="108" t="s">
        <v>1677</v>
      </c>
      <c r="AE26" s="16"/>
      <c r="AF26" s="16"/>
      <c r="AG26" s="16"/>
      <c r="AH26" s="16"/>
      <c r="AI26" s="16"/>
      <c r="AJ26" s="25"/>
      <c r="AK26" s="108" t="s">
        <v>1689</v>
      </c>
      <c r="AL26" s="16"/>
      <c r="AM26" s="16"/>
      <c r="AN26" s="16"/>
      <c r="AO26" s="16"/>
      <c r="AP26" s="16"/>
      <c r="AQ26" s="25"/>
      <c r="AR26" s="108" t="s">
        <v>1689</v>
      </c>
      <c r="AS26" s="16"/>
      <c r="AT26" s="16"/>
      <c r="AU26" s="16"/>
      <c r="AV26" s="16"/>
      <c r="AW26" s="16"/>
      <c r="AX26" s="25"/>
      <c r="AY26" s="108" t="s">
        <v>1693</v>
      </c>
      <c r="AZ26" s="16"/>
      <c r="BA26" s="16"/>
      <c r="BB26" s="16"/>
      <c r="BC26" s="16"/>
      <c r="BD26" s="16"/>
      <c r="BE26" s="25"/>
      <c r="BF26" s="108" t="s">
        <v>1697</v>
      </c>
      <c r="BG26" s="16"/>
      <c r="BH26" s="16"/>
      <c r="BI26" s="16"/>
      <c r="BJ26" s="16"/>
      <c r="BK26" s="16"/>
      <c r="BL26" s="25"/>
      <c r="BM26" s="108" t="s">
        <v>1693</v>
      </c>
      <c r="BN26" s="16"/>
      <c r="BO26" s="16"/>
      <c r="BP26" s="16"/>
      <c r="BQ26" s="16"/>
      <c r="BR26" s="16"/>
      <c r="BS26" s="25"/>
      <c r="BT26" s="108" t="s">
        <v>1700</v>
      </c>
      <c r="BU26" s="16"/>
      <c r="BV26" s="16"/>
      <c r="BW26" s="16"/>
      <c r="BX26" s="16"/>
      <c r="BY26" s="16"/>
      <c r="BZ26" s="25"/>
      <c r="CA26" s="108" t="s">
        <v>1703</v>
      </c>
      <c r="CB26" s="16"/>
      <c r="CC26" s="16"/>
      <c r="CD26" s="16"/>
      <c r="CE26" s="16"/>
      <c r="CF26" s="16"/>
      <c r="CG26" s="25"/>
      <c r="CH26" s="108" t="s">
        <v>1705</v>
      </c>
      <c r="CI26" s="16"/>
      <c r="CJ26" s="16"/>
      <c r="CK26" s="16"/>
      <c r="CL26" s="16"/>
      <c r="CM26" s="16"/>
      <c r="CN26" s="25"/>
      <c r="CO26" s="108" t="s">
        <v>1707</v>
      </c>
      <c r="CP26" s="16"/>
      <c r="CQ26" s="16"/>
      <c r="CR26" s="16"/>
      <c r="CS26" s="16"/>
      <c r="CT26" s="16"/>
      <c r="CU26" s="25"/>
      <c r="CV26" s="108" t="s">
        <v>1707</v>
      </c>
      <c r="CW26" s="16"/>
      <c r="CX26" s="16"/>
      <c r="CY26" s="16"/>
      <c r="CZ26" s="16"/>
      <c r="DA26" s="16"/>
      <c r="DB26" s="25"/>
      <c r="DC26" s="108" t="s">
        <v>1707</v>
      </c>
      <c r="DD26" s="16"/>
      <c r="DE26" s="16"/>
      <c r="DF26" s="16"/>
      <c r="DG26" s="16"/>
      <c r="DH26" s="16"/>
      <c r="DI26" s="25"/>
      <c r="DJ26" s="108" t="s">
        <v>1707</v>
      </c>
      <c r="DK26" s="16"/>
      <c r="DL26" s="16"/>
      <c r="DM26" s="16"/>
      <c r="DN26" s="16"/>
      <c r="DO26" s="16"/>
      <c r="DP26" s="25"/>
      <c r="DQ26" s="108" t="s">
        <v>1715</v>
      </c>
      <c r="DR26" s="16"/>
      <c r="DS26" s="16"/>
      <c r="DT26" s="16"/>
      <c r="DU26" s="16"/>
      <c r="DV26" s="16"/>
      <c r="DW26" s="25"/>
      <c r="DX26" s="108" t="s">
        <v>1715</v>
      </c>
      <c r="DY26" s="16"/>
      <c r="DZ26" s="16"/>
      <c r="EA26" s="16"/>
      <c r="EB26" s="16"/>
      <c r="EC26" s="16"/>
      <c r="ED26" s="25"/>
      <c r="EE26" s="106" t="s">
        <v>1717</v>
      </c>
      <c r="EF26" s="16"/>
      <c r="EG26" s="16"/>
      <c r="EH26" s="16"/>
      <c r="EI26" s="16"/>
      <c r="EJ26" s="16"/>
      <c r="EK26" s="25"/>
      <c r="EL26" s="106" t="s">
        <v>1717</v>
      </c>
      <c r="EM26" s="16"/>
      <c r="EN26" s="16"/>
      <c r="EO26" s="16"/>
      <c r="EP26" s="16"/>
      <c r="EQ26" s="16"/>
      <c r="ER26" s="25"/>
      <c r="ES26" s="106" t="s">
        <v>1718</v>
      </c>
      <c r="ET26" s="16"/>
      <c r="EU26" s="16"/>
      <c r="EV26" s="16"/>
      <c r="EW26" s="16"/>
      <c r="EX26" s="16"/>
      <c r="EY26" s="25"/>
      <c r="EZ26" s="106" t="s">
        <v>1719</v>
      </c>
      <c r="FA26" s="16"/>
      <c r="FB26" s="16"/>
      <c r="FC26" s="16"/>
      <c r="FD26" s="16"/>
      <c r="FE26" s="16"/>
      <c r="FF26" s="25"/>
      <c r="FG26" s="106" t="s">
        <v>1719</v>
      </c>
      <c r="FH26" s="16"/>
      <c r="FI26" s="16"/>
      <c r="FJ26" s="16"/>
      <c r="FK26" s="16"/>
      <c r="FL26" s="16"/>
      <c r="FM26" s="25"/>
      <c r="FN26" s="106" t="s">
        <v>1720</v>
      </c>
      <c r="FO26" s="16"/>
      <c r="FP26" s="16"/>
      <c r="FQ26" s="16"/>
      <c r="FR26" s="16"/>
      <c r="FS26" s="16"/>
      <c r="FT26" s="25"/>
      <c r="FU26" s="106" t="s">
        <v>1720</v>
      </c>
      <c r="FV26" s="16"/>
      <c r="FW26" s="16"/>
      <c r="FX26" s="16"/>
      <c r="FY26" s="16"/>
      <c r="FZ26" s="16"/>
      <c r="GA26" s="25"/>
      <c r="GB26" s="153"/>
      <c r="GC26" s="16"/>
      <c r="GD26" s="16"/>
      <c r="GE26" s="16"/>
      <c r="GF26" s="16"/>
      <c r="GG26" s="16"/>
      <c r="GH26" s="25"/>
      <c r="GI26" s="153"/>
      <c r="GJ26" s="16"/>
      <c r="GK26" s="16"/>
      <c r="GL26" s="16"/>
      <c r="GM26" s="16"/>
      <c r="GN26" s="16"/>
      <c r="GO26" s="25"/>
      <c r="GP26" s="153"/>
      <c r="GQ26" s="16"/>
      <c r="GR26" s="16"/>
      <c r="GS26" s="16"/>
      <c r="GT26" s="16"/>
      <c r="GU26" s="16"/>
      <c r="GV26" s="25"/>
      <c r="GW26" s="153"/>
      <c r="GX26" s="16"/>
      <c r="GY26" s="16"/>
      <c r="GZ26" s="16"/>
      <c r="HA26" s="16"/>
      <c r="HB26" s="16"/>
      <c r="HC26" s="25"/>
      <c r="HD26" s="153"/>
      <c r="HE26" s="16"/>
      <c r="HF26" s="16"/>
      <c r="HG26" s="16"/>
      <c r="HH26" s="16"/>
      <c r="HI26" s="16"/>
      <c r="HJ26" s="25"/>
      <c r="HK26" s="153"/>
      <c r="HL26" s="16"/>
      <c r="HM26" s="16"/>
      <c r="HN26" s="16"/>
      <c r="HO26" s="16"/>
      <c r="HP26" s="16"/>
      <c r="HQ26" s="25"/>
      <c r="HR26" s="153"/>
      <c r="HS26" s="16"/>
      <c r="HT26" s="16"/>
      <c r="HU26" s="16"/>
      <c r="HV26" s="16"/>
      <c r="HW26" s="16"/>
      <c r="HX26" s="25"/>
      <c r="HY26" s="153"/>
      <c r="HZ26" s="16"/>
      <c r="IA26" s="16"/>
      <c r="IB26" s="16"/>
      <c r="IC26" s="16"/>
      <c r="ID26" s="16"/>
      <c r="IE26" s="25"/>
      <c r="IF26" s="153"/>
      <c r="IG26" s="16"/>
      <c r="IH26" s="16"/>
      <c r="II26" s="16"/>
      <c r="IJ26" s="16"/>
      <c r="IK26" s="16"/>
      <c r="IL26" s="25"/>
      <c r="IM26" s="339"/>
      <c r="IT26" s="339"/>
      <c r="JA26" s="339"/>
      <c r="JH26" s="339"/>
      <c r="JO26" s="339"/>
      <c r="JU26" s="83"/>
      <c r="JV26" s="368"/>
      <c r="KC26" s="339"/>
      <c r="KI26" s="83"/>
      <c r="KJ26" s="339"/>
      <c r="KP26" s="83"/>
      <c r="KQ26" s="339"/>
      <c r="KW26" s="83"/>
      <c r="KX26" s="339"/>
      <c r="LD26" s="83"/>
      <c r="LE26" s="339"/>
      <c r="LL26" s="339"/>
      <c r="LS26" s="339"/>
      <c r="LZ26" s="339"/>
      <c r="MG26" s="339"/>
      <c r="MN26" s="339"/>
      <c r="MU26" s="339"/>
      <c r="NB26" s="288"/>
      <c r="NC26" s="113"/>
      <c r="ND26" s="113"/>
      <c r="NE26" s="113"/>
      <c r="NF26" s="113"/>
      <c r="NG26" s="113"/>
      <c r="NH26" s="113"/>
      <c r="NI26" s="113"/>
      <c r="NJ26" s="113"/>
      <c r="NK26" s="113"/>
      <c r="NL26" s="113"/>
      <c r="NM26" s="113"/>
      <c r="NN26" s="113"/>
      <c r="NO26" s="113"/>
      <c r="NP26" s="113"/>
      <c r="NQ26" s="113"/>
      <c r="NR26" s="113"/>
      <c r="NS26" s="113"/>
      <c r="NT26" s="113"/>
      <c r="NU26" s="113"/>
      <c r="NV26" s="113"/>
      <c r="NW26" s="113"/>
      <c r="NX26" s="113"/>
      <c r="NY26" s="113"/>
      <c r="NZ26" s="113"/>
      <c r="OA26" s="113"/>
      <c r="OB26" s="113"/>
      <c r="OC26" s="113"/>
      <c r="OD26" s="113"/>
      <c r="OE26" s="113"/>
      <c r="OF26" s="113"/>
      <c r="OG26" s="113"/>
      <c r="OH26" s="113"/>
      <c r="OI26" s="113"/>
      <c r="OJ26" s="113"/>
      <c r="OK26" s="113"/>
      <c r="OL26" s="113"/>
      <c r="OM26" s="113"/>
      <c r="ON26" s="113"/>
      <c r="OO26" s="113"/>
      <c r="OP26" s="113"/>
      <c r="OQ26" s="113"/>
      <c r="OR26" s="113"/>
      <c r="OS26" s="113"/>
      <c r="OT26" s="113"/>
      <c r="OU26" s="113"/>
      <c r="OV26" s="113"/>
      <c r="OW26" s="113"/>
      <c r="OX26" s="113"/>
      <c r="OY26" s="113"/>
      <c r="OZ26" s="113"/>
      <c r="PA26" s="113"/>
      <c r="PB26" s="113"/>
      <c r="PC26" s="113"/>
      <c r="PD26" s="113"/>
      <c r="PE26" s="113"/>
      <c r="PF26" s="113"/>
      <c r="PG26" s="113"/>
      <c r="PH26" s="113"/>
      <c r="PI26" s="113"/>
      <c r="PJ26" s="113"/>
      <c r="PK26" s="113"/>
      <c r="PL26" s="113"/>
      <c r="PM26" s="113"/>
      <c r="PN26" s="113"/>
      <c r="PO26" s="113"/>
      <c r="PP26" s="113"/>
      <c r="PQ26" s="113"/>
      <c r="PR26" s="113"/>
      <c r="PS26" s="113"/>
      <c r="PT26" s="113"/>
      <c r="PU26" s="113"/>
      <c r="PV26" s="113"/>
      <c r="PW26" s="113"/>
      <c r="PX26" s="113"/>
      <c r="PY26" s="113"/>
      <c r="PZ26" s="113"/>
      <c r="QA26" s="113"/>
      <c r="QB26" s="113"/>
      <c r="QC26" s="113"/>
      <c r="QD26" s="113"/>
      <c r="QE26" s="113"/>
      <c r="QF26" s="113"/>
      <c r="QG26" s="113"/>
      <c r="QH26" s="113"/>
      <c r="QI26" s="113"/>
      <c r="QJ26" s="113"/>
      <c r="QK26" s="113"/>
      <c r="QL26" s="113"/>
      <c r="QM26" s="113"/>
      <c r="QN26" s="113"/>
      <c r="QO26" s="113"/>
      <c r="QP26" s="113"/>
      <c r="QQ26" s="113"/>
      <c r="QR26" s="113"/>
      <c r="QS26" s="113"/>
      <c r="QT26" s="113"/>
      <c r="QU26" s="113"/>
      <c r="QV26" s="113"/>
      <c r="QW26" s="113"/>
      <c r="QX26" s="113"/>
      <c r="QY26" s="113"/>
      <c r="QZ26" s="113"/>
      <c r="RA26" s="113"/>
      <c r="RB26" s="113"/>
      <c r="RC26" s="113"/>
      <c r="RD26" s="113"/>
      <c r="RE26" s="113"/>
      <c r="RF26" s="113"/>
      <c r="RG26" s="113"/>
      <c r="RH26" s="113"/>
      <c r="RI26" s="113"/>
      <c r="RJ26" s="113"/>
      <c r="RK26" s="113"/>
      <c r="RL26" s="113"/>
      <c r="RM26" s="113"/>
      <c r="RN26" s="113"/>
      <c r="RO26" s="113"/>
      <c r="RP26" s="113"/>
      <c r="RQ26" s="113"/>
      <c r="RR26" s="113"/>
      <c r="RS26" s="113"/>
      <c r="RT26" s="113"/>
      <c r="RU26" s="113"/>
      <c r="RV26" s="113"/>
      <c r="RW26" s="113"/>
      <c r="RX26" s="113"/>
      <c r="RY26" s="113"/>
      <c r="RZ26" s="113"/>
      <c r="SA26" s="113"/>
      <c r="SB26" s="113"/>
      <c r="SC26" s="113"/>
      <c r="SD26" s="113"/>
      <c r="SE26" s="113"/>
      <c r="SF26" s="113"/>
      <c r="SG26" s="113"/>
      <c r="SH26" s="113"/>
      <c r="SI26" s="113"/>
      <c r="SJ26" s="113"/>
      <c r="SK26" s="113"/>
      <c r="SL26" s="113"/>
      <c r="SM26" s="113"/>
      <c r="SN26" s="113"/>
      <c r="SO26" s="113"/>
      <c r="SP26" s="113"/>
      <c r="SQ26" s="113"/>
      <c r="SR26" s="113"/>
      <c r="SS26" s="113"/>
      <c r="ST26" s="113"/>
      <c r="SU26" s="113"/>
      <c r="SV26" s="113"/>
      <c r="SW26" s="113"/>
      <c r="SX26" s="113"/>
      <c r="SY26" s="113"/>
      <c r="SZ26" s="113"/>
      <c r="TA26" s="113"/>
      <c r="TB26" s="113"/>
      <c r="TC26" s="113"/>
      <c r="TD26" s="113"/>
      <c r="TE26" s="113"/>
      <c r="TF26" s="113"/>
      <c r="TG26" s="113"/>
      <c r="TH26" s="113"/>
      <c r="TI26" s="113"/>
      <c r="TJ26" s="113"/>
      <c r="TK26" s="113"/>
      <c r="TL26" s="113"/>
      <c r="TM26" s="113"/>
      <c r="TN26" s="113"/>
      <c r="TO26" s="113"/>
      <c r="TP26" s="113"/>
      <c r="TQ26" s="113"/>
      <c r="TR26" s="113"/>
      <c r="TS26" s="113"/>
      <c r="TT26" s="113"/>
      <c r="TU26" s="113"/>
      <c r="TV26" s="113"/>
      <c r="TW26" s="113"/>
      <c r="TX26" s="113"/>
      <c r="TY26" s="113"/>
      <c r="TZ26" s="113"/>
      <c r="UA26" s="113"/>
      <c r="UB26" s="113"/>
      <c r="UC26" s="113"/>
      <c r="UD26" s="113"/>
      <c r="UE26" s="113"/>
      <c r="UF26" s="113"/>
      <c r="UG26" s="113"/>
      <c r="UH26" s="113"/>
      <c r="UI26" s="113"/>
      <c r="UJ26" s="113"/>
      <c r="UK26" s="113"/>
      <c r="UL26" s="113"/>
      <c r="UM26" s="113"/>
      <c r="UN26" s="113"/>
      <c r="UO26" s="113"/>
      <c r="UP26" s="113"/>
      <c r="UQ26" s="113"/>
      <c r="UR26" s="113"/>
      <c r="US26" s="113"/>
      <c r="UT26" s="113"/>
      <c r="UU26" s="113"/>
      <c r="UV26" s="113"/>
      <c r="UW26" s="113"/>
      <c r="UX26" s="113"/>
      <c r="UY26" s="113"/>
      <c r="UZ26" s="113"/>
      <c r="VA26" s="113"/>
      <c r="VB26" s="113"/>
      <c r="VC26" s="113"/>
      <c r="VD26" s="113"/>
      <c r="VE26" s="113"/>
      <c r="VF26" s="113"/>
      <c r="VG26" s="113"/>
      <c r="VH26" s="113"/>
      <c r="VI26" s="113"/>
      <c r="VJ26" s="113"/>
      <c r="VK26" s="113"/>
      <c r="VL26" s="113"/>
      <c r="VM26" s="113"/>
      <c r="VN26" s="113"/>
      <c r="VO26" s="113"/>
      <c r="VP26" s="113"/>
      <c r="VQ26" s="113"/>
      <c r="VR26" s="113"/>
      <c r="VS26" s="113"/>
      <c r="VT26" s="113"/>
      <c r="VU26" s="113"/>
      <c r="VV26" s="113"/>
      <c r="VW26" s="113"/>
      <c r="VX26" s="113"/>
      <c r="VY26" s="113"/>
      <c r="VZ26" s="113"/>
      <c r="WA26" s="113"/>
      <c r="WB26" s="113"/>
      <c r="WC26" s="113"/>
      <c r="WD26" s="113"/>
      <c r="WE26" s="113"/>
      <c r="WF26" s="113"/>
      <c r="WG26" s="113"/>
      <c r="WH26" s="113"/>
      <c r="WI26" s="113"/>
      <c r="WJ26" s="113"/>
      <c r="WK26" s="113"/>
      <c r="WL26" s="113"/>
      <c r="WM26" s="113"/>
      <c r="WN26" s="113"/>
      <c r="WO26" s="113"/>
      <c r="WP26" s="113"/>
      <c r="WQ26" s="113"/>
      <c r="WR26" s="113"/>
      <c r="WS26" s="113"/>
      <c r="WT26" s="113"/>
      <c r="WU26" s="113"/>
      <c r="WV26" s="113"/>
      <c r="WW26" s="113"/>
      <c r="WX26" s="113"/>
      <c r="WY26" s="113"/>
      <c r="WZ26" s="113"/>
      <c r="XA26" s="113"/>
      <c r="XB26" s="113"/>
      <c r="XC26" s="113"/>
      <c r="XD26" s="113"/>
      <c r="XE26" s="113"/>
      <c r="XF26" s="113"/>
      <c r="XG26" s="113"/>
      <c r="XH26" s="113"/>
      <c r="XI26" s="113"/>
      <c r="XJ26" s="113"/>
      <c r="XK26" s="113"/>
      <c r="XL26" s="113"/>
      <c r="XM26" s="113"/>
      <c r="XN26" s="113"/>
      <c r="XO26" s="113"/>
      <c r="XP26" s="113"/>
      <c r="XQ26" s="113"/>
      <c r="XR26" s="113"/>
      <c r="XS26" s="113"/>
      <c r="XT26" s="113"/>
      <c r="XU26" s="113"/>
      <c r="XV26" s="113"/>
      <c r="XW26" s="113"/>
      <c r="XX26" s="113"/>
      <c r="XY26" s="113"/>
      <c r="XZ26" s="113"/>
      <c r="YA26" s="113"/>
      <c r="YB26" s="113"/>
      <c r="YC26" s="113"/>
      <c r="YD26" s="113"/>
      <c r="YE26" s="113"/>
      <c r="YF26" s="113"/>
      <c r="YG26" s="113"/>
      <c r="YH26" s="113"/>
      <c r="YI26" s="113"/>
      <c r="YJ26" s="113"/>
      <c r="YK26" s="113"/>
      <c r="YL26" s="113"/>
      <c r="YM26" s="113"/>
      <c r="YN26" s="113"/>
      <c r="YO26" s="113"/>
      <c r="YP26" s="113"/>
      <c r="YQ26" s="113"/>
      <c r="YR26" s="113"/>
      <c r="YS26" s="113"/>
      <c r="YT26" s="113"/>
      <c r="YU26" s="113"/>
      <c r="YV26" s="113"/>
      <c r="YW26" s="113"/>
      <c r="YX26" s="113"/>
      <c r="YY26" s="113"/>
      <c r="YZ26" s="113"/>
      <c r="ZA26" s="113"/>
      <c r="ZB26" s="113"/>
      <c r="ZC26" s="113"/>
      <c r="ZD26" s="113"/>
      <c r="ZE26" s="113"/>
    </row>
    <row r="27">
      <c r="A27" s="156" t="s">
        <v>1160</v>
      </c>
      <c r="B27" s="108" t="s">
        <v>1764</v>
      </c>
      <c r="C27" s="16"/>
      <c r="D27" s="16"/>
      <c r="E27" s="16"/>
      <c r="F27" s="16"/>
      <c r="G27" s="16"/>
      <c r="H27" s="25"/>
      <c r="I27" s="108" t="s">
        <v>1764</v>
      </c>
      <c r="J27" s="16"/>
      <c r="K27" s="16"/>
      <c r="L27" s="16"/>
      <c r="M27" s="16"/>
      <c r="N27" s="16"/>
      <c r="O27" s="25"/>
      <c r="P27" s="108" t="s">
        <v>1765</v>
      </c>
      <c r="Q27" s="16"/>
      <c r="R27" s="16"/>
      <c r="S27" s="16"/>
      <c r="T27" s="16"/>
      <c r="U27" s="16"/>
      <c r="V27" s="25"/>
      <c r="W27" s="108" t="s">
        <v>1765</v>
      </c>
      <c r="X27" s="16"/>
      <c r="Y27" s="16"/>
      <c r="Z27" s="16"/>
      <c r="AA27" s="16"/>
      <c r="AB27" s="16"/>
      <c r="AC27" s="25"/>
      <c r="AD27" s="108" t="s">
        <v>1765</v>
      </c>
      <c r="AE27" s="16"/>
      <c r="AF27" s="16"/>
      <c r="AG27" s="16"/>
      <c r="AH27" s="16"/>
      <c r="AI27" s="16"/>
      <c r="AJ27" s="25"/>
      <c r="AK27" s="108" t="s">
        <v>1772</v>
      </c>
      <c r="AL27" s="16"/>
      <c r="AM27" s="16"/>
      <c r="AN27" s="16"/>
      <c r="AO27" s="16"/>
      <c r="AP27" s="16"/>
      <c r="AQ27" s="25"/>
      <c r="AR27" s="108" t="s">
        <v>1772</v>
      </c>
      <c r="AS27" s="16"/>
      <c r="AT27" s="16"/>
      <c r="AU27" s="16"/>
      <c r="AV27" s="16"/>
      <c r="AW27" s="16"/>
      <c r="AX27" s="25"/>
      <c r="AY27" s="108" t="s">
        <v>1778</v>
      </c>
      <c r="AZ27" s="16"/>
      <c r="BA27" s="16"/>
      <c r="BB27" s="16"/>
      <c r="BC27" s="16"/>
      <c r="BD27" s="16"/>
      <c r="BE27" s="25"/>
      <c r="BF27" s="108" t="s">
        <v>1780</v>
      </c>
      <c r="BG27" s="16"/>
      <c r="BH27" s="16"/>
      <c r="BI27" s="16"/>
      <c r="BJ27" s="16"/>
      <c r="BK27" s="16"/>
      <c r="BL27" s="25"/>
      <c r="BM27" s="108" t="s">
        <v>1784</v>
      </c>
      <c r="BN27" s="16"/>
      <c r="BO27" s="16"/>
      <c r="BP27" s="16"/>
      <c r="BQ27" s="16"/>
      <c r="BR27" s="16"/>
      <c r="BS27" s="25"/>
      <c r="BT27" s="108" t="s">
        <v>1787</v>
      </c>
      <c r="BU27" s="16"/>
      <c r="BV27" s="16"/>
      <c r="BW27" s="16"/>
      <c r="BX27" s="16"/>
      <c r="BY27" s="16"/>
      <c r="BZ27" s="25"/>
      <c r="CA27" s="108" t="s">
        <v>1790</v>
      </c>
      <c r="CB27" s="16"/>
      <c r="CC27" s="16"/>
      <c r="CD27" s="16"/>
      <c r="CE27" s="16"/>
      <c r="CF27" s="16"/>
      <c r="CG27" s="25"/>
      <c r="CH27" s="108" t="s">
        <v>1790</v>
      </c>
      <c r="CI27" s="16"/>
      <c r="CJ27" s="16"/>
      <c r="CK27" s="16"/>
      <c r="CL27" s="16"/>
      <c r="CM27" s="16"/>
      <c r="CN27" s="25"/>
      <c r="CO27" s="108" t="s">
        <v>1259</v>
      </c>
      <c r="CP27" s="16"/>
      <c r="CQ27" s="16"/>
      <c r="CR27" s="16"/>
      <c r="CS27" s="16"/>
      <c r="CT27" s="16"/>
      <c r="CU27" s="25"/>
      <c r="CV27" s="108" t="s">
        <v>1259</v>
      </c>
      <c r="CW27" s="16"/>
      <c r="CX27" s="16"/>
      <c r="CY27" s="16"/>
      <c r="CZ27" s="16"/>
      <c r="DA27" s="16"/>
      <c r="DB27" s="25"/>
      <c r="DC27" s="108" t="s">
        <v>1259</v>
      </c>
      <c r="DD27" s="16"/>
      <c r="DE27" s="16"/>
      <c r="DF27" s="16"/>
      <c r="DG27" s="16"/>
      <c r="DH27" s="16"/>
      <c r="DI27" s="25"/>
      <c r="DJ27" s="108" t="s">
        <v>1259</v>
      </c>
      <c r="DK27" s="16"/>
      <c r="DL27" s="16"/>
      <c r="DM27" s="16"/>
      <c r="DN27" s="16"/>
      <c r="DO27" s="16"/>
      <c r="DP27" s="25"/>
      <c r="DQ27" s="108" t="s">
        <v>1803</v>
      </c>
      <c r="DR27" s="16"/>
      <c r="DS27" s="16"/>
      <c r="DT27" s="16"/>
      <c r="DU27" s="16"/>
      <c r="DV27" s="16"/>
      <c r="DW27" s="25"/>
      <c r="DX27" s="108" t="s">
        <v>1803</v>
      </c>
      <c r="DY27" s="16"/>
      <c r="DZ27" s="16"/>
      <c r="EA27" s="16"/>
      <c r="EB27" s="16"/>
      <c r="EC27" s="16"/>
      <c r="ED27" s="25"/>
      <c r="EE27" s="106" t="s">
        <v>1806</v>
      </c>
      <c r="EF27" s="16"/>
      <c r="EG27" s="16"/>
      <c r="EH27" s="16"/>
      <c r="EI27" s="16"/>
      <c r="EJ27" s="16"/>
      <c r="EK27" s="25"/>
      <c r="EL27" s="106" t="s">
        <v>1806</v>
      </c>
      <c r="EM27" s="16"/>
      <c r="EN27" s="16"/>
      <c r="EO27" s="16"/>
      <c r="EP27" s="16"/>
      <c r="EQ27" s="16"/>
      <c r="ER27" s="25"/>
      <c r="ES27" s="106" t="s">
        <v>1808</v>
      </c>
      <c r="ET27" s="16"/>
      <c r="EU27" s="16"/>
      <c r="EV27" s="16"/>
      <c r="EW27" s="16"/>
      <c r="EX27" s="16"/>
      <c r="EY27" s="25"/>
      <c r="EZ27" s="106" t="s">
        <v>1810</v>
      </c>
      <c r="FA27" s="16"/>
      <c r="FB27" s="16"/>
      <c r="FC27" s="16"/>
      <c r="FD27" s="16"/>
      <c r="FE27" s="16"/>
      <c r="FF27" s="25"/>
      <c r="FG27" s="106" t="s">
        <v>1810</v>
      </c>
      <c r="FH27" s="16"/>
      <c r="FI27" s="16"/>
      <c r="FJ27" s="16"/>
      <c r="FK27" s="16"/>
      <c r="FL27" s="16"/>
      <c r="FM27" s="25"/>
      <c r="FN27" s="106" t="s">
        <v>1811</v>
      </c>
      <c r="FO27" s="16"/>
      <c r="FP27" s="16"/>
      <c r="FQ27" s="16"/>
      <c r="FR27" s="16"/>
      <c r="FS27" s="16"/>
      <c r="FT27" s="25"/>
      <c r="FU27" s="106" t="s">
        <v>1811</v>
      </c>
      <c r="FV27" s="16"/>
      <c r="FW27" s="16"/>
      <c r="FX27" s="16"/>
      <c r="FY27" s="16"/>
      <c r="FZ27" s="16"/>
      <c r="GA27" s="25"/>
      <c r="GB27" s="153"/>
      <c r="GC27" s="16"/>
      <c r="GD27" s="16"/>
      <c r="GE27" s="16"/>
      <c r="GF27" s="16"/>
      <c r="GG27" s="16"/>
      <c r="GH27" s="25"/>
      <c r="GI27" s="153"/>
      <c r="GJ27" s="16"/>
      <c r="GK27" s="16"/>
      <c r="GL27" s="16"/>
      <c r="GM27" s="16"/>
      <c r="GN27" s="16"/>
      <c r="GO27" s="25"/>
      <c r="GP27" s="153"/>
      <c r="GQ27" s="16"/>
      <c r="GR27" s="16"/>
      <c r="GS27" s="16"/>
      <c r="GT27" s="16"/>
      <c r="GU27" s="16"/>
      <c r="GV27" s="25"/>
      <c r="GW27" s="153"/>
      <c r="GX27" s="16"/>
      <c r="GY27" s="16"/>
      <c r="GZ27" s="16"/>
      <c r="HA27" s="16"/>
      <c r="HB27" s="16"/>
      <c r="HC27" s="25"/>
      <c r="HD27" s="153"/>
      <c r="HE27" s="16"/>
      <c r="HF27" s="16"/>
      <c r="HG27" s="16"/>
      <c r="HH27" s="16"/>
      <c r="HI27" s="16"/>
      <c r="HJ27" s="25"/>
      <c r="HK27" s="153"/>
      <c r="HL27" s="16"/>
      <c r="HM27" s="16"/>
      <c r="HN27" s="16"/>
      <c r="HO27" s="16"/>
      <c r="HP27" s="16"/>
      <c r="HQ27" s="25"/>
      <c r="HR27" s="153"/>
      <c r="HS27" s="16"/>
      <c r="HT27" s="16"/>
      <c r="HU27" s="16"/>
      <c r="HV27" s="16"/>
      <c r="HW27" s="16"/>
      <c r="HX27" s="25"/>
      <c r="HY27" s="153"/>
      <c r="HZ27" s="16"/>
      <c r="IA27" s="16"/>
      <c r="IB27" s="16"/>
      <c r="IC27" s="16"/>
      <c r="ID27" s="16"/>
      <c r="IE27" s="25"/>
      <c r="IF27" s="153"/>
      <c r="IG27" s="16"/>
      <c r="IH27" s="16"/>
      <c r="II27" s="16"/>
      <c r="IJ27" s="16"/>
      <c r="IK27" s="16"/>
      <c r="IL27" s="25"/>
      <c r="IM27" s="339"/>
      <c r="IT27" s="339"/>
      <c r="JA27" s="339"/>
      <c r="JH27" s="339"/>
      <c r="JN27" s="83"/>
      <c r="JO27" s="344"/>
      <c r="JV27" s="344"/>
      <c r="KC27" s="339"/>
      <c r="KJ27" s="339"/>
      <c r="KQ27" s="339"/>
      <c r="KW27" s="83"/>
      <c r="KX27" s="339"/>
      <c r="LD27" s="83"/>
      <c r="LE27" s="339"/>
      <c r="LL27" s="339"/>
      <c r="LS27" s="339"/>
      <c r="LZ27" s="339"/>
      <c r="MG27" s="339"/>
      <c r="MN27" s="339"/>
      <c r="MU27" s="339"/>
      <c r="NB27" s="288"/>
      <c r="NC27" s="113"/>
      <c r="ND27" s="113"/>
      <c r="NE27" s="113"/>
      <c r="NF27" s="113"/>
      <c r="NG27" s="113"/>
      <c r="NH27" s="113"/>
      <c r="NI27" s="113"/>
      <c r="NJ27" s="113"/>
      <c r="NK27" s="113"/>
      <c r="NL27" s="113"/>
      <c r="NM27" s="113"/>
      <c r="NN27" s="113"/>
      <c r="NO27" s="113"/>
      <c r="NP27" s="113"/>
      <c r="NQ27" s="113"/>
      <c r="NR27" s="113"/>
      <c r="NS27" s="113"/>
      <c r="NT27" s="113"/>
      <c r="NU27" s="113"/>
      <c r="NV27" s="113"/>
      <c r="NW27" s="113"/>
      <c r="NX27" s="113"/>
      <c r="NY27" s="113"/>
      <c r="NZ27" s="113"/>
      <c r="OA27" s="113"/>
      <c r="OB27" s="113"/>
      <c r="OC27" s="113"/>
      <c r="OD27" s="113"/>
      <c r="OE27" s="113"/>
      <c r="OF27" s="113"/>
      <c r="OG27" s="113"/>
      <c r="OH27" s="113"/>
      <c r="OI27" s="113"/>
      <c r="OJ27" s="113"/>
      <c r="OK27" s="113"/>
      <c r="OL27" s="113"/>
      <c r="OM27" s="113"/>
      <c r="ON27" s="113"/>
      <c r="OO27" s="113"/>
      <c r="OP27" s="113"/>
      <c r="OQ27" s="113"/>
      <c r="OR27" s="113"/>
      <c r="OS27" s="113"/>
      <c r="OT27" s="113"/>
      <c r="OU27" s="113"/>
      <c r="OV27" s="113"/>
      <c r="OW27" s="113"/>
      <c r="OX27" s="113"/>
      <c r="OY27" s="113"/>
      <c r="OZ27" s="113"/>
      <c r="PA27" s="113"/>
      <c r="PB27" s="113"/>
      <c r="PC27" s="113"/>
      <c r="PD27" s="113"/>
      <c r="PE27" s="113"/>
      <c r="PF27" s="113"/>
      <c r="PG27" s="113"/>
      <c r="PH27" s="113"/>
      <c r="PI27" s="113"/>
      <c r="PJ27" s="113"/>
      <c r="PK27" s="113"/>
      <c r="PL27" s="113"/>
      <c r="PM27" s="113"/>
      <c r="PN27" s="113"/>
      <c r="PO27" s="113"/>
      <c r="PP27" s="113"/>
      <c r="PQ27" s="113"/>
      <c r="PR27" s="113"/>
      <c r="PS27" s="113"/>
      <c r="PT27" s="113"/>
      <c r="PU27" s="113"/>
      <c r="PV27" s="113"/>
      <c r="PW27" s="113"/>
      <c r="PX27" s="113"/>
      <c r="PY27" s="113"/>
      <c r="PZ27" s="113"/>
      <c r="QA27" s="113"/>
      <c r="QB27" s="113"/>
      <c r="QC27" s="113"/>
      <c r="QD27" s="113"/>
      <c r="QE27" s="113"/>
      <c r="QF27" s="113"/>
      <c r="QG27" s="113"/>
      <c r="QH27" s="113"/>
      <c r="QI27" s="113"/>
      <c r="QJ27" s="113"/>
      <c r="QK27" s="113"/>
      <c r="QL27" s="113"/>
      <c r="QM27" s="113"/>
      <c r="QN27" s="113"/>
      <c r="QO27" s="113"/>
      <c r="QP27" s="113"/>
      <c r="QQ27" s="113"/>
      <c r="QR27" s="113"/>
      <c r="QS27" s="113"/>
      <c r="QT27" s="113"/>
      <c r="QU27" s="113"/>
      <c r="QV27" s="113"/>
      <c r="QW27" s="113"/>
      <c r="QX27" s="113"/>
      <c r="QY27" s="113"/>
      <c r="QZ27" s="113"/>
      <c r="RA27" s="113"/>
      <c r="RB27" s="113"/>
      <c r="RC27" s="113"/>
      <c r="RD27" s="113"/>
      <c r="RE27" s="113"/>
      <c r="RF27" s="113"/>
      <c r="RG27" s="113"/>
      <c r="RH27" s="113"/>
      <c r="RI27" s="113"/>
      <c r="RJ27" s="113"/>
      <c r="RK27" s="113"/>
      <c r="RL27" s="113"/>
      <c r="RM27" s="113"/>
      <c r="RN27" s="113"/>
      <c r="RO27" s="113"/>
      <c r="RP27" s="113"/>
      <c r="RQ27" s="113"/>
      <c r="RR27" s="113"/>
      <c r="RS27" s="113"/>
      <c r="RT27" s="113"/>
      <c r="RU27" s="113"/>
      <c r="RV27" s="113"/>
      <c r="RW27" s="113"/>
      <c r="RX27" s="113"/>
      <c r="RY27" s="113"/>
      <c r="RZ27" s="113"/>
      <c r="SA27" s="113"/>
      <c r="SB27" s="113"/>
      <c r="SC27" s="113"/>
      <c r="SD27" s="113"/>
      <c r="SE27" s="113"/>
      <c r="SF27" s="113"/>
      <c r="SG27" s="113"/>
      <c r="SH27" s="113"/>
      <c r="SI27" s="113"/>
      <c r="SJ27" s="113"/>
      <c r="SK27" s="113"/>
      <c r="SL27" s="113"/>
      <c r="SM27" s="113"/>
      <c r="SN27" s="113"/>
      <c r="SO27" s="113"/>
      <c r="SP27" s="113"/>
      <c r="SQ27" s="113"/>
      <c r="SR27" s="113"/>
      <c r="SS27" s="113"/>
      <c r="ST27" s="113"/>
      <c r="SU27" s="113"/>
      <c r="SV27" s="113"/>
      <c r="SW27" s="113"/>
      <c r="SX27" s="113"/>
      <c r="SY27" s="113"/>
      <c r="SZ27" s="113"/>
      <c r="TA27" s="113"/>
      <c r="TB27" s="113"/>
      <c r="TC27" s="113"/>
      <c r="TD27" s="113"/>
      <c r="TE27" s="113"/>
      <c r="TF27" s="113"/>
      <c r="TG27" s="113"/>
      <c r="TH27" s="113"/>
      <c r="TI27" s="113"/>
      <c r="TJ27" s="113"/>
      <c r="TK27" s="113"/>
      <c r="TL27" s="113"/>
      <c r="TM27" s="113"/>
      <c r="TN27" s="113"/>
      <c r="TO27" s="113"/>
      <c r="TP27" s="113"/>
      <c r="TQ27" s="113"/>
      <c r="TR27" s="113"/>
      <c r="TS27" s="113"/>
      <c r="TT27" s="113"/>
      <c r="TU27" s="113"/>
      <c r="TV27" s="113"/>
      <c r="TW27" s="113"/>
      <c r="TX27" s="113"/>
      <c r="TY27" s="113"/>
      <c r="TZ27" s="113"/>
      <c r="UA27" s="113"/>
      <c r="UB27" s="113"/>
      <c r="UC27" s="113"/>
      <c r="UD27" s="113"/>
      <c r="UE27" s="113"/>
      <c r="UF27" s="113"/>
      <c r="UG27" s="113"/>
      <c r="UH27" s="113"/>
      <c r="UI27" s="113"/>
      <c r="UJ27" s="113"/>
      <c r="UK27" s="113"/>
      <c r="UL27" s="113"/>
      <c r="UM27" s="113"/>
      <c r="UN27" s="113"/>
      <c r="UO27" s="113"/>
      <c r="UP27" s="113"/>
      <c r="UQ27" s="113"/>
      <c r="UR27" s="113"/>
      <c r="US27" s="113"/>
      <c r="UT27" s="113"/>
      <c r="UU27" s="113"/>
      <c r="UV27" s="113"/>
      <c r="UW27" s="113"/>
      <c r="UX27" s="113"/>
      <c r="UY27" s="113"/>
      <c r="UZ27" s="113"/>
      <c r="VA27" s="113"/>
      <c r="VB27" s="113"/>
      <c r="VC27" s="113"/>
      <c r="VD27" s="113"/>
      <c r="VE27" s="113"/>
      <c r="VF27" s="113"/>
      <c r="VG27" s="113"/>
      <c r="VH27" s="113"/>
      <c r="VI27" s="113"/>
      <c r="VJ27" s="113"/>
      <c r="VK27" s="113"/>
      <c r="VL27" s="113"/>
      <c r="VM27" s="113"/>
      <c r="VN27" s="113"/>
      <c r="VO27" s="113"/>
      <c r="VP27" s="113"/>
      <c r="VQ27" s="113"/>
      <c r="VR27" s="113"/>
      <c r="VS27" s="113"/>
      <c r="VT27" s="113"/>
      <c r="VU27" s="113"/>
      <c r="VV27" s="113"/>
      <c r="VW27" s="113"/>
      <c r="VX27" s="113"/>
      <c r="VY27" s="113"/>
      <c r="VZ27" s="113"/>
      <c r="WA27" s="113"/>
      <c r="WB27" s="113"/>
      <c r="WC27" s="113"/>
      <c r="WD27" s="113"/>
      <c r="WE27" s="113"/>
      <c r="WF27" s="113"/>
      <c r="WG27" s="113"/>
      <c r="WH27" s="113"/>
      <c r="WI27" s="113"/>
      <c r="WJ27" s="113"/>
      <c r="WK27" s="113"/>
      <c r="WL27" s="113"/>
      <c r="WM27" s="113"/>
      <c r="WN27" s="113"/>
      <c r="WO27" s="113"/>
      <c r="WP27" s="113"/>
      <c r="WQ27" s="113"/>
      <c r="WR27" s="113"/>
      <c r="WS27" s="113"/>
      <c r="WT27" s="113"/>
      <c r="WU27" s="113"/>
      <c r="WV27" s="113"/>
      <c r="WW27" s="113"/>
      <c r="WX27" s="113"/>
      <c r="WY27" s="113"/>
      <c r="WZ27" s="113"/>
      <c r="XA27" s="113"/>
      <c r="XB27" s="113"/>
      <c r="XC27" s="113"/>
      <c r="XD27" s="113"/>
      <c r="XE27" s="113"/>
      <c r="XF27" s="113"/>
      <c r="XG27" s="113"/>
      <c r="XH27" s="113"/>
      <c r="XI27" s="113"/>
      <c r="XJ27" s="113"/>
      <c r="XK27" s="113"/>
      <c r="XL27" s="113"/>
      <c r="XM27" s="113"/>
      <c r="XN27" s="113"/>
      <c r="XO27" s="113"/>
      <c r="XP27" s="113"/>
      <c r="XQ27" s="113"/>
      <c r="XR27" s="113"/>
      <c r="XS27" s="113"/>
      <c r="XT27" s="113"/>
      <c r="XU27" s="113"/>
      <c r="XV27" s="113"/>
      <c r="XW27" s="113"/>
      <c r="XX27" s="113"/>
      <c r="XY27" s="113"/>
      <c r="XZ27" s="113"/>
      <c r="YA27" s="113"/>
      <c r="YB27" s="113"/>
      <c r="YC27" s="113"/>
      <c r="YD27" s="113"/>
      <c r="YE27" s="113"/>
      <c r="YF27" s="113"/>
      <c r="YG27" s="113"/>
      <c r="YH27" s="113"/>
      <c r="YI27" s="113"/>
      <c r="YJ27" s="113"/>
      <c r="YK27" s="113"/>
      <c r="YL27" s="113"/>
      <c r="YM27" s="113"/>
      <c r="YN27" s="113"/>
      <c r="YO27" s="113"/>
      <c r="YP27" s="113"/>
      <c r="YQ27" s="113"/>
      <c r="YR27" s="113"/>
      <c r="YS27" s="113"/>
      <c r="YT27" s="113"/>
      <c r="YU27" s="113"/>
      <c r="YV27" s="113"/>
      <c r="YW27" s="113"/>
      <c r="YX27" s="113"/>
      <c r="YY27" s="113"/>
      <c r="YZ27" s="113"/>
      <c r="ZA27" s="113"/>
      <c r="ZB27" s="113"/>
      <c r="ZC27" s="113"/>
      <c r="ZD27" s="113"/>
      <c r="ZE27" s="113"/>
    </row>
    <row r="28">
      <c r="A28" s="156" t="s">
        <v>1813</v>
      </c>
      <c r="B28" s="108" t="s">
        <v>1829</v>
      </c>
      <c r="C28" s="16"/>
      <c r="D28" s="16"/>
      <c r="E28" s="16"/>
      <c r="F28" s="16"/>
      <c r="G28" s="16"/>
      <c r="H28" s="25"/>
      <c r="I28" s="108" t="s">
        <v>1835</v>
      </c>
      <c r="J28" s="16"/>
      <c r="K28" s="16"/>
      <c r="L28" s="16"/>
      <c r="M28" s="16"/>
      <c r="N28" s="16"/>
      <c r="O28" s="25"/>
      <c r="P28" s="108" t="s">
        <v>1835</v>
      </c>
      <c r="Q28" s="16"/>
      <c r="R28" s="16"/>
      <c r="S28" s="16"/>
      <c r="T28" s="16"/>
      <c r="U28" s="16"/>
      <c r="V28" s="25"/>
      <c r="W28" s="108" t="s">
        <v>1835</v>
      </c>
      <c r="X28" s="16"/>
      <c r="Y28" s="16"/>
      <c r="Z28" s="16"/>
      <c r="AA28" s="16"/>
      <c r="AB28" s="16"/>
      <c r="AC28" s="25"/>
      <c r="AD28" s="108" t="s">
        <v>1835</v>
      </c>
      <c r="AE28" s="16"/>
      <c r="AF28" s="16"/>
      <c r="AG28" s="16"/>
      <c r="AH28" s="16"/>
      <c r="AI28" s="16"/>
      <c r="AJ28" s="25"/>
      <c r="AK28" s="108" t="s">
        <v>1846</v>
      </c>
      <c r="AL28" s="16"/>
      <c r="AM28" s="16"/>
      <c r="AN28" s="16"/>
      <c r="AO28" s="16"/>
      <c r="AP28" s="16"/>
      <c r="AQ28" s="25"/>
      <c r="AR28" s="108" t="s">
        <v>1846</v>
      </c>
      <c r="AS28" s="16"/>
      <c r="AT28" s="16"/>
      <c r="AU28" s="16"/>
      <c r="AV28" s="16"/>
      <c r="AW28" s="16"/>
      <c r="AX28" s="25"/>
      <c r="AY28" s="108" t="s">
        <v>1848</v>
      </c>
      <c r="AZ28" s="16"/>
      <c r="BA28" s="16"/>
      <c r="BB28" s="16"/>
      <c r="BC28" s="16"/>
      <c r="BD28" s="16"/>
      <c r="BE28" s="25"/>
      <c r="BF28" s="108" t="s">
        <v>1849</v>
      </c>
      <c r="BG28" s="16"/>
      <c r="BH28" s="16"/>
      <c r="BI28" s="16"/>
      <c r="BJ28" s="16"/>
      <c r="BK28" s="16"/>
      <c r="BL28" s="25"/>
      <c r="BM28" s="108" t="s">
        <v>1850</v>
      </c>
      <c r="BN28" s="16"/>
      <c r="BO28" s="16"/>
      <c r="BP28" s="16"/>
      <c r="BQ28" s="16"/>
      <c r="BR28" s="16"/>
      <c r="BS28" s="25"/>
      <c r="BT28" s="108" t="s">
        <v>425</v>
      </c>
      <c r="BU28" s="16"/>
      <c r="BV28" s="16"/>
      <c r="BW28" s="16"/>
      <c r="BX28" s="16"/>
      <c r="BY28" s="16"/>
      <c r="BZ28" s="25"/>
      <c r="CA28" s="108" t="s">
        <v>1850</v>
      </c>
      <c r="CB28" s="16"/>
      <c r="CC28" s="16"/>
      <c r="CD28" s="16"/>
      <c r="CE28" s="16"/>
      <c r="CF28" s="16"/>
      <c r="CG28" s="25"/>
      <c r="CH28" s="106" t="s">
        <v>1855</v>
      </c>
      <c r="CI28" s="16"/>
      <c r="CJ28" s="16"/>
      <c r="CK28" s="16"/>
      <c r="CL28" s="16"/>
      <c r="CM28" s="16"/>
      <c r="CN28" s="25"/>
      <c r="CO28" s="108" t="s">
        <v>1850</v>
      </c>
      <c r="CP28" s="16"/>
      <c r="CQ28" s="16"/>
      <c r="CR28" s="16"/>
      <c r="CS28" s="16"/>
      <c r="CT28" s="16"/>
      <c r="CU28" s="25"/>
      <c r="CV28" s="108" t="s">
        <v>1850</v>
      </c>
      <c r="CW28" s="16"/>
      <c r="CX28" s="16"/>
      <c r="CY28" s="16"/>
      <c r="CZ28" s="16"/>
      <c r="DA28" s="16"/>
      <c r="DB28" s="25"/>
      <c r="DC28" s="108" t="s">
        <v>1861</v>
      </c>
      <c r="DD28" s="16"/>
      <c r="DE28" s="16"/>
      <c r="DF28" s="16"/>
      <c r="DG28" s="16"/>
      <c r="DH28" s="16"/>
      <c r="DI28" s="25"/>
      <c r="DJ28" s="108" t="s">
        <v>1861</v>
      </c>
      <c r="DK28" s="16"/>
      <c r="DL28" s="16"/>
      <c r="DM28" s="16"/>
      <c r="DN28" s="16"/>
      <c r="DO28" s="16"/>
      <c r="DP28" s="25"/>
      <c r="DQ28" s="108" t="s">
        <v>1863</v>
      </c>
      <c r="DR28" s="16"/>
      <c r="DS28" s="16"/>
      <c r="DT28" s="16"/>
      <c r="DU28" s="16"/>
      <c r="DV28" s="16"/>
      <c r="DW28" s="25"/>
      <c r="DX28" s="108" t="s">
        <v>1863</v>
      </c>
      <c r="DY28" s="16"/>
      <c r="DZ28" s="16"/>
      <c r="EA28" s="16"/>
      <c r="EB28" s="16"/>
      <c r="EC28" s="16"/>
      <c r="ED28" s="25"/>
      <c r="EE28" s="108" t="s">
        <v>1865</v>
      </c>
      <c r="EF28" s="16"/>
      <c r="EG28" s="16"/>
      <c r="EH28" s="16"/>
      <c r="EI28" s="16"/>
      <c r="EJ28" s="16"/>
      <c r="EK28" s="25"/>
      <c r="EL28" s="108" t="s">
        <v>1865</v>
      </c>
      <c r="EM28" s="16"/>
      <c r="EN28" s="16"/>
      <c r="EO28" s="16"/>
      <c r="EP28" s="16"/>
      <c r="EQ28" s="16"/>
      <c r="ER28" s="25"/>
      <c r="ES28" s="108" t="s">
        <v>1808</v>
      </c>
      <c r="ET28" s="16"/>
      <c r="EU28" s="16"/>
      <c r="EV28" s="16"/>
      <c r="EW28" s="16"/>
      <c r="EX28" s="16"/>
      <c r="EY28" s="25"/>
      <c r="EZ28" s="108"/>
      <c r="FA28" s="16"/>
      <c r="FB28" s="16"/>
      <c r="FC28" s="16"/>
      <c r="FD28" s="16"/>
      <c r="FE28" s="16"/>
      <c r="FF28" s="25"/>
      <c r="FG28" s="108"/>
      <c r="FH28" s="16"/>
      <c r="FI28" s="16"/>
      <c r="FJ28" s="16"/>
      <c r="FK28" s="16"/>
      <c r="FL28" s="16"/>
      <c r="FM28" s="25"/>
      <c r="FN28" s="108"/>
      <c r="FO28" s="16"/>
      <c r="FP28" s="16"/>
      <c r="FQ28" s="16"/>
      <c r="FR28" s="16"/>
      <c r="FS28" s="16"/>
      <c r="FT28" s="25"/>
      <c r="FU28" s="108"/>
      <c r="FV28" s="16"/>
      <c r="FW28" s="16"/>
      <c r="FX28" s="16"/>
      <c r="FY28" s="16"/>
      <c r="FZ28" s="16"/>
      <c r="GA28" s="25"/>
      <c r="GB28" s="108"/>
      <c r="GC28" s="16"/>
      <c r="GD28" s="16"/>
      <c r="GE28" s="16"/>
      <c r="GF28" s="16"/>
      <c r="GG28" s="16"/>
      <c r="GH28" s="25"/>
      <c r="GI28" s="108"/>
      <c r="GJ28" s="16"/>
      <c r="GK28" s="16"/>
      <c r="GL28" s="16"/>
      <c r="GM28" s="16"/>
      <c r="GN28" s="16"/>
      <c r="GO28" s="25"/>
      <c r="GP28" s="108"/>
      <c r="GQ28" s="16"/>
      <c r="GR28" s="16"/>
      <c r="GS28" s="16"/>
      <c r="GT28" s="16"/>
      <c r="GU28" s="16"/>
      <c r="GV28" s="25"/>
      <c r="GW28" s="108"/>
      <c r="GX28" s="16"/>
      <c r="GY28" s="16"/>
      <c r="GZ28" s="16"/>
      <c r="HA28" s="16"/>
      <c r="HB28" s="16"/>
      <c r="HC28" s="25"/>
      <c r="HD28" s="108"/>
      <c r="HE28" s="16"/>
      <c r="HF28" s="16"/>
      <c r="HG28" s="16"/>
      <c r="HH28" s="16"/>
      <c r="HI28" s="16"/>
      <c r="HJ28" s="25"/>
      <c r="HK28" s="108"/>
      <c r="HL28" s="16"/>
      <c r="HM28" s="16"/>
      <c r="HN28" s="16"/>
      <c r="HO28" s="16"/>
      <c r="HP28" s="16"/>
      <c r="HQ28" s="25"/>
      <c r="HR28" s="108"/>
      <c r="HS28" s="16"/>
      <c r="HT28" s="16"/>
      <c r="HU28" s="16"/>
      <c r="HV28" s="16"/>
      <c r="HW28" s="16"/>
      <c r="HX28" s="25"/>
      <c r="HY28" s="108"/>
      <c r="HZ28" s="16"/>
      <c r="IA28" s="16"/>
      <c r="IB28" s="16"/>
      <c r="IC28" s="16"/>
      <c r="ID28" s="16"/>
      <c r="IE28" s="25"/>
      <c r="IF28" s="108"/>
      <c r="IG28" s="16"/>
      <c r="IH28" s="16"/>
      <c r="II28" s="16"/>
      <c r="IJ28" s="16"/>
      <c r="IK28" s="16"/>
      <c r="IL28" s="25"/>
      <c r="IM28" s="86"/>
      <c r="IT28" s="86"/>
      <c r="JA28" s="86"/>
      <c r="JH28" s="86"/>
      <c r="JO28" s="86"/>
      <c r="JV28" s="86"/>
      <c r="KC28" s="86"/>
      <c r="KI28" s="83"/>
      <c r="KJ28" s="86"/>
      <c r="KP28" s="83"/>
      <c r="KQ28" s="86"/>
      <c r="KW28" s="83"/>
      <c r="KX28" s="86"/>
      <c r="LD28" s="83"/>
      <c r="LE28" s="86"/>
      <c r="LK28" s="83"/>
      <c r="LL28" s="86"/>
      <c r="LR28" s="83"/>
      <c r="LS28" s="86"/>
      <c r="LZ28" s="86"/>
      <c r="MG28" s="86"/>
      <c r="MM28" s="83"/>
      <c r="MN28" s="86"/>
      <c r="MT28" s="83"/>
      <c r="MU28" s="86"/>
      <c r="NA28" s="83"/>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c r="PW28" s="337"/>
      <c r="PX28" s="337"/>
      <c r="PY28" s="337"/>
      <c r="PZ28" s="337"/>
      <c r="QA28" s="337"/>
      <c r="QB28" s="337"/>
      <c r="QC28" s="337"/>
      <c r="QD28" s="337"/>
      <c r="QE28" s="337"/>
      <c r="QF28" s="337"/>
      <c r="QG28" s="337"/>
      <c r="QH28" s="337"/>
      <c r="QI28" s="337"/>
      <c r="QJ28" s="337"/>
      <c r="QK28" s="337"/>
      <c r="QL28" s="337"/>
      <c r="QM28" s="337"/>
      <c r="QN28" s="337"/>
      <c r="QO28" s="337"/>
      <c r="QP28" s="337"/>
      <c r="QQ28" s="337"/>
      <c r="QR28" s="337"/>
      <c r="QS28" s="337"/>
      <c r="QT28" s="337"/>
      <c r="QU28" s="337"/>
      <c r="QV28" s="337"/>
      <c r="QW28" s="337"/>
      <c r="QX28" s="337"/>
      <c r="QY28" s="337"/>
      <c r="QZ28" s="337"/>
      <c r="RA28" s="337"/>
      <c r="RB28" s="337"/>
      <c r="RC28" s="337"/>
      <c r="RD28" s="337"/>
      <c r="RE28" s="337"/>
      <c r="RF28" s="337"/>
      <c r="RG28" s="337"/>
      <c r="RH28" s="337"/>
      <c r="RI28" s="337"/>
      <c r="RJ28" s="337"/>
      <c r="RK28" s="337"/>
      <c r="RL28" s="337"/>
      <c r="RM28" s="337"/>
      <c r="RN28" s="337"/>
      <c r="RO28" s="337"/>
      <c r="RP28" s="337"/>
      <c r="RQ28" s="337"/>
      <c r="RR28" s="337"/>
      <c r="RS28" s="337"/>
      <c r="RT28" s="337"/>
      <c r="RU28" s="337"/>
      <c r="RV28" s="337"/>
      <c r="RW28" s="337"/>
      <c r="RX28" s="337"/>
      <c r="RY28" s="337"/>
      <c r="RZ28" s="337"/>
      <c r="SA28" s="337"/>
      <c r="SB28" s="337"/>
      <c r="SC28" s="337"/>
      <c r="SD28" s="337"/>
      <c r="SE28" s="337"/>
      <c r="SF28" s="337"/>
      <c r="SG28" s="337"/>
      <c r="SH28" s="337"/>
      <c r="SI28" s="337"/>
      <c r="SJ28" s="337"/>
      <c r="SK28" s="337"/>
      <c r="SL28" s="337"/>
      <c r="SM28" s="337"/>
      <c r="SN28" s="337"/>
      <c r="SO28" s="337"/>
      <c r="SP28" s="337"/>
      <c r="SQ28" s="337"/>
      <c r="SR28" s="337"/>
      <c r="SS28" s="337"/>
      <c r="ST28" s="337"/>
      <c r="SU28" s="337"/>
      <c r="SV28" s="337"/>
      <c r="SW28" s="337"/>
      <c r="SX28" s="337"/>
      <c r="SY28" s="337"/>
      <c r="SZ28" s="337"/>
      <c r="TA28" s="337"/>
      <c r="TB28" s="337"/>
      <c r="TC28" s="337"/>
      <c r="TD28" s="337"/>
      <c r="TE28" s="337"/>
      <c r="TF28" s="337"/>
      <c r="TG28" s="337"/>
      <c r="TH28" s="337"/>
      <c r="TI28" s="337"/>
      <c r="TJ28" s="337"/>
      <c r="TK28" s="337"/>
      <c r="TL28" s="337"/>
      <c r="TM28" s="337"/>
      <c r="TN28" s="337"/>
      <c r="TO28" s="337"/>
      <c r="TP28" s="337"/>
      <c r="TQ28" s="337"/>
      <c r="TR28" s="337"/>
      <c r="TS28" s="337"/>
      <c r="TT28" s="337"/>
      <c r="TU28" s="337"/>
      <c r="TV28" s="337"/>
      <c r="TW28" s="337"/>
      <c r="TX28" s="337"/>
      <c r="TY28" s="337"/>
      <c r="TZ28" s="337"/>
      <c r="UA28" s="337"/>
      <c r="UB28" s="337"/>
      <c r="UC28" s="337"/>
      <c r="UD28" s="337"/>
      <c r="UE28" s="337"/>
      <c r="UF28" s="337"/>
      <c r="UG28" s="337"/>
      <c r="UH28" s="337"/>
      <c r="UI28" s="337"/>
      <c r="UJ28" s="337"/>
      <c r="UK28" s="337"/>
      <c r="UL28" s="337"/>
      <c r="UM28" s="337"/>
      <c r="UN28" s="337"/>
      <c r="UO28" s="337"/>
      <c r="UP28" s="337"/>
      <c r="UQ28" s="337"/>
      <c r="UR28" s="337"/>
      <c r="US28" s="337"/>
      <c r="UT28" s="337"/>
      <c r="UU28" s="337"/>
      <c r="UV28" s="337"/>
      <c r="UW28" s="337"/>
      <c r="UX28" s="337"/>
      <c r="UY28" s="337"/>
      <c r="UZ28" s="337"/>
      <c r="VA28" s="337"/>
      <c r="VB28" s="337"/>
      <c r="VC28" s="337"/>
      <c r="VD28" s="337"/>
      <c r="VE28" s="337"/>
      <c r="VF28" s="337"/>
      <c r="VG28" s="337"/>
      <c r="VH28" s="337"/>
      <c r="VI28" s="337"/>
      <c r="VJ28" s="337"/>
      <c r="VK28" s="337"/>
      <c r="VL28" s="337"/>
      <c r="VM28" s="337"/>
      <c r="VN28" s="337"/>
      <c r="VO28" s="337"/>
      <c r="VP28" s="337"/>
      <c r="VQ28" s="337"/>
      <c r="VR28" s="337"/>
      <c r="VS28" s="337"/>
      <c r="VT28" s="337"/>
      <c r="VU28" s="337"/>
      <c r="VV28" s="337"/>
      <c r="VW28" s="337"/>
      <c r="VX28" s="337"/>
      <c r="VY28" s="337"/>
      <c r="VZ28" s="337"/>
      <c r="WA28" s="337"/>
      <c r="WB28" s="337"/>
      <c r="WC28" s="337"/>
      <c r="WD28" s="337"/>
      <c r="WE28" s="337"/>
      <c r="WF28" s="337"/>
      <c r="WG28" s="337"/>
      <c r="WH28" s="337"/>
      <c r="WI28" s="337"/>
      <c r="WJ28" s="337"/>
      <c r="WK28" s="337"/>
      <c r="WL28" s="337"/>
      <c r="WM28" s="337"/>
      <c r="WN28" s="337"/>
      <c r="WO28" s="337"/>
      <c r="WP28" s="337"/>
      <c r="WQ28" s="337"/>
      <c r="WR28" s="337"/>
      <c r="WS28" s="337"/>
      <c r="WT28" s="337"/>
      <c r="WU28" s="337"/>
      <c r="WV28" s="337"/>
      <c r="WW28" s="337"/>
      <c r="WX28" s="337"/>
      <c r="WY28" s="337"/>
      <c r="WZ28" s="337"/>
      <c r="XA28" s="337"/>
      <c r="XB28" s="337"/>
      <c r="XC28" s="337"/>
      <c r="XD28" s="337"/>
      <c r="XE28" s="337"/>
      <c r="XF28" s="337"/>
      <c r="XG28" s="337"/>
      <c r="XH28" s="337"/>
      <c r="XI28" s="337"/>
      <c r="XJ28" s="337"/>
      <c r="XK28" s="337"/>
      <c r="XL28" s="337"/>
      <c r="XM28" s="337"/>
      <c r="XN28" s="337"/>
      <c r="XO28" s="337"/>
      <c r="XP28" s="337"/>
      <c r="XQ28" s="337"/>
      <c r="XR28" s="337"/>
      <c r="XS28" s="337"/>
      <c r="XT28" s="337"/>
      <c r="XU28" s="337"/>
      <c r="XV28" s="337"/>
      <c r="XW28" s="337"/>
      <c r="XX28" s="337"/>
      <c r="XY28" s="337"/>
      <c r="XZ28" s="337"/>
      <c r="YA28" s="337"/>
      <c r="YB28" s="337"/>
      <c r="YC28" s="337"/>
      <c r="YD28" s="337"/>
      <c r="YE28" s="337"/>
      <c r="YF28" s="337"/>
      <c r="YG28" s="337"/>
      <c r="YH28" s="337"/>
      <c r="YI28" s="337"/>
      <c r="YJ28" s="337"/>
      <c r="YK28" s="337"/>
      <c r="YL28" s="337"/>
      <c r="YM28" s="337"/>
      <c r="YN28" s="337"/>
      <c r="YO28" s="337"/>
      <c r="YP28" s="337"/>
      <c r="YQ28" s="337"/>
      <c r="YR28" s="337"/>
      <c r="YS28" s="337"/>
      <c r="YT28" s="337"/>
      <c r="YU28" s="337"/>
      <c r="YV28" s="337"/>
      <c r="YW28" s="337"/>
      <c r="YX28" s="337"/>
      <c r="YY28" s="337"/>
      <c r="YZ28" s="337"/>
      <c r="ZA28" s="337"/>
      <c r="ZB28" s="337"/>
      <c r="ZC28" s="337"/>
      <c r="ZD28" s="337"/>
      <c r="ZE28" s="337"/>
    </row>
    <row r="29">
      <c r="A29" s="156" t="s">
        <v>1872</v>
      </c>
      <c r="B29" s="108"/>
      <c r="C29" s="16"/>
      <c r="D29" s="16"/>
      <c r="E29" s="16"/>
      <c r="F29" s="16"/>
      <c r="G29" s="16"/>
      <c r="H29" s="25"/>
      <c r="I29" s="108"/>
      <c r="J29" s="16"/>
      <c r="K29" s="16"/>
      <c r="L29" s="16"/>
      <c r="M29" s="16"/>
      <c r="N29" s="16"/>
      <c r="O29" s="25"/>
      <c r="P29" s="108" t="s">
        <v>1874</v>
      </c>
      <c r="Q29" s="16"/>
      <c r="R29" s="16"/>
      <c r="S29" s="16"/>
      <c r="T29" s="16"/>
      <c r="U29" s="16"/>
      <c r="V29" s="25"/>
      <c r="W29" s="108" t="s">
        <v>1874</v>
      </c>
      <c r="X29" s="16"/>
      <c r="Y29" s="16"/>
      <c r="Z29" s="16"/>
      <c r="AA29" s="16"/>
      <c r="AB29" s="16"/>
      <c r="AC29" s="25"/>
      <c r="AD29" s="108" t="s">
        <v>1874</v>
      </c>
      <c r="AE29" s="16"/>
      <c r="AF29" s="16"/>
      <c r="AG29" s="16"/>
      <c r="AH29" s="16"/>
      <c r="AI29" s="16"/>
      <c r="AJ29" s="25"/>
      <c r="AK29" s="108" t="s">
        <v>1875</v>
      </c>
      <c r="AL29" s="16"/>
      <c r="AM29" s="16"/>
      <c r="AN29" s="16"/>
      <c r="AO29" s="16"/>
      <c r="AP29" s="16"/>
      <c r="AQ29" s="25"/>
      <c r="AR29" s="108" t="s">
        <v>1875</v>
      </c>
      <c r="AS29" s="16"/>
      <c r="AT29" s="16"/>
      <c r="AU29" s="16"/>
      <c r="AV29" s="16"/>
      <c r="AW29" s="16"/>
      <c r="AX29" s="25"/>
      <c r="AY29" s="108" t="s">
        <v>1878</v>
      </c>
      <c r="AZ29" s="16"/>
      <c r="BA29" s="16"/>
      <c r="BB29" s="16"/>
      <c r="BC29" s="16"/>
      <c r="BD29" s="16"/>
      <c r="BE29" s="25"/>
      <c r="BF29" s="108" t="s">
        <v>1879</v>
      </c>
      <c r="BG29" s="16"/>
      <c r="BH29" s="16"/>
      <c r="BI29" s="16"/>
      <c r="BJ29" s="16"/>
      <c r="BK29" s="16"/>
      <c r="BL29" s="25"/>
      <c r="BM29" s="108" t="s">
        <v>1880</v>
      </c>
      <c r="BN29" s="16"/>
      <c r="BO29" s="16"/>
      <c r="BP29" s="16"/>
      <c r="BQ29" s="16"/>
      <c r="BR29" s="16"/>
      <c r="BS29" s="25"/>
      <c r="BT29" s="108" t="s">
        <v>1881</v>
      </c>
      <c r="BU29" s="16"/>
      <c r="BV29" s="16"/>
      <c r="BW29" s="16"/>
      <c r="BX29" s="16"/>
      <c r="BY29" s="16"/>
      <c r="BZ29" s="25"/>
      <c r="CA29" s="108" t="s">
        <v>1880</v>
      </c>
      <c r="CB29" s="16"/>
      <c r="CC29" s="16"/>
      <c r="CD29" s="16"/>
      <c r="CE29" s="16"/>
      <c r="CF29" s="16"/>
      <c r="CG29" s="25"/>
      <c r="CH29" s="108" t="s">
        <v>1884</v>
      </c>
      <c r="CI29" s="16"/>
      <c r="CJ29" s="16"/>
      <c r="CK29" s="16"/>
      <c r="CL29" s="16"/>
      <c r="CM29" s="16"/>
      <c r="CN29" s="25"/>
      <c r="CO29" s="108" t="s">
        <v>1884</v>
      </c>
      <c r="CP29" s="16"/>
      <c r="CQ29" s="16"/>
      <c r="CR29" s="16"/>
      <c r="CS29" s="16"/>
      <c r="CT29" s="16"/>
      <c r="CU29" s="25"/>
      <c r="CV29" s="108" t="s">
        <v>1886</v>
      </c>
      <c r="CW29" s="16"/>
      <c r="CX29" s="16"/>
      <c r="CY29" s="16"/>
      <c r="CZ29" s="16"/>
      <c r="DA29" s="16"/>
      <c r="DB29" s="25"/>
      <c r="DC29" s="108" t="s">
        <v>1886</v>
      </c>
      <c r="DD29" s="16"/>
      <c r="DE29" s="16"/>
      <c r="DF29" s="16"/>
      <c r="DG29" s="16"/>
      <c r="DH29" s="16"/>
      <c r="DI29" s="25"/>
      <c r="DJ29" s="108" t="s">
        <v>1886</v>
      </c>
      <c r="DK29" s="16"/>
      <c r="DL29" s="16"/>
      <c r="DM29" s="16"/>
      <c r="DN29" s="16"/>
      <c r="DO29" s="16"/>
      <c r="DP29" s="25"/>
      <c r="DQ29" s="108" t="s">
        <v>1888</v>
      </c>
      <c r="DR29" s="16"/>
      <c r="DS29" s="16"/>
      <c r="DT29" s="16"/>
      <c r="DU29" s="16"/>
      <c r="DV29" s="16"/>
      <c r="DW29" s="25"/>
      <c r="DX29" s="108" t="s">
        <v>1888</v>
      </c>
      <c r="DY29" s="16"/>
      <c r="DZ29" s="16"/>
      <c r="EA29" s="16"/>
      <c r="EB29" s="16"/>
      <c r="EC29" s="16"/>
      <c r="ED29" s="25"/>
      <c r="EE29" s="108" t="s">
        <v>1889</v>
      </c>
      <c r="EF29" s="16"/>
      <c r="EG29" s="16"/>
      <c r="EH29" s="16"/>
      <c r="EI29" s="16"/>
      <c r="EJ29" s="16"/>
      <c r="EK29" s="25"/>
      <c r="EL29" s="108" t="s">
        <v>1889</v>
      </c>
      <c r="EM29" s="16"/>
      <c r="EN29" s="16"/>
      <c r="EO29" s="16"/>
      <c r="EP29" s="16"/>
      <c r="EQ29" s="16"/>
      <c r="ER29" s="25"/>
      <c r="ES29" s="108" t="s">
        <v>1889</v>
      </c>
      <c r="ET29" s="16"/>
      <c r="EU29" s="16"/>
      <c r="EV29" s="16"/>
      <c r="EW29" s="16"/>
      <c r="EX29" s="16"/>
      <c r="EY29" s="25"/>
      <c r="EZ29" s="108"/>
      <c r="FA29" s="16"/>
      <c r="FB29" s="16"/>
      <c r="FC29" s="16"/>
      <c r="FD29" s="16"/>
      <c r="FE29" s="16"/>
      <c r="FF29" s="25"/>
      <c r="FG29" s="108"/>
      <c r="FH29" s="16"/>
      <c r="FI29" s="16"/>
      <c r="FJ29" s="16"/>
      <c r="FK29" s="16"/>
      <c r="FL29" s="16"/>
      <c r="FM29" s="25"/>
      <c r="FN29" s="108"/>
      <c r="FO29" s="16"/>
      <c r="FP29" s="16"/>
      <c r="FQ29" s="16"/>
      <c r="FR29" s="16"/>
      <c r="FS29" s="16"/>
      <c r="FT29" s="25"/>
      <c r="FU29" s="108"/>
      <c r="FV29" s="16"/>
      <c r="FW29" s="16"/>
      <c r="FX29" s="16"/>
      <c r="FY29" s="16"/>
      <c r="FZ29" s="16"/>
      <c r="GA29" s="25"/>
      <c r="GB29" s="108"/>
      <c r="GC29" s="16"/>
      <c r="GD29" s="16"/>
      <c r="GE29" s="16"/>
      <c r="GF29" s="16"/>
      <c r="GG29" s="16"/>
      <c r="GH29" s="25"/>
      <c r="GI29" s="108"/>
      <c r="GJ29" s="16"/>
      <c r="GK29" s="16"/>
      <c r="GL29" s="16"/>
      <c r="GM29" s="16"/>
      <c r="GN29" s="16"/>
      <c r="GO29" s="25"/>
      <c r="GP29" s="108"/>
      <c r="GQ29" s="16"/>
      <c r="GR29" s="16"/>
      <c r="GS29" s="16"/>
      <c r="GT29" s="16"/>
      <c r="GU29" s="16"/>
      <c r="GV29" s="25"/>
      <c r="GW29" s="108"/>
      <c r="GX29" s="16"/>
      <c r="GY29" s="16"/>
      <c r="GZ29" s="16"/>
      <c r="HA29" s="16"/>
      <c r="HB29" s="16"/>
      <c r="HC29" s="25"/>
      <c r="HD29" s="108"/>
      <c r="HE29" s="16"/>
      <c r="HF29" s="16"/>
      <c r="HG29" s="16"/>
      <c r="HH29" s="16"/>
      <c r="HI29" s="16"/>
      <c r="HJ29" s="25"/>
      <c r="HK29" s="108"/>
      <c r="HL29" s="16"/>
      <c r="HM29" s="16"/>
      <c r="HN29" s="16"/>
      <c r="HO29" s="16"/>
      <c r="HP29" s="16"/>
      <c r="HQ29" s="25"/>
      <c r="HR29" s="108"/>
      <c r="HS29" s="16"/>
      <c r="HT29" s="16"/>
      <c r="HU29" s="16"/>
      <c r="HV29" s="16"/>
      <c r="HW29" s="16"/>
      <c r="HX29" s="25"/>
      <c r="HY29" s="108"/>
      <c r="HZ29" s="16"/>
      <c r="IA29" s="16"/>
      <c r="IB29" s="16"/>
      <c r="IC29" s="16"/>
      <c r="ID29" s="16"/>
      <c r="IE29" s="25"/>
      <c r="IF29" s="108"/>
      <c r="IG29" s="16"/>
      <c r="IH29" s="16"/>
      <c r="II29" s="16"/>
      <c r="IJ29" s="16"/>
      <c r="IK29" s="16"/>
      <c r="IL29" s="25"/>
      <c r="IM29" s="86"/>
      <c r="IT29" s="86"/>
      <c r="JA29" s="86"/>
      <c r="JH29" s="86"/>
      <c r="JN29" s="83"/>
      <c r="JO29" s="360"/>
      <c r="JV29" s="360"/>
      <c r="KC29" s="86"/>
      <c r="KJ29" s="86"/>
      <c r="KQ29" s="86"/>
      <c r="KW29" s="83"/>
      <c r="KX29" s="86"/>
      <c r="LD29" s="83"/>
      <c r="LE29" s="86"/>
      <c r="LL29" s="86"/>
      <c r="LS29" s="86"/>
      <c r="LZ29" s="86"/>
      <c r="MG29" s="86"/>
      <c r="MN29" s="86"/>
      <c r="MU29" s="86"/>
      <c r="NB29" s="337"/>
      <c r="NC29" s="337"/>
      <c r="ND29" s="337"/>
      <c r="NE29" s="337"/>
      <c r="NF29" s="337"/>
      <c r="NG29" s="337"/>
      <c r="NH29" s="337"/>
      <c r="NI29" s="337"/>
      <c r="NJ29" s="337"/>
      <c r="NK29" s="337"/>
      <c r="NL29" s="337"/>
      <c r="NM29" s="337"/>
      <c r="NN29" s="337"/>
      <c r="NO29" s="337"/>
      <c r="NP29" s="337"/>
      <c r="NQ29" s="337"/>
      <c r="NR29" s="337"/>
      <c r="NS29" s="337"/>
      <c r="NT29" s="337"/>
      <c r="NU29" s="337"/>
      <c r="NV29" s="337"/>
      <c r="NW29" s="337"/>
      <c r="NX29" s="337"/>
      <c r="NY29" s="337"/>
      <c r="NZ29" s="337"/>
      <c r="OA29" s="337"/>
      <c r="OB29" s="337"/>
      <c r="OC29" s="337"/>
      <c r="OD29" s="337"/>
      <c r="OE29" s="337"/>
      <c r="OF29" s="337"/>
      <c r="OG29" s="337"/>
      <c r="OH29" s="337"/>
      <c r="OI29" s="337"/>
      <c r="OJ29" s="337"/>
      <c r="OK29" s="337"/>
      <c r="OL29" s="337"/>
      <c r="OM29" s="337"/>
      <c r="ON29" s="337"/>
      <c r="OO29" s="337"/>
      <c r="OP29" s="337"/>
      <c r="OQ29" s="337"/>
      <c r="OR29" s="337"/>
      <c r="OS29" s="337"/>
      <c r="OT29" s="337"/>
      <c r="OU29" s="337"/>
      <c r="OV29" s="337"/>
      <c r="OW29" s="337"/>
      <c r="OX29" s="337"/>
      <c r="OY29" s="337"/>
      <c r="OZ29" s="337"/>
      <c r="PA29" s="337"/>
      <c r="PB29" s="337"/>
      <c r="PC29" s="337"/>
      <c r="PD29" s="337"/>
      <c r="PE29" s="337"/>
      <c r="PF29" s="337"/>
      <c r="PG29" s="337"/>
      <c r="PH29" s="337"/>
      <c r="PI29" s="337"/>
      <c r="PJ29" s="337"/>
      <c r="PK29" s="337"/>
      <c r="PL29" s="337"/>
      <c r="PM29" s="337"/>
      <c r="PN29" s="337"/>
      <c r="PO29" s="337"/>
      <c r="PP29" s="337"/>
      <c r="PQ29" s="337"/>
      <c r="PR29" s="337"/>
      <c r="PS29" s="337"/>
      <c r="PT29" s="337"/>
      <c r="PU29" s="337"/>
      <c r="PV29" s="337"/>
      <c r="PW29" s="337"/>
      <c r="PX29" s="337"/>
      <c r="PY29" s="337"/>
      <c r="PZ29" s="337"/>
      <c r="QA29" s="337"/>
      <c r="QB29" s="337"/>
      <c r="QC29" s="337"/>
      <c r="QD29" s="337"/>
      <c r="QE29" s="337"/>
      <c r="QF29" s="337"/>
      <c r="QG29" s="337"/>
      <c r="QH29" s="337"/>
      <c r="QI29" s="337"/>
      <c r="QJ29" s="337"/>
      <c r="QK29" s="337"/>
      <c r="QL29" s="337"/>
      <c r="QM29" s="337"/>
      <c r="QN29" s="337"/>
      <c r="QO29" s="337"/>
      <c r="QP29" s="337"/>
      <c r="QQ29" s="337"/>
      <c r="QR29" s="337"/>
      <c r="QS29" s="337"/>
      <c r="QT29" s="337"/>
      <c r="QU29" s="337"/>
      <c r="QV29" s="337"/>
      <c r="QW29" s="337"/>
      <c r="QX29" s="337"/>
      <c r="QY29" s="337"/>
      <c r="QZ29" s="337"/>
      <c r="RA29" s="337"/>
      <c r="RB29" s="337"/>
      <c r="RC29" s="337"/>
      <c r="RD29" s="337"/>
      <c r="RE29" s="337"/>
      <c r="RF29" s="337"/>
      <c r="RG29" s="337"/>
      <c r="RH29" s="337"/>
      <c r="RI29" s="337"/>
      <c r="RJ29" s="337"/>
      <c r="RK29" s="337"/>
      <c r="RL29" s="337"/>
      <c r="RM29" s="337"/>
      <c r="RN29" s="337"/>
      <c r="RO29" s="337"/>
      <c r="RP29" s="337"/>
      <c r="RQ29" s="337"/>
      <c r="RR29" s="337"/>
      <c r="RS29" s="337"/>
      <c r="RT29" s="337"/>
      <c r="RU29" s="337"/>
      <c r="RV29" s="337"/>
      <c r="RW29" s="337"/>
      <c r="RX29" s="337"/>
      <c r="RY29" s="337"/>
      <c r="RZ29" s="337"/>
      <c r="SA29" s="337"/>
      <c r="SB29" s="337"/>
      <c r="SC29" s="337"/>
      <c r="SD29" s="337"/>
      <c r="SE29" s="337"/>
      <c r="SF29" s="337"/>
      <c r="SG29" s="337"/>
      <c r="SH29" s="337"/>
      <c r="SI29" s="337"/>
      <c r="SJ29" s="337"/>
      <c r="SK29" s="337"/>
      <c r="SL29" s="337"/>
      <c r="SM29" s="337"/>
      <c r="SN29" s="337"/>
      <c r="SO29" s="337"/>
      <c r="SP29" s="337"/>
      <c r="SQ29" s="337"/>
      <c r="SR29" s="337"/>
      <c r="SS29" s="337"/>
      <c r="ST29" s="337"/>
      <c r="SU29" s="337"/>
      <c r="SV29" s="337"/>
      <c r="SW29" s="337"/>
      <c r="SX29" s="337"/>
      <c r="SY29" s="337"/>
      <c r="SZ29" s="337"/>
      <c r="TA29" s="337"/>
      <c r="TB29" s="337"/>
      <c r="TC29" s="337"/>
      <c r="TD29" s="337"/>
      <c r="TE29" s="337"/>
      <c r="TF29" s="337"/>
      <c r="TG29" s="337"/>
      <c r="TH29" s="337"/>
      <c r="TI29" s="337"/>
      <c r="TJ29" s="337"/>
      <c r="TK29" s="337"/>
      <c r="TL29" s="337"/>
      <c r="TM29" s="337"/>
      <c r="TN29" s="337"/>
      <c r="TO29" s="337"/>
      <c r="TP29" s="337"/>
      <c r="TQ29" s="337"/>
      <c r="TR29" s="337"/>
      <c r="TS29" s="337"/>
      <c r="TT29" s="337"/>
      <c r="TU29" s="337"/>
      <c r="TV29" s="337"/>
      <c r="TW29" s="337"/>
      <c r="TX29" s="337"/>
      <c r="TY29" s="337"/>
      <c r="TZ29" s="337"/>
      <c r="UA29" s="337"/>
      <c r="UB29" s="337"/>
      <c r="UC29" s="337"/>
      <c r="UD29" s="337"/>
      <c r="UE29" s="337"/>
      <c r="UF29" s="337"/>
      <c r="UG29" s="337"/>
      <c r="UH29" s="337"/>
      <c r="UI29" s="337"/>
      <c r="UJ29" s="337"/>
      <c r="UK29" s="337"/>
      <c r="UL29" s="337"/>
      <c r="UM29" s="337"/>
      <c r="UN29" s="337"/>
      <c r="UO29" s="337"/>
      <c r="UP29" s="337"/>
      <c r="UQ29" s="337"/>
      <c r="UR29" s="337"/>
      <c r="US29" s="337"/>
      <c r="UT29" s="337"/>
      <c r="UU29" s="337"/>
      <c r="UV29" s="337"/>
      <c r="UW29" s="337"/>
      <c r="UX29" s="337"/>
      <c r="UY29" s="337"/>
      <c r="UZ29" s="337"/>
      <c r="VA29" s="337"/>
      <c r="VB29" s="337"/>
      <c r="VC29" s="337"/>
      <c r="VD29" s="337"/>
      <c r="VE29" s="337"/>
      <c r="VF29" s="337"/>
      <c r="VG29" s="337"/>
      <c r="VH29" s="337"/>
      <c r="VI29" s="337"/>
      <c r="VJ29" s="337"/>
      <c r="VK29" s="337"/>
      <c r="VL29" s="337"/>
      <c r="VM29" s="337"/>
      <c r="VN29" s="337"/>
      <c r="VO29" s="337"/>
      <c r="VP29" s="337"/>
      <c r="VQ29" s="337"/>
      <c r="VR29" s="337"/>
      <c r="VS29" s="337"/>
      <c r="VT29" s="337"/>
      <c r="VU29" s="337"/>
      <c r="VV29" s="337"/>
      <c r="VW29" s="337"/>
      <c r="VX29" s="337"/>
      <c r="VY29" s="337"/>
      <c r="VZ29" s="337"/>
      <c r="WA29" s="337"/>
      <c r="WB29" s="337"/>
      <c r="WC29" s="337"/>
      <c r="WD29" s="337"/>
      <c r="WE29" s="337"/>
      <c r="WF29" s="337"/>
      <c r="WG29" s="337"/>
      <c r="WH29" s="337"/>
      <c r="WI29" s="337"/>
      <c r="WJ29" s="337"/>
      <c r="WK29" s="337"/>
      <c r="WL29" s="337"/>
      <c r="WM29" s="337"/>
      <c r="WN29" s="337"/>
      <c r="WO29" s="337"/>
      <c r="WP29" s="337"/>
      <c r="WQ29" s="337"/>
      <c r="WR29" s="337"/>
      <c r="WS29" s="337"/>
      <c r="WT29" s="337"/>
      <c r="WU29" s="337"/>
      <c r="WV29" s="337"/>
      <c r="WW29" s="337"/>
      <c r="WX29" s="337"/>
      <c r="WY29" s="337"/>
      <c r="WZ29" s="337"/>
      <c r="XA29" s="337"/>
      <c r="XB29" s="337"/>
      <c r="XC29" s="337"/>
      <c r="XD29" s="337"/>
      <c r="XE29" s="337"/>
      <c r="XF29" s="337"/>
      <c r="XG29" s="337"/>
      <c r="XH29" s="337"/>
      <c r="XI29" s="337"/>
      <c r="XJ29" s="337"/>
      <c r="XK29" s="337"/>
      <c r="XL29" s="337"/>
      <c r="XM29" s="337"/>
      <c r="XN29" s="337"/>
      <c r="XO29" s="337"/>
      <c r="XP29" s="337"/>
      <c r="XQ29" s="337"/>
      <c r="XR29" s="337"/>
      <c r="XS29" s="337"/>
      <c r="XT29" s="337"/>
      <c r="XU29" s="337"/>
      <c r="XV29" s="337"/>
      <c r="XW29" s="337"/>
      <c r="XX29" s="337"/>
      <c r="XY29" s="337"/>
      <c r="XZ29" s="337"/>
      <c r="YA29" s="337"/>
      <c r="YB29" s="337"/>
      <c r="YC29" s="337"/>
      <c r="YD29" s="337"/>
      <c r="YE29" s="337"/>
      <c r="YF29" s="337"/>
      <c r="YG29" s="337"/>
      <c r="YH29" s="337"/>
      <c r="YI29" s="337"/>
      <c r="YJ29" s="337"/>
      <c r="YK29" s="337"/>
      <c r="YL29" s="337"/>
      <c r="YM29" s="337"/>
      <c r="YN29" s="337"/>
      <c r="YO29" s="337"/>
      <c r="YP29" s="337"/>
      <c r="YQ29" s="337"/>
      <c r="YR29" s="337"/>
      <c r="YS29" s="337"/>
      <c r="YT29" s="337"/>
      <c r="YU29" s="337"/>
      <c r="YV29" s="337"/>
      <c r="YW29" s="337"/>
      <c r="YX29" s="337"/>
      <c r="YY29" s="337"/>
      <c r="YZ29" s="337"/>
      <c r="ZA29" s="337"/>
      <c r="ZB29" s="337"/>
      <c r="ZC29" s="337"/>
      <c r="ZD29" s="337"/>
      <c r="ZE29" s="337"/>
    </row>
    <row r="30">
      <c r="A30" s="156" t="s">
        <v>1388</v>
      </c>
      <c r="B30" s="108"/>
      <c r="C30" s="16"/>
      <c r="D30" s="16"/>
      <c r="E30" s="16"/>
      <c r="F30" s="16"/>
      <c r="G30" s="16"/>
      <c r="H30" s="25"/>
      <c r="I30" s="108"/>
      <c r="J30" s="16"/>
      <c r="K30" s="16"/>
      <c r="L30" s="16"/>
      <c r="M30" s="16"/>
      <c r="N30" s="16"/>
      <c r="O30" s="25"/>
      <c r="P30" s="108"/>
      <c r="Q30" s="16"/>
      <c r="R30" s="16"/>
      <c r="S30" s="16"/>
      <c r="T30" s="16"/>
      <c r="U30" s="16"/>
      <c r="V30" s="25"/>
      <c r="W30" s="108" t="s">
        <v>1893</v>
      </c>
      <c r="X30" s="16"/>
      <c r="Y30" s="16"/>
      <c r="Z30" s="16"/>
      <c r="AA30" s="16"/>
      <c r="AB30" s="16"/>
      <c r="AC30" s="25"/>
      <c r="AD30" s="108" t="s">
        <v>1894</v>
      </c>
      <c r="AE30" s="16"/>
      <c r="AF30" s="16"/>
      <c r="AG30" s="16"/>
      <c r="AH30" s="16"/>
      <c r="AI30" s="16"/>
      <c r="AJ30" s="25"/>
      <c r="AK30" s="108"/>
      <c r="AL30" s="16"/>
      <c r="AM30" s="16"/>
      <c r="AN30" s="16"/>
      <c r="AO30" s="16"/>
      <c r="AP30" s="16"/>
      <c r="AQ30" s="25"/>
      <c r="AR30" s="153"/>
      <c r="AS30" s="16"/>
      <c r="AT30" s="16"/>
      <c r="AU30" s="16"/>
      <c r="AV30" s="16"/>
      <c r="AW30" s="16"/>
      <c r="AX30" s="25"/>
      <c r="AY30" s="153"/>
      <c r="AZ30" s="16"/>
      <c r="BA30" s="16"/>
      <c r="BB30" s="16"/>
      <c r="BC30" s="16"/>
      <c r="BD30" s="16"/>
      <c r="BE30" s="25"/>
      <c r="BF30" s="153"/>
      <c r="BG30" s="16"/>
      <c r="BH30" s="16"/>
      <c r="BI30" s="16"/>
      <c r="BJ30" s="16"/>
      <c r="BK30" s="16"/>
      <c r="BL30" s="25"/>
      <c r="BM30" s="153"/>
      <c r="BN30" s="16"/>
      <c r="BO30" s="16"/>
      <c r="BP30" s="16"/>
      <c r="BQ30" s="16"/>
      <c r="BR30" s="16"/>
      <c r="BS30" s="25"/>
      <c r="BT30" s="153"/>
      <c r="BU30" s="16"/>
      <c r="BV30" s="16"/>
      <c r="BW30" s="16"/>
      <c r="BX30" s="16"/>
      <c r="BY30" s="16"/>
      <c r="BZ30" s="25"/>
      <c r="CA30" s="153"/>
      <c r="CB30" s="16"/>
      <c r="CC30" s="16"/>
      <c r="CD30" s="16"/>
      <c r="CE30" s="16"/>
      <c r="CF30" s="16"/>
      <c r="CG30" s="25"/>
      <c r="CH30" s="153"/>
      <c r="CI30" s="16"/>
      <c r="CJ30" s="16"/>
      <c r="CK30" s="16"/>
      <c r="CL30" s="16"/>
      <c r="CM30" s="16"/>
      <c r="CN30" s="25"/>
      <c r="CO30" s="153"/>
      <c r="CP30" s="16"/>
      <c r="CQ30" s="16"/>
      <c r="CR30" s="16"/>
      <c r="CS30" s="16"/>
      <c r="CT30" s="16"/>
      <c r="CU30" s="25"/>
      <c r="CV30" s="153"/>
      <c r="CW30" s="16"/>
      <c r="CX30" s="16"/>
      <c r="CY30" s="16"/>
      <c r="CZ30" s="16"/>
      <c r="DA30" s="16"/>
      <c r="DB30" s="25"/>
      <c r="DC30" s="106" t="s">
        <v>1895</v>
      </c>
      <c r="DD30" s="16"/>
      <c r="DE30" s="16"/>
      <c r="DF30" s="16"/>
      <c r="DG30" s="16"/>
      <c r="DH30" s="16"/>
      <c r="DI30" s="25"/>
      <c r="DJ30" s="106" t="s">
        <v>628</v>
      </c>
      <c r="DK30" s="16"/>
      <c r="DL30" s="16"/>
      <c r="DM30" s="16"/>
      <c r="DN30" s="16"/>
      <c r="DO30" s="16"/>
      <c r="DP30" s="25"/>
      <c r="DQ30" s="106" t="s">
        <v>1896</v>
      </c>
      <c r="DR30" s="16"/>
      <c r="DS30" s="16"/>
      <c r="DT30" s="16"/>
      <c r="DU30" s="16"/>
      <c r="DV30" s="16"/>
      <c r="DW30" s="25"/>
      <c r="DX30" s="151"/>
      <c r="DY30" s="16"/>
      <c r="DZ30" s="16"/>
      <c r="EA30" s="16"/>
      <c r="EB30" s="16"/>
      <c r="EC30" s="16"/>
      <c r="ED30" s="25"/>
      <c r="EE30" s="151"/>
      <c r="EF30" s="16"/>
      <c r="EG30" s="16"/>
      <c r="EH30" s="16"/>
      <c r="EI30" s="16"/>
      <c r="EJ30" s="16"/>
      <c r="EK30" s="25"/>
      <c r="EL30" s="151"/>
      <c r="EM30" s="16"/>
      <c r="EN30" s="16"/>
      <c r="EO30" s="16"/>
      <c r="EP30" s="16"/>
      <c r="EQ30" s="16"/>
      <c r="ER30" s="25"/>
      <c r="ES30" s="151"/>
      <c r="ET30" s="16"/>
      <c r="EU30" s="16"/>
      <c r="EV30" s="16"/>
      <c r="EW30" s="16"/>
      <c r="EX30" s="16"/>
      <c r="EY30" s="25"/>
      <c r="EZ30" s="151"/>
      <c r="FA30" s="16"/>
      <c r="FB30" s="16"/>
      <c r="FC30" s="16"/>
      <c r="FD30" s="16"/>
      <c r="FE30" s="16"/>
      <c r="FF30" s="25"/>
      <c r="FG30" s="151"/>
      <c r="FH30" s="16"/>
      <c r="FI30" s="16"/>
      <c r="FJ30" s="16"/>
      <c r="FK30" s="16"/>
      <c r="FL30" s="16"/>
      <c r="FM30" s="25"/>
      <c r="FN30" s="151"/>
      <c r="FO30" s="16"/>
      <c r="FP30" s="16"/>
      <c r="FQ30" s="16"/>
      <c r="FR30" s="16"/>
      <c r="FS30" s="16"/>
      <c r="FT30" s="25"/>
      <c r="FU30" s="151"/>
      <c r="FV30" s="16"/>
      <c r="FW30" s="16"/>
      <c r="FX30" s="16"/>
      <c r="FY30" s="16"/>
      <c r="FZ30" s="16"/>
      <c r="GA30" s="25"/>
      <c r="GB30" s="151"/>
      <c r="GC30" s="16"/>
      <c r="GD30" s="16"/>
      <c r="GE30" s="16"/>
      <c r="GF30" s="16"/>
      <c r="GG30" s="16"/>
      <c r="GH30" s="25"/>
      <c r="GI30" s="153"/>
      <c r="GJ30" s="16"/>
      <c r="GK30" s="16"/>
      <c r="GL30" s="16"/>
      <c r="GM30" s="16"/>
      <c r="GN30" s="16"/>
      <c r="GO30" s="25"/>
      <c r="GP30" s="283"/>
      <c r="GQ30" s="16"/>
      <c r="GR30" s="16"/>
      <c r="GS30" s="16"/>
      <c r="GT30" s="16"/>
      <c r="GU30" s="16"/>
      <c r="GV30" s="25"/>
      <c r="GW30" s="283"/>
      <c r="GX30" s="16"/>
      <c r="GY30" s="16"/>
      <c r="GZ30" s="16"/>
      <c r="HA30" s="16"/>
      <c r="HB30" s="16"/>
      <c r="HC30" s="25"/>
      <c r="HD30" s="283"/>
      <c r="HE30" s="16"/>
      <c r="HF30" s="16"/>
      <c r="HG30" s="16"/>
      <c r="HH30" s="16"/>
      <c r="HI30" s="16"/>
      <c r="HJ30" s="25"/>
      <c r="HK30" s="283"/>
      <c r="HL30" s="16"/>
      <c r="HM30" s="16"/>
      <c r="HN30" s="16"/>
      <c r="HO30" s="16"/>
      <c r="HP30" s="16"/>
      <c r="HQ30" s="25"/>
      <c r="HR30" s="283"/>
      <c r="HS30" s="16"/>
      <c r="HT30" s="16"/>
      <c r="HU30" s="16"/>
      <c r="HV30" s="16"/>
      <c r="HW30" s="16"/>
      <c r="HX30" s="25"/>
      <c r="HY30" s="283"/>
      <c r="HZ30" s="16"/>
      <c r="IA30" s="16"/>
      <c r="IB30" s="16"/>
      <c r="IC30" s="16"/>
      <c r="ID30" s="16"/>
      <c r="IE30" s="25"/>
      <c r="IF30" s="283"/>
      <c r="IG30" s="16"/>
      <c r="IH30" s="16"/>
      <c r="II30" s="16"/>
      <c r="IJ30" s="16"/>
      <c r="IK30" s="16"/>
      <c r="IL30" s="25"/>
      <c r="IM30" s="286"/>
      <c r="IT30" s="339"/>
      <c r="JA30" s="286"/>
      <c r="JH30" s="368"/>
      <c r="JN30" s="83"/>
      <c r="JO30" s="387"/>
      <c r="JV30" s="387"/>
      <c r="KC30" s="286"/>
      <c r="KI30" s="83"/>
      <c r="KJ30" s="286"/>
      <c r="KP30" s="83"/>
      <c r="KQ30" s="368"/>
      <c r="KW30" s="83"/>
      <c r="KX30" s="368"/>
      <c r="LD30" s="83"/>
      <c r="LE30" s="368"/>
      <c r="LK30" s="83"/>
      <c r="LL30" s="368"/>
      <c r="LR30" s="83"/>
      <c r="LS30" s="368"/>
      <c r="LY30" s="83"/>
      <c r="LZ30" s="368"/>
      <c r="MF30" s="83"/>
      <c r="MG30" s="368"/>
      <c r="MM30" s="83"/>
      <c r="MN30" s="368"/>
      <c r="MT30" s="83"/>
      <c r="MU30" s="286"/>
      <c r="NB30" s="288"/>
      <c r="NC30" s="113"/>
      <c r="ND30" s="113"/>
      <c r="NE30" s="113"/>
      <c r="NF30" s="113"/>
      <c r="NG30" s="113"/>
      <c r="NH30" s="113"/>
      <c r="NI30" s="113"/>
      <c r="NJ30" s="113"/>
      <c r="NK30" s="113"/>
      <c r="NL30" s="113"/>
      <c r="NM30" s="113"/>
      <c r="NN30" s="113"/>
      <c r="NO30" s="113"/>
      <c r="NP30" s="113"/>
      <c r="NQ30" s="113"/>
      <c r="NR30" s="113"/>
      <c r="NS30" s="113"/>
      <c r="NT30" s="113"/>
      <c r="NU30" s="113"/>
      <c r="NV30" s="113"/>
      <c r="NW30" s="113"/>
      <c r="NX30" s="113"/>
      <c r="NY30" s="113"/>
      <c r="NZ30" s="113"/>
      <c r="OA30" s="113"/>
      <c r="OB30" s="113"/>
      <c r="OC30" s="113"/>
      <c r="OD30" s="113"/>
      <c r="OE30" s="113"/>
      <c r="OF30" s="113"/>
      <c r="OG30" s="113"/>
      <c r="OH30" s="113"/>
      <c r="OI30" s="113"/>
      <c r="OJ30" s="113"/>
      <c r="OK30" s="113"/>
      <c r="OL30" s="113"/>
      <c r="OM30" s="113"/>
      <c r="ON30" s="113"/>
      <c r="OO30" s="113"/>
      <c r="OP30" s="113"/>
      <c r="OQ30" s="113"/>
      <c r="OR30" s="113"/>
      <c r="OS30" s="113"/>
      <c r="OT30" s="113"/>
      <c r="OU30" s="113"/>
      <c r="OV30" s="113"/>
      <c r="OW30" s="113"/>
      <c r="OX30" s="113"/>
      <c r="OY30" s="113"/>
      <c r="OZ30" s="113"/>
      <c r="PA30" s="113"/>
      <c r="PB30" s="113"/>
      <c r="PC30" s="113"/>
      <c r="PD30" s="113"/>
      <c r="PE30" s="113"/>
      <c r="PF30" s="113"/>
      <c r="PG30" s="113"/>
      <c r="PH30" s="113"/>
      <c r="PI30" s="113"/>
      <c r="PJ30" s="113"/>
      <c r="PK30" s="113"/>
      <c r="PL30" s="113"/>
      <c r="PM30" s="113"/>
      <c r="PN30" s="113"/>
      <c r="PO30" s="113"/>
      <c r="PP30" s="113"/>
      <c r="PQ30" s="113"/>
      <c r="PR30" s="113"/>
      <c r="PS30" s="113"/>
      <c r="PT30" s="113"/>
      <c r="PU30" s="113"/>
      <c r="PV30" s="113"/>
      <c r="PW30" s="113"/>
      <c r="PX30" s="113"/>
      <c r="PY30" s="113"/>
      <c r="PZ30" s="113"/>
      <c r="QA30" s="113"/>
      <c r="QB30" s="113"/>
      <c r="QC30" s="113"/>
      <c r="QD30" s="113"/>
      <c r="QE30" s="113"/>
      <c r="QF30" s="113"/>
      <c r="QG30" s="113"/>
      <c r="QH30" s="113"/>
      <c r="QI30" s="113"/>
      <c r="QJ30" s="113"/>
      <c r="QK30" s="113"/>
      <c r="QL30" s="113"/>
      <c r="QM30" s="113"/>
      <c r="QN30" s="113"/>
      <c r="QO30" s="113"/>
      <c r="QP30" s="113"/>
      <c r="QQ30" s="113"/>
      <c r="QR30" s="113"/>
      <c r="QS30" s="113"/>
      <c r="QT30" s="113"/>
      <c r="QU30" s="113"/>
      <c r="QV30" s="113"/>
      <c r="QW30" s="113"/>
      <c r="QX30" s="113"/>
      <c r="QY30" s="113"/>
      <c r="QZ30" s="113"/>
      <c r="RA30" s="113"/>
      <c r="RB30" s="113"/>
      <c r="RC30" s="113"/>
      <c r="RD30" s="113"/>
      <c r="RE30" s="113"/>
      <c r="RF30" s="113"/>
      <c r="RG30" s="113"/>
      <c r="RH30" s="113"/>
      <c r="RI30" s="113"/>
      <c r="RJ30" s="113"/>
      <c r="RK30" s="113"/>
      <c r="RL30" s="113"/>
      <c r="RM30" s="113"/>
      <c r="RN30" s="113"/>
      <c r="RO30" s="113"/>
      <c r="RP30" s="113"/>
      <c r="RQ30" s="113"/>
      <c r="RR30" s="113"/>
      <c r="RS30" s="113"/>
      <c r="RT30" s="113"/>
      <c r="RU30" s="113"/>
      <c r="RV30" s="113"/>
      <c r="RW30" s="113"/>
      <c r="RX30" s="113"/>
      <c r="RY30" s="113"/>
      <c r="RZ30" s="113"/>
      <c r="SA30" s="113"/>
      <c r="SB30" s="113"/>
      <c r="SC30" s="113"/>
      <c r="SD30" s="113"/>
      <c r="SE30" s="113"/>
      <c r="SF30" s="113"/>
      <c r="SG30" s="113"/>
      <c r="SH30" s="113"/>
      <c r="SI30" s="113"/>
      <c r="SJ30" s="113"/>
      <c r="SK30" s="113"/>
      <c r="SL30" s="113"/>
      <c r="SM30" s="113"/>
      <c r="SN30" s="113"/>
      <c r="SO30" s="113"/>
      <c r="SP30" s="113"/>
      <c r="SQ30" s="113"/>
      <c r="SR30" s="113"/>
      <c r="SS30" s="113"/>
      <c r="ST30" s="113"/>
      <c r="SU30" s="113"/>
      <c r="SV30" s="113"/>
      <c r="SW30" s="113"/>
      <c r="SX30" s="113"/>
      <c r="SY30" s="113"/>
      <c r="SZ30" s="113"/>
      <c r="TA30" s="113"/>
      <c r="TB30" s="113"/>
      <c r="TC30" s="113"/>
      <c r="TD30" s="113"/>
      <c r="TE30" s="113"/>
      <c r="TF30" s="113"/>
      <c r="TG30" s="113"/>
      <c r="TH30" s="113"/>
      <c r="TI30" s="113"/>
      <c r="TJ30" s="113"/>
      <c r="TK30" s="113"/>
      <c r="TL30" s="113"/>
      <c r="TM30" s="113"/>
      <c r="TN30" s="113"/>
      <c r="TO30" s="113"/>
      <c r="TP30" s="113"/>
      <c r="TQ30" s="113"/>
      <c r="TR30" s="113"/>
      <c r="TS30" s="113"/>
      <c r="TT30" s="113"/>
      <c r="TU30" s="113"/>
      <c r="TV30" s="113"/>
      <c r="TW30" s="113"/>
      <c r="TX30" s="113"/>
      <c r="TY30" s="113"/>
      <c r="TZ30" s="113"/>
      <c r="UA30" s="113"/>
      <c r="UB30" s="113"/>
      <c r="UC30" s="113"/>
      <c r="UD30" s="113"/>
      <c r="UE30" s="113"/>
      <c r="UF30" s="113"/>
      <c r="UG30" s="113"/>
      <c r="UH30" s="113"/>
      <c r="UI30" s="113"/>
      <c r="UJ30" s="113"/>
      <c r="UK30" s="113"/>
      <c r="UL30" s="113"/>
      <c r="UM30" s="113"/>
      <c r="UN30" s="113"/>
      <c r="UO30" s="113"/>
      <c r="UP30" s="113"/>
      <c r="UQ30" s="113"/>
      <c r="UR30" s="113"/>
      <c r="US30" s="113"/>
      <c r="UT30" s="113"/>
      <c r="UU30" s="113"/>
      <c r="UV30" s="113"/>
      <c r="UW30" s="113"/>
      <c r="UX30" s="113"/>
      <c r="UY30" s="113"/>
      <c r="UZ30" s="113"/>
      <c r="VA30" s="113"/>
      <c r="VB30" s="113"/>
      <c r="VC30" s="113"/>
      <c r="VD30" s="113"/>
      <c r="VE30" s="113"/>
      <c r="VF30" s="113"/>
      <c r="VG30" s="113"/>
      <c r="VH30" s="113"/>
      <c r="VI30" s="113"/>
      <c r="VJ30" s="113"/>
      <c r="VK30" s="113"/>
      <c r="VL30" s="113"/>
      <c r="VM30" s="113"/>
      <c r="VN30" s="113"/>
      <c r="VO30" s="113"/>
      <c r="VP30" s="113"/>
      <c r="VQ30" s="113"/>
      <c r="VR30" s="113"/>
      <c r="VS30" s="113"/>
      <c r="VT30" s="113"/>
      <c r="VU30" s="113"/>
      <c r="VV30" s="113"/>
      <c r="VW30" s="113"/>
      <c r="VX30" s="113"/>
      <c r="VY30" s="113"/>
      <c r="VZ30" s="113"/>
      <c r="WA30" s="113"/>
      <c r="WB30" s="113"/>
      <c r="WC30" s="113"/>
      <c r="WD30" s="113"/>
      <c r="WE30" s="113"/>
      <c r="WF30" s="113"/>
      <c r="WG30" s="113"/>
      <c r="WH30" s="113"/>
      <c r="WI30" s="113"/>
      <c r="WJ30" s="113"/>
      <c r="WK30" s="113"/>
      <c r="WL30" s="113"/>
      <c r="WM30" s="113"/>
      <c r="WN30" s="113"/>
      <c r="WO30" s="113"/>
      <c r="WP30" s="113"/>
      <c r="WQ30" s="113"/>
      <c r="WR30" s="113"/>
      <c r="WS30" s="113"/>
      <c r="WT30" s="113"/>
      <c r="WU30" s="113"/>
      <c r="WV30" s="113"/>
      <c r="WW30" s="113"/>
      <c r="WX30" s="113"/>
      <c r="WY30" s="113"/>
      <c r="WZ30" s="113"/>
      <c r="XA30" s="113"/>
      <c r="XB30" s="113"/>
      <c r="XC30" s="113"/>
      <c r="XD30" s="113"/>
      <c r="XE30" s="113"/>
      <c r="XF30" s="113"/>
      <c r="XG30" s="113"/>
      <c r="XH30" s="113"/>
      <c r="XI30" s="113"/>
      <c r="XJ30" s="113"/>
      <c r="XK30" s="113"/>
      <c r="XL30" s="113"/>
      <c r="XM30" s="113"/>
      <c r="XN30" s="113"/>
      <c r="XO30" s="113"/>
      <c r="XP30" s="113"/>
      <c r="XQ30" s="113"/>
      <c r="XR30" s="113"/>
      <c r="XS30" s="113"/>
      <c r="XT30" s="113"/>
      <c r="XU30" s="113"/>
      <c r="XV30" s="113"/>
      <c r="XW30" s="113"/>
      <c r="XX30" s="113"/>
      <c r="XY30" s="113"/>
      <c r="XZ30" s="113"/>
      <c r="YA30" s="113"/>
      <c r="YB30" s="113"/>
      <c r="YC30" s="113"/>
      <c r="YD30" s="113"/>
      <c r="YE30" s="113"/>
      <c r="YF30" s="113"/>
      <c r="YG30" s="113"/>
      <c r="YH30" s="113"/>
      <c r="YI30" s="113"/>
      <c r="YJ30" s="113"/>
      <c r="YK30" s="113"/>
      <c r="YL30" s="113"/>
      <c r="YM30" s="113"/>
      <c r="YN30" s="113"/>
      <c r="YO30" s="113"/>
      <c r="YP30" s="113"/>
      <c r="YQ30" s="113"/>
      <c r="YR30" s="113"/>
      <c r="YS30" s="113"/>
      <c r="YT30" s="113"/>
      <c r="YU30" s="113"/>
      <c r="YV30" s="113"/>
      <c r="YW30" s="113"/>
      <c r="YX30" s="113"/>
      <c r="YY30" s="113"/>
      <c r="YZ30" s="113"/>
      <c r="ZA30" s="113"/>
      <c r="ZB30" s="113"/>
      <c r="ZC30" s="113"/>
      <c r="ZD30" s="113"/>
      <c r="ZE30" s="113"/>
    </row>
    <row r="31" ht="80.25" customHeight="1">
      <c r="A31" s="389" t="s">
        <v>789</v>
      </c>
      <c r="B31" s="260" t="s">
        <v>1897</v>
      </c>
      <c r="C31" s="16"/>
      <c r="D31" s="16"/>
      <c r="E31" s="16"/>
      <c r="F31" s="16"/>
      <c r="G31" s="16"/>
      <c r="H31" s="25"/>
      <c r="I31" s="260" t="s">
        <v>1898</v>
      </c>
      <c r="J31" s="16"/>
      <c r="K31" s="16"/>
      <c r="L31" s="16"/>
      <c r="M31" s="16"/>
      <c r="N31" s="16"/>
      <c r="O31" s="25"/>
      <c r="P31" s="260" t="s">
        <v>1898</v>
      </c>
      <c r="Q31" s="16"/>
      <c r="R31" s="16"/>
      <c r="S31" s="16"/>
      <c r="T31" s="16"/>
      <c r="U31" s="16"/>
      <c r="V31" s="25"/>
      <c r="W31" s="260" t="s">
        <v>1898</v>
      </c>
      <c r="X31" s="16"/>
      <c r="Y31" s="16"/>
      <c r="Z31" s="16"/>
      <c r="AA31" s="16"/>
      <c r="AB31" s="16"/>
      <c r="AC31" s="25"/>
      <c r="AD31" s="260" t="s">
        <v>1898</v>
      </c>
      <c r="AE31" s="16"/>
      <c r="AF31" s="16"/>
      <c r="AG31" s="16"/>
      <c r="AH31" s="16"/>
      <c r="AI31" s="16"/>
      <c r="AJ31" s="25"/>
      <c r="AK31" s="260" t="s">
        <v>1899</v>
      </c>
      <c r="AL31" s="16"/>
      <c r="AM31" s="16"/>
      <c r="AN31" s="16"/>
      <c r="AO31" s="16"/>
      <c r="AP31" s="16"/>
      <c r="AQ31" s="25"/>
      <c r="AR31" s="260" t="s">
        <v>1900</v>
      </c>
      <c r="AS31" s="16"/>
      <c r="AT31" s="16"/>
      <c r="AU31" s="16"/>
      <c r="AV31" s="16"/>
      <c r="AW31" s="16"/>
      <c r="AX31" s="25"/>
      <c r="AY31" s="260" t="s">
        <v>1901</v>
      </c>
      <c r="AZ31" s="16"/>
      <c r="BA31" s="16"/>
      <c r="BB31" s="16"/>
      <c r="BC31" s="16"/>
      <c r="BD31" s="16"/>
      <c r="BE31" s="25"/>
      <c r="BF31" s="260" t="s">
        <v>1902</v>
      </c>
      <c r="BG31" s="16"/>
      <c r="BH31" s="16"/>
      <c r="BI31" s="16"/>
      <c r="BJ31" s="16"/>
      <c r="BK31" s="16"/>
      <c r="BL31" s="25"/>
      <c r="BM31" s="260" t="s">
        <v>1903</v>
      </c>
      <c r="BN31" s="16"/>
      <c r="BO31" s="16"/>
      <c r="BP31" s="16"/>
      <c r="BQ31" s="16"/>
      <c r="BR31" s="16"/>
      <c r="BS31" s="25"/>
      <c r="BT31" s="183" t="s">
        <v>1904</v>
      </c>
      <c r="BU31" s="16"/>
      <c r="BV31" s="16"/>
      <c r="BW31" s="16"/>
      <c r="BX31" s="16"/>
      <c r="BY31" s="16"/>
      <c r="BZ31" s="25"/>
      <c r="CA31" s="183" t="s">
        <v>1905</v>
      </c>
      <c r="CB31" s="16"/>
      <c r="CC31" s="16"/>
      <c r="CD31" s="16"/>
      <c r="CE31" s="16"/>
      <c r="CF31" s="16"/>
      <c r="CG31" s="25"/>
      <c r="CH31" s="183" t="s">
        <v>1906</v>
      </c>
      <c r="CI31" s="16"/>
      <c r="CJ31" s="16"/>
      <c r="CK31" s="16"/>
      <c r="CL31" s="16"/>
      <c r="CM31" s="16"/>
      <c r="CN31" s="25"/>
      <c r="CO31" s="183" t="s">
        <v>1907</v>
      </c>
      <c r="CP31" s="16"/>
      <c r="CQ31" s="16"/>
      <c r="CR31" s="16"/>
      <c r="CS31" s="16"/>
      <c r="CT31" s="16"/>
      <c r="CU31" s="25"/>
      <c r="CV31" s="390"/>
      <c r="CW31" s="16"/>
      <c r="CX31" s="16"/>
      <c r="CY31" s="16"/>
      <c r="CZ31" s="16"/>
      <c r="DA31" s="16"/>
      <c r="DB31" s="25"/>
      <c r="DC31" s="390"/>
      <c r="DD31" s="16"/>
      <c r="DE31" s="16"/>
      <c r="DF31" s="16"/>
      <c r="DG31" s="16"/>
      <c r="DH31" s="16"/>
      <c r="DI31" s="25"/>
      <c r="DJ31" s="260" t="s">
        <v>1908</v>
      </c>
      <c r="DK31" s="16"/>
      <c r="DL31" s="16"/>
      <c r="DM31" s="16"/>
      <c r="DN31" s="16"/>
      <c r="DO31" s="16"/>
      <c r="DP31" s="25"/>
      <c r="DQ31" s="390"/>
      <c r="DR31" s="16"/>
      <c r="DS31" s="16"/>
      <c r="DT31" s="16"/>
      <c r="DU31" s="16"/>
      <c r="DV31" s="16"/>
      <c r="DW31" s="25"/>
      <c r="DX31" s="390"/>
      <c r="DY31" s="16"/>
      <c r="DZ31" s="16"/>
      <c r="EA31" s="16"/>
      <c r="EB31" s="16"/>
      <c r="EC31" s="16"/>
      <c r="ED31" s="25"/>
      <c r="EE31" s="390"/>
      <c r="EF31" s="16"/>
      <c r="EG31" s="16"/>
      <c r="EH31" s="16"/>
      <c r="EI31" s="16"/>
      <c r="EJ31" s="16"/>
      <c r="EK31" s="25"/>
      <c r="EL31" s="390"/>
      <c r="EM31" s="16"/>
      <c r="EN31" s="16"/>
      <c r="EO31" s="16"/>
      <c r="EP31" s="16"/>
      <c r="EQ31" s="16"/>
      <c r="ER31" s="25"/>
      <c r="ES31" s="391"/>
      <c r="ET31" s="16"/>
      <c r="EU31" s="16"/>
      <c r="EV31" s="16"/>
      <c r="EW31" s="16"/>
      <c r="EX31" s="16"/>
      <c r="EY31" s="25"/>
      <c r="EZ31" s="391"/>
      <c r="FA31" s="16"/>
      <c r="FB31" s="16"/>
      <c r="FC31" s="16"/>
      <c r="FD31" s="16"/>
      <c r="FE31" s="16"/>
      <c r="FF31" s="25"/>
      <c r="FG31" s="390"/>
      <c r="FH31" s="16"/>
      <c r="FI31" s="16"/>
      <c r="FJ31" s="16"/>
      <c r="FK31" s="16"/>
      <c r="FL31" s="16"/>
      <c r="FM31" s="25"/>
      <c r="FN31" s="390"/>
      <c r="FO31" s="16"/>
      <c r="FP31" s="16"/>
      <c r="FQ31" s="16"/>
      <c r="FR31" s="16"/>
      <c r="FS31" s="16"/>
      <c r="FT31" s="25"/>
      <c r="FU31" s="391"/>
      <c r="FV31" s="16"/>
      <c r="FW31" s="16"/>
      <c r="FX31" s="16"/>
      <c r="FY31" s="16"/>
      <c r="FZ31" s="16"/>
      <c r="GA31" s="25"/>
      <c r="GB31" s="390"/>
      <c r="GC31" s="16"/>
      <c r="GD31" s="16"/>
      <c r="GE31" s="16"/>
      <c r="GF31" s="16"/>
      <c r="GG31" s="16"/>
      <c r="GH31" s="25"/>
      <c r="GI31" s="390"/>
      <c r="GJ31" s="16"/>
      <c r="GK31" s="16"/>
      <c r="GL31" s="16"/>
      <c r="GM31" s="16"/>
      <c r="GN31" s="16"/>
      <c r="GO31" s="25"/>
      <c r="GP31" s="392"/>
      <c r="GQ31" s="16"/>
      <c r="GR31" s="16"/>
      <c r="GS31" s="16"/>
      <c r="GT31" s="16"/>
      <c r="GU31" s="16"/>
      <c r="GV31" s="25"/>
      <c r="GW31" s="390"/>
      <c r="GX31" s="16"/>
      <c r="GY31" s="16"/>
      <c r="GZ31" s="16"/>
      <c r="HA31" s="16"/>
      <c r="HB31" s="16"/>
      <c r="HC31" s="25"/>
      <c r="HD31" s="390"/>
      <c r="HE31" s="16"/>
      <c r="HF31" s="16"/>
      <c r="HG31" s="16"/>
      <c r="HH31" s="16"/>
      <c r="HI31" s="16"/>
      <c r="HJ31" s="25"/>
      <c r="HK31" s="392"/>
      <c r="HL31" s="16"/>
      <c r="HM31" s="16"/>
      <c r="HN31" s="16"/>
      <c r="HO31" s="16"/>
      <c r="HP31" s="16"/>
      <c r="HQ31" s="25"/>
      <c r="HR31" s="390"/>
      <c r="HS31" s="16"/>
      <c r="HT31" s="16"/>
      <c r="HU31" s="16"/>
      <c r="HV31" s="16"/>
      <c r="HW31" s="16"/>
      <c r="HX31" s="25"/>
      <c r="HY31" s="390"/>
      <c r="HZ31" s="16"/>
      <c r="IA31" s="16"/>
      <c r="IB31" s="16"/>
      <c r="IC31" s="16"/>
      <c r="ID31" s="16"/>
      <c r="IE31" s="25"/>
      <c r="IF31" s="391"/>
      <c r="IG31" s="16"/>
      <c r="IH31" s="16"/>
      <c r="II31" s="16"/>
      <c r="IJ31" s="16"/>
      <c r="IK31" s="16"/>
      <c r="IL31" s="25"/>
      <c r="IM31" s="393"/>
      <c r="IT31" s="393"/>
      <c r="JA31" s="393"/>
      <c r="JH31" s="393"/>
      <c r="JO31" s="395"/>
      <c r="JP31" s="23"/>
      <c r="JQ31" s="23"/>
      <c r="JR31" s="23"/>
      <c r="JS31" s="23"/>
      <c r="JT31" s="23"/>
      <c r="JU31" s="23"/>
      <c r="JV31" s="393"/>
      <c r="KC31" s="393"/>
      <c r="KJ31" s="393"/>
      <c r="KQ31" s="393"/>
      <c r="KX31" s="393"/>
      <c r="LE31" s="393"/>
      <c r="LL31" s="395"/>
      <c r="LM31" s="23"/>
      <c r="LN31" s="23"/>
      <c r="LO31" s="23"/>
      <c r="LP31" s="23"/>
      <c r="LQ31" s="23"/>
      <c r="LR31" s="23"/>
      <c r="LS31" s="393"/>
      <c r="LZ31" s="393"/>
      <c r="MG31" s="395"/>
      <c r="MH31" s="23"/>
      <c r="MI31" s="23"/>
      <c r="MJ31" s="23"/>
      <c r="MK31" s="23"/>
      <c r="ML31" s="23"/>
      <c r="MM31" s="23"/>
      <c r="MN31" s="393"/>
      <c r="MU31" s="393"/>
      <c r="NB31" s="396"/>
      <c r="NC31" s="397"/>
      <c r="ND31" s="397"/>
      <c r="NE31" s="397"/>
      <c r="NF31" s="397"/>
      <c r="NG31" s="397"/>
      <c r="NH31" s="397"/>
      <c r="NI31" s="397"/>
      <c r="NJ31" s="397"/>
      <c r="NK31" s="397"/>
      <c r="NL31" s="397"/>
      <c r="NM31" s="397"/>
      <c r="NN31" s="397"/>
      <c r="NO31" s="397"/>
      <c r="NP31" s="397"/>
      <c r="NQ31" s="397"/>
      <c r="NR31" s="397"/>
      <c r="NS31" s="397"/>
      <c r="NT31" s="397"/>
      <c r="NU31" s="397"/>
      <c r="NV31" s="397"/>
      <c r="NW31" s="397"/>
      <c r="NX31" s="397"/>
      <c r="NY31" s="397"/>
      <c r="NZ31" s="397"/>
      <c r="OA31" s="397"/>
      <c r="OB31" s="397"/>
      <c r="OC31" s="397"/>
      <c r="OD31" s="397"/>
      <c r="OE31" s="397"/>
      <c r="OF31" s="397"/>
      <c r="OG31" s="397"/>
      <c r="OH31" s="397"/>
      <c r="OI31" s="397"/>
      <c r="OJ31" s="397"/>
      <c r="OK31" s="397"/>
      <c r="OL31" s="397"/>
      <c r="OM31" s="397"/>
      <c r="ON31" s="397"/>
      <c r="OO31" s="397"/>
      <c r="OP31" s="397"/>
      <c r="OQ31" s="397"/>
      <c r="OR31" s="397"/>
      <c r="OS31" s="397"/>
      <c r="OT31" s="397"/>
      <c r="OU31" s="397"/>
      <c r="OV31" s="397"/>
      <c r="OW31" s="397"/>
      <c r="OX31" s="397"/>
      <c r="OY31" s="397"/>
      <c r="OZ31" s="397"/>
      <c r="PA31" s="397"/>
      <c r="PB31" s="397"/>
      <c r="PC31" s="397"/>
      <c r="PD31" s="397"/>
      <c r="PE31" s="397"/>
      <c r="PF31" s="397"/>
      <c r="PG31" s="397"/>
      <c r="PH31" s="397"/>
      <c r="PI31" s="397"/>
      <c r="PJ31" s="397"/>
      <c r="PK31" s="397"/>
      <c r="PL31" s="397"/>
      <c r="PM31" s="397"/>
      <c r="PN31" s="397"/>
      <c r="PO31" s="397"/>
      <c r="PP31" s="397"/>
      <c r="PQ31" s="397"/>
      <c r="PR31" s="397"/>
      <c r="PS31" s="397"/>
      <c r="PT31" s="397"/>
      <c r="PU31" s="397"/>
      <c r="PV31" s="397"/>
      <c r="PW31" s="397"/>
      <c r="PX31" s="397"/>
      <c r="PY31" s="397"/>
      <c r="PZ31" s="397"/>
      <c r="QA31" s="397"/>
      <c r="QB31" s="397"/>
      <c r="QC31" s="397"/>
      <c r="QD31" s="397"/>
      <c r="QE31" s="397"/>
      <c r="QF31" s="397"/>
      <c r="QG31" s="397"/>
      <c r="QH31" s="397"/>
      <c r="QI31" s="397"/>
      <c r="QJ31" s="397"/>
      <c r="QK31" s="397"/>
      <c r="QL31" s="397"/>
      <c r="QM31" s="397"/>
      <c r="QN31" s="397"/>
      <c r="QO31" s="397"/>
      <c r="QP31" s="397"/>
      <c r="QQ31" s="397"/>
      <c r="QR31" s="397"/>
      <c r="QS31" s="397"/>
      <c r="QT31" s="397"/>
      <c r="QU31" s="397"/>
      <c r="QV31" s="397"/>
      <c r="QW31" s="397"/>
      <c r="QX31" s="397"/>
      <c r="QY31" s="397"/>
      <c r="QZ31" s="397"/>
      <c r="RA31" s="397"/>
      <c r="RB31" s="397"/>
      <c r="RC31" s="397"/>
      <c r="RD31" s="397"/>
      <c r="RE31" s="397"/>
      <c r="RF31" s="397"/>
      <c r="RG31" s="397"/>
      <c r="RH31" s="397"/>
      <c r="RI31" s="397"/>
      <c r="RJ31" s="397"/>
      <c r="RK31" s="397"/>
      <c r="RL31" s="397"/>
      <c r="RM31" s="397"/>
      <c r="RN31" s="397"/>
      <c r="RO31" s="397"/>
      <c r="RP31" s="397"/>
      <c r="RQ31" s="397"/>
      <c r="RR31" s="397"/>
      <c r="RS31" s="397"/>
      <c r="RT31" s="397"/>
      <c r="RU31" s="397"/>
      <c r="RV31" s="397"/>
      <c r="RW31" s="397"/>
      <c r="RX31" s="397"/>
      <c r="RY31" s="397"/>
      <c r="RZ31" s="397"/>
      <c r="SA31" s="397"/>
      <c r="SB31" s="397"/>
      <c r="SC31" s="397"/>
      <c r="SD31" s="397"/>
      <c r="SE31" s="397"/>
      <c r="SF31" s="397"/>
      <c r="SG31" s="397"/>
      <c r="SH31" s="397"/>
      <c r="SI31" s="397"/>
      <c r="SJ31" s="397"/>
      <c r="SK31" s="397"/>
      <c r="SL31" s="397"/>
      <c r="SM31" s="397"/>
      <c r="SN31" s="397"/>
      <c r="SO31" s="397"/>
      <c r="SP31" s="397"/>
      <c r="SQ31" s="397"/>
      <c r="SR31" s="397"/>
      <c r="SS31" s="397"/>
      <c r="ST31" s="397"/>
      <c r="SU31" s="397"/>
      <c r="SV31" s="397"/>
      <c r="SW31" s="397"/>
      <c r="SX31" s="397"/>
      <c r="SY31" s="397"/>
      <c r="SZ31" s="397"/>
      <c r="TA31" s="397"/>
      <c r="TB31" s="397"/>
      <c r="TC31" s="397"/>
      <c r="TD31" s="397"/>
      <c r="TE31" s="397"/>
      <c r="TF31" s="397"/>
      <c r="TG31" s="397"/>
      <c r="TH31" s="397"/>
      <c r="TI31" s="397"/>
      <c r="TJ31" s="397"/>
      <c r="TK31" s="397"/>
      <c r="TL31" s="397"/>
      <c r="TM31" s="397"/>
      <c r="TN31" s="397"/>
      <c r="TO31" s="397"/>
      <c r="TP31" s="397"/>
      <c r="TQ31" s="397"/>
      <c r="TR31" s="397"/>
      <c r="TS31" s="397"/>
      <c r="TT31" s="397"/>
      <c r="TU31" s="397"/>
      <c r="TV31" s="397"/>
      <c r="TW31" s="397"/>
      <c r="TX31" s="397"/>
      <c r="TY31" s="397"/>
      <c r="TZ31" s="397"/>
      <c r="UA31" s="397"/>
      <c r="UB31" s="397"/>
      <c r="UC31" s="397"/>
      <c r="UD31" s="397"/>
      <c r="UE31" s="397"/>
      <c r="UF31" s="397"/>
      <c r="UG31" s="397"/>
      <c r="UH31" s="397"/>
      <c r="UI31" s="397"/>
      <c r="UJ31" s="397"/>
      <c r="UK31" s="397"/>
      <c r="UL31" s="397"/>
      <c r="UM31" s="397"/>
      <c r="UN31" s="397"/>
      <c r="UO31" s="397"/>
      <c r="UP31" s="397"/>
      <c r="UQ31" s="397"/>
      <c r="UR31" s="397"/>
      <c r="US31" s="397"/>
      <c r="UT31" s="397"/>
      <c r="UU31" s="397"/>
      <c r="UV31" s="397"/>
      <c r="UW31" s="397"/>
      <c r="UX31" s="397"/>
      <c r="UY31" s="397"/>
      <c r="UZ31" s="397"/>
      <c r="VA31" s="397"/>
      <c r="VB31" s="397"/>
      <c r="VC31" s="397"/>
      <c r="VD31" s="397"/>
      <c r="VE31" s="397"/>
      <c r="VF31" s="397"/>
      <c r="VG31" s="397"/>
      <c r="VH31" s="397"/>
      <c r="VI31" s="397"/>
      <c r="VJ31" s="397"/>
      <c r="VK31" s="397"/>
      <c r="VL31" s="397"/>
      <c r="VM31" s="397"/>
      <c r="VN31" s="397"/>
      <c r="VO31" s="397"/>
      <c r="VP31" s="397"/>
      <c r="VQ31" s="397"/>
      <c r="VR31" s="397"/>
      <c r="VS31" s="397"/>
      <c r="VT31" s="397"/>
      <c r="VU31" s="397"/>
      <c r="VV31" s="397"/>
      <c r="VW31" s="397"/>
      <c r="VX31" s="397"/>
      <c r="VY31" s="397"/>
      <c r="VZ31" s="397"/>
      <c r="WA31" s="397"/>
      <c r="WB31" s="397"/>
      <c r="WC31" s="397"/>
      <c r="WD31" s="397"/>
      <c r="WE31" s="397"/>
      <c r="WF31" s="397"/>
      <c r="WG31" s="397"/>
      <c r="WH31" s="397"/>
      <c r="WI31" s="397"/>
      <c r="WJ31" s="397"/>
      <c r="WK31" s="397"/>
      <c r="WL31" s="397"/>
      <c r="WM31" s="397"/>
      <c r="WN31" s="397"/>
      <c r="WO31" s="397"/>
      <c r="WP31" s="397"/>
      <c r="WQ31" s="397"/>
      <c r="WR31" s="397"/>
      <c r="WS31" s="397"/>
      <c r="WT31" s="397"/>
      <c r="WU31" s="397"/>
      <c r="WV31" s="397"/>
      <c r="WW31" s="397"/>
      <c r="WX31" s="397"/>
      <c r="WY31" s="397"/>
      <c r="WZ31" s="397"/>
      <c r="XA31" s="397"/>
      <c r="XB31" s="397"/>
      <c r="XC31" s="397"/>
      <c r="XD31" s="397"/>
      <c r="XE31" s="397"/>
      <c r="XF31" s="397"/>
      <c r="XG31" s="397"/>
      <c r="XH31" s="397"/>
      <c r="XI31" s="397"/>
      <c r="XJ31" s="397"/>
      <c r="XK31" s="397"/>
      <c r="XL31" s="397"/>
      <c r="XM31" s="397"/>
      <c r="XN31" s="397"/>
      <c r="XO31" s="397"/>
      <c r="XP31" s="397"/>
      <c r="XQ31" s="397"/>
      <c r="XR31" s="397"/>
      <c r="XS31" s="397"/>
      <c r="XT31" s="397"/>
      <c r="XU31" s="397"/>
      <c r="XV31" s="397"/>
      <c r="XW31" s="397"/>
      <c r="XX31" s="397"/>
      <c r="XY31" s="397"/>
      <c r="XZ31" s="397"/>
      <c r="YA31" s="397"/>
      <c r="YB31" s="397"/>
      <c r="YC31" s="397"/>
      <c r="YD31" s="397"/>
      <c r="YE31" s="397"/>
      <c r="YF31" s="397"/>
      <c r="YG31" s="397"/>
      <c r="YH31" s="397"/>
      <c r="YI31" s="397"/>
      <c r="YJ31" s="397"/>
      <c r="YK31" s="397"/>
      <c r="YL31" s="397"/>
      <c r="YM31" s="397"/>
      <c r="YN31" s="397"/>
      <c r="YO31" s="397"/>
      <c r="YP31" s="397"/>
      <c r="YQ31" s="397"/>
      <c r="YR31" s="397"/>
      <c r="YS31" s="397"/>
      <c r="YT31" s="397"/>
      <c r="YU31" s="397"/>
      <c r="YV31" s="397"/>
      <c r="YW31" s="397"/>
      <c r="YX31" s="397"/>
      <c r="YY31" s="397"/>
      <c r="YZ31" s="397"/>
      <c r="ZA31" s="397"/>
      <c r="ZB31" s="397"/>
      <c r="ZC31" s="397"/>
      <c r="ZD31" s="397"/>
      <c r="ZE31" s="397"/>
    </row>
    <row r="32">
      <c r="A32" s="398" t="s">
        <v>1883</v>
      </c>
      <c r="B32" s="276"/>
      <c r="C32" s="23"/>
      <c r="D32" s="23"/>
      <c r="E32" s="23"/>
      <c r="F32" s="23"/>
      <c r="G32" s="23"/>
      <c r="H32" s="23"/>
      <c r="I32" s="276"/>
      <c r="J32" s="23"/>
      <c r="K32" s="23"/>
      <c r="L32" s="23"/>
      <c r="M32" s="23"/>
      <c r="N32" s="23"/>
      <c r="O32" s="23"/>
      <c r="P32" s="276"/>
      <c r="Q32" s="23"/>
      <c r="R32" s="23"/>
      <c r="S32" s="23"/>
      <c r="T32" s="23"/>
      <c r="U32" s="23"/>
      <c r="V32" s="23"/>
      <c r="W32" s="276"/>
      <c r="X32" s="23"/>
      <c r="Y32" s="23"/>
      <c r="Z32" s="23"/>
      <c r="AA32" s="23"/>
      <c r="AB32" s="23"/>
      <c r="AC32" s="23"/>
      <c r="AD32" s="276"/>
      <c r="AE32" s="23"/>
      <c r="AF32" s="23"/>
      <c r="AG32" s="23"/>
      <c r="AH32" s="23"/>
      <c r="AI32" s="23"/>
      <c r="AJ32" s="23"/>
      <c r="AK32" s="276"/>
      <c r="AL32" s="23"/>
      <c r="AM32" s="23"/>
      <c r="AN32" s="23"/>
      <c r="AO32" s="23"/>
      <c r="AP32" s="23"/>
      <c r="AQ32" s="23"/>
      <c r="AR32" s="400">
        <v>0.0</v>
      </c>
      <c r="AS32" s="23"/>
      <c r="AT32" s="23"/>
      <c r="AU32" s="23"/>
      <c r="AV32" s="23"/>
      <c r="AW32" s="23"/>
      <c r="AX32" s="23"/>
      <c r="AY32" s="276"/>
      <c r="AZ32" s="23"/>
      <c r="BA32" s="23"/>
      <c r="BB32" s="23"/>
      <c r="BC32" s="23"/>
      <c r="BD32" s="23"/>
      <c r="BE32" s="23"/>
      <c r="BF32" s="276"/>
      <c r="BG32" s="23"/>
      <c r="BH32" s="23"/>
      <c r="BI32" s="23"/>
      <c r="BJ32" s="23"/>
      <c r="BK32" s="23"/>
      <c r="BL32" s="23"/>
      <c r="BM32" s="276"/>
      <c r="BN32" s="23"/>
      <c r="BO32" s="23"/>
      <c r="BP32" s="23"/>
      <c r="BQ32" s="23"/>
      <c r="BR32" s="23"/>
      <c r="BS32" s="23"/>
      <c r="BT32" s="276"/>
      <c r="BU32" s="23"/>
      <c r="BV32" s="23"/>
      <c r="BW32" s="23"/>
      <c r="BX32" s="23"/>
      <c r="BY32" s="23"/>
      <c r="BZ32" s="23"/>
      <c r="CA32" s="276"/>
      <c r="CB32" s="23"/>
      <c r="CC32" s="23"/>
      <c r="CD32" s="23"/>
      <c r="CE32" s="23"/>
      <c r="CF32" s="23"/>
      <c r="CG32" s="23"/>
      <c r="CH32" s="276"/>
      <c r="CI32" s="23"/>
      <c r="CJ32" s="23"/>
      <c r="CK32" s="23"/>
      <c r="CL32" s="23"/>
      <c r="CM32" s="23"/>
      <c r="CN32" s="23"/>
      <c r="CO32" s="276"/>
      <c r="CP32" s="23"/>
      <c r="CQ32" s="23"/>
      <c r="CR32" s="23"/>
      <c r="CS32" s="23"/>
      <c r="CT32" s="23"/>
      <c r="CU32" s="23"/>
      <c r="CV32" s="276"/>
      <c r="CW32" s="23"/>
      <c r="CX32" s="23"/>
      <c r="CY32" s="23"/>
      <c r="CZ32" s="23"/>
      <c r="DA32" s="23"/>
      <c r="DB32" s="23"/>
      <c r="DC32" s="276"/>
      <c r="DD32" s="23"/>
      <c r="DE32" s="23"/>
      <c r="DF32" s="23"/>
      <c r="DG32" s="23"/>
      <c r="DH32" s="23"/>
      <c r="DI32" s="23"/>
      <c r="DJ32" s="276"/>
      <c r="DK32" s="23"/>
      <c r="DL32" s="23"/>
      <c r="DM32" s="23"/>
      <c r="DN32" s="23"/>
      <c r="DO32" s="23"/>
      <c r="DP32" s="23"/>
      <c r="DQ32" s="276"/>
      <c r="DR32" s="23"/>
      <c r="DS32" s="23"/>
      <c r="DT32" s="23"/>
      <c r="DU32" s="23"/>
      <c r="DV32" s="23"/>
      <c r="DW32" s="23"/>
      <c r="DX32" s="276"/>
      <c r="DY32" s="23"/>
      <c r="DZ32" s="23"/>
      <c r="EA32" s="23"/>
      <c r="EB32" s="23"/>
      <c r="EC32" s="23"/>
      <c r="ED32" s="23"/>
      <c r="EE32" s="276"/>
      <c r="EF32" s="23"/>
      <c r="EG32" s="23"/>
      <c r="EH32" s="23"/>
      <c r="EI32" s="23"/>
      <c r="EJ32" s="23"/>
      <c r="EK32" s="23"/>
      <c r="EL32" s="276"/>
      <c r="EM32" s="23"/>
      <c r="EN32" s="23"/>
      <c r="EO32" s="23"/>
      <c r="EP32" s="23"/>
      <c r="EQ32" s="23"/>
      <c r="ER32" s="23"/>
      <c r="ES32" s="276"/>
      <c r="ET32" s="23"/>
      <c r="EU32" s="23"/>
      <c r="EV32" s="23"/>
      <c r="EW32" s="23"/>
      <c r="EX32" s="23"/>
      <c r="EY32" s="23"/>
      <c r="EZ32" s="276"/>
      <c r="FA32" s="23"/>
      <c r="FB32" s="23"/>
      <c r="FC32" s="23"/>
      <c r="FD32" s="23"/>
      <c r="FE32" s="23"/>
      <c r="FF32" s="23"/>
      <c r="FG32" s="276"/>
      <c r="FH32" s="23"/>
      <c r="FI32" s="23"/>
      <c r="FJ32" s="23"/>
      <c r="FK32" s="23"/>
      <c r="FL32" s="23"/>
      <c r="FM32" s="23"/>
      <c r="FN32" s="276"/>
      <c r="FO32" s="23"/>
      <c r="FP32" s="23"/>
      <c r="FQ32" s="23"/>
      <c r="FR32" s="23"/>
      <c r="FS32" s="23"/>
      <c r="FT32" s="23"/>
      <c r="FU32" s="276"/>
      <c r="FV32" s="23"/>
      <c r="FW32" s="23"/>
      <c r="FX32" s="23"/>
      <c r="FY32" s="23"/>
      <c r="FZ32" s="23"/>
      <c r="GA32" s="23"/>
      <c r="GB32" s="276"/>
      <c r="GC32" s="23"/>
      <c r="GD32" s="23"/>
      <c r="GE32" s="23"/>
      <c r="GF32" s="23"/>
      <c r="GG32" s="23"/>
      <c r="GH32" s="23"/>
      <c r="GI32" s="276"/>
      <c r="GJ32" s="23"/>
      <c r="GK32" s="23"/>
      <c r="GL32" s="23"/>
      <c r="GM32" s="23"/>
      <c r="GN32" s="23"/>
      <c r="GO32" s="23"/>
      <c r="GP32" s="276"/>
      <c r="GQ32" s="23"/>
      <c r="GR32" s="23"/>
      <c r="GS32" s="23"/>
      <c r="GT32" s="23"/>
      <c r="GU32" s="23"/>
      <c r="GV32" s="23"/>
      <c r="GW32" s="276"/>
      <c r="GX32" s="23"/>
      <c r="GY32" s="23"/>
      <c r="GZ32" s="23"/>
      <c r="HA32" s="23"/>
      <c r="HB32" s="23"/>
      <c r="HC32" s="23"/>
      <c r="HD32" s="276"/>
      <c r="HE32" s="23"/>
      <c r="HF32" s="23"/>
      <c r="HG32" s="23"/>
      <c r="HH32" s="23"/>
      <c r="HI32" s="23"/>
      <c r="HJ32" s="23"/>
      <c r="HK32" s="276"/>
      <c r="HL32" s="23"/>
      <c r="HM32" s="23"/>
      <c r="HN32" s="23"/>
      <c r="HO32" s="23"/>
      <c r="HP32" s="23"/>
      <c r="HQ32" s="23"/>
      <c r="HR32" s="400"/>
      <c r="HS32" s="23"/>
      <c r="HT32" s="23"/>
      <c r="HU32" s="23"/>
      <c r="HV32" s="23"/>
      <c r="HW32" s="23"/>
      <c r="HX32" s="23"/>
      <c r="HY32" s="276"/>
      <c r="HZ32" s="23"/>
      <c r="IA32" s="23"/>
      <c r="IB32" s="23"/>
      <c r="IC32" s="23"/>
      <c r="ID32" s="23"/>
      <c r="IE32" s="23"/>
      <c r="IF32" s="276"/>
      <c r="IG32" s="23"/>
      <c r="IH32" s="23"/>
      <c r="II32" s="23"/>
      <c r="IJ32" s="23"/>
      <c r="IK32" s="23"/>
      <c r="IL32" s="23"/>
      <c r="IM32" s="276"/>
      <c r="IN32" s="23"/>
      <c r="IO32" s="23"/>
      <c r="IP32" s="23"/>
      <c r="IQ32" s="23"/>
      <c r="IR32" s="23"/>
      <c r="IS32" s="23"/>
      <c r="IT32" s="276"/>
      <c r="IU32" s="23"/>
      <c r="IV32" s="23"/>
      <c r="IW32" s="23"/>
      <c r="IX32" s="23"/>
      <c r="IY32" s="23"/>
      <c r="IZ32" s="23"/>
      <c r="JA32" s="276"/>
      <c r="JB32" s="23"/>
      <c r="JC32" s="23"/>
      <c r="JD32" s="23"/>
      <c r="JE32" s="23"/>
      <c r="JF32" s="23"/>
      <c r="JG32" s="23"/>
      <c r="JH32" s="276"/>
      <c r="JI32" s="23"/>
      <c r="JJ32" s="23"/>
      <c r="JK32" s="23"/>
      <c r="JL32" s="23"/>
      <c r="JM32" s="23"/>
      <c r="JN32" s="23"/>
      <c r="JO32" s="278"/>
      <c r="JP32" s="23"/>
      <c r="JQ32" s="23"/>
      <c r="JR32" s="23"/>
      <c r="JS32" s="23"/>
      <c r="JT32" s="23"/>
      <c r="JU32" s="23"/>
      <c r="JV32" s="276"/>
      <c r="JW32" s="23"/>
      <c r="JX32" s="23"/>
      <c r="JY32" s="23"/>
      <c r="JZ32" s="23"/>
      <c r="KA32" s="23"/>
      <c r="KB32" s="23"/>
      <c r="KC32" s="276"/>
      <c r="KD32" s="23"/>
      <c r="KE32" s="23"/>
      <c r="KF32" s="23"/>
      <c r="KG32" s="23"/>
      <c r="KH32" s="23"/>
      <c r="KI32" s="23"/>
      <c r="KJ32" s="276"/>
      <c r="KK32" s="23"/>
      <c r="KL32" s="23"/>
      <c r="KM32" s="23"/>
      <c r="KN32" s="23"/>
      <c r="KO32" s="23"/>
      <c r="KP32" s="23"/>
      <c r="KQ32" s="276"/>
      <c r="KR32" s="23"/>
      <c r="KS32" s="23"/>
      <c r="KT32" s="23"/>
      <c r="KU32" s="23"/>
      <c r="KV32" s="23"/>
      <c r="KW32" s="23"/>
      <c r="KX32" s="276"/>
      <c r="KY32" s="23"/>
      <c r="KZ32" s="23"/>
      <c r="LA32" s="23"/>
      <c r="LB32" s="23"/>
      <c r="LC32" s="23"/>
      <c r="LD32" s="23"/>
      <c r="LE32" s="276"/>
      <c r="LF32" s="23"/>
      <c r="LG32" s="23"/>
      <c r="LH32" s="23"/>
      <c r="LI32" s="23"/>
      <c r="LJ32" s="23"/>
      <c r="LK32" s="23"/>
      <c r="LL32" s="276"/>
      <c r="LM32" s="23"/>
      <c r="LN32" s="23"/>
      <c r="LO32" s="23"/>
      <c r="LP32" s="23"/>
      <c r="LQ32" s="23"/>
      <c r="LR32" s="23"/>
      <c r="LS32" s="276"/>
      <c r="LT32" s="23"/>
      <c r="LU32" s="23"/>
      <c r="LV32" s="23"/>
      <c r="LW32" s="23"/>
      <c r="LX32" s="23"/>
      <c r="LY32" s="23"/>
      <c r="LZ32" s="276"/>
      <c r="MA32" s="23"/>
      <c r="MB32" s="23"/>
      <c r="MC32" s="23"/>
      <c r="MD32" s="23"/>
      <c r="ME32" s="23"/>
      <c r="MF32" s="23"/>
      <c r="MG32" s="276"/>
      <c r="MH32" s="23"/>
      <c r="MI32" s="23"/>
      <c r="MJ32" s="23"/>
      <c r="MK32" s="23"/>
      <c r="ML32" s="23"/>
      <c r="MM32" s="23"/>
      <c r="MN32" s="276"/>
      <c r="MO32" s="23"/>
      <c r="MP32" s="23"/>
      <c r="MQ32" s="23"/>
      <c r="MR32" s="23"/>
      <c r="MS32" s="23"/>
      <c r="MT32" s="23"/>
      <c r="MU32" s="276"/>
      <c r="MV32" s="23"/>
      <c r="MW32" s="23"/>
      <c r="MX32" s="23"/>
      <c r="MY32" s="23"/>
      <c r="MZ32" s="23"/>
      <c r="NA32" s="104"/>
      <c r="NB32" s="275"/>
      <c r="NC32" s="282"/>
      <c r="ND32" s="282"/>
      <c r="NE32" s="282"/>
      <c r="NF32" s="282"/>
      <c r="NG32" s="282"/>
      <c r="NH32" s="282"/>
      <c r="NI32" s="282"/>
      <c r="NJ32" s="282"/>
      <c r="NK32" s="282"/>
      <c r="NL32" s="282"/>
      <c r="NM32" s="282"/>
      <c r="NN32" s="282"/>
      <c r="NO32" s="282"/>
      <c r="NP32" s="282"/>
      <c r="NQ32" s="282"/>
      <c r="NR32" s="282"/>
      <c r="NS32" s="282"/>
      <c r="NT32" s="282"/>
      <c r="NU32" s="282"/>
      <c r="NV32" s="282"/>
      <c r="NW32" s="282"/>
      <c r="NX32" s="282"/>
      <c r="NY32" s="282"/>
      <c r="NZ32" s="282"/>
      <c r="OA32" s="282"/>
      <c r="OB32" s="282"/>
      <c r="OC32" s="282"/>
      <c r="OD32" s="282"/>
      <c r="OE32" s="282"/>
      <c r="OF32" s="282"/>
      <c r="OG32" s="282"/>
      <c r="OH32" s="282"/>
      <c r="OI32" s="282"/>
      <c r="OJ32" s="282"/>
      <c r="OK32" s="282"/>
      <c r="OL32" s="282"/>
      <c r="OM32" s="282"/>
      <c r="ON32" s="282"/>
      <c r="OO32" s="282"/>
      <c r="OP32" s="282"/>
      <c r="OQ32" s="282"/>
      <c r="OR32" s="282"/>
      <c r="OS32" s="282"/>
      <c r="OT32" s="282"/>
      <c r="OU32" s="282"/>
      <c r="OV32" s="282"/>
      <c r="OW32" s="282"/>
      <c r="OX32" s="282"/>
      <c r="OY32" s="282"/>
      <c r="OZ32" s="282"/>
      <c r="PA32" s="282"/>
      <c r="PB32" s="282"/>
      <c r="PC32" s="282"/>
      <c r="PD32" s="282"/>
      <c r="PE32" s="282"/>
      <c r="PF32" s="282"/>
      <c r="PG32" s="282"/>
      <c r="PH32" s="282"/>
      <c r="PI32" s="282"/>
      <c r="PJ32" s="282"/>
      <c r="PK32" s="282"/>
      <c r="PL32" s="282"/>
      <c r="PM32" s="282"/>
      <c r="PN32" s="282"/>
      <c r="PO32" s="282"/>
      <c r="PP32" s="282"/>
      <c r="PQ32" s="282"/>
      <c r="PR32" s="282"/>
      <c r="PS32" s="282"/>
      <c r="PT32" s="282"/>
      <c r="PU32" s="282"/>
      <c r="PV32" s="282"/>
      <c r="PW32" s="282"/>
      <c r="PX32" s="282"/>
      <c r="PY32" s="282"/>
      <c r="PZ32" s="282"/>
      <c r="QA32" s="282"/>
      <c r="QB32" s="282"/>
      <c r="QC32" s="282"/>
      <c r="QD32" s="282"/>
      <c r="QE32" s="282"/>
      <c r="QF32" s="282"/>
      <c r="QG32" s="282"/>
      <c r="QH32" s="282"/>
      <c r="QI32" s="282"/>
      <c r="QJ32" s="282"/>
      <c r="QK32" s="282"/>
      <c r="QL32" s="282"/>
      <c r="QM32" s="282"/>
      <c r="QN32" s="282"/>
      <c r="QO32" s="282"/>
      <c r="QP32" s="282"/>
      <c r="QQ32" s="282"/>
      <c r="QR32" s="282"/>
      <c r="QS32" s="282"/>
      <c r="QT32" s="282"/>
      <c r="QU32" s="282"/>
      <c r="QV32" s="282"/>
      <c r="QW32" s="282"/>
      <c r="QX32" s="282"/>
      <c r="QY32" s="282"/>
      <c r="QZ32" s="282"/>
      <c r="RA32" s="282"/>
      <c r="RB32" s="282"/>
      <c r="RC32" s="282"/>
      <c r="RD32" s="282"/>
      <c r="RE32" s="282"/>
      <c r="RF32" s="282"/>
      <c r="RG32" s="282"/>
      <c r="RH32" s="282"/>
      <c r="RI32" s="282"/>
      <c r="RJ32" s="282"/>
      <c r="RK32" s="282"/>
      <c r="RL32" s="282"/>
      <c r="RM32" s="282"/>
      <c r="RN32" s="282"/>
      <c r="RO32" s="282"/>
      <c r="RP32" s="282"/>
      <c r="RQ32" s="282"/>
      <c r="RR32" s="282"/>
      <c r="RS32" s="282"/>
      <c r="RT32" s="282"/>
      <c r="RU32" s="282"/>
      <c r="RV32" s="282"/>
      <c r="RW32" s="282"/>
      <c r="RX32" s="282"/>
      <c r="RY32" s="282"/>
      <c r="RZ32" s="282"/>
      <c r="SA32" s="282"/>
      <c r="SB32" s="282"/>
      <c r="SC32" s="282"/>
      <c r="SD32" s="282"/>
      <c r="SE32" s="282"/>
      <c r="SF32" s="282"/>
      <c r="SG32" s="282"/>
      <c r="SH32" s="282"/>
      <c r="SI32" s="282"/>
      <c r="SJ32" s="282"/>
      <c r="SK32" s="282"/>
      <c r="SL32" s="282"/>
      <c r="SM32" s="282"/>
      <c r="SN32" s="282"/>
      <c r="SO32" s="282"/>
      <c r="SP32" s="282"/>
      <c r="SQ32" s="282"/>
      <c r="SR32" s="282"/>
      <c r="SS32" s="282"/>
      <c r="ST32" s="282"/>
      <c r="SU32" s="282"/>
      <c r="SV32" s="282"/>
      <c r="SW32" s="282"/>
      <c r="SX32" s="282"/>
      <c r="SY32" s="282"/>
      <c r="SZ32" s="282"/>
      <c r="TA32" s="282"/>
      <c r="TB32" s="282"/>
      <c r="TC32" s="282"/>
      <c r="TD32" s="282"/>
      <c r="TE32" s="282"/>
      <c r="TF32" s="282"/>
      <c r="TG32" s="282"/>
      <c r="TH32" s="282"/>
      <c r="TI32" s="282"/>
      <c r="TJ32" s="282"/>
      <c r="TK32" s="282"/>
      <c r="TL32" s="282"/>
      <c r="TM32" s="282"/>
      <c r="TN32" s="282"/>
      <c r="TO32" s="282"/>
      <c r="TP32" s="282"/>
      <c r="TQ32" s="282"/>
      <c r="TR32" s="282"/>
      <c r="TS32" s="282"/>
      <c r="TT32" s="282"/>
      <c r="TU32" s="282"/>
      <c r="TV32" s="282"/>
      <c r="TW32" s="282"/>
      <c r="TX32" s="282"/>
      <c r="TY32" s="282"/>
      <c r="TZ32" s="282"/>
      <c r="UA32" s="282"/>
      <c r="UB32" s="282"/>
      <c r="UC32" s="282"/>
      <c r="UD32" s="282"/>
      <c r="UE32" s="282"/>
      <c r="UF32" s="282"/>
      <c r="UG32" s="282"/>
      <c r="UH32" s="282"/>
      <c r="UI32" s="282"/>
      <c r="UJ32" s="282"/>
      <c r="UK32" s="282"/>
      <c r="UL32" s="282"/>
      <c r="UM32" s="282"/>
      <c r="UN32" s="282"/>
      <c r="UO32" s="282"/>
      <c r="UP32" s="282"/>
      <c r="UQ32" s="282"/>
      <c r="UR32" s="282"/>
      <c r="US32" s="282"/>
      <c r="UT32" s="282"/>
      <c r="UU32" s="282"/>
      <c r="UV32" s="282"/>
      <c r="UW32" s="282"/>
      <c r="UX32" s="282"/>
      <c r="UY32" s="282"/>
      <c r="UZ32" s="282"/>
      <c r="VA32" s="282"/>
      <c r="VB32" s="282"/>
      <c r="VC32" s="282"/>
      <c r="VD32" s="282"/>
      <c r="VE32" s="282"/>
      <c r="VF32" s="282"/>
      <c r="VG32" s="282"/>
      <c r="VH32" s="282"/>
      <c r="VI32" s="282"/>
      <c r="VJ32" s="282"/>
      <c r="VK32" s="282"/>
      <c r="VL32" s="282"/>
      <c r="VM32" s="282"/>
      <c r="VN32" s="282"/>
      <c r="VO32" s="282"/>
      <c r="VP32" s="282"/>
      <c r="VQ32" s="282"/>
      <c r="VR32" s="282"/>
      <c r="VS32" s="282"/>
      <c r="VT32" s="282"/>
      <c r="VU32" s="282"/>
      <c r="VV32" s="282"/>
      <c r="VW32" s="282"/>
      <c r="VX32" s="282"/>
      <c r="VY32" s="282"/>
      <c r="VZ32" s="282"/>
      <c r="WA32" s="282"/>
      <c r="WB32" s="282"/>
      <c r="WC32" s="282"/>
      <c r="WD32" s="282"/>
      <c r="WE32" s="282"/>
      <c r="WF32" s="282"/>
      <c r="WG32" s="282"/>
      <c r="WH32" s="282"/>
      <c r="WI32" s="282"/>
      <c r="WJ32" s="282"/>
      <c r="WK32" s="282"/>
      <c r="WL32" s="282"/>
      <c r="WM32" s="282"/>
      <c r="WN32" s="282"/>
      <c r="WO32" s="282"/>
      <c r="WP32" s="282"/>
      <c r="WQ32" s="282"/>
      <c r="WR32" s="282"/>
      <c r="WS32" s="282"/>
      <c r="WT32" s="282"/>
      <c r="WU32" s="282"/>
      <c r="WV32" s="282"/>
      <c r="WW32" s="282"/>
      <c r="WX32" s="282"/>
      <c r="WY32" s="282"/>
      <c r="WZ32" s="282"/>
      <c r="XA32" s="282"/>
      <c r="XB32" s="282"/>
      <c r="XC32" s="282"/>
      <c r="XD32" s="282"/>
      <c r="XE32" s="282"/>
      <c r="XF32" s="282"/>
      <c r="XG32" s="282"/>
      <c r="XH32" s="282"/>
      <c r="XI32" s="282"/>
      <c r="XJ32" s="282"/>
      <c r="XK32" s="282"/>
      <c r="XL32" s="282"/>
      <c r="XM32" s="282"/>
      <c r="XN32" s="282"/>
      <c r="XO32" s="282"/>
      <c r="XP32" s="282"/>
      <c r="XQ32" s="282"/>
      <c r="XR32" s="282"/>
      <c r="XS32" s="282"/>
      <c r="XT32" s="282"/>
      <c r="XU32" s="282"/>
      <c r="XV32" s="282"/>
      <c r="XW32" s="282"/>
      <c r="XX32" s="282"/>
      <c r="XY32" s="282"/>
      <c r="XZ32" s="282"/>
      <c r="YA32" s="282"/>
      <c r="YB32" s="282"/>
      <c r="YC32" s="282"/>
      <c r="YD32" s="282"/>
      <c r="YE32" s="282"/>
      <c r="YF32" s="282"/>
      <c r="YG32" s="282"/>
      <c r="YH32" s="282"/>
      <c r="YI32" s="282"/>
      <c r="YJ32" s="282"/>
      <c r="YK32" s="282"/>
      <c r="YL32" s="282"/>
      <c r="YM32" s="282"/>
      <c r="YN32" s="282"/>
      <c r="YO32" s="282"/>
      <c r="YP32" s="282"/>
      <c r="YQ32" s="282"/>
      <c r="YR32" s="282"/>
      <c r="YS32" s="282"/>
      <c r="YT32" s="282"/>
      <c r="YU32" s="282"/>
      <c r="YV32" s="282"/>
      <c r="YW32" s="282"/>
      <c r="YX32" s="282"/>
      <c r="YY32" s="282"/>
      <c r="YZ32" s="282"/>
      <c r="ZA32" s="282"/>
      <c r="ZB32" s="282"/>
      <c r="ZC32" s="282"/>
      <c r="ZD32" s="282"/>
      <c r="ZE32" s="282"/>
    </row>
    <row r="33">
      <c r="A33" s="156" t="s">
        <v>618</v>
      </c>
      <c r="B33" s="283"/>
      <c r="C33" s="16"/>
      <c r="D33" s="16"/>
      <c r="E33" s="16"/>
      <c r="F33" s="16"/>
      <c r="G33" s="16"/>
      <c r="H33" s="25"/>
      <c r="I33" s="283"/>
      <c r="J33" s="16"/>
      <c r="K33" s="16"/>
      <c r="L33" s="16"/>
      <c r="M33" s="16"/>
      <c r="N33" s="16"/>
      <c r="O33" s="25"/>
      <c r="P33" s="153"/>
      <c r="Q33" s="16"/>
      <c r="R33" s="16"/>
      <c r="S33" s="16"/>
      <c r="T33" s="16"/>
      <c r="U33" s="16"/>
      <c r="V33" s="25"/>
      <c r="W33" s="283"/>
      <c r="X33" s="16"/>
      <c r="Y33" s="16"/>
      <c r="Z33" s="16"/>
      <c r="AA33" s="16"/>
      <c r="AB33" s="16"/>
      <c r="AC33" s="25"/>
      <c r="AD33" s="283"/>
      <c r="AE33" s="16"/>
      <c r="AF33" s="16"/>
      <c r="AG33" s="16"/>
      <c r="AH33" s="16"/>
      <c r="AI33" s="16"/>
      <c r="AJ33" s="25"/>
      <c r="AK33" s="283"/>
      <c r="AL33" s="16"/>
      <c r="AM33" s="16"/>
      <c r="AN33" s="16"/>
      <c r="AO33" s="16"/>
      <c r="AP33" s="16"/>
      <c r="AQ33" s="25"/>
      <c r="AR33" s="283"/>
      <c r="AS33" s="16"/>
      <c r="AT33" s="16"/>
      <c r="AU33" s="16"/>
      <c r="AV33" s="16"/>
      <c r="AW33" s="16"/>
      <c r="AX33" s="25"/>
      <c r="AY33" s="283"/>
      <c r="AZ33" s="16"/>
      <c r="BA33" s="16"/>
      <c r="BB33" s="16"/>
      <c r="BC33" s="16"/>
      <c r="BD33" s="16"/>
      <c r="BE33" s="25"/>
      <c r="BF33" s="283"/>
      <c r="BG33" s="16"/>
      <c r="BH33" s="16"/>
      <c r="BI33" s="16"/>
      <c r="BJ33" s="16"/>
      <c r="BK33" s="16"/>
      <c r="BL33" s="25"/>
      <c r="BM33" s="283"/>
      <c r="BN33" s="16"/>
      <c r="BO33" s="16"/>
      <c r="BP33" s="16"/>
      <c r="BQ33" s="16"/>
      <c r="BR33" s="16"/>
      <c r="BS33" s="25"/>
      <c r="BT33" s="283"/>
      <c r="BU33" s="16"/>
      <c r="BV33" s="16"/>
      <c r="BW33" s="16"/>
      <c r="BX33" s="16"/>
      <c r="BY33" s="16"/>
      <c r="BZ33" s="25"/>
      <c r="CA33" s="283"/>
      <c r="CB33" s="16"/>
      <c r="CC33" s="16"/>
      <c r="CD33" s="16"/>
      <c r="CE33" s="16"/>
      <c r="CF33" s="16"/>
      <c r="CG33" s="25"/>
      <c r="CH33" s="283"/>
      <c r="CI33" s="16"/>
      <c r="CJ33" s="16"/>
      <c r="CK33" s="16"/>
      <c r="CL33" s="16"/>
      <c r="CM33" s="16"/>
      <c r="CN33" s="25"/>
      <c r="CO33" s="283"/>
      <c r="CP33" s="16"/>
      <c r="CQ33" s="16"/>
      <c r="CR33" s="16"/>
      <c r="CS33" s="16"/>
      <c r="CT33" s="16"/>
      <c r="CU33" s="25"/>
      <c r="CV33" s="153"/>
      <c r="CW33" s="16"/>
      <c r="CX33" s="16"/>
      <c r="CY33" s="16"/>
      <c r="CZ33" s="16"/>
      <c r="DA33" s="16"/>
      <c r="DB33" s="25"/>
      <c r="DC33" s="153"/>
      <c r="DD33" s="16"/>
      <c r="DE33" s="16"/>
      <c r="DF33" s="16"/>
      <c r="DG33" s="16"/>
      <c r="DH33" s="16"/>
      <c r="DI33" s="25"/>
      <c r="DJ33" s="153"/>
      <c r="DK33" s="16"/>
      <c r="DL33" s="16"/>
      <c r="DM33" s="16"/>
      <c r="DN33" s="16"/>
      <c r="DO33" s="16"/>
      <c r="DP33" s="25"/>
      <c r="DQ33" s="153"/>
      <c r="DR33" s="16"/>
      <c r="DS33" s="16"/>
      <c r="DT33" s="16"/>
      <c r="DU33" s="16"/>
      <c r="DV33" s="16"/>
      <c r="DW33" s="25"/>
      <c r="DX33" s="153"/>
      <c r="DY33" s="16"/>
      <c r="DZ33" s="16"/>
      <c r="EA33" s="16"/>
      <c r="EB33" s="16"/>
      <c r="EC33" s="16"/>
      <c r="ED33" s="25"/>
      <c r="EE33" s="283"/>
      <c r="EF33" s="16"/>
      <c r="EG33" s="16"/>
      <c r="EH33" s="16"/>
      <c r="EI33" s="16"/>
      <c r="EJ33" s="16"/>
      <c r="EK33" s="25"/>
      <c r="EL33" s="153"/>
      <c r="EM33" s="16"/>
      <c r="EN33" s="16"/>
      <c r="EO33" s="16"/>
      <c r="EP33" s="16"/>
      <c r="EQ33" s="16"/>
      <c r="ER33" s="25"/>
      <c r="ES33" s="283"/>
      <c r="ET33" s="16"/>
      <c r="EU33" s="16"/>
      <c r="EV33" s="16"/>
      <c r="EW33" s="16"/>
      <c r="EX33" s="16"/>
      <c r="EY33" s="25"/>
      <c r="EZ33" s="283"/>
      <c r="FA33" s="16"/>
      <c r="FB33" s="16"/>
      <c r="FC33" s="16"/>
      <c r="FD33" s="16"/>
      <c r="FE33" s="16"/>
      <c r="FF33" s="25"/>
      <c r="FG33" s="283"/>
      <c r="FH33" s="16"/>
      <c r="FI33" s="16"/>
      <c r="FJ33" s="16"/>
      <c r="FK33" s="16"/>
      <c r="FL33" s="16"/>
      <c r="FM33" s="25"/>
      <c r="FN33" s="283"/>
      <c r="FO33" s="16"/>
      <c r="FP33" s="16"/>
      <c r="FQ33" s="16"/>
      <c r="FR33" s="16"/>
      <c r="FS33" s="16"/>
      <c r="FT33" s="25"/>
      <c r="FU33" s="283"/>
      <c r="FV33" s="16"/>
      <c r="FW33" s="16"/>
      <c r="FX33" s="16"/>
      <c r="FY33" s="16"/>
      <c r="FZ33" s="16"/>
      <c r="GA33" s="25"/>
      <c r="GB33" s="283"/>
      <c r="GC33" s="16"/>
      <c r="GD33" s="16"/>
      <c r="GE33" s="16"/>
      <c r="GF33" s="16"/>
      <c r="GG33" s="16"/>
      <c r="GH33" s="25"/>
      <c r="GI33" s="283"/>
      <c r="GJ33" s="16"/>
      <c r="GK33" s="16"/>
      <c r="GL33" s="16"/>
      <c r="GM33" s="16"/>
      <c r="GN33" s="16"/>
      <c r="GO33" s="25"/>
      <c r="GP33" s="283"/>
      <c r="GQ33" s="16"/>
      <c r="GR33" s="16"/>
      <c r="GS33" s="16"/>
      <c r="GT33" s="16"/>
      <c r="GU33" s="16"/>
      <c r="GV33" s="25"/>
      <c r="GW33" s="283"/>
      <c r="GX33" s="16"/>
      <c r="GY33" s="16"/>
      <c r="GZ33" s="16"/>
      <c r="HA33" s="16"/>
      <c r="HB33" s="16"/>
      <c r="HC33" s="25"/>
      <c r="HD33" s="283"/>
      <c r="HE33" s="16"/>
      <c r="HF33" s="16"/>
      <c r="HG33" s="16"/>
      <c r="HH33" s="16"/>
      <c r="HI33" s="16"/>
      <c r="HJ33" s="25"/>
      <c r="HK33" s="283"/>
      <c r="HL33" s="16"/>
      <c r="HM33" s="16"/>
      <c r="HN33" s="16"/>
      <c r="HO33" s="16"/>
      <c r="HP33" s="16"/>
      <c r="HQ33" s="25"/>
      <c r="HR33" s="283"/>
      <c r="HS33" s="16"/>
      <c r="HT33" s="16"/>
      <c r="HU33" s="16"/>
      <c r="HV33" s="16"/>
      <c r="HW33" s="16"/>
      <c r="HX33" s="25"/>
      <c r="HY33" s="283"/>
      <c r="HZ33" s="16"/>
      <c r="IA33" s="16"/>
      <c r="IB33" s="16"/>
      <c r="IC33" s="16"/>
      <c r="ID33" s="16"/>
      <c r="IE33" s="25"/>
      <c r="IF33" s="283"/>
      <c r="IG33" s="16"/>
      <c r="IH33" s="16"/>
      <c r="II33" s="16"/>
      <c r="IJ33" s="16"/>
      <c r="IK33" s="16"/>
      <c r="IL33" s="25"/>
      <c r="IM33" s="283"/>
      <c r="IN33" s="16"/>
      <c r="IO33" s="16"/>
      <c r="IP33" s="16"/>
      <c r="IQ33" s="16"/>
      <c r="IR33" s="16"/>
      <c r="IS33" s="25"/>
      <c r="IT33" s="283"/>
      <c r="IU33" s="16"/>
      <c r="IV33" s="16"/>
      <c r="IW33" s="16"/>
      <c r="IX33" s="16"/>
      <c r="IY33" s="16"/>
      <c r="IZ33" s="25"/>
      <c r="JA33" s="283"/>
      <c r="JB33" s="16"/>
      <c r="JC33" s="16"/>
      <c r="JD33" s="16"/>
      <c r="JE33" s="16"/>
      <c r="JF33" s="16"/>
      <c r="JG33" s="25"/>
      <c r="JH33" s="283"/>
      <c r="JI33" s="16"/>
      <c r="JJ33" s="16"/>
      <c r="JK33" s="16"/>
      <c r="JL33" s="16"/>
      <c r="JM33" s="16"/>
      <c r="JN33" s="25"/>
      <c r="JO33" s="401"/>
      <c r="JP33" s="16"/>
      <c r="JQ33" s="16"/>
      <c r="JR33" s="16"/>
      <c r="JS33" s="16"/>
      <c r="JT33" s="16"/>
      <c r="JU33" s="25"/>
      <c r="JV33" s="153"/>
      <c r="JW33" s="16"/>
      <c r="JX33" s="16"/>
      <c r="JY33" s="16"/>
      <c r="JZ33" s="16"/>
      <c r="KA33" s="16"/>
      <c r="KB33" s="25"/>
      <c r="KC33" s="283"/>
      <c r="KD33" s="16"/>
      <c r="KE33" s="16"/>
      <c r="KF33" s="16"/>
      <c r="KG33" s="16"/>
      <c r="KH33" s="16"/>
      <c r="KI33" s="25"/>
      <c r="KJ33" s="283"/>
      <c r="KK33" s="16"/>
      <c r="KL33" s="16"/>
      <c r="KM33" s="16"/>
      <c r="KN33" s="16"/>
      <c r="KO33" s="16"/>
      <c r="KP33" s="25"/>
      <c r="KQ33" s="283"/>
      <c r="KR33" s="16"/>
      <c r="KS33" s="16"/>
      <c r="KT33" s="16"/>
      <c r="KU33" s="16"/>
      <c r="KV33" s="16"/>
      <c r="KW33" s="25"/>
      <c r="KX33" s="283"/>
      <c r="KY33" s="16"/>
      <c r="KZ33" s="16"/>
      <c r="LA33" s="16"/>
      <c r="LB33" s="16"/>
      <c r="LC33" s="16"/>
      <c r="LD33" s="25"/>
      <c r="LE33" s="283"/>
      <c r="LF33" s="16"/>
      <c r="LG33" s="16"/>
      <c r="LH33" s="16"/>
      <c r="LI33" s="16"/>
      <c r="LJ33" s="16"/>
      <c r="LK33" s="25"/>
      <c r="LL33" s="283"/>
      <c r="LM33" s="16"/>
      <c r="LN33" s="16"/>
      <c r="LO33" s="16"/>
      <c r="LP33" s="16"/>
      <c r="LQ33" s="16"/>
      <c r="LR33" s="25"/>
      <c r="LS33" s="283"/>
      <c r="LT33" s="16"/>
      <c r="LU33" s="16"/>
      <c r="LV33" s="16"/>
      <c r="LW33" s="16"/>
      <c r="LX33" s="16"/>
      <c r="LY33" s="25"/>
      <c r="LZ33" s="283"/>
      <c r="MA33" s="16"/>
      <c r="MB33" s="16"/>
      <c r="MC33" s="16"/>
      <c r="MD33" s="16"/>
      <c r="ME33" s="16"/>
      <c r="MF33" s="25"/>
      <c r="MG33" s="283"/>
      <c r="MH33" s="16"/>
      <c r="MI33" s="16"/>
      <c r="MJ33" s="16"/>
      <c r="MK33" s="16"/>
      <c r="ML33" s="16"/>
      <c r="MM33" s="25"/>
      <c r="MN33" s="283"/>
      <c r="MO33" s="16"/>
      <c r="MP33" s="16"/>
      <c r="MQ33" s="16"/>
      <c r="MR33" s="16"/>
      <c r="MS33" s="16"/>
      <c r="MT33" s="25"/>
      <c r="MU33" s="283"/>
      <c r="MV33" s="16"/>
      <c r="MW33" s="16"/>
      <c r="MX33" s="16"/>
      <c r="MY33" s="16"/>
      <c r="MZ33" s="16"/>
      <c r="NA33" s="25"/>
      <c r="NB33" s="402"/>
      <c r="NC33" s="270"/>
      <c r="ND33" s="270"/>
      <c r="NE33" s="270"/>
      <c r="NF33" s="270"/>
      <c r="NG33" s="270"/>
      <c r="NH33" s="270"/>
      <c r="NI33" s="270"/>
      <c r="NJ33" s="270"/>
      <c r="NK33" s="270"/>
      <c r="NL33" s="270"/>
      <c r="NM33" s="270"/>
      <c r="NN33" s="270"/>
      <c r="NO33" s="270"/>
      <c r="NP33" s="270"/>
      <c r="NQ33" s="270"/>
      <c r="NR33" s="270"/>
      <c r="NS33" s="270"/>
      <c r="NT33" s="270"/>
      <c r="NU33" s="270"/>
      <c r="NV33" s="270"/>
      <c r="NW33" s="270"/>
      <c r="NX33" s="270"/>
      <c r="NY33" s="270"/>
      <c r="NZ33" s="270"/>
      <c r="OA33" s="270"/>
      <c r="OB33" s="270"/>
      <c r="OC33" s="270"/>
      <c r="OD33" s="270"/>
      <c r="OE33" s="270"/>
      <c r="OF33" s="270"/>
      <c r="OG33" s="270"/>
      <c r="OH33" s="270"/>
      <c r="OI33" s="270"/>
      <c r="OJ33" s="270"/>
      <c r="OK33" s="270"/>
      <c r="OL33" s="270"/>
      <c r="OM33" s="270"/>
      <c r="ON33" s="270"/>
      <c r="OO33" s="270"/>
      <c r="OP33" s="270"/>
      <c r="OQ33" s="270"/>
      <c r="OR33" s="270"/>
      <c r="OS33" s="270"/>
      <c r="OT33" s="270"/>
      <c r="OU33" s="270"/>
      <c r="OV33" s="270"/>
      <c r="OW33" s="270"/>
      <c r="OX33" s="270"/>
      <c r="OY33" s="270"/>
      <c r="OZ33" s="270"/>
      <c r="PA33" s="270"/>
      <c r="PB33" s="270"/>
      <c r="PC33" s="270"/>
      <c r="PD33" s="270"/>
      <c r="PE33" s="270"/>
      <c r="PF33" s="270"/>
      <c r="PG33" s="270"/>
      <c r="PH33" s="270"/>
      <c r="PI33" s="270"/>
      <c r="PJ33" s="270"/>
      <c r="PK33" s="270"/>
      <c r="PL33" s="270"/>
      <c r="PM33" s="270"/>
      <c r="PN33" s="270"/>
      <c r="PO33" s="270"/>
      <c r="PP33" s="270"/>
      <c r="PQ33" s="270"/>
      <c r="PR33" s="270"/>
      <c r="PS33" s="270"/>
      <c r="PT33" s="270"/>
      <c r="PU33" s="270"/>
      <c r="PV33" s="270"/>
      <c r="PW33" s="270"/>
      <c r="PX33" s="270"/>
      <c r="PY33" s="270"/>
      <c r="PZ33" s="270"/>
      <c r="QA33" s="270"/>
      <c r="QB33" s="270"/>
      <c r="QC33" s="270"/>
      <c r="QD33" s="270"/>
      <c r="QE33" s="270"/>
      <c r="QF33" s="270"/>
      <c r="QG33" s="270"/>
      <c r="QH33" s="270"/>
      <c r="QI33" s="270"/>
      <c r="QJ33" s="270"/>
      <c r="QK33" s="270"/>
      <c r="QL33" s="270"/>
      <c r="QM33" s="270"/>
      <c r="QN33" s="270"/>
      <c r="QO33" s="270"/>
      <c r="QP33" s="270"/>
      <c r="QQ33" s="270"/>
      <c r="QR33" s="270"/>
      <c r="QS33" s="270"/>
      <c r="QT33" s="270"/>
      <c r="QU33" s="270"/>
      <c r="QV33" s="270"/>
      <c r="QW33" s="270"/>
      <c r="QX33" s="270"/>
      <c r="QY33" s="270"/>
      <c r="QZ33" s="270"/>
      <c r="RA33" s="270"/>
      <c r="RB33" s="270"/>
      <c r="RC33" s="270"/>
      <c r="RD33" s="270"/>
      <c r="RE33" s="270"/>
      <c r="RF33" s="270"/>
      <c r="RG33" s="270"/>
      <c r="RH33" s="270"/>
      <c r="RI33" s="270"/>
      <c r="RJ33" s="270"/>
      <c r="RK33" s="270"/>
      <c r="RL33" s="270"/>
      <c r="RM33" s="270"/>
      <c r="RN33" s="270"/>
      <c r="RO33" s="270"/>
      <c r="RP33" s="270"/>
      <c r="RQ33" s="270"/>
      <c r="RR33" s="270"/>
      <c r="RS33" s="270"/>
      <c r="RT33" s="270"/>
      <c r="RU33" s="270"/>
      <c r="RV33" s="270"/>
      <c r="RW33" s="270"/>
      <c r="RX33" s="270"/>
      <c r="RY33" s="270"/>
      <c r="RZ33" s="270"/>
      <c r="SA33" s="270"/>
      <c r="SB33" s="270"/>
      <c r="SC33" s="270"/>
      <c r="SD33" s="270"/>
      <c r="SE33" s="270"/>
      <c r="SF33" s="270"/>
      <c r="SG33" s="270"/>
      <c r="SH33" s="270"/>
      <c r="SI33" s="270"/>
      <c r="SJ33" s="270"/>
      <c r="SK33" s="270"/>
      <c r="SL33" s="270"/>
      <c r="SM33" s="270"/>
      <c r="SN33" s="270"/>
      <c r="SO33" s="270"/>
      <c r="SP33" s="270"/>
      <c r="SQ33" s="270"/>
      <c r="SR33" s="270"/>
      <c r="SS33" s="270"/>
      <c r="ST33" s="270"/>
      <c r="SU33" s="270"/>
      <c r="SV33" s="270"/>
      <c r="SW33" s="270"/>
      <c r="SX33" s="270"/>
      <c r="SY33" s="270"/>
      <c r="SZ33" s="270"/>
      <c r="TA33" s="270"/>
      <c r="TB33" s="270"/>
      <c r="TC33" s="270"/>
      <c r="TD33" s="270"/>
      <c r="TE33" s="270"/>
      <c r="TF33" s="270"/>
      <c r="TG33" s="270"/>
      <c r="TH33" s="270"/>
      <c r="TI33" s="270"/>
      <c r="TJ33" s="270"/>
      <c r="TK33" s="270"/>
      <c r="TL33" s="270"/>
      <c r="TM33" s="270"/>
      <c r="TN33" s="270"/>
      <c r="TO33" s="270"/>
      <c r="TP33" s="270"/>
      <c r="TQ33" s="270"/>
      <c r="TR33" s="270"/>
      <c r="TS33" s="270"/>
      <c r="TT33" s="270"/>
      <c r="TU33" s="270"/>
      <c r="TV33" s="270"/>
      <c r="TW33" s="270"/>
      <c r="TX33" s="270"/>
      <c r="TY33" s="270"/>
      <c r="TZ33" s="270"/>
      <c r="UA33" s="270"/>
      <c r="UB33" s="270"/>
      <c r="UC33" s="270"/>
      <c r="UD33" s="270"/>
      <c r="UE33" s="270"/>
      <c r="UF33" s="270"/>
      <c r="UG33" s="270"/>
      <c r="UH33" s="270"/>
      <c r="UI33" s="270"/>
      <c r="UJ33" s="270"/>
      <c r="UK33" s="270"/>
      <c r="UL33" s="270"/>
      <c r="UM33" s="270"/>
      <c r="UN33" s="270"/>
      <c r="UO33" s="270"/>
      <c r="UP33" s="270"/>
      <c r="UQ33" s="270"/>
      <c r="UR33" s="270"/>
      <c r="US33" s="270"/>
      <c r="UT33" s="270"/>
      <c r="UU33" s="270"/>
      <c r="UV33" s="270"/>
      <c r="UW33" s="270"/>
      <c r="UX33" s="270"/>
      <c r="UY33" s="270"/>
      <c r="UZ33" s="270"/>
      <c r="VA33" s="270"/>
      <c r="VB33" s="270"/>
      <c r="VC33" s="270"/>
      <c r="VD33" s="270"/>
      <c r="VE33" s="270"/>
      <c r="VF33" s="270"/>
      <c r="VG33" s="270"/>
      <c r="VH33" s="270"/>
      <c r="VI33" s="270"/>
      <c r="VJ33" s="270"/>
      <c r="VK33" s="270"/>
      <c r="VL33" s="270"/>
      <c r="VM33" s="270"/>
      <c r="VN33" s="270"/>
      <c r="VO33" s="270"/>
      <c r="VP33" s="270"/>
      <c r="VQ33" s="270"/>
      <c r="VR33" s="270"/>
      <c r="VS33" s="270"/>
      <c r="VT33" s="270"/>
      <c r="VU33" s="270"/>
      <c r="VV33" s="270"/>
      <c r="VW33" s="270"/>
      <c r="VX33" s="270"/>
      <c r="VY33" s="270"/>
      <c r="VZ33" s="270"/>
      <c r="WA33" s="270"/>
      <c r="WB33" s="270"/>
      <c r="WC33" s="270"/>
      <c r="WD33" s="270"/>
      <c r="WE33" s="270"/>
      <c r="WF33" s="270"/>
      <c r="WG33" s="270"/>
      <c r="WH33" s="270"/>
      <c r="WI33" s="270"/>
      <c r="WJ33" s="270"/>
      <c r="WK33" s="270"/>
      <c r="WL33" s="270"/>
      <c r="WM33" s="270"/>
      <c r="WN33" s="270"/>
      <c r="WO33" s="270"/>
      <c r="WP33" s="270"/>
      <c r="WQ33" s="270"/>
      <c r="WR33" s="270"/>
      <c r="WS33" s="270"/>
      <c r="WT33" s="270"/>
      <c r="WU33" s="270"/>
      <c r="WV33" s="270"/>
      <c r="WW33" s="270"/>
      <c r="WX33" s="270"/>
      <c r="WY33" s="270"/>
      <c r="WZ33" s="270"/>
      <c r="XA33" s="270"/>
      <c r="XB33" s="270"/>
      <c r="XC33" s="270"/>
      <c r="XD33" s="270"/>
      <c r="XE33" s="270"/>
      <c r="XF33" s="270"/>
      <c r="XG33" s="270"/>
      <c r="XH33" s="270"/>
      <c r="XI33" s="270"/>
      <c r="XJ33" s="270"/>
      <c r="XK33" s="270"/>
      <c r="XL33" s="270"/>
      <c r="XM33" s="270"/>
      <c r="XN33" s="270"/>
      <c r="XO33" s="270"/>
      <c r="XP33" s="270"/>
      <c r="XQ33" s="270"/>
      <c r="XR33" s="270"/>
      <c r="XS33" s="270"/>
      <c r="XT33" s="270"/>
      <c r="XU33" s="270"/>
      <c r="XV33" s="270"/>
      <c r="XW33" s="270"/>
      <c r="XX33" s="270"/>
      <c r="XY33" s="270"/>
      <c r="XZ33" s="270"/>
      <c r="YA33" s="270"/>
      <c r="YB33" s="270"/>
      <c r="YC33" s="270"/>
      <c r="YD33" s="270"/>
      <c r="YE33" s="270"/>
      <c r="YF33" s="270"/>
      <c r="YG33" s="270"/>
      <c r="YH33" s="270"/>
      <c r="YI33" s="270"/>
      <c r="YJ33" s="270"/>
      <c r="YK33" s="270"/>
      <c r="YL33" s="270"/>
      <c r="YM33" s="270"/>
      <c r="YN33" s="270"/>
      <c r="YO33" s="270"/>
      <c r="YP33" s="270"/>
      <c r="YQ33" s="270"/>
      <c r="YR33" s="270"/>
      <c r="YS33" s="270"/>
      <c r="YT33" s="270"/>
      <c r="YU33" s="270"/>
      <c r="YV33" s="270"/>
      <c r="YW33" s="270"/>
      <c r="YX33" s="270"/>
      <c r="YY33" s="270"/>
      <c r="YZ33" s="270"/>
      <c r="ZA33" s="270"/>
      <c r="ZB33" s="270"/>
      <c r="ZC33" s="270"/>
      <c r="ZD33" s="270"/>
      <c r="ZE33" s="270"/>
    </row>
    <row r="34">
      <c r="A34" s="156" t="s">
        <v>627</v>
      </c>
      <c r="B34" s="283"/>
      <c r="C34" s="16"/>
      <c r="D34" s="16"/>
      <c r="E34" s="16"/>
      <c r="F34" s="16"/>
      <c r="G34" s="16"/>
      <c r="H34" s="25"/>
      <c r="I34" s="283"/>
      <c r="J34" s="16"/>
      <c r="K34" s="16"/>
      <c r="L34" s="16"/>
      <c r="M34" s="16"/>
      <c r="N34" s="16"/>
      <c r="O34" s="25"/>
      <c r="P34" s="283"/>
      <c r="Q34" s="16"/>
      <c r="R34" s="16"/>
      <c r="S34" s="16"/>
      <c r="T34" s="16"/>
      <c r="U34" s="16"/>
      <c r="V34" s="25"/>
      <c r="W34" s="283"/>
      <c r="X34" s="16"/>
      <c r="Y34" s="16"/>
      <c r="Z34" s="16"/>
      <c r="AA34" s="16"/>
      <c r="AB34" s="16"/>
      <c r="AC34" s="25"/>
      <c r="AD34" s="283"/>
      <c r="AE34" s="16"/>
      <c r="AF34" s="16"/>
      <c r="AG34" s="16"/>
      <c r="AH34" s="16"/>
      <c r="AI34" s="16"/>
      <c r="AJ34" s="25"/>
      <c r="AK34" s="283"/>
      <c r="AL34" s="16"/>
      <c r="AM34" s="16"/>
      <c r="AN34" s="16"/>
      <c r="AO34" s="16"/>
      <c r="AP34" s="16"/>
      <c r="AQ34" s="25"/>
      <c r="AR34" s="283"/>
      <c r="AS34" s="16"/>
      <c r="AT34" s="16"/>
      <c r="AU34" s="16"/>
      <c r="AV34" s="16"/>
      <c r="AW34" s="16"/>
      <c r="AX34" s="25"/>
      <c r="AY34" s="283"/>
      <c r="AZ34" s="16"/>
      <c r="BA34" s="16"/>
      <c r="BB34" s="16"/>
      <c r="BC34" s="16"/>
      <c r="BD34" s="16"/>
      <c r="BE34" s="25"/>
      <c r="BF34" s="283"/>
      <c r="BG34" s="16"/>
      <c r="BH34" s="16"/>
      <c r="BI34" s="16"/>
      <c r="BJ34" s="16"/>
      <c r="BK34" s="16"/>
      <c r="BL34" s="25"/>
      <c r="BM34" s="283"/>
      <c r="BN34" s="16"/>
      <c r="BO34" s="16"/>
      <c r="BP34" s="16"/>
      <c r="BQ34" s="16"/>
      <c r="BR34" s="16"/>
      <c r="BS34" s="25"/>
      <c r="BT34" s="283"/>
      <c r="BU34" s="16"/>
      <c r="BV34" s="16"/>
      <c r="BW34" s="16"/>
      <c r="BX34" s="16"/>
      <c r="BY34" s="16"/>
      <c r="BZ34" s="25"/>
      <c r="CA34" s="283"/>
      <c r="CB34" s="16"/>
      <c r="CC34" s="16"/>
      <c r="CD34" s="16"/>
      <c r="CE34" s="16"/>
      <c r="CF34" s="16"/>
      <c r="CG34" s="25"/>
      <c r="CH34" s="283"/>
      <c r="CI34" s="16"/>
      <c r="CJ34" s="16"/>
      <c r="CK34" s="16"/>
      <c r="CL34" s="16"/>
      <c r="CM34" s="16"/>
      <c r="CN34" s="25"/>
      <c r="CO34" s="283"/>
      <c r="CP34" s="16"/>
      <c r="CQ34" s="16"/>
      <c r="CR34" s="16"/>
      <c r="CS34" s="16"/>
      <c r="CT34" s="16"/>
      <c r="CU34" s="25"/>
      <c r="CV34" s="283"/>
      <c r="CW34" s="16"/>
      <c r="CX34" s="16"/>
      <c r="CY34" s="16"/>
      <c r="CZ34" s="16"/>
      <c r="DA34" s="16"/>
      <c r="DB34" s="25"/>
      <c r="DC34" s="153"/>
      <c r="DD34" s="16"/>
      <c r="DE34" s="16"/>
      <c r="DF34" s="16"/>
      <c r="DG34" s="16"/>
      <c r="DH34" s="16"/>
      <c r="DI34" s="25"/>
      <c r="DJ34" s="283"/>
      <c r="DK34" s="16"/>
      <c r="DL34" s="16"/>
      <c r="DM34" s="16"/>
      <c r="DN34" s="16"/>
      <c r="DO34" s="16"/>
      <c r="DP34" s="25"/>
      <c r="DQ34" s="153" t="s">
        <v>1911</v>
      </c>
      <c r="DR34" s="16"/>
      <c r="DS34" s="16"/>
      <c r="DT34" s="16"/>
      <c r="DU34" s="16"/>
      <c r="DV34" s="16"/>
      <c r="DW34" s="25"/>
      <c r="DX34" s="153"/>
      <c r="DY34" s="16"/>
      <c r="DZ34" s="16"/>
      <c r="EA34" s="16"/>
      <c r="EB34" s="16"/>
      <c r="EC34" s="16"/>
      <c r="ED34" s="25"/>
      <c r="EE34" s="283"/>
      <c r="EF34" s="16"/>
      <c r="EG34" s="16"/>
      <c r="EH34" s="16"/>
      <c r="EI34" s="16"/>
      <c r="EJ34" s="16"/>
      <c r="EK34" s="25"/>
      <c r="EL34" s="153"/>
      <c r="EM34" s="16"/>
      <c r="EN34" s="16"/>
      <c r="EO34" s="16"/>
      <c r="EP34" s="16"/>
      <c r="EQ34" s="16"/>
      <c r="ER34" s="25"/>
      <c r="ES34" s="283"/>
      <c r="ET34" s="16"/>
      <c r="EU34" s="16"/>
      <c r="EV34" s="16"/>
      <c r="EW34" s="16"/>
      <c r="EX34" s="16"/>
      <c r="EY34" s="25"/>
      <c r="EZ34" s="283"/>
      <c r="FA34" s="16"/>
      <c r="FB34" s="16"/>
      <c r="FC34" s="16"/>
      <c r="FD34" s="16"/>
      <c r="FE34" s="16"/>
      <c r="FF34" s="25"/>
      <c r="FG34" s="283"/>
      <c r="FH34" s="16"/>
      <c r="FI34" s="16"/>
      <c r="FJ34" s="16"/>
      <c r="FK34" s="16"/>
      <c r="FL34" s="16"/>
      <c r="FM34" s="25"/>
      <c r="FN34" s="283"/>
      <c r="FO34" s="16"/>
      <c r="FP34" s="16"/>
      <c r="FQ34" s="16"/>
      <c r="FR34" s="16"/>
      <c r="FS34" s="16"/>
      <c r="FT34" s="25"/>
      <c r="FU34" s="283"/>
      <c r="FV34" s="16"/>
      <c r="FW34" s="16"/>
      <c r="FX34" s="16"/>
      <c r="FY34" s="16"/>
      <c r="FZ34" s="16"/>
      <c r="GA34" s="25"/>
      <c r="GB34" s="283"/>
      <c r="GC34" s="16"/>
      <c r="GD34" s="16"/>
      <c r="GE34" s="16"/>
      <c r="GF34" s="16"/>
      <c r="GG34" s="16"/>
      <c r="GH34" s="25"/>
      <c r="GI34" s="283"/>
      <c r="GJ34" s="16"/>
      <c r="GK34" s="16"/>
      <c r="GL34" s="16"/>
      <c r="GM34" s="16"/>
      <c r="GN34" s="16"/>
      <c r="GO34" s="25"/>
      <c r="GP34" s="283"/>
      <c r="GQ34" s="16"/>
      <c r="GR34" s="16"/>
      <c r="GS34" s="16"/>
      <c r="GT34" s="16"/>
      <c r="GU34" s="16"/>
      <c r="GV34" s="25"/>
      <c r="GW34" s="283"/>
      <c r="GX34" s="16"/>
      <c r="GY34" s="16"/>
      <c r="GZ34" s="16"/>
      <c r="HA34" s="16"/>
      <c r="HB34" s="16"/>
      <c r="HC34" s="25"/>
      <c r="HD34" s="283"/>
      <c r="HE34" s="16"/>
      <c r="HF34" s="16"/>
      <c r="HG34" s="16"/>
      <c r="HH34" s="16"/>
      <c r="HI34" s="16"/>
      <c r="HJ34" s="25"/>
      <c r="HK34" s="283"/>
      <c r="HL34" s="16"/>
      <c r="HM34" s="16"/>
      <c r="HN34" s="16"/>
      <c r="HO34" s="16"/>
      <c r="HP34" s="16"/>
      <c r="HQ34" s="25"/>
      <c r="HR34" s="283"/>
      <c r="HS34" s="16"/>
      <c r="HT34" s="16"/>
      <c r="HU34" s="16"/>
      <c r="HV34" s="16"/>
      <c r="HW34" s="16"/>
      <c r="HX34" s="25"/>
      <c r="HY34" s="283"/>
      <c r="HZ34" s="16"/>
      <c r="IA34" s="16"/>
      <c r="IB34" s="16"/>
      <c r="IC34" s="16"/>
      <c r="ID34" s="16"/>
      <c r="IE34" s="25"/>
      <c r="IF34" s="283"/>
      <c r="IG34" s="16"/>
      <c r="IH34" s="16"/>
      <c r="II34" s="16"/>
      <c r="IJ34" s="16"/>
      <c r="IK34" s="16"/>
      <c r="IL34" s="25"/>
      <c r="IM34" s="283"/>
      <c r="IN34" s="16"/>
      <c r="IO34" s="16"/>
      <c r="IP34" s="16"/>
      <c r="IQ34" s="16"/>
      <c r="IR34" s="16"/>
      <c r="IS34" s="25"/>
      <c r="IT34" s="283"/>
      <c r="IU34" s="16"/>
      <c r="IV34" s="16"/>
      <c r="IW34" s="16"/>
      <c r="IX34" s="16"/>
      <c r="IY34" s="16"/>
      <c r="IZ34" s="25"/>
      <c r="JA34" s="283"/>
      <c r="JB34" s="16"/>
      <c r="JC34" s="16"/>
      <c r="JD34" s="16"/>
      <c r="JE34" s="16"/>
      <c r="JF34" s="16"/>
      <c r="JG34" s="25"/>
      <c r="JH34" s="283"/>
      <c r="JI34" s="16"/>
      <c r="JJ34" s="16"/>
      <c r="JK34" s="16"/>
      <c r="JL34" s="16"/>
      <c r="JM34" s="16"/>
      <c r="JN34" s="25"/>
      <c r="JO34" s="401"/>
      <c r="JP34" s="16"/>
      <c r="JQ34" s="16"/>
      <c r="JR34" s="16"/>
      <c r="JS34" s="16"/>
      <c r="JT34" s="16"/>
      <c r="JU34" s="25"/>
      <c r="JV34" s="283"/>
      <c r="JW34" s="16"/>
      <c r="JX34" s="16"/>
      <c r="JY34" s="16"/>
      <c r="JZ34" s="16"/>
      <c r="KA34" s="16"/>
      <c r="KB34" s="25"/>
      <c r="KC34" s="283"/>
      <c r="KD34" s="16"/>
      <c r="KE34" s="16"/>
      <c r="KF34" s="16"/>
      <c r="KG34" s="16"/>
      <c r="KH34" s="16"/>
      <c r="KI34" s="25"/>
      <c r="KJ34" s="283"/>
      <c r="KK34" s="16"/>
      <c r="KL34" s="16"/>
      <c r="KM34" s="16"/>
      <c r="KN34" s="16"/>
      <c r="KO34" s="16"/>
      <c r="KP34" s="25"/>
      <c r="KQ34" s="283"/>
      <c r="KR34" s="16"/>
      <c r="KS34" s="16"/>
      <c r="KT34" s="16"/>
      <c r="KU34" s="16"/>
      <c r="KV34" s="16"/>
      <c r="KW34" s="25"/>
      <c r="KX34" s="283"/>
      <c r="KY34" s="16"/>
      <c r="KZ34" s="16"/>
      <c r="LA34" s="16"/>
      <c r="LB34" s="16"/>
      <c r="LC34" s="16"/>
      <c r="LD34" s="25"/>
      <c r="LE34" s="283"/>
      <c r="LF34" s="16"/>
      <c r="LG34" s="16"/>
      <c r="LH34" s="16"/>
      <c r="LI34" s="16"/>
      <c r="LJ34" s="16"/>
      <c r="LK34" s="25"/>
      <c r="LL34" s="283"/>
      <c r="LM34" s="16"/>
      <c r="LN34" s="16"/>
      <c r="LO34" s="16"/>
      <c r="LP34" s="16"/>
      <c r="LQ34" s="16"/>
      <c r="LR34" s="25"/>
      <c r="LS34" s="283"/>
      <c r="LT34" s="16"/>
      <c r="LU34" s="16"/>
      <c r="LV34" s="16"/>
      <c r="LW34" s="16"/>
      <c r="LX34" s="16"/>
      <c r="LY34" s="25"/>
      <c r="LZ34" s="283"/>
      <c r="MA34" s="16"/>
      <c r="MB34" s="16"/>
      <c r="MC34" s="16"/>
      <c r="MD34" s="16"/>
      <c r="ME34" s="16"/>
      <c r="MF34" s="25"/>
      <c r="MG34" s="283"/>
      <c r="MH34" s="16"/>
      <c r="MI34" s="16"/>
      <c r="MJ34" s="16"/>
      <c r="MK34" s="16"/>
      <c r="ML34" s="16"/>
      <c r="MM34" s="25"/>
      <c r="MN34" s="283"/>
      <c r="MO34" s="16"/>
      <c r="MP34" s="16"/>
      <c r="MQ34" s="16"/>
      <c r="MR34" s="16"/>
      <c r="MS34" s="16"/>
      <c r="MT34" s="25"/>
      <c r="MU34" s="283"/>
      <c r="MV34" s="16"/>
      <c r="MW34" s="16"/>
      <c r="MX34" s="16"/>
      <c r="MY34" s="16"/>
      <c r="MZ34" s="16"/>
      <c r="NA34" s="25"/>
      <c r="NB34" s="402"/>
      <c r="NC34" s="270"/>
      <c r="ND34" s="270"/>
      <c r="NE34" s="270"/>
      <c r="NF34" s="270"/>
      <c r="NG34" s="270"/>
      <c r="NH34" s="270"/>
      <c r="NI34" s="270"/>
      <c r="NJ34" s="270"/>
      <c r="NK34" s="270"/>
      <c r="NL34" s="270"/>
      <c r="NM34" s="270"/>
      <c r="NN34" s="270"/>
      <c r="NO34" s="270"/>
      <c r="NP34" s="270"/>
      <c r="NQ34" s="270"/>
      <c r="NR34" s="270"/>
      <c r="NS34" s="270"/>
      <c r="NT34" s="270"/>
      <c r="NU34" s="270"/>
      <c r="NV34" s="270"/>
      <c r="NW34" s="270"/>
      <c r="NX34" s="270"/>
      <c r="NY34" s="270"/>
      <c r="NZ34" s="270"/>
      <c r="OA34" s="270"/>
      <c r="OB34" s="270"/>
      <c r="OC34" s="270"/>
      <c r="OD34" s="270"/>
      <c r="OE34" s="270"/>
      <c r="OF34" s="270"/>
      <c r="OG34" s="270"/>
      <c r="OH34" s="270"/>
      <c r="OI34" s="270"/>
      <c r="OJ34" s="270"/>
      <c r="OK34" s="270"/>
      <c r="OL34" s="270"/>
      <c r="OM34" s="270"/>
      <c r="ON34" s="270"/>
      <c r="OO34" s="270"/>
      <c r="OP34" s="270"/>
      <c r="OQ34" s="270"/>
      <c r="OR34" s="270"/>
      <c r="OS34" s="270"/>
      <c r="OT34" s="270"/>
      <c r="OU34" s="270"/>
      <c r="OV34" s="270"/>
      <c r="OW34" s="270"/>
      <c r="OX34" s="270"/>
      <c r="OY34" s="270"/>
      <c r="OZ34" s="270"/>
      <c r="PA34" s="270"/>
      <c r="PB34" s="270"/>
      <c r="PC34" s="270"/>
      <c r="PD34" s="270"/>
      <c r="PE34" s="270"/>
      <c r="PF34" s="270"/>
      <c r="PG34" s="270"/>
      <c r="PH34" s="270"/>
      <c r="PI34" s="270"/>
      <c r="PJ34" s="270"/>
      <c r="PK34" s="270"/>
      <c r="PL34" s="270"/>
      <c r="PM34" s="270"/>
      <c r="PN34" s="270"/>
      <c r="PO34" s="270"/>
      <c r="PP34" s="270"/>
      <c r="PQ34" s="270"/>
      <c r="PR34" s="270"/>
      <c r="PS34" s="270"/>
      <c r="PT34" s="270"/>
      <c r="PU34" s="270"/>
      <c r="PV34" s="270"/>
      <c r="PW34" s="270"/>
      <c r="PX34" s="270"/>
      <c r="PY34" s="270"/>
      <c r="PZ34" s="270"/>
      <c r="QA34" s="270"/>
      <c r="QB34" s="270"/>
      <c r="QC34" s="270"/>
      <c r="QD34" s="270"/>
      <c r="QE34" s="270"/>
      <c r="QF34" s="270"/>
      <c r="QG34" s="270"/>
      <c r="QH34" s="270"/>
      <c r="QI34" s="270"/>
      <c r="QJ34" s="270"/>
      <c r="QK34" s="270"/>
      <c r="QL34" s="270"/>
      <c r="QM34" s="270"/>
      <c r="QN34" s="270"/>
      <c r="QO34" s="270"/>
      <c r="QP34" s="270"/>
      <c r="QQ34" s="270"/>
      <c r="QR34" s="270"/>
      <c r="QS34" s="270"/>
      <c r="QT34" s="270"/>
      <c r="QU34" s="270"/>
      <c r="QV34" s="270"/>
      <c r="QW34" s="270"/>
      <c r="QX34" s="270"/>
      <c r="QY34" s="270"/>
      <c r="QZ34" s="270"/>
      <c r="RA34" s="270"/>
      <c r="RB34" s="270"/>
      <c r="RC34" s="270"/>
      <c r="RD34" s="270"/>
      <c r="RE34" s="270"/>
      <c r="RF34" s="270"/>
      <c r="RG34" s="270"/>
      <c r="RH34" s="270"/>
      <c r="RI34" s="270"/>
      <c r="RJ34" s="270"/>
      <c r="RK34" s="270"/>
      <c r="RL34" s="270"/>
      <c r="RM34" s="270"/>
      <c r="RN34" s="270"/>
      <c r="RO34" s="270"/>
      <c r="RP34" s="270"/>
      <c r="RQ34" s="270"/>
      <c r="RR34" s="270"/>
      <c r="RS34" s="270"/>
      <c r="RT34" s="270"/>
      <c r="RU34" s="270"/>
      <c r="RV34" s="270"/>
      <c r="RW34" s="270"/>
      <c r="RX34" s="270"/>
      <c r="RY34" s="270"/>
      <c r="RZ34" s="270"/>
      <c r="SA34" s="270"/>
      <c r="SB34" s="270"/>
      <c r="SC34" s="270"/>
      <c r="SD34" s="270"/>
      <c r="SE34" s="270"/>
      <c r="SF34" s="270"/>
      <c r="SG34" s="270"/>
      <c r="SH34" s="270"/>
      <c r="SI34" s="270"/>
      <c r="SJ34" s="270"/>
      <c r="SK34" s="270"/>
      <c r="SL34" s="270"/>
      <c r="SM34" s="270"/>
      <c r="SN34" s="270"/>
      <c r="SO34" s="270"/>
      <c r="SP34" s="270"/>
      <c r="SQ34" s="270"/>
      <c r="SR34" s="270"/>
      <c r="SS34" s="270"/>
      <c r="ST34" s="270"/>
      <c r="SU34" s="270"/>
      <c r="SV34" s="270"/>
      <c r="SW34" s="270"/>
      <c r="SX34" s="270"/>
      <c r="SY34" s="270"/>
      <c r="SZ34" s="270"/>
      <c r="TA34" s="270"/>
      <c r="TB34" s="270"/>
      <c r="TC34" s="270"/>
      <c r="TD34" s="270"/>
      <c r="TE34" s="270"/>
      <c r="TF34" s="270"/>
      <c r="TG34" s="270"/>
      <c r="TH34" s="270"/>
      <c r="TI34" s="270"/>
      <c r="TJ34" s="270"/>
      <c r="TK34" s="270"/>
      <c r="TL34" s="270"/>
      <c r="TM34" s="270"/>
      <c r="TN34" s="270"/>
      <c r="TO34" s="270"/>
      <c r="TP34" s="270"/>
      <c r="TQ34" s="270"/>
      <c r="TR34" s="270"/>
      <c r="TS34" s="270"/>
      <c r="TT34" s="270"/>
      <c r="TU34" s="270"/>
      <c r="TV34" s="270"/>
      <c r="TW34" s="270"/>
      <c r="TX34" s="270"/>
      <c r="TY34" s="270"/>
      <c r="TZ34" s="270"/>
      <c r="UA34" s="270"/>
      <c r="UB34" s="270"/>
      <c r="UC34" s="270"/>
      <c r="UD34" s="270"/>
      <c r="UE34" s="270"/>
      <c r="UF34" s="270"/>
      <c r="UG34" s="270"/>
      <c r="UH34" s="270"/>
      <c r="UI34" s="270"/>
      <c r="UJ34" s="270"/>
      <c r="UK34" s="270"/>
      <c r="UL34" s="270"/>
      <c r="UM34" s="270"/>
      <c r="UN34" s="270"/>
      <c r="UO34" s="270"/>
      <c r="UP34" s="270"/>
      <c r="UQ34" s="270"/>
      <c r="UR34" s="270"/>
      <c r="US34" s="270"/>
      <c r="UT34" s="270"/>
      <c r="UU34" s="270"/>
      <c r="UV34" s="270"/>
      <c r="UW34" s="270"/>
      <c r="UX34" s="270"/>
      <c r="UY34" s="270"/>
      <c r="UZ34" s="270"/>
      <c r="VA34" s="270"/>
      <c r="VB34" s="270"/>
      <c r="VC34" s="270"/>
      <c r="VD34" s="270"/>
      <c r="VE34" s="270"/>
      <c r="VF34" s="270"/>
      <c r="VG34" s="270"/>
      <c r="VH34" s="270"/>
      <c r="VI34" s="270"/>
      <c r="VJ34" s="270"/>
      <c r="VK34" s="270"/>
      <c r="VL34" s="270"/>
      <c r="VM34" s="270"/>
      <c r="VN34" s="270"/>
      <c r="VO34" s="270"/>
      <c r="VP34" s="270"/>
      <c r="VQ34" s="270"/>
      <c r="VR34" s="270"/>
      <c r="VS34" s="270"/>
      <c r="VT34" s="270"/>
      <c r="VU34" s="270"/>
      <c r="VV34" s="270"/>
      <c r="VW34" s="270"/>
      <c r="VX34" s="270"/>
      <c r="VY34" s="270"/>
      <c r="VZ34" s="270"/>
      <c r="WA34" s="270"/>
      <c r="WB34" s="270"/>
      <c r="WC34" s="270"/>
      <c r="WD34" s="270"/>
      <c r="WE34" s="270"/>
      <c r="WF34" s="270"/>
      <c r="WG34" s="270"/>
      <c r="WH34" s="270"/>
      <c r="WI34" s="270"/>
      <c r="WJ34" s="270"/>
      <c r="WK34" s="270"/>
      <c r="WL34" s="270"/>
      <c r="WM34" s="270"/>
      <c r="WN34" s="270"/>
      <c r="WO34" s="270"/>
      <c r="WP34" s="270"/>
      <c r="WQ34" s="270"/>
      <c r="WR34" s="270"/>
      <c r="WS34" s="270"/>
      <c r="WT34" s="270"/>
      <c r="WU34" s="270"/>
      <c r="WV34" s="270"/>
      <c r="WW34" s="270"/>
      <c r="WX34" s="270"/>
      <c r="WY34" s="270"/>
      <c r="WZ34" s="270"/>
      <c r="XA34" s="270"/>
      <c r="XB34" s="270"/>
      <c r="XC34" s="270"/>
      <c r="XD34" s="270"/>
      <c r="XE34" s="270"/>
      <c r="XF34" s="270"/>
      <c r="XG34" s="270"/>
      <c r="XH34" s="270"/>
      <c r="XI34" s="270"/>
      <c r="XJ34" s="270"/>
      <c r="XK34" s="270"/>
      <c r="XL34" s="270"/>
      <c r="XM34" s="270"/>
      <c r="XN34" s="270"/>
      <c r="XO34" s="270"/>
      <c r="XP34" s="270"/>
      <c r="XQ34" s="270"/>
      <c r="XR34" s="270"/>
      <c r="XS34" s="270"/>
      <c r="XT34" s="270"/>
      <c r="XU34" s="270"/>
      <c r="XV34" s="270"/>
      <c r="XW34" s="270"/>
      <c r="XX34" s="270"/>
      <c r="XY34" s="270"/>
      <c r="XZ34" s="270"/>
      <c r="YA34" s="270"/>
      <c r="YB34" s="270"/>
      <c r="YC34" s="270"/>
      <c r="YD34" s="270"/>
      <c r="YE34" s="270"/>
      <c r="YF34" s="270"/>
      <c r="YG34" s="270"/>
      <c r="YH34" s="270"/>
      <c r="YI34" s="270"/>
      <c r="YJ34" s="270"/>
      <c r="YK34" s="270"/>
      <c r="YL34" s="270"/>
      <c r="YM34" s="270"/>
      <c r="YN34" s="270"/>
      <c r="YO34" s="270"/>
      <c r="YP34" s="270"/>
      <c r="YQ34" s="270"/>
      <c r="YR34" s="270"/>
      <c r="YS34" s="270"/>
      <c r="YT34" s="270"/>
      <c r="YU34" s="270"/>
      <c r="YV34" s="270"/>
      <c r="YW34" s="270"/>
      <c r="YX34" s="270"/>
      <c r="YY34" s="270"/>
      <c r="YZ34" s="270"/>
      <c r="ZA34" s="270"/>
      <c r="ZB34" s="270"/>
      <c r="ZC34" s="270"/>
      <c r="ZD34" s="270"/>
      <c r="ZE34" s="270"/>
    </row>
    <row r="35">
      <c r="A35" s="156" t="s">
        <v>642</v>
      </c>
      <c r="B35" s="153"/>
      <c r="C35" s="16"/>
      <c r="D35" s="16"/>
      <c r="E35" s="16"/>
      <c r="F35" s="16"/>
      <c r="G35" s="16"/>
      <c r="H35" s="25"/>
      <c r="I35" s="153"/>
      <c r="J35" s="16"/>
      <c r="K35" s="16"/>
      <c r="L35" s="16"/>
      <c r="M35" s="16"/>
      <c r="N35" s="16"/>
      <c r="O35" s="25"/>
      <c r="P35" s="153"/>
      <c r="Q35" s="16"/>
      <c r="R35" s="16"/>
      <c r="S35" s="16"/>
      <c r="T35" s="16"/>
      <c r="U35" s="16"/>
      <c r="V35" s="25"/>
      <c r="W35" s="153"/>
      <c r="X35" s="16"/>
      <c r="Y35" s="16"/>
      <c r="Z35" s="16"/>
      <c r="AA35" s="16"/>
      <c r="AB35" s="16"/>
      <c r="AC35" s="25"/>
      <c r="AD35" s="283"/>
      <c r="AE35" s="16"/>
      <c r="AF35" s="16"/>
      <c r="AG35" s="16"/>
      <c r="AH35" s="16"/>
      <c r="AI35" s="16"/>
      <c r="AJ35" s="25"/>
      <c r="AK35" s="153"/>
      <c r="AL35" s="16"/>
      <c r="AM35" s="16"/>
      <c r="AN35" s="16"/>
      <c r="AO35" s="16"/>
      <c r="AP35" s="16"/>
      <c r="AQ35" s="25"/>
      <c r="AR35" s="283"/>
      <c r="AS35" s="16"/>
      <c r="AT35" s="16"/>
      <c r="AU35" s="16"/>
      <c r="AV35" s="16"/>
      <c r="AW35" s="16"/>
      <c r="AX35" s="25"/>
      <c r="AY35" s="283"/>
      <c r="AZ35" s="16"/>
      <c r="BA35" s="16"/>
      <c r="BB35" s="16"/>
      <c r="BC35" s="16"/>
      <c r="BD35" s="16"/>
      <c r="BE35" s="25"/>
      <c r="BF35" s="283"/>
      <c r="BG35" s="16"/>
      <c r="BH35" s="16"/>
      <c r="BI35" s="16"/>
      <c r="BJ35" s="16"/>
      <c r="BK35" s="16"/>
      <c r="BL35" s="25"/>
      <c r="BM35" s="283"/>
      <c r="BN35" s="16"/>
      <c r="BO35" s="16"/>
      <c r="BP35" s="16"/>
      <c r="BQ35" s="16"/>
      <c r="BR35" s="16"/>
      <c r="BS35" s="25"/>
      <c r="BT35" s="283"/>
      <c r="BU35" s="16"/>
      <c r="BV35" s="16"/>
      <c r="BW35" s="16"/>
      <c r="BX35" s="16"/>
      <c r="BY35" s="16"/>
      <c r="BZ35" s="25"/>
      <c r="CA35" s="283"/>
      <c r="CB35" s="16"/>
      <c r="CC35" s="16"/>
      <c r="CD35" s="16"/>
      <c r="CE35" s="16"/>
      <c r="CF35" s="16"/>
      <c r="CG35" s="25"/>
      <c r="CH35" s="283"/>
      <c r="CI35" s="16"/>
      <c r="CJ35" s="16"/>
      <c r="CK35" s="16"/>
      <c r="CL35" s="16"/>
      <c r="CM35" s="16"/>
      <c r="CN35" s="25"/>
      <c r="CO35" s="283"/>
      <c r="CP35" s="16"/>
      <c r="CQ35" s="16"/>
      <c r="CR35" s="16"/>
      <c r="CS35" s="16"/>
      <c r="CT35" s="16"/>
      <c r="CU35" s="25"/>
      <c r="CV35" s="153"/>
      <c r="CW35" s="16"/>
      <c r="CX35" s="16"/>
      <c r="CY35" s="16"/>
      <c r="CZ35" s="16"/>
      <c r="DA35" s="16"/>
      <c r="DB35" s="25"/>
      <c r="DC35" s="153"/>
      <c r="DD35" s="16"/>
      <c r="DE35" s="16"/>
      <c r="DF35" s="16"/>
      <c r="DG35" s="16"/>
      <c r="DH35" s="16"/>
      <c r="DI35" s="25"/>
      <c r="DJ35" s="153" t="s">
        <v>1910</v>
      </c>
      <c r="DK35" s="16"/>
      <c r="DL35" s="16"/>
      <c r="DM35" s="16"/>
      <c r="DN35" s="16"/>
      <c r="DO35" s="16"/>
      <c r="DP35" s="25"/>
      <c r="DQ35" s="153"/>
      <c r="DR35" s="16"/>
      <c r="DS35" s="16"/>
      <c r="DT35" s="16"/>
      <c r="DU35" s="16"/>
      <c r="DV35" s="16"/>
      <c r="DW35" s="25"/>
      <c r="DX35" s="153"/>
      <c r="DY35" s="16"/>
      <c r="DZ35" s="16"/>
      <c r="EA35" s="16"/>
      <c r="EB35" s="16"/>
      <c r="EC35" s="16"/>
      <c r="ED35" s="25"/>
      <c r="EE35" s="153"/>
      <c r="EF35" s="16"/>
      <c r="EG35" s="16"/>
      <c r="EH35" s="16"/>
      <c r="EI35" s="16"/>
      <c r="EJ35" s="16"/>
      <c r="EK35" s="25"/>
      <c r="EL35" s="153"/>
      <c r="EM35" s="16"/>
      <c r="EN35" s="16"/>
      <c r="EO35" s="16"/>
      <c r="EP35" s="16"/>
      <c r="EQ35" s="16"/>
      <c r="ER35" s="25"/>
      <c r="ES35" s="153"/>
      <c r="ET35" s="16"/>
      <c r="EU35" s="16"/>
      <c r="EV35" s="16"/>
      <c r="EW35" s="16"/>
      <c r="EX35" s="16"/>
      <c r="EY35" s="25"/>
      <c r="EZ35" s="153"/>
      <c r="FA35" s="16"/>
      <c r="FB35" s="16"/>
      <c r="FC35" s="16"/>
      <c r="FD35" s="16"/>
      <c r="FE35" s="16"/>
      <c r="FF35" s="25"/>
      <c r="FG35" s="153"/>
      <c r="FH35" s="16"/>
      <c r="FI35" s="16"/>
      <c r="FJ35" s="16"/>
      <c r="FK35" s="16"/>
      <c r="FL35" s="16"/>
      <c r="FM35" s="25"/>
      <c r="FN35" s="153"/>
      <c r="FO35" s="16"/>
      <c r="FP35" s="16"/>
      <c r="FQ35" s="16"/>
      <c r="FR35" s="16"/>
      <c r="FS35" s="16"/>
      <c r="FT35" s="25"/>
      <c r="FU35" s="153"/>
      <c r="FV35" s="16"/>
      <c r="FW35" s="16"/>
      <c r="FX35" s="16"/>
      <c r="FY35" s="16"/>
      <c r="FZ35" s="16"/>
      <c r="GA35" s="25"/>
      <c r="GB35" s="283"/>
      <c r="GC35" s="16"/>
      <c r="GD35" s="16"/>
      <c r="GE35" s="16"/>
      <c r="GF35" s="16"/>
      <c r="GG35" s="16"/>
      <c r="GH35" s="25"/>
      <c r="GI35" s="283"/>
      <c r="GJ35" s="16"/>
      <c r="GK35" s="16"/>
      <c r="GL35" s="16"/>
      <c r="GM35" s="16"/>
      <c r="GN35" s="16"/>
      <c r="GO35" s="25"/>
      <c r="GP35" s="153" t="s">
        <v>1912</v>
      </c>
      <c r="GQ35" s="16"/>
      <c r="GR35" s="16"/>
      <c r="GS35" s="16"/>
      <c r="GT35" s="16"/>
      <c r="GU35" s="16"/>
      <c r="GV35" s="25"/>
      <c r="GW35" s="283"/>
      <c r="GX35" s="16"/>
      <c r="GY35" s="16"/>
      <c r="GZ35" s="16"/>
      <c r="HA35" s="16"/>
      <c r="HB35" s="16"/>
      <c r="HC35" s="25"/>
      <c r="HD35" s="283"/>
      <c r="HE35" s="16"/>
      <c r="HF35" s="16"/>
      <c r="HG35" s="16"/>
      <c r="HH35" s="16"/>
      <c r="HI35" s="16"/>
      <c r="HJ35" s="25"/>
      <c r="HK35" s="283"/>
      <c r="HL35" s="16"/>
      <c r="HM35" s="16"/>
      <c r="HN35" s="16"/>
      <c r="HO35" s="16"/>
      <c r="HP35" s="16"/>
      <c r="HQ35" s="25"/>
      <c r="HR35" s="283"/>
      <c r="HS35" s="16"/>
      <c r="HT35" s="16"/>
      <c r="HU35" s="16"/>
      <c r="HV35" s="16"/>
      <c r="HW35" s="16"/>
      <c r="HX35" s="25"/>
      <c r="HY35" s="153"/>
      <c r="HZ35" s="16"/>
      <c r="IA35" s="16"/>
      <c r="IB35" s="16"/>
      <c r="IC35" s="16"/>
      <c r="ID35" s="16"/>
      <c r="IE35" s="25"/>
      <c r="IF35" s="283"/>
      <c r="IG35" s="16"/>
      <c r="IH35" s="16"/>
      <c r="II35" s="16"/>
      <c r="IJ35" s="16"/>
      <c r="IK35" s="16"/>
      <c r="IL35" s="25"/>
      <c r="IM35" s="153"/>
      <c r="IN35" s="16"/>
      <c r="IO35" s="16"/>
      <c r="IP35" s="16"/>
      <c r="IQ35" s="16"/>
      <c r="IR35" s="16"/>
      <c r="IS35" s="25"/>
      <c r="IT35" s="283"/>
      <c r="IU35" s="16"/>
      <c r="IV35" s="16"/>
      <c r="IW35" s="16"/>
      <c r="IX35" s="16"/>
      <c r="IY35" s="16"/>
      <c r="IZ35" s="25"/>
      <c r="JA35" s="283"/>
      <c r="JB35" s="16"/>
      <c r="JC35" s="16"/>
      <c r="JD35" s="16"/>
      <c r="JE35" s="16"/>
      <c r="JF35" s="16"/>
      <c r="JG35" s="25"/>
      <c r="JH35" s="283"/>
      <c r="JI35" s="16"/>
      <c r="JJ35" s="16"/>
      <c r="JK35" s="16"/>
      <c r="JL35" s="16"/>
      <c r="JM35" s="16"/>
      <c r="JN35" s="25"/>
      <c r="JO35" s="401"/>
      <c r="JP35" s="16"/>
      <c r="JQ35" s="16"/>
      <c r="JR35" s="16"/>
      <c r="JS35" s="16"/>
      <c r="JT35" s="16"/>
      <c r="JU35" s="25"/>
      <c r="JV35" s="283"/>
      <c r="JW35" s="16"/>
      <c r="JX35" s="16"/>
      <c r="JY35" s="16"/>
      <c r="JZ35" s="16"/>
      <c r="KA35" s="16"/>
      <c r="KB35" s="25"/>
      <c r="KC35" s="283"/>
      <c r="KD35" s="16"/>
      <c r="KE35" s="16"/>
      <c r="KF35" s="16"/>
      <c r="KG35" s="16"/>
      <c r="KH35" s="16"/>
      <c r="KI35" s="25"/>
      <c r="KJ35" s="283"/>
      <c r="KK35" s="16"/>
      <c r="KL35" s="16"/>
      <c r="KM35" s="16"/>
      <c r="KN35" s="16"/>
      <c r="KO35" s="16"/>
      <c r="KP35" s="25"/>
      <c r="KQ35" s="153" t="s">
        <v>1913</v>
      </c>
      <c r="KR35" s="16"/>
      <c r="KS35" s="16"/>
      <c r="KT35" s="16"/>
      <c r="KU35" s="16"/>
      <c r="KV35" s="16"/>
      <c r="KW35" s="25"/>
      <c r="KX35" s="153" t="s">
        <v>1913</v>
      </c>
      <c r="KY35" s="16"/>
      <c r="KZ35" s="16"/>
      <c r="LA35" s="16"/>
      <c r="LB35" s="16"/>
      <c r="LC35" s="16"/>
      <c r="LD35" s="25"/>
      <c r="LE35" s="153" t="s">
        <v>1913</v>
      </c>
      <c r="LF35" s="16"/>
      <c r="LG35" s="16"/>
      <c r="LH35" s="16"/>
      <c r="LI35" s="16"/>
      <c r="LJ35" s="16"/>
      <c r="LK35" s="25"/>
      <c r="LL35" s="153" t="s">
        <v>1913</v>
      </c>
      <c r="LM35" s="16"/>
      <c r="LN35" s="16"/>
      <c r="LO35" s="16"/>
      <c r="LP35" s="16"/>
      <c r="LQ35" s="16"/>
      <c r="LR35" s="25"/>
      <c r="LS35" s="153" t="s">
        <v>1913</v>
      </c>
      <c r="LT35" s="16"/>
      <c r="LU35" s="16"/>
      <c r="LV35" s="16"/>
      <c r="LW35" s="16"/>
      <c r="LX35" s="16"/>
      <c r="LY35" s="25"/>
      <c r="LZ35" s="153" t="s">
        <v>1913</v>
      </c>
      <c r="MA35" s="16"/>
      <c r="MB35" s="16"/>
      <c r="MC35" s="16"/>
      <c r="MD35" s="16"/>
      <c r="ME35" s="16"/>
      <c r="MF35" s="25"/>
      <c r="MG35" s="153" t="s">
        <v>1913</v>
      </c>
      <c r="MH35" s="16"/>
      <c r="MI35" s="16"/>
      <c r="MJ35" s="16"/>
      <c r="MK35" s="16"/>
      <c r="ML35" s="16"/>
      <c r="MM35" s="25"/>
      <c r="MN35" s="153" t="s">
        <v>1913</v>
      </c>
      <c r="MO35" s="16"/>
      <c r="MP35" s="16"/>
      <c r="MQ35" s="16"/>
      <c r="MR35" s="16"/>
      <c r="MS35" s="16"/>
      <c r="MT35" s="25"/>
      <c r="MU35" s="283"/>
      <c r="MV35" s="16"/>
      <c r="MW35" s="16"/>
      <c r="MX35" s="16"/>
      <c r="MY35" s="16"/>
      <c r="MZ35" s="16"/>
      <c r="NA35" s="25"/>
      <c r="NB35" s="402"/>
      <c r="NC35" s="270"/>
      <c r="ND35" s="270"/>
      <c r="NE35" s="270"/>
      <c r="NF35" s="270"/>
      <c r="NG35" s="270"/>
      <c r="NH35" s="270"/>
      <c r="NI35" s="270"/>
      <c r="NJ35" s="270"/>
      <c r="NK35" s="270"/>
      <c r="NL35" s="270"/>
      <c r="NM35" s="270"/>
      <c r="NN35" s="270"/>
      <c r="NO35" s="270"/>
      <c r="NP35" s="270"/>
      <c r="NQ35" s="270"/>
      <c r="NR35" s="270"/>
      <c r="NS35" s="270"/>
      <c r="NT35" s="270"/>
      <c r="NU35" s="270"/>
      <c r="NV35" s="270"/>
      <c r="NW35" s="270"/>
      <c r="NX35" s="270"/>
      <c r="NY35" s="270"/>
      <c r="NZ35" s="270"/>
      <c r="OA35" s="270"/>
      <c r="OB35" s="270"/>
      <c r="OC35" s="270"/>
      <c r="OD35" s="270"/>
      <c r="OE35" s="270"/>
      <c r="OF35" s="270"/>
      <c r="OG35" s="270"/>
      <c r="OH35" s="270"/>
      <c r="OI35" s="270"/>
      <c r="OJ35" s="270"/>
      <c r="OK35" s="270"/>
      <c r="OL35" s="270"/>
      <c r="OM35" s="270"/>
      <c r="ON35" s="270"/>
      <c r="OO35" s="270"/>
      <c r="OP35" s="270"/>
      <c r="OQ35" s="270"/>
      <c r="OR35" s="270"/>
      <c r="OS35" s="270"/>
      <c r="OT35" s="270"/>
      <c r="OU35" s="270"/>
      <c r="OV35" s="270"/>
      <c r="OW35" s="270"/>
      <c r="OX35" s="270"/>
      <c r="OY35" s="270"/>
      <c r="OZ35" s="270"/>
      <c r="PA35" s="270"/>
      <c r="PB35" s="270"/>
      <c r="PC35" s="270"/>
      <c r="PD35" s="270"/>
      <c r="PE35" s="270"/>
      <c r="PF35" s="270"/>
      <c r="PG35" s="270"/>
      <c r="PH35" s="270"/>
      <c r="PI35" s="270"/>
      <c r="PJ35" s="270"/>
      <c r="PK35" s="270"/>
      <c r="PL35" s="270"/>
      <c r="PM35" s="270"/>
      <c r="PN35" s="270"/>
      <c r="PO35" s="270"/>
      <c r="PP35" s="270"/>
      <c r="PQ35" s="270"/>
      <c r="PR35" s="270"/>
      <c r="PS35" s="270"/>
      <c r="PT35" s="270"/>
      <c r="PU35" s="270"/>
      <c r="PV35" s="270"/>
      <c r="PW35" s="270"/>
      <c r="PX35" s="270"/>
      <c r="PY35" s="270"/>
      <c r="PZ35" s="270"/>
      <c r="QA35" s="270"/>
      <c r="QB35" s="270"/>
      <c r="QC35" s="270"/>
      <c r="QD35" s="270"/>
      <c r="QE35" s="270"/>
      <c r="QF35" s="270"/>
      <c r="QG35" s="270"/>
      <c r="QH35" s="270"/>
      <c r="QI35" s="270"/>
      <c r="QJ35" s="270"/>
      <c r="QK35" s="270"/>
      <c r="QL35" s="270"/>
      <c r="QM35" s="270"/>
      <c r="QN35" s="270"/>
      <c r="QO35" s="270"/>
      <c r="QP35" s="270"/>
      <c r="QQ35" s="270"/>
      <c r="QR35" s="270"/>
      <c r="QS35" s="270"/>
      <c r="QT35" s="270"/>
      <c r="QU35" s="270"/>
      <c r="QV35" s="270"/>
      <c r="QW35" s="270"/>
      <c r="QX35" s="270"/>
      <c r="QY35" s="270"/>
      <c r="QZ35" s="270"/>
      <c r="RA35" s="270"/>
      <c r="RB35" s="270"/>
      <c r="RC35" s="270"/>
      <c r="RD35" s="270"/>
      <c r="RE35" s="270"/>
      <c r="RF35" s="270"/>
      <c r="RG35" s="270"/>
      <c r="RH35" s="270"/>
      <c r="RI35" s="270"/>
      <c r="RJ35" s="270"/>
      <c r="RK35" s="270"/>
      <c r="RL35" s="270"/>
      <c r="RM35" s="270"/>
      <c r="RN35" s="270"/>
      <c r="RO35" s="270"/>
      <c r="RP35" s="270"/>
      <c r="RQ35" s="270"/>
      <c r="RR35" s="270"/>
      <c r="RS35" s="270"/>
      <c r="RT35" s="270"/>
      <c r="RU35" s="270"/>
      <c r="RV35" s="270"/>
      <c r="RW35" s="270"/>
      <c r="RX35" s="270"/>
      <c r="RY35" s="270"/>
      <c r="RZ35" s="270"/>
      <c r="SA35" s="270"/>
      <c r="SB35" s="270"/>
      <c r="SC35" s="270"/>
      <c r="SD35" s="270"/>
      <c r="SE35" s="270"/>
      <c r="SF35" s="270"/>
      <c r="SG35" s="270"/>
      <c r="SH35" s="270"/>
      <c r="SI35" s="270"/>
      <c r="SJ35" s="270"/>
      <c r="SK35" s="270"/>
      <c r="SL35" s="270"/>
      <c r="SM35" s="270"/>
      <c r="SN35" s="270"/>
      <c r="SO35" s="270"/>
      <c r="SP35" s="270"/>
      <c r="SQ35" s="270"/>
      <c r="SR35" s="270"/>
      <c r="SS35" s="270"/>
      <c r="ST35" s="270"/>
      <c r="SU35" s="270"/>
      <c r="SV35" s="270"/>
      <c r="SW35" s="270"/>
      <c r="SX35" s="270"/>
      <c r="SY35" s="270"/>
      <c r="SZ35" s="270"/>
      <c r="TA35" s="270"/>
      <c r="TB35" s="270"/>
      <c r="TC35" s="270"/>
      <c r="TD35" s="270"/>
      <c r="TE35" s="270"/>
      <c r="TF35" s="270"/>
      <c r="TG35" s="270"/>
      <c r="TH35" s="270"/>
      <c r="TI35" s="270"/>
      <c r="TJ35" s="270"/>
      <c r="TK35" s="270"/>
      <c r="TL35" s="270"/>
      <c r="TM35" s="270"/>
      <c r="TN35" s="270"/>
      <c r="TO35" s="270"/>
      <c r="TP35" s="270"/>
      <c r="TQ35" s="270"/>
      <c r="TR35" s="270"/>
      <c r="TS35" s="270"/>
      <c r="TT35" s="270"/>
      <c r="TU35" s="270"/>
      <c r="TV35" s="270"/>
      <c r="TW35" s="270"/>
      <c r="TX35" s="270"/>
      <c r="TY35" s="270"/>
      <c r="TZ35" s="270"/>
      <c r="UA35" s="270"/>
      <c r="UB35" s="270"/>
      <c r="UC35" s="270"/>
      <c r="UD35" s="270"/>
      <c r="UE35" s="270"/>
      <c r="UF35" s="270"/>
      <c r="UG35" s="270"/>
      <c r="UH35" s="270"/>
      <c r="UI35" s="270"/>
      <c r="UJ35" s="270"/>
      <c r="UK35" s="270"/>
      <c r="UL35" s="270"/>
      <c r="UM35" s="270"/>
      <c r="UN35" s="270"/>
      <c r="UO35" s="270"/>
      <c r="UP35" s="270"/>
      <c r="UQ35" s="270"/>
      <c r="UR35" s="270"/>
      <c r="US35" s="270"/>
      <c r="UT35" s="270"/>
      <c r="UU35" s="270"/>
      <c r="UV35" s="270"/>
      <c r="UW35" s="270"/>
      <c r="UX35" s="270"/>
      <c r="UY35" s="270"/>
      <c r="UZ35" s="270"/>
      <c r="VA35" s="270"/>
      <c r="VB35" s="270"/>
      <c r="VC35" s="270"/>
      <c r="VD35" s="270"/>
      <c r="VE35" s="270"/>
      <c r="VF35" s="270"/>
      <c r="VG35" s="270"/>
      <c r="VH35" s="270"/>
      <c r="VI35" s="270"/>
      <c r="VJ35" s="270"/>
      <c r="VK35" s="270"/>
      <c r="VL35" s="270"/>
      <c r="VM35" s="270"/>
      <c r="VN35" s="270"/>
      <c r="VO35" s="270"/>
      <c r="VP35" s="270"/>
      <c r="VQ35" s="270"/>
      <c r="VR35" s="270"/>
      <c r="VS35" s="270"/>
      <c r="VT35" s="270"/>
      <c r="VU35" s="270"/>
      <c r="VV35" s="270"/>
      <c r="VW35" s="270"/>
      <c r="VX35" s="270"/>
      <c r="VY35" s="270"/>
      <c r="VZ35" s="270"/>
      <c r="WA35" s="270"/>
      <c r="WB35" s="270"/>
      <c r="WC35" s="270"/>
      <c r="WD35" s="270"/>
      <c r="WE35" s="270"/>
      <c r="WF35" s="270"/>
      <c r="WG35" s="270"/>
      <c r="WH35" s="270"/>
      <c r="WI35" s="270"/>
      <c r="WJ35" s="270"/>
      <c r="WK35" s="270"/>
      <c r="WL35" s="270"/>
      <c r="WM35" s="270"/>
      <c r="WN35" s="270"/>
      <c r="WO35" s="270"/>
      <c r="WP35" s="270"/>
      <c r="WQ35" s="270"/>
      <c r="WR35" s="270"/>
      <c r="WS35" s="270"/>
      <c r="WT35" s="270"/>
      <c r="WU35" s="270"/>
      <c r="WV35" s="270"/>
      <c r="WW35" s="270"/>
      <c r="WX35" s="270"/>
      <c r="WY35" s="270"/>
      <c r="WZ35" s="270"/>
      <c r="XA35" s="270"/>
      <c r="XB35" s="270"/>
      <c r="XC35" s="270"/>
      <c r="XD35" s="270"/>
      <c r="XE35" s="270"/>
      <c r="XF35" s="270"/>
      <c r="XG35" s="270"/>
      <c r="XH35" s="270"/>
      <c r="XI35" s="270"/>
      <c r="XJ35" s="270"/>
      <c r="XK35" s="270"/>
      <c r="XL35" s="270"/>
      <c r="XM35" s="270"/>
      <c r="XN35" s="270"/>
      <c r="XO35" s="270"/>
      <c r="XP35" s="270"/>
      <c r="XQ35" s="270"/>
      <c r="XR35" s="270"/>
      <c r="XS35" s="270"/>
      <c r="XT35" s="270"/>
      <c r="XU35" s="270"/>
      <c r="XV35" s="270"/>
      <c r="XW35" s="270"/>
      <c r="XX35" s="270"/>
      <c r="XY35" s="270"/>
      <c r="XZ35" s="270"/>
      <c r="YA35" s="270"/>
      <c r="YB35" s="270"/>
      <c r="YC35" s="270"/>
      <c r="YD35" s="270"/>
      <c r="YE35" s="270"/>
      <c r="YF35" s="270"/>
      <c r="YG35" s="270"/>
      <c r="YH35" s="270"/>
      <c r="YI35" s="270"/>
      <c r="YJ35" s="270"/>
      <c r="YK35" s="270"/>
      <c r="YL35" s="270"/>
      <c r="YM35" s="270"/>
      <c r="YN35" s="270"/>
      <c r="YO35" s="270"/>
      <c r="YP35" s="270"/>
      <c r="YQ35" s="270"/>
      <c r="YR35" s="270"/>
      <c r="YS35" s="270"/>
      <c r="YT35" s="270"/>
      <c r="YU35" s="270"/>
      <c r="YV35" s="270"/>
      <c r="YW35" s="270"/>
      <c r="YX35" s="270"/>
      <c r="YY35" s="270"/>
      <c r="YZ35" s="270"/>
      <c r="ZA35" s="270"/>
      <c r="ZB35" s="270"/>
      <c r="ZC35" s="270"/>
      <c r="ZD35" s="270"/>
      <c r="ZE35" s="270"/>
    </row>
    <row r="36">
      <c r="A36" s="156" t="s">
        <v>668</v>
      </c>
      <c r="B36" s="283"/>
      <c r="C36" s="16"/>
      <c r="D36" s="16"/>
      <c r="E36" s="16"/>
      <c r="F36" s="16"/>
      <c r="G36" s="16"/>
      <c r="H36" s="25"/>
      <c r="I36" s="153"/>
      <c r="J36" s="16"/>
      <c r="K36" s="16"/>
      <c r="L36" s="16"/>
      <c r="M36" s="16"/>
      <c r="N36" s="16"/>
      <c r="O36" s="25"/>
      <c r="P36" s="283"/>
      <c r="Q36" s="16"/>
      <c r="R36" s="16"/>
      <c r="S36" s="16"/>
      <c r="T36" s="16"/>
      <c r="U36" s="16"/>
      <c r="V36" s="25"/>
      <c r="W36" s="283"/>
      <c r="X36" s="16"/>
      <c r="Y36" s="16"/>
      <c r="Z36" s="16"/>
      <c r="AA36" s="16"/>
      <c r="AB36" s="16"/>
      <c r="AC36" s="25"/>
      <c r="AD36" s="283"/>
      <c r="AE36" s="16"/>
      <c r="AF36" s="16"/>
      <c r="AG36" s="16"/>
      <c r="AH36" s="16"/>
      <c r="AI36" s="16"/>
      <c r="AJ36" s="25"/>
      <c r="AK36" s="283"/>
      <c r="AL36" s="16"/>
      <c r="AM36" s="16"/>
      <c r="AN36" s="16"/>
      <c r="AO36" s="16"/>
      <c r="AP36" s="16"/>
      <c r="AQ36" s="25"/>
      <c r="AR36" s="283"/>
      <c r="AS36" s="16"/>
      <c r="AT36" s="16"/>
      <c r="AU36" s="16"/>
      <c r="AV36" s="16"/>
      <c r="AW36" s="16"/>
      <c r="AX36" s="25"/>
      <c r="AY36" s="283"/>
      <c r="AZ36" s="16"/>
      <c r="BA36" s="16"/>
      <c r="BB36" s="16"/>
      <c r="BC36" s="16"/>
      <c r="BD36" s="16"/>
      <c r="BE36" s="25"/>
      <c r="BF36" s="283"/>
      <c r="BG36" s="16"/>
      <c r="BH36" s="16"/>
      <c r="BI36" s="16"/>
      <c r="BJ36" s="16"/>
      <c r="BK36" s="16"/>
      <c r="BL36" s="25"/>
      <c r="BM36" s="283"/>
      <c r="BN36" s="16"/>
      <c r="BO36" s="16"/>
      <c r="BP36" s="16"/>
      <c r="BQ36" s="16"/>
      <c r="BR36" s="16"/>
      <c r="BS36" s="25"/>
      <c r="BT36" s="153"/>
      <c r="BU36" s="16"/>
      <c r="BV36" s="16"/>
      <c r="BW36" s="16"/>
      <c r="BX36" s="16"/>
      <c r="BY36" s="16"/>
      <c r="BZ36" s="25"/>
      <c r="CA36" s="283"/>
      <c r="CB36" s="16"/>
      <c r="CC36" s="16"/>
      <c r="CD36" s="16"/>
      <c r="CE36" s="16"/>
      <c r="CF36" s="16"/>
      <c r="CG36" s="25"/>
      <c r="CH36" s="283"/>
      <c r="CI36" s="16"/>
      <c r="CJ36" s="16"/>
      <c r="CK36" s="16"/>
      <c r="CL36" s="16"/>
      <c r="CM36" s="16"/>
      <c r="CN36" s="25"/>
      <c r="CO36" s="283"/>
      <c r="CP36" s="16"/>
      <c r="CQ36" s="16"/>
      <c r="CR36" s="16"/>
      <c r="CS36" s="16"/>
      <c r="CT36" s="16"/>
      <c r="CU36" s="25"/>
      <c r="CV36" s="153"/>
      <c r="CW36" s="16"/>
      <c r="CX36" s="16"/>
      <c r="CY36" s="16"/>
      <c r="CZ36" s="16"/>
      <c r="DA36" s="16"/>
      <c r="DB36" s="25"/>
      <c r="DC36" s="153"/>
      <c r="DD36" s="16"/>
      <c r="DE36" s="16"/>
      <c r="DF36" s="16"/>
      <c r="DG36" s="16"/>
      <c r="DH36" s="16"/>
      <c r="DI36" s="25"/>
      <c r="DJ36" s="153"/>
      <c r="DK36" s="16"/>
      <c r="DL36" s="16"/>
      <c r="DM36" s="16"/>
      <c r="DN36" s="16"/>
      <c r="DO36" s="16"/>
      <c r="DP36" s="25"/>
      <c r="DQ36" s="153"/>
      <c r="DR36" s="16"/>
      <c r="DS36" s="16"/>
      <c r="DT36" s="16"/>
      <c r="DU36" s="16"/>
      <c r="DV36" s="16"/>
      <c r="DW36" s="25"/>
      <c r="DX36" s="153"/>
      <c r="DY36" s="16"/>
      <c r="DZ36" s="16"/>
      <c r="EA36" s="16"/>
      <c r="EB36" s="16"/>
      <c r="EC36" s="16"/>
      <c r="ED36" s="25"/>
      <c r="EE36" s="153"/>
      <c r="EF36" s="16"/>
      <c r="EG36" s="16"/>
      <c r="EH36" s="16"/>
      <c r="EI36" s="16"/>
      <c r="EJ36" s="16"/>
      <c r="EK36" s="25"/>
      <c r="EL36" s="153"/>
      <c r="EM36" s="16"/>
      <c r="EN36" s="16"/>
      <c r="EO36" s="16"/>
      <c r="EP36" s="16"/>
      <c r="EQ36" s="16"/>
      <c r="ER36" s="25"/>
      <c r="ES36" s="153"/>
      <c r="ET36" s="16"/>
      <c r="EU36" s="16"/>
      <c r="EV36" s="16"/>
      <c r="EW36" s="16"/>
      <c r="EX36" s="16"/>
      <c r="EY36" s="25"/>
      <c r="EZ36" s="153"/>
      <c r="FA36" s="16"/>
      <c r="FB36" s="16"/>
      <c r="FC36" s="16"/>
      <c r="FD36" s="16"/>
      <c r="FE36" s="16"/>
      <c r="FF36" s="25"/>
      <c r="FG36" s="153"/>
      <c r="FH36" s="16"/>
      <c r="FI36" s="16"/>
      <c r="FJ36" s="16"/>
      <c r="FK36" s="16"/>
      <c r="FL36" s="16"/>
      <c r="FM36" s="25"/>
      <c r="FN36" s="153"/>
      <c r="FO36" s="16"/>
      <c r="FP36" s="16"/>
      <c r="FQ36" s="16"/>
      <c r="FR36" s="16"/>
      <c r="FS36" s="16"/>
      <c r="FT36" s="25"/>
      <c r="FU36" s="283"/>
      <c r="FV36" s="16"/>
      <c r="FW36" s="16"/>
      <c r="FX36" s="16"/>
      <c r="FY36" s="16"/>
      <c r="FZ36" s="16"/>
      <c r="GA36" s="25"/>
      <c r="GB36" s="283"/>
      <c r="GC36" s="16"/>
      <c r="GD36" s="16"/>
      <c r="GE36" s="16"/>
      <c r="GF36" s="16"/>
      <c r="GG36" s="16"/>
      <c r="GH36" s="25"/>
      <c r="GI36" s="283"/>
      <c r="GJ36" s="16"/>
      <c r="GK36" s="16"/>
      <c r="GL36" s="16"/>
      <c r="GM36" s="16"/>
      <c r="GN36" s="16"/>
      <c r="GO36" s="25"/>
      <c r="GP36" s="283"/>
      <c r="GQ36" s="16"/>
      <c r="GR36" s="16"/>
      <c r="GS36" s="16"/>
      <c r="GT36" s="16"/>
      <c r="GU36" s="16"/>
      <c r="GV36" s="25"/>
      <c r="GW36" s="283"/>
      <c r="GX36" s="16"/>
      <c r="GY36" s="16"/>
      <c r="GZ36" s="16"/>
      <c r="HA36" s="16"/>
      <c r="HB36" s="16"/>
      <c r="HC36" s="25"/>
      <c r="HD36" s="283"/>
      <c r="HE36" s="16"/>
      <c r="HF36" s="16"/>
      <c r="HG36" s="16"/>
      <c r="HH36" s="16"/>
      <c r="HI36" s="16"/>
      <c r="HJ36" s="25"/>
      <c r="HK36" s="283"/>
      <c r="HL36" s="16"/>
      <c r="HM36" s="16"/>
      <c r="HN36" s="16"/>
      <c r="HO36" s="16"/>
      <c r="HP36" s="16"/>
      <c r="HQ36" s="25"/>
      <c r="HR36" s="283"/>
      <c r="HS36" s="16"/>
      <c r="HT36" s="16"/>
      <c r="HU36" s="16"/>
      <c r="HV36" s="16"/>
      <c r="HW36" s="16"/>
      <c r="HX36" s="25"/>
      <c r="HY36" s="283"/>
      <c r="HZ36" s="16"/>
      <c r="IA36" s="16"/>
      <c r="IB36" s="16"/>
      <c r="IC36" s="16"/>
      <c r="ID36" s="16"/>
      <c r="IE36" s="25"/>
      <c r="IF36" s="283"/>
      <c r="IG36" s="16"/>
      <c r="IH36" s="16"/>
      <c r="II36" s="16"/>
      <c r="IJ36" s="16"/>
      <c r="IK36" s="16"/>
      <c r="IL36" s="25"/>
      <c r="IM36" s="283"/>
      <c r="IN36" s="16"/>
      <c r="IO36" s="16"/>
      <c r="IP36" s="16"/>
      <c r="IQ36" s="16"/>
      <c r="IR36" s="16"/>
      <c r="IS36" s="25"/>
      <c r="IT36" s="283"/>
      <c r="IU36" s="16"/>
      <c r="IV36" s="16"/>
      <c r="IW36" s="16"/>
      <c r="IX36" s="16"/>
      <c r="IY36" s="16"/>
      <c r="IZ36" s="25"/>
      <c r="JA36" s="283"/>
      <c r="JB36" s="16"/>
      <c r="JC36" s="16"/>
      <c r="JD36" s="16"/>
      <c r="JE36" s="16"/>
      <c r="JF36" s="16"/>
      <c r="JG36" s="25"/>
      <c r="JH36" s="283"/>
      <c r="JI36" s="16"/>
      <c r="JJ36" s="16"/>
      <c r="JK36" s="16"/>
      <c r="JL36" s="16"/>
      <c r="JM36" s="16"/>
      <c r="JN36" s="25"/>
      <c r="JO36" s="407" t="s">
        <v>1388</v>
      </c>
      <c r="JP36" s="16"/>
      <c r="JQ36" s="16"/>
      <c r="JR36" s="16"/>
      <c r="JS36" s="16"/>
      <c r="JT36" s="16"/>
      <c r="JU36" s="25"/>
      <c r="JV36" s="407" t="s">
        <v>1388</v>
      </c>
      <c r="JW36" s="16"/>
      <c r="JX36" s="16"/>
      <c r="JY36" s="16"/>
      <c r="JZ36" s="16"/>
      <c r="KA36" s="16"/>
      <c r="KB36" s="25"/>
      <c r="KC36" s="407" t="s">
        <v>1388</v>
      </c>
      <c r="KD36" s="16"/>
      <c r="KE36" s="16"/>
      <c r="KF36" s="16"/>
      <c r="KG36" s="16"/>
      <c r="KH36" s="16"/>
      <c r="KI36" s="25"/>
      <c r="KJ36" s="407" t="s">
        <v>1388</v>
      </c>
      <c r="KK36" s="16"/>
      <c r="KL36" s="16"/>
      <c r="KM36" s="16"/>
      <c r="KN36" s="16"/>
      <c r="KO36" s="16"/>
      <c r="KP36" s="25"/>
      <c r="KQ36" s="283"/>
      <c r="KR36" s="16"/>
      <c r="KS36" s="16"/>
      <c r="KT36" s="16"/>
      <c r="KU36" s="16"/>
      <c r="KV36" s="16"/>
      <c r="KW36" s="25"/>
      <c r="KX36" s="283"/>
      <c r="KY36" s="16"/>
      <c r="KZ36" s="16"/>
      <c r="LA36" s="16"/>
      <c r="LB36" s="16"/>
      <c r="LC36" s="16"/>
      <c r="LD36" s="25"/>
      <c r="LE36" s="283"/>
      <c r="LF36" s="16"/>
      <c r="LG36" s="16"/>
      <c r="LH36" s="16"/>
      <c r="LI36" s="16"/>
      <c r="LJ36" s="16"/>
      <c r="LK36" s="25"/>
      <c r="LL36" s="283"/>
      <c r="LM36" s="16"/>
      <c r="LN36" s="16"/>
      <c r="LO36" s="16"/>
      <c r="LP36" s="16"/>
      <c r="LQ36" s="16"/>
      <c r="LR36" s="25"/>
      <c r="LS36" s="283"/>
      <c r="LT36" s="16"/>
      <c r="LU36" s="16"/>
      <c r="LV36" s="16"/>
      <c r="LW36" s="16"/>
      <c r="LX36" s="16"/>
      <c r="LY36" s="25"/>
      <c r="LZ36" s="283"/>
      <c r="MA36" s="16"/>
      <c r="MB36" s="16"/>
      <c r="MC36" s="16"/>
      <c r="MD36" s="16"/>
      <c r="ME36" s="16"/>
      <c r="MF36" s="25"/>
      <c r="MG36" s="283"/>
      <c r="MH36" s="16"/>
      <c r="MI36" s="16"/>
      <c r="MJ36" s="16"/>
      <c r="MK36" s="16"/>
      <c r="ML36" s="16"/>
      <c r="MM36" s="25"/>
      <c r="MN36" s="283"/>
      <c r="MO36" s="16"/>
      <c r="MP36" s="16"/>
      <c r="MQ36" s="16"/>
      <c r="MR36" s="16"/>
      <c r="MS36" s="16"/>
      <c r="MT36" s="25"/>
      <c r="MU36" s="283"/>
      <c r="MV36" s="16"/>
      <c r="MW36" s="16"/>
      <c r="MX36" s="16"/>
      <c r="MY36" s="16"/>
      <c r="MZ36" s="16"/>
      <c r="NA36" s="25"/>
      <c r="NB36" s="402"/>
      <c r="NC36" s="270"/>
      <c r="ND36" s="270"/>
      <c r="NE36" s="270"/>
      <c r="NF36" s="270"/>
      <c r="NG36" s="270"/>
      <c r="NH36" s="270"/>
      <c r="NI36" s="270"/>
      <c r="NJ36" s="270"/>
      <c r="NK36" s="270"/>
      <c r="NL36" s="270"/>
      <c r="NM36" s="270"/>
      <c r="NN36" s="270"/>
      <c r="NO36" s="270"/>
      <c r="NP36" s="270"/>
      <c r="NQ36" s="270"/>
      <c r="NR36" s="270"/>
      <c r="NS36" s="270"/>
      <c r="NT36" s="270"/>
      <c r="NU36" s="270"/>
      <c r="NV36" s="270"/>
      <c r="NW36" s="270"/>
      <c r="NX36" s="270"/>
      <c r="NY36" s="270"/>
      <c r="NZ36" s="270"/>
      <c r="OA36" s="270"/>
      <c r="OB36" s="270"/>
      <c r="OC36" s="270"/>
      <c r="OD36" s="270"/>
      <c r="OE36" s="270"/>
      <c r="OF36" s="270"/>
      <c r="OG36" s="270"/>
      <c r="OH36" s="270"/>
      <c r="OI36" s="270"/>
      <c r="OJ36" s="270"/>
      <c r="OK36" s="270"/>
      <c r="OL36" s="270"/>
      <c r="OM36" s="270"/>
      <c r="ON36" s="270"/>
      <c r="OO36" s="270"/>
      <c r="OP36" s="270"/>
      <c r="OQ36" s="270"/>
      <c r="OR36" s="270"/>
      <c r="OS36" s="270"/>
      <c r="OT36" s="270"/>
      <c r="OU36" s="270"/>
      <c r="OV36" s="270"/>
      <c r="OW36" s="270"/>
      <c r="OX36" s="270"/>
      <c r="OY36" s="270"/>
      <c r="OZ36" s="270"/>
      <c r="PA36" s="270"/>
      <c r="PB36" s="270"/>
      <c r="PC36" s="270"/>
      <c r="PD36" s="270"/>
      <c r="PE36" s="270"/>
      <c r="PF36" s="270"/>
      <c r="PG36" s="270"/>
      <c r="PH36" s="270"/>
      <c r="PI36" s="270"/>
      <c r="PJ36" s="270"/>
      <c r="PK36" s="270"/>
      <c r="PL36" s="270"/>
      <c r="PM36" s="270"/>
      <c r="PN36" s="270"/>
      <c r="PO36" s="270"/>
      <c r="PP36" s="270"/>
      <c r="PQ36" s="270"/>
      <c r="PR36" s="270"/>
      <c r="PS36" s="270"/>
      <c r="PT36" s="270"/>
      <c r="PU36" s="270"/>
      <c r="PV36" s="270"/>
      <c r="PW36" s="270"/>
      <c r="PX36" s="270"/>
      <c r="PY36" s="270"/>
      <c r="PZ36" s="270"/>
      <c r="QA36" s="270"/>
      <c r="QB36" s="270"/>
      <c r="QC36" s="270"/>
      <c r="QD36" s="270"/>
      <c r="QE36" s="270"/>
      <c r="QF36" s="270"/>
      <c r="QG36" s="270"/>
      <c r="QH36" s="270"/>
      <c r="QI36" s="270"/>
      <c r="QJ36" s="270"/>
      <c r="QK36" s="270"/>
      <c r="QL36" s="270"/>
      <c r="QM36" s="270"/>
      <c r="QN36" s="270"/>
      <c r="QO36" s="270"/>
      <c r="QP36" s="270"/>
      <c r="QQ36" s="270"/>
      <c r="QR36" s="270"/>
      <c r="QS36" s="270"/>
      <c r="QT36" s="270"/>
      <c r="QU36" s="270"/>
      <c r="QV36" s="270"/>
      <c r="QW36" s="270"/>
      <c r="QX36" s="270"/>
      <c r="QY36" s="270"/>
      <c r="QZ36" s="270"/>
      <c r="RA36" s="270"/>
      <c r="RB36" s="270"/>
      <c r="RC36" s="270"/>
      <c r="RD36" s="270"/>
      <c r="RE36" s="270"/>
      <c r="RF36" s="270"/>
      <c r="RG36" s="270"/>
      <c r="RH36" s="270"/>
      <c r="RI36" s="270"/>
      <c r="RJ36" s="270"/>
      <c r="RK36" s="270"/>
      <c r="RL36" s="270"/>
      <c r="RM36" s="270"/>
      <c r="RN36" s="270"/>
      <c r="RO36" s="270"/>
      <c r="RP36" s="270"/>
      <c r="RQ36" s="270"/>
      <c r="RR36" s="270"/>
      <c r="RS36" s="270"/>
      <c r="RT36" s="270"/>
      <c r="RU36" s="270"/>
      <c r="RV36" s="270"/>
      <c r="RW36" s="270"/>
      <c r="RX36" s="270"/>
      <c r="RY36" s="270"/>
      <c r="RZ36" s="270"/>
      <c r="SA36" s="270"/>
      <c r="SB36" s="270"/>
      <c r="SC36" s="270"/>
      <c r="SD36" s="270"/>
      <c r="SE36" s="270"/>
      <c r="SF36" s="270"/>
      <c r="SG36" s="270"/>
      <c r="SH36" s="270"/>
      <c r="SI36" s="270"/>
      <c r="SJ36" s="270"/>
      <c r="SK36" s="270"/>
      <c r="SL36" s="270"/>
      <c r="SM36" s="270"/>
      <c r="SN36" s="270"/>
      <c r="SO36" s="270"/>
      <c r="SP36" s="270"/>
      <c r="SQ36" s="270"/>
      <c r="SR36" s="270"/>
      <c r="SS36" s="270"/>
      <c r="ST36" s="270"/>
      <c r="SU36" s="270"/>
      <c r="SV36" s="270"/>
      <c r="SW36" s="270"/>
      <c r="SX36" s="270"/>
      <c r="SY36" s="270"/>
      <c r="SZ36" s="270"/>
      <c r="TA36" s="270"/>
      <c r="TB36" s="270"/>
      <c r="TC36" s="270"/>
      <c r="TD36" s="270"/>
      <c r="TE36" s="270"/>
      <c r="TF36" s="270"/>
      <c r="TG36" s="270"/>
      <c r="TH36" s="270"/>
      <c r="TI36" s="270"/>
      <c r="TJ36" s="270"/>
      <c r="TK36" s="270"/>
      <c r="TL36" s="270"/>
      <c r="TM36" s="270"/>
      <c r="TN36" s="270"/>
      <c r="TO36" s="270"/>
      <c r="TP36" s="270"/>
      <c r="TQ36" s="270"/>
      <c r="TR36" s="270"/>
      <c r="TS36" s="270"/>
      <c r="TT36" s="270"/>
      <c r="TU36" s="270"/>
      <c r="TV36" s="270"/>
      <c r="TW36" s="270"/>
      <c r="TX36" s="270"/>
      <c r="TY36" s="270"/>
      <c r="TZ36" s="270"/>
      <c r="UA36" s="270"/>
      <c r="UB36" s="270"/>
      <c r="UC36" s="270"/>
      <c r="UD36" s="270"/>
      <c r="UE36" s="270"/>
      <c r="UF36" s="270"/>
      <c r="UG36" s="270"/>
      <c r="UH36" s="270"/>
      <c r="UI36" s="270"/>
      <c r="UJ36" s="270"/>
      <c r="UK36" s="270"/>
      <c r="UL36" s="270"/>
      <c r="UM36" s="270"/>
      <c r="UN36" s="270"/>
      <c r="UO36" s="270"/>
      <c r="UP36" s="270"/>
      <c r="UQ36" s="270"/>
      <c r="UR36" s="270"/>
      <c r="US36" s="270"/>
      <c r="UT36" s="270"/>
      <c r="UU36" s="270"/>
      <c r="UV36" s="270"/>
      <c r="UW36" s="270"/>
      <c r="UX36" s="270"/>
      <c r="UY36" s="270"/>
      <c r="UZ36" s="270"/>
      <c r="VA36" s="270"/>
      <c r="VB36" s="270"/>
      <c r="VC36" s="270"/>
      <c r="VD36" s="270"/>
      <c r="VE36" s="270"/>
      <c r="VF36" s="270"/>
      <c r="VG36" s="270"/>
      <c r="VH36" s="270"/>
      <c r="VI36" s="270"/>
      <c r="VJ36" s="270"/>
      <c r="VK36" s="270"/>
      <c r="VL36" s="270"/>
      <c r="VM36" s="270"/>
      <c r="VN36" s="270"/>
      <c r="VO36" s="270"/>
      <c r="VP36" s="270"/>
      <c r="VQ36" s="270"/>
      <c r="VR36" s="270"/>
      <c r="VS36" s="270"/>
      <c r="VT36" s="270"/>
      <c r="VU36" s="270"/>
      <c r="VV36" s="270"/>
      <c r="VW36" s="270"/>
      <c r="VX36" s="270"/>
      <c r="VY36" s="270"/>
      <c r="VZ36" s="270"/>
      <c r="WA36" s="270"/>
      <c r="WB36" s="270"/>
      <c r="WC36" s="270"/>
      <c r="WD36" s="270"/>
      <c r="WE36" s="270"/>
      <c r="WF36" s="270"/>
      <c r="WG36" s="270"/>
      <c r="WH36" s="270"/>
      <c r="WI36" s="270"/>
      <c r="WJ36" s="270"/>
      <c r="WK36" s="270"/>
      <c r="WL36" s="270"/>
      <c r="WM36" s="270"/>
      <c r="WN36" s="270"/>
      <c r="WO36" s="270"/>
      <c r="WP36" s="270"/>
      <c r="WQ36" s="270"/>
      <c r="WR36" s="270"/>
      <c r="WS36" s="270"/>
      <c r="WT36" s="270"/>
      <c r="WU36" s="270"/>
      <c r="WV36" s="270"/>
      <c r="WW36" s="270"/>
      <c r="WX36" s="270"/>
      <c r="WY36" s="270"/>
      <c r="WZ36" s="270"/>
      <c r="XA36" s="270"/>
      <c r="XB36" s="270"/>
      <c r="XC36" s="270"/>
      <c r="XD36" s="270"/>
      <c r="XE36" s="270"/>
      <c r="XF36" s="270"/>
      <c r="XG36" s="270"/>
      <c r="XH36" s="270"/>
      <c r="XI36" s="270"/>
      <c r="XJ36" s="270"/>
      <c r="XK36" s="270"/>
      <c r="XL36" s="270"/>
      <c r="XM36" s="270"/>
      <c r="XN36" s="270"/>
      <c r="XO36" s="270"/>
      <c r="XP36" s="270"/>
      <c r="XQ36" s="270"/>
      <c r="XR36" s="270"/>
      <c r="XS36" s="270"/>
      <c r="XT36" s="270"/>
      <c r="XU36" s="270"/>
      <c r="XV36" s="270"/>
      <c r="XW36" s="270"/>
      <c r="XX36" s="270"/>
      <c r="XY36" s="270"/>
      <c r="XZ36" s="270"/>
      <c r="YA36" s="270"/>
      <c r="YB36" s="270"/>
      <c r="YC36" s="270"/>
      <c r="YD36" s="270"/>
      <c r="YE36" s="270"/>
      <c r="YF36" s="270"/>
      <c r="YG36" s="270"/>
      <c r="YH36" s="270"/>
      <c r="YI36" s="270"/>
      <c r="YJ36" s="270"/>
      <c r="YK36" s="270"/>
      <c r="YL36" s="270"/>
      <c r="YM36" s="270"/>
      <c r="YN36" s="270"/>
      <c r="YO36" s="270"/>
      <c r="YP36" s="270"/>
      <c r="YQ36" s="270"/>
      <c r="YR36" s="270"/>
      <c r="YS36" s="270"/>
      <c r="YT36" s="270"/>
      <c r="YU36" s="270"/>
      <c r="YV36" s="270"/>
      <c r="YW36" s="270"/>
      <c r="YX36" s="270"/>
      <c r="YY36" s="270"/>
      <c r="YZ36" s="270"/>
      <c r="ZA36" s="270"/>
      <c r="ZB36" s="270"/>
      <c r="ZC36" s="270"/>
      <c r="ZD36" s="270"/>
      <c r="ZE36" s="270"/>
    </row>
    <row r="37">
      <c r="A37" s="156" t="s">
        <v>688</v>
      </c>
      <c r="B37" s="283"/>
      <c r="C37" s="16"/>
      <c r="D37" s="16"/>
      <c r="E37" s="16"/>
      <c r="F37" s="16"/>
      <c r="G37" s="16"/>
      <c r="H37" s="25"/>
      <c r="I37" s="153"/>
      <c r="J37" s="16"/>
      <c r="K37" s="16"/>
      <c r="L37" s="16"/>
      <c r="M37" s="16"/>
      <c r="N37" s="16"/>
      <c r="O37" s="25"/>
      <c r="P37" s="283"/>
      <c r="Q37" s="16"/>
      <c r="R37" s="16"/>
      <c r="S37" s="16"/>
      <c r="T37" s="16"/>
      <c r="U37" s="16"/>
      <c r="V37" s="25"/>
      <c r="W37" s="283"/>
      <c r="X37" s="16"/>
      <c r="Y37" s="16"/>
      <c r="Z37" s="16"/>
      <c r="AA37" s="16"/>
      <c r="AB37" s="16"/>
      <c r="AC37" s="25"/>
      <c r="AD37" s="283"/>
      <c r="AE37" s="16"/>
      <c r="AF37" s="16"/>
      <c r="AG37" s="16"/>
      <c r="AH37" s="16"/>
      <c r="AI37" s="16"/>
      <c r="AJ37" s="25"/>
      <c r="AK37" s="283"/>
      <c r="AL37" s="16"/>
      <c r="AM37" s="16"/>
      <c r="AN37" s="16"/>
      <c r="AO37" s="16"/>
      <c r="AP37" s="16"/>
      <c r="AQ37" s="25"/>
      <c r="AR37" s="283"/>
      <c r="AS37" s="16"/>
      <c r="AT37" s="16"/>
      <c r="AU37" s="16"/>
      <c r="AV37" s="16"/>
      <c r="AW37" s="16"/>
      <c r="AX37" s="25"/>
      <c r="AY37" s="283"/>
      <c r="AZ37" s="16"/>
      <c r="BA37" s="16"/>
      <c r="BB37" s="16"/>
      <c r="BC37" s="16"/>
      <c r="BD37" s="16"/>
      <c r="BE37" s="25"/>
      <c r="BF37" s="283"/>
      <c r="BG37" s="16"/>
      <c r="BH37" s="16"/>
      <c r="BI37" s="16"/>
      <c r="BJ37" s="16"/>
      <c r="BK37" s="16"/>
      <c r="BL37" s="25"/>
      <c r="BM37" s="283"/>
      <c r="BN37" s="16"/>
      <c r="BO37" s="16"/>
      <c r="BP37" s="16"/>
      <c r="BQ37" s="16"/>
      <c r="BR37" s="16"/>
      <c r="BS37" s="25"/>
      <c r="BT37" s="153"/>
      <c r="BU37" s="16"/>
      <c r="BV37" s="16"/>
      <c r="BW37" s="16"/>
      <c r="BX37" s="16"/>
      <c r="BY37" s="16"/>
      <c r="BZ37" s="25"/>
      <c r="CA37" s="283"/>
      <c r="CB37" s="16"/>
      <c r="CC37" s="16"/>
      <c r="CD37" s="16"/>
      <c r="CE37" s="16"/>
      <c r="CF37" s="16"/>
      <c r="CG37" s="25"/>
      <c r="CH37" s="283"/>
      <c r="CI37" s="16"/>
      <c r="CJ37" s="16"/>
      <c r="CK37" s="16"/>
      <c r="CL37" s="16"/>
      <c r="CM37" s="16"/>
      <c r="CN37" s="25"/>
      <c r="CO37" s="283"/>
      <c r="CP37" s="16"/>
      <c r="CQ37" s="16"/>
      <c r="CR37" s="16"/>
      <c r="CS37" s="16"/>
      <c r="CT37" s="16"/>
      <c r="CU37" s="25"/>
      <c r="CV37" s="153"/>
      <c r="CW37" s="16"/>
      <c r="CX37" s="16"/>
      <c r="CY37" s="16"/>
      <c r="CZ37" s="16"/>
      <c r="DA37" s="16"/>
      <c r="DB37" s="25"/>
      <c r="DC37" s="153"/>
      <c r="DD37" s="16"/>
      <c r="DE37" s="16"/>
      <c r="DF37" s="16"/>
      <c r="DG37" s="16"/>
      <c r="DH37" s="16"/>
      <c r="DI37" s="25"/>
      <c r="DJ37" s="153"/>
      <c r="DK37" s="16"/>
      <c r="DL37" s="16"/>
      <c r="DM37" s="16"/>
      <c r="DN37" s="16"/>
      <c r="DO37" s="16"/>
      <c r="DP37" s="25"/>
      <c r="DQ37" s="153"/>
      <c r="DR37" s="16"/>
      <c r="DS37" s="16"/>
      <c r="DT37" s="16"/>
      <c r="DU37" s="16"/>
      <c r="DV37" s="16"/>
      <c r="DW37" s="25"/>
      <c r="DX37" s="153"/>
      <c r="DY37" s="16"/>
      <c r="DZ37" s="16"/>
      <c r="EA37" s="16"/>
      <c r="EB37" s="16"/>
      <c r="EC37" s="16"/>
      <c r="ED37" s="25"/>
      <c r="EE37" s="153"/>
      <c r="EF37" s="16"/>
      <c r="EG37" s="16"/>
      <c r="EH37" s="16"/>
      <c r="EI37" s="16"/>
      <c r="EJ37" s="16"/>
      <c r="EK37" s="25"/>
      <c r="EL37" s="153"/>
      <c r="EM37" s="16"/>
      <c r="EN37" s="16"/>
      <c r="EO37" s="16"/>
      <c r="EP37" s="16"/>
      <c r="EQ37" s="16"/>
      <c r="ER37" s="25"/>
      <c r="ES37" s="153"/>
      <c r="ET37" s="16"/>
      <c r="EU37" s="16"/>
      <c r="EV37" s="16"/>
      <c r="EW37" s="16"/>
      <c r="EX37" s="16"/>
      <c r="EY37" s="25"/>
      <c r="EZ37" s="153"/>
      <c r="FA37" s="16"/>
      <c r="FB37" s="16"/>
      <c r="FC37" s="16"/>
      <c r="FD37" s="16"/>
      <c r="FE37" s="16"/>
      <c r="FF37" s="25"/>
      <c r="FG37" s="153"/>
      <c r="FH37" s="16"/>
      <c r="FI37" s="16"/>
      <c r="FJ37" s="16"/>
      <c r="FK37" s="16"/>
      <c r="FL37" s="16"/>
      <c r="FM37" s="25"/>
      <c r="FN37" s="153"/>
      <c r="FO37" s="16"/>
      <c r="FP37" s="16"/>
      <c r="FQ37" s="16"/>
      <c r="FR37" s="16"/>
      <c r="FS37" s="16"/>
      <c r="FT37" s="25"/>
      <c r="FU37" s="283"/>
      <c r="FV37" s="16"/>
      <c r="FW37" s="16"/>
      <c r="FX37" s="16"/>
      <c r="FY37" s="16"/>
      <c r="FZ37" s="16"/>
      <c r="GA37" s="25"/>
      <c r="GB37" s="283"/>
      <c r="GC37" s="16"/>
      <c r="GD37" s="16"/>
      <c r="GE37" s="16"/>
      <c r="GF37" s="16"/>
      <c r="GG37" s="16"/>
      <c r="GH37" s="25"/>
      <c r="GI37" s="283"/>
      <c r="GJ37" s="16"/>
      <c r="GK37" s="16"/>
      <c r="GL37" s="16"/>
      <c r="GM37" s="16"/>
      <c r="GN37" s="16"/>
      <c r="GO37" s="25"/>
      <c r="GP37" s="283"/>
      <c r="GQ37" s="16"/>
      <c r="GR37" s="16"/>
      <c r="GS37" s="16"/>
      <c r="GT37" s="16"/>
      <c r="GU37" s="16"/>
      <c r="GV37" s="25"/>
      <c r="GW37" s="283"/>
      <c r="GX37" s="16"/>
      <c r="GY37" s="16"/>
      <c r="GZ37" s="16"/>
      <c r="HA37" s="16"/>
      <c r="HB37" s="16"/>
      <c r="HC37" s="25"/>
      <c r="HD37" s="283"/>
      <c r="HE37" s="16"/>
      <c r="HF37" s="16"/>
      <c r="HG37" s="16"/>
      <c r="HH37" s="16"/>
      <c r="HI37" s="16"/>
      <c r="HJ37" s="25"/>
      <c r="HK37" s="283"/>
      <c r="HL37" s="16"/>
      <c r="HM37" s="16"/>
      <c r="HN37" s="16"/>
      <c r="HO37" s="16"/>
      <c r="HP37" s="16"/>
      <c r="HQ37" s="25"/>
      <c r="HR37" s="283"/>
      <c r="HS37" s="16"/>
      <c r="HT37" s="16"/>
      <c r="HU37" s="16"/>
      <c r="HV37" s="16"/>
      <c r="HW37" s="16"/>
      <c r="HX37" s="25"/>
      <c r="HY37" s="283"/>
      <c r="HZ37" s="16"/>
      <c r="IA37" s="16"/>
      <c r="IB37" s="16"/>
      <c r="IC37" s="16"/>
      <c r="ID37" s="16"/>
      <c r="IE37" s="25"/>
      <c r="IF37" s="283"/>
      <c r="IG37" s="16"/>
      <c r="IH37" s="16"/>
      <c r="II37" s="16"/>
      <c r="IJ37" s="16"/>
      <c r="IK37" s="16"/>
      <c r="IL37" s="25"/>
      <c r="IM37" s="283"/>
      <c r="IN37" s="16"/>
      <c r="IO37" s="16"/>
      <c r="IP37" s="16"/>
      <c r="IQ37" s="16"/>
      <c r="IR37" s="16"/>
      <c r="IS37" s="25"/>
      <c r="IT37" s="283"/>
      <c r="IU37" s="16"/>
      <c r="IV37" s="16"/>
      <c r="IW37" s="16"/>
      <c r="IX37" s="16"/>
      <c r="IY37" s="16"/>
      <c r="IZ37" s="25"/>
      <c r="JA37" s="283"/>
      <c r="JB37" s="16"/>
      <c r="JC37" s="16"/>
      <c r="JD37" s="16"/>
      <c r="JE37" s="16"/>
      <c r="JF37" s="16"/>
      <c r="JG37" s="25"/>
      <c r="JH37" s="283"/>
      <c r="JI37" s="16"/>
      <c r="JJ37" s="16"/>
      <c r="JK37" s="16"/>
      <c r="JL37" s="16"/>
      <c r="JM37" s="16"/>
      <c r="JN37" s="25"/>
      <c r="JO37" s="401"/>
      <c r="JP37" s="16"/>
      <c r="JQ37" s="16"/>
      <c r="JR37" s="16"/>
      <c r="JS37" s="16"/>
      <c r="JT37" s="16"/>
      <c r="JU37" s="25"/>
      <c r="JV37" s="283"/>
      <c r="JW37" s="16"/>
      <c r="JX37" s="16"/>
      <c r="JY37" s="16"/>
      <c r="JZ37" s="16"/>
      <c r="KA37" s="16"/>
      <c r="KB37" s="25"/>
      <c r="KC37" s="283"/>
      <c r="KD37" s="16"/>
      <c r="KE37" s="16"/>
      <c r="KF37" s="16"/>
      <c r="KG37" s="16"/>
      <c r="KH37" s="16"/>
      <c r="KI37" s="25"/>
      <c r="KJ37" s="283"/>
      <c r="KK37" s="16"/>
      <c r="KL37" s="16"/>
      <c r="KM37" s="16"/>
      <c r="KN37" s="16"/>
      <c r="KO37" s="16"/>
      <c r="KP37" s="25"/>
      <c r="KQ37" s="283"/>
      <c r="KR37" s="16"/>
      <c r="KS37" s="16"/>
      <c r="KT37" s="16"/>
      <c r="KU37" s="16"/>
      <c r="KV37" s="16"/>
      <c r="KW37" s="25"/>
      <c r="KX37" s="153"/>
      <c r="KY37" s="16"/>
      <c r="KZ37" s="16"/>
      <c r="LA37" s="16"/>
      <c r="LB37" s="16"/>
      <c r="LC37" s="16"/>
      <c r="LD37" s="25"/>
      <c r="LE37" s="283"/>
      <c r="LF37" s="16"/>
      <c r="LG37" s="16"/>
      <c r="LH37" s="16"/>
      <c r="LI37" s="16"/>
      <c r="LJ37" s="16"/>
      <c r="LK37" s="25"/>
      <c r="LL37" s="283"/>
      <c r="LM37" s="16"/>
      <c r="LN37" s="16"/>
      <c r="LO37" s="16"/>
      <c r="LP37" s="16"/>
      <c r="LQ37" s="16"/>
      <c r="LR37" s="25"/>
      <c r="LS37" s="283"/>
      <c r="LT37" s="16"/>
      <c r="LU37" s="16"/>
      <c r="LV37" s="16"/>
      <c r="LW37" s="16"/>
      <c r="LX37" s="16"/>
      <c r="LY37" s="25"/>
      <c r="LZ37" s="283"/>
      <c r="MA37" s="16"/>
      <c r="MB37" s="16"/>
      <c r="MC37" s="16"/>
      <c r="MD37" s="16"/>
      <c r="ME37" s="16"/>
      <c r="MF37" s="25"/>
      <c r="MG37" s="283"/>
      <c r="MH37" s="16"/>
      <c r="MI37" s="16"/>
      <c r="MJ37" s="16"/>
      <c r="MK37" s="16"/>
      <c r="ML37" s="16"/>
      <c r="MM37" s="25"/>
      <c r="MN37" s="283"/>
      <c r="MO37" s="16"/>
      <c r="MP37" s="16"/>
      <c r="MQ37" s="16"/>
      <c r="MR37" s="16"/>
      <c r="MS37" s="16"/>
      <c r="MT37" s="25"/>
      <c r="MU37" s="283"/>
      <c r="MV37" s="16"/>
      <c r="MW37" s="16"/>
      <c r="MX37" s="16"/>
      <c r="MY37" s="16"/>
      <c r="MZ37" s="16"/>
      <c r="NA37" s="25"/>
      <c r="NB37" s="402"/>
      <c r="NC37" s="270"/>
      <c r="ND37" s="270"/>
      <c r="NE37" s="270"/>
      <c r="NF37" s="270"/>
      <c r="NG37" s="270"/>
      <c r="NH37" s="270"/>
      <c r="NI37" s="270"/>
      <c r="NJ37" s="270"/>
      <c r="NK37" s="270"/>
      <c r="NL37" s="270"/>
      <c r="NM37" s="270"/>
      <c r="NN37" s="270"/>
      <c r="NO37" s="270"/>
      <c r="NP37" s="270"/>
      <c r="NQ37" s="270"/>
      <c r="NR37" s="270"/>
      <c r="NS37" s="270"/>
      <c r="NT37" s="270"/>
      <c r="NU37" s="270"/>
      <c r="NV37" s="270"/>
      <c r="NW37" s="270"/>
      <c r="NX37" s="270"/>
      <c r="NY37" s="270"/>
      <c r="NZ37" s="270"/>
      <c r="OA37" s="270"/>
      <c r="OB37" s="270"/>
      <c r="OC37" s="270"/>
      <c r="OD37" s="270"/>
      <c r="OE37" s="270"/>
      <c r="OF37" s="270"/>
      <c r="OG37" s="270"/>
      <c r="OH37" s="270"/>
      <c r="OI37" s="270"/>
      <c r="OJ37" s="270"/>
      <c r="OK37" s="270"/>
      <c r="OL37" s="270"/>
      <c r="OM37" s="270"/>
      <c r="ON37" s="270"/>
      <c r="OO37" s="270"/>
      <c r="OP37" s="270"/>
      <c r="OQ37" s="270"/>
      <c r="OR37" s="270"/>
      <c r="OS37" s="270"/>
      <c r="OT37" s="270"/>
      <c r="OU37" s="270"/>
      <c r="OV37" s="270"/>
      <c r="OW37" s="270"/>
      <c r="OX37" s="270"/>
      <c r="OY37" s="270"/>
      <c r="OZ37" s="270"/>
      <c r="PA37" s="270"/>
      <c r="PB37" s="270"/>
      <c r="PC37" s="270"/>
      <c r="PD37" s="270"/>
      <c r="PE37" s="270"/>
      <c r="PF37" s="270"/>
      <c r="PG37" s="270"/>
      <c r="PH37" s="270"/>
      <c r="PI37" s="270"/>
      <c r="PJ37" s="270"/>
      <c r="PK37" s="270"/>
      <c r="PL37" s="270"/>
      <c r="PM37" s="270"/>
      <c r="PN37" s="270"/>
      <c r="PO37" s="270"/>
      <c r="PP37" s="270"/>
      <c r="PQ37" s="270"/>
      <c r="PR37" s="270"/>
      <c r="PS37" s="270"/>
      <c r="PT37" s="270"/>
      <c r="PU37" s="270"/>
      <c r="PV37" s="270"/>
      <c r="PW37" s="270"/>
      <c r="PX37" s="270"/>
      <c r="PY37" s="270"/>
      <c r="PZ37" s="270"/>
      <c r="QA37" s="270"/>
      <c r="QB37" s="270"/>
      <c r="QC37" s="270"/>
      <c r="QD37" s="270"/>
      <c r="QE37" s="270"/>
      <c r="QF37" s="270"/>
      <c r="QG37" s="270"/>
      <c r="QH37" s="270"/>
      <c r="QI37" s="270"/>
      <c r="QJ37" s="270"/>
      <c r="QK37" s="270"/>
      <c r="QL37" s="270"/>
      <c r="QM37" s="270"/>
      <c r="QN37" s="270"/>
      <c r="QO37" s="270"/>
      <c r="QP37" s="270"/>
      <c r="QQ37" s="270"/>
      <c r="QR37" s="270"/>
      <c r="QS37" s="270"/>
      <c r="QT37" s="270"/>
      <c r="QU37" s="270"/>
      <c r="QV37" s="270"/>
      <c r="QW37" s="270"/>
      <c r="QX37" s="270"/>
      <c r="QY37" s="270"/>
      <c r="QZ37" s="270"/>
      <c r="RA37" s="270"/>
      <c r="RB37" s="270"/>
      <c r="RC37" s="270"/>
      <c r="RD37" s="270"/>
      <c r="RE37" s="270"/>
      <c r="RF37" s="270"/>
      <c r="RG37" s="270"/>
      <c r="RH37" s="270"/>
      <c r="RI37" s="270"/>
      <c r="RJ37" s="270"/>
      <c r="RK37" s="270"/>
      <c r="RL37" s="270"/>
      <c r="RM37" s="270"/>
      <c r="RN37" s="270"/>
      <c r="RO37" s="270"/>
      <c r="RP37" s="270"/>
      <c r="RQ37" s="270"/>
      <c r="RR37" s="270"/>
      <c r="RS37" s="270"/>
      <c r="RT37" s="270"/>
      <c r="RU37" s="270"/>
      <c r="RV37" s="270"/>
      <c r="RW37" s="270"/>
      <c r="RX37" s="270"/>
      <c r="RY37" s="270"/>
      <c r="RZ37" s="270"/>
      <c r="SA37" s="270"/>
      <c r="SB37" s="270"/>
      <c r="SC37" s="270"/>
      <c r="SD37" s="270"/>
      <c r="SE37" s="270"/>
      <c r="SF37" s="270"/>
      <c r="SG37" s="270"/>
      <c r="SH37" s="270"/>
      <c r="SI37" s="270"/>
      <c r="SJ37" s="270"/>
      <c r="SK37" s="270"/>
      <c r="SL37" s="270"/>
      <c r="SM37" s="270"/>
      <c r="SN37" s="270"/>
      <c r="SO37" s="270"/>
      <c r="SP37" s="270"/>
      <c r="SQ37" s="270"/>
      <c r="SR37" s="270"/>
      <c r="SS37" s="270"/>
      <c r="ST37" s="270"/>
      <c r="SU37" s="270"/>
      <c r="SV37" s="270"/>
      <c r="SW37" s="270"/>
      <c r="SX37" s="270"/>
      <c r="SY37" s="270"/>
      <c r="SZ37" s="270"/>
      <c r="TA37" s="270"/>
      <c r="TB37" s="270"/>
      <c r="TC37" s="270"/>
      <c r="TD37" s="270"/>
      <c r="TE37" s="270"/>
      <c r="TF37" s="270"/>
      <c r="TG37" s="270"/>
      <c r="TH37" s="270"/>
      <c r="TI37" s="270"/>
      <c r="TJ37" s="270"/>
      <c r="TK37" s="270"/>
      <c r="TL37" s="270"/>
      <c r="TM37" s="270"/>
      <c r="TN37" s="270"/>
      <c r="TO37" s="270"/>
      <c r="TP37" s="270"/>
      <c r="TQ37" s="270"/>
      <c r="TR37" s="270"/>
      <c r="TS37" s="270"/>
      <c r="TT37" s="270"/>
      <c r="TU37" s="270"/>
      <c r="TV37" s="270"/>
      <c r="TW37" s="270"/>
      <c r="TX37" s="270"/>
      <c r="TY37" s="270"/>
      <c r="TZ37" s="270"/>
      <c r="UA37" s="270"/>
      <c r="UB37" s="270"/>
      <c r="UC37" s="270"/>
      <c r="UD37" s="270"/>
      <c r="UE37" s="270"/>
      <c r="UF37" s="270"/>
      <c r="UG37" s="270"/>
      <c r="UH37" s="270"/>
      <c r="UI37" s="270"/>
      <c r="UJ37" s="270"/>
      <c r="UK37" s="270"/>
      <c r="UL37" s="270"/>
      <c r="UM37" s="270"/>
      <c r="UN37" s="270"/>
      <c r="UO37" s="270"/>
      <c r="UP37" s="270"/>
      <c r="UQ37" s="270"/>
      <c r="UR37" s="270"/>
      <c r="US37" s="270"/>
      <c r="UT37" s="270"/>
      <c r="UU37" s="270"/>
      <c r="UV37" s="270"/>
      <c r="UW37" s="270"/>
      <c r="UX37" s="270"/>
      <c r="UY37" s="270"/>
      <c r="UZ37" s="270"/>
      <c r="VA37" s="270"/>
      <c r="VB37" s="270"/>
      <c r="VC37" s="270"/>
      <c r="VD37" s="270"/>
      <c r="VE37" s="270"/>
      <c r="VF37" s="270"/>
      <c r="VG37" s="270"/>
      <c r="VH37" s="270"/>
      <c r="VI37" s="270"/>
      <c r="VJ37" s="270"/>
      <c r="VK37" s="270"/>
      <c r="VL37" s="270"/>
      <c r="VM37" s="270"/>
      <c r="VN37" s="270"/>
      <c r="VO37" s="270"/>
      <c r="VP37" s="270"/>
      <c r="VQ37" s="270"/>
      <c r="VR37" s="270"/>
      <c r="VS37" s="270"/>
      <c r="VT37" s="270"/>
      <c r="VU37" s="270"/>
      <c r="VV37" s="270"/>
      <c r="VW37" s="270"/>
      <c r="VX37" s="270"/>
      <c r="VY37" s="270"/>
      <c r="VZ37" s="270"/>
      <c r="WA37" s="270"/>
      <c r="WB37" s="270"/>
      <c r="WC37" s="270"/>
      <c r="WD37" s="270"/>
      <c r="WE37" s="270"/>
      <c r="WF37" s="270"/>
      <c r="WG37" s="270"/>
      <c r="WH37" s="270"/>
      <c r="WI37" s="270"/>
      <c r="WJ37" s="270"/>
      <c r="WK37" s="270"/>
      <c r="WL37" s="270"/>
      <c r="WM37" s="270"/>
      <c r="WN37" s="270"/>
      <c r="WO37" s="270"/>
      <c r="WP37" s="270"/>
      <c r="WQ37" s="270"/>
      <c r="WR37" s="270"/>
      <c r="WS37" s="270"/>
      <c r="WT37" s="270"/>
      <c r="WU37" s="270"/>
      <c r="WV37" s="270"/>
      <c r="WW37" s="270"/>
      <c r="WX37" s="270"/>
      <c r="WY37" s="270"/>
      <c r="WZ37" s="270"/>
      <c r="XA37" s="270"/>
      <c r="XB37" s="270"/>
      <c r="XC37" s="270"/>
      <c r="XD37" s="270"/>
      <c r="XE37" s="270"/>
      <c r="XF37" s="270"/>
      <c r="XG37" s="270"/>
      <c r="XH37" s="270"/>
      <c r="XI37" s="270"/>
      <c r="XJ37" s="270"/>
      <c r="XK37" s="270"/>
      <c r="XL37" s="270"/>
      <c r="XM37" s="270"/>
      <c r="XN37" s="270"/>
      <c r="XO37" s="270"/>
      <c r="XP37" s="270"/>
      <c r="XQ37" s="270"/>
      <c r="XR37" s="270"/>
      <c r="XS37" s="270"/>
      <c r="XT37" s="270"/>
      <c r="XU37" s="270"/>
      <c r="XV37" s="270"/>
      <c r="XW37" s="270"/>
      <c r="XX37" s="270"/>
      <c r="XY37" s="270"/>
      <c r="XZ37" s="270"/>
      <c r="YA37" s="270"/>
      <c r="YB37" s="270"/>
      <c r="YC37" s="270"/>
      <c r="YD37" s="270"/>
      <c r="YE37" s="270"/>
      <c r="YF37" s="270"/>
      <c r="YG37" s="270"/>
      <c r="YH37" s="270"/>
      <c r="YI37" s="270"/>
      <c r="YJ37" s="270"/>
      <c r="YK37" s="270"/>
      <c r="YL37" s="270"/>
      <c r="YM37" s="270"/>
      <c r="YN37" s="270"/>
      <c r="YO37" s="270"/>
      <c r="YP37" s="270"/>
      <c r="YQ37" s="270"/>
      <c r="YR37" s="270"/>
      <c r="YS37" s="270"/>
      <c r="YT37" s="270"/>
      <c r="YU37" s="270"/>
      <c r="YV37" s="270"/>
      <c r="YW37" s="270"/>
      <c r="YX37" s="270"/>
      <c r="YY37" s="270"/>
      <c r="YZ37" s="270"/>
      <c r="ZA37" s="270"/>
      <c r="ZB37" s="270"/>
      <c r="ZC37" s="270"/>
      <c r="ZD37" s="270"/>
      <c r="ZE37" s="270"/>
    </row>
    <row r="38">
      <c r="A38" s="156" t="s">
        <v>706</v>
      </c>
      <c r="B38" s="283"/>
      <c r="C38" s="16"/>
      <c r="D38" s="16"/>
      <c r="E38" s="16"/>
      <c r="F38" s="16"/>
      <c r="G38" s="16"/>
      <c r="H38" s="25"/>
      <c r="I38" s="153"/>
      <c r="J38" s="16"/>
      <c r="K38" s="16"/>
      <c r="L38" s="16"/>
      <c r="M38" s="16"/>
      <c r="N38" s="16"/>
      <c r="O38" s="25"/>
      <c r="P38" s="283"/>
      <c r="Q38" s="16"/>
      <c r="R38" s="16"/>
      <c r="S38" s="16"/>
      <c r="T38" s="16"/>
      <c r="U38" s="16"/>
      <c r="V38" s="25"/>
      <c r="W38" s="108" t="s">
        <v>1914</v>
      </c>
      <c r="X38" s="16"/>
      <c r="Y38" s="16"/>
      <c r="Z38" s="16"/>
      <c r="AA38" s="16"/>
      <c r="AB38" s="16"/>
      <c r="AC38" s="25"/>
      <c r="AD38" s="283"/>
      <c r="AE38" s="16"/>
      <c r="AF38" s="16"/>
      <c r="AG38" s="16"/>
      <c r="AH38" s="16"/>
      <c r="AI38" s="16"/>
      <c r="AJ38" s="25"/>
      <c r="AK38" s="283"/>
      <c r="AL38" s="16"/>
      <c r="AM38" s="16"/>
      <c r="AN38" s="16"/>
      <c r="AO38" s="16"/>
      <c r="AP38" s="16"/>
      <c r="AQ38" s="25"/>
      <c r="AR38" s="283"/>
      <c r="AS38" s="16"/>
      <c r="AT38" s="16"/>
      <c r="AU38" s="16"/>
      <c r="AV38" s="16"/>
      <c r="AW38" s="16"/>
      <c r="AX38" s="25"/>
      <c r="AY38" s="283"/>
      <c r="AZ38" s="16"/>
      <c r="BA38" s="16"/>
      <c r="BB38" s="16"/>
      <c r="BC38" s="16"/>
      <c r="BD38" s="16"/>
      <c r="BE38" s="25"/>
      <c r="BF38" s="108" t="s">
        <v>1915</v>
      </c>
      <c r="BG38" s="16"/>
      <c r="BH38" s="16"/>
      <c r="BI38" s="16"/>
      <c r="BJ38" s="16"/>
      <c r="BK38" s="16"/>
      <c r="BL38" s="25"/>
      <c r="BM38" s="283"/>
      <c r="BN38" s="16"/>
      <c r="BO38" s="16"/>
      <c r="BP38" s="16"/>
      <c r="BQ38" s="16"/>
      <c r="BR38" s="16"/>
      <c r="BS38" s="25"/>
      <c r="BT38" s="153"/>
      <c r="BU38" s="16"/>
      <c r="BV38" s="16"/>
      <c r="BW38" s="16"/>
      <c r="BX38" s="16"/>
      <c r="BY38" s="16"/>
      <c r="BZ38" s="25"/>
      <c r="CA38" s="283"/>
      <c r="CB38" s="16"/>
      <c r="CC38" s="16"/>
      <c r="CD38" s="16"/>
      <c r="CE38" s="16"/>
      <c r="CF38" s="16"/>
      <c r="CG38" s="25"/>
      <c r="CH38" s="283"/>
      <c r="CI38" s="16"/>
      <c r="CJ38" s="16"/>
      <c r="CK38" s="16"/>
      <c r="CL38" s="16"/>
      <c r="CM38" s="16"/>
      <c r="CN38" s="25"/>
      <c r="CO38" s="283"/>
      <c r="CP38" s="16"/>
      <c r="CQ38" s="16"/>
      <c r="CR38" s="16"/>
      <c r="CS38" s="16"/>
      <c r="CT38" s="16"/>
      <c r="CU38" s="25"/>
      <c r="CV38" s="153"/>
      <c r="CW38" s="16"/>
      <c r="CX38" s="16"/>
      <c r="CY38" s="16"/>
      <c r="CZ38" s="16"/>
      <c r="DA38" s="16"/>
      <c r="DB38" s="25"/>
      <c r="DC38" s="153"/>
      <c r="DD38" s="16"/>
      <c r="DE38" s="16"/>
      <c r="DF38" s="16"/>
      <c r="DG38" s="16"/>
      <c r="DH38" s="16"/>
      <c r="DI38" s="25"/>
      <c r="DJ38" s="153"/>
      <c r="DK38" s="16"/>
      <c r="DL38" s="16"/>
      <c r="DM38" s="16"/>
      <c r="DN38" s="16"/>
      <c r="DO38" s="16"/>
      <c r="DP38" s="25"/>
      <c r="DQ38" s="153"/>
      <c r="DR38" s="16"/>
      <c r="DS38" s="16"/>
      <c r="DT38" s="16"/>
      <c r="DU38" s="16"/>
      <c r="DV38" s="16"/>
      <c r="DW38" s="25"/>
      <c r="DX38" s="153"/>
      <c r="DY38" s="16"/>
      <c r="DZ38" s="16"/>
      <c r="EA38" s="16"/>
      <c r="EB38" s="16"/>
      <c r="EC38" s="16"/>
      <c r="ED38" s="25"/>
      <c r="EE38" s="153"/>
      <c r="EF38" s="16"/>
      <c r="EG38" s="16"/>
      <c r="EH38" s="16"/>
      <c r="EI38" s="16"/>
      <c r="EJ38" s="16"/>
      <c r="EK38" s="25"/>
      <c r="EL38" s="153"/>
      <c r="EM38" s="16"/>
      <c r="EN38" s="16"/>
      <c r="EO38" s="16"/>
      <c r="EP38" s="16"/>
      <c r="EQ38" s="16"/>
      <c r="ER38" s="25"/>
      <c r="ES38" s="153"/>
      <c r="ET38" s="16"/>
      <c r="EU38" s="16"/>
      <c r="EV38" s="16"/>
      <c r="EW38" s="16"/>
      <c r="EX38" s="16"/>
      <c r="EY38" s="25"/>
      <c r="EZ38" s="153"/>
      <c r="FA38" s="16"/>
      <c r="FB38" s="16"/>
      <c r="FC38" s="16"/>
      <c r="FD38" s="16"/>
      <c r="FE38" s="16"/>
      <c r="FF38" s="25"/>
      <c r="FG38" s="153"/>
      <c r="FH38" s="16"/>
      <c r="FI38" s="16"/>
      <c r="FJ38" s="16"/>
      <c r="FK38" s="16"/>
      <c r="FL38" s="16"/>
      <c r="FM38" s="25"/>
      <c r="FN38" s="153"/>
      <c r="FO38" s="16"/>
      <c r="FP38" s="16"/>
      <c r="FQ38" s="16"/>
      <c r="FR38" s="16"/>
      <c r="FS38" s="16"/>
      <c r="FT38" s="25"/>
      <c r="FU38" s="283"/>
      <c r="FV38" s="16"/>
      <c r="FW38" s="16"/>
      <c r="FX38" s="16"/>
      <c r="FY38" s="16"/>
      <c r="FZ38" s="16"/>
      <c r="GA38" s="25"/>
      <c r="GB38" s="283"/>
      <c r="GC38" s="16"/>
      <c r="GD38" s="16"/>
      <c r="GE38" s="16"/>
      <c r="GF38" s="16"/>
      <c r="GG38" s="16"/>
      <c r="GH38" s="25"/>
      <c r="GI38" s="283"/>
      <c r="GJ38" s="16"/>
      <c r="GK38" s="16"/>
      <c r="GL38" s="16"/>
      <c r="GM38" s="16"/>
      <c r="GN38" s="16"/>
      <c r="GO38" s="25"/>
      <c r="GP38" s="283"/>
      <c r="GQ38" s="16"/>
      <c r="GR38" s="16"/>
      <c r="GS38" s="16"/>
      <c r="GT38" s="16"/>
      <c r="GU38" s="16"/>
      <c r="GV38" s="25"/>
      <c r="GW38" s="283"/>
      <c r="GX38" s="16"/>
      <c r="GY38" s="16"/>
      <c r="GZ38" s="16"/>
      <c r="HA38" s="16"/>
      <c r="HB38" s="16"/>
      <c r="HC38" s="25"/>
      <c r="HD38" s="283"/>
      <c r="HE38" s="16"/>
      <c r="HF38" s="16"/>
      <c r="HG38" s="16"/>
      <c r="HH38" s="16"/>
      <c r="HI38" s="16"/>
      <c r="HJ38" s="25"/>
      <c r="HK38" s="283"/>
      <c r="HL38" s="16"/>
      <c r="HM38" s="16"/>
      <c r="HN38" s="16"/>
      <c r="HO38" s="16"/>
      <c r="HP38" s="16"/>
      <c r="HQ38" s="25"/>
      <c r="HR38" s="283"/>
      <c r="HS38" s="16"/>
      <c r="HT38" s="16"/>
      <c r="HU38" s="16"/>
      <c r="HV38" s="16"/>
      <c r="HW38" s="16"/>
      <c r="HX38" s="25"/>
      <c r="HY38" s="283"/>
      <c r="HZ38" s="16"/>
      <c r="IA38" s="16"/>
      <c r="IB38" s="16"/>
      <c r="IC38" s="16"/>
      <c r="ID38" s="16"/>
      <c r="IE38" s="25"/>
      <c r="IF38" s="283"/>
      <c r="IG38" s="16"/>
      <c r="IH38" s="16"/>
      <c r="II38" s="16"/>
      <c r="IJ38" s="16"/>
      <c r="IK38" s="16"/>
      <c r="IL38" s="25"/>
      <c r="IM38" s="283"/>
      <c r="IN38" s="16"/>
      <c r="IO38" s="16"/>
      <c r="IP38" s="16"/>
      <c r="IQ38" s="16"/>
      <c r="IR38" s="16"/>
      <c r="IS38" s="25"/>
      <c r="IT38" s="283"/>
      <c r="IU38" s="16"/>
      <c r="IV38" s="16"/>
      <c r="IW38" s="16"/>
      <c r="IX38" s="16"/>
      <c r="IY38" s="16"/>
      <c r="IZ38" s="25"/>
      <c r="JA38" s="283"/>
      <c r="JB38" s="16"/>
      <c r="JC38" s="16"/>
      <c r="JD38" s="16"/>
      <c r="JE38" s="16"/>
      <c r="JF38" s="16"/>
      <c r="JG38" s="25"/>
      <c r="JH38" s="283"/>
      <c r="JI38" s="16"/>
      <c r="JJ38" s="16"/>
      <c r="JK38" s="16"/>
      <c r="JL38" s="16"/>
      <c r="JM38" s="16"/>
      <c r="JN38" s="25"/>
      <c r="JO38" s="401"/>
      <c r="JP38" s="16"/>
      <c r="JQ38" s="16"/>
      <c r="JR38" s="16"/>
      <c r="JS38" s="16"/>
      <c r="JT38" s="16"/>
      <c r="JU38" s="25"/>
      <c r="JV38" s="283"/>
      <c r="JW38" s="16"/>
      <c r="JX38" s="16"/>
      <c r="JY38" s="16"/>
      <c r="JZ38" s="16"/>
      <c r="KA38" s="16"/>
      <c r="KB38" s="25"/>
      <c r="KC38" s="283"/>
      <c r="KD38" s="16"/>
      <c r="KE38" s="16"/>
      <c r="KF38" s="16"/>
      <c r="KG38" s="16"/>
      <c r="KH38" s="16"/>
      <c r="KI38" s="25"/>
      <c r="KJ38" s="283"/>
      <c r="KK38" s="16"/>
      <c r="KL38" s="16"/>
      <c r="KM38" s="16"/>
      <c r="KN38" s="16"/>
      <c r="KO38" s="16"/>
      <c r="KP38" s="25"/>
      <c r="KQ38" s="283"/>
      <c r="KR38" s="16"/>
      <c r="KS38" s="16"/>
      <c r="KT38" s="16"/>
      <c r="KU38" s="16"/>
      <c r="KV38" s="16"/>
      <c r="KW38" s="25"/>
      <c r="KX38" s="283"/>
      <c r="KY38" s="16"/>
      <c r="KZ38" s="16"/>
      <c r="LA38" s="16"/>
      <c r="LB38" s="16"/>
      <c r="LC38" s="16"/>
      <c r="LD38" s="25"/>
      <c r="LE38" s="283"/>
      <c r="LF38" s="16"/>
      <c r="LG38" s="16"/>
      <c r="LH38" s="16"/>
      <c r="LI38" s="16"/>
      <c r="LJ38" s="16"/>
      <c r="LK38" s="25"/>
      <c r="LL38" s="283"/>
      <c r="LM38" s="16"/>
      <c r="LN38" s="16"/>
      <c r="LO38" s="16"/>
      <c r="LP38" s="16"/>
      <c r="LQ38" s="16"/>
      <c r="LR38" s="25"/>
      <c r="LS38" s="283"/>
      <c r="LT38" s="16"/>
      <c r="LU38" s="16"/>
      <c r="LV38" s="16"/>
      <c r="LW38" s="16"/>
      <c r="LX38" s="16"/>
      <c r="LY38" s="25"/>
      <c r="LZ38" s="283"/>
      <c r="MA38" s="16"/>
      <c r="MB38" s="16"/>
      <c r="MC38" s="16"/>
      <c r="MD38" s="16"/>
      <c r="ME38" s="16"/>
      <c r="MF38" s="25"/>
      <c r="MG38" s="283"/>
      <c r="MH38" s="16"/>
      <c r="MI38" s="16"/>
      <c r="MJ38" s="16"/>
      <c r="MK38" s="16"/>
      <c r="ML38" s="16"/>
      <c r="MM38" s="25"/>
      <c r="MN38" s="283"/>
      <c r="MO38" s="16"/>
      <c r="MP38" s="16"/>
      <c r="MQ38" s="16"/>
      <c r="MR38" s="16"/>
      <c r="MS38" s="16"/>
      <c r="MT38" s="25"/>
      <c r="MU38" s="283"/>
      <c r="MV38" s="16"/>
      <c r="MW38" s="16"/>
      <c r="MX38" s="16"/>
      <c r="MY38" s="16"/>
      <c r="MZ38" s="16"/>
      <c r="NA38" s="25"/>
      <c r="NB38" s="402"/>
      <c r="NC38" s="270"/>
      <c r="ND38" s="270"/>
      <c r="NE38" s="270"/>
      <c r="NF38" s="270"/>
      <c r="NG38" s="270"/>
      <c r="NH38" s="270"/>
      <c r="NI38" s="270"/>
      <c r="NJ38" s="270"/>
      <c r="NK38" s="270"/>
      <c r="NL38" s="270"/>
      <c r="NM38" s="270"/>
      <c r="NN38" s="270"/>
      <c r="NO38" s="270"/>
      <c r="NP38" s="270"/>
      <c r="NQ38" s="270"/>
      <c r="NR38" s="270"/>
      <c r="NS38" s="270"/>
      <c r="NT38" s="270"/>
      <c r="NU38" s="270"/>
      <c r="NV38" s="270"/>
      <c r="NW38" s="270"/>
      <c r="NX38" s="270"/>
      <c r="NY38" s="270"/>
      <c r="NZ38" s="270"/>
      <c r="OA38" s="270"/>
      <c r="OB38" s="270"/>
      <c r="OC38" s="270"/>
      <c r="OD38" s="270"/>
      <c r="OE38" s="270"/>
      <c r="OF38" s="270"/>
      <c r="OG38" s="270"/>
      <c r="OH38" s="270"/>
      <c r="OI38" s="270"/>
      <c r="OJ38" s="270"/>
      <c r="OK38" s="270"/>
      <c r="OL38" s="270"/>
      <c r="OM38" s="270"/>
      <c r="ON38" s="270"/>
      <c r="OO38" s="270"/>
      <c r="OP38" s="270"/>
      <c r="OQ38" s="270"/>
      <c r="OR38" s="270"/>
      <c r="OS38" s="270"/>
      <c r="OT38" s="270"/>
      <c r="OU38" s="270"/>
      <c r="OV38" s="270"/>
      <c r="OW38" s="270"/>
      <c r="OX38" s="270"/>
      <c r="OY38" s="270"/>
      <c r="OZ38" s="270"/>
      <c r="PA38" s="270"/>
      <c r="PB38" s="270"/>
      <c r="PC38" s="270"/>
      <c r="PD38" s="270"/>
      <c r="PE38" s="270"/>
      <c r="PF38" s="270"/>
      <c r="PG38" s="270"/>
      <c r="PH38" s="270"/>
      <c r="PI38" s="270"/>
      <c r="PJ38" s="270"/>
      <c r="PK38" s="270"/>
      <c r="PL38" s="270"/>
      <c r="PM38" s="270"/>
      <c r="PN38" s="270"/>
      <c r="PO38" s="270"/>
      <c r="PP38" s="270"/>
      <c r="PQ38" s="270"/>
      <c r="PR38" s="270"/>
      <c r="PS38" s="270"/>
      <c r="PT38" s="270"/>
      <c r="PU38" s="270"/>
      <c r="PV38" s="270"/>
      <c r="PW38" s="270"/>
      <c r="PX38" s="270"/>
      <c r="PY38" s="270"/>
      <c r="PZ38" s="270"/>
      <c r="QA38" s="270"/>
      <c r="QB38" s="270"/>
      <c r="QC38" s="270"/>
      <c r="QD38" s="270"/>
      <c r="QE38" s="270"/>
      <c r="QF38" s="270"/>
      <c r="QG38" s="270"/>
      <c r="QH38" s="270"/>
      <c r="QI38" s="270"/>
      <c r="QJ38" s="270"/>
      <c r="QK38" s="270"/>
      <c r="QL38" s="270"/>
      <c r="QM38" s="270"/>
      <c r="QN38" s="270"/>
      <c r="QO38" s="270"/>
      <c r="QP38" s="270"/>
      <c r="QQ38" s="270"/>
      <c r="QR38" s="270"/>
      <c r="QS38" s="270"/>
      <c r="QT38" s="270"/>
      <c r="QU38" s="270"/>
      <c r="QV38" s="270"/>
      <c r="QW38" s="270"/>
      <c r="QX38" s="270"/>
      <c r="QY38" s="270"/>
      <c r="QZ38" s="270"/>
      <c r="RA38" s="270"/>
      <c r="RB38" s="270"/>
      <c r="RC38" s="270"/>
      <c r="RD38" s="270"/>
      <c r="RE38" s="270"/>
      <c r="RF38" s="270"/>
      <c r="RG38" s="270"/>
      <c r="RH38" s="270"/>
      <c r="RI38" s="270"/>
      <c r="RJ38" s="270"/>
      <c r="RK38" s="270"/>
      <c r="RL38" s="270"/>
      <c r="RM38" s="270"/>
      <c r="RN38" s="270"/>
      <c r="RO38" s="270"/>
      <c r="RP38" s="270"/>
      <c r="RQ38" s="270"/>
      <c r="RR38" s="270"/>
      <c r="RS38" s="270"/>
      <c r="RT38" s="270"/>
      <c r="RU38" s="270"/>
      <c r="RV38" s="270"/>
      <c r="RW38" s="270"/>
      <c r="RX38" s="270"/>
      <c r="RY38" s="270"/>
      <c r="RZ38" s="270"/>
      <c r="SA38" s="270"/>
      <c r="SB38" s="270"/>
      <c r="SC38" s="270"/>
      <c r="SD38" s="270"/>
      <c r="SE38" s="270"/>
      <c r="SF38" s="270"/>
      <c r="SG38" s="270"/>
      <c r="SH38" s="270"/>
      <c r="SI38" s="270"/>
      <c r="SJ38" s="270"/>
      <c r="SK38" s="270"/>
      <c r="SL38" s="270"/>
      <c r="SM38" s="270"/>
      <c r="SN38" s="270"/>
      <c r="SO38" s="270"/>
      <c r="SP38" s="270"/>
      <c r="SQ38" s="270"/>
      <c r="SR38" s="270"/>
      <c r="SS38" s="270"/>
      <c r="ST38" s="270"/>
      <c r="SU38" s="270"/>
      <c r="SV38" s="270"/>
      <c r="SW38" s="270"/>
      <c r="SX38" s="270"/>
      <c r="SY38" s="270"/>
      <c r="SZ38" s="270"/>
      <c r="TA38" s="270"/>
      <c r="TB38" s="270"/>
      <c r="TC38" s="270"/>
      <c r="TD38" s="270"/>
      <c r="TE38" s="270"/>
      <c r="TF38" s="270"/>
      <c r="TG38" s="270"/>
      <c r="TH38" s="270"/>
      <c r="TI38" s="270"/>
      <c r="TJ38" s="270"/>
      <c r="TK38" s="270"/>
      <c r="TL38" s="270"/>
      <c r="TM38" s="270"/>
      <c r="TN38" s="270"/>
      <c r="TO38" s="270"/>
      <c r="TP38" s="270"/>
      <c r="TQ38" s="270"/>
      <c r="TR38" s="270"/>
      <c r="TS38" s="270"/>
      <c r="TT38" s="270"/>
      <c r="TU38" s="270"/>
      <c r="TV38" s="270"/>
      <c r="TW38" s="270"/>
      <c r="TX38" s="270"/>
      <c r="TY38" s="270"/>
      <c r="TZ38" s="270"/>
      <c r="UA38" s="270"/>
      <c r="UB38" s="270"/>
      <c r="UC38" s="270"/>
      <c r="UD38" s="270"/>
      <c r="UE38" s="270"/>
      <c r="UF38" s="270"/>
      <c r="UG38" s="270"/>
      <c r="UH38" s="270"/>
      <c r="UI38" s="270"/>
      <c r="UJ38" s="270"/>
      <c r="UK38" s="270"/>
      <c r="UL38" s="270"/>
      <c r="UM38" s="270"/>
      <c r="UN38" s="270"/>
      <c r="UO38" s="270"/>
      <c r="UP38" s="270"/>
      <c r="UQ38" s="270"/>
      <c r="UR38" s="270"/>
      <c r="US38" s="270"/>
      <c r="UT38" s="270"/>
      <c r="UU38" s="270"/>
      <c r="UV38" s="270"/>
      <c r="UW38" s="270"/>
      <c r="UX38" s="270"/>
      <c r="UY38" s="270"/>
      <c r="UZ38" s="270"/>
      <c r="VA38" s="270"/>
      <c r="VB38" s="270"/>
      <c r="VC38" s="270"/>
      <c r="VD38" s="270"/>
      <c r="VE38" s="270"/>
      <c r="VF38" s="270"/>
      <c r="VG38" s="270"/>
      <c r="VH38" s="270"/>
      <c r="VI38" s="270"/>
      <c r="VJ38" s="270"/>
      <c r="VK38" s="270"/>
      <c r="VL38" s="270"/>
      <c r="VM38" s="270"/>
      <c r="VN38" s="270"/>
      <c r="VO38" s="270"/>
      <c r="VP38" s="270"/>
      <c r="VQ38" s="270"/>
      <c r="VR38" s="270"/>
      <c r="VS38" s="270"/>
      <c r="VT38" s="270"/>
      <c r="VU38" s="270"/>
      <c r="VV38" s="270"/>
      <c r="VW38" s="270"/>
      <c r="VX38" s="270"/>
      <c r="VY38" s="270"/>
      <c r="VZ38" s="270"/>
      <c r="WA38" s="270"/>
      <c r="WB38" s="270"/>
      <c r="WC38" s="270"/>
      <c r="WD38" s="270"/>
      <c r="WE38" s="270"/>
      <c r="WF38" s="270"/>
      <c r="WG38" s="270"/>
      <c r="WH38" s="270"/>
      <c r="WI38" s="270"/>
      <c r="WJ38" s="270"/>
      <c r="WK38" s="270"/>
      <c r="WL38" s="270"/>
      <c r="WM38" s="270"/>
      <c r="WN38" s="270"/>
      <c r="WO38" s="270"/>
      <c r="WP38" s="270"/>
      <c r="WQ38" s="270"/>
      <c r="WR38" s="270"/>
      <c r="WS38" s="270"/>
      <c r="WT38" s="270"/>
      <c r="WU38" s="270"/>
      <c r="WV38" s="270"/>
      <c r="WW38" s="270"/>
      <c r="WX38" s="270"/>
      <c r="WY38" s="270"/>
      <c r="WZ38" s="270"/>
      <c r="XA38" s="270"/>
      <c r="XB38" s="270"/>
      <c r="XC38" s="270"/>
      <c r="XD38" s="270"/>
      <c r="XE38" s="270"/>
      <c r="XF38" s="270"/>
      <c r="XG38" s="270"/>
      <c r="XH38" s="270"/>
      <c r="XI38" s="270"/>
      <c r="XJ38" s="270"/>
      <c r="XK38" s="270"/>
      <c r="XL38" s="270"/>
      <c r="XM38" s="270"/>
      <c r="XN38" s="270"/>
      <c r="XO38" s="270"/>
      <c r="XP38" s="270"/>
      <c r="XQ38" s="270"/>
      <c r="XR38" s="270"/>
      <c r="XS38" s="270"/>
      <c r="XT38" s="270"/>
      <c r="XU38" s="270"/>
      <c r="XV38" s="270"/>
      <c r="XW38" s="270"/>
      <c r="XX38" s="270"/>
      <c r="XY38" s="270"/>
      <c r="XZ38" s="270"/>
      <c r="YA38" s="270"/>
      <c r="YB38" s="270"/>
      <c r="YC38" s="270"/>
      <c r="YD38" s="270"/>
      <c r="YE38" s="270"/>
      <c r="YF38" s="270"/>
      <c r="YG38" s="270"/>
      <c r="YH38" s="270"/>
      <c r="YI38" s="270"/>
      <c r="YJ38" s="270"/>
      <c r="YK38" s="270"/>
      <c r="YL38" s="270"/>
      <c r="YM38" s="270"/>
      <c r="YN38" s="270"/>
      <c r="YO38" s="270"/>
      <c r="YP38" s="270"/>
      <c r="YQ38" s="270"/>
      <c r="YR38" s="270"/>
      <c r="YS38" s="270"/>
      <c r="YT38" s="270"/>
      <c r="YU38" s="270"/>
      <c r="YV38" s="270"/>
      <c r="YW38" s="270"/>
      <c r="YX38" s="270"/>
      <c r="YY38" s="270"/>
      <c r="YZ38" s="270"/>
      <c r="ZA38" s="270"/>
      <c r="ZB38" s="270"/>
      <c r="ZC38" s="270"/>
      <c r="ZD38" s="270"/>
      <c r="ZE38" s="270"/>
    </row>
    <row r="39">
      <c r="A39" s="156" t="s">
        <v>710</v>
      </c>
      <c r="B39" s="283"/>
      <c r="C39" s="16"/>
      <c r="D39" s="16"/>
      <c r="E39" s="16"/>
      <c r="F39" s="16"/>
      <c r="G39" s="16"/>
      <c r="H39" s="25"/>
      <c r="I39" s="153"/>
      <c r="J39" s="16"/>
      <c r="K39" s="16"/>
      <c r="L39" s="16"/>
      <c r="M39" s="16"/>
      <c r="N39" s="16"/>
      <c r="O39" s="25"/>
      <c r="P39" s="283"/>
      <c r="Q39" s="16"/>
      <c r="R39" s="16"/>
      <c r="S39" s="16"/>
      <c r="T39" s="16"/>
      <c r="U39" s="16"/>
      <c r="V39" s="25"/>
      <c r="W39" s="283"/>
      <c r="X39" s="16"/>
      <c r="Y39" s="16"/>
      <c r="Z39" s="16"/>
      <c r="AA39" s="16"/>
      <c r="AB39" s="16"/>
      <c r="AC39" s="25"/>
      <c r="AD39" s="283"/>
      <c r="AE39" s="16"/>
      <c r="AF39" s="16"/>
      <c r="AG39" s="16"/>
      <c r="AH39" s="16"/>
      <c r="AI39" s="16"/>
      <c r="AJ39" s="25"/>
      <c r="AK39" s="283"/>
      <c r="AL39" s="16"/>
      <c r="AM39" s="16"/>
      <c r="AN39" s="16"/>
      <c r="AO39" s="16"/>
      <c r="AP39" s="16"/>
      <c r="AQ39" s="25"/>
      <c r="AR39" s="283"/>
      <c r="AS39" s="16"/>
      <c r="AT39" s="16"/>
      <c r="AU39" s="16"/>
      <c r="AV39" s="16"/>
      <c r="AW39" s="16"/>
      <c r="AX39" s="25"/>
      <c r="AY39" s="283"/>
      <c r="AZ39" s="16"/>
      <c r="BA39" s="16"/>
      <c r="BB39" s="16"/>
      <c r="BC39" s="16"/>
      <c r="BD39" s="16"/>
      <c r="BE39" s="25"/>
      <c r="BF39" s="283"/>
      <c r="BG39" s="16"/>
      <c r="BH39" s="16"/>
      <c r="BI39" s="16"/>
      <c r="BJ39" s="16"/>
      <c r="BK39" s="16"/>
      <c r="BL39" s="25"/>
      <c r="BM39" s="153"/>
      <c r="BN39" s="16"/>
      <c r="BO39" s="16"/>
      <c r="BP39" s="16"/>
      <c r="BQ39" s="16"/>
      <c r="BR39" s="16"/>
      <c r="BS39" s="25"/>
      <c r="BT39" s="153"/>
      <c r="BU39" s="16"/>
      <c r="BV39" s="16"/>
      <c r="BW39" s="16"/>
      <c r="BX39" s="16"/>
      <c r="BY39" s="16"/>
      <c r="BZ39" s="25"/>
      <c r="CA39" s="283"/>
      <c r="CB39" s="16"/>
      <c r="CC39" s="16"/>
      <c r="CD39" s="16"/>
      <c r="CE39" s="16"/>
      <c r="CF39" s="16"/>
      <c r="CG39" s="25"/>
      <c r="CH39" s="283"/>
      <c r="CI39" s="16"/>
      <c r="CJ39" s="16"/>
      <c r="CK39" s="16"/>
      <c r="CL39" s="16"/>
      <c r="CM39" s="16"/>
      <c r="CN39" s="25"/>
      <c r="CO39" s="153"/>
      <c r="CP39" s="16"/>
      <c r="CQ39" s="16"/>
      <c r="CR39" s="16"/>
      <c r="CS39" s="16"/>
      <c r="CT39" s="16"/>
      <c r="CU39" s="25"/>
      <c r="CV39" s="153"/>
      <c r="CW39" s="16"/>
      <c r="CX39" s="16"/>
      <c r="CY39" s="16"/>
      <c r="CZ39" s="16"/>
      <c r="DA39" s="16"/>
      <c r="DB39" s="25"/>
      <c r="DC39" s="153"/>
      <c r="DD39" s="16"/>
      <c r="DE39" s="16"/>
      <c r="DF39" s="16"/>
      <c r="DG39" s="16"/>
      <c r="DH39" s="16"/>
      <c r="DI39" s="25"/>
      <c r="DJ39" s="153"/>
      <c r="DK39" s="16"/>
      <c r="DL39" s="16"/>
      <c r="DM39" s="16"/>
      <c r="DN39" s="16"/>
      <c r="DO39" s="16"/>
      <c r="DP39" s="25"/>
      <c r="DQ39" s="153"/>
      <c r="DR39" s="16"/>
      <c r="DS39" s="16"/>
      <c r="DT39" s="16"/>
      <c r="DU39" s="16"/>
      <c r="DV39" s="16"/>
      <c r="DW39" s="25"/>
      <c r="DX39" s="153"/>
      <c r="DY39" s="16"/>
      <c r="DZ39" s="16"/>
      <c r="EA39" s="16"/>
      <c r="EB39" s="16"/>
      <c r="EC39" s="16"/>
      <c r="ED39" s="25"/>
      <c r="EE39" s="153"/>
      <c r="EF39" s="16"/>
      <c r="EG39" s="16"/>
      <c r="EH39" s="16"/>
      <c r="EI39" s="16"/>
      <c r="EJ39" s="16"/>
      <c r="EK39" s="25"/>
      <c r="EL39" s="153"/>
      <c r="EM39" s="16"/>
      <c r="EN39" s="16"/>
      <c r="EO39" s="16"/>
      <c r="EP39" s="16"/>
      <c r="EQ39" s="16"/>
      <c r="ER39" s="25"/>
      <c r="ES39" s="153"/>
      <c r="ET39" s="16"/>
      <c r="EU39" s="16"/>
      <c r="EV39" s="16"/>
      <c r="EW39" s="16"/>
      <c r="EX39" s="16"/>
      <c r="EY39" s="25"/>
      <c r="EZ39" s="153"/>
      <c r="FA39" s="16"/>
      <c r="FB39" s="16"/>
      <c r="FC39" s="16"/>
      <c r="FD39" s="16"/>
      <c r="FE39" s="16"/>
      <c r="FF39" s="25"/>
      <c r="FG39" s="153"/>
      <c r="FH39" s="16"/>
      <c r="FI39" s="16"/>
      <c r="FJ39" s="16"/>
      <c r="FK39" s="16"/>
      <c r="FL39" s="16"/>
      <c r="FM39" s="25"/>
      <c r="FN39" s="153"/>
      <c r="FO39" s="16"/>
      <c r="FP39" s="16"/>
      <c r="FQ39" s="16"/>
      <c r="FR39" s="16"/>
      <c r="FS39" s="16"/>
      <c r="FT39" s="25"/>
      <c r="FU39" s="283"/>
      <c r="FV39" s="16"/>
      <c r="FW39" s="16"/>
      <c r="FX39" s="16"/>
      <c r="FY39" s="16"/>
      <c r="FZ39" s="16"/>
      <c r="GA39" s="25"/>
      <c r="GB39" s="283"/>
      <c r="GC39" s="16"/>
      <c r="GD39" s="16"/>
      <c r="GE39" s="16"/>
      <c r="GF39" s="16"/>
      <c r="GG39" s="16"/>
      <c r="GH39" s="25"/>
      <c r="GI39" s="283"/>
      <c r="GJ39" s="16"/>
      <c r="GK39" s="16"/>
      <c r="GL39" s="16"/>
      <c r="GM39" s="16"/>
      <c r="GN39" s="16"/>
      <c r="GO39" s="25"/>
      <c r="GP39" s="283"/>
      <c r="GQ39" s="16"/>
      <c r="GR39" s="16"/>
      <c r="GS39" s="16"/>
      <c r="GT39" s="16"/>
      <c r="GU39" s="16"/>
      <c r="GV39" s="25"/>
      <c r="GW39" s="283"/>
      <c r="GX39" s="16"/>
      <c r="GY39" s="16"/>
      <c r="GZ39" s="16"/>
      <c r="HA39" s="16"/>
      <c r="HB39" s="16"/>
      <c r="HC39" s="25"/>
      <c r="HD39" s="283"/>
      <c r="HE39" s="16"/>
      <c r="HF39" s="16"/>
      <c r="HG39" s="16"/>
      <c r="HH39" s="16"/>
      <c r="HI39" s="16"/>
      <c r="HJ39" s="25"/>
      <c r="HK39" s="283"/>
      <c r="HL39" s="16"/>
      <c r="HM39" s="16"/>
      <c r="HN39" s="16"/>
      <c r="HO39" s="16"/>
      <c r="HP39" s="16"/>
      <c r="HQ39" s="25"/>
      <c r="HR39" s="283"/>
      <c r="HS39" s="16"/>
      <c r="HT39" s="16"/>
      <c r="HU39" s="16"/>
      <c r="HV39" s="16"/>
      <c r="HW39" s="16"/>
      <c r="HX39" s="25"/>
      <c r="HY39" s="283"/>
      <c r="HZ39" s="16"/>
      <c r="IA39" s="16"/>
      <c r="IB39" s="16"/>
      <c r="IC39" s="16"/>
      <c r="ID39" s="16"/>
      <c r="IE39" s="25"/>
      <c r="IF39" s="283"/>
      <c r="IG39" s="16"/>
      <c r="IH39" s="16"/>
      <c r="II39" s="16"/>
      <c r="IJ39" s="16"/>
      <c r="IK39" s="16"/>
      <c r="IL39" s="25"/>
      <c r="IM39" s="283"/>
      <c r="IN39" s="16"/>
      <c r="IO39" s="16"/>
      <c r="IP39" s="16"/>
      <c r="IQ39" s="16"/>
      <c r="IR39" s="16"/>
      <c r="IS39" s="25"/>
      <c r="IT39" s="283"/>
      <c r="IU39" s="16"/>
      <c r="IV39" s="16"/>
      <c r="IW39" s="16"/>
      <c r="IX39" s="16"/>
      <c r="IY39" s="16"/>
      <c r="IZ39" s="25"/>
      <c r="JA39" s="283"/>
      <c r="JB39" s="16"/>
      <c r="JC39" s="16"/>
      <c r="JD39" s="16"/>
      <c r="JE39" s="16"/>
      <c r="JF39" s="16"/>
      <c r="JG39" s="25"/>
      <c r="JH39" s="283"/>
      <c r="JI39" s="16"/>
      <c r="JJ39" s="16"/>
      <c r="JK39" s="16"/>
      <c r="JL39" s="16"/>
      <c r="JM39" s="16"/>
      <c r="JN39" s="25"/>
      <c r="JO39" s="401"/>
      <c r="JP39" s="16"/>
      <c r="JQ39" s="16"/>
      <c r="JR39" s="16"/>
      <c r="JS39" s="16"/>
      <c r="JT39" s="16"/>
      <c r="JU39" s="25"/>
      <c r="JV39" s="283"/>
      <c r="JW39" s="16"/>
      <c r="JX39" s="16"/>
      <c r="JY39" s="16"/>
      <c r="JZ39" s="16"/>
      <c r="KA39" s="16"/>
      <c r="KB39" s="25"/>
      <c r="KC39" s="283"/>
      <c r="KD39" s="16"/>
      <c r="KE39" s="16"/>
      <c r="KF39" s="16"/>
      <c r="KG39" s="16"/>
      <c r="KH39" s="16"/>
      <c r="KI39" s="25"/>
      <c r="KJ39" s="283"/>
      <c r="KK39" s="16"/>
      <c r="KL39" s="16"/>
      <c r="KM39" s="16"/>
      <c r="KN39" s="16"/>
      <c r="KO39" s="16"/>
      <c r="KP39" s="25"/>
      <c r="KQ39" s="283"/>
      <c r="KR39" s="16"/>
      <c r="KS39" s="16"/>
      <c r="KT39" s="16"/>
      <c r="KU39" s="16"/>
      <c r="KV39" s="16"/>
      <c r="KW39" s="25"/>
      <c r="KX39" s="283"/>
      <c r="KY39" s="16"/>
      <c r="KZ39" s="16"/>
      <c r="LA39" s="16"/>
      <c r="LB39" s="16"/>
      <c r="LC39" s="16"/>
      <c r="LD39" s="25"/>
      <c r="LE39" s="283"/>
      <c r="LF39" s="16"/>
      <c r="LG39" s="16"/>
      <c r="LH39" s="16"/>
      <c r="LI39" s="16"/>
      <c r="LJ39" s="16"/>
      <c r="LK39" s="25"/>
      <c r="LL39" s="283"/>
      <c r="LM39" s="16"/>
      <c r="LN39" s="16"/>
      <c r="LO39" s="16"/>
      <c r="LP39" s="16"/>
      <c r="LQ39" s="16"/>
      <c r="LR39" s="25"/>
      <c r="LS39" s="283"/>
      <c r="LT39" s="16"/>
      <c r="LU39" s="16"/>
      <c r="LV39" s="16"/>
      <c r="LW39" s="16"/>
      <c r="LX39" s="16"/>
      <c r="LY39" s="25"/>
      <c r="LZ39" s="283"/>
      <c r="MA39" s="16"/>
      <c r="MB39" s="16"/>
      <c r="MC39" s="16"/>
      <c r="MD39" s="16"/>
      <c r="ME39" s="16"/>
      <c r="MF39" s="25"/>
      <c r="MG39" s="283"/>
      <c r="MH39" s="16"/>
      <c r="MI39" s="16"/>
      <c r="MJ39" s="16"/>
      <c r="MK39" s="16"/>
      <c r="ML39" s="16"/>
      <c r="MM39" s="25"/>
      <c r="MN39" s="283"/>
      <c r="MO39" s="16"/>
      <c r="MP39" s="16"/>
      <c r="MQ39" s="16"/>
      <c r="MR39" s="16"/>
      <c r="MS39" s="16"/>
      <c r="MT39" s="25"/>
      <c r="MU39" s="283"/>
      <c r="MV39" s="16"/>
      <c r="MW39" s="16"/>
      <c r="MX39" s="16"/>
      <c r="MY39" s="16"/>
      <c r="MZ39" s="16"/>
      <c r="NA39" s="25"/>
      <c r="NB39" s="402"/>
      <c r="NC39" s="270"/>
      <c r="ND39" s="270"/>
      <c r="NE39" s="270"/>
      <c r="NF39" s="270"/>
      <c r="NG39" s="270"/>
      <c r="NH39" s="270"/>
      <c r="NI39" s="270"/>
      <c r="NJ39" s="270"/>
      <c r="NK39" s="270"/>
      <c r="NL39" s="270"/>
      <c r="NM39" s="270"/>
      <c r="NN39" s="270"/>
      <c r="NO39" s="270"/>
      <c r="NP39" s="270"/>
      <c r="NQ39" s="270"/>
      <c r="NR39" s="270"/>
      <c r="NS39" s="270"/>
      <c r="NT39" s="270"/>
      <c r="NU39" s="270"/>
      <c r="NV39" s="270"/>
      <c r="NW39" s="270"/>
      <c r="NX39" s="270"/>
      <c r="NY39" s="270"/>
      <c r="NZ39" s="270"/>
      <c r="OA39" s="270"/>
      <c r="OB39" s="270"/>
      <c r="OC39" s="270"/>
      <c r="OD39" s="270"/>
      <c r="OE39" s="270"/>
      <c r="OF39" s="270"/>
      <c r="OG39" s="270"/>
      <c r="OH39" s="270"/>
      <c r="OI39" s="270"/>
      <c r="OJ39" s="270"/>
      <c r="OK39" s="270"/>
      <c r="OL39" s="270"/>
      <c r="OM39" s="270"/>
      <c r="ON39" s="270"/>
      <c r="OO39" s="270"/>
      <c r="OP39" s="270"/>
      <c r="OQ39" s="270"/>
      <c r="OR39" s="270"/>
      <c r="OS39" s="270"/>
      <c r="OT39" s="270"/>
      <c r="OU39" s="270"/>
      <c r="OV39" s="270"/>
      <c r="OW39" s="270"/>
      <c r="OX39" s="270"/>
      <c r="OY39" s="270"/>
      <c r="OZ39" s="270"/>
      <c r="PA39" s="270"/>
      <c r="PB39" s="270"/>
      <c r="PC39" s="270"/>
      <c r="PD39" s="270"/>
      <c r="PE39" s="270"/>
      <c r="PF39" s="270"/>
      <c r="PG39" s="270"/>
      <c r="PH39" s="270"/>
      <c r="PI39" s="270"/>
      <c r="PJ39" s="270"/>
      <c r="PK39" s="270"/>
      <c r="PL39" s="270"/>
      <c r="PM39" s="270"/>
      <c r="PN39" s="270"/>
      <c r="PO39" s="270"/>
      <c r="PP39" s="270"/>
      <c r="PQ39" s="270"/>
      <c r="PR39" s="270"/>
      <c r="PS39" s="270"/>
      <c r="PT39" s="270"/>
      <c r="PU39" s="270"/>
      <c r="PV39" s="270"/>
      <c r="PW39" s="270"/>
      <c r="PX39" s="270"/>
      <c r="PY39" s="270"/>
      <c r="PZ39" s="270"/>
      <c r="QA39" s="270"/>
      <c r="QB39" s="270"/>
      <c r="QC39" s="270"/>
      <c r="QD39" s="270"/>
      <c r="QE39" s="270"/>
      <c r="QF39" s="270"/>
      <c r="QG39" s="270"/>
      <c r="QH39" s="270"/>
      <c r="QI39" s="270"/>
      <c r="QJ39" s="270"/>
      <c r="QK39" s="270"/>
      <c r="QL39" s="270"/>
      <c r="QM39" s="270"/>
      <c r="QN39" s="270"/>
      <c r="QO39" s="270"/>
      <c r="QP39" s="270"/>
      <c r="QQ39" s="270"/>
      <c r="QR39" s="270"/>
      <c r="QS39" s="270"/>
      <c r="QT39" s="270"/>
      <c r="QU39" s="270"/>
      <c r="QV39" s="270"/>
      <c r="QW39" s="270"/>
      <c r="QX39" s="270"/>
      <c r="QY39" s="270"/>
      <c r="QZ39" s="270"/>
      <c r="RA39" s="270"/>
      <c r="RB39" s="270"/>
      <c r="RC39" s="270"/>
      <c r="RD39" s="270"/>
      <c r="RE39" s="270"/>
      <c r="RF39" s="270"/>
      <c r="RG39" s="270"/>
      <c r="RH39" s="270"/>
      <c r="RI39" s="270"/>
      <c r="RJ39" s="270"/>
      <c r="RK39" s="270"/>
      <c r="RL39" s="270"/>
      <c r="RM39" s="270"/>
      <c r="RN39" s="270"/>
      <c r="RO39" s="270"/>
      <c r="RP39" s="270"/>
      <c r="RQ39" s="270"/>
      <c r="RR39" s="270"/>
      <c r="RS39" s="270"/>
      <c r="RT39" s="270"/>
      <c r="RU39" s="270"/>
      <c r="RV39" s="270"/>
      <c r="RW39" s="270"/>
      <c r="RX39" s="270"/>
      <c r="RY39" s="270"/>
      <c r="RZ39" s="270"/>
      <c r="SA39" s="270"/>
      <c r="SB39" s="270"/>
      <c r="SC39" s="270"/>
      <c r="SD39" s="270"/>
      <c r="SE39" s="270"/>
      <c r="SF39" s="270"/>
      <c r="SG39" s="270"/>
      <c r="SH39" s="270"/>
      <c r="SI39" s="270"/>
      <c r="SJ39" s="270"/>
      <c r="SK39" s="270"/>
      <c r="SL39" s="270"/>
      <c r="SM39" s="270"/>
      <c r="SN39" s="270"/>
      <c r="SO39" s="270"/>
      <c r="SP39" s="270"/>
      <c r="SQ39" s="270"/>
      <c r="SR39" s="270"/>
      <c r="SS39" s="270"/>
      <c r="ST39" s="270"/>
      <c r="SU39" s="270"/>
      <c r="SV39" s="270"/>
      <c r="SW39" s="270"/>
      <c r="SX39" s="270"/>
      <c r="SY39" s="270"/>
      <c r="SZ39" s="270"/>
      <c r="TA39" s="270"/>
      <c r="TB39" s="270"/>
      <c r="TC39" s="270"/>
      <c r="TD39" s="270"/>
      <c r="TE39" s="270"/>
      <c r="TF39" s="270"/>
      <c r="TG39" s="270"/>
      <c r="TH39" s="270"/>
      <c r="TI39" s="270"/>
      <c r="TJ39" s="270"/>
      <c r="TK39" s="270"/>
      <c r="TL39" s="270"/>
      <c r="TM39" s="270"/>
      <c r="TN39" s="270"/>
      <c r="TO39" s="270"/>
      <c r="TP39" s="270"/>
      <c r="TQ39" s="270"/>
      <c r="TR39" s="270"/>
      <c r="TS39" s="270"/>
      <c r="TT39" s="270"/>
      <c r="TU39" s="270"/>
      <c r="TV39" s="270"/>
      <c r="TW39" s="270"/>
      <c r="TX39" s="270"/>
      <c r="TY39" s="270"/>
      <c r="TZ39" s="270"/>
      <c r="UA39" s="270"/>
      <c r="UB39" s="270"/>
      <c r="UC39" s="270"/>
      <c r="UD39" s="270"/>
      <c r="UE39" s="270"/>
      <c r="UF39" s="270"/>
      <c r="UG39" s="270"/>
      <c r="UH39" s="270"/>
      <c r="UI39" s="270"/>
      <c r="UJ39" s="270"/>
      <c r="UK39" s="270"/>
      <c r="UL39" s="270"/>
      <c r="UM39" s="270"/>
      <c r="UN39" s="270"/>
      <c r="UO39" s="270"/>
      <c r="UP39" s="270"/>
      <c r="UQ39" s="270"/>
      <c r="UR39" s="270"/>
      <c r="US39" s="270"/>
      <c r="UT39" s="270"/>
      <c r="UU39" s="270"/>
      <c r="UV39" s="270"/>
      <c r="UW39" s="270"/>
      <c r="UX39" s="270"/>
      <c r="UY39" s="270"/>
      <c r="UZ39" s="270"/>
      <c r="VA39" s="270"/>
      <c r="VB39" s="270"/>
      <c r="VC39" s="270"/>
      <c r="VD39" s="270"/>
      <c r="VE39" s="270"/>
      <c r="VF39" s="270"/>
      <c r="VG39" s="270"/>
      <c r="VH39" s="270"/>
      <c r="VI39" s="270"/>
      <c r="VJ39" s="270"/>
      <c r="VK39" s="270"/>
      <c r="VL39" s="270"/>
      <c r="VM39" s="270"/>
      <c r="VN39" s="270"/>
      <c r="VO39" s="270"/>
      <c r="VP39" s="270"/>
      <c r="VQ39" s="270"/>
      <c r="VR39" s="270"/>
      <c r="VS39" s="270"/>
      <c r="VT39" s="270"/>
      <c r="VU39" s="270"/>
      <c r="VV39" s="270"/>
      <c r="VW39" s="270"/>
      <c r="VX39" s="270"/>
      <c r="VY39" s="270"/>
      <c r="VZ39" s="270"/>
      <c r="WA39" s="270"/>
      <c r="WB39" s="270"/>
      <c r="WC39" s="270"/>
      <c r="WD39" s="270"/>
      <c r="WE39" s="270"/>
      <c r="WF39" s="270"/>
      <c r="WG39" s="270"/>
      <c r="WH39" s="270"/>
      <c r="WI39" s="270"/>
      <c r="WJ39" s="270"/>
      <c r="WK39" s="270"/>
      <c r="WL39" s="270"/>
      <c r="WM39" s="270"/>
      <c r="WN39" s="270"/>
      <c r="WO39" s="270"/>
      <c r="WP39" s="270"/>
      <c r="WQ39" s="270"/>
      <c r="WR39" s="270"/>
      <c r="WS39" s="270"/>
      <c r="WT39" s="270"/>
      <c r="WU39" s="270"/>
      <c r="WV39" s="270"/>
      <c r="WW39" s="270"/>
      <c r="WX39" s="270"/>
      <c r="WY39" s="270"/>
      <c r="WZ39" s="270"/>
      <c r="XA39" s="270"/>
      <c r="XB39" s="270"/>
      <c r="XC39" s="270"/>
      <c r="XD39" s="270"/>
      <c r="XE39" s="270"/>
      <c r="XF39" s="270"/>
      <c r="XG39" s="270"/>
      <c r="XH39" s="270"/>
      <c r="XI39" s="270"/>
      <c r="XJ39" s="270"/>
      <c r="XK39" s="270"/>
      <c r="XL39" s="270"/>
      <c r="XM39" s="270"/>
      <c r="XN39" s="270"/>
      <c r="XO39" s="270"/>
      <c r="XP39" s="270"/>
      <c r="XQ39" s="270"/>
      <c r="XR39" s="270"/>
      <c r="XS39" s="270"/>
      <c r="XT39" s="270"/>
      <c r="XU39" s="270"/>
      <c r="XV39" s="270"/>
      <c r="XW39" s="270"/>
      <c r="XX39" s="270"/>
      <c r="XY39" s="270"/>
      <c r="XZ39" s="270"/>
      <c r="YA39" s="270"/>
      <c r="YB39" s="270"/>
      <c r="YC39" s="270"/>
      <c r="YD39" s="270"/>
      <c r="YE39" s="270"/>
      <c r="YF39" s="270"/>
      <c r="YG39" s="270"/>
      <c r="YH39" s="270"/>
      <c r="YI39" s="270"/>
      <c r="YJ39" s="270"/>
      <c r="YK39" s="270"/>
      <c r="YL39" s="270"/>
      <c r="YM39" s="270"/>
      <c r="YN39" s="270"/>
      <c r="YO39" s="270"/>
      <c r="YP39" s="270"/>
      <c r="YQ39" s="270"/>
      <c r="YR39" s="270"/>
      <c r="YS39" s="270"/>
      <c r="YT39" s="270"/>
      <c r="YU39" s="270"/>
      <c r="YV39" s="270"/>
      <c r="YW39" s="270"/>
      <c r="YX39" s="270"/>
      <c r="YY39" s="270"/>
      <c r="YZ39" s="270"/>
      <c r="ZA39" s="270"/>
      <c r="ZB39" s="270"/>
      <c r="ZC39" s="270"/>
      <c r="ZD39" s="270"/>
      <c r="ZE39" s="270"/>
    </row>
    <row r="40" ht="17.25" customHeight="1">
      <c r="A40" s="156" t="s">
        <v>717</v>
      </c>
      <c r="B40" s="283"/>
      <c r="C40" s="16"/>
      <c r="D40" s="16"/>
      <c r="E40" s="16"/>
      <c r="F40" s="16"/>
      <c r="G40" s="16"/>
      <c r="H40" s="25"/>
      <c r="I40" s="153"/>
      <c r="J40" s="16"/>
      <c r="K40" s="16"/>
      <c r="L40" s="16"/>
      <c r="M40" s="16"/>
      <c r="N40" s="16"/>
      <c r="O40" s="25"/>
      <c r="P40" s="283"/>
      <c r="Q40" s="16"/>
      <c r="R40" s="16"/>
      <c r="S40" s="16"/>
      <c r="T40" s="16"/>
      <c r="U40" s="16"/>
      <c r="V40" s="25"/>
      <c r="W40" s="283"/>
      <c r="X40" s="16"/>
      <c r="Y40" s="16"/>
      <c r="Z40" s="16"/>
      <c r="AA40" s="16"/>
      <c r="AB40" s="16"/>
      <c r="AC40" s="25"/>
      <c r="AD40" s="283"/>
      <c r="AE40" s="16"/>
      <c r="AF40" s="16"/>
      <c r="AG40" s="16"/>
      <c r="AH40" s="16"/>
      <c r="AI40" s="16"/>
      <c r="AJ40" s="25"/>
      <c r="AK40" s="283"/>
      <c r="AL40" s="16"/>
      <c r="AM40" s="16"/>
      <c r="AN40" s="16"/>
      <c r="AO40" s="16"/>
      <c r="AP40" s="16"/>
      <c r="AQ40" s="25"/>
      <c r="AR40" s="283"/>
      <c r="AS40" s="16"/>
      <c r="AT40" s="16"/>
      <c r="AU40" s="16"/>
      <c r="AV40" s="16"/>
      <c r="AW40" s="16"/>
      <c r="AX40" s="25"/>
      <c r="AY40" s="283"/>
      <c r="AZ40" s="16"/>
      <c r="BA40" s="16"/>
      <c r="BB40" s="16"/>
      <c r="BC40" s="16"/>
      <c r="BD40" s="16"/>
      <c r="BE40" s="25"/>
      <c r="BF40" s="283"/>
      <c r="BG40" s="16"/>
      <c r="BH40" s="16"/>
      <c r="BI40" s="16"/>
      <c r="BJ40" s="16"/>
      <c r="BK40" s="16"/>
      <c r="BL40" s="25"/>
      <c r="BM40" s="283"/>
      <c r="BN40" s="16"/>
      <c r="BO40" s="16"/>
      <c r="BP40" s="16"/>
      <c r="BQ40" s="16"/>
      <c r="BR40" s="16"/>
      <c r="BS40" s="25"/>
      <c r="BT40" s="153"/>
      <c r="BU40" s="16"/>
      <c r="BV40" s="16"/>
      <c r="BW40" s="16"/>
      <c r="BX40" s="16"/>
      <c r="BY40" s="16"/>
      <c r="BZ40" s="25"/>
      <c r="CA40" s="283"/>
      <c r="CB40" s="16"/>
      <c r="CC40" s="16"/>
      <c r="CD40" s="16"/>
      <c r="CE40" s="16"/>
      <c r="CF40" s="16"/>
      <c r="CG40" s="25"/>
      <c r="CH40" s="283"/>
      <c r="CI40" s="16"/>
      <c r="CJ40" s="16"/>
      <c r="CK40" s="16"/>
      <c r="CL40" s="16"/>
      <c r="CM40" s="16"/>
      <c r="CN40" s="25"/>
      <c r="CO40" s="153"/>
      <c r="CP40" s="16"/>
      <c r="CQ40" s="16"/>
      <c r="CR40" s="16"/>
      <c r="CS40" s="16"/>
      <c r="CT40" s="16"/>
      <c r="CU40" s="25"/>
      <c r="CV40" s="153"/>
      <c r="CW40" s="16"/>
      <c r="CX40" s="16"/>
      <c r="CY40" s="16"/>
      <c r="CZ40" s="16"/>
      <c r="DA40" s="16"/>
      <c r="DB40" s="25"/>
      <c r="DC40" s="153"/>
      <c r="DD40" s="16"/>
      <c r="DE40" s="16"/>
      <c r="DF40" s="16"/>
      <c r="DG40" s="16"/>
      <c r="DH40" s="16"/>
      <c r="DI40" s="25"/>
      <c r="DJ40" s="153"/>
      <c r="DK40" s="16"/>
      <c r="DL40" s="16"/>
      <c r="DM40" s="16"/>
      <c r="DN40" s="16"/>
      <c r="DO40" s="16"/>
      <c r="DP40" s="25"/>
      <c r="DQ40" s="153"/>
      <c r="DR40" s="16"/>
      <c r="DS40" s="16"/>
      <c r="DT40" s="16"/>
      <c r="DU40" s="16"/>
      <c r="DV40" s="16"/>
      <c r="DW40" s="25"/>
      <c r="DX40" s="153"/>
      <c r="DY40" s="16"/>
      <c r="DZ40" s="16"/>
      <c r="EA40" s="16"/>
      <c r="EB40" s="16"/>
      <c r="EC40" s="16"/>
      <c r="ED40" s="25"/>
      <c r="EE40" s="151"/>
      <c r="EF40" s="16"/>
      <c r="EG40" s="16"/>
      <c r="EH40" s="16"/>
      <c r="EI40" s="16"/>
      <c r="EJ40" s="16"/>
      <c r="EK40" s="25"/>
      <c r="EL40" s="153"/>
      <c r="EM40" s="16"/>
      <c r="EN40" s="16"/>
      <c r="EO40" s="16"/>
      <c r="EP40" s="16"/>
      <c r="EQ40" s="16"/>
      <c r="ER40" s="25"/>
      <c r="ES40" s="153"/>
      <c r="ET40" s="16"/>
      <c r="EU40" s="16"/>
      <c r="EV40" s="16"/>
      <c r="EW40" s="16"/>
      <c r="EX40" s="16"/>
      <c r="EY40" s="25"/>
      <c r="EZ40" s="153"/>
      <c r="FA40" s="16"/>
      <c r="FB40" s="16"/>
      <c r="FC40" s="16"/>
      <c r="FD40" s="16"/>
      <c r="FE40" s="16"/>
      <c r="FF40" s="25"/>
      <c r="FG40" s="153"/>
      <c r="FH40" s="16"/>
      <c r="FI40" s="16"/>
      <c r="FJ40" s="16"/>
      <c r="FK40" s="16"/>
      <c r="FL40" s="16"/>
      <c r="FM40" s="25"/>
      <c r="FN40" s="153"/>
      <c r="FO40" s="16"/>
      <c r="FP40" s="16"/>
      <c r="FQ40" s="16"/>
      <c r="FR40" s="16"/>
      <c r="FS40" s="16"/>
      <c r="FT40" s="25"/>
      <c r="FU40" s="283"/>
      <c r="FV40" s="16"/>
      <c r="FW40" s="16"/>
      <c r="FX40" s="16"/>
      <c r="FY40" s="16"/>
      <c r="FZ40" s="16"/>
      <c r="GA40" s="25"/>
      <c r="GB40" s="283"/>
      <c r="GC40" s="16"/>
      <c r="GD40" s="16"/>
      <c r="GE40" s="16"/>
      <c r="GF40" s="16"/>
      <c r="GG40" s="16"/>
      <c r="GH40" s="25"/>
      <c r="GI40" s="283"/>
      <c r="GJ40" s="16"/>
      <c r="GK40" s="16"/>
      <c r="GL40" s="16"/>
      <c r="GM40" s="16"/>
      <c r="GN40" s="16"/>
      <c r="GO40" s="25"/>
      <c r="GP40" s="283"/>
      <c r="GQ40" s="16"/>
      <c r="GR40" s="16"/>
      <c r="GS40" s="16"/>
      <c r="GT40" s="16"/>
      <c r="GU40" s="16"/>
      <c r="GV40" s="25"/>
      <c r="GW40" s="283"/>
      <c r="GX40" s="16"/>
      <c r="GY40" s="16"/>
      <c r="GZ40" s="16"/>
      <c r="HA40" s="16"/>
      <c r="HB40" s="16"/>
      <c r="HC40" s="25"/>
      <c r="HD40" s="283"/>
      <c r="HE40" s="16"/>
      <c r="HF40" s="16"/>
      <c r="HG40" s="16"/>
      <c r="HH40" s="16"/>
      <c r="HI40" s="16"/>
      <c r="HJ40" s="25"/>
      <c r="HK40" s="283"/>
      <c r="HL40" s="16"/>
      <c r="HM40" s="16"/>
      <c r="HN40" s="16"/>
      <c r="HO40" s="16"/>
      <c r="HP40" s="16"/>
      <c r="HQ40" s="25"/>
      <c r="HR40" s="283"/>
      <c r="HS40" s="16"/>
      <c r="HT40" s="16"/>
      <c r="HU40" s="16"/>
      <c r="HV40" s="16"/>
      <c r="HW40" s="16"/>
      <c r="HX40" s="25"/>
      <c r="HY40" s="283"/>
      <c r="HZ40" s="16"/>
      <c r="IA40" s="16"/>
      <c r="IB40" s="16"/>
      <c r="IC40" s="16"/>
      <c r="ID40" s="16"/>
      <c r="IE40" s="25"/>
      <c r="IF40" s="283"/>
      <c r="IG40" s="16"/>
      <c r="IH40" s="16"/>
      <c r="II40" s="16"/>
      <c r="IJ40" s="16"/>
      <c r="IK40" s="16"/>
      <c r="IL40" s="25"/>
      <c r="IM40" s="283"/>
      <c r="IN40" s="16"/>
      <c r="IO40" s="16"/>
      <c r="IP40" s="16"/>
      <c r="IQ40" s="16"/>
      <c r="IR40" s="16"/>
      <c r="IS40" s="25"/>
      <c r="IT40" s="283"/>
      <c r="IU40" s="16"/>
      <c r="IV40" s="16"/>
      <c r="IW40" s="16"/>
      <c r="IX40" s="16"/>
      <c r="IY40" s="16"/>
      <c r="IZ40" s="25"/>
      <c r="JA40" s="283"/>
      <c r="JB40" s="16"/>
      <c r="JC40" s="16"/>
      <c r="JD40" s="16"/>
      <c r="JE40" s="16"/>
      <c r="JF40" s="16"/>
      <c r="JG40" s="25"/>
      <c r="JH40" s="283"/>
      <c r="JI40" s="16"/>
      <c r="JJ40" s="16"/>
      <c r="JK40" s="16"/>
      <c r="JL40" s="16"/>
      <c r="JM40" s="16"/>
      <c r="JN40" s="25"/>
      <c r="JO40" s="401"/>
      <c r="JP40" s="16"/>
      <c r="JQ40" s="16"/>
      <c r="JR40" s="16"/>
      <c r="JS40" s="16"/>
      <c r="JT40" s="16"/>
      <c r="JU40" s="25"/>
      <c r="JV40" s="283"/>
      <c r="JW40" s="16"/>
      <c r="JX40" s="16"/>
      <c r="JY40" s="16"/>
      <c r="JZ40" s="16"/>
      <c r="KA40" s="16"/>
      <c r="KB40" s="25"/>
      <c r="KC40" s="283"/>
      <c r="KD40" s="16"/>
      <c r="KE40" s="16"/>
      <c r="KF40" s="16"/>
      <c r="KG40" s="16"/>
      <c r="KH40" s="16"/>
      <c r="KI40" s="25"/>
      <c r="KJ40" s="283"/>
      <c r="KK40" s="16"/>
      <c r="KL40" s="16"/>
      <c r="KM40" s="16"/>
      <c r="KN40" s="16"/>
      <c r="KO40" s="16"/>
      <c r="KP40" s="25"/>
      <c r="KQ40" s="283"/>
      <c r="KR40" s="16"/>
      <c r="KS40" s="16"/>
      <c r="KT40" s="16"/>
      <c r="KU40" s="16"/>
      <c r="KV40" s="16"/>
      <c r="KW40" s="25"/>
      <c r="KX40" s="283"/>
      <c r="KY40" s="16"/>
      <c r="KZ40" s="16"/>
      <c r="LA40" s="16"/>
      <c r="LB40" s="16"/>
      <c r="LC40" s="16"/>
      <c r="LD40" s="25"/>
      <c r="LE40" s="283"/>
      <c r="LF40" s="16"/>
      <c r="LG40" s="16"/>
      <c r="LH40" s="16"/>
      <c r="LI40" s="16"/>
      <c r="LJ40" s="16"/>
      <c r="LK40" s="25"/>
      <c r="LL40" s="283"/>
      <c r="LM40" s="16"/>
      <c r="LN40" s="16"/>
      <c r="LO40" s="16"/>
      <c r="LP40" s="16"/>
      <c r="LQ40" s="16"/>
      <c r="LR40" s="25"/>
      <c r="LS40" s="283"/>
      <c r="LT40" s="16"/>
      <c r="LU40" s="16"/>
      <c r="LV40" s="16"/>
      <c r="LW40" s="16"/>
      <c r="LX40" s="16"/>
      <c r="LY40" s="25"/>
      <c r="LZ40" s="283"/>
      <c r="MA40" s="16"/>
      <c r="MB40" s="16"/>
      <c r="MC40" s="16"/>
      <c r="MD40" s="16"/>
      <c r="ME40" s="16"/>
      <c r="MF40" s="25"/>
      <c r="MG40" s="283"/>
      <c r="MH40" s="16"/>
      <c r="MI40" s="16"/>
      <c r="MJ40" s="16"/>
      <c r="MK40" s="16"/>
      <c r="ML40" s="16"/>
      <c r="MM40" s="25"/>
      <c r="MN40" s="283"/>
      <c r="MO40" s="16"/>
      <c r="MP40" s="16"/>
      <c r="MQ40" s="16"/>
      <c r="MR40" s="16"/>
      <c r="MS40" s="16"/>
      <c r="MT40" s="25"/>
      <c r="MU40" s="283"/>
      <c r="MV40" s="16"/>
      <c r="MW40" s="16"/>
      <c r="MX40" s="16"/>
      <c r="MY40" s="16"/>
      <c r="MZ40" s="16"/>
      <c r="NA40" s="25"/>
      <c r="NB40" s="402"/>
      <c r="NC40" s="270"/>
      <c r="ND40" s="270"/>
      <c r="NE40" s="270"/>
      <c r="NF40" s="270"/>
      <c r="NG40" s="270"/>
      <c r="NH40" s="270"/>
      <c r="NI40" s="270"/>
      <c r="NJ40" s="270"/>
      <c r="NK40" s="270"/>
      <c r="NL40" s="270"/>
      <c r="NM40" s="270"/>
      <c r="NN40" s="270"/>
      <c r="NO40" s="270"/>
      <c r="NP40" s="270"/>
      <c r="NQ40" s="270"/>
      <c r="NR40" s="270"/>
      <c r="NS40" s="270"/>
      <c r="NT40" s="270"/>
      <c r="NU40" s="270"/>
      <c r="NV40" s="270"/>
      <c r="NW40" s="270"/>
      <c r="NX40" s="270"/>
      <c r="NY40" s="270"/>
      <c r="NZ40" s="270"/>
      <c r="OA40" s="270"/>
      <c r="OB40" s="270"/>
      <c r="OC40" s="270"/>
      <c r="OD40" s="270"/>
      <c r="OE40" s="270"/>
      <c r="OF40" s="270"/>
      <c r="OG40" s="270"/>
      <c r="OH40" s="270"/>
      <c r="OI40" s="270"/>
      <c r="OJ40" s="270"/>
      <c r="OK40" s="270"/>
      <c r="OL40" s="270"/>
      <c r="OM40" s="270"/>
      <c r="ON40" s="270"/>
      <c r="OO40" s="270"/>
      <c r="OP40" s="270"/>
      <c r="OQ40" s="270"/>
      <c r="OR40" s="270"/>
      <c r="OS40" s="270"/>
      <c r="OT40" s="270"/>
      <c r="OU40" s="270"/>
      <c r="OV40" s="270"/>
      <c r="OW40" s="270"/>
      <c r="OX40" s="270"/>
      <c r="OY40" s="270"/>
      <c r="OZ40" s="270"/>
      <c r="PA40" s="270"/>
      <c r="PB40" s="270"/>
      <c r="PC40" s="270"/>
      <c r="PD40" s="270"/>
      <c r="PE40" s="270"/>
      <c r="PF40" s="270"/>
      <c r="PG40" s="270"/>
      <c r="PH40" s="270"/>
      <c r="PI40" s="270"/>
      <c r="PJ40" s="270"/>
      <c r="PK40" s="270"/>
      <c r="PL40" s="270"/>
      <c r="PM40" s="270"/>
      <c r="PN40" s="270"/>
      <c r="PO40" s="270"/>
      <c r="PP40" s="270"/>
      <c r="PQ40" s="270"/>
      <c r="PR40" s="270"/>
      <c r="PS40" s="270"/>
      <c r="PT40" s="270"/>
      <c r="PU40" s="270"/>
      <c r="PV40" s="270"/>
      <c r="PW40" s="270"/>
      <c r="PX40" s="270"/>
      <c r="PY40" s="270"/>
      <c r="PZ40" s="270"/>
      <c r="QA40" s="270"/>
      <c r="QB40" s="270"/>
      <c r="QC40" s="270"/>
      <c r="QD40" s="270"/>
      <c r="QE40" s="270"/>
      <c r="QF40" s="270"/>
      <c r="QG40" s="270"/>
      <c r="QH40" s="270"/>
      <c r="QI40" s="270"/>
      <c r="QJ40" s="270"/>
      <c r="QK40" s="270"/>
      <c r="QL40" s="270"/>
      <c r="QM40" s="270"/>
      <c r="QN40" s="270"/>
      <c r="QO40" s="270"/>
      <c r="QP40" s="270"/>
      <c r="QQ40" s="270"/>
      <c r="QR40" s="270"/>
      <c r="QS40" s="270"/>
      <c r="QT40" s="270"/>
      <c r="QU40" s="270"/>
      <c r="QV40" s="270"/>
      <c r="QW40" s="270"/>
      <c r="QX40" s="270"/>
      <c r="QY40" s="270"/>
      <c r="QZ40" s="270"/>
      <c r="RA40" s="270"/>
      <c r="RB40" s="270"/>
      <c r="RC40" s="270"/>
      <c r="RD40" s="270"/>
      <c r="RE40" s="270"/>
      <c r="RF40" s="270"/>
      <c r="RG40" s="270"/>
      <c r="RH40" s="270"/>
      <c r="RI40" s="270"/>
      <c r="RJ40" s="270"/>
      <c r="RK40" s="270"/>
      <c r="RL40" s="270"/>
      <c r="RM40" s="270"/>
      <c r="RN40" s="270"/>
      <c r="RO40" s="270"/>
      <c r="RP40" s="270"/>
      <c r="RQ40" s="270"/>
      <c r="RR40" s="270"/>
      <c r="RS40" s="270"/>
      <c r="RT40" s="270"/>
      <c r="RU40" s="270"/>
      <c r="RV40" s="270"/>
      <c r="RW40" s="270"/>
      <c r="RX40" s="270"/>
      <c r="RY40" s="270"/>
      <c r="RZ40" s="270"/>
      <c r="SA40" s="270"/>
      <c r="SB40" s="270"/>
      <c r="SC40" s="270"/>
      <c r="SD40" s="270"/>
      <c r="SE40" s="270"/>
      <c r="SF40" s="270"/>
      <c r="SG40" s="270"/>
      <c r="SH40" s="270"/>
      <c r="SI40" s="270"/>
      <c r="SJ40" s="270"/>
      <c r="SK40" s="270"/>
      <c r="SL40" s="270"/>
      <c r="SM40" s="270"/>
      <c r="SN40" s="270"/>
      <c r="SO40" s="270"/>
      <c r="SP40" s="270"/>
      <c r="SQ40" s="270"/>
      <c r="SR40" s="270"/>
      <c r="SS40" s="270"/>
      <c r="ST40" s="270"/>
      <c r="SU40" s="270"/>
      <c r="SV40" s="270"/>
      <c r="SW40" s="270"/>
      <c r="SX40" s="270"/>
      <c r="SY40" s="270"/>
      <c r="SZ40" s="270"/>
      <c r="TA40" s="270"/>
      <c r="TB40" s="270"/>
      <c r="TC40" s="270"/>
      <c r="TD40" s="270"/>
      <c r="TE40" s="270"/>
      <c r="TF40" s="270"/>
      <c r="TG40" s="270"/>
      <c r="TH40" s="270"/>
      <c r="TI40" s="270"/>
      <c r="TJ40" s="270"/>
      <c r="TK40" s="270"/>
      <c r="TL40" s="270"/>
      <c r="TM40" s="270"/>
      <c r="TN40" s="270"/>
      <c r="TO40" s="270"/>
      <c r="TP40" s="270"/>
      <c r="TQ40" s="270"/>
      <c r="TR40" s="270"/>
      <c r="TS40" s="270"/>
      <c r="TT40" s="270"/>
      <c r="TU40" s="270"/>
      <c r="TV40" s="270"/>
      <c r="TW40" s="270"/>
      <c r="TX40" s="270"/>
      <c r="TY40" s="270"/>
      <c r="TZ40" s="270"/>
      <c r="UA40" s="270"/>
      <c r="UB40" s="270"/>
      <c r="UC40" s="270"/>
      <c r="UD40" s="270"/>
      <c r="UE40" s="270"/>
      <c r="UF40" s="270"/>
      <c r="UG40" s="270"/>
      <c r="UH40" s="270"/>
      <c r="UI40" s="270"/>
      <c r="UJ40" s="270"/>
      <c r="UK40" s="270"/>
      <c r="UL40" s="270"/>
      <c r="UM40" s="270"/>
      <c r="UN40" s="270"/>
      <c r="UO40" s="270"/>
      <c r="UP40" s="270"/>
      <c r="UQ40" s="270"/>
      <c r="UR40" s="270"/>
      <c r="US40" s="270"/>
      <c r="UT40" s="270"/>
      <c r="UU40" s="270"/>
      <c r="UV40" s="270"/>
      <c r="UW40" s="270"/>
      <c r="UX40" s="270"/>
      <c r="UY40" s="270"/>
      <c r="UZ40" s="270"/>
      <c r="VA40" s="270"/>
      <c r="VB40" s="270"/>
      <c r="VC40" s="270"/>
      <c r="VD40" s="270"/>
      <c r="VE40" s="270"/>
      <c r="VF40" s="270"/>
      <c r="VG40" s="270"/>
      <c r="VH40" s="270"/>
      <c r="VI40" s="270"/>
      <c r="VJ40" s="270"/>
      <c r="VK40" s="270"/>
      <c r="VL40" s="270"/>
      <c r="VM40" s="270"/>
      <c r="VN40" s="270"/>
      <c r="VO40" s="270"/>
      <c r="VP40" s="270"/>
      <c r="VQ40" s="270"/>
      <c r="VR40" s="270"/>
      <c r="VS40" s="270"/>
      <c r="VT40" s="270"/>
      <c r="VU40" s="270"/>
      <c r="VV40" s="270"/>
      <c r="VW40" s="270"/>
      <c r="VX40" s="270"/>
      <c r="VY40" s="270"/>
      <c r="VZ40" s="270"/>
      <c r="WA40" s="270"/>
      <c r="WB40" s="270"/>
      <c r="WC40" s="270"/>
      <c r="WD40" s="270"/>
      <c r="WE40" s="270"/>
      <c r="WF40" s="270"/>
      <c r="WG40" s="270"/>
      <c r="WH40" s="270"/>
      <c r="WI40" s="270"/>
      <c r="WJ40" s="270"/>
      <c r="WK40" s="270"/>
      <c r="WL40" s="270"/>
      <c r="WM40" s="270"/>
      <c r="WN40" s="270"/>
      <c r="WO40" s="270"/>
      <c r="WP40" s="270"/>
      <c r="WQ40" s="270"/>
      <c r="WR40" s="270"/>
      <c r="WS40" s="270"/>
      <c r="WT40" s="270"/>
      <c r="WU40" s="270"/>
      <c r="WV40" s="270"/>
      <c r="WW40" s="270"/>
      <c r="WX40" s="270"/>
      <c r="WY40" s="270"/>
      <c r="WZ40" s="270"/>
      <c r="XA40" s="270"/>
      <c r="XB40" s="270"/>
      <c r="XC40" s="270"/>
      <c r="XD40" s="270"/>
      <c r="XE40" s="270"/>
      <c r="XF40" s="270"/>
      <c r="XG40" s="270"/>
      <c r="XH40" s="270"/>
      <c r="XI40" s="270"/>
      <c r="XJ40" s="270"/>
      <c r="XK40" s="270"/>
      <c r="XL40" s="270"/>
      <c r="XM40" s="270"/>
      <c r="XN40" s="270"/>
      <c r="XO40" s="270"/>
      <c r="XP40" s="270"/>
      <c r="XQ40" s="270"/>
      <c r="XR40" s="270"/>
      <c r="XS40" s="270"/>
      <c r="XT40" s="270"/>
      <c r="XU40" s="270"/>
      <c r="XV40" s="270"/>
      <c r="XW40" s="270"/>
      <c r="XX40" s="270"/>
      <c r="XY40" s="270"/>
      <c r="XZ40" s="270"/>
      <c r="YA40" s="270"/>
      <c r="YB40" s="270"/>
      <c r="YC40" s="270"/>
      <c r="YD40" s="270"/>
      <c r="YE40" s="270"/>
      <c r="YF40" s="270"/>
      <c r="YG40" s="270"/>
      <c r="YH40" s="270"/>
      <c r="YI40" s="270"/>
      <c r="YJ40" s="270"/>
      <c r="YK40" s="270"/>
      <c r="YL40" s="270"/>
      <c r="YM40" s="270"/>
      <c r="YN40" s="270"/>
      <c r="YO40" s="270"/>
      <c r="YP40" s="270"/>
      <c r="YQ40" s="270"/>
      <c r="YR40" s="270"/>
      <c r="YS40" s="270"/>
      <c r="YT40" s="270"/>
      <c r="YU40" s="270"/>
      <c r="YV40" s="270"/>
      <c r="YW40" s="270"/>
      <c r="YX40" s="270"/>
      <c r="YY40" s="270"/>
      <c r="YZ40" s="270"/>
      <c r="ZA40" s="270"/>
      <c r="ZB40" s="270"/>
      <c r="ZC40" s="270"/>
      <c r="ZD40" s="270"/>
      <c r="ZE40" s="270"/>
    </row>
    <row r="41">
      <c r="A41" s="156" t="s">
        <v>1916</v>
      </c>
      <c r="B41" s="283"/>
      <c r="C41" s="16"/>
      <c r="D41" s="16"/>
      <c r="E41" s="16"/>
      <c r="F41" s="16"/>
      <c r="G41" s="16"/>
      <c r="H41" s="25"/>
      <c r="I41" s="283"/>
      <c r="J41" s="16"/>
      <c r="K41" s="16"/>
      <c r="L41" s="16"/>
      <c r="M41" s="16"/>
      <c r="N41" s="16"/>
      <c r="O41" s="25"/>
      <c r="P41" s="283"/>
      <c r="Q41" s="16"/>
      <c r="R41" s="16"/>
      <c r="S41" s="16"/>
      <c r="T41" s="16"/>
      <c r="U41" s="16"/>
      <c r="V41" s="25"/>
      <c r="W41" s="283"/>
      <c r="X41" s="16"/>
      <c r="Y41" s="16"/>
      <c r="Z41" s="16"/>
      <c r="AA41" s="16"/>
      <c r="AB41" s="16"/>
      <c r="AC41" s="25"/>
      <c r="AD41" s="283"/>
      <c r="AE41" s="16"/>
      <c r="AF41" s="16"/>
      <c r="AG41" s="16"/>
      <c r="AH41" s="16"/>
      <c r="AI41" s="16"/>
      <c r="AJ41" s="25"/>
      <c r="AK41" s="283"/>
      <c r="AL41" s="16"/>
      <c r="AM41" s="16"/>
      <c r="AN41" s="16"/>
      <c r="AO41" s="16"/>
      <c r="AP41" s="16"/>
      <c r="AQ41" s="25"/>
      <c r="AR41" s="283"/>
      <c r="AS41" s="16"/>
      <c r="AT41" s="16"/>
      <c r="AU41" s="16"/>
      <c r="AV41" s="16"/>
      <c r="AW41" s="16"/>
      <c r="AX41" s="25"/>
      <c r="AY41" s="283"/>
      <c r="AZ41" s="16"/>
      <c r="BA41" s="16"/>
      <c r="BB41" s="16"/>
      <c r="BC41" s="16"/>
      <c r="BD41" s="16"/>
      <c r="BE41" s="25"/>
      <c r="BF41" s="283"/>
      <c r="BG41" s="16"/>
      <c r="BH41" s="16"/>
      <c r="BI41" s="16"/>
      <c r="BJ41" s="16"/>
      <c r="BK41" s="16"/>
      <c r="BL41" s="25"/>
      <c r="BM41" s="283"/>
      <c r="BN41" s="16"/>
      <c r="BO41" s="16"/>
      <c r="BP41" s="16"/>
      <c r="BQ41" s="16"/>
      <c r="BR41" s="16"/>
      <c r="BS41" s="25"/>
      <c r="BT41" s="283"/>
      <c r="BU41" s="16"/>
      <c r="BV41" s="16"/>
      <c r="BW41" s="16"/>
      <c r="BX41" s="16"/>
      <c r="BY41" s="16"/>
      <c r="BZ41" s="25"/>
      <c r="CA41" s="283"/>
      <c r="CB41" s="16"/>
      <c r="CC41" s="16"/>
      <c r="CD41" s="16"/>
      <c r="CE41" s="16"/>
      <c r="CF41" s="16"/>
      <c r="CG41" s="25"/>
      <c r="CH41" s="283"/>
      <c r="CI41" s="16"/>
      <c r="CJ41" s="16"/>
      <c r="CK41" s="16"/>
      <c r="CL41" s="16"/>
      <c r="CM41" s="16"/>
      <c r="CN41" s="25"/>
      <c r="CO41" s="283"/>
      <c r="CP41" s="16"/>
      <c r="CQ41" s="16"/>
      <c r="CR41" s="16"/>
      <c r="CS41" s="16"/>
      <c r="CT41" s="16"/>
      <c r="CU41" s="25"/>
      <c r="CV41" s="283"/>
      <c r="CW41" s="16"/>
      <c r="CX41" s="16"/>
      <c r="CY41" s="16"/>
      <c r="CZ41" s="16"/>
      <c r="DA41" s="16"/>
      <c r="DB41" s="25"/>
      <c r="DC41" s="153"/>
      <c r="DD41" s="16"/>
      <c r="DE41" s="16"/>
      <c r="DF41" s="16"/>
      <c r="DG41" s="16"/>
      <c r="DH41" s="16"/>
      <c r="DI41" s="25"/>
      <c r="DJ41" s="283"/>
      <c r="DK41" s="16"/>
      <c r="DL41" s="16"/>
      <c r="DM41" s="16"/>
      <c r="DN41" s="16"/>
      <c r="DO41" s="16"/>
      <c r="DP41" s="25"/>
      <c r="DQ41" s="153"/>
      <c r="DR41" s="16"/>
      <c r="DS41" s="16"/>
      <c r="DT41" s="16"/>
      <c r="DU41" s="16"/>
      <c r="DV41" s="16"/>
      <c r="DW41" s="25"/>
      <c r="DX41" s="283"/>
      <c r="DY41" s="16"/>
      <c r="DZ41" s="16"/>
      <c r="EA41" s="16"/>
      <c r="EB41" s="16"/>
      <c r="EC41" s="16"/>
      <c r="ED41" s="25"/>
      <c r="EE41" s="153"/>
      <c r="EF41" s="16"/>
      <c r="EG41" s="16"/>
      <c r="EH41" s="16"/>
      <c r="EI41" s="16"/>
      <c r="EJ41" s="16"/>
      <c r="EK41" s="25"/>
      <c r="EL41" s="153"/>
      <c r="EM41" s="16"/>
      <c r="EN41" s="16"/>
      <c r="EO41" s="16"/>
      <c r="EP41" s="16"/>
      <c r="EQ41" s="16"/>
      <c r="ER41" s="25"/>
      <c r="ES41" s="153"/>
      <c r="ET41" s="16"/>
      <c r="EU41" s="16"/>
      <c r="EV41" s="16"/>
      <c r="EW41" s="16"/>
      <c r="EX41" s="16"/>
      <c r="EY41" s="25"/>
      <c r="EZ41" s="153"/>
      <c r="FA41" s="16"/>
      <c r="FB41" s="16"/>
      <c r="FC41" s="16"/>
      <c r="FD41" s="16"/>
      <c r="FE41" s="16"/>
      <c r="FF41" s="25"/>
      <c r="FG41" s="283"/>
      <c r="FH41" s="16"/>
      <c r="FI41" s="16"/>
      <c r="FJ41" s="16"/>
      <c r="FK41" s="16"/>
      <c r="FL41" s="16"/>
      <c r="FM41" s="25"/>
      <c r="FN41" s="153"/>
      <c r="FO41" s="16"/>
      <c r="FP41" s="16"/>
      <c r="FQ41" s="16"/>
      <c r="FR41" s="16"/>
      <c r="FS41" s="16"/>
      <c r="FT41" s="25"/>
      <c r="FU41" s="283"/>
      <c r="FV41" s="16"/>
      <c r="FW41" s="16"/>
      <c r="FX41" s="16"/>
      <c r="FY41" s="16"/>
      <c r="FZ41" s="16"/>
      <c r="GA41" s="25"/>
      <c r="GB41" s="283"/>
      <c r="GC41" s="16"/>
      <c r="GD41" s="16"/>
      <c r="GE41" s="16"/>
      <c r="GF41" s="16"/>
      <c r="GG41" s="16"/>
      <c r="GH41" s="25"/>
      <c r="GI41" s="153"/>
      <c r="GJ41" s="16"/>
      <c r="GK41" s="16"/>
      <c r="GL41" s="16"/>
      <c r="GM41" s="16"/>
      <c r="GN41" s="16"/>
      <c r="GO41" s="25"/>
      <c r="GP41" s="153"/>
      <c r="GQ41" s="16"/>
      <c r="GR41" s="16"/>
      <c r="GS41" s="16"/>
      <c r="GT41" s="16"/>
      <c r="GU41" s="16"/>
      <c r="GV41" s="25"/>
      <c r="GW41" s="283"/>
      <c r="GX41" s="16"/>
      <c r="GY41" s="16"/>
      <c r="GZ41" s="16"/>
      <c r="HA41" s="16"/>
      <c r="HB41" s="16"/>
      <c r="HC41" s="25"/>
      <c r="HD41" s="153"/>
      <c r="HE41" s="16"/>
      <c r="HF41" s="16"/>
      <c r="HG41" s="16"/>
      <c r="HH41" s="16"/>
      <c r="HI41" s="16"/>
      <c r="HJ41" s="25"/>
      <c r="HK41" s="283"/>
      <c r="HL41" s="16"/>
      <c r="HM41" s="16"/>
      <c r="HN41" s="16"/>
      <c r="HO41" s="16"/>
      <c r="HP41" s="16"/>
      <c r="HQ41" s="25"/>
      <c r="HR41" s="153"/>
      <c r="HS41" s="16"/>
      <c r="HT41" s="16"/>
      <c r="HU41" s="16"/>
      <c r="HV41" s="16"/>
      <c r="HW41" s="16"/>
      <c r="HX41" s="25"/>
      <c r="HY41" s="283"/>
      <c r="HZ41" s="16"/>
      <c r="IA41" s="16"/>
      <c r="IB41" s="16"/>
      <c r="IC41" s="16"/>
      <c r="ID41" s="16"/>
      <c r="IE41" s="25"/>
      <c r="IF41" s="283"/>
      <c r="IG41" s="16"/>
      <c r="IH41" s="16"/>
      <c r="II41" s="16"/>
      <c r="IJ41" s="16"/>
      <c r="IK41" s="16"/>
      <c r="IL41" s="25"/>
      <c r="IM41" s="283"/>
      <c r="IN41" s="16"/>
      <c r="IO41" s="16"/>
      <c r="IP41" s="16"/>
      <c r="IQ41" s="16"/>
      <c r="IR41" s="16"/>
      <c r="IS41" s="25"/>
      <c r="IT41" s="283"/>
      <c r="IU41" s="16"/>
      <c r="IV41" s="16"/>
      <c r="IW41" s="16"/>
      <c r="IX41" s="16"/>
      <c r="IY41" s="16"/>
      <c r="IZ41" s="25"/>
      <c r="JA41" s="283"/>
      <c r="JB41" s="16"/>
      <c r="JC41" s="16"/>
      <c r="JD41" s="16"/>
      <c r="JE41" s="16"/>
      <c r="JF41" s="16"/>
      <c r="JG41" s="25"/>
      <c r="JH41" s="283"/>
      <c r="JI41" s="16"/>
      <c r="JJ41" s="16"/>
      <c r="JK41" s="16"/>
      <c r="JL41" s="16"/>
      <c r="JM41" s="16"/>
      <c r="JN41" s="25"/>
      <c r="JO41" s="401"/>
      <c r="JP41" s="16"/>
      <c r="JQ41" s="16"/>
      <c r="JR41" s="16"/>
      <c r="JS41" s="16"/>
      <c r="JT41" s="16"/>
      <c r="JU41" s="25"/>
      <c r="JV41" s="283"/>
      <c r="JW41" s="16"/>
      <c r="JX41" s="16"/>
      <c r="JY41" s="16"/>
      <c r="JZ41" s="16"/>
      <c r="KA41" s="16"/>
      <c r="KB41" s="25"/>
      <c r="KC41" s="283"/>
      <c r="KD41" s="16"/>
      <c r="KE41" s="16"/>
      <c r="KF41" s="16"/>
      <c r="KG41" s="16"/>
      <c r="KH41" s="16"/>
      <c r="KI41" s="25"/>
      <c r="KJ41" s="283"/>
      <c r="KK41" s="16"/>
      <c r="KL41" s="16"/>
      <c r="KM41" s="16"/>
      <c r="KN41" s="16"/>
      <c r="KO41" s="16"/>
      <c r="KP41" s="25"/>
      <c r="KQ41" s="283"/>
      <c r="KR41" s="16"/>
      <c r="KS41" s="16"/>
      <c r="KT41" s="16"/>
      <c r="KU41" s="16"/>
      <c r="KV41" s="16"/>
      <c r="KW41" s="25"/>
      <c r="KX41" s="283"/>
      <c r="KY41" s="16"/>
      <c r="KZ41" s="16"/>
      <c r="LA41" s="16"/>
      <c r="LB41" s="16"/>
      <c r="LC41" s="16"/>
      <c r="LD41" s="25"/>
      <c r="LE41" s="283"/>
      <c r="LF41" s="16"/>
      <c r="LG41" s="16"/>
      <c r="LH41" s="16"/>
      <c r="LI41" s="16"/>
      <c r="LJ41" s="16"/>
      <c r="LK41" s="25"/>
      <c r="LL41" s="283"/>
      <c r="LM41" s="16"/>
      <c r="LN41" s="16"/>
      <c r="LO41" s="16"/>
      <c r="LP41" s="16"/>
      <c r="LQ41" s="16"/>
      <c r="LR41" s="25"/>
      <c r="LS41" s="283"/>
      <c r="LT41" s="16"/>
      <c r="LU41" s="16"/>
      <c r="LV41" s="16"/>
      <c r="LW41" s="16"/>
      <c r="LX41" s="16"/>
      <c r="LY41" s="25"/>
      <c r="LZ41" s="283"/>
      <c r="MA41" s="16"/>
      <c r="MB41" s="16"/>
      <c r="MC41" s="16"/>
      <c r="MD41" s="16"/>
      <c r="ME41" s="16"/>
      <c r="MF41" s="25"/>
      <c r="MG41" s="283"/>
      <c r="MH41" s="16"/>
      <c r="MI41" s="16"/>
      <c r="MJ41" s="16"/>
      <c r="MK41" s="16"/>
      <c r="ML41" s="16"/>
      <c r="MM41" s="25"/>
      <c r="MN41" s="283"/>
      <c r="MO41" s="16"/>
      <c r="MP41" s="16"/>
      <c r="MQ41" s="16"/>
      <c r="MR41" s="16"/>
      <c r="MS41" s="16"/>
      <c r="MT41" s="25"/>
      <c r="MU41" s="283"/>
      <c r="MV41" s="16"/>
      <c r="MW41" s="16"/>
      <c r="MX41" s="16"/>
      <c r="MY41" s="16"/>
      <c r="MZ41" s="16"/>
      <c r="NA41" s="25"/>
      <c r="NB41" s="402"/>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270"/>
      <c r="SK41" s="270"/>
      <c r="SL41" s="270"/>
      <c r="SM41" s="270"/>
      <c r="SN41" s="270"/>
      <c r="SO41" s="270"/>
      <c r="SP41" s="270"/>
      <c r="SQ41" s="270"/>
      <c r="SR41" s="270"/>
      <c r="SS41" s="270"/>
      <c r="ST41" s="270"/>
      <c r="SU41" s="270"/>
      <c r="SV41" s="270"/>
      <c r="SW41" s="270"/>
      <c r="SX41" s="270"/>
      <c r="SY41" s="270"/>
      <c r="SZ41" s="270"/>
      <c r="TA41" s="270"/>
      <c r="TB41" s="270"/>
      <c r="TC41" s="270"/>
      <c r="TD41" s="270"/>
      <c r="TE41" s="270"/>
      <c r="TF41" s="270"/>
      <c r="TG41" s="270"/>
      <c r="TH41" s="270"/>
      <c r="TI41" s="270"/>
      <c r="TJ41" s="270"/>
      <c r="TK41" s="270"/>
      <c r="TL41" s="270"/>
      <c r="TM41" s="270"/>
      <c r="TN41" s="270"/>
      <c r="TO41" s="270"/>
      <c r="TP41" s="270"/>
      <c r="TQ41" s="270"/>
      <c r="TR41" s="270"/>
      <c r="TS41" s="270"/>
      <c r="TT41" s="270"/>
      <c r="TU41" s="270"/>
      <c r="TV41" s="270"/>
      <c r="TW41" s="270"/>
      <c r="TX41" s="270"/>
      <c r="TY41" s="270"/>
      <c r="TZ41" s="270"/>
      <c r="UA41" s="270"/>
      <c r="UB41" s="270"/>
      <c r="UC41" s="270"/>
      <c r="UD41" s="270"/>
      <c r="UE41" s="270"/>
      <c r="UF41" s="270"/>
      <c r="UG41" s="270"/>
      <c r="UH41" s="270"/>
      <c r="UI41" s="270"/>
      <c r="UJ41" s="270"/>
      <c r="UK41" s="270"/>
      <c r="UL41" s="270"/>
      <c r="UM41" s="270"/>
      <c r="UN41" s="270"/>
      <c r="UO41" s="270"/>
      <c r="UP41" s="270"/>
      <c r="UQ41" s="270"/>
      <c r="UR41" s="270"/>
      <c r="US41" s="270"/>
      <c r="UT41" s="270"/>
      <c r="UU41" s="270"/>
      <c r="UV41" s="270"/>
      <c r="UW41" s="270"/>
      <c r="UX41" s="270"/>
      <c r="UY41" s="270"/>
      <c r="UZ41" s="270"/>
      <c r="VA41" s="270"/>
      <c r="VB41" s="270"/>
      <c r="VC41" s="270"/>
      <c r="VD41" s="270"/>
      <c r="VE41" s="270"/>
      <c r="VF41" s="270"/>
      <c r="VG41" s="270"/>
      <c r="VH41" s="270"/>
      <c r="VI41" s="270"/>
      <c r="VJ41" s="270"/>
      <c r="VK41" s="270"/>
      <c r="VL41" s="270"/>
      <c r="VM41" s="270"/>
      <c r="VN41" s="270"/>
      <c r="VO41" s="270"/>
      <c r="VP41" s="270"/>
      <c r="VQ41" s="270"/>
      <c r="VR41" s="270"/>
      <c r="VS41" s="270"/>
      <c r="VT41" s="270"/>
      <c r="VU41" s="270"/>
      <c r="VV41" s="270"/>
      <c r="VW41" s="270"/>
      <c r="VX41" s="270"/>
      <c r="VY41" s="270"/>
      <c r="VZ41" s="270"/>
      <c r="WA41" s="270"/>
      <c r="WB41" s="270"/>
      <c r="WC41" s="270"/>
      <c r="WD41" s="270"/>
      <c r="WE41" s="270"/>
      <c r="WF41" s="270"/>
      <c r="WG41" s="270"/>
      <c r="WH41" s="270"/>
      <c r="WI41" s="270"/>
      <c r="WJ41" s="270"/>
      <c r="WK41" s="270"/>
      <c r="WL41" s="270"/>
      <c r="WM41" s="270"/>
      <c r="WN41" s="270"/>
      <c r="WO41" s="270"/>
      <c r="WP41" s="270"/>
      <c r="WQ41" s="270"/>
      <c r="WR41" s="270"/>
      <c r="WS41" s="270"/>
      <c r="WT41" s="270"/>
      <c r="WU41" s="270"/>
      <c r="WV41" s="270"/>
      <c r="WW41" s="270"/>
      <c r="WX41" s="270"/>
      <c r="WY41" s="270"/>
      <c r="WZ41" s="270"/>
      <c r="XA41" s="270"/>
      <c r="XB41" s="270"/>
      <c r="XC41" s="270"/>
      <c r="XD41" s="270"/>
      <c r="XE41" s="270"/>
      <c r="XF41" s="270"/>
      <c r="XG41" s="270"/>
      <c r="XH41" s="270"/>
      <c r="XI41" s="270"/>
      <c r="XJ41" s="270"/>
      <c r="XK41" s="270"/>
      <c r="XL41" s="270"/>
      <c r="XM41" s="270"/>
      <c r="XN41" s="270"/>
      <c r="XO41" s="270"/>
      <c r="XP41" s="270"/>
      <c r="XQ41" s="270"/>
      <c r="XR41" s="270"/>
      <c r="XS41" s="270"/>
      <c r="XT41" s="270"/>
      <c r="XU41" s="270"/>
      <c r="XV41" s="270"/>
      <c r="XW41" s="270"/>
      <c r="XX41" s="270"/>
      <c r="XY41" s="270"/>
      <c r="XZ41" s="270"/>
      <c r="YA41" s="270"/>
      <c r="YB41" s="270"/>
      <c r="YC41" s="270"/>
      <c r="YD41" s="270"/>
      <c r="YE41" s="270"/>
      <c r="YF41" s="270"/>
      <c r="YG41" s="270"/>
      <c r="YH41" s="270"/>
      <c r="YI41" s="270"/>
      <c r="YJ41" s="270"/>
      <c r="YK41" s="270"/>
      <c r="YL41" s="270"/>
      <c r="YM41" s="270"/>
      <c r="YN41" s="270"/>
      <c r="YO41" s="270"/>
      <c r="YP41" s="270"/>
      <c r="YQ41" s="270"/>
      <c r="YR41" s="270"/>
      <c r="YS41" s="270"/>
      <c r="YT41" s="270"/>
      <c r="YU41" s="270"/>
      <c r="YV41" s="270"/>
      <c r="YW41" s="270"/>
      <c r="YX41" s="270"/>
      <c r="YY41" s="270"/>
      <c r="YZ41" s="270"/>
      <c r="ZA41" s="270"/>
      <c r="ZB41" s="270"/>
      <c r="ZC41" s="270"/>
      <c r="ZD41" s="270"/>
      <c r="ZE41" s="270"/>
    </row>
    <row r="42" ht="32.25" customHeight="1">
      <c r="A42" s="408" t="s">
        <v>1756</v>
      </c>
      <c r="B42" s="135" t="s">
        <v>1927</v>
      </c>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25"/>
      <c r="CO42" s="106" t="s">
        <v>1933</v>
      </c>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25"/>
      <c r="DQ42" s="151"/>
      <c r="DR42" s="16"/>
      <c r="DS42" s="16"/>
      <c r="DT42" s="16"/>
      <c r="DU42" s="16"/>
      <c r="DV42" s="16"/>
      <c r="DW42" s="25"/>
      <c r="DX42" s="151"/>
      <c r="DY42" s="16"/>
      <c r="DZ42" s="16"/>
      <c r="EA42" s="16"/>
      <c r="EB42" s="16"/>
      <c r="EC42" s="16"/>
      <c r="ED42" s="25"/>
      <c r="EE42" s="151"/>
      <c r="EF42" s="16"/>
      <c r="EG42" s="16"/>
      <c r="EH42" s="16"/>
      <c r="EI42" s="16"/>
      <c r="EJ42" s="16"/>
      <c r="EK42" s="25"/>
      <c r="EL42" s="153" t="s">
        <v>1921</v>
      </c>
      <c r="EM42" s="16"/>
      <c r="EN42" s="16"/>
      <c r="EO42" s="16"/>
      <c r="EP42" s="16"/>
      <c r="EQ42" s="16"/>
      <c r="ER42" s="16"/>
      <c r="ES42" s="16"/>
      <c r="ET42" s="16"/>
      <c r="EU42" s="16"/>
      <c r="EV42" s="16"/>
      <c r="EW42" s="16"/>
      <c r="EX42" s="16"/>
      <c r="EY42" s="25"/>
      <c r="EZ42" s="106"/>
      <c r="FA42" s="16"/>
      <c r="FB42" s="16"/>
      <c r="FC42" s="16"/>
      <c r="FD42" s="16"/>
      <c r="FE42" s="16"/>
      <c r="FF42" s="25"/>
      <c r="FG42" s="153" t="s">
        <v>1922</v>
      </c>
      <c r="FH42" s="16"/>
      <c r="FI42" s="16"/>
      <c r="FJ42" s="16"/>
      <c r="FK42" s="16"/>
      <c r="FL42" s="16"/>
      <c r="FM42" s="25"/>
      <c r="FN42" s="153"/>
      <c r="FO42" s="16"/>
      <c r="FP42" s="16"/>
      <c r="FQ42" s="16"/>
      <c r="FR42" s="16"/>
      <c r="FS42" s="16"/>
      <c r="FT42" s="25"/>
      <c r="FU42" s="153"/>
      <c r="FV42" s="16"/>
      <c r="FW42" s="16"/>
      <c r="FX42" s="16"/>
      <c r="FY42" s="16"/>
      <c r="FZ42" s="16"/>
      <c r="GA42" s="25"/>
      <c r="GB42" s="153"/>
      <c r="GC42" s="16"/>
      <c r="GD42" s="16"/>
      <c r="GE42" s="16"/>
      <c r="GF42" s="16"/>
      <c r="GG42" s="16"/>
      <c r="GH42" s="25"/>
      <c r="GI42" s="283"/>
      <c r="GJ42" s="16"/>
      <c r="GK42" s="16"/>
      <c r="GL42" s="16"/>
      <c r="GM42" s="16"/>
      <c r="GN42" s="16"/>
      <c r="GO42" s="25"/>
      <c r="GP42" s="283"/>
      <c r="GQ42" s="16"/>
      <c r="GR42" s="16"/>
      <c r="GS42" s="16"/>
      <c r="GT42" s="16"/>
      <c r="GU42" s="16"/>
      <c r="GV42" s="25"/>
      <c r="GW42" s="140" t="s">
        <v>1923</v>
      </c>
      <c r="GX42" s="16"/>
      <c r="GY42" s="16"/>
      <c r="GZ42" s="16"/>
      <c r="HA42" s="16"/>
      <c r="HB42" s="16"/>
      <c r="HC42" s="16"/>
      <c r="HD42" s="140" t="s">
        <v>1924</v>
      </c>
      <c r="HE42" s="16"/>
      <c r="HF42" s="16"/>
      <c r="HG42" s="16"/>
      <c r="HH42" s="16"/>
      <c r="HI42" s="16"/>
      <c r="HJ42" s="25"/>
      <c r="HK42" s="140" t="s">
        <v>1925</v>
      </c>
      <c r="HL42" s="16"/>
      <c r="HM42" s="16"/>
      <c r="HN42" s="16"/>
      <c r="HO42" s="16"/>
      <c r="HP42" s="16"/>
      <c r="HQ42" s="25"/>
      <c r="HR42" s="140" t="s">
        <v>1926</v>
      </c>
      <c r="HS42" s="16"/>
      <c r="HT42" s="16"/>
      <c r="HU42" s="16"/>
      <c r="HV42" s="16"/>
      <c r="HW42" s="16"/>
      <c r="HX42" s="25"/>
      <c r="HY42" s="283"/>
      <c r="HZ42" s="16"/>
      <c r="IA42" s="16"/>
      <c r="IB42" s="16"/>
      <c r="IC42" s="16"/>
      <c r="ID42" s="16"/>
      <c r="IE42" s="25"/>
      <c r="IF42" s="283"/>
      <c r="IG42" s="16"/>
      <c r="IH42" s="16"/>
      <c r="II42" s="16"/>
      <c r="IJ42" s="16"/>
      <c r="IK42" s="16"/>
      <c r="IL42" s="25"/>
      <c r="IM42" s="283"/>
      <c r="IN42" s="16"/>
      <c r="IO42" s="16"/>
      <c r="IP42" s="16"/>
      <c r="IQ42" s="16"/>
      <c r="IR42" s="16"/>
      <c r="IS42" s="25"/>
      <c r="IT42" s="153" t="s">
        <v>1928</v>
      </c>
      <c r="IU42" s="16"/>
      <c r="IV42" s="16"/>
      <c r="IW42" s="16"/>
      <c r="IX42" s="16"/>
      <c r="IY42" s="16"/>
      <c r="IZ42" s="16"/>
      <c r="JA42" s="16"/>
      <c r="JB42" s="16"/>
      <c r="JC42" s="16"/>
      <c r="JD42" s="16"/>
      <c r="JE42" s="16"/>
      <c r="JF42" s="16"/>
      <c r="JG42" s="25"/>
      <c r="JH42" s="283"/>
      <c r="JI42" s="16"/>
      <c r="JJ42" s="16"/>
      <c r="JK42" s="16"/>
      <c r="JL42" s="16"/>
      <c r="JM42" s="16"/>
      <c r="JN42" s="25"/>
      <c r="JO42" s="410" t="s">
        <v>1929</v>
      </c>
      <c r="JV42" s="140" t="s">
        <v>1930</v>
      </c>
      <c r="JW42" s="16"/>
      <c r="JX42" s="16"/>
      <c r="JY42" s="16"/>
      <c r="JZ42" s="16"/>
      <c r="KA42" s="16"/>
      <c r="KB42" s="25"/>
      <c r="KC42" s="411" t="s">
        <v>1931</v>
      </c>
      <c r="KD42" s="16"/>
      <c r="KE42" s="16"/>
      <c r="KF42" s="16"/>
      <c r="KG42" s="16"/>
      <c r="KH42" s="16"/>
      <c r="KI42" s="16"/>
      <c r="KJ42" s="16"/>
      <c r="KK42" s="16"/>
      <c r="KL42" s="16"/>
      <c r="KM42" s="16"/>
      <c r="KN42" s="16"/>
      <c r="KO42" s="16"/>
      <c r="KP42" s="25"/>
      <c r="KQ42" s="153"/>
      <c r="KR42" s="16"/>
      <c r="KS42" s="16"/>
      <c r="KT42" s="16"/>
      <c r="KU42" s="16"/>
      <c r="KV42" s="16"/>
      <c r="KW42" s="25"/>
      <c r="KX42" s="283"/>
      <c r="KY42" s="16"/>
      <c r="KZ42" s="16"/>
      <c r="LA42" s="16"/>
      <c r="LB42" s="16"/>
      <c r="LC42" s="16"/>
      <c r="LD42" s="25"/>
      <c r="LE42" s="283"/>
      <c r="LF42" s="16"/>
      <c r="LG42" s="16"/>
      <c r="LH42" s="16"/>
      <c r="LI42" s="16"/>
      <c r="LJ42" s="16"/>
      <c r="LK42" s="25"/>
      <c r="LL42" s="153"/>
      <c r="LM42" s="16"/>
      <c r="LN42" s="16"/>
      <c r="LO42" s="16"/>
      <c r="LP42" s="16"/>
      <c r="LQ42" s="16"/>
      <c r="LR42" s="25"/>
      <c r="LS42" s="411" t="s">
        <v>1939</v>
      </c>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6"/>
      <c r="MX42" s="16"/>
      <c r="MY42" s="16"/>
      <c r="MZ42" s="16"/>
      <c r="NA42" s="25"/>
      <c r="NB42" s="402"/>
      <c r="NC42" s="235" t="s">
        <v>1940</v>
      </c>
      <c r="ND42" s="270"/>
      <c r="NE42" s="270"/>
      <c r="NF42" s="270"/>
      <c r="NG42" s="270"/>
      <c r="NH42" s="270"/>
      <c r="NI42" s="270"/>
      <c r="NJ42" s="270"/>
      <c r="NK42" s="270"/>
      <c r="NL42" s="270"/>
      <c r="NM42" s="270"/>
      <c r="NN42" s="270"/>
      <c r="NO42" s="270"/>
      <c r="NP42" s="270"/>
      <c r="NQ42" s="270"/>
      <c r="NR42" s="270"/>
      <c r="NS42" s="270"/>
      <c r="NT42" s="270"/>
      <c r="NU42" s="270"/>
      <c r="NV42" s="270"/>
      <c r="NW42" s="270"/>
      <c r="NX42" s="270"/>
      <c r="NY42" s="270"/>
      <c r="NZ42" s="270"/>
      <c r="OA42" s="270"/>
      <c r="OB42" s="270"/>
      <c r="OC42" s="270"/>
      <c r="OD42" s="270"/>
      <c r="OE42" s="270"/>
      <c r="OF42" s="270"/>
      <c r="OG42" s="270"/>
      <c r="OH42" s="270"/>
      <c r="OI42" s="270"/>
      <c r="OJ42" s="270"/>
      <c r="OK42" s="270"/>
      <c r="OL42" s="270"/>
      <c r="OM42" s="270"/>
      <c r="ON42" s="270"/>
      <c r="OO42" s="270"/>
      <c r="OP42" s="270"/>
      <c r="OQ42" s="270"/>
      <c r="OR42" s="270"/>
      <c r="OS42" s="270"/>
      <c r="OT42" s="270"/>
      <c r="OU42" s="270"/>
      <c r="OV42" s="270"/>
      <c r="OW42" s="270"/>
      <c r="OX42" s="270"/>
      <c r="OY42" s="270"/>
      <c r="OZ42" s="270"/>
      <c r="PA42" s="270"/>
      <c r="PB42" s="270"/>
      <c r="PC42" s="270"/>
      <c r="PD42" s="270"/>
      <c r="PE42" s="270"/>
      <c r="PF42" s="270"/>
      <c r="PG42" s="270"/>
      <c r="PH42" s="270"/>
      <c r="PI42" s="270"/>
      <c r="PJ42" s="270"/>
      <c r="PK42" s="270"/>
      <c r="PL42" s="270"/>
      <c r="PM42" s="270"/>
      <c r="PN42" s="270"/>
      <c r="PO42" s="270"/>
      <c r="PP42" s="270"/>
      <c r="PQ42" s="270"/>
      <c r="PR42" s="270"/>
      <c r="PS42" s="270"/>
      <c r="PT42" s="270"/>
      <c r="PU42" s="270"/>
      <c r="PV42" s="270"/>
      <c r="PW42" s="270"/>
      <c r="PX42" s="270"/>
      <c r="PY42" s="270"/>
      <c r="PZ42" s="270"/>
      <c r="QA42" s="270"/>
      <c r="QB42" s="270"/>
      <c r="QC42" s="270"/>
      <c r="QD42" s="270"/>
      <c r="QE42" s="270"/>
      <c r="QF42" s="270"/>
      <c r="QG42" s="270"/>
      <c r="QH42" s="270"/>
      <c r="QI42" s="270"/>
      <c r="QJ42" s="270"/>
      <c r="QK42" s="270"/>
      <c r="QL42" s="270"/>
      <c r="QM42" s="270"/>
      <c r="QN42" s="270"/>
      <c r="QO42" s="270"/>
      <c r="QP42" s="270"/>
      <c r="QQ42" s="270"/>
      <c r="QR42" s="270"/>
      <c r="QS42" s="270"/>
      <c r="QT42" s="270"/>
      <c r="QU42" s="270"/>
      <c r="QV42" s="270"/>
      <c r="QW42" s="270"/>
      <c r="QX42" s="270"/>
      <c r="QY42" s="270"/>
      <c r="QZ42" s="270"/>
      <c r="RA42" s="270"/>
      <c r="RB42" s="270"/>
      <c r="RC42" s="270"/>
      <c r="RD42" s="270"/>
      <c r="RE42" s="270"/>
      <c r="RF42" s="270"/>
      <c r="RG42" s="270"/>
      <c r="RH42" s="270"/>
      <c r="RI42" s="270"/>
      <c r="RJ42" s="270"/>
      <c r="RK42" s="270"/>
      <c r="RL42" s="270"/>
      <c r="RM42" s="270"/>
      <c r="RN42" s="270"/>
      <c r="RO42" s="270"/>
      <c r="RP42" s="270"/>
      <c r="RQ42" s="270"/>
      <c r="RR42" s="270"/>
      <c r="RS42" s="270"/>
      <c r="RT42" s="270"/>
      <c r="RU42" s="270"/>
      <c r="RV42" s="270"/>
      <c r="RW42" s="270"/>
      <c r="RX42" s="270"/>
      <c r="RY42" s="270"/>
      <c r="RZ42" s="270"/>
      <c r="SA42" s="270"/>
      <c r="SB42" s="270"/>
      <c r="SC42" s="270"/>
      <c r="SD42" s="270"/>
      <c r="SE42" s="270"/>
      <c r="SF42" s="270"/>
      <c r="SG42" s="270"/>
      <c r="SH42" s="270"/>
      <c r="SI42" s="270"/>
      <c r="SJ42" s="270"/>
      <c r="SK42" s="270"/>
      <c r="SL42" s="270"/>
      <c r="SM42" s="270"/>
      <c r="SN42" s="270"/>
      <c r="SO42" s="270"/>
      <c r="SP42" s="270"/>
      <c r="SQ42" s="270"/>
      <c r="SR42" s="270"/>
      <c r="SS42" s="270"/>
      <c r="ST42" s="270"/>
      <c r="SU42" s="270"/>
      <c r="SV42" s="270"/>
      <c r="SW42" s="270"/>
      <c r="SX42" s="270"/>
      <c r="SY42" s="270"/>
      <c r="SZ42" s="270"/>
      <c r="TA42" s="270"/>
      <c r="TB42" s="270"/>
      <c r="TC42" s="270"/>
      <c r="TD42" s="270"/>
      <c r="TE42" s="270"/>
      <c r="TF42" s="270"/>
      <c r="TG42" s="270"/>
      <c r="TH42" s="270"/>
      <c r="TI42" s="270"/>
      <c r="TJ42" s="270"/>
      <c r="TK42" s="270"/>
      <c r="TL42" s="270"/>
      <c r="TM42" s="270"/>
      <c r="TN42" s="270"/>
      <c r="TO42" s="270"/>
      <c r="TP42" s="270"/>
      <c r="TQ42" s="270"/>
      <c r="TR42" s="270"/>
      <c r="TS42" s="270"/>
      <c r="TT42" s="270"/>
      <c r="TU42" s="270"/>
      <c r="TV42" s="270"/>
      <c r="TW42" s="270"/>
      <c r="TX42" s="270"/>
      <c r="TY42" s="270"/>
      <c r="TZ42" s="270"/>
      <c r="UA42" s="270"/>
      <c r="UB42" s="270"/>
      <c r="UC42" s="270"/>
      <c r="UD42" s="270"/>
      <c r="UE42" s="270"/>
      <c r="UF42" s="270"/>
      <c r="UG42" s="270"/>
      <c r="UH42" s="270"/>
      <c r="UI42" s="270"/>
      <c r="UJ42" s="270"/>
      <c r="UK42" s="270"/>
      <c r="UL42" s="270"/>
      <c r="UM42" s="270"/>
      <c r="UN42" s="270"/>
      <c r="UO42" s="270"/>
      <c r="UP42" s="270"/>
      <c r="UQ42" s="270"/>
      <c r="UR42" s="270"/>
      <c r="US42" s="270"/>
      <c r="UT42" s="270"/>
      <c r="UU42" s="270"/>
      <c r="UV42" s="270"/>
      <c r="UW42" s="270"/>
      <c r="UX42" s="270"/>
      <c r="UY42" s="270"/>
      <c r="UZ42" s="270"/>
      <c r="VA42" s="270"/>
      <c r="VB42" s="270"/>
      <c r="VC42" s="270"/>
      <c r="VD42" s="270"/>
      <c r="VE42" s="270"/>
      <c r="VF42" s="270"/>
      <c r="VG42" s="270"/>
      <c r="VH42" s="270"/>
      <c r="VI42" s="270"/>
      <c r="VJ42" s="270"/>
      <c r="VK42" s="270"/>
      <c r="VL42" s="270"/>
      <c r="VM42" s="270"/>
      <c r="VN42" s="270"/>
      <c r="VO42" s="270"/>
      <c r="VP42" s="270"/>
      <c r="VQ42" s="270"/>
      <c r="VR42" s="270"/>
      <c r="VS42" s="270"/>
      <c r="VT42" s="270"/>
      <c r="VU42" s="270"/>
      <c r="VV42" s="270"/>
      <c r="VW42" s="270"/>
      <c r="VX42" s="270"/>
      <c r="VY42" s="270"/>
      <c r="VZ42" s="270"/>
      <c r="WA42" s="270"/>
      <c r="WB42" s="270"/>
      <c r="WC42" s="270"/>
      <c r="WD42" s="270"/>
      <c r="WE42" s="270"/>
      <c r="WF42" s="270"/>
      <c r="WG42" s="270"/>
      <c r="WH42" s="270"/>
      <c r="WI42" s="270"/>
      <c r="WJ42" s="270"/>
      <c r="WK42" s="270"/>
      <c r="WL42" s="270"/>
      <c r="WM42" s="270"/>
      <c r="WN42" s="270"/>
      <c r="WO42" s="270"/>
      <c r="WP42" s="270"/>
      <c r="WQ42" s="270"/>
      <c r="WR42" s="270"/>
      <c r="WS42" s="270"/>
      <c r="WT42" s="270"/>
      <c r="WU42" s="270"/>
      <c r="WV42" s="270"/>
      <c r="WW42" s="270"/>
      <c r="WX42" s="270"/>
      <c r="WY42" s="270"/>
      <c r="WZ42" s="270"/>
      <c r="XA42" s="270"/>
      <c r="XB42" s="270"/>
      <c r="XC42" s="270"/>
      <c r="XD42" s="270"/>
      <c r="XE42" s="270"/>
      <c r="XF42" s="270"/>
      <c r="XG42" s="270"/>
      <c r="XH42" s="270"/>
      <c r="XI42" s="270"/>
      <c r="XJ42" s="270"/>
      <c r="XK42" s="270"/>
      <c r="XL42" s="270"/>
      <c r="XM42" s="270"/>
      <c r="XN42" s="270"/>
      <c r="XO42" s="270"/>
      <c r="XP42" s="270"/>
      <c r="XQ42" s="270"/>
      <c r="XR42" s="270"/>
      <c r="XS42" s="270"/>
      <c r="XT42" s="270"/>
      <c r="XU42" s="270"/>
      <c r="XV42" s="270"/>
      <c r="XW42" s="270"/>
      <c r="XX42" s="270"/>
      <c r="XY42" s="270"/>
      <c r="XZ42" s="270"/>
      <c r="YA42" s="270"/>
      <c r="YB42" s="270"/>
      <c r="YC42" s="270"/>
      <c r="YD42" s="270"/>
      <c r="YE42" s="270"/>
      <c r="YF42" s="270"/>
      <c r="YG42" s="270"/>
      <c r="YH42" s="270"/>
      <c r="YI42" s="270"/>
      <c r="YJ42" s="270"/>
      <c r="YK42" s="270"/>
      <c r="YL42" s="270"/>
      <c r="YM42" s="270"/>
      <c r="YN42" s="270"/>
      <c r="YO42" s="270"/>
      <c r="YP42" s="270"/>
      <c r="YQ42" s="270"/>
      <c r="YR42" s="270"/>
      <c r="YS42" s="270"/>
      <c r="YT42" s="270"/>
      <c r="YU42" s="270"/>
      <c r="YV42" s="270"/>
      <c r="YW42" s="270"/>
      <c r="YX42" s="270"/>
      <c r="YY42" s="270"/>
      <c r="YZ42" s="270"/>
      <c r="ZA42" s="270"/>
      <c r="ZB42" s="270"/>
      <c r="ZC42" s="270"/>
      <c r="ZD42" s="270"/>
      <c r="ZE42" s="270"/>
    </row>
    <row r="43">
      <c r="A43" s="412"/>
      <c r="B43" s="135" t="s">
        <v>1943</v>
      </c>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25"/>
      <c r="AD43" s="283"/>
      <c r="AE43" s="16"/>
      <c r="AF43" s="16"/>
      <c r="AG43" s="16"/>
      <c r="AH43" s="16"/>
      <c r="AI43" s="16"/>
      <c r="AJ43" s="25"/>
      <c r="AK43" s="135" t="s">
        <v>1945</v>
      </c>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25"/>
      <c r="CO43" s="283"/>
      <c r="CP43" s="16"/>
      <c r="CQ43" s="16"/>
      <c r="CR43" s="16"/>
      <c r="CS43" s="16"/>
      <c r="CT43" s="16"/>
      <c r="CU43" s="25"/>
      <c r="CV43" s="283"/>
      <c r="CW43" s="16"/>
      <c r="CX43" s="16"/>
      <c r="CY43" s="16"/>
      <c r="CZ43" s="16"/>
      <c r="DA43" s="16"/>
      <c r="DB43" s="25"/>
      <c r="DC43" s="108" t="s">
        <v>1948</v>
      </c>
      <c r="DD43" s="16"/>
      <c r="DE43" s="16"/>
      <c r="DF43" s="16"/>
      <c r="DG43" s="16"/>
      <c r="DH43" s="16"/>
      <c r="DI43" s="16"/>
      <c r="DJ43" s="16"/>
      <c r="DK43" s="16"/>
      <c r="DL43" s="16"/>
      <c r="DM43" s="16"/>
      <c r="DN43" s="16"/>
      <c r="DO43" s="16"/>
      <c r="DP43" s="25"/>
      <c r="DQ43" s="153"/>
      <c r="DR43" s="16"/>
      <c r="DS43" s="16"/>
      <c r="DT43" s="16"/>
      <c r="DU43" s="16"/>
      <c r="DV43" s="16"/>
      <c r="DW43" s="25"/>
      <c r="DX43" s="283"/>
      <c r="DY43" s="16"/>
      <c r="DZ43" s="16"/>
      <c r="EA43" s="16"/>
      <c r="EB43" s="16"/>
      <c r="EC43" s="16"/>
      <c r="ED43" s="25"/>
      <c r="EE43" s="153"/>
      <c r="EF43" s="16"/>
      <c r="EG43" s="16"/>
      <c r="EH43" s="16"/>
      <c r="EI43" s="16"/>
      <c r="EJ43" s="16"/>
      <c r="EK43" s="25"/>
      <c r="EL43" s="153"/>
      <c r="EM43" s="16"/>
      <c r="EN43" s="16"/>
      <c r="EO43" s="16"/>
      <c r="EP43" s="16"/>
      <c r="EQ43" s="16"/>
      <c r="ER43" s="25"/>
      <c r="ES43" s="153"/>
      <c r="ET43" s="16"/>
      <c r="EU43" s="16"/>
      <c r="EV43" s="16"/>
      <c r="EW43" s="16"/>
      <c r="EX43" s="16"/>
      <c r="EY43" s="25"/>
      <c r="EZ43" s="409" t="s">
        <v>1951</v>
      </c>
      <c r="GB43" s="283"/>
      <c r="GC43" s="16"/>
      <c r="GD43" s="16"/>
      <c r="GE43" s="16"/>
      <c r="GF43" s="16"/>
      <c r="GG43" s="16"/>
      <c r="GH43" s="25"/>
      <c r="GI43" s="153"/>
      <c r="GJ43" s="16"/>
      <c r="GK43" s="16"/>
      <c r="GL43" s="16"/>
      <c r="GM43" s="16"/>
      <c r="GN43" s="16"/>
      <c r="GO43" s="25"/>
      <c r="GP43" s="153"/>
      <c r="GQ43" s="16"/>
      <c r="GR43" s="16"/>
      <c r="GS43" s="16"/>
      <c r="GT43" s="16"/>
      <c r="GU43" s="16"/>
      <c r="GV43" s="25"/>
      <c r="GW43" s="283"/>
      <c r="GX43" s="16"/>
      <c r="GY43" s="16"/>
      <c r="GZ43" s="16"/>
      <c r="HA43" s="16"/>
      <c r="HB43" s="16"/>
      <c r="HC43" s="25"/>
      <c r="HD43" s="153"/>
      <c r="HE43" s="16"/>
      <c r="HF43" s="16"/>
      <c r="HG43" s="16"/>
      <c r="HH43" s="16"/>
      <c r="HI43" s="16"/>
      <c r="HJ43" s="25"/>
      <c r="HK43" s="283"/>
      <c r="HL43" s="16"/>
      <c r="HM43" s="16"/>
      <c r="HN43" s="16"/>
      <c r="HO43" s="16"/>
      <c r="HP43" s="16"/>
      <c r="HQ43" s="25"/>
      <c r="HR43" s="153"/>
      <c r="HS43" s="16"/>
      <c r="HT43" s="16"/>
      <c r="HU43" s="16"/>
      <c r="HV43" s="16"/>
      <c r="HW43" s="16"/>
      <c r="HX43" s="25"/>
      <c r="HY43" s="283"/>
      <c r="HZ43" s="16"/>
      <c r="IA43" s="16"/>
      <c r="IB43" s="16"/>
      <c r="IC43" s="16"/>
      <c r="ID43" s="16"/>
      <c r="IE43" s="25"/>
      <c r="IF43" s="283"/>
      <c r="IG43" s="16"/>
      <c r="IH43" s="16"/>
      <c r="II43" s="16"/>
      <c r="IJ43" s="16"/>
      <c r="IK43" s="16"/>
      <c r="IL43" s="25"/>
      <c r="IM43" s="283"/>
      <c r="IN43" s="16"/>
      <c r="IO43" s="16"/>
      <c r="IP43" s="16"/>
      <c r="IQ43" s="16"/>
      <c r="IR43" s="16"/>
      <c r="IS43" s="25"/>
      <c r="IT43" s="283"/>
      <c r="IU43" s="16"/>
      <c r="IV43" s="16"/>
      <c r="IW43" s="16"/>
      <c r="IX43" s="16"/>
      <c r="IY43" s="16"/>
      <c r="IZ43" s="25"/>
      <c r="JA43" s="283"/>
      <c r="JB43" s="16"/>
      <c r="JC43" s="16"/>
      <c r="JD43" s="16"/>
      <c r="JE43" s="16"/>
      <c r="JF43" s="16"/>
      <c r="JG43" s="25"/>
      <c r="JH43" s="283"/>
      <c r="JI43" s="16"/>
      <c r="JJ43" s="16"/>
      <c r="JK43" s="16"/>
      <c r="JL43" s="16"/>
      <c r="JM43" s="16"/>
      <c r="JN43" s="25"/>
      <c r="JO43" s="401"/>
      <c r="JP43" s="16"/>
      <c r="JQ43" s="16"/>
      <c r="JR43" s="16"/>
      <c r="JS43" s="16"/>
      <c r="JT43" s="16"/>
      <c r="JU43" s="25"/>
      <c r="JV43" s="283"/>
      <c r="JW43" s="16"/>
      <c r="JX43" s="16"/>
      <c r="JY43" s="16"/>
      <c r="JZ43" s="16"/>
      <c r="KA43" s="16"/>
      <c r="KB43" s="25"/>
      <c r="KC43" s="283"/>
      <c r="KD43" s="16"/>
      <c r="KE43" s="16"/>
      <c r="KF43" s="16"/>
      <c r="KG43" s="16"/>
      <c r="KH43" s="16"/>
      <c r="KI43" s="25"/>
      <c r="KJ43" s="283"/>
      <c r="KK43" s="16"/>
      <c r="KL43" s="16"/>
      <c r="KM43" s="16"/>
      <c r="KN43" s="16"/>
      <c r="KO43" s="16"/>
      <c r="KP43" s="25"/>
      <c r="KQ43" s="283"/>
      <c r="KR43" s="16"/>
      <c r="KS43" s="16"/>
      <c r="KT43" s="16"/>
      <c r="KU43" s="16"/>
      <c r="KV43" s="16"/>
      <c r="KW43" s="25"/>
      <c r="KX43" s="283"/>
      <c r="KY43" s="16"/>
      <c r="KZ43" s="16"/>
      <c r="LA43" s="16"/>
      <c r="LB43" s="16"/>
      <c r="LC43" s="16"/>
      <c r="LD43" s="25"/>
      <c r="LE43" s="283"/>
      <c r="LF43" s="16"/>
      <c r="LG43" s="16"/>
      <c r="LH43" s="16"/>
      <c r="LI43" s="16"/>
      <c r="LJ43" s="16"/>
      <c r="LK43" s="25"/>
      <c r="LL43" s="283"/>
      <c r="LM43" s="16"/>
      <c r="LN43" s="16"/>
      <c r="LO43" s="16"/>
      <c r="LP43" s="16"/>
      <c r="LQ43" s="16"/>
      <c r="LR43" s="25"/>
      <c r="LS43" s="283"/>
      <c r="LT43" s="16"/>
      <c r="LU43" s="16"/>
      <c r="LV43" s="16"/>
      <c r="LW43" s="16"/>
      <c r="LX43" s="16"/>
      <c r="LY43" s="25"/>
      <c r="LZ43" s="283"/>
      <c r="MA43" s="16"/>
      <c r="MB43" s="16"/>
      <c r="MC43" s="16"/>
      <c r="MD43" s="16"/>
      <c r="ME43" s="16"/>
      <c r="MF43" s="25"/>
      <c r="MG43" s="283"/>
      <c r="MH43" s="16"/>
      <c r="MI43" s="16"/>
      <c r="MJ43" s="16"/>
      <c r="MK43" s="16"/>
      <c r="ML43" s="16"/>
      <c r="MM43" s="25"/>
      <c r="MN43" s="283"/>
      <c r="MO43" s="16"/>
      <c r="MP43" s="16"/>
      <c r="MQ43" s="16"/>
      <c r="MR43" s="16"/>
      <c r="MS43" s="16"/>
      <c r="MT43" s="25"/>
      <c r="MU43" s="283"/>
      <c r="MV43" s="16"/>
      <c r="MW43" s="16"/>
      <c r="MX43" s="16"/>
      <c r="MY43" s="16"/>
      <c r="MZ43" s="16"/>
      <c r="NA43" s="25"/>
      <c r="NB43" s="402"/>
      <c r="NC43" s="270"/>
      <c r="ND43" s="270"/>
      <c r="NE43" s="270"/>
      <c r="NF43" s="270"/>
      <c r="NG43" s="270"/>
      <c r="NH43" s="270"/>
      <c r="NI43" s="270"/>
      <c r="NJ43" s="270"/>
      <c r="NK43" s="270"/>
      <c r="NL43" s="270"/>
      <c r="NM43" s="270"/>
      <c r="NN43" s="270"/>
      <c r="NO43" s="270"/>
      <c r="NP43" s="270"/>
      <c r="NQ43" s="270"/>
      <c r="NR43" s="270"/>
      <c r="NS43" s="270"/>
      <c r="NT43" s="270"/>
      <c r="NU43" s="270"/>
      <c r="NV43" s="270"/>
      <c r="NW43" s="270"/>
      <c r="NX43" s="270"/>
      <c r="NY43" s="270"/>
      <c r="NZ43" s="270"/>
      <c r="OA43" s="270"/>
      <c r="OB43" s="270"/>
      <c r="OC43" s="270"/>
      <c r="OD43" s="270"/>
      <c r="OE43" s="270"/>
      <c r="OF43" s="270"/>
      <c r="OG43" s="270"/>
      <c r="OH43" s="270"/>
      <c r="OI43" s="270"/>
      <c r="OJ43" s="270"/>
      <c r="OK43" s="270"/>
      <c r="OL43" s="270"/>
      <c r="OM43" s="270"/>
      <c r="ON43" s="270"/>
      <c r="OO43" s="270"/>
      <c r="OP43" s="270"/>
      <c r="OQ43" s="270"/>
      <c r="OR43" s="270"/>
      <c r="OS43" s="270"/>
      <c r="OT43" s="270"/>
      <c r="OU43" s="270"/>
      <c r="OV43" s="270"/>
      <c r="OW43" s="270"/>
      <c r="OX43" s="270"/>
      <c r="OY43" s="270"/>
      <c r="OZ43" s="270"/>
      <c r="PA43" s="270"/>
      <c r="PB43" s="270"/>
      <c r="PC43" s="270"/>
      <c r="PD43" s="270"/>
      <c r="PE43" s="270"/>
      <c r="PF43" s="270"/>
      <c r="PG43" s="270"/>
      <c r="PH43" s="270"/>
      <c r="PI43" s="270"/>
      <c r="PJ43" s="270"/>
      <c r="PK43" s="270"/>
      <c r="PL43" s="270"/>
      <c r="PM43" s="270"/>
      <c r="PN43" s="270"/>
      <c r="PO43" s="270"/>
      <c r="PP43" s="270"/>
      <c r="PQ43" s="270"/>
      <c r="PR43" s="270"/>
      <c r="PS43" s="270"/>
      <c r="PT43" s="270"/>
      <c r="PU43" s="270"/>
      <c r="PV43" s="270"/>
      <c r="PW43" s="270"/>
      <c r="PX43" s="270"/>
      <c r="PY43" s="270"/>
      <c r="PZ43" s="270"/>
      <c r="QA43" s="270"/>
      <c r="QB43" s="270"/>
      <c r="QC43" s="270"/>
      <c r="QD43" s="270"/>
      <c r="QE43" s="270"/>
      <c r="QF43" s="270"/>
      <c r="QG43" s="270"/>
      <c r="QH43" s="270"/>
      <c r="QI43" s="270"/>
      <c r="QJ43" s="270"/>
      <c r="QK43" s="270"/>
      <c r="QL43" s="270"/>
      <c r="QM43" s="270"/>
      <c r="QN43" s="270"/>
      <c r="QO43" s="270"/>
      <c r="QP43" s="270"/>
      <c r="QQ43" s="270"/>
      <c r="QR43" s="270"/>
      <c r="QS43" s="270"/>
      <c r="QT43" s="270"/>
      <c r="QU43" s="270"/>
      <c r="QV43" s="270"/>
      <c r="QW43" s="270"/>
      <c r="QX43" s="270"/>
      <c r="QY43" s="270"/>
      <c r="QZ43" s="270"/>
      <c r="RA43" s="270"/>
      <c r="RB43" s="270"/>
      <c r="RC43" s="270"/>
      <c r="RD43" s="270"/>
      <c r="RE43" s="270"/>
      <c r="RF43" s="270"/>
      <c r="RG43" s="270"/>
      <c r="RH43" s="270"/>
      <c r="RI43" s="270"/>
      <c r="RJ43" s="270"/>
      <c r="RK43" s="270"/>
      <c r="RL43" s="270"/>
      <c r="RM43" s="270"/>
      <c r="RN43" s="270"/>
      <c r="RO43" s="270"/>
      <c r="RP43" s="270"/>
      <c r="RQ43" s="270"/>
      <c r="RR43" s="270"/>
      <c r="RS43" s="270"/>
      <c r="RT43" s="270"/>
      <c r="RU43" s="270"/>
      <c r="RV43" s="270"/>
      <c r="RW43" s="270"/>
      <c r="RX43" s="270"/>
      <c r="RY43" s="270"/>
      <c r="RZ43" s="270"/>
      <c r="SA43" s="270"/>
      <c r="SB43" s="270"/>
      <c r="SC43" s="270"/>
      <c r="SD43" s="270"/>
      <c r="SE43" s="270"/>
      <c r="SF43" s="270"/>
      <c r="SG43" s="270"/>
      <c r="SH43" s="270"/>
      <c r="SI43" s="270"/>
      <c r="SJ43" s="270"/>
      <c r="SK43" s="270"/>
      <c r="SL43" s="270"/>
      <c r="SM43" s="270"/>
      <c r="SN43" s="270"/>
      <c r="SO43" s="270"/>
      <c r="SP43" s="270"/>
      <c r="SQ43" s="270"/>
      <c r="SR43" s="270"/>
      <c r="SS43" s="270"/>
      <c r="ST43" s="270"/>
      <c r="SU43" s="270"/>
      <c r="SV43" s="270"/>
      <c r="SW43" s="270"/>
      <c r="SX43" s="270"/>
      <c r="SY43" s="270"/>
      <c r="SZ43" s="270"/>
      <c r="TA43" s="270"/>
      <c r="TB43" s="270"/>
      <c r="TC43" s="270"/>
      <c r="TD43" s="270"/>
      <c r="TE43" s="270"/>
      <c r="TF43" s="270"/>
      <c r="TG43" s="270"/>
      <c r="TH43" s="270"/>
      <c r="TI43" s="270"/>
      <c r="TJ43" s="270"/>
      <c r="TK43" s="270"/>
      <c r="TL43" s="270"/>
      <c r="TM43" s="270"/>
      <c r="TN43" s="270"/>
      <c r="TO43" s="270"/>
      <c r="TP43" s="270"/>
      <c r="TQ43" s="270"/>
      <c r="TR43" s="270"/>
      <c r="TS43" s="270"/>
      <c r="TT43" s="270"/>
      <c r="TU43" s="270"/>
      <c r="TV43" s="270"/>
      <c r="TW43" s="270"/>
      <c r="TX43" s="270"/>
      <c r="TY43" s="270"/>
      <c r="TZ43" s="270"/>
      <c r="UA43" s="270"/>
      <c r="UB43" s="270"/>
      <c r="UC43" s="270"/>
      <c r="UD43" s="270"/>
      <c r="UE43" s="270"/>
      <c r="UF43" s="270"/>
      <c r="UG43" s="270"/>
      <c r="UH43" s="270"/>
      <c r="UI43" s="270"/>
      <c r="UJ43" s="270"/>
      <c r="UK43" s="270"/>
      <c r="UL43" s="270"/>
      <c r="UM43" s="270"/>
      <c r="UN43" s="270"/>
      <c r="UO43" s="270"/>
      <c r="UP43" s="270"/>
      <c r="UQ43" s="270"/>
      <c r="UR43" s="270"/>
      <c r="US43" s="270"/>
      <c r="UT43" s="270"/>
      <c r="UU43" s="270"/>
      <c r="UV43" s="270"/>
      <c r="UW43" s="270"/>
      <c r="UX43" s="270"/>
      <c r="UY43" s="270"/>
      <c r="UZ43" s="270"/>
      <c r="VA43" s="270"/>
      <c r="VB43" s="270"/>
      <c r="VC43" s="270"/>
      <c r="VD43" s="270"/>
      <c r="VE43" s="270"/>
      <c r="VF43" s="270"/>
      <c r="VG43" s="270"/>
      <c r="VH43" s="270"/>
      <c r="VI43" s="270"/>
      <c r="VJ43" s="270"/>
      <c r="VK43" s="270"/>
      <c r="VL43" s="270"/>
      <c r="VM43" s="270"/>
      <c r="VN43" s="270"/>
      <c r="VO43" s="270"/>
      <c r="VP43" s="270"/>
      <c r="VQ43" s="270"/>
      <c r="VR43" s="270"/>
      <c r="VS43" s="270"/>
      <c r="VT43" s="270"/>
      <c r="VU43" s="270"/>
      <c r="VV43" s="270"/>
      <c r="VW43" s="270"/>
      <c r="VX43" s="270"/>
      <c r="VY43" s="270"/>
      <c r="VZ43" s="270"/>
      <c r="WA43" s="270"/>
      <c r="WB43" s="270"/>
      <c r="WC43" s="270"/>
      <c r="WD43" s="270"/>
      <c r="WE43" s="270"/>
      <c r="WF43" s="270"/>
      <c r="WG43" s="270"/>
      <c r="WH43" s="270"/>
      <c r="WI43" s="270"/>
      <c r="WJ43" s="270"/>
      <c r="WK43" s="270"/>
      <c r="WL43" s="270"/>
      <c r="WM43" s="270"/>
      <c r="WN43" s="270"/>
      <c r="WO43" s="270"/>
      <c r="WP43" s="270"/>
      <c r="WQ43" s="270"/>
      <c r="WR43" s="270"/>
      <c r="WS43" s="270"/>
      <c r="WT43" s="270"/>
      <c r="WU43" s="270"/>
      <c r="WV43" s="270"/>
      <c r="WW43" s="270"/>
      <c r="WX43" s="270"/>
      <c r="WY43" s="270"/>
      <c r="WZ43" s="270"/>
      <c r="XA43" s="270"/>
      <c r="XB43" s="270"/>
      <c r="XC43" s="270"/>
      <c r="XD43" s="270"/>
      <c r="XE43" s="270"/>
      <c r="XF43" s="270"/>
      <c r="XG43" s="270"/>
      <c r="XH43" s="270"/>
      <c r="XI43" s="270"/>
      <c r="XJ43" s="270"/>
      <c r="XK43" s="270"/>
      <c r="XL43" s="270"/>
      <c r="XM43" s="270"/>
      <c r="XN43" s="270"/>
      <c r="XO43" s="270"/>
      <c r="XP43" s="270"/>
      <c r="XQ43" s="270"/>
      <c r="XR43" s="270"/>
      <c r="XS43" s="270"/>
      <c r="XT43" s="270"/>
      <c r="XU43" s="270"/>
      <c r="XV43" s="270"/>
      <c r="XW43" s="270"/>
      <c r="XX43" s="270"/>
      <c r="XY43" s="270"/>
      <c r="XZ43" s="270"/>
      <c r="YA43" s="270"/>
      <c r="YB43" s="270"/>
      <c r="YC43" s="270"/>
      <c r="YD43" s="270"/>
      <c r="YE43" s="270"/>
      <c r="YF43" s="270"/>
      <c r="YG43" s="270"/>
      <c r="YH43" s="270"/>
      <c r="YI43" s="270"/>
      <c r="YJ43" s="270"/>
      <c r="YK43" s="270"/>
      <c r="YL43" s="270"/>
      <c r="YM43" s="270"/>
      <c r="YN43" s="270"/>
      <c r="YO43" s="270"/>
      <c r="YP43" s="270"/>
      <c r="YQ43" s="270"/>
      <c r="YR43" s="270"/>
      <c r="YS43" s="270"/>
      <c r="YT43" s="270"/>
      <c r="YU43" s="270"/>
      <c r="YV43" s="270"/>
      <c r="YW43" s="270"/>
      <c r="YX43" s="270"/>
      <c r="YY43" s="270"/>
      <c r="YZ43" s="270"/>
      <c r="ZA43" s="270"/>
      <c r="ZB43" s="270"/>
      <c r="ZC43" s="270"/>
      <c r="ZD43" s="270"/>
      <c r="ZE43" s="270"/>
    </row>
    <row r="44">
      <c r="A44" s="412"/>
      <c r="B44" s="106" t="s">
        <v>1952</v>
      </c>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25"/>
      <c r="AD44" s="283"/>
      <c r="AE44" s="16"/>
      <c r="AF44" s="16"/>
      <c r="AG44" s="16"/>
      <c r="AH44" s="16"/>
      <c r="AI44" s="16"/>
      <c r="AJ44" s="25"/>
      <c r="AK44" s="106" t="s">
        <v>1954</v>
      </c>
      <c r="AL44" s="16"/>
      <c r="AM44" s="16"/>
      <c r="AN44" s="16"/>
      <c r="AO44" s="16"/>
      <c r="AP44" s="16"/>
      <c r="AQ44" s="16"/>
      <c r="AR44" s="16"/>
      <c r="AS44" s="16"/>
      <c r="AT44" s="16"/>
      <c r="AU44" s="16"/>
      <c r="AV44" s="16"/>
      <c r="AW44" s="16"/>
      <c r="AX44" s="25"/>
      <c r="AY44" s="283"/>
      <c r="AZ44" s="16"/>
      <c r="BA44" s="16"/>
      <c r="BB44" s="16"/>
      <c r="BC44" s="16"/>
      <c r="BD44" s="16"/>
      <c r="BE44" s="25"/>
      <c r="BF44" s="283"/>
      <c r="BG44" s="16"/>
      <c r="BH44" s="16"/>
      <c r="BI44" s="16"/>
      <c r="BJ44" s="16"/>
      <c r="BK44" s="16"/>
      <c r="BL44" s="25"/>
      <c r="BM44" s="358"/>
      <c r="BN44" s="23"/>
      <c r="BO44" s="23"/>
      <c r="BP44" s="23"/>
      <c r="BQ44" s="23"/>
      <c r="BR44" s="23"/>
      <c r="BS44" s="104"/>
      <c r="BT44" s="108" t="s">
        <v>1955</v>
      </c>
      <c r="BU44" s="16"/>
      <c r="BV44" s="16"/>
      <c r="BW44" s="16"/>
      <c r="BX44" s="16"/>
      <c r="BY44" s="16"/>
      <c r="BZ44" s="16"/>
      <c r="CA44" s="16"/>
      <c r="CB44" s="16"/>
      <c r="CC44" s="16"/>
      <c r="CD44" s="16"/>
      <c r="CE44" s="16"/>
      <c r="CF44" s="16"/>
      <c r="CG44" s="16"/>
      <c r="CH44" s="16"/>
      <c r="CI44" s="16"/>
      <c r="CJ44" s="16"/>
      <c r="CK44" s="16"/>
      <c r="CL44" s="16"/>
      <c r="CM44" s="16"/>
      <c r="CN44" s="25"/>
      <c r="CO44" s="108" t="s">
        <v>1956</v>
      </c>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25"/>
      <c r="DQ44" s="153"/>
      <c r="DR44" s="16"/>
      <c r="DS44" s="16"/>
      <c r="DT44" s="16"/>
      <c r="DU44" s="16"/>
      <c r="DV44" s="16"/>
      <c r="DW44" s="25"/>
      <c r="DX44" s="283"/>
      <c r="DY44" s="16"/>
      <c r="DZ44" s="16"/>
      <c r="EA44" s="16"/>
      <c r="EB44" s="16"/>
      <c r="EC44" s="16"/>
      <c r="ED44" s="25"/>
      <c r="EE44" s="153"/>
      <c r="EF44" s="16"/>
      <c r="EG44" s="16"/>
      <c r="EH44" s="16"/>
      <c r="EI44" s="16"/>
      <c r="EJ44" s="16"/>
      <c r="EK44" s="25"/>
      <c r="EL44" s="153"/>
      <c r="EM44" s="16"/>
      <c r="EN44" s="16"/>
      <c r="EO44" s="16"/>
      <c r="EP44" s="16"/>
      <c r="EQ44" s="16"/>
      <c r="ER44" s="25"/>
      <c r="ES44" s="153"/>
      <c r="ET44" s="16"/>
      <c r="EU44" s="16"/>
      <c r="EV44" s="16"/>
      <c r="EW44" s="16"/>
      <c r="EX44" s="16"/>
      <c r="EY44" s="25"/>
      <c r="EZ44" s="153"/>
      <c r="FA44" s="16"/>
      <c r="FB44" s="16"/>
      <c r="FC44" s="16"/>
      <c r="FD44" s="16"/>
      <c r="FE44" s="16"/>
      <c r="FF44" s="25"/>
      <c r="FG44" s="283"/>
      <c r="FH44" s="16"/>
      <c r="FI44" s="16"/>
      <c r="FJ44" s="16"/>
      <c r="FK44" s="16"/>
      <c r="FL44" s="16"/>
      <c r="FM44" s="25"/>
      <c r="FN44" s="153"/>
      <c r="FO44" s="16"/>
      <c r="FP44" s="16"/>
      <c r="FQ44" s="16"/>
      <c r="FR44" s="16"/>
      <c r="FS44" s="16"/>
      <c r="FT44" s="25"/>
      <c r="FU44" s="283"/>
      <c r="FV44" s="16"/>
      <c r="FW44" s="16"/>
      <c r="FX44" s="16"/>
      <c r="FY44" s="16"/>
      <c r="FZ44" s="16"/>
      <c r="GA44" s="25"/>
      <c r="GB44" s="283"/>
      <c r="GC44" s="16"/>
      <c r="GD44" s="16"/>
      <c r="GE44" s="16"/>
      <c r="GF44" s="16"/>
      <c r="GG44" s="16"/>
      <c r="GH44" s="25"/>
      <c r="GI44" s="153"/>
      <c r="GJ44" s="16"/>
      <c r="GK44" s="16"/>
      <c r="GL44" s="16"/>
      <c r="GM44" s="16"/>
      <c r="GN44" s="16"/>
      <c r="GO44" s="25"/>
      <c r="GP44" s="153"/>
      <c r="GQ44" s="16"/>
      <c r="GR44" s="16"/>
      <c r="GS44" s="16"/>
      <c r="GT44" s="16"/>
      <c r="GU44" s="16"/>
      <c r="GV44" s="25"/>
      <c r="GW44" s="283"/>
      <c r="GX44" s="16"/>
      <c r="GY44" s="16"/>
      <c r="GZ44" s="16"/>
      <c r="HA44" s="16"/>
      <c r="HB44" s="16"/>
      <c r="HC44" s="25"/>
      <c r="HD44" s="153"/>
      <c r="HE44" s="16"/>
      <c r="HF44" s="16"/>
      <c r="HG44" s="16"/>
      <c r="HH44" s="16"/>
      <c r="HI44" s="16"/>
      <c r="HJ44" s="25"/>
      <c r="HK44" s="283"/>
      <c r="HL44" s="16"/>
      <c r="HM44" s="16"/>
      <c r="HN44" s="16"/>
      <c r="HO44" s="16"/>
      <c r="HP44" s="16"/>
      <c r="HQ44" s="25"/>
      <c r="HR44" s="153"/>
      <c r="HS44" s="16"/>
      <c r="HT44" s="16"/>
      <c r="HU44" s="16"/>
      <c r="HV44" s="16"/>
      <c r="HW44" s="16"/>
      <c r="HX44" s="25"/>
      <c r="HY44" s="283"/>
      <c r="HZ44" s="16"/>
      <c r="IA44" s="16"/>
      <c r="IB44" s="16"/>
      <c r="IC44" s="16"/>
      <c r="ID44" s="16"/>
      <c r="IE44" s="25"/>
      <c r="IF44" s="283"/>
      <c r="IG44" s="16"/>
      <c r="IH44" s="16"/>
      <c r="II44" s="16"/>
      <c r="IJ44" s="16"/>
      <c r="IK44" s="16"/>
      <c r="IL44" s="25"/>
      <c r="IM44" s="283"/>
      <c r="IN44" s="16"/>
      <c r="IO44" s="16"/>
      <c r="IP44" s="16"/>
      <c r="IQ44" s="16"/>
      <c r="IR44" s="16"/>
      <c r="IS44" s="25"/>
      <c r="IT44" s="283"/>
      <c r="IU44" s="16"/>
      <c r="IV44" s="16"/>
      <c r="IW44" s="16"/>
      <c r="IX44" s="16"/>
      <c r="IY44" s="16"/>
      <c r="IZ44" s="25"/>
      <c r="JA44" s="283"/>
      <c r="JB44" s="16"/>
      <c r="JC44" s="16"/>
      <c r="JD44" s="16"/>
      <c r="JE44" s="16"/>
      <c r="JF44" s="16"/>
      <c r="JG44" s="25"/>
      <c r="JH44" s="283"/>
      <c r="JI44" s="16"/>
      <c r="JJ44" s="16"/>
      <c r="JK44" s="16"/>
      <c r="JL44" s="16"/>
      <c r="JM44" s="16"/>
      <c r="JN44" s="25"/>
      <c r="JO44" s="401"/>
      <c r="JP44" s="16"/>
      <c r="JQ44" s="16"/>
      <c r="JR44" s="16"/>
      <c r="JS44" s="16"/>
      <c r="JT44" s="16"/>
      <c r="JU44" s="25"/>
      <c r="JV44" s="283"/>
      <c r="JW44" s="16"/>
      <c r="JX44" s="16"/>
      <c r="JY44" s="16"/>
      <c r="JZ44" s="16"/>
      <c r="KA44" s="16"/>
      <c r="KB44" s="25"/>
      <c r="KC44" s="283"/>
      <c r="KD44" s="16"/>
      <c r="KE44" s="16"/>
      <c r="KF44" s="16"/>
      <c r="KG44" s="16"/>
      <c r="KH44" s="16"/>
      <c r="KI44" s="25"/>
      <c r="KJ44" s="283"/>
      <c r="KK44" s="16"/>
      <c r="KL44" s="16"/>
      <c r="KM44" s="16"/>
      <c r="KN44" s="16"/>
      <c r="KO44" s="16"/>
      <c r="KP44" s="25"/>
      <c r="KQ44" s="283"/>
      <c r="KR44" s="16"/>
      <c r="KS44" s="16"/>
      <c r="KT44" s="16"/>
      <c r="KU44" s="16"/>
      <c r="KV44" s="16"/>
      <c r="KW44" s="25"/>
      <c r="KX44" s="283"/>
      <c r="KY44" s="16"/>
      <c r="KZ44" s="16"/>
      <c r="LA44" s="16"/>
      <c r="LB44" s="16"/>
      <c r="LC44" s="16"/>
      <c r="LD44" s="25"/>
      <c r="LE44" s="283"/>
      <c r="LF44" s="16"/>
      <c r="LG44" s="16"/>
      <c r="LH44" s="16"/>
      <c r="LI44" s="16"/>
      <c r="LJ44" s="16"/>
      <c r="LK44" s="25"/>
      <c r="LL44" s="283"/>
      <c r="LM44" s="16"/>
      <c r="LN44" s="16"/>
      <c r="LO44" s="16"/>
      <c r="LP44" s="16"/>
      <c r="LQ44" s="16"/>
      <c r="LR44" s="25"/>
      <c r="LS44" s="283"/>
      <c r="LT44" s="16"/>
      <c r="LU44" s="16"/>
      <c r="LV44" s="16"/>
      <c r="LW44" s="16"/>
      <c r="LX44" s="16"/>
      <c r="LY44" s="25"/>
      <c r="LZ44" s="283"/>
      <c r="MA44" s="16"/>
      <c r="MB44" s="16"/>
      <c r="MC44" s="16"/>
      <c r="MD44" s="16"/>
      <c r="ME44" s="16"/>
      <c r="MF44" s="25"/>
      <c r="MG44" s="283"/>
      <c r="MH44" s="16"/>
      <c r="MI44" s="16"/>
      <c r="MJ44" s="16"/>
      <c r="MK44" s="16"/>
      <c r="ML44" s="16"/>
      <c r="MM44" s="25"/>
      <c r="MN44" s="283"/>
      <c r="MO44" s="16"/>
      <c r="MP44" s="16"/>
      <c r="MQ44" s="16"/>
      <c r="MR44" s="16"/>
      <c r="MS44" s="16"/>
      <c r="MT44" s="25"/>
      <c r="MU44" s="283"/>
      <c r="MV44" s="16"/>
      <c r="MW44" s="16"/>
      <c r="MX44" s="16"/>
      <c r="MY44" s="16"/>
      <c r="MZ44" s="16"/>
      <c r="NA44" s="25"/>
      <c r="NB44" s="402"/>
      <c r="NC44" s="270"/>
      <c r="ND44" s="270"/>
      <c r="NE44" s="270"/>
      <c r="NF44" s="270"/>
      <c r="NG44" s="270"/>
      <c r="NH44" s="270"/>
      <c r="NI44" s="270"/>
      <c r="NJ44" s="270"/>
      <c r="NK44" s="270"/>
      <c r="NL44" s="270"/>
      <c r="NM44" s="270"/>
      <c r="NN44" s="270"/>
      <c r="NO44" s="270"/>
      <c r="NP44" s="270"/>
      <c r="NQ44" s="270"/>
      <c r="NR44" s="270"/>
      <c r="NS44" s="270"/>
      <c r="NT44" s="270"/>
      <c r="NU44" s="270"/>
      <c r="NV44" s="270"/>
      <c r="NW44" s="270"/>
      <c r="NX44" s="270"/>
      <c r="NY44" s="270"/>
      <c r="NZ44" s="270"/>
      <c r="OA44" s="270"/>
      <c r="OB44" s="270"/>
      <c r="OC44" s="270"/>
      <c r="OD44" s="270"/>
      <c r="OE44" s="270"/>
      <c r="OF44" s="270"/>
      <c r="OG44" s="270"/>
      <c r="OH44" s="270"/>
      <c r="OI44" s="270"/>
      <c r="OJ44" s="270"/>
      <c r="OK44" s="270"/>
      <c r="OL44" s="270"/>
      <c r="OM44" s="270"/>
      <c r="ON44" s="270"/>
      <c r="OO44" s="270"/>
      <c r="OP44" s="270"/>
      <c r="OQ44" s="270"/>
      <c r="OR44" s="270"/>
      <c r="OS44" s="270"/>
      <c r="OT44" s="270"/>
      <c r="OU44" s="270"/>
      <c r="OV44" s="270"/>
      <c r="OW44" s="270"/>
      <c r="OX44" s="270"/>
      <c r="OY44" s="270"/>
      <c r="OZ44" s="270"/>
      <c r="PA44" s="270"/>
      <c r="PB44" s="270"/>
      <c r="PC44" s="270"/>
      <c r="PD44" s="270"/>
      <c r="PE44" s="270"/>
      <c r="PF44" s="270"/>
      <c r="PG44" s="270"/>
      <c r="PH44" s="270"/>
      <c r="PI44" s="270"/>
      <c r="PJ44" s="270"/>
      <c r="PK44" s="270"/>
      <c r="PL44" s="270"/>
      <c r="PM44" s="270"/>
      <c r="PN44" s="270"/>
      <c r="PO44" s="270"/>
      <c r="PP44" s="270"/>
      <c r="PQ44" s="270"/>
      <c r="PR44" s="270"/>
      <c r="PS44" s="270"/>
      <c r="PT44" s="270"/>
      <c r="PU44" s="270"/>
      <c r="PV44" s="270"/>
      <c r="PW44" s="270"/>
      <c r="PX44" s="270"/>
      <c r="PY44" s="270"/>
      <c r="PZ44" s="270"/>
      <c r="QA44" s="270"/>
      <c r="QB44" s="270"/>
      <c r="QC44" s="270"/>
      <c r="QD44" s="270"/>
      <c r="QE44" s="270"/>
      <c r="QF44" s="270"/>
      <c r="QG44" s="270"/>
      <c r="QH44" s="270"/>
      <c r="QI44" s="270"/>
      <c r="QJ44" s="270"/>
      <c r="QK44" s="270"/>
      <c r="QL44" s="270"/>
      <c r="QM44" s="270"/>
      <c r="QN44" s="270"/>
      <c r="QO44" s="270"/>
      <c r="QP44" s="270"/>
      <c r="QQ44" s="270"/>
      <c r="QR44" s="270"/>
      <c r="QS44" s="270"/>
      <c r="QT44" s="270"/>
      <c r="QU44" s="270"/>
      <c r="QV44" s="270"/>
      <c r="QW44" s="270"/>
      <c r="QX44" s="270"/>
      <c r="QY44" s="270"/>
      <c r="QZ44" s="270"/>
      <c r="RA44" s="270"/>
      <c r="RB44" s="270"/>
      <c r="RC44" s="270"/>
      <c r="RD44" s="270"/>
      <c r="RE44" s="270"/>
      <c r="RF44" s="270"/>
      <c r="RG44" s="270"/>
      <c r="RH44" s="270"/>
      <c r="RI44" s="270"/>
      <c r="RJ44" s="270"/>
      <c r="RK44" s="270"/>
      <c r="RL44" s="270"/>
      <c r="RM44" s="270"/>
      <c r="RN44" s="270"/>
      <c r="RO44" s="270"/>
      <c r="RP44" s="270"/>
      <c r="RQ44" s="270"/>
      <c r="RR44" s="270"/>
      <c r="RS44" s="270"/>
      <c r="RT44" s="270"/>
      <c r="RU44" s="270"/>
      <c r="RV44" s="270"/>
      <c r="RW44" s="270"/>
      <c r="RX44" s="270"/>
      <c r="RY44" s="270"/>
      <c r="RZ44" s="270"/>
      <c r="SA44" s="270"/>
      <c r="SB44" s="270"/>
      <c r="SC44" s="270"/>
      <c r="SD44" s="270"/>
      <c r="SE44" s="270"/>
      <c r="SF44" s="270"/>
      <c r="SG44" s="270"/>
      <c r="SH44" s="270"/>
      <c r="SI44" s="270"/>
      <c r="SJ44" s="270"/>
      <c r="SK44" s="270"/>
      <c r="SL44" s="270"/>
      <c r="SM44" s="270"/>
      <c r="SN44" s="270"/>
      <c r="SO44" s="270"/>
      <c r="SP44" s="270"/>
      <c r="SQ44" s="270"/>
      <c r="SR44" s="270"/>
      <c r="SS44" s="270"/>
      <c r="ST44" s="270"/>
      <c r="SU44" s="270"/>
      <c r="SV44" s="270"/>
      <c r="SW44" s="270"/>
      <c r="SX44" s="270"/>
      <c r="SY44" s="270"/>
      <c r="SZ44" s="270"/>
      <c r="TA44" s="270"/>
      <c r="TB44" s="270"/>
      <c r="TC44" s="270"/>
      <c r="TD44" s="270"/>
      <c r="TE44" s="270"/>
      <c r="TF44" s="270"/>
      <c r="TG44" s="270"/>
      <c r="TH44" s="270"/>
      <c r="TI44" s="270"/>
      <c r="TJ44" s="270"/>
      <c r="TK44" s="270"/>
      <c r="TL44" s="270"/>
      <c r="TM44" s="270"/>
      <c r="TN44" s="270"/>
      <c r="TO44" s="270"/>
      <c r="TP44" s="270"/>
      <c r="TQ44" s="270"/>
      <c r="TR44" s="270"/>
      <c r="TS44" s="270"/>
      <c r="TT44" s="270"/>
      <c r="TU44" s="270"/>
      <c r="TV44" s="270"/>
      <c r="TW44" s="270"/>
      <c r="TX44" s="270"/>
      <c r="TY44" s="270"/>
      <c r="TZ44" s="270"/>
      <c r="UA44" s="270"/>
      <c r="UB44" s="270"/>
      <c r="UC44" s="270"/>
      <c r="UD44" s="270"/>
      <c r="UE44" s="270"/>
      <c r="UF44" s="270"/>
      <c r="UG44" s="270"/>
      <c r="UH44" s="270"/>
      <c r="UI44" s="270"/>
      <c r="UJ44" s="270"/>
      <c r="UK44" s="270"/>
      <c r="UL44" s="270"/>
      <c r="UM44" s="270"/>
      <c r="UN44" s="270"/>
      <c r="UO44" s="270"/>
      <c r="UP44" s="270"/>
      <c r="UQ44" s="270"/>
      <c r="UR44" s="270"/>
      <c r="US44" s="270"/>
      <c r="UT44" s="270"/>
      <c r="UU44" s="270"/>
      <c r="UV44" s="270"/>
      <c r="UW44" s="270"/>
      <c r="UX44" s="270"/>
      <c r="UY44" s="270"/>
      <c r="UZ44" s="270"/>
      <c r="VA44" s="270"/>
      <c r="VB44" s="270"/>
      <c r="VC44" s="270"/>
      <c r="VD44" s="270"/>
      <c r="VE44" s="270"/>
      <c r="VF44" s="270"/>
      <c r="VG44" s="270"/>
      <c r="VH44" s="270"/>
      <c r="VI44" s="270"/>
      <c r="VJ44" s="270"/>
      <c r="VK44" s="270"/>
      <c r="VL44" s="270"/>
      <c r="VM44" s="270"/>
      <c r="VN44" s="270"/>
      <c r="VO44" s="270"/>
      <c r="VP44" s="270"/>
      <c r="VQ44" s="270"/>
      <c r="VR44" s="270"/>
      <c r="VS44" s="270"/>
      <c r="VT44" s="270"/>
      <c r="VU44" s="270"/>
      <c r="VV44" s="270"/>
      <c r="VW44" s="270"/>
      <c r="VX44" s="270"/>
      <c r="VY44" s="270"/>
      <c r="VZ44" s="270"/>
      <c r="WA44" s="270"/>
      <c r="WB44" s="270"/>
      <c r="WC44" s="270"/>
      <c r="WD44" s="270"/>
      <c r="WE44" s="270"/>
      <c r="WF44" s="270"/>
      <c r="WG44" s="270"/>
      <c r="WH44" s="270"/>
      <c r="WI44" s="270"/>
      <c r="WJ44" s="270"/>
      <c r="WK44" s="270"/>
      <c r="WL44" s="270"/>
      <c r="WM44" s="270"/>
      <c r="WN44" s="270"/>
      <c r="WO44" s="270"/>
      <c r="WP44" s="270"/>
      <c r="WQ44" s="270"/>
      <c r="WR44" s="270"/>
      <c r="WS44" s="270"/>
      <c r="WT44" s="270"/>
      <c r="WU44" s="270"/>
      <c r="WV44" s="270"/>
      <c r="WW44" s="270"/>
      <c r="WX44" s="270"/>
      <c r="WY44" s="270"/>
      <c r="WZ44" s="270"/>
      <c r="XA44" s="270"/>
      <c r="XB44" s="270"/>
      <c r="XC44" s="270"/>
      <c r="XD44" s="270"/>
      <c r="XE44" s="270"/>
      <c r="XF44" s="270"/>
      <c r="XG44" s="270"/>
      <c r="XH44" s="270"/>
      <c r="XI44" s="270"/>
      <c r="XJ44" s="270"/>
      <c r="XK44" s="270"/>
      <c r="XL44" s="270"/>
      <c r="XM44" s="270"/>
      <c r="XN44" s="270"/>
      <c r="XO44" s="270"/>
      <c r="XP44" s="270"/>
      <c r="XQ44" s="270"/>
      <c r="XR44" s="270"/>
      <c r="XS44" s="270"/>
      <c r="XT44" s="270"/>
      <c r="XU44" s="270"/>
      <c r="XV44" s="270"/>
      <c r="XW44" s="270"/>
      <c r="XX44" s="270"/>
      <c r="XY44" s="270"/>
      <c r="XZ44" s="270"/>
      <c r="YA44" s="270"/>
      <c r="YB44" s="270"/>
      <c r="YC44" s="270"/>
      <c r="YD44" s="270"/>
      <c r="YE44" s="270"/>
      <c r="YF44" s="270"/>
      <c r="YG44" s="270"/>
      <c r="YH44" s="270"/>
      <c r="YI44" s="270"/>
      <c r="YJ44" s="270"/>
      <c r="YK44" s="270"/>
      <c r="YL44" s="270"/>
      <c r="YM44" s="270"/>
      <c r="YN44" s="270"/>
      <c r="YO44" s="270"/>
      <c r="YP44" s="270"/>
      <c r="YQ44" s="270"/>
      <c r="YR44" s="270"/>
      <c r="YS44" s="270"/>
      <c r="YT44" s="270"/>
      <c r="YU44" s="270"/>
      <c r="YV44" s="270"/>
      <c r="YW44" s="270"/>
      <c r="YX44" s="270"/>
      <c r="YY44" s="270"/>
      <c r="YZ44" s="270"/>
      <c r="ZA44" s="270"/>
      <c r="ZB44" s="270"/>
      <c r="ZC44" s="270"/>
      <c r="ZD44" s="270"/>
      <c r="ZE44" s="270"/>
    </row>
    <row r="45">
      <c r="A45" s="412"/>
      <c r="B45" s="283"/>
      <c r="C45" s="16"/>
      <c r="D45" s="16"/>
      <c r="E45" s="16"/>
      <c r="F45" s="16"/>
      <c r="G45" s="16"/>
      <c r="H45" s="25"/>
      <c r="I45" s="191"/>
      <c r="J45" s="16"/>
      <c r="K45" s="16"/>
      <c r="L45" s="16"/>
      <c r="M45" s="16"/>
      <c r="N45" s="16"/>
      <c r="O45" s="25"/>
      <c r="P45" s="283"/>
      <c r="Q45" s="16"/>
      <c r="R45" s="16"/>
      <c r="S45" s="16"/>
      <c r="T45" s="16"/>
      <c r="U45" s="16"/>
      <c r="V45" s="25"/>
      <c r="W45" s="283"/>
      <c r="X45" s="16"/>
      <c r="Y45" s="16"/>
      <c r="Z45" s="16"/>
      <c r="AA45" s="16"/>
      <c r="AB45" s="16"/>
      <c r="AC45" s="25"/>
      <c r="AD45" s="283"/>
      <c r="AE45" s="16"/>
      <c r="AF45" s="16"/>
      <c r="AG45" s="16"/>
      <c r="AH45" s="16"/>
      <c r="AI45" s="16"/>
      <c r="AJ45" s="25"/>
      <c r="AK45" s="108"/>
      <c r="AL45" s="16"/>
      <c r="AM45" s="16"/>
      <c r="AN45" s="16"/>
      <c r="AO45" s="16"/>
      <c r="AP45" s="16"/>
      <c r="AQ45" s="25"/>
      <c r="AR45" s="108"/>
      <c r="AS45" s="16"/>
      <c r="AT45" s="16"/>
      <c r="AU45" s="16"/>
      <c r="AV45" s="16"/>
      <c r="AW45" s="16"/>
      <c r="AX45" s="25"/>
      <c r="AY45" s="108" t="s">
        <v>1958</v>
      </c>
      <c r="AZ45" s="16"/>
      <c r="BA45" s="16"/>
      <c r="BB45" s="16"/>
      <c r="BC45" s="16"/>
      <c r="BD45" s="16"/>
      <c r="BE45" s="16"/>
      <c r="BF45" s="16"/>
      <c r="BG45" s="16"/>
      <c r="BH45" s="16"/>
      <c r="BI45" s="16"/>
      <c r="BJ45" s="16"/>
      <c r="BK45" s="16"/>
      <c r="BL45" s="16"/>
      <c r="BM45" s="16"/>
      <c r="BN45" s="16"/>
      <c r="BO45" s="16"/>
      <c r="BP45" s="16"/>
      <c r="BQ45" s="16"/>
      <c r="BR45" s="16"/>
      <c r="BS45" s="25"/>
      <c r="BT45" s="283"/>
      <c r="BU45" s="16"/>
      <c r="BV45" s="16"/>
      <c r="BW45" s="16"/>
      <c r="BX45" s="16"/>
      <c r="BY45" s="16"/>
      <c r="BZ45" s="25"/>
      <c r="CA45" s="283"/>
      <c r="CB45" s="16"/>
      <c r="CC45" s="16"/>
      <c r="CD45" s="16"/>
      <c r="CE45" s="16"/>
      <c r="CF45" s="16"/>
      <c r="CG45" s="25"/>
      <c r="CH45" s="283"/>
      <c r="CI45" s="16"/>
      <c r="CJ45" s="16"/>
      <c r="CK45" s="16"/>
      <c r="CL45" s="16"/>
      <c r="CM45" s="16"/>
      <c r="CN45" s="25"/>
      <c r="CO45" s="108" t="s">
        <v>1959</v>
      </c>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25"/>
      <c r="DQ45" s="153"/>
      <c r="DR45" s="16"/>
      <c r="DS45" s="16"/>
      <c r="DT45" s="16"/>
      <c r="DU45" s="16"/>
      <c r="DV45" s="16"/>
      <c r="DW45" s="25"/>
      <c r="DX45" s="283"/>
      <c r="DY45" s="16"/>
      <c r="DZ45" s="16"/>
      <c r="EA45" s="16"/>
      <c r="EB45" s="16"/>
      <c r="EC45" s="16"/>
      <c r="ED45" s="25"/>
      <c r="EE45" s="153"/>
      <c r="EF45" s="16"/>
      <c r="EG45" s="16"/>
      <c r="EH45" s="16"/>
      <c r="EI45" s="16"/>
      <c r="EJ45" s="16"/>
      <c r="EK45" s="25"/>
      <c r="EL45" s="153"/>
      <c r="EM45" s="16"/>
      <c r="EN45" s="16"/>
      <c r="EO45" s="16"/>
      <c r="EP45" s="16"/>
      <c r="EQ45" s="16"/>
      <c r="ER45" s="25"/>
      <c r="ES45" s="153"/>
      <c r="ET45" s="16"/>
      <c r="EU45" s="16"/>
      <c r="EV45" s="16"/>
      <c r="EW45" s="16"/>
      <c r="EX45" s="16"/>
      <c r="EY45" s="25"/>
      <c r="EZ45" s="153"/>
      <c r="FA45" s="16"/>
      <c r="FB45" s="16"/>
      <c r="FC45" s="16"/>
      <c r="FD45" s="16"/>
      <c r="FE45" s="16"/>
      <c r="FF45" s="25"/>
      <c r="FG45" s="283"/>
      <c r="FH45" s="16"/>
      <c r="FI45" s="16"/>
      <c r="FJ45" s="16"/>
      <c r="FK45" s="16"/>
      <c r="FL45" s="16"/>
      <c r="FM45" s="25"/>
      <c r="FN45" s="153"/>
      <c r="FO45" s="16"/>
      <c r="FP45" s="16"/>
      <c r="FQ45" s="16"/>
      <c r="FR45" s="16"/>
      <c r="FS45" s="16"/>
      <c r="FT45" s="25"/>
      <c r="FU45" s="283"/>
      <c r="FV45" s="16"/>
      <c r="FW45" s="16"/>
      <c r="FX45" s="16"/>
      <c r="FY45" s="16"/>
      <c r="FZ45" s="16"/>
      <c r="GA45" s="25"/>
      <c r="GB45" s="283"/>
      <c r="GC45" s="16"/>
      <c r="GD45" s="16"/>
      <c r="GE45" s="16"/>
      <c r="GF45" s="16"/>
      <c r="GG45" s="16"/>
      <c r="GH45" s="25"/>
      <c r="GI45" s="153"/>
      <c r="GJ45" s="16"/>
      <c r="GK45" s="16"/>
      <c r="GL45" s="16"/>
      <c r="GM45" s="16"/>
      <c r="GN45" s="16"/>
      <c r="GO45" s="25"/>
      <c r="GP45" s="153"/>
      <c r="GQ45" s="16"/>
      <c r="GR45" s="16"/>
      <c r="GS45" s="16"/>
      <c r="GT45" s="16"/>
      <c r="GU45" s="16"/>
      <c r="GV45" s="25"/>
      <c r="GW45" s="283"/>
      <c r="GX45" s="16"/>
      <c r="GY45" s="16"/>
      <c r="GZ45" s="16"/>
      <c r="HA45" s="16"/>
      <c r="HB45" s="16"/>
      <c r="HC45" s="25"/>
      <c r="HD45" s="153"/>
      <c r="HE45" s="16"/>
      <c r="HF45" s="16"/>
      <c r="HG45" s="16"/>
      <c r="HH45" s="16"/>
      <c r="HI45" s="16"/>
      <c r="HJ45" s="25"/>
      <c r="HK45" s="283"/>
      <c r="HL45" s="16"/>
      <c r="HM45" s="16"/>
      <c r="HN45" s="16"/>
      <c r="HO45" s="16"/>
      <c r="HP45" s="16"/>
      <c r="HQ45" s="25"/>
      <c r="HR45" s="153"/>
      <c r="HS45" s="16"/>
      <c r="HT45" s="16"/>
      <c r="HU45" s="16"/>
      <c r="HV45" s="16"/>
      <c r="HW45" s="16"/>
      <c r="HX45" s="25"/>
      <c r="HY45" s="283"/>
      <c r="HZ45" s="16"/>
      <c r="IA45" s="16"/>
      <c r="IB45" s="16"/>
      <c r="IC45" s="16"/>
      <c r="ID45" s="16"/>
      <c r="IE45" s="25"/>
      <c r="IF45" s="283"/>
      <c r="IG45" s="16"/>
      <c r="IH45" s="16"/>
      <c r="II45" s="16"/>
      <c r="IJ45" s="16"/>
      <c r="IK45" s="16"/>
      <c r="IL45" s="25"/>
      <c r="IM45" s="283"/>
      <c r="IN45" s="16"/>
      <c r="IO45" s="16"/>
      <c r="IP45" s="16"/>
      <c r="IQ45" s="16"/>
      <c r="IR45" s="16"/>
      <c r="IS45" s="25"/>
      <c r="IT45" s="283"/>
      <c r="IU45" s="16"/>
      <c r="IV45" s="16"/>
      <c r="IW45" s="16"/>
      <c r="IX45" s="16"/>
      <c r="IY45" s="16"/>
      <c r="IZ45" s="25"/>
      <c r="JA45" s="283"/>
      <c r="JB45" s="16"/>
      <c r="JC45" s="16"/>
      <c r="JD45" s="16"/>
      <c r="JE45" s="16"/>
      <c r="JF45" s="16"/>
      <c r="JG45" s="25"/>
      <c r="JH45" s="283"/>
      <c r="JI45" s="16"/>
      <c r="JJ45" s="16"/>
      <c r="JK45" s="16"/>
      <c r="JL45" s="16"/>
      <c r="JM45" s="16"/>
      <c r="JN45" s="25"/>
      <c r="JO45" s="401"/>
      <c r="JP45" s="16"/>
      <c r="JQ45" s="16"/>
      <c r="JR45" s="16"/>
      <c r="JS45" s="16"/>
      <c r="JT45" s="16"/>
      <c r="JU45" s="25"/>
      <c r="JV45" s="283"/>
      <c r="JW45" s="16"/>
      <c r="JX45" s="16"/>
      <c r="JY45" s="16"/>
      <c r="JZ45" s="16"/>
      <c r="KA45" s="16"/>
      <c r="KB45" s="25"/>
      <c r="KC45" s="283"/>
      <c r="KD45" s="16"/>
      <c r="KE45" s="16"/>
      <c r="KF45" s="16"/>
      <c r="KG45" s="16"/>
      <c r="KH45" s="16"/>
      <c r="KI45" s="25"/>
      <c r="KJ45" s="283"/>
      <c r="KK45" s="16"/>
      <c r="KL45" s="16"/>
      <c r="KM45" s="16"/>
      <c r="KN45" s="16"/>
      <c r="KO45" s="16"/>
      <c r="KP45" s="25"/>
      <c r="KQ45" s="283"/>
      <c r="KR45" s="16"/>
      <c r="KS45" s="16"/>
      <c r="KT45" s="16"/>
      <c r="KU45" s="16"/>
      <c r="KV45" s="16"/>
      <c r="KW45" s="25"/>
      <c r="KX45" s="283"/>
      <c r="KY45" s="16"/>
      <c r="KZ45" s="16"/>
      <c r="LA45" s="16"/>
      <c r="LB45" s="16"/>
      <c r="LC45" s="16"/>
      <c r="LD45" s="25"/>
      <c r="LE45" s="283"/>
      <c r="LF45" s="16"/>
      <c r="LG45" s="16"/>
      <c r="LH45" s="16"/>
      <c r="LI45" s="16"/>
      <c r="LJ45" s="16"/>
      <c r="LK45" s="25"/>
      <c r="LL45" s="283"/>
      <c r="LM45" s="16"/>
      <c r="LN45" s="16"/>
      <c r="LO45" s="16"/>
      <c r="LP45" s="16"/>
      <c r="LQ45" s="16"/>
      <c r="LR45" s="25"/>
      <c r="LS45" s="283"/>
      <c r="LT45" s="16"/>
      <c r="LU45" s="16"/>
      <c r="LV45" s="16"/>
      <c r="LW45" s="16"/>
      <c r="LX45" s="16"/>
      <c r="LY45" s="25"/>
      <c r="LZ45" s="283"/>
      <c r="MA45" s="16"/>
      <c r="MB45" s="16"/>
      <c r="MC45" s="16"/>
      <c r="MD45" s="16"/>
      <c r="ME45" s="16"/>
      <c r="MF45" s="25"/>
      <c r="MG45" s="283"/>
      <c r="MH45" s="16"/>
      <c r="MI45" s="16"/>
      <c r="MJ45" s="16"/>
      <c r="MK45" s="16"/>
      <c r="ML45" s="16"/>
      <c r="MM45" s="25"/>
      <c r="MN45" s="283"/>
      <c r="MO45" s="16"/>
      <c r="MP45" s="16"/>
      <c r="MQ45" s="16"/>
      <c r="MR45" s="16"/>
      <c r="MS45" s="16"/>
      <c r="MT45" s="25"/>
      <c r="MU45" s="283"/>
      <c r="MV45" s="16"/>
      <c r="MW45" s="16"/>
      <c r="MX45" s="16"/>
      <c r="MY45" s="16"/>
      <c r="MZ45" s="16"/>
      <c r="NA45" s="25"/>
      <c r="NB45" s="402"/>
      <c r="NC45" s="270"/>
      <c r="ND45" s="270"/>
      <c r="NE45" s="270"/>
      <c r="NF45" s="270"/>
      <c r="NG45" s="270"/>
      <c r="NH45" s="270"/>
      <c r="NI45" s="270"/>
      <c r="NJ45" s="270"/>
      <c r="NK45" s="270"/>
      <c r="NL45" s="270"/>
      <c r="NM45" s="270"/>
      <c r="NN45" s="270"/>
      <c r="NO45" s="270"/>
      <c r="NP45" s="270"/>
      <c r="NQ45" s="270"/>
      <c r="NR45" s="270"/>
      <c r="NS45" s="270"/>
      <c r="NT45" s="270"/>
      <c r="NU45" s="270"/>
      <c r="NV45" s="270"/>
      <c r="NW45" s="270"/>
      <c r="NX45" s="270"/>
      <c r="NY45" s="270"/>
      <c r="NZ45" s="270"/>
      <c r="OA45" s="270"/>
      <c r="OB45" s="270"/>
      <c r="OC45" s="270"/>
      <c r="OD45" s="270"/>
      <c r="OE45" s="270"/>
      <c r="OF45" s="270"/>
      <c r="OG45" s="270"/>
      <c r="OH45" s="270"/>
      <c r="OI45" s="270"/>
      <c r="OJ45" s="270"/>
      <c r="OK45" s="270"/>
      <c r="OL45" s="270"/>
      <c r="OM45" s="270"/>
      <c r="ON45" s="270"/>
      <c r="OO45" s="270"/>
      <c r="OP45" s="270"/>
      <c r="OQ45" s="270"/>
      <c r="OR45" s="270"/>
      <c r="OS45" s="270"/>
      <c r="OT45" s="270"/>
      <c r="OU45" s="270"/>
      <c r="OV45" s="270"/>
      <c r="OW45" s="270"/>
      <c r="OX45" s="270"/>
      <c r="OY45" s="270"/>
      <c r="OZ45" s="270"/>
      <c r="PA45" s="270"/>
      <c r="PB45" s="270"/>
      <c r="PC45" s="270"/>
      <c r="PD45" s="270"/>
      <c r="PE45" s="270"/>
      <c r="PF45" s="270"/>
      <c r="PG45" s="270"/>
      <c r="PH45" s="270"/>
      <c r="PI45" s="270"/>
      <c r="PJ45" s="270"/>
      <c r="PK45" s="270"/>
      <c r="PL45" s="270"/>
      <c r="PM45" s="270"/>
      <c r="PN45" s="270"/>
      <c r="PO45" s="270"/>
      <c r="PP45" s="270"/>
      <c r="PQ45" s="270"/>
      <c r="PR45" s="270"/>
      <c r="PS45" s="270"/>
      <c r="PT45" s="270"/>
      <c r="PU45" s="270"/>
      <c r="PV45" s="270"/>
      <c r="PW45" s="270"/>
      <c r="PX45" s="270"/>
      <c r="PY45" s="270"/>
      <c r="PZ45" s="270"/>
      <c r="QA45" s="270"/>
      <c r="QB45" s="270"/>
      <c r="QC45" s="270"/>
      <c r="QD45" s="270"/>
      <c r="QE45" s="270"/>
      <c r="QF45" s="270"/>
      <c r="QG45" s="270"/>
      <c r="QH45" s="270"/>
      <c r="QI45" s="270"/>
      <c r="QJ45" s="270"/>
      <c r="QK45" s="270"/>
      <c r="QL45" s="270"/>
      <c r="QM45" s="270"/>
      <c r="QN45" s="270"/>
      <c r="QO45" s="270"/>
      <c r="QP45" s="270"/>
      <c r="QQ45" s="270"/>
      <c r="QR45" s="270"/>
      <c r="QS45" s="270"/>
      <c r="QT45" s="270"/>
      <c r="QU45" s="270"/>
      <c r="QV45" s="270"/>
      <c r="QW45" s="270"/>
      <c r="QX45" s="270"/>
      <c r="QY45" s="270"/>
      <c r="QZ45" s="270"/>
      <c r="RA45" s="270"/>
      <c r="RB45" s="270"/>
      <c r="RC45" s="270"/>
      <c r="RD45" s="270"/>
      <c r="RE45" s="270"/>
      <c r="RF45" s="270"/>
      <c r="RG45" s="270"/>
      <c r="RH45" s="270"/>
      <c r="RI45" s="270"/>
      <c r="RJ45" s="270"/>
      <c r="RK45" s="270"/>
      <c r="RL45" s="270"/>
      <c r="RM45" s="270"/>
      <c r="RN45" s="270"/>
      <c r="RO45" s="270"/>
      <c r="RP45" s="270"/>
      <c r="RQ45" s="270"/>
      <c r="RR45" s="270"/>
      <c r="RS45" s="270"/>
      <c r="RT45" s="270"/>
      <c r="RU45" s="270"/>
      <c r="RV45" s="270"/>
      <c r="RW45" s="270"/>
      <c r="RX45" s="270"/>
      <c r="RY45" s="270"/>
      <c r="RZ45" s="270"/>
      <c r="SA45" s="270"/>
      <c r="SB45" s="270"/>
      <c r="SC45" s="270"/>
      <c r="SD45" s="270"/>
      <c r="SE45" s="270"/>
      <c r="SF45" s="270"/>
      <c r="SG45" s="270"/>
      <c r="SH45" s="270"/>
      <c r="SI45" s="270"/>
      <c r="SJ45" s="270"/>
      <c r="SK45" s="270"/>
      <c r="SL45" s="270"/>
      <c r="SM45" s="270"/>
      <c r="SN45" s="270"/>
      <c r="SO45" s="270"/>
      <c r="SP45" s="270"/>
      <c r="SQ45" s="270"/>
      <c r="SR45" s="270"/>
      <c r="SS45" s="270"/>
      <c r="ST45" s="270"/>
      <c r="SU45" s="270"/>
      <c r="SV45" s="270"/>
      <c r="SW45" s="270"/>
      <c r="SX45" s="270"/>
      <c r="SY45" s="270"/>
      <c r="SZ45" s="270"/>
      <c r="TA45" s="270"/>
      <c r="TB45" s="270"/>
      <c r="TC45" s="270"/>
      <c r="TD45" s="270"/>
      <c r="TE45" s="270"/>
      <c r="TF45" s="270"/>
      <c r="TG45" s="270"/>
      <c r="TH45" s="270"/>
      <c r="TI45" s="270"/>
      <c r="TJ45" s="270"/>
      <c r="TK45" s="270"/>
      <c r="TL45" s="270"/>
      <c r="TM45" s="270"/>
      <c r="TN45" s="270"/>
      <c r="TO45" s="270"/>
      <c r="TP45" s="270"/>
      <c r="TQ45" s="270"/>
      <c r="TR45" s="270"/>
      <c r="TS45" s="270"/>
      <c r="TT45" s="270"/>
      <c r="TU45" s="270"/>
      <c r="TV45" s="270"/>
      <c r="TW45" s="270"/>
      <c r="TX45" s="270"/>
      <c r="TY45" s="270"/>
      <c r="TZ45" s="270"/>
      <c r="UA45" s="270"/>
      <c r="UB45" s="270"/>
      <c r="UC45" s="270"/>
      <c r="UD45" s="270"/>
      <c r="UE45" s="270"/>
      <c r="UF45" s="270"/>
      <c r="UG45" s="270"/>
      <c r="UH45" s="270"/>
      <c r="UI45" s="270"/>
      <c r="UJ45" s="270"/>
      <c r="UK45" s="270"/>
      <c r="UL45" s="270"/>
      <c r="UM45" s="270"/>
      <c r="UN45" s="270"/>
      <c r="UO45" s="270"/>
      <c r="UP45" s="270"/>
      <c r="UQ45" s="270"/>
      <c r="UR45" s="270"/>
      <c r="US45" s="270"/>
      <c r="UT45" s="270"/>
      <c r="UU45" s="270"/>
      <c r="UV45" s="270"/>
      <c r="UW45" s="270"/>
      <c r="UX45" s="270"/>
      <c r="UY45" s="270"/>
      <c r="UZ45" s="270"/>
      <c r="VA45" s="270"/>
      <c r="VB45" s="270"/>
      <c r="VC45" s="270"/>
      <c r="VD45" s="270"/>
      <c r="VE45" s="270"/>
      <c r="VF45" s="270"/>
      <c r="VG45" s="270"/>
      <c r="VH45" s="270"/>
      <c r="VI45" s="270"/>
      <c r="VJ45" s="270"/>
      <c r="VK45" s="270"/>
      <c r="VL45" s="270"/>
      <c r="VM45" s="270"/>
      <c r="VN45" s="270"/>
      <c r="VO45" s="270"/>
      <c r="VP45" s="270"/>
      <c r="VQ45" s="270"/>
      <c r="VR45" s="270"/>
      <c r="VS45" s="270"/>
      <c r="VT45" s="270"/>
      <c r="VU45" s="270"/>
      <c r="VV45" s="270"/>
      <c r="VW45" s="270"/>
      <c r="VX45" s="270"/>
      <c r="VY45" s="270"/>
      <c r="VZ45" s="270"/>
      <c r="WA45" s="270"/>
      <c r="WB45" s="270"/>
      <c r="WC45" s="270"/>
      <c r="WD45" s="270"/>
      <c r="WE45" s="270"/>
      <c r="WF45" s="270"/>
      <c r="WG45" s="270"/>
      <c r="WH45" s="270"/>
      <c r="WI45" s="270"/>
      <c r="WJ45" s="270"/>
      <c r="WK45" s="270"/>
      <c r="WL45" s="270"/>
      <c r="WM45" s="270"/>
      <c r="WN45" s="270"/>
      <c r="WO45" s="270"/>
      <c r="WP45" s="270"/>
      <c r="WQ45" s="270"/>
      <c r="WR45" s="270"/>
      <c r="WS45" s="270"/>
      <c r="WT45" s="270"/>
      <c r="WU45" s="270"/>
      <c r="WV45" s="270"/>
      <c r="WW45" s="270"/>
      <c r="WX45" s="270"/>
      <c r="WY45" s="270"/>
      <c r="WZ45" s="270"/>
      <c r="XA45" s="270"/>
      <c r="XB45" s="270"/>
      <c r="XC45" s="270"/>
      <c r="XD45" s="270"/>
      <c r="XE45" s="270"/>
      <c r="XF45" s="270"/>
      <c r="XG45" s="270"/>
      <c r="XH45" s="270"/>
      <c r="XI45" s="270"/>
      <c r="XJ45" s="270"/>
      <c r="XK45" s="270"/>
      <c r="XL45" s="270"/>
      <c r="XM45" s="270"/>
      <c r="XN45" s="270"/>
      <c r="XO45" s="270"/>
      <c r="XP45" s="270"/>
      <c r="XQ45" s="270"/>
      <c r="XR45" s="270"/>
      <c r="XS45" s="270"/>
      <c r="XT45" s="270"/>
      <c r="XU45" s="270"/>
      <c r="XV45" s="270"/>
      <c r="XW45" s="270"/>
      <c r="XX45" s="270"/>
      <c r="XY45" s="270"/>
      <c r="XZ45" s="270"/>
      <c r="YA45" s="270"/>
      <c r="YB45" s="270"/>
      <c r="YC45" s="270"/>
      <c r="YD45" s="270"/>
      <c r="YE45" s="270"/>
      <c r="YF45" s="270"/>
      <c r="YG45" s="270"/>
      <c r="YH45" s="270"/>
      <c r="YI45" s="270"/>
      <c r="YJ45" s="270"/>
      <c r="YK45" s="270"/>
      <c r="YL45" s="270"/>
      <c r="YM45" s="270"/>
      <c r="YN45" s="270"/>
      <c r="YO45" s="270"/>
      <c r="YP45" s="270"/>
      <c r="YQ45" s="270"/>
      <c r="YR45" s="270"/>
      <c r="YS45" s="270"/>
      <c r="YT45" s="270"/>
      <c r="YU45" s="270"/>
      <c r="YV45" s="270"/>
      <c r="YW45" s="270"/>
      <c r="YX45" s="270"/>
      <c r="YY45" s="270"/>
      <c r="YZ45" s="270"/>
      <c r="ZA45" s="270"/>
      <c r="ZB45" s="270"/>
      <c r="ZC45" s="270"/>
      <c r="ZD45" s="270"/>
      <c r="ZE45" s="270"/>
    </row>
    <row r="46">
      <c r="A46" s="412"/>
      <c r="B46" s="283"/>
      <c r="C46" s="16"/>
      <c r="D46" s="16"/>
      <c r="E46" s="16"/>
      <c r="F46" s="16"/>
      <c r="G46" s="16"/>
      <c r="H46" s="25"/>
      <c r="I46" s="106"/>
      <c r="J46" s="16"/>
      <c r="K46" s="16"/>
      <c r="L46" s="16"/>
      <c r="M46" s="16"/>
      <c r="N46" s="16"/>
      <c r="O46" s="25"/>
      <c r="P46" s="283"/>
      <c r="Q46" s="16"/>
      <c r="R46" s="16"/>
      <c r="S46" s="16"/>
      <c r="T46" s="16"/>
      <c r="U46" s="16"/>
      <c r="V46" s="25"/>
      <c r="W46" s="283"/>
      <c r="X46" s="16"/>
      <c r="Y46" s="16"/>
      <c r="Z46" s="16"/>
      <c r="AA46" s="16"/>
      <c r="AB46" s="16"/>
      <c r="AC46" s="25"/>
      <c r="AD46" s="283"/>
      <c r="AE46" s="16"/>
      <c r="AF46" s="16"/>
      <c r="AG46" s="16"/>
      <c r="AH46" s="16"/>
      <c r="AI46" s="16"/>
      <c r="AJ46" s="25"/>
      <c r="AK46" s="135" t="s">
        <v>1962</v>
      </c>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25"/>
      <c r="BM46" s="283"/>
      <c r="BN46" s="16"/>
      <c r="BO46" s="16"/>
      <c r="BP46" s="16"/>
      <c r="BQ46" s="16"/>
      <c r="BR46" s="16"/>
      <c r="BS46" s="25"/>
      <c r="BT46" s="108" t="s">
        <v>1964</v>
      </c>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25"/>
      <c r="DC46" s="153"/>
      <c r="DD46" s="16"/>
      <c r="DE46" s="16"/>
      <c r="DF46" s="16"/>
      <c r="DG46" s="16"/>
      <c r="DH46" s="16"/>
      <c r="DI46" s="25"/>
      <c r="DJ46" s="283"/>
      <c r="DK46" s="16"/>
      <c r="DL46" s="16"/>
      <c r="DM46" s="16"/>
      <c r="DN46" s="16"/>
      <c r="DO46" s="16"/>
      <c r="DP46" s="25"/>
      <c r="DQ46" s="153"/>
      <c r="DR46" s="16"/>
      <c r="DS46" s="16"/>
      <c r="DT46" s="16"/>
      <c r="DU46" s="16"/>
      <c r="DV46" s="16"/>
      <c r="DW46" s="25"/>
      <c r="DX46" s="283"/>
      <c r="DY46" s="16"/>
      <c r="DZ46" s="16"/>
      <c r="EA46" s="16"/>
      <c r="EB46" s="16"/>
      <c r="EC46" s="16"/>
      <c r="ED46" s="25"/>
      <c r="EE46" s="153"/>
      <c r="EF46" s="16"/>
      <c r="EG46" s="16"/>
      <c r="EH46" s="16"/>
      <c r="EI46" s="16"/>
      <c r="EJ46" s="16"/>
      <c r="EK46" s="25"/>
      <c r="EL46" s="153"/>
      <c r="EM46" s="16"/>
      <c r="EN46" s="16"/>
      <c r="EO46" s="16"/>
      <c r="EP46" s="16"/>
      <c r="EQ46" s="16"/>
      <c r="ER46" s="25"/>
      <c r="ES46" s="153"/>
      <c r="ET46" s="16"/>
      <c r="EU46" s="16"/>
      <c r="EV46" s="16"/>
      <c r="EW46" s="16"/>
      <c r="EX46" s="16"/>
      <c r="EY46" s="25"/>
      <c r="EZ46" s="153"/>
      <c r="FA46" s="16"/>
      <c r="FB46" s="16"/>
      <c r="FC46" s="16"/>
      <c r="FD46" s="16"/>
      <c r="FE46" s="16"/>
      <c r="FF46" s="25"/>
      <c r="FG46" s="283"/>
      <c r="FH46" s="16"/>
      <c r="FI46" s="16"/>
      <c r="FJ46" s="16"/>
      <c r="FK46" s="16"/>
      <c r="FL46" s="16"/>
      <c r="FM46" s="25"/>
      <c r="FN46" s="153"/>
      <c r="FO46" s="16"/>
      <c r="FP46" s="16"/>
      <c r="FQ46" s="16"/>
      <c r="FR46" s="16"/>
      <c r="FS46" s="16"/>
      <c r="FT46" s="25"/>
      <c r="FU46" s="283"/>
      <c r="FV46" s="16"/>
      <c r="FW46" s="16"/>
      <c r="FX46" s="16"/>
      <c r="FY46" s="16"/>
      <c r="FZ46" s="16"/>
      <c r="GA46" s="25"/>
      <c r="GB46" s="283"/>
      <c r="GC46" s="16"/>
      <c r="GD46" s="16"/>
      <c r="GE46" s="16"/>
      <c r="GF46" s="16"/>
      <c r="GG46" s="16"/>
      <c r="GH46" s="25"/>
      <c r="GI46" s="153"/>
      <c r="GJ46" s="16"/>
      <c r="GK46" s="16"/>
      <c r="GL46" s="16"/>
      <c r="GM46" s="16"/>
      <c r="GN46" s="16"/>
      <c r="GO46" s="25"/>
      <c r="GP46" s="153"/>
      <c r="GQ46" s="16"/>
      <c r="GR46" s="16"/>
      <c r="GS46" s="16"/>
      <c r="GT46" s="16"/>
      <c r="GU46" s="16"/>
      <c r="GV46" s="25"/>
      <c r="GW46" s="283"/>
      <c r="GX46" s="16"/>
      <c r="GY46" s="16"/>
      <c r="GZ46" s="16"/>
      <c r="HA46" s="16"/>
      <c r="HB46" s="16"/>
      <c r="HC46" s="25"/>
      <c r="HD46" s="153"/>
      <c r="HE46" s="16"/>
      <c r="HF46" s="16"/>
      <c r="HG46" s="16"/>
      <c r="HH46" s="16"/>
      <c r="HI46" s="16"/>
      <c r="HJ46" s="25"/>
      <c r="HK46" s="283"/>
      <c r="HL46" s="16"/>
      <c r="HM46" s="16"/>
      <c r="HN46" s="16"/>
      <c r="HO46" s="16"/>
      <c r="HP46" s="16"/>
      <c r="HQ46" s="25"/>
      <c r="HR46" s="153"/>
      <c r="HS46" s="16"/>
      <c r="HT46" s="16"/>
      <c r="HU46" s="16"/>
      <c r="HV46" s="16"/>
      <c r="HW46" s="16"/>
      <c r="HX46" s="25"/>
      <c r="HY46" s="283"/>
      <c r="HZ46" s="16"/>
      <c r="IA46" s="16"/>
      <c r="IB46" s="16"/>
      <c r="IC46" s="16"/>
      <c r="ID46" s="16"/>
      <c r="IE46" s="25"/>
      <c r="IF46" s="283"/>
      <c r="IG46" s="16"/>
      <c r="IH46" s="16"/>
      <c r="II46" s="16"/>
      <c r="IJ46" s="16"/>
      <c r="IK46" s="16"/>
      <c r="IL46" s="25"/>
      <c r="IM46" s="283"/>
      <c r="IN46" s="16"/>
      <c r="IO46" s="16"/>
      <c r="IP46" s="16"/>
      <c r="IQ46" s="16"/>
      <c r="IR46" s="16"/>
      <c r="IS46" s="25"/>
      <c r="IT46" s="283"/>
      <c r="IU46" s="16"/>
      <c r="IV46" s="16"/>
      <c r="IW46" s="16"/>
      <c r="IX46" s="16"/>
      <c r="IY46" s="16"/>
      <c r="IZ46" s="25"/>
      <c r="JA46" s="283"/>
      <c r="JB46" s="16"/>
      <c r="JC46" s="16"/>
      <c r="JD46" s="16"/>
      <c r="JE46" s="16"/>
      <c r="JF46" s="16"/>
      <c r="JG46" s="25"/>
      <c r="JH46" s="283"/>
      <c r="JI46" s="16"/>
      <c r="JJ46" s="16"/>
      <c r="JK46" s="16"/>
      <c r="JL46" s="16"/>
      <c r="JM46" s="16"/>
      <c r="JN46" s="25"/>
      <c r="JO46" s="401"/>
      <c r="JP46" s="16"/>
      <c r="JQ46" s="16"/>
      <c r="JR46" s="16"/>
      <c r="JS46" s="16"/>
      <c r="JT46" s="16"/>
      <c r="JU46" s="25"/>
      <c r="JV46" s="283"/>
      <c r="JW46" s="16"/>
      <c r="JX46" s="16"/>
      <c r="JY46" s="16"/>
      <c r="JZ46" s="16"/>
      <c r="KA46" s="16"/>
      <c r="KB46" s="25"/>
      <c r="KC46" s="283"/>
      <c r="KD46" s="16"/>
      <c r="KE46" s="16"/>
      <c r="KF46" s="16"/>
      <c r="KG46" s="16"/>
      <c r="KH46" s="16"/>
      <c r="KI46" s="25"/>
      <c r="KJ46" s="283"/>
      <c r="KK46" s="16"/>
      <c r="KL46" s="16"/>
      <c r="KM46" s="16"/>
      <c r="KN46" s="16"/>
      <c r="KO46" s="16"/>
      <c r="KP46" s="25"/>
      <c r="KQ46" s="283"/>
      <c r="KR46" s="16"/>
      <c r="KS46" s="16"/>
      <c r="KT46" s="16"/>
      <c r="KU46" s="16"/>
      <c r="KV46" s="16"/>
      <c r="KW46" s="25"/>
      <c r="KX46" s="283"/>
      <c r="KY46" s="16"/>
      <c r="KZ46" s="16"/>
      <c r="LA46" s="16"/>
      <c r="LB46" s="16"/>
      <c r="LC46" s="16"/>
      <c r="LD46" s="25"/>
      <c r="LE46" s="283"/>
      <c r="LF46" s="16"/>
      <c r="LG46" s="16"/>
      <c r="LH46" s="16"/>
      <c r="LI46" s="16"/>
      <c r="LJ46" s="16"/>
      <c r="LK46" s="25"/>
      <c r="LL46" s="283"/>
      <c r="LM46" s="16"/>
      <c r="LN46" s="16"/>
      <c r="LO46" s="16"/>
      <c r="LP46" s="16"/>
      <c r="LQ46" s="16"/>
      <c r="LR46" s="25"/>
      <c r="LS46" s="283"/>
      <c r="LT46" s="16"/>
      <c r="LU46" s="16"/>
      <c r="LV46" s="16"/>
      <c r="LW46" s="16"/>
      <c r="LX46" s="16"/>
      <c r="LY46" s="25"/>
      <c r="LZ46" s="283"/>
      <c r="MA46" s="16"/>
      <c r="MB46" s="16"/>
      <c r="MC46" s="16"/>
      <c r="MD46" s="16"/>
      <c r="ME46" s="16"/>
      <c r="MF46" s="25"/>
      <c r="MG46" s="283"/>
      <c r="MH46" s="16"/>
      <c r="MI46" s="16"/>
      <c r="MJ46" s="16"/>
      <c r="MK46" s="16"/>
      <c r="ML46" s="16"/>
      <c r="MM46" s="25"/>
      <c r="MN46" s="283"/>
      <c r="MO46" s="16"/>
      <c r="MP46" s="16"/>
      <c r="MQ46" s="16"/>
      <c r="MR46" s="16"/>
      <c r="MS46" s="16"/>
      <c r="MT46" s="25"/>
      <c r="MU46" s="283"/>
      <c r="MV46" s="16"/>
      <c r="MW46" s="16"/>
      <c r="MX46" s="16"/>
      <c r="MY46" s="16"/>
      <c r="MZ46" s="16"/>
      <c r="NA46" s="25"/>
      <c r="NB46" s="402"/>
      <c r="NC46" s="270"/>
      <c r="ND46" s="270"/>
      <c r="NE46" s="270"/>
      <c r="NF46" s="270"/>
      <c r="NG46" s="270"/>
      <c r="NH46" s="270"/>
      <c r="NI46" s="270"/>
      <c r="NJ46" s="270"/>
      <c r="NK46" s="270"/>
      <c r="NL46" s="270"/>
      <c r="NM46" s="270"/>
      <c r="NN46" s="270"/>
      <c r="NO46" s="270"/>
      <c r="NP46" s="270"/>
      <c r="NQ46" s="270"/>
      <c r="NR46" s="270"/>
      <c r="NS46" s="270"/>
      <c r="NT46" s="270"/>
      <c r="NU46" s="270"/>
      <c r="NV46" s="270"/>
      <c r="NW46" s="270"/>
      <c r="NX46" s="270"/>
      <c r="NY46" s="270"/>
      <c r="NZ46" s="270"/>
      <c r="OA46" s="270"/>
      <c r="OB46" s="270"/>
      <c r="OC46" s="270"/>
      <c r="OD46" s="270"/>
      <c r="OE46" s="270"/>
      <c r="OF46" s="270"/>
      <c r="OG46" s="270"/>
      <c r="OH46" s="270"/>
      <c r="OI46" s="270"/>
      <c r="OJ46" s="270"/>
      <c r="OK46" s="270"/>
      <c r="OL46" s="270"/>
      <c r="OM46" s="270"/>
      <c r="ON46" s="270"/>
      <c r="OO46" s="270"/>
      <c r="OP46" s="270"/>
      <c r="OQ46" s="270"/>
      <c r="OR46" s="270"/>
      <c r="OS46" s="270"/>
      <c r="OT46" s="270"/>
      <c r="OU46" s="270"/>
      <c r="OV46" s="270"/>
      <c r="OW46" s="270"/>
      <c r="OX46" s="270"/>
      <c r="OY46" s="270"/>
      <c r="OZ46" s="270"/>
      <c r="PA46" s="270"/>
      <c r="PB46" s="270"/>
      <c r="PC46" s="270"/>
      <c r="PD46" s="270"/>
      <c r="PE46" s="270"/>
      <c r="PF46" s="270"/>
      <c r="PG46" s="270"/>
      <c r="PH46" s="270"/>
      <c r="PI46" s="270"/>
      <c r="PJ46" s="270"/>
      <c r="PK46" s="270"/>
      <c r="PL46" s="270"/>
      <c r="PM46" s="270"/>
      <c r="PN46" s="270"/>
      <c r="PO46" s="270"/>
      <c r="PP46" s="270"/>
      <c r="PQ46" s="270"/>
      <c r="PR46" s="270"/>
      <c r="PS46" s="270"/>
      <c r="PT46" s="270"/>
      <c r="PU46" s="270"/>
      <c r="PV46" s="270"/>
      <c r="PW46" s="270"/>
      <c r="PX46" s="270"/>
      <c r="PY46" s="270"/>
      <c r="PZ46" s="270"/>
      <c r="QA46" s="270"/>
      <c r="QB46" s="270"/>
      <c r="QC46" s="270"/>
      <c r="QD46" s="270"/>
      <c r="QE46" s="270"/>
      <c r="QF46" s="270"/>
      <c r="QG46" s="270"/>
      <c r="QH46" s="270"/>
      <c r="QI46" s="270"/>
      <c r="QJ46" s="270"/>
      <c r="QK46" s="270"/>
      <c r="QL46" s="270"/>
      <c r="QM46" s="270"/>
      <c r="QN46" s="270"/>
      <c r="QO46" s="270"/>
      <c r="QP46" s="270"/>
      <c r="QQ46" s="270"/>
      <c r="QR46" s="270"/>
      <c r="QS46" s="270"/>
      <c r="QT46" s="270"/>
      <c r="QU46" s="270"/>
      <c r="QV46" s="270"/>
      <c r="QW46" s="270"/>
      <c r="QX46" s="270"/>
      <c r="QY46" s="270"/>
      <c r="QZ46" s="270"/>
      <c r="RA46" s="270"/>
      <c r="RB46" s="270"/>
      <c r="RC46" s="270"/>
      <c r="RD46" s="270"/>
      <c r="RE46" s="270"/>
      <c r="RF46" s="270"/>
      <c r="RG46" s="270"/>
      <c r="RH46" s="270"/>
      <c r="RI46" s="270"/>
      <c r="RJ46" s="270"/>
      <c r="RK46" s="270"/>
      <c r="RL46" s="270"/>
      <c r="RM46" s="270"/>
      <c r="RN46" s="270"/>
      <c r="RO46" s="270"/>
      <c r="RP46" s="270"/>
      <c r="RQ46" s="270"/>
      <c r="RR46" s="270"/>
      <c r="RS46" s="270"/>
      <c r="RT46" s="270"/>
      <c r="RU46" s="270"/>
      <c r="RV46" s="270"/>
      <c r="RW46" s="270"/>
      <c r="RX46" s="270"/>
      <c r="RY46" s="270"/>
      <c r="RZ46" s="270"/>
      <c r="SA46" s="270"/>
      <c r="SB46" s="270"/>
      <c r="SC46" s="270"/>
      <c r="SD46" s="270"/>
      <c r="SE46" s="270"/>
      <c r="SF46" s="270"/>
      <c r="SG46" s="270"/>
      <c r="SH46" s="270"/>
      <c r="SI46" s="270"/>
      <c r="SJ46" s="270"/>
      <c r="SK46" s="270"/>
      <c r="SL46" s="270"/>
      <c r="SM46" s="270"/>
      <c r="SN46" s="270"/>
      <c r="SO46" s="270"/>
      <c r="SP46" s="270"/>
      <c r="SQ46" s="270"/>
      <c r="SR46" s="270"/>
      <c r="SS46" s="270"/>
      <c r="ST46" s="270"/>
      <c r="SU46" s="270"/>
      <c r="SV46" s="270"/>
      <c r="SW46" s="270"/>
      <c r="SX46" s="270"/>
      <c r="SY46" s="270"/>
      <c r="SZ46" s="270"/>
      <c r="TA46" s="270"/>
      <c r="TB46" s="270"/>
      <c r="TC46" s="270"/>
      <c r="TD46" s="270"/>
      <c r="TE46" s="270"/>
      <c r="TF46" s="270"/>
      <c r="TG46" s="270"/>
      <c r="TH46" s="270"/>
      <c r="TI46" s="270"/>
      <c r="TJ46" s="270"/>
      <c r="TK46" s="270"/>
      <c r="TL46" s="270"/>
      <c r="TM46" s="270"/>
      <c r="TN46" s="270"/>
      <c r="TO46" s="270"/>
      <c r="TP46" s="270"/>
      <c r="TQ46" s="270"/>
      <c r="TR46" s="270"/>
      <c r="TS46" s="270"/>
      <c r="TT46" s="270"/>
      <c r="TU46" s="270"/>
      <c r="TV46" s="270"/>
      <c r="TW46" s="270"/>
      <c r="TX46" s="270"/>
      <c r="TY46" s="270"/>
      <c r="TZ46" s="270"/>
      <c r="UA46" s="270"/>
      <c r="UB46" s="270"/>
      <c r="UC46" s="270"/>
      <c r="UD46" s="270"/>
      <c r="UE46" s="270"/>
      <c r="UF46" s="270"/>
      <c r="UG46" s="270"/>
      <c r="UH46" s="270"/>
      <c r="UI46" s="270"/>
      <c r="UJ46" s="270"/>
      <c r="UK46" s="270"/>
      <c r="UL46" s="270"/>
      <c r="UM46" s="270"/>
      <c r="UN46" s="270"/>
      <c r="UO46" s="270"/>
      <c r="UP46" s="270"/>
      <c r="UQ46" s="270"/>
      <c r="UR46" s="270"/>
      <c r="US46" s="270"/>
      <c r="UT46" s="270"/>
      <c r="UU46" s="270"/>
      <c r="UV46" s="270"/>
      <c r="UW46" s="270"/>
      <c r="UX46" s="270"/>
      <c r="UY46" s="270"/>
      <c r="UZ46" s="270"/>
      <c r="VA46" s="270"/>
      <c r="VB46" s="270"/>
      <c r="VC46" s="270"/>
      <c r="VD46" s="270"/>
      <c r="VE46" s="270"/>
      <c r="VF46" s="270"/>
      <c r="VG46" s="270"/>
      <c r="VH46" s="270"/>
      <c r="VI46" s="270"/>
      <c r="VJ46" s="270"/>
      <c r="VK46" s="270"/>
      <c r="VL46" s="270"/>
      <c r="VM46" s="270"/>
      <c r="VN46" s="270"/>
      <c r="VO46" s="270"/>
      <c r="VP46" s="270"/>
      <c r="VQ46" s="270"/>
      <c r="VR46" s="270"/>
      <c r="VS46" s="270"/>
      <c r="VT46" s="270"/>
      <c r="VU46" s="270"/>
      <c r="VV46" s="270"/>
      <c r="VW46" s="270"/>
      <c r="VX46" s="270"/>
      <c r="VY46" s="270"/>
      <c r="VZ46" s="270"/>
      <c r="WA46" s="270"/>
      <c r="WB46" s="270"/>
      <c r="WC46" s="270"/>
      <c r="WD46" s="270"/>
      <c r="WE46" s="270"/>
      <c r="WF46" s="270"/>
      <c r="WG46" s="270"/>
      <c r="WH46" s="270"/>
      <c r="WI46" s="270"/>
      <c r="WJ46" s="270"/>
      <c r="WK46" s="270"/>
      <c r="WL46" s="270"/>
      <c r="WM46" s="270"/>
      <c r="WN46" s="270"/>
      <c r="WO46" s="270"/>
      <c r="WP46" s="270"/>
      <c r="WQ46" s="270"/>
      <c r="WR46" s="270"/>
      <c r="WS46" s="270"/>
      <c r="WT46" s="270"/>
      <c r="WU46" s="270"/>
      <c r="WV46" s="270"/>
      <c r="WW46" s="270"/>
      <c r="WX46" s="270"/>
      <c r="WY46" s="270"/>
      <c r="WZ46" s="270"/>
      <c r="XA46" s="270"/>
      <c r="XB46" s="270"/>
      <c r="XC46" s="270"/>
      <c r="XD46" s="270"/>
      <c r="XE46" s="270"/>
      <c r="XF46" s="270"/>
      <c r="XG46" s="270"/>
      <c r="XH46" s="270"/>
      <c r="XI46" s="270"/>
      <c r="XJ46" s="270"/>
      <c r="XK46" s="270"/>
      <c r="XL46" s="270"/>
      <c r="XM46" s="270"/>
      <c r="XN46" s="270"/>
      <c r="XO46" s="270"/>
      <c r="XP46" s="270"/>
      <c r="XQ46" s="270"/>
      <c r="XR46" s="270"/>
      <c r="XS46" s="270"/>
      <c r="XT46" s="270"/>
      <c r="XU46" s="270"/>
      <c r="XV46" s="270"/>
      <c r="XW46" s="270"/>
      <c r="XX46" s="270"/>
      <c r="XY46" s="270"/>
      <c r="XZ46" s="270"/>
      <c r="YA46" s="270"/>
      <c r="YB46" s="270"/>
      <c r="YC46" s="270"/>
      <c r="YD46" s="270"/>
      <c r="YE46" s="270"/>
      <c r="YF46" s="270"/>
      <c r="YG46" s="270"/>
      <c r="YH46" s="270"/>
      <c r="YI46" s="270"/>
      <c r="YJ46" s="270"/>
      <c r="YK46" s="270"/>
      <c r="YL46" s="270"/>
      <c r="YM46" s="270"/>
      <c r="YN46" s="270"/>
      <c r="YO46" s="270"/>
      <c r="YP46" s="270"/>
      <c r="YQ46" s="270"/>
      <c r="YR46" s="270"/>
      <c r="YS46" s="270"/>
      <c r="YT46" s="270"/>
      <c r="YU46" s="270"/>
      <c r="YV46" s="270"/>
      <c r="YW46" s="270"/>
      <c r="YX46" s="270"/>
      <c r="YY46" s="270"/>
      <c r="YZ46" s="270"/>
      <c r="ZA46" s="270"/>
      <c r="ZB46" s="270"/>
      <c r="ZC46" s="270"/>
      <c r="ZD46" s="270"/>
      <c r="ZE46" s="270"/>
    </row>
    <row r="47" ht="30.0" customHeight="1">
      <c r="A47" s="412"/>
      <c r="B47" s="414"/>
      <c r="C47" s="16"/>
      <c r="D47" s="16"/>
      <c r="E47" s="16"/>
      <c r="F47" s="16"/>
      <c r="G47" s="16"/>
      <c r="H47" s="25"/>
      <c r="I47" s="106"/>
      <c r="J47" s="16"/>
      <c r="K47" s="16"/>
      <c r="L47" s="16"/>
      <c r="M47" s="16"/>
      <c r="N47" s="16"/>
      <c r="O47" s="25"/>
      <c r="P47" s="106"/>
      <c r="Q47" s="16"/>
      <c r="R47" s="16"/>
      <c r="S47" s="16"/>
      <c r="T47" s="16"/>
      <c r="U47" s="16"/>
      <c r="V47" s="25"/>
      <c r="W47" s="106" t="s">
        <v>1984</v>
      </c>
      <c r="X47" s="16"/>
      <c r="Y47" s="16"/>
      <c r="Z47" s="16"/>
      <c r="AA47" s="16"/>
      <c r="AB47" s="16"/>
      <c r="AC47" s="16"/>
      <c r="AD47" s="16"/>
      <c r="AE47" s="16"/>
      <c r="AF47" s="16"/>
      <c r="AG47" s="16"/>
      <c r="AH47" s="16"/>
      <c r="AI47" s="16"/>
      <c r="AJ47" s="25"/>
      <c r="AK47" s="108" t="s">
        <v>1986</v>
      </c>
      <c r="AL47" s="16"/>
      <c r="AM47" s="16"/>
      <c r="AN47" s="16"/>
      <c r="AO47" s="16"/>
      <c r="AP47" s="16"/>
      <c r="AQ47" s="25"/>
      <c r="AR47" s="108"/>
      <c r="AS47" s="16"/>
      <c r="AT47" s="16"/>
      <c r="AU47" s="16"/>
      <c r="AV47" s="16"/>
      <c r="AW47" s="16"/>
      <c r="AX47" s="25"/>
      <c r="AY47" s="108"/>
      <c r="AZ47" s="16"/>
      <c r="BA47" s="16"/>
      <c r="BB47" s="16"/>
      <c r="BC47" s="16"/>
      <c r="BD47" s="16"/>
      <c r="BE47" s="25"/>
      <c r="BF47" s="108"/>
      <c r="BG47" s="16"/>
      <c r="BH47" s="16"/>
      <c r="BI47" s="16"/>
      <c r="BJ47" s="16"/>
      <c r="BK47" s="16"/>
      <c r="BL47" s="25"/>
      <c r="BM47" s="423"/>
      <c r="BN47" s="16"/>
      <c r="BO47" s="16"/>
      <c r="BP47" s="16"/>
      <c r="BQ47" s="16"/>
      <c r="BR47" s="16"/>
      <c r="BS47" s="25"/>
      <c r="BT47" s="108" t="s">
        <v>1987</v>
      </c>
      <c r="BU47" s="16"/>
      <c r="BV47" s="16"/>
      <c r="BW47" s="16"/>
      <c r="BX47" s="16"/>
      <c r="BY47" s="16"/>
      <c r="BZ47" s="16"/>
      <c r="CA47" s="16"/>
      <c r="CB47" s="16"/>
      <c r="CC47" s="16"/>
      <c r="CD47" s="16"/>
      <c r="CE47" s="16"/>
      <c r="CF47" s="16"/>
      <c r="CG47" s="16"/>
      <c r="CH47" s="16"/>
      <c r="CI47" s="16"/>
      <c r="CJ47" s="16"/>
      <c r="CK47" s="16"/>
      <c r="CL47" s="16"/>
      <c r="CM47" s="16"/>
      <c r="CN47" s="25"/>
      <c r="CO47" s="108"/>
      <c r="CP47" s="16"/>
      <c r="CQ47" s="16"/>
      <c r="CR47" s="16"/>
      <c r="CS47" s="16"/>
      <c r="CT47" s="16"/>
      <c r="CU47" s="25"/>
      <c r="CV47" s="423"/>
      <c r="CW47" s="16"/>
      <c r="CX47" s="16"/>
      <c r="CY47" s="16"/>
      <c r="CZ47" s="16"/>
      <c r="DA47" s="16"/>
      <c r="DB47" s="25"/>
      <c r="DC47" s="424"/>
      <c r="DD47" s="16"/>
      <c r="DE47" s="16"/>
      <c r="DF47" s="16"/>
      <c r="DG47" s="16"/>
      <c r="DH47" s="16"/>
      <c r="DI47" s="25"/>
      <c r="DJ47" s="424"/>
      <c r="DK47" s="16"/>
      <c r="DL47" s="16"/>
      <c r="DM47" s="16"/>
      <c r="DN47" s="16"/>
      <c r="DO47" s="16"/>
      <c r="DP47" s="16"/>
      <c r="DQ47" s="25"/>
      <c r="DR47" s="424"/>
      <c r="DS47" s="16"/>
      <c r="DT47" s="16"/>
      <c r="DU47" s="16"/>
      <c r="DV47" s="16"/>
      <c r="DW47" s="25"/>
      <c r="DX47" s="424"/>
      <c r="DY47" s="16"/>
      <c r="DZ47" s="16"/>
      <c r="EA47" s="16"/>
      <c r="EB47" s="16"/>
      <c r="EC47" s="16"/>
      <c r="ED47" s="25"/>
      <c r="EE47" s="424"/>
      <c r="EF47" s="16"/>
      <c r="EG47" s="16"/>
      <c r="EH47" s="16"/>
      <c r="EI47" s="16"/>
      <c r="EJ47" s="16"/>
      <c r="EK47" s="25"/>
      <c r="EL47" s="424"/>
      <c r="EM47" s="16"/>
      <c r="EN47" s="16"/>
      <c r="EO47" s="16"/>
      <c r="EP47" s="16"/>
      <c r="EQ47" s="16"/>
      <c r="ER47" s="25"/>
      <c r="ES47" s="424"/>
      <c r="ET47" s="16"/>
      <c r="EU47" s="16"/>
      <c r="EV47" s="16"/>
      <c r="EW47" s="16"/>
      <c r="EX47" s="16"/>
      <c r="EY47" s="25"/>
      <c r="EZ47" s="424"/>
      <c r="FA47" s="16"/>
      <c r="FB47" s="16"/>
      <c r="FC47" s="16"/>
      <c r="FD47" s="16"/>
      <c r="FE47" s="16"/>
      <c r="FF47" s="25"/>
      <c r="FG47" s="424"/>
      <c r="FH47" s="16"/>
      <c r="FI47" s="16"/>
      <c r="FJ47" s="16"/>
      <c r="FK47" s="16"/>
      <c r="FL47" s="16"/>
      <c r="FM47" s="25"/>
      <c r="FN47" s="424"/>
      <c r="FO47" s="16"/>
      <c r="FP47" s="16"/>
      <c r="FQ47" s="16"/>
      <c r="FR47" s="16"/>
      <c r="FS47" s="16"/>
      <c r="FT47" s="25"/>
      <c r="FU47" s="153"/>
      <c r="FV47" s="16"/>
      <c r="FW47" s="16"/>
      <c r="FX47" s="16"/>
      <c r="FY47" s="16"/>
      <c r="FZ47" s="16"/>
      <c r="GA47" s="25"/>
      <c r="GB47" s="424"/>
      <c r="GC47" s="16"/>
      <c r="GD47" s="16"/>
      <c r="GE47" s="16"/>
      <c r="GF47" s="16"/>
      <c r="GG47" s="16"/>
      <c r="GH47" s="25"/>
      <c r="GI47" s="153"/>
      <c r="GJ47" s="16"/>
      <c r="GK47" s="16"/>
      <c r="GL47" s="16"/>
      <c r="GM47" s="16"/>
      <c r="GN47" s="16"/>
      <c r="GO47" s="25"/>
      <c r="GP47" s="425"/>
      <c r="GQ47" s="16"/>
      <c r="GR47" s="16"/>
      <c r="GS47" s="16"/>
      <c r="GT47" s="16"/>
      <c r="GU47" s="16"/>
      <c r="GV47" s="25"/>
      <c r="GW47" s="151"/>
      <c r="GX47" s="16"/>
      <c r="GY47" s="16"/>
      <c r="GZ47" s="16"/>
      <c r="HA47" s="16"/>
      <c r="HB47" s="16"/>
      <c r="HC47" s="25"/>
      <c r="HD47" s="173"/>
      <c r="HE47" s="16"/>
      <c r="HF47" s="16"/>
      <c r="HG47" s="16"/>
      <c r="HH47" s="16"/>
      <c r="HI47" s="16"/>
      <c r="HJ47" s="25"/>
      <c r="HK47" s="173"/>
      <c r="HL47" s="16"/>
      <c r="HM47" s="16"/>
      <c r="HN47" s="16"/>
      <c r="HO47" s="16"/>
      <c r="HP47" s="16"/>
      <c r="HQ47" s="25"/>
      <c r="HR47" s="151"/>
      <c r="HS47" s="16"/>
      <c r="HT47" s="16"/>
      <c r="HU47" s="16"/>
      <c r="HV47" s="16"/>
      <c r="HW47" s="16"/>
      <c r="HX47" s="25"/>
      <c r="HY47" s="151"/>
      <c r="HZ47" s="16"/>
      <c r="IA47" s="16"/>
      <c r="IB47" s="16"/>
      <c r="IC47" s="16"/>
      <c r="ID47" s="16"/>
      <c r="IE47" s="25"/>
      <c r="IF47" s="178"/>
      <c r="IG47" s="16"/>
      <c r="IH47" s="16"/>
      <c r="II47" s="16"/>
      <c r="IJ47" s="16"/>
      <c r="IK47" s="16"/>
      <c r="IL47" s="25"/>
      <c r="IM47" s="151"/>
      <c r="IN47" s="16"/>
      <c r="IO47" s="16"/>
      <c r="IP47" s="16"/>
      <c r="IQ47" s="16"/>
      <c r="IR47" s="16"/>
      <c r="IS47" s="25"/>
      <c r="IT47" s="151"/>
      <c r="IU47" s="16"/>
      <c r="IV47" s="16"/>
      <c r="IW47" s="16"/>
      <c r="IX47" s="16"/>
      <c r="IY47" s="16"/>
      <c r="IZ47" s="25"/>
      <c r="JA47" s="151"/>
      <c r="JB47" s="16"/>
      <c r="JC47" s="16"/>
      <c r="JD47" s="16"/>
      <c r="JE47" s="16"/>
      <c r="JF47" s="16"/>
      <c r="JG47" s="25"/>
      <c r="JH47" s="151"/>
      <c r="JI47" s="16"/>
      <c r="JJ47" s="16"/>
      <c r="JK47" s="16"/>
      <c r="JL47" s="16"/>
      <c r="JM47" s="16"/>
      <c r="JN47" s="25"/>
      <c r="JO47" s="151"/>
      <c r="JP47" s="16"/>
      <c r="JQ47" s="16"/>
      <c r="JR47" s="16"/>
      <c r="JS47" s="16"/>
      <c r="JT47" s="16"/>
      <c r="JU47" s="25"/>
      <c r="JV47" s="423"/>
      <c r="JW47" s="16"/>
      <c r="JX47" s="16"/>
      <c r="JY47" s="16"/>
      <c r="JZ47" s="16"/>
      <c r="KA47" s="16"/>
      <c r="KB47" s="25"/>
      <c r="KC47" s="423"/>
      <c r="KD47" s="16"/>
      <c r="KE47" s="16"/>
      <c r="KF47" s="16"/>
      <c r="KG47" s="16"/>
      <c r="KH47" s="16"/>
      <c r="KI47" s="25"/>
      <c r="KJ47" s="423"/>
      <c r="KK47" s="16"/>
      <c r="KL47" s="16"/>
      <c r="KM47" s="16"/>
      <c r="KN47" s="16"/>
      <c r="KO47" s="16"/>
      <c r="KP47" s="25"/>
      <c r="KQ47" s="423"/>
      <c r="KR47" s="16"/>
      <c r="KS47" s="16"/>
      <c r="KT47" s="16"/>
      <c r="KU47" s="16"/>
      <c r="KV47" s="16"/>
      <c r="KW47" s="25"/>
      <c r="KX47" s="426"/>
      <c r="KY47" s="16"/>
      <c r="KZ47" s="16"/>
      <c r="LA47" s="16"/>
      <c r="LB47" s="16"/>
      <c r="LC47" s="16"/>
      <c r="LD47" s="25"/>
      <c r="LE47" s="426"/>
      <c r="LF47" s="16"/>
      <c r="LG47" s="16"/>
      <c r="LH47" s="16"/>
      <c r="LI47" s="16"/>
      <c r="LJ47" s="16"/>
      <c r="LK47" s="25"/>
      <c r="LL47" s="423"/>
      <c r="LM47" s="16"/>
      <c r="LN47" s="16"/>
      <c r="LO47" s="16"/>
      <c r="LP47" s="16"/>
      <c r="LQ47" s="16"/>
      <c r="LR47" s="25"/>
      <c r="LS47" s="426"/>
      <c r="LT47" s="16"/>
      <c r="LU47" s="16"/>
      <c r="LV47" s="16"/>
      <c r="LW47" s="16"/>
      <c r="LX47" s="16"/>
      <c r="LY47" s="25"/>
      <c r="LZ47" s="426"/>
      <c r="MA47" s="16"/>
      <c r="MB47" s="16"/>
      <c r="MC47" s="16"/>
      <c r="MD47" s="16"/>
      <c r="ME47" s="16"/>
      <c r="MF47" s="25"/>
      <c r="MG47" s="426"/>
      <c r="MH47" s="16"/>
      <c r="MI47" s="16"/>
      <c r="MJ47" s="16"/>
      <c r="MK47" s="16"/>
      <c r="ML47" s="16"/>
      <c r="MM47" s="25"/>
      <c r="MN47" s="426"/>
      <c r="MO47" s="16"/>
      <c r="MP47" s="16"/>
      <c r="MQ47" s="16"/>
      <c r="MR47" s="16"/>
      <c r="MS47" s="16"/>
      <c r="MT47" s="25"/>
      <c r="MU47" s="426"/>
      <c r="MV47" s="16"/>
      <c r="MW47" s="16"/>
      <c r="MX47" s="16"/>
      <c r="MY47" s="16"/>
      <c r="MZ47" s="16"/>
      <c r="NA47" s="25"/>
      <c r="NB47" s="42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QT47" s="417"/>
      <c r="QU47" s="417"/>
      <c r="QV47" s="417"/>
      <c r="QW47" s="417"/>
      <c r="QX47" s="417"/>
      <c r="QY47" s="417"/>
      <c r="QZ47" s="417"/>
      <c r="RA47" s="417"/>
      <c r="RB47" s="417"/>
      <c r="RC47" s="417"/>
      <c r="RD47" s="417"/>
      <c r="RE47" s="417"/>
      <c r="RF47" s="417"/>
      <c r="RG47" s="417"/>
      <c r="RH47" s="417"/>
      <c r="RI47" s="417"/>
      <c r="RJ47" s="417"/>
      <c r="RK47" s="417"/>
      <c r="RL47" s="417"/>
      <c r="RM47" s="417"/>
      <c r="RN47" s="417"/>
      <c r="RO47" s="417"/>
      <c r="RP47" s="417"/>
      <c r="RQ47" s="417"/>
      <c r="RR47" s="417"/>
      <c r="RS47" s="417"/>
      <c r="RT47" s="417"/>
      <c r="RU47" s="417"/>
      <c r="RV47" s="417"/>
      <c r="RW47" s="417"/>
      <c r="RX47" s="417"/>
      <c r="RY47" s="417"/>
      <c r="RZ47" s="417"/>
      <c r="SA47" s="417"/>
      <c r="SB47" s="417"/>
      <c r="SC47" s="417"/>
      <c r="SD47" s="417"/>
      <c r="SE47" s="417"/>
      <c r="SF47" s="417"/>
      <c r="SG47" s="417"/>
      <c r="SH47" s="417"/>
      <c r="SI47" s="417"/>
      <c r="SJ47" s="417"/>
      <c r="SK47" s="417"/>
      <c r="SL47" s="417"/>
      <c r="SM47" s="417"/>
      <c r="SN47" s="417"/>
      <c r="SO47" s="417"/>
      <c r="SP47" s="417"/>
      <c r="SQ47" s="417"/>
      <c r="SR47" s="417"/>
      <c r="SS47" s="417"/>
      <c r="ST47" s="417"/>
      <c r="SU47" s="417"/>
      <c r="SV47" s="417"/>
      <c r="SW47" s="417"/>
      <c r="SX47" s="417"/>
      <c r="SY47" s="417"/>
      <c r="SZ47" s="417"/>
      <c r="TA47" s="417"/>
      <c r="TB47" s="417"/>
      <c r="TC47" s="417"/>
      <c r="TD47" s="417"/>
      <c r="TE47" s="417"/>
      <c r="TF47" s="417"/>
      <c r="TG47" s="417"/>
      <c r="TH47" s="417"/>
      <c r="TI47" s="417"/>
      <c r="TJ47" s="417"/>
      <c r="TK47" s="417"/>
      <c r="TL47" s="417"/>
      <c r="TM47" s="417"/>
      <c r="TN47" s="417"/>
      <c r="TO47" s="417"/>
      <c r="TP47" s="417"/>
      <c r="TQ47" s="417"/>
      <c r="TR47" s="417"/>
      <c r="TS47" s="417"/>
      <c r="TT47" s="417"/>
      <c r="TU47" s="417"/>
      <c r="TV47" s="417"/>
      <c r="TW47" s="417"/>
      <c r="TX47" s="417"/>
      <c r="TY47" s="417"/>
      <c r="TZ47" s="417"/>
      <c r="UA47" s="417"/>
      <c r="UB47" s="417"/>
      <c r="UC47" s="417"/>
      <c r="UD47" s="417"/>
      <c r="UE47" s="417"/>
      <c r="UF47" s="417"/>
      <c r="UG47" s="417"/>
      <c r="UH47" s="417"/>
      <c r="UI47" s="417"/>
      <c r="UJ47" s="417"/>
      <c r="UK47" s="417"/>
      <c r="UL47" s="417"/>
      <c r="UM47" s="417"/>
      <c r="UN47" s="417"/>
      <c r="UO47" s="417"/>
      <c r="UP47" s="417"/>
      <c r="UQ47" s="417"/>
      <c r="UR47" s="417"/>
      <c r="US47" s="417"/>
      <c r="UT47" s="417"/>
      <c r="UU47" s="417"/>
      <c r="UV47" s="417"/>
      <c r="UW47" s="417"/>
      <c r="UX47" s="417"/>
      <c r="UY47" s="417"/>
      <c r="UZ47" s="417"/>
      <c r="VA47" s="417"/>
      <c r="VB47" s="417"/>
      <c r="VC47" s="417"/>
      <c r="VD47" s="417"/>
      <c r="VE47" s="417"/>
      <c r="VF47" s="417"/>
      <c r="VG47" s="417"/>
      <c r="VH47" s="417"/>
      <c r="VI47" s="417"/>
      <c r="VJ47" s="417"/>
      <c r="VK47" s="417"/>
      <c r="VL47" s="417"/>
      <c r="VM47" s="417"/>
      <c r="VN47" s="417"/>
      <c r="VO47" s="417"/>
      <c r="VP47" s="417"/>
      <c r="VQ47" s="417"/>
      <c r="VR47" s="417"/>
      <c r="VS47" s="417"/>
      <c r="VT47" s="417"/>
      <c r="VU47" s="417"/>
      <c r="VV47" s="417"/>
      <c r="VW47" s="417"/>
      <c r="VX47" s="417"/>
      <c r="VY47" s="417"/>
      <c r="VZ47" s="417"/>
      <c r="WA47" s="417"/>
      <c r="WB47" s="417"/>
      <c r="WC47" s="417"/>
      <c r="WD47" s="417"/>
      <c r="WE47" s="417"/>
      <c r="WF47" s="417"/>
      <c r="WG47" s="417"/>
      <c r="WH47" s="417"/>
      <c r="WI47" s="417"/>
      <c r="WJ47" s="417"/>
      <c r="WK47" s="417"/>
      <c r="WL47" s="417"/>
      <c r="WM47" s="417"/>
      <c r="WN47" s="417"/>
      <c r="WO47" s="417"/>
      <c r="WP47" s="417"/>
      <c r="WQ47" s="417"/>
      <c r="WR47" s="417"/>
      <c r="WS47" s="417"/>
      <c r="WT47" s="417"/>
      <c r="WU47" s="417"/>
      <c r="WV47" s="417"/>
      <c r="WW47" s="417"/>
      <c r="WX47" s="417"/>
      <c r="WY47" s="417"/>
      <c r="WZ47" s="417"/>
      <c r="XA47" s="417"/>
      <c r="XB47" s="417"/>
      <c r="XC47" s="417"/>
      <c r="XD47" s="417"/>
      <c r="XE47" s="417"/>
      <c r="XF47" s="417"/>
      <c r="XG47" s="417"/>
      <c r="XH47" s="417"/>
      <c r="XI47" s="417"/>
      <c r="XJ47" s="417"/>
      <c r="XK47" s="417"/>
      <c r="XL47" s="417"/>
      <c r="XM47" s="417"/>
      <c r="XN47" s="417"/>
      <c r="XO47" s="417"/>
      <c r="XP47" s="417"/>
      <c r="XQ47" s="417"/>
      <c r="XR47" s="417"/>
      <c r="XS47" s="417"/>
      <c r="XT47" s="417"/>
      <c r="XU47" s="417"/>
      <c r="XV47" s="417"/>
      <c r="XW47" s="417"/>
      <c r="XX47" s="417"/>
      <c r="XY47" s="417"/>
      <c r="XZ47" s="417"/>
      <c r="YA47" s="417"/>
      <c r="YB47" s="417"/>
      <c r="YC47" s="417"/>
      <c r="YD47" s="417"/>
      <c r="YE47" s="417"/>
      <c r="YF47" s="417"/>
      <c r="YG47" s="417"/>
      <c r="YH47" s="417"/>
      <c r="YI47" s="417"/>
      <c r="YJ47" s="417"/>
      <c r="YK47" s="417"/>
      <c r="YL47" s="417"/>
      <c r="YM47" s="417"/>
      <c r="YN47" s="417"/>
      <c r="YO47" s="417"/>
      <c r="YP47" s="417"/>
      <c r="YQ47" s="417"/>
      <c r="YR47" s="417"/>
      <c r="YS47" s="417"/>
      <c r="YT47" s="417"/>
      <c r="YU47" s="417"/>
      <c r="YV47" s="417"/>
      <c r="YW47" s="417"/>
      <c r="YX47" s="417"/>
      <c r="YY47" s="417"/>
      <c r="YZ47" s="417"/>
      <c r="ZA47" s="417"/>
      <c r="ZB47" s="417"/>
      <c r="ZC47" s="417"/>
      <c r="ZD47" s="417"/>
      <c r="ZE47" s="417"/>
    </row>
    <row r="48" ht="17.25" customHeight="1">
      <c r="A48" s="412"/>
      <c r="B48" s="414"/>
      <c r="C48" s="16"/>
      <c r="D48" s="16"/>
      <c r="E48" s="16"/>
      <c r="F48" s="16"/>
      <c r="G48" s="16"/>
      <c r="H48" s="25"/>
      <c r="I48" s="106"/>
      <c r="J48" s="16"/>
      <c r="K48" s="16"/>
      <c r="L48" s="16"/>
      <c r="M48" s="16"/>
      <c r="N48" s="16"/>
      <c r="O48" s="25"/>
      <c r="P48" s="106"/>
      <c r="Q48" s="16"/>
      <c r="R48" s="16"/>
      <c r="S48" s="16"/>
      <c r="T48" s="16"/>
      <c r="U48" s="16"/>
      <c r="V48" s="25"/>
      <c r="W48" s="108"/>
      <c r="X48" s="16"/>
      <c r="Y48" s="16"/>
      <c r="Z48" s="16"/>
      <c r="AA48" s="16"/>
      <c r="AB48" s="16"/>
      <c r="AC48" s="25"/>
      <c r="AD48" s="108"/>
      <c r="AE48" s="16"/>
      <c r="AF48" s="16"/>
      <c r="AG48" s="16"/>
      <c r="AH48" s="16"/>
      <c r="AI48" s="16"/>
      <c r="AJ48" s="25"/>
      <c r="AK48" s="108" t="s">
        <v>1990</v>
      </c>
      <c r="AL48" s="16"/>
      <c r="AM48" s="16"/>
      <c r="AN48" s="16"/>
      <c r="AO48" s="16"/>
      <c r="AP48" s="16"/>
      <c r="AQ48" s="25"/>
      <c r="AR48" s="108"/>
      <c r="AS48" s="16"/>
      <c r="AT48" s="16"/>
      <c r="AU48" s="16"/>
      <c r="AV48" s="16"/>
      <c r="AW48" s="16"/>
      <c r="AX48" s="25"/>
      <c r="AY48" s="108"/>
      <c r="AZ48" s="16"/>
      <c r="BA48" s="16"/>
      <c r="BB48" s="16"/>
      <c r="BC48" s="16"/>
      <c r="BD48" s="16"/>
      <c r="BE48" s="25"/>
      <c r="BF48" s="108"/>
      <c r="BG48" s="16"/>
      <c r="BH48" s="16"/>
      <c r="BI48" s="16"/>
      <c r="BJ48" s="16"/>
      <c r="BK48" s="16"/>
      <c r="BL48" s="25"/>
      <c r="BM48" s="420" t="s">
        <v>1991</v>
      </c>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25"/>
      <c r="CO48" s="108"/>
      <c r="CP48" s="16"/>
      <c r="CQ48" s="16"/>
      <c r="CR48" s="16"/>
      <c r="CS48" s="16"/>
      <c r="CT48" s="16"/>
      <c r="CU48" s="25"/>
      <c r="CV48" s="423"/>
      <c r="CW48" s="16"/>
      <c r="CX48" s="16"/>
      <c r="CY48" s="16"/>
      <c r="CZ48" s="16"/>
      <c r="DA48" s="16"/>
      <c r="DB48" s="25"/>
      <c r="DC48" s="424"/>
      <c r="DD48" s="16"/>
      <c r="DE48" s="16"/>
      <c r="DF48" s="16"/>
      <c r="DG48" s="16"/>
      <c r="DH48" s="16"/>
      <c r="DI48" s="25"/>
      <c r="DJ48" s="424"/>
      <c r="DK48" s="16"/>
      <c r="DL48" s="16"/>
      <c r="DM48" s="16"/>
      <c r="DN48" s="16"/>
      <c r="DO48" s="16"/>
      <c r="DP48" s="16"/>
      <c r="DQ48" s="25"/>
      <c r="DR48" s="424"/>
      <c r="DS48" s="16"/>
      <c r="DT48" s="16"/>
      <c r="DU48" s="16"/>
      <c r="DV48" s="16"/>
      <c r="DW48" s="25"/>
      <c r="DX48" s="424"/>
      <c r="DY48" s="16"/>
      <c r="DZ48" s="16"/>
      <c r="EA48" s="16"/>
      <c r="EB48" s="16"/>
      <c r="EC48" s="16"/>
      <c r="ED48" s="25"/>
      <c r="EE48" s="424"/>
      <c r="EF48" s="16"/>
      <c r="EG48" s="16"/>
      <c r="EH48" s="16"/>
      <c r="EI48" s="16"/>
      <c r="EJ48" s="16"/>
      <c r="EK48" s="25"/>
      <c r="EL48" s="424"/>
      <c r="EM48" s="16"/>
      <c r="EN48" s="16"/>
      <c r="EO48" s="16"/>
      <c r="EP48" s="16"/>
      <c r="EQ48" s="16"/>
      <c r="ER48" s="25"/>
      <c r="ES48" s="424"/>
      <c r="ET48" s="16"/>
      <c r="EU48" s="16"/>
      <c r="EV48" s="16"/>
      <c r="EW48" s="16"/>
      <c r="EX48" s="16"/>
      <c r="EY48" s="25"/>
      <c r="EZ48" s="424"/>
      <c r="FA48" s="16"/>
      <c r="FB48" s="16"/>
      <c r="FC48" s="16"/>
      <c r="FD48" s="16"/>
      <c r="FE48" s="16"/>
      <c r="FF48" s="25"/>
      <c r="FG48" s="424"/>
      <c r="FH48" s="16"/>
      <c r="FI48" s="16"/>
      <c r="FJ48" s="16"/>
      <c r="FK48" s="16"/>
      <c r="FL48" s="16"/>
      <c r="FM48" s="25"/>
      <c r="FN48" s="424"/>
      <c r="FO48" s="16"/>
      <c r="FP48" s="16"/>
      <c r="FQ48" s="16"/>
      <c r="FR48" s="16"/>
      <c r="FS48" s="16"/>
      <c r="FT48" s="25"/>
      <c r="FU48" s="153"/>
      <c r="FV48" s="16"/>
      <c r="FW48" s="16"/>
      <c r="FX48" s="16"/>
      <c r="FY48" s="16"/>
      <c r="FZ48" s="16"/>
      <c r="GA48" s="25"/>
      <c r="GB48" s="424"/>
      <c r="GC48" s="16"/>
      <c r="GD48" s="16"/>
      <c r="GE48" s="16"/>
      <c r="GF48" s="16"/>
      <c r="GG48" s="16"/>
      <c r="GH48" s="25"/>
      <c r="GI48" s="153"/>
      <c r="GJ48" s="16"/>
      <c r="GK48" s="16"/>
      <c r="GL48" s="16"/>
      <c r="GM48" s="16"/>
      <c r="GN48" s="16"/>
      <c r="GO48" s="25"/>
      <c r="GP48" s="425"/>
      <c r="GQ48" s="16"/>
      <c r="GR48" s="16"/>
      <c r="GS48" s="16"/>
      <c r="GT48" s="16"/>
      <c r="GU48" s="16"/>
      <c r="GV48" s="25"/>
      <c r="GW48" s="151"/>
      <c r="GX48" s="16"/>
      <c r="GY48" s="16"/>
      <c r="GZ48" s="16"/>
      <c r="HA48" s="16"/>
      <c r="HB48" s="16"/>
      <c r="HC48" s="25"/>
      <c r="HD48" s="173"/>
      <c r="HE48" s="16"/>
      <c r="HF48" s="16"/>
      <c r="HG48" s="16"/>
      <c r="HH48" s="16"/>
      <c r="HI48" s="16"/>
      <c r="HJ48" s="25"/>
      <c r="HK48" s="173"/>
      <c r="HL48" s="16"/>
      <c r="HM48" s="16"/>
      <c r="HN48" s="16"/>
      <c r="HO48" s="16"/>
      <c r="HP48" s="16"/>
      <c r="HQ48" s="25"/>
      <c r="HR48" s="151"/>
      <c r="HS48" s="16"/>
      <c r="HT48" s="16"/>
      <c r="HU48" s="16"/>
      <c r="HV48" s="16"/>
      <c r="HW48" s="16"/>
      <c r="HX48" s="25"/>
      <c r="HY48" s="151"/>
      <c r="HZ48" s="16"/>
      <c r="IA48" s="16"/>
      <c r="IB48" s="16"/>
      <c r="IC48" s="16"/>
      <c r="ID48" s="16"/>
      <c r="IE48" s="25"/>
      <c r="IF48" s="178"/>
      <c r="IG48" s="16"/>
      <c r="IH48" s="16"/>
      <c r="II48" s="16"/>
      <c r="IJ48" s="16"/>
      <c r="IK48" s="16"/>
      <c r="IL48" s="25"/>
      <c r="IM48" s="151"/>
      <c r="IN48" s="16"/>
      <c r="IO48" s="16"/>
      <c r="IP48" s="16"/>
      <c r="IQ48" s="16"/>
      <c r="IR48" s="16"/>
      <c r="IS48" s="25"/>
      <c r="IT48" s="151"/>
      <c r="IU48" s="16"/>
      <c r="IV48" s="16"/>
      <c r="IW48" s="16"/>
      <c r="IX48" s="16"/>
      <c r="IY48" s="16"/>
      <c r="IZ48" s="25"/>
      <c r="JA48" s="151"/>
      <c r="JB48" s="16"/>
      <c r="JC48" s="16"/>
      <c r="JD48" s="16"/>
      <c r="JE48" s="16"/>
      <c r="JF48" s="16"/>
      <c r="JG48" s="25"/>
      <c r="JH48" s="151"/>
      <c r="JI48" s="16"/>
      <c r="JJ48" s="16"/>
      <c r="JK48" s="16"/>
      <c r="JL48" s="16"/>
      <c r="JM48" s="16"/>
      <c r="JN48" s="25"/>
      <c r="JO48" s="151"/>
      <c r="JP48" s="16"/>
      <c r="JQ48" s="16"/>
      <c r="JR48" s="16"/>
      <c r="JS48" s="16"/>
      <c r="JT48" s="16"/>
      <c r="JU48" s="25"/>
      <c r="JV48" s="423"/>
      <c r="JW48" s="16"/>
      <c r="JX48" s="16"/>
      <c r="JY48" s="16"/>
      <c r="JZ48" s="16"/>
      <c r="KA48" s="16"/>
      <c r="KB48" s="25"/>
      <c r="KC48" s="423"/>
      <c r="KD48" s="16"/>
      <c r="KE48" s="16"/>
      <c r="KF48" s="16"/>
      <c r="KG48" s="16"/>
      <c r="KH48" s="16"/>
      <c r="KI48" s="25"/>
      <c r="KJ48" s="423"/>
      <c r="KK48" s="16"/>
      <c r="KL48" s="16"/>
      <c r="KM48" s="16"/>
      <c r="KN48" s="16"/>
      <c r="KO48" s="16"/>
      <c r="KP48" s="25"/>
      <c r="KQ48" s="423"/>
      <c r="KR48" s="16"/>
      <c r="KS48" s="16"/>
      <c r="KT48" s="16"/>
      <c r="KU48" s="16"/>
      <c r="KV48" s="16"/>
      <c r="KW48" s="25"/>
      <c r="KX48" s="426"/>
      <c r="KY48" s="16"/>
      <c r="KZ48" s="16"/>
      <c r="LA48" s="16"/>
      <c r="LB48" s="16"/>
      <c r="LC48" s="16"/>
      <c r="LD48" s="25"/>
      <c r="LE48" s="426"/>
      <c r="LF48" s="16"/>
      <c r="LG48" s="16"/>
      <c r="LH48" s="16"/>
      <c r="LI48" s="16"/>
      <c r="LJ48" s="16"/>
      <c r="LK48" s="25"/>
      <c r="LL48" s="423"/>
      <c r="LM48" s="16"/>
      <c r="LN48" s="16"/>
      <c r="LO48" s="16"/>
      <c r="LP48" s="16"/>
      <c r="LQ48" s="16"/>
      <c r="LR48" s="25"/>
      <c r="LS48" s="426"/>
      <c r="LT48" s="16"/>
      <c r="LU48" s="16"/>
      <c r="LV48" s="16"/>
      <c r="LW48" s="16"/>
      <c r="LX48" s="16"/>
      <c r="LY48" s="25"/>
      <c r="LZ48" s="426"/>
      <c r="MA48" s="16"/>
      <c r="MB48" s="16"/>
      <c r="MC48" s="16"/>
      <c r="MD48" s="16"/>
      <c r="ME48" s="16"/>
      <c r="MF48" s="25"/>
      <c r="MG48" s="426"/>
      <c r="MH48" s="16"/>
      <c r="MI48" s="16"/>
      <c r="MJ48" s="16"/>
      <c r="MK48" s="16"/>
      <c r="ML48" s="16"/>
      <c r="MM48" s="25"/>
      <c r="MN48" s="426"/>
      <c r="MO48" s="16"/>
      <c r="MP48" s="16"/>
      <c r="MQ48" s="16"/>
      <c r="MR48" s="16"/>
      <c r="MS48" s="16"/>
      <c r="MT48" s="25"/>
      <c r="MU48" s="426"/>
      <c r="MV48" s="16"/>
      <c r="MW48" s="16"/>
      <c r="MX48" s="16"/>
      <c r="MY48" s="16"/>
      <c r="MZ48" s="16"/>
      <c r="NA48" s="25"/>
      <c r="NB48" s="427"/>
      <c r="NC48" s="417"/>
      <c r="ND48" s="417"/>
      <c r="NE48" s="417"/>
      <c r="NF48" s="417"/>
      <c r="NG48" s="417"/>
      <c r="NH48" s="417"/>
      <c r="NI48" s="417"/>
      <c r="NJ48" s="417"/>
      <c r="NK48" s="417"/>
      <c r="NL48" s="417"/>
      <c r="NM48" s="417"/>
      <c r="NN48" s="417"/>
      <c r="NO48" s="417"/>
      <c r="NP48" s="417"/>
      <c r="NQ48" s="417"/>
      <c r="NR48" s="417"/>
      <c r="NS48" s="417"/>
      <c r="NT48" s="417"/>
      <c r="NU48" s="417"/>
      <c r="NV48" s="417"/>
      <c r="NW48" s="417"/>
      <c r="NX48" s="417"/>
      <c r="NY48" s="417"/>
      <c r="NZ48" s="417"/>
      <c r="OA48" s="417"/>
      <c r="OB48" s="417"/>
      <c r="OC48" s="417"/>
      <c r="OD48" s="417"/>
      <c r="OE48" s="417"/>
      <c r="OF48" s="417"/>
      <c r="OG48" s="417"/>
      <c r="OH48" s="417"/>
      <c r="OI48" s="417"/>
      <c r="OJ48" s="417"/>
      <c r="OK48" s="417"/>
      <c r="OL48" s="417"/>
      <c r="OM48" s="417"/>
      <c r="ON48" s="417"/>
      <c r="OO48" s="417"/>
      <c r="OP48" s="417"/>
      <c r="OQ48" s="417"/>
      <c r="OR48" s="417"/>
      <c r="OS48" s="417"/>
      <c r="OT48" s="417"/>
      <c r="OU48" s="417"/>
      <c r="OV48" s="417"/>
      <c r="OW48" s="417"/>
      <c r="OX48" s="417"/>
      <c r="OY48" s="417"/>
      <c r="OZ48" s="417"/>
      <c r="PA48" s="417"/>
      <c r="PB48" s="417"/>
      <c r="PC48" s="417"/>
      <c r="PD48" s="417"/>
      <c r="PE48" s="417"/>
      <c r="PF48" s="417"/>
      <c r="PG48" s="417"/>
      <c r="PH48" s="417"/>
      <c r="PI48" s="417"/>
      <c r="PJ48" s="417"/>
      <c r="PK48" s="417"/>
      <c r="PL48" s="417"/>
      <c r="PM48" s="417"/>
      <c r="PN48" s="417"/>
      <c r="PO48" s="417"/>
      <c r="PP48" s="417"/>
      <c r="PQ48" s="417"/>
      <c r="PR48" s="417"/>
      <c r="PS48" s="417"/>
      <c r="PT48" s="417"/>
      <c r="PU48" s="417"/>
      <c r="PV48" s="417"/>
      <c r="PW48" s="417"/>
      <c r="PX48" s="417"/>
      <c r="PY48" s="417"/>
      <c r="PZ48" s="417"/>
      <c r="QA48" s="417"/>
      <c r="QB48" s="417"/>
      <c r="QC48" s="417"/>
      <c r="QD48" s="417"/>
      <c r="QE48" s="417"/>
      <c r="QF48" s="417"/>
      <c r="QG48" s="417"/>
      <c r="QH48" s="417"/>
      <c r="QI48" s="417"/>
      <c r="QJ48" s="417"/>
      <c r="QK48" s="417"/>
      <c r="QL48" s="417"/>
      <c r="QM48" s="417"/>
      <c r="QN48" s="417"/>
      <c r="QO48" s="417"/>
      <c r="QP48" s="417"/>
      <c r="QQ48" s="417"/>
      <c r="QR48" s="417"/>
      <c r="QS48" s="417"/>
      <c r="QT48" s="417"/>
      <c r="QU48" s="417"/>
      <c r="QV48" s="417"/>
      <c r="QW48" s="417"/>
      <c r="QX48" s="417"/>
      <c r="QY48" s="417"/>
      <c r="QZ48" s="417"/>
      <c r="RA48" s="417"/>
      <c r="RB48" s="417"/>
      <c r="RC48" s="417"/>
      <c r="RD48" s="417"/>
      <c r="RE48" s="417"/>
      <c r="RF48" s="417"/>
      <c r="RG48" s="417"/>
      <c r="RH48" s="417"/>
      <c r="RI48" s="417"/>
      <c r="RJ48" s="417"/>
      <c r="RK48" s="417"/>
      <c r="RL48" s="417"/>
      <c r="RM48" s="417"/>
      <c r="RN48" s="417"/>
      <c r="RO48" s="417"/>
      <c r="RP48" s="417"/>
      <c r="RQ48" s="417"/>
      <c r="RR48" s="417"/>
      <c r="RS48" s="417"/>
      <c r="RT48" s="417"/>
      <c r="RU48" s="417"/>
      <c r="RV48" s="417"/>
      <c r="RW48" s="417"/>
      <c r="RX48" s="417"/>
      <c r="RY48" s="417"/>
      <c r="RZ48" s="417"/>
      <c r="SA48" s="417"/>
      <c r="SB48" s="417"/>
      <c r="SC48" s="417"/>
      <c r="SD48" s="417"/>
      <c r="SE48" s="417"/>
      <c r="SF48" s="417"/>
      <c r="SG48" s="417"/>
      <c r="SH48" s="417"/>
      <c r="SI48" s="417"/>
      <c r="SJ48" s="417"/>
      <c r="SK48" s="417"/>
      <c r="SL48" s="417"/>
      <c r="SM48" s="417"/>
      <c r="SN48" s="417"/>
      <c r="SO48" s="417"/>
      <c r="SP48" s="417"/>
      <c r="SQ48" s="417"/>
      <c r="SR48" s="417"/>
      <c r="SS48" s="417"/>
      <c r="ST48" s="417"/>
      <c r="SU48" s="417"/>
      <c r="SV48" s="417"/>
      <c r="SW48" s="417"/>
      <c r="SX48" s="417"/>
      <c r="SY48" s="417"/>
      <c r="SZ48" s="417"/>
      <c r="TA48" s="417"/>
      <c r="TB48" s="417"/>
      <c r="TC48" s="417"/>
      <c r="TD48" s="417"/>
      <c r="TE48" s="417"/>
      <c r="TF48" s="417"/>
      <c r="TG48" s="417"/>
      <c r="TH48" s="417"/>
      <c r="TI48" s="417"/>
      <c r="TJ48" s="417"/>
      <c r="TK48" s="417"/>
      <c r="TL48" s="417"/>
      <c r="TM48" s="417"/>
      <c r="TN48" s="417"/>
      <c r="TO48" s="417"/>
      <c r="TP48" s="417"/>
      <c r="TQ48" s="417"/>
      <c r="TR48" s="417"/>
      <c r="TS48" s="417"/>
      <c r="TT48" s="417"/>
      <c r="TU48" s="417"/>
      <c r="TV48" s="417"/>
      <c r="TW48" s="417"/>
      <c r="TX48" s="417"/>
      <c r="TY48" s="417"/>
      <c r="TZ48" s="417"/>
      <c r="UA48" s="417"/>
      <c r="UB48" s="417"/>
      <c r="UC48" s="417"/>
      <c r="UD48" s="417"/>
      <c r="UE48" s="417"/>
      <c r="UF48" s="417"/>
      <c r="UG48" s="417"/>
      <c r="UH48" s="417"/>
      <c r="UI48" s="417"/>
      <c r="UJ48" s="417"/>
      <c r="UK48" s="417"/>
      <c r="UL48" s="417"/>
      <c r="UM48" s="417"/>
      <c r="UN48" s="417"/>
      <c r="UO48" s="417"/>
      <c r="UP48" s="417"/>
      <c r="UQ48" s="417"/>
      <c r="UR48" s="417"/>
      <c r="US48" s="417"/>
      <c r="UT48" s="417"/>
      <c r="UU48" s="417"/>
      <c r="UV48" s="417"/>
      <c r="UW48" s="417"/>
      <c r="UX48" s="417"/>
      <c r="UY48" s="417"/>
      <c r="UZ48" s="417"/>
      <c r="VA48" s="417"/>
      <c r="VB48" s="417"/>
      <c r="VC48" s="417"/>
      <c r="VD48" s="417"/>
      <c r="VE48" s="417"/>
      <c r="VF48" s="417"/>
      <c r="VG48" s="417"/>
      <c r="VH48" s="417"/>
      <c r="VI48" s="417"/>
      <c r="VJ48" s="417"/>
      <c r="VK48" s="417"/>
      <c r="VL48" s="417"/>
      <c r="VM48" s="417"/>
      <c r="VN48" s="417"/>
      <c r="VO48" s="417"/>
      <c r="VP48" s="417"/>
      <c r="VQ48" s="417"/>
      <c r="VR48" s="417"/>
      <c r="VS48" s="417"/>
      <c r="VT48" s="417"/>
      <c r="VU48" s="417"/>
      <c r="VV48" s="417"/>
      <c r="VW48" s="417"/>
      <c r="VX48" s="417"/>
      <c r="VY48" s="417"/>
      <c r="VZ48" s="417"/>
      <c r="WA48" s="417"/>
      <c r="WB48" s="417"/>
      <c r="WC48" s="417"/>
      <c r="WD48" s="417"/>
      <c r="WE48" s="417"/>
      <c r="WF48" s="417"/>
      <c r="WG48" s="417"/>
      <c r="WH48" s="417"/>
      <c r="WI48" s="417"/>
      <c r="WJ48" s="417"/>
      <c r="WK48" s="417"/>
      <c r="WL48" s="417"/>
      <c r="WM48" s="417"/>
      <c r="WN48" s="417"/>
      <c r="WO48" s="417"/>
      <c r="WP48" s="417"/>
      <c r="WQ48" s="417"/>
      <c r="WR48" s="417"/>
      <c r="WS48" s="417"/>
      <c r="WT48" s="417"/>
      <c r="WU48" s="417"/>
      <c r="WV48" s="417"/>
      <c r="WW48" s="417"/>
      <c r="WX48" s="417"/>
      <c r="WY48" s="417"/>
      <c r="WZ48" s="417"/>
      <c r="XA48" s="417"/>
      <c r="XB48" s="417"/>
      <c r="XC48" s="417"/>
      <c r="XD48" s="417"/>
      <c r="XE48" s="417"/>
      <c r="XF48" s="417"/>
      <c r="XG48" s="417"/>
      <c r="XH48" s="417"/>
      <c r="XI48" s="417"/>
      <c r="XJ48" s="417"/>
      <c r="XK48" s="417"/>
      <c r="XL48" s="417"/>
      <c r="XM48" s="417"/>
      <c r="XN48" s="417"/>
      <c r="XO48" s="417"/>
      <c r="XP48" s="417"/>
      <c r="XQ48" s="417"/>
      <c r="XR48" s="417"/>
      <c r="XS48" s="417"/>
      <c r="XT48" s="417"/>
      <c r="XU48" s="417"/>
      <c r="XV48" s="417"/>
      <c r="XW48" s="417"/>
      <c r="XX48" s="417"/>
      <c r="XY48" s="417"/>
      <c r="XZ48" s="417"/>
      <c r="YA48" s="417"/>
      <c r="YB48" s="417"/>
      <c r="YC48" s="417"/>
      <c r="YD48" s="417"/>
      <c r="YE48" s="417"/>
      <c r="YF48" s="417"/>
      <c r="YG48" s="417"/>
      <c r="YH48" s="417"/>
      <c r="YI48" s="417"/>
      <c r="YJ48" s="417"/>
      <c r="YK48" s="417"/>
      <c r="YL48" s="417"/>
      <c r="YM48" s="417"/>
      <c r="YN48" s="417"/>
      <c r="YO48" s="417"/>
      <c r="YP48" s="417"/>
      <c r="YQ48" s="417"/>
      <c r="YR48" s="417"/>
      <c r="YS48" s="417"/>
      <c r="YT48" s="417"/>
      <c r="YU48" s="417"/>
      <c r="YV48" s="417"/>
      <c r="YW48" s="417"/>
      <c r="YX48" s="417"/>
      <c r="YY48" s="417"/>
      <c r="YZ48" s="417"/>
      <c r="ZA48" s="417"/>
      <c r="ZB48" s="417"/>
      <c r="ZC48" s="417"/>
      <c r="ZD48" s="417"/>
      <c r="ZE48" s="417"/>
    </row>
    <row r="49" ht="21.0" customHeight="1">
      <c r="A49" s="429"/>
      <c r="B49" s="414"/>
      <c r="C49" s="16"/>
      <c r="D49" s="16"/>
      <c r="E49" s="16"/>
      <c r="F49" s="16"/>
      <c r="G49" s="16"/>
      <c r="H49" s="25"/>
      <c r="I49" s="106"/>
      <c r="J49" s="16"/>
      <c r="K49" s="16"/>
      <c r="L49" s="16"/>
      <c r="M49" s="16"/>
      <c r="N49" s="16"/>
      <c r="O49" s="25"/>
      <c r="P49" s="106"/>
      <c r="Q49" s="16"/>
      <c r="R49" s="16"/>
      <c r="S49" s="16"/>
      <c r="T49" s="16"/>
      <c r="U49" s="16"/>
      <c r="V49" s="25"/>
      <c r="W49" s="108"/>
      <c r="X49" s="16"/>
      <c r="Y49" s="16"/>
      <c r="Z49" s="16"/>
      <c r="AA49" s="16"/>
      <c r="AB49" s="16"/>
      <c r="AC49" s="25"/>
      <c r="AD49" s="108"/>
      <c r="AE49" s="16"/>
      <c r="AF49" s="16"/>
      <c r="AG49" s="16"/>
      <c r="AH49" s="16"/>
      <c r="AI49" s="16"/>
      <c r="AJ49" s="25"/>
      <c r="AK49" s="108" t="s">
        <v>1990</v>
      </c>
      <c r="AL49" s="16"/>
      <c r="AM49" s="16"/>
      <c r="AN49" s="16"/>
      <c r="AO49" s="16"/>
      <c r="AP49" s="16"/>
      <c r="AQ49" s="25"/>
      <c r="AR49" s="108"/>
      <c r="AS49" s="16"/>
      <c r="AT49" s="16"/>
      <c r="AU49" s="16"/>
      <c r="AV49" s="16"/>
      <c r="AW49" s="16"/>
      <c r="AX49" s="25"/>
      <c r="AY49" s="108"/>
      <c r="AZ49" s="16"/>
      <c r="BA49" s="16"/>
      <c r="BB49" s="16"/>
      <c r="BC49" s="16"/>
      <c r="BD49" s="16"/>
      <c r="BE49" s="25"/>
      <c r="BF49" s="108"/>
      <c r="BG49" s="16"/>
      <c r="BH49" s="16"/>
      <c r="BI49" s="16"/>
      <c r="BJ49" s="16"/>
      <c r="BK49" s="16"/>
      <c r="BL49" s="25"/>
      <c r="BM49" s="420" t="s">
        <v>1993</v>
      </c>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25"/>
      <c r="CO49" s="108"/>
      <c r="CP49" s="16"/>
      <c r="CQ49" s="16"/>
      <c r="CR49" s="16"/>
      <c r="CS49" s="16"/>
      <c r="CT49" s="16"/>
      <c r="CU49" s="25"/>
      <c r="CV49" s="423"/>
      <c r="CW49" s="16"/>
      <c r="CX49" s="16"/>
      <c r="CY49" s="16"/>
      <c r="CZ49" s="16"/>
      <c r="DA49" s="16"/>
      <c r="DB49" s="25"/>
      <c r="DC49" s="424"/>
      <c r="DD49" s="16"/>
      <c r="DE49" s="16"/>
      <c r="DF49" s="16"/>
      <c r="DG49" s="16"/>
      <c r="DH49" s="16"/>
      <c r="DI49" s="25"/>
      <c r="DJ49" s="424"/>
      <c r="DK49" s="16"/>
      <c r="DL49" s="16"/>
      <c r="DM49" s="16"/>
      <c r="DN49" s="16"/>
      <c r="DO49" s="16"/>
      <c r="DP49" s="16"/>
      <c r="DQ49" s="25"/>
      <c r="DR49" s="424"/>
      <c r="DS49" s="16"/>
      <c r="DT49" s="16"/>
      <c r="DU49" s="16"/>
      <c r="DV49" s="16"/>
      <c r="DW49" s="25"/>
      <c r="DX49" s="424"/>
      <c r="DY49" s="16"/>
      <c r="DZ49" s="16"/>
      <c r="EA49" s="16"/>
      <c r="EB49" s="16"/>
      <c r="EC49" s="16"/>
      <c r="ED49" s="25"/>
      <c r="EE49" s="424"/>
      <c r="EF49" s="16"/>
      <c r="EG49" s="16"/>
      <c r="EH49" s="16"/>
      <c r="EI49" s="16"/>
      <c r="EJ49" s="16"/>
      <c r="EK49" s="25"/>
      <c r="EL49" s="424"/>
      <c r="EM49" s="16"/>
      <c r="EN49" s="16"/>
      <c r="EO49" s="16"/>
      <c r="EP49" s="16"/>
      <c r="EQ49" s="16"/>
      <c r="ER49" s="25"/>
      <c r="ES49" s="424"/>
      <c r="ET49" s="16"/>
      <c r="EU49" s="16"/>
      <c r="EV49" s="16"/>
      <c r="EW49" s="16"/>
      <c r="EX49" s="16"/>
      <c r="EY49" s="25"/>
      <c r="EZ49" s="424"/>
      <c r="FA49" s="16"/>
      <c r="FB49" s="16"/>
      <c r="FC49" s="16"/>
      <c r="FD49" s="16"/>
      <c r="FE49" s="16"/>
      <c r="FF49" s="25"/>
      <c r="FG49" s="424"/>
      <c r="FH49" s="16"/>
      <c r="FI49" s="16"/>
      <c r="FJ49" s="16"/>
      <c r="FK49" s="16"/>
      <c r="FL49" s="16"/>
      <c r="FM49" s="25"/>
      <c r="FN49" s="424"/>
      <c r="FO49" s="16"/>
      <c r="FP49" s="16"/>
      <c r="FQ49" s="16"/>
      <c r="FR49" s="16"/>
      <c r="FS49" s="16"/>
      <c r="FT49" s="25"/>
      <c r="FU49" s="153"/>
      <c r="FV49" s="16"/>
      <c r="FW49" s="16"/>
      <c r="FX49" s="16"/>
      <c r="FY49" s="16"/>
      <c r="FZ49" s="16"/>
      <c r="GA49" s="25"/>
      <c r="GB49" s="424"/>
      <c r="GC49" s="16"/>
      <c r="GD49" s="16"/>
      <c r="GE49" s="16"/>
      <c r="GF49" s="16"/>
      <c r="GG49" s="16"/>
      <c r="GH49" s="25"/>
      <c r="GI49" s="153"/>
      <c r="GJ49" s="16"/>
      <c r="GK49" s="16"/>
      <c r="GL49" s="16"/>
      <c r="GM49" s="16"/>
      <c r="GN49" s="16"/>
      <c r="GO49" s="25"/>
      <c r="GP49" s="425"/>
      <c r="GQ49" s="16"/>
      <c r="GR49" s="16"/>
      <c r="GS49" s="16"/>
      <c r="GT49" s="16"/>
      <c r="GU49" s="16"/>
      <c r="GV49" s="25"/>
      <c r="GW49" s="151"/>
      <c r="GX49" s="16"/>
      <c r="GY49" s="16"/>
      <c r="GZ49" s="16"/>
      <c r="HA49" s="16"/>
      <c r="HB49" s="16"/>
      <c r="HC49" s="25"/>
      <c r="HD49" s="173"/>
      <c r="HE49" s="16"/>
      <c r="HF49" s="16"/>
      <c r="HG49" s="16"/>
      <c r="HH49" s="16"/>
      <c r="HI49" s="16"/>
      <c r="HJ49" s="25"/>
      <c r="HK49" s="173"/>
      <c r="HL49" s="16"/>
      <c r="HM49" s="16"/>
      <c r="HN49" s="16"/>
      <c r="HO49" s="16"/>
      <c r="HP49" s="16"/>
      <c r="HQ49" s="25"/>
      <c r="HR49" s="151"/>
      <c r="HS49" s="16"/>
      <c r="HT49" s="16"/>
      <c r="HU49" s="16"/>
      <c r="HV49" s="16"/>
      <c r="HW49" s="16"/>
      <c r="HX49" s="25"/>
      <c r="HY49" s="151"/>
      <c r="HZ49" s="16"/>
      <c r="IA49" s="16"/>
      <c r="IB49" s="16"/>
      <c r="IC49" s="16"/>
      <c r="ID49" s="16"/>
      <c r="IE49" s="25"/>
      <c r="IF49" s="178"/>
      <c r="IG49" s="16"/>
      <c r="IH49" s="16"/>
      <c r="II49" s="16"/>
      <c r="IJ49" s="16"/>
      <c r="IK49" s="16"/>
      <c r="IL49" s="25"/>
      <c r="IM49" s="151"/>
      <c r="IN49" s="16"/>
      <c r="IO49" s="16"/>
      <c r="IP49" s="16"/>
      <c r="IQ49" s="16"/>
      <c r="IR49" s="16"/>
      <c r="IS49" s="25"/>
      <c r="IT49" s="151"/>
      <c r="IU49" s="16"/>
      <c r="IV49" s="16"/>
      <c r="IW49" s="16"/>
      <c r="IX49" s="16"/>
      <c r="IY49" s="16"/>
      <c r="IZ49" s="25"/>
      <c r="JA49" s="151"/>
      <c r="JB49" s="16"/>
      <c r="JC49" s="16"/>
      <c r="JD49" s="16"/>
      <c r="JE49" s="16"/>
      <c r="JF49" s="16"/>
      <c r="JG49" s="25"/>
      <c r="JH49" s="151"/>
      <c r="JI49" s="16"/>
      <c r="JJ49" s="16"/>
      <c r="JK49" s="16"/>
      <c r="JL49" s="16"/>
      <c r="JM49" s="16"/>
      <c r="JN49" s="25"/>
      <c r="JO49" s="151"/>
      <c r="JP49" s="16"/>
      <c r="JQ49" s="16"/>
      <c r="JR49" s="16"/>
      <c r="JS49" s="16"/>
      <c r="JT49" s="16"/>
      <c r="JU49" s="25"/>
      <c r="JV49" s="423"/>
      <c r="JW49" s="16"/>
      <c r="JX49" s="16"/>
      <c r="JY49" s="16"/>
      <c r="JZ49" s="16"/>
      <c r="KA49" s="16"/>
      <c r="KB49" s="25"/>
      <c r="KC49" s="423"/>
      <c r="KD49" s="16"/>
      <c r="KE49" s="16"/>
      <c r="KF49" s="16"/>
      <c r="KG49" s="16"/>
      <c r="KH49" s="16"/>
      <c r="KI49" s="25"/>
      <c r="KJ49" s="423"/>
      <c r="KK49" s="16"/>
      <c r="KL49" s="16"/>
      <c r="KM49" s="16"/>
      <c r="KN49" s="16"/>
      <c r="KO49" s="16"/>
      <c r="KP49" s="25"/>
      <c r="KQ49" s="423"/>
      <c r="KR49" s="16"/>
      <c r="KS49" s="16"/>
      <c r="KT49" s="16"/>
      <c r="KU49" s="16"/>
      <c r="KV49" s="16"/>
      <c r="KW49" s="25"/>
      <c r="KX49" s="426"/>
      <c r="KY49" s="16"/>
      <c r="KZ49" s="16"/>
      <c r="LA49" s="16"/>
      <c r="LB49" s="16"/>
      <c r="LC49" s="16"/>
      <c r="LD49" s="25"/>
      <c r="LE49" s="426"/>
      <c r="LF49" s="16"/>
      <c r="LG49" s="16"/>
      <c r="LH49" s="16"/>
      <c r="LI49" s="16"/>
      <c r="LJ49" s="16"/>
      <c r="LK49" s="25"/>
      <c r="LL49" s="423"/>
      <c r="LM49" s="16"/>
      <c r="LN49" s="16"/>
      <c r="LO49" s="16"/>
      <c r="LP49" s="16"/>
      <c r="LQ49" s="16"/>
      <c r="LR49" s="25"/>
      <c r="LS49" s="426"/>
      <c r="LT49" s="16"/>
      <c r="LU49" s="16"/>
      <c r="LV49" s="16"/>
      <c r="LW49" s="16"/>
      <c r="LX49" s="16"/>
      <c r="LY49" s="25"/>
      <c r="LZ49" s="426"/>
      <c r="MA49" s="16"/>
      <c r="MB49" s="16"/>
      <c r="MC49" s="16"/>
      <c r="MD49" s="16"/>
      <c r="ME49" s="16"/>
      <c r="MF49" s="25"/>
      <c r="MG49" s="426"/>
      <c r="MH49" s="16"/>
      <c r="MI49" s="16"/>
      <c r="MJ49" s="16"/>
      <c r="MK49" s="16"/>
      <c r="ML49" s="16"/>
      <c r="MM49" s="25"/>
      <c r="MN49" s="426"/>
      <c r="MO49" s="16"/>
      <c r="MP49" s="16"/>
      <c r="MQ49" s="16"/>
      <c r="MR49" s="16"/>
      <c r="MS49" s="16"/>
      <c r="MT49" s="25"/>
      <c r="MU49" s="426"/>
      <c r="MV49" s="16"/>
      <c r="MW49" s="16"/>
      <c r="MX49" s="16"/>
      <c r="MY49" s="16"/>
      <c r="MZ49" s="16"/>
      <c r="NA49" s="25"/>
      <c r="NB49" s="42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QT49" s="417"/>
      <c r="QU49" s="417"/>
      <c r="QV49" s="417"/>
      <c r="QW49" s="417"/>
      <c r="QX49" s="417"/>
      <c r="QY49" s="417"/>
      <c r="QZ49" s="417"/>
      <c r="RA49" s="417"/>
      <c r="RB49" s="417"/>
      <c r="RC49" s="417"/>
      <c r="RD49" s="417"/>
      <c r="RE49" s="417"/>
      <c r="RF49" s="417"/>
      <c r="RG49" s="417"/>
      <c r="RH49" s="417"/>
      <c r="RI49" s="417"/>
      <c r="RJ49" s="417"/>
      <c r="RK49" s="417"/>
      <c r="RL49" s="417"/>
      <c r="RM49" s="417"/>
      <c r="RN49" s="417"/>
      <c r="RO49" s="417"/>
      <c r="RP49" s="417"/>
      <c r="RQ49" s="417"/>
      <c r="RR49" s="417"/>
      <c r="RS49" s="417"/>
      <c r="RT49" s="417"/>
      <c r="RU49" s="417"/>
      <c r="RV49" s="417"/>
      <c r="RW49" s="417"/>
      <c r="RX49" s="417"/>
      <c r="RY49" s="417"/>
      <c r="RZ49" s="417"/>
      <c r="SA49" s="417"/>
      <c r="SB49" s="417"/>
      <c r="SC49" s="417"/>
      <c r="SD49" s="417"/>
      <c r="SE49" s="417"/>
      <c r="SF49" s="417"/>
      <c r="SG49" s="417"/>
      <c r="SH49" s="417"/>
      <c r="SI49" s="417"/>
      <c r="SJ49" s="417"/>
      <c r="SK49" s="417"/>
      <c r="SL49" s="417"/>
      <c r="SM49" s="417"/>
      <c r="SN49" s="417"/>
      <c r="SO49" s="417"/>
      <c r="SP49" s="417"/>
      <c r="SQ49" s="417"/>
      <c r="SR49" s="417"/>
      <c r="SS49" s="417"/>
      <c r="ST49" s="417"/>
      <c r="SU49" s="417"/>
      <c r="SV49" s="417"/>
      <c r="SW49" s="417"/>
      <c r="SX49" s="417"/>
      <c r="SY49" s="417"/>
      <c r="SZ49" s="417"/>
      <c r="TA49" s="417"/>
      <c r="TB49" s="417"/>
      <c r="TC49" s="417"/>
      <c r="TD49" s="417"/>
      <c r="TE49" s="417"/>
      <c r="TF49" s="417"/>
      <c r="TG49" s="417"/>
      <c r="TH49" s="417"/>
      <c r="TI49" s="417"/>
      <c r="TJ49" s="417"/>
      <c r="TK49" s="417"/>
      <c r="TL49" s="417"/>
      <c r="TM49" s="417"/>
      <c r="TN49" s="417"/>
      <c r="TO49" s="417"/>
      <c r="TP49" s="417"/>
      <c r="TQ49" s="417"/>
      <c r="TR49" s="417"/>
      <c r="TS49" s="417"/>
      <c r="TT49" s="417"/>
      <c r="TU49" s="417"/>
      <c r="TV49" s="417"/>
      <c r="TW49" s="417"/>
      <c r="TX49" s="417"/>
      <c r="TY49" s="417"/>
      <c r="TZ49" s="417"/>
      <c r="UA49" s="417"/>
      <c r="UB49" s="417"/>
      <c r="UC49" s="417"/>
      <c r="UD49" s="417"/>
      <c r="UE49" s="417"/>
      <c r="UF49" s="417"/>
      <c r="UG49" s="417"/>
      <c r="UH49" s="417"/>
      <c r="UI49" s="417"/>
      <c r="UJ49" s="417"/>
      <c r="UK49" s="417"/>
      <c r="UL49" s="417"/>
      <c r="UM49" s="417"/>
      <c r="UN49" s="417"/>
      <c r="UO49" s="417"/>
      <c r="UP49" s="417"/>
      <c r="UQ49" s="417"/>
      <c r="UR49" s="417"/>
      <c r="US49" s="417"/>
      <c r="UT49" s="417"/>
      <c r="UU49" s="417"/>
      <c r="UV49" s="417"/>
      <c r="UW49" s="417"/>
      <c r="UX49" s="417"/>
      <c r="UY49" s="417"/>
      <c r="UZ49" s="417"/>
      <c r="VA49" s="417"/>
      <c r="VB49" s="417"/>
      <c r="VC49" s="417"/>
      <c r="VD49" s="417"/>
      <c r="VE49" s="417"/>
      <c r="VF49" s="417"/>
      <c r="VG49" s="417"/>
      <c r="VH49" s="417"/>
      <c r="VI49" s="417"/>
      <c r="VJ49" s="417"/>
      <c r="VK49" s="417"/>
      <c r="VL49" s="417"/>
      <c r="VM49" s="417"/>
      <c r="VN49" s="417"/>
      <c r="VO49" s="417"/>
      <c r="VP49" s="417"/>
      <c r="VQ49" s="417"/>
      <c r="VR49" s="417"/>
      <c r="VS49" s="417"/>
      <c r="VT49" s="417"/>
      <c r="VU49" s="417"/>
      <c r="VV49" s="417"/>
      <c r="VW49" s="417"/>
      <c r="VX49" s="417"/>
      <c r="VY49" s="417"/>
      <c r="VZ49" s="417"/>
      <c r="WA49" s="417"/>
      <c r="WB49" s="417"/>
      <c r="WC49" s="417"/>
      <c r="WD49" s="417"/>
      <c r="WE49" s="417"/>
      <c r="WF49" s="417"/>
      <c r="WG49" s="417"/>
      <c r="WH49" s="417"/>
      <c r="WI49" s="417"/>
      <c r="WJ49" s="417"/>
      <c r="WK49" s="417"/>
      <c r="WL49" s="417"/>
      <c r="WM49" s="417"/>
      <c r="WN49" s="417"/>
      <c r="WO49" s="417"/>
      <c r="WP49" s="417"/>
      <c r="WQ49" s="417"/>
      <c r="WR49" s="417"/>
      <c r="WS49" s="417"/>
      <c r="WT49" s="417"/>
      <c r="WU49" s="417"/>
      <c r="WV49" s="417"/>
      <c r="WW49" s="417"/>
      <c r="WX49" s="417"/>
      <c r="WY49" s="417"/>
      <c r="WZ49" s="417"/>
      <c r="XA49" s="417"/>
      <c r="XB49" s="417"/>
      <c r="XC49" s="417"/>
      <c r="XD49" s="417"/>
      <c r="XE49" s="417"/>
      <c r="XF49" s="417"/>
      <c r="XG49" s="417"/>
      <c r="XH49" s="417"/>
      <c r="XI49" s="417"/>
      <c r="XJ49" s="417"/>
      <c r="XK49" s="417"/>
      <c r="XL49" s="417"/>
      <c r="XM49" s="417"/>
      <c r="XN49" s="417"/>
      <c r="XO49" s="417"/>
      <c r="XP49" s="417"/>
      <c r="XQ49" s="417"/>
      <c r="XR49" s="417"/>
      <c r="XS49" s="417"/>
      <c r="XT49" s="417"/>
      <c r="XU49" s="417"/>
      <c r="XV49" s="417"/>
      <c r="XW49" s="417"/>
      <c r="XX49" s="417"/>
      <c r="XY49" s="417"/>
      <c r="XZ49" s="417"/>
      <c r="YA49" s="417"/>
      <c r="YB49" s="417"/>
      <c r="YC49" s="417"/>
      <c r="YD49" s="417"/>
      <c r="YE49" s="417"/>
      <c r="YF49" s="417"/>
      <c r="YG49" s="417"/>
      <c r="YH49" s="417"/>
      <c r="YI49" s="417"/>
      <c r="YJ49" s="417"/>
      <c r="YK49" s="417"/>
      <c r="YL49" s="417"/>
      <c r="YM49" s="417"/>
      <c r="YN49" s="417"/>
      <c r="YO49" s="417"/>
      <c r="YP49" s="417"/>
      <c r="YQ49" s="417"/>
      <c r="YR49" s="417"/>
      <c r="YS49" s="417"/>
      <c r="YT49" s="417"/>
      <c r="YU49" s="417"/>
      <c r="YV49" s="417"/>
      <c r="YW49" s="417"/>
      <c r="YX49" s="417"/>
      <c r="YY49" s="417"/>
      <c r="YZ49" s="417"/>
      <c r="ZA49" s="417"/>
      <c r="ZB49" s="417"/>
      <c r="ZC49" s="417"/>
      <c r="ZD49" s="417"/>
      <c r="ZE49" s="417"/>
    </row>
    <row r="50" ht="53.25" customHeight="1">
      <c r="A50" s="413" t="s">
        <v>761</v>
      </c>
      <c r="B50" s="414" t="s">
        <v>1994</v>
      </c>
      <c r="C50" s="16"/>
      <c r="D50" s="16"/>
      <c r="E50" s="16"/>
      <c r="F50" s="16"/>
      <c r="G50" s="16"/>
      <c r="H50" s="25"/>
      <c r="I50" s="106" t="s">
        <v>1446</v>
      </c>
      <c r="J50" s="16"/>
      <c r="K50" s="16"/>
      <c r="L50" s="16"/>
      <c r="M50" s="16"/>
      <c r="N50" s="16"/>
      <c r="O50" s="25"/>
      <c r="P50" s="106" t="s">
        <v>1446</v>
      </c>
      <c r="Q50" s="16"/>
      <c r="R50" s="16"/>
      <c r="S50" s="16"/>
      <c r="T50" s="16"/>
      <c r="U50" s="16"/>
      <c r="V50" s="25"/>
      <c r="W50" s="108" t="s">
        <v>1207</v>
      </c>
      <c r="X50" s="16"/>
      <c r="Y50" s="16"/>
      <c r="Z50" s="16"/>
      <c r="AA50" s="16"/>
      <c r="AB50" s="16"/>
      <c r="AC50" s="25"/>
      <c r="AD50" s="108" t="s">
        <v>1995</v>
      </c>
      <c r="AE50" s="16"/>
      <c r="AF50" s="16"/>
      <c r="AG50" s="16"/>
      <c r="AH50" s="16"/>
      <c r="AI50" s="16"/>
      <c r="AJ50" s="25"/>
      <c r="AK50" s="108" t="s">
        <v>1875</v>
      </c>
      <c r="AL50" s="16"/>
      <c r="AM50" s="16"/>
      <c r="AN50" s="16"/>
      <c r="AO50" s="16"/>
      <c r="AP50" s="16"/>
      <c r="AQ50" s="25"/>
      <c r="AR50" s="108" t="s">
        <v>1875</v>
      </c>
      <c r="AS50" s="16"/>
      <c r="AT50" s="16"/>
      <c r="AU50" s="16"/>
      <c r="AV50" s="16"/>
      <c r="AW50" s="16"/>
      <c r="AX50" s="25"/>
      <c r="AY50" s="108" t="s">
        <v>1996</v>
      </c>
      <c r="AZ50" s="16"/>
      <c r="BA50" s="16"/>
      <c r="BB50" s="16"/>
      <c r="BC50" s="16"/>
      <c r="BD50" s="16"/>
      <c r="BE50" s="25"/>
      <c r="BF50" s="108" t="s">
        <v>1254</v>
      </c>
      <c r="BG50" s="16"/>
      <c r="BH50" s="16"/>
      <c r="BI50" s="16"/>
      <c r="BJ50" s="16"/>
      <c r="BK50" s="16"/>
      <c r="BL50" s="25"/>
      <c r="BM50" s="423" t="s">
        <v>1998</v>
      </c>
      <c r="BN50" s="16"/>
      <c r="BO50" s="16"/>
      <c r="BP50" s="16"/>
      <c r="BQ50" s="16"/>
      <c r="BR50" s="16"/>
      <c r="BS50" s="25"/>
      <c r="BT50" s="108" t="s">
        <v>1999</v>
      </c>
      <c r="BU50" s="16"/>
      <c r="BV50" s="16"/>
      <c r="BW50" s="16"/>
      <c r="BX50" s="16"/>
      <c r="BY50" s="16"/>
      <c r="BZ50" s="25"/>
      <c r="CA50" s="108" t="s">
        <v>635</v>
      </c>
      <c r="CB50" s="16"/>
      <c r="CC50" s="16"/>
      <c r="CD50" s="16"/>
      <c r="CE50" s="16"/>
      <c r="CF50" s="16"/>
      <c r="CG50" s="25"/>
      <c r="CH50" s="191" t="s">
        <v>730</v>
      </c>
      <c r="CI50" s="16"/>
      <c r="CJ50" s="16"/>
      <c r="CK50" s="16"/>
      <c r="CL50" s="16"/>
      <c r="CM50" s="16"/>
      <c r="CN50" s="25"/>
      <c r="CO50" s="108" t="s">
        <v>1207</v>
      </c>
      <c r="CP50" s="16"/>
      <c r="CQ50" s="16"/>
      <c r="CR50" s="16"/>
      <c r="CS50" s="16"/>
      <c r="CT50" s="16"/>
      <c r="CU50" s="25"/>
      <c r="CV50" s="423"/>
      <c r="CW50" s="16"/>
      <c r="CX50" s="16"/>
      <c r="CY50" s="16"/>
      <c r="CZ50" s="16"/>
      <c r="DA50" s="16"/>
      <c r="DB50" s="25"/>
      <c r="DC50" s="106" t="s">
        <v>2002</v>
      </c>
      <c r="DD50" s="16"/>
      <c r="DE50" s="16"/>
      <c r="DF50" s="16"/>
      <c r="DG50" s="16"/>
      <c r="DH50" s="16"/>
      <c r="DI50" s="25"/>
      <c r="DJ50" s="424"/>
      <c r="DK50" s="16"/>
      <c r="DL50" s="16"/>
      <c r="DM50" s="16"/>
      <c r="DN50" s="16"/>
      <c r="DO50" s="16"/>
      <c r="DP50" s="16"/>
      <c r="DQ50" s="25"/>
      <c r="DR50" s="424" t="s">
        <v>1969</v>
      </c>
      <c r="DS50" s="16"/>
      <c r="DT50" s="16"/>
      <c r="DU50" s="16"/>
      <c r="DV50" s="16"/>
      <c r="DW50" s="25"/>
      <c r="DX50" s="424" t="s">
        <v>1840</v>
      </c>
      <c r="DY50" s="16"/>
      <c r="DZ50" s="16"/>
      <c r="EA50" s="16"/>
      <c r="EB50" s="16"/>
      <c r="EC50" s="16"/>
      <c r="ED50" s="25"/>
      <c r="EE50" s="424" t="s">
        <v>849</v>
      </c>
      <c r="EF50" s="16"/>
      <c r="EG50" s="16"/>
      <c r="EH50" s="16"/>
      <c r="EI50" s="16"/>
      <c r="EJ50" s="16"/>
      <c r="EK50" s="25"/>
      <c r="EL50" s="424" t="s">
        <v>1970</v>
      </c>
      <c r="EM50" s="16"/>
      <c r="EN50" s="16"/>
      <c r="EO50" s="16"/>
      <c r="EP50" s="16"/>
      <c r="EQ50" s="16"/>
      <c r="ER50" s="25"/>
      <c r="ES50" s="424" t="s">
        <v>1971</v>
      </c>
      <c r="ET50" s="16"/>
      <c r="EU50" s="16"/>
      <c r="EV50" s="16"/>
      <c r="EW50" s="16"/>
      <c r="EX50" s="16"/>
      <c r="EY50" s="25"/>
      <c r="EZ50" s="424"/>
      <c r="FA50" s="16"/>
      <c r="FB50" s="16"/>
      <c r="FC50" s="16"/>
      <c r="FD50" s="16"/>
      <c r="FE50" s="16"/>
      <c r="FF50" s="25"/>
      <c r="FG50" s="424" t="s">
        <v>1844</v>
      </c>
      <c r="FH50" s="16"/>
      <c r="FI50" s="16"/>
      <c r="FJ50" s="16"/>
      <c r="FK50" s="16"/>
      <c r="FL50" s="16"/>
      <c r="FM50" s="25"/>
      <c r="FN50" s="424" t="s">
        <v>1972</v>
      </c>
      <c r="FO50" s="16"/>
      <c r="FP50" s="16"/>
      <c r="FQ50" s="16"/>
      <c r="FR50" s="16"/>
      <c r="FS50" s="16"/>
      <c r="FT50" s="25"/>
      <c r="FU50" s="153" t="s">
        <v>643</v>
      </c>
      <c r="FV50" s="16"/>
      <c r="FW50" s="16"/>
      <c r="FX50" s="16"/>
      <c r="FY50" s="16"/>
      <c r="FZ50" s="16"/>
      <c r="GA50" s="25"/>
      <c r="GB50" s="424" t="s">
        <v>1973</v>
      </c>
      <c r="GC50" s="16"/>
      <c r="GD50" s="16"/>
      <c r="GE50" s="16"/>
      <c r="GF50" s="16"/>
      <c r="GG50" s="16"/>
      <c r="GH50" s="25"/>
      <c r="GI50" s="153" t="s">
        <v>872</v>
      </c>
      <c r="GJ50" s="16"/>
      <c r="GK50" s="16"/>
      <c r="GL50" s="16"/>
      <c r="GM50" s="16"/>
      <c r="GN50" s="16"/>
      <c r="GO50" s="25"/>
      <c r="GP50" s="425" t="s">
        <v>1974</v>
      </c>
      <c r="GQ50" s="16"/>
      <c r="GR50" s="16"/>
      <c r="GS50" s="16"/>
      <c r="GT50" s="16"/>
      <c r="GU50" s="16"/>
      <c r="GV50" s="25"/>
      <c r="GW50" s="151" t="s">
        <v>1975</v>
      </c>
      <c r="GX50" s="16"/>
      <c r="GY50" s="16"/>
      <c r="GZ50" s="16"/>
      <c r="HA50" s="16"/>
      <c r="HB50" s="16"/>
      <c r="HC50" s="25"/>
      <c r="HD50" s="173"/>
      <c r="HE50" s="16"/>
      <c r="HF50" s="16"/>
      <c r="HG50" s="16"/>
      <c r="HH50" s="16"/>
      <c r="HI50" s="16"/>
      <c r="HJ50" s="25"/>
      <c r="HK50" s="173" t="s">
        <v>1976</v>
      </c>
      <c r="HL50" s="16"/>
      <c r="HM50" s="16"/>
      <c r="HN50" s="16"/>
      <c r="HO50" s="16"/>
      <c r="HP50" s="16"/>
      <c r="HQ50" s="25"/>
      <c r="HR50" s="151"/>
      <c r="HS50" s="16"/>
      <c r="HT50" s="16"/>
      <c r="HU50" s="16"/>
      <c r="HV50" s="16"/>
      <c r="HW50" s="16"/>
      <c r="HX50" s="25"/>
      <c r="HY50" s="151" t="s">
        <v>1977</v>
      </c>
      <c r="HZ50" s="16"/>
      <c r="IA50" s="16"/>
      <c r="IB50" s="16"/>
      <c r="IC50" s="16"/>
      <c r="ID50" s="16"/>
      <c r="IE50" s="25"/>
      <c r="IF50" s="178" t="s">
        <v>1978</v>
      </c>
      <c r="IG50" s="16"/>
      <c r="IH50" s="16"/>
      <c r="II50" s="16"/>
      <c r="IJ50" s="16"/>
      <c r="IK50" s="16"/>
      <c r="IL50" s="25"/>
      <c r="IM50" s="151" t="s">
        <v>1979</v>
      </c>
      <c r="IN50" s="16"/>
      <c r="IO50" s="16"/>
      <c r="IP50" s="16"/>
      <c r="IQ50" s="16"/>
      <c r="IR50" s="16"/>
      <c r="IS50" s="25"/>
      <c r="IT50" s="151" t="s">
        <v>1980</v>
      </c>
      <c r="IU50" s="16"/>
      <c r="IV50" s="16"/>
      <c r="IW50" s="16"/>
      <c r="IX50" s="16"/>
      <c r="IY50" s="16"/>
      <c r="IZ50" s="25"/>
      <c r="JA50" s="151" t="s">
        <v>1981</v>
      </c>
      <c r="JB50" s="16"/>
      <c r="JC50" s="16"/>
      <c r="JD50" s="16"/>
      <c r="JE50" s="16"/>
      <c r="JF50" s="16"/>
      <c r="JG50" s="25"/>
      <c r="JH50" s="151" t="s">
        <v>1982</v>
      </c>
      <c r="JI50" s="16"/>
      <c r="JJ50" s="16"/>
      <c r="JK50" s="16"/>
      <c r="JL50" s="16"/>
      <c r="JM50" s="16"/>
      <c r="JN50" s="25"/>
      <c r="JO50" s="443" t="s">
        <v>1983</v>
      </c>
      <c r="JP50" s="444"/>
      <c r="JQ50" s="444"/>
      <c r="JR50" s="444"/>
      <c r="JS50" s="444"/>
      <c r="JT50" s="444"/>
      <c r="JU50" s="444"/>
      <c r="JV50" s="423"/>
      <c r="JW50" s="16"/>
      <c r="JX50" s="16"/>
      <c r="JY50" s="16"/>
      <c r="JZ50" s="16"/>
      <c r="KA50" s="16"/>
      <c r="KB50" s="25"/>
      <c r="KC50" s="423" t="s">
        <v>1985</v>
      </c>
      <c r="KD50" s="16"/>
      <c r="KE50" s="16"/>
      <c r="KF50" s="16"/>
      <c r="KG50" s="16"/>
      <c r="KH50" s="16"/>
      <c r="KI50" s="25"/>
      <c r="KJ50" s="423"/>
      <c r="KK50" s="16"/>
      <c r="KL50" s="16"/>
      <c r="KM50" s="16"/>
      <c r="KN50" s="16"/>
      <c r="KO50" s="16"/>
      <c r="KP50" s="25"/>
      <c r="KQ50" s="423"/>
      <c r="KR50" s="16"/>
      <c r="KS50" s="16"/>
      <c r="KT50" s="16"/>
      <c r="KU50" s="16"/>
      <c r="KV50" s="16"/>
      <c r="KW50" s="25"/>
      <c r="KX50" s="426"/>
      <c r="KY50" s="16"/>
      <c r="KZ50" s="16"/>
      <c r="LA50" s="16"/>
      <c r="LB50" s="16"/>
      <c r="LC50" s="16"/>
      <c r="LD50" s="25"/>
      <c r="LE50" s="426"/>
      <c r="LF50" s="16"/>
      <c r="LG50" s="16"/>
      <c r="LH50" s="16"/>
      <c r="LI50" s="16"/>
      <c r="LJ50" s="16"/>
      <c r="LK50" s="25"/>
      <c r="LL50" s="423"/>
      <c r="LM50" s="16"/>
      <c r="LN50" s="16"/>
      <c r="LO50" s="16"/>
      <c r="LP50" s="16"/>
      <c r="LQ50" s="16"/>
      <c r="LR50" s="25"/>
      <c r="LS50" s="426"/>
      <c r="LT50" s="16"/>
      <c r="LU50" s="16"/>
      <c r="LV50" s="16"/>
      <c r="LW50" s="16"/>
      <c r="LX50" s="16"/>
      <c r="LY50" s="25"/>
      <c r="LZ50" s="426"/>
      <c r="MA50" s="16"/>
      <c r="MB50" s="16"/>
      <c r="MC50" s="16"/>
      <c r="MD50" s="16"/>
      <c r="ME50" s="16"/>
      <c r="MF50" s="25"/>
      <c r="MG50" s="426"/>
      <c r="MH50" s="16"/>
      <c r="MI50" s="16"/>
      <c r="MJ50" s="16"/>
      <c r="MK50" s="16"/>
      <c r="ML50" s="16"/>
      <c r="MM50" s="25"/>
      <c r="MN50" s="426"/>
      <c r="MO50" s="16"/>
      <c r="MP50" s="16"/>
      <c r="MQ50" s="16"/>
      <c r="MR50" s="16"/>
      <c r="MS50" s="16"/>
      <c r="MT50" s="25"/>
      <c r="MU50" s="426"/>
      <c r="MV50" s="16"/>
      <c r="MW50" s="16"/>
      <c r="MX50" s="16"/>
      <c r="MY50" s="16"/>
      <c r="MZ50" s="16"/>
      <c r="NA50" s="25"/>
      <c r="NB50" s="427"/>
      <c r="NC50" s="417"/>
      <c r="ND50" s="417"/>
      <c r="NE50" s="417"/>
      <c r="NF50" s="417"/>
      <c r="NG50" s="417"/>
      <c r="NH50" s="417"/>
      <c r="NI50" s="417"/>
      <c r="NJ50" s="417"/>
      <c r="NK50" s="417"/>
      <c r="NL50" s="417"/>
      <c r="NM50" s="417"/>
      <c r="NN50" s="417"/>
      <c r="NO50" s="417"/>
      <c r="NP50" s="417"/>
      <c r="NQ50" s="417"/>
      <c r="NR50" s="417"/>
      <c r="NS50" s="417"/>
      <c r="NT50" s="417"/>
      <c r="NU50" s="417"/>
      <c r="NV50" s="417"/>
      <c r="NW50" s="417"/>
      <c r="NX50" s="417"/>
      <c r="NY50" s="417"/>
      <c r="NZ50" s="417"/>
      <c r="OA50" s="417"/>
      <c r="OB50" s="417"/>
      <c r="OC50" s="417"/>
      <c r="OD50" s="417"/>
      <c r="OE50" s="417"/>
      <c r="OF50" s="417"/>
      <c r="OG50" s="417"/>
      <c r="OH50" s="417"/>
      <c r="OI50" s="417"/>
      <c r="OJ50" s="417"/>
      <c r="OK50" s="417"/>
      <c r="OL50" s="417"/>
      <c r="OM50" s="417"/>
      <c r="ON50" s="417"/>
      <c r="OO50" s="417"/>
      <c r="OP50" s="417"/>
      <c r="OQ50" s="417"/>
      <c r="OR50" s="417"/>
      <c r="OS50" s="417"/>
      <c r="OT50" s="417"/>
      <c r="OU50" s="417"/>
      <c r="OV50" s="417"/>
      <c r="OW50" s="417"/>
      <c r="OX50" s="417"/>
      <c r="OY50" s="417"/>
      <c r="OZ50" s="417"/>
      <c r="PA50" s="417"/>
      <c r="PB50" s="417"/>
      <c r="PC50" s="417"/>
      <c r="PD50" s="417"/>
      <c r="PE50" s="417"/>
      <c r="PF50" s="417"/>
      <c r="PG50" s="417"/>
      <c r="PH50" s="417"/>
      <c r="PI50" s="417"/>
      <c r="PJ50" s="417"/>
      <c r="PK50" s="417"/>
      <c r="PL50" s="417"/>
      <c r="PM50" s="417"/>
      <c r="PN50" s="417"/>
      <c r="PO50" s="417"/>
      <c r="PP50" s="417"/>
      <c r="PQ50" s="417"/>
      <c r="PR50" s="417"/>
      <c r="PS50" s="417"/>
      <c r="PT50" s="417"/>
      <c r="PU50" s="417"/>
      <c r="PV50" s="417"/>
      <c r="PW50" s="417"/>
      <c r="PX50" s="417"/>
      <c r="PY50" s="417"/>
      <c r="PZ50" s="417"/>
      <c r="QA50" s="417"/>
      <c r="QB50" s="417"/>
      <c r="QC50" s="417"/>
      <c r="QD50" s="417"/>
      <c r="QE50" s="417"/>
      <c r="QF50" s="417"/>
      <c r="QG50" s="417"/>
      <c r="QH50" s="417"/>
      <c r="QI50" s="417"/>
      <c r="QJ50" s="417"/>
      <c r="QK50" s="417"/>
      <c r="QL50" s="417"/>
      <c r="QM50" s="417"/>
      <c r="QN50" s="417"/>
      <c r="QO50" s="417"/>
      <c r="QP50" s="417"/>
      <c r="QQ50" s="417"/>
      <c r="QR50" s="417"/>
      <c r="QS50" s="417"/>
      <c r="QT50" s="417"/>
      <c r="QU50" s="417"/>
      <c r="QV50" s="417"/>
      <c r="QW50" s="417"/>
      <c r="QX50" s="417"/>
      <c r="QY50" s="417"/>
      <c r="QZ50" s="417"/>
      <c r="RA50" s="417"/>
      <c r="RB50" s="417"/>
      <c r="RC50" s="417"/>
      <c r="RD50" s="417"/>
      <c r="RE50" s="417"/>
      <c r="RF50" s="417"/>
      <c r="RG50" s="417"/>
      <c r="RH50" s="417"/>
      <c r="RI50" s="417"/>
      <c r="RJ50" s="417"/>
      <c r="RK50" s="417"/>
      <c r="RL50" s="417"/>
      <c r="RM50" s="417"/>
      <c r="RN50" s="417"/>
      <c r="RO50" s="417"/>
      <c r="RP50" s="417"/>
      <c r="RQ50" s="417"/>
      <c r="RR50" s="417"/>
      <c r="RS50" s="417"/>
      <c r="RT50" s="417"/>
      <c r="RU50" s="417"/>
      <c r="RV50" s="417"/>
      <c r="RW50" s="417"/>
      <c r="RX50" s="417"/>
      <c r="RY50" s="417"/>
      <c r="RZ50" s="417"/>
      <c r="SA50" s="417"/>
      <c r="SB50" s="417"/>
      <c r="SC50" s="417"/>
      <c r="SD50" s="417"/>
      <c r="SE50" s="417"/>
      <c r="SF50" s="417"/>
      <c r="SG50" s="417"/>
      <c r="SH50" s="417"/>
      <c r="SI50" s="417"/>
      <c r="SJ50" s="417"/>
      <c r="SK50" s="417"/>
      <c r="SL50" s="417"/>
      <c r="SM50" s="417"/>
      <c r="SN50" s="417"/>
      <c r="SO50" s="417"/>
      <c r="SP50" s="417"/>
      <c r="SQ50" s="417"/>
      <c r="SR50" s="417"/>
      <c r="SS50" s="417"/>
      <c r="ST50" s="417"/>
      <c r="SU50" s="417"/>
      <c r="SV50" s="417"/>
      <c r="SW50" s="417"/>
      <c r="SX50" s="417"/>
      <c r="SY50" s="417"/>
      <c r="SZ50" s="417"/>
      <c r="TA50" s="417"/>
      <c r="TB50" s="417"/>
      <c r="TC50" s="417"/>
      <c r="TD50" s="417"/>
      <c r="TE50" s="417"/>
      <c r="TF50" s="417"/>
      <c r="TG50" s="417"/>
      <c r="TH50" s="417"/>
      <c r="TI50" s="417"/>
      <c r="TJ50" s="417"/>
      <c r="TK50" s="417"/>
      <c r="TL50" s="417"/>
      <c r="TM50" s="417"/>
      <c r="TN50" s="417"/>
      <c r="TO50" s="417"/>
      <c r="TP50" s="417"/>
      <c r="TQ50" s="417"/>
      <c r="TR50" s="417"/>
      <c r="TS50" s="417"/>
      <c r="TT50" s="417"/>
      <c r="TU50" s="417"/>
      <c r="TV50" s="417"/>
      <c r="TW50" s="417"/>
      <c r="TX50" s="417"/>
      <c r="TY50" s="417"/>
      <c r="TZ50" s="417"/>
      <c r="UA50" s="417"/>
      <c r="UB50" s="417"/>
      <c r="UC50" s="417"/>
      <c r="UD50" s="417"/>
      <c r="UE50" s="417"/>
      <c r="UF50" s="417"/>
      <c r="UG50" s="417"/>
      <c r="UH50" s="417"/>
      <c r="UI50" s="417"/>
      <c r="UJ50" s="417"/>
      <c r="UK50" s="417"/>
      <c r="UL50" s="417"/>
      <c r="UM50" s="417"/>
      <c r="UN50" s="417"/>
      <c r="UO50" s="417"/>
      <c r="UP50" s="417"/>
      <c r="UQ50" s="417"/>
      <c r="UR50" s="417"/>
      <c r="US50" s="417"/>
      <c r="UT50" s="417"/>
      <c r="UU50" s="417"/>
      <c r="UV50" s="417"/>
      <c r="UW50" s="417"/>
      <c r="UX50" s="417"/>
      <c r="UY50" s="417"/>
      <c r="UZ50" s="417"/>
      <c r="VA50" s="417"/>
      <c r="VB50" s="417"/>
      <c r="VC50" s="417"/>
      <c r="VD50" s="417"/>
      <c r="VE50" s="417"/>
      <c r="VF50" s="417"/>
      <c r="VG50" s="417"/>
      <c r="VH50" s="417"/>
      <c r="VI50" s="417"/>
      <c r="VJ50" s="417"/>
      <c r="VK50" s="417"/>
      <c r="VL50" s="417"/>
      <c r="VM50" s="417"/>
      <c r="VN50" s="417"/>
      <c r="VO50" s="417"/>
      <c r="VP50" s="417"/>
      <c r="VQ50" s="417"/>
      <c r="VR50" s="417"/>
      <c r="VS50" s="417"/>
      <c r="VT50" s="417"/>
      <c r="VU50" s="417"/>
      <c r="VV50" s="417"/>
      <c r="VW50" s="417"/>
      <c r="VX50" s="417"/>
      <c r="VY50" s="417"/>
      <c r="VZ50" s="417"/>
      <c r="WA50" s="417"/>
      <c r="WB50" s="417"/>
      <c r="WC50" s="417"/>
      <c r="WD50" s="417"/>
      <c r="WE50" s="417"/>
      <c r="WF50" s="417"/>
      <c r="WG50" s="417"/>
      <c r="WH50" s="417"/>
      <c r="WI50" s="417"/>
      <c r="WJ50" s="417"/>
      <c r="WK50" s="417"/>
      <c r="WL50" s="417"/>
      <c r="WM50" s="417"/>
      <c r="WN50" s="417"/>
      <c r="WO50" s="417"/>
      <c r="WP50" s="417"/>
      <c r="WQ50" s="417"/>
      <c r="WR50" s="417"/>
      <c r="WS50" s="417"/>
      <c r="WT50" s="417"/>
      <c r="WU50" s="417"/>
      <c r="WV50" s="417"/>
      <c r="WW50" s="417"/>
      <c r="WX50" s="417"/>
      <c r="WY50" s="417"/>
      <c r="WZ50" s="417"/>
      <c r="XA50" s="417"/>
      <c r="XB50" s="417"/>
      <c r="XC50" s="417"/>
      <c r="XD50" s="417"/>
      <c r="XE50" s="417"/>
      <c r="XF50" s="417"/>
      <c r="XG50" s="417"/>
      <c r="XH50" s="417"/>
      <c r="XI50" s="417"/>
      <c r="XJ50" s="417"/>
      <c r="XK50" s="417"/>
      <c r="XL50" s="417"/>
      <c r="XM50" s="417"/>
      <c r="XN50" s="417"/>
      <c r="XO50" s="417"/>
      <c r="XP50" s="417"/>
      <c r="XQ50" s="417"/>
      <c r="XR50" s="417"/>
      <c r="XS50" s="417"/>
      <c r="XT50" s="417"/>
      <c r="XU50" s="417"/>
      <c r="XV50" s="417"/>
      <c r="XW50" s="417"/>
      <c r="XX50" s="417"/>
      <c r="XY50" s="417"/>
      <c r="XZ50" s="417"/>
      <c r="YA50" s="417"/>
      <c r="YB50" s="417"/>
      <c r="YC50" s="417"/>
      <c r="YD50" s="417"/>
      <c r="YE50" s="417"/>
      <c r="YF50" s="417"/>
      <c r="YG50" s="417"/>
      <c r="YH50" s="417"/>
      <c r="YI50" s="417"/>
      <c r="YJ50" s="417"/>
      <c r="YK50" s="417"/>
      <c r="YL50" s="417"/>
      <c r="YM50" s="417"/>
      <c r="YN50" s="417"/>
      <c r="YO50" s="417"/>
      <c r="YP50" s="417"/>
      <c r="YQ50" s="417"/>
      <c r="YR50" s="417"/>
      <c r="YS50" s="417"/>
      <c r="YT50" s="417"/>
      <c r="YU50" s="417"/>
      <c r="YV50" s="417"/>
      <c r="YW50" s="417"/>
      <c r="YX50" s="417"/>
      <c r="YY50" s="417"/>
      <c r="YZ50" s="417"/>
      <c r="ZA50" s="417"/>
      <c r="ZB50" s="417"/>
      <c r="ZC50" s="417"/>
      <c r="ZD50" s="417"/>
      <c r="ZE50" s="417"/>
    </row>
    <row r="51">
      <c r="A51" s="115" t="s">
        <v>1992</v>
      </c>
      <c r="B51" s="445"/>
      <c r="C51" s="16"/>
      <c r="D51" s="16"/>
      <c r="E51" s="16"/>
      <c r="F51" s="16"/>
      <c r="G51" s="16"/>
      <c r="H51" s="16"/>
      <c r="I51" s="445"/>
      <c r="J51" s="16"/>
      <c r="K51" s="16"/>
      <c r="L51" s="16"/>
      <c r="M51" s="16"/>
      <c r="N51" s="16"/>
      <c r="O51" s="16"/>
      <c r="P51" s="445"/>
      <c r="Q51" s="16"/>
      <c r="R51" s="16"/>
      <c r="S51" s="16"/>
      <c r="T51" s="16"/>
      <c r="U51" s="16"/>
      <c r="V51" s="16"/>
      <c r="W51" s="445"/>
      <c r="X51" s="16"/>
      <c r="Y51" s="16"/>
      <c r="Z51" s="16"/>
      <c r="AA51" s="16"/>
      <c r="AB51" s="16"/>
      <c r="AC51" s="16"/>
      <c r="AD51" s="445"/>
      <c r="AE51" s="16"/>
      <c r="AF51" s="16"/>
      <c r="AG51" s="16"/>
      <c r="AH51" s="16"/>
      <c r="AI51" s="16"/>
      <c r="AJ51" s="16"/>
      <c r="AK51" s="445"/>
      <c r="AL51" s="16"/>
      <c r="AM51" s="16"/>
      <c r="AN51" s="16"/>
      <c r="AO51" s="16"/>
      <c r="AP51" s="16"/>
      <c r="AQ51" s="16"/>
      <c r="AR51" s="445"/>
      <c r="AS51" s="16"/>
      <c r="AT51" s="16"/>
      <c r="AU51" s="16"/>
      <c r="AV51" s="16"/>
      <c r="AW51" s="16"/>
      <c r="AX51" s="16"/>
      <c r="AY51" s="445"/>
      <c r="AZ51" s="16"/>
      <c r="BA51" s="16"/>
      <c r="BB51" s="16"/>
      <c r="BC51" s="16"/>
      <c r="BD51" s="16"/>
      <c r="BE51" s="16"/>
      <c r="BF51" s="445"/>
      <c r="BG51" s="16"/>
      <c r="BH51" s="16"/>
      <c r="BI51" s="16"/>
      <c r="BJ51" s="16"/>
      <c r="BK51" s="16"/>
      <c r="BL51" s="16"/>
      <c r="BM51" s="118"/>
      <c r="BN51" s="16"/>
      <c r="BO51" s="16"/>
      <c r="BP51" s="16"/>
      <c r="BQ51" s="16"/>
      <c r="BR51" s="16"/>
      <c r="BS51" s="16"/>
      <c r="BT51" s="118"/>
      <c r="BU51" s="16"/>
      <c r="BV51" s="16"/>
      <c r="BW51" s="16"/>
      <c r="BX51" s="16"/>
      <c r="BY51" s="16"/>
      <c r="BZ51" s="16"/>
      <c r="CA51" s="445"/>
      <c r="CB51" s="16"/>
      <c r="CC51" s="16"/>
      <c r="CD51" s="16"/>
      <c r="CE51" s="16"/>
      <c r="CF51" s="16"/>
      <c r="CG51" s="16"/>
      <c r="CH51" s="445"/>
      <c r="CI51" s="16"/>
      <c r="CJ51" s="16"/>
      <c r="CK51" s="16"/>
      <c r="CL51" s="16"/>
      <c r="CM51" s="16"/>
      <c r="CN51" s="16"/>
      <c r="CO51" s="445"/>
      <c r="CP51" s="16"/>
      <c r="CQ51" s="16"/>
      <c r="CR51" s="16"/>
      <c r="CS51" s="16"/>
      <c r="CT51" s="16"/>
      <c r="CU51" s="16"/>
      <c r="CV51" s="445"/>
      <c r="CW51" s="16"/>
      <c r="CX51" s="16"/>
      <c r="CY51" s="16"/>
      <c r="CZ51" s="16"/>
      <c r="DA51" s="16"/>
      <c r="DB51" s="16"/>
      <c r="DC51" s="445"/>
      <c r="DD51" s="16"/>
      <c r="DE51" s="16"/>
      <c r="DF51" s="16"/>
      <c r="DG51" s="16"/>
      <c r="DH51" s="16"/>
      <c r="DI51" s="16"/>
      <c r="DJ51" s="445"/>
      <c r="DK51" s="16"/>
      <c r="DL51" s="16"/>
      <c r="DM51" s="16"/>
      <c r="DN51" s="16"/>
      <c r="DO51" s="16"/>
      <c r="DP51" s="16"/>
      <c r="DQ51" s="445"/>
      <c r="DR51" s="16"/>
      <c r="DS51" s="16"/>
      <c r="DT51" s="16"/>
      <c r="DU51" s="16"/>
      <c r="DV51" s="16"/>
      <c r="DW51" s="16"/>
      <c r="DX51" s="445"/>
      <c r="DY51" s="16"/>
      <c r="DZ51" s="16"/>
      <c r="EA51" s="16"/>
      <c r="EB51" s="16"/>
      <c r="EC51" s="16"/>
      <c r="ED51" s="16"/>
      <c r="EE51" s="445"/>
      <c r="EF51" s="16"/>
      <c r="EG51" s="16"/>
      <c r="EH51" s="16"/>
      <c r="EI51" s="16"/>
      <c r="EJ51" s="16"/>
      <c r="EK51" s="16"/>
      <c r="EL51" s="445"/>
      <c r="EM51" s="16"/>
      <c r="EN51" s="16"/>
      <c r="EO51" s="16"/>
      <c r="EP51" s="16"/>
      <c r="EQ51" s="16"/>
      <c r="ER51" s="16"/>
      <c r="ES51" s="445"/>
      <c r="ET51" s="16"/>
      <c r="EU51" s="16"/>
      <c r="EV51" s="16"/>
      <c r="EW51" s="16"/>
      <c r="EX51" s="16"/>
      <c r="EY51" s="16"/>
      <c r="EZ51" s="445"/>
      <c r="FA51" s="16"/>
      <c r="FB51" s="16"/>
      <c r="FC51" s="16"/>
      <c r="FD51" s="16"/>
      <c r="FE51" s="16"/>
      <c r="FF51" s="16"/>
      <c r="FG51" s="445"/>
      <c r="FH51" s="16"/>
      <c r="FI51" s="16"/>
      <c r="FJ51" s="16"/>
      <c r="FK51" s="16"/>
      <c r="FL51" s="16"/>
      <c r="FM51" s="16"/>
      <c r="FN51" s="445"/>
      <c r="FO51" s="16"/>
      <c r="FP51" s="16"/>
      <c r="FQ51" s="16"/>
      <c r="FR51" s="16"/>
      <c r="FS51" s="16"/>
      <c r="FT51" s="16"/>
      <c r="FU51" s="445"/>
      <c r="FV51" s="16"/>
      <c r="FW51" s="16"/>
      <c r="FX51" s="16"/>
      <c r="FY51" s="16"/>
      <c r="FZ51" s="16"/>
      <c r="GA51" s="16"/>
      <c r="GB51" s="445"/>
      <c r="GC51" s="16"/>
      <c r="GD51" s="16"/>
      <c r="GE51" s="16"/>
      <c r="GF51" s="16"/>
      <c r="GG51" s="16"/>
      <c r="GH51" s="16"/>
      <c r="GI51" s="445"/>
      <c r="GJ51" s="16"/>
      <c r="GK51" s="16"/>
      <c r="GL51" s="16"/>
      <c r="GM51" s="16"/>
      <c r="GN51" s="16"/>
      <c r="GO51" s="16"/>
      <c r="GP51" s="445"/>
      <c r="GQ51" s="16"/>
      <c r="GR51" s="16"/>
      <c r="GS51" s="16"/>
      <c r="GT51" s="16"/>
      <c r="GU51" s="16"/>
      <c r="GV51" s="16"/>
      <c r="GW51" s="445"/>
      <c r="GX51" s="16"/>
      <c r="GY51" s="16"/>
      <c r="GZ51" s="16"/>
      <c r="HA51" s="16"/>
      <c r="HB51" s="16"/>
      <c r="HC51" s="16"/>
      <c r="HD51" s="445"/>
      <c r="HE51" s="16"/>
      <c r="HF51" s="16"/>
      <c r="HG51" s="16"/>
      <c r="HH51" s="16"/>
      <c r="HI51" s="16"/>
      <c r="HJ51" s="16"/>
      <c r="HK51" s="445"/>
      <c r="HL51" s="16"/>
      <c r="HM51" s="16"/>
      <c r="HN51" s="16"/>
      <c r="HO51" s="16"/>
      <c r="HP51" s="16"/>
      <c r="HQ51" s="16"/>
      <c r="HR51" s="445"/>
      <c r="HS51" s="16"/>
      <c r="HT51" s="16"/>
      <c r="HU51" s="16"/>
      <c r="HV51" s="16"/>
      <c r="HW51" s="16"/>
      <c r="HX51" s="16"/>
      <c r="HY51" s="445"/>
      <c r="HZ51" s="16"/>
      <c r="IA51" s="16"/>
      <c r="IB51" s="16"/>
      <c r="IC51" s="16"/>
      <c r="ID51" s="16"/>
      <c r="IE51" s="16"/>
      <c r="IF51" s="445"/>
      <c r="IG51" s="16"/>
      <c r="IH51" s="16"/>
      <c r="II51" s="16"/>
      <c r="IJ51" s="16"/>
      <c r="IK51" s="16"/>
      <c r="IL51" s="16"/>
      <c r="IM51" s="445"/>
      <c r="IN51" s="16"/>
      <c r="IO51" s="16"/>
      <c r="IP51" s="16"/>
      <c r="IQ51" s="16"/>
      <c r="IR51" s="16"/>
      <c r="IS51" s="16"/>
      <c r="IT51" s="445"/>
      <c r="IU51" s="16"/>
      <c r="IV51" s="16"/>
      <c r="IW51" s="16"/>
      <c r="IX51" s="16"/>
      <c r="IY51" s="16"/>
      <c r="IZ51" s="16"/>
      <c r="JA51" s="445"/>
      <c r="JB51" s="16"/>
      <c r="JC51" s="16"/>
      <c r="JD51" s="16"/>
      <c r="JE51" s="16"/>
      <c r="JF51" s="16"/>
      <c r="JG51" s="16"/>
      <c r="JH51" s="445"/>
      <c r="JI51" s="16"/>
      <c r="JJ51" s="16"/>
      <c r="JK51" s="16"/>
      <c r="JL51" s="16"/>
      <c r="JM51" s="16"/>
      <c r="JN51" s="16"/>
      <c r="JO51" s="445"/>
      <c r="JP51" s="16"/>
      <c r="JQ51" s="16"/>
      <c r="JR51" s="16"/>
      <c r="JS51" s="16"/>
      <c r="JT51" s="16"/>
      <c r="JU51" s="16"/>
      <c r="JV51" s="445"/>
      <c r="JW51" s="16"/>
      <c r="JX51" s="16"/>
      <c r="JY51" s="16"/>
      <c r="JZ51" s="16"/>
      <c r="KA51" s="16"/>
      <c r="KB51" s="16"/>
      <c r="KC51" s="445"/>
      <c r="KD51" s="16"/>
      <c r="KE51" s="16"/>
      <c r="KF51" s="16"/>
      <c r="KG51" s="16"/>
      <c r="KH51" s="16"/>
      <c r="KI51" s="16"/>
      <c r="KJ51" s="445"/>
      <c r="KK51" s="16"/>
      <c r="KL51" s="16"/>
      <c r="KM51" s="16"/>
      <c r="KN51" s="16"/>
      <c r="KO51" s="16"/>
      <c r="KP51" s="16"/>
      <c r="KQ51" s="445"/>
      <c r="KR51" s="16"/>
      <c r="KS51" s="16"/>
      <c r="KT51" s="16"/>
      <c r="KU51" s="16"/>
      <c r="KV51" s="16"/>
      <c r="KW51" s="16"/>
      <c r="KX51" s="445"/>
      <c r="KY51" s="16"/>
      <c r="KZ51" s="16"/>
      <c r="LA51" s="16"/>
      <c r="LB51" s="16"/>
      <c r="LC51" s="16"/>
      <c r="LD51" s="16"/>
      <c r="LE51" s="445"/>
      <c r="LF51" s="16"/>
      <c r="LG51" s="16"/>
      <c r="LH51" s="16"/>
      <c r="LI51" s="16"/>
      <c r="LJ51" s="16"/>
      <c r="LK51" s="16"/>
      <c r="LL51" s="445"/>
      <c r="LM51" s="16"/>
      <c r="LN51" s="16"/>
      <c r="LO51" s="16"/>
      <c r="LP51" s="16"/>
      <c r="LQ51" s="16"/>
      <c r="LR51" s="16"/>
      <c r="LS51" s="445"/>
      <c r="LT51" s="16"/>
      <c r="LU51" s="16"/>
      <c r="LV51" s="16"/>
      <c r="LW51" s="16"/>
      <c r="LX51" s="16"/>
      <c r="LY51" s="16"/>
      <c r="LZ51" s="445"/>
      <c r="MA51" s="16"/>
      <c r="MB51" s="16"/>
      <c r="MC51" s="16"/>
      <c r="MD51" s="16"/>
      <c r="ME51" s="16"/>
      <c r="MF51" s="16"/>
      <c r="MG51" s="445"/>
      <c r="MH51" s="16"/>
      <c r="MI51" s="16"/>
      <c r="MJ51" s="16"/>
      <c r="MK51" s="16"/>
      <c r="ML51" s="16"/>
      <c r="MM51" s="16"/>
      <c r="MN51" s="445"/>
      <c r="MO51" s="16"/>
      <c r="MP51" s="16"/>
      <c r="MQ51" s="16"/>
      <c r="MR51" s="16"/>
      <c r="MS51" s="16"/>
      <c r="MT51" s="16"/>
      <c r="MU51" s="445"/>
      <c r="MV51" s="16"/>
      <c r="MW51" s="16"/>
      <c r="MX51" s="16"/>
      <c r="MY51" s="16"/>
      <c r="MZ51" s="16"/>
      <c r="NA51" s="25"/>
      <c r="NB51" s="447"/>
      <c r="NC51" s="282"/>
      <c r="ND51" s="282"/>
      <c r="NE51" s="282"/>
      <c r="NF51" s="282"/>
      <c r="NG51" s="282"/>
      <c r="NH51" s="282"/>
      <c r="NI51" s="282"/>
      <c r="NJ51" s="282"/>
      <c r="NK51" s="282"/>
      <c r="NL51" s="282"/>
      <c r="NM51" s="282"/>
      <c r="NN51" s="282"/>
      <c r="NO51" s="282"/>
      <c r="NP51" s="282"/>
      <c r="NQ51" s="282"/>
      <c r="NR51" s="282"/>
      <c r="NS51" s="282"/>
      <c r="NT51" s="282"/>
      <c r="NU51" s="282"/>
      <c r="NV51" s="282"/>
      <c r="NW51" s="282"/>
      <c r="NX51" s="282"/>
      <c r="NY51" s="282"/>
      <c r="NZ51" s="282"/>
      <c r="OA51" s="282"/>
      <c r="OB51" s="282"/>
      <c r="OC51" s="282"/>
      <c r="OD51" s="282"/>
      <c r="OE51" s="282"/>
      <c r="OF51" s="282"/>
      <c r="OG51" s="282"/>
      <c r="OH51" s="282"/>
      <c r="OI51" s="282"/>
      <c r="OJ51" s="282"/>
      <c r="OK51" s="282"/>
      <c r="OL51" s="282"/>
      <c r="OM51" s="282"/>
      <c r="ON51" s="282"/>
      <c r="OO51" s="282"/>
      <c r="OP51" s="282"/>
      <c r="OQ51" s="282"/>
      <c r="OR51" s="282"/>
      <c r="OS51" s="282"/>
      <c r="OT51" s="282"/>
      <c r="OU51" s="282"/>
      <c r="OV51" s="282"/>
      <c r="OW51" s="282"/>
      <c r="OX51" s="282"/>
      <c r="OY51" s="282"/>
      <c r="OZ51" s="282"/>
      <c r="PA51" s="282"/>
      <c r="PB51" s="282"/>
      <c r="PC51" s="282"/>
      <c r="PD51" s="282"/>
      <c r="PE51" s="282"/>
      <c r="PF51" s="282"/>
      <c r="PG51" s="282"/>
      <c r="PH51" s="282"/>
      <c r="PI51" s="282"/>
      <c r="PJ51" s="282"/>
      <c r="PK51" s="282"/>
      <c r="PL51" s="282"/>
      <c r="PM51" s="282"/>
      <c r="PN51" s="282"/>
      <c r="PO51" s="282"/>
      <c r="PP51" s="282"/>
      <c r="PQ51" s="282"/>
      <c r="PR51" s="282"/>
      <c r="PS51" s="282"/>
      <c r="PT51" s="282"/>
      <c r="PU51" s="282"/>
      <c r="PV51" s="282"/>
      <c r="PW51" s="282"/>
      <c r="PX51" s="282"/>
      <c r="PY51" s="282"/>
      <c r="PZ51" s="282"/>
      <c r="QA51" s="282"/>
      <c r="QB51" s="282"/>
      <c r="QC51" s="282"/>
      <c r="QD51" s="282"/>
      <c r="QE51" s="282"/>
      <c r="QF51" s="282"/>
      <c r="QG51" s="282"/>
      <c r="QH51" s="282"/>
      <c r="QI51" s="282"/>
      <c r="QJ51" s="282"/>
      <c r="QK51" s="282"/>
      <c r="QL51" s="282"/>
      <c r="QM51" s="282"/>
      <c r="QN51" s="282"/>
      <c r="QO51" s="282"/>
      <c r="QP51" s="282"/>
      <c r="QQ51" s="282"/>
      <c r="QR51" s="282"/>
      <c r="QS51" s="282"/>
      <c r="QT51" s="282"/>
      <c r="QU51" s="282"/>
      <c r="QV51" s="282"/>
      <c r="QW51" s="282"/>
      <c r="QX51" s="282"/>
      <c r="QY51" s="282"/>
      <c r="QZ51" s="282"/>
      <c r="RA51" s="282"/>
      <c r="RB51" s="282"/>
      <c r="RC51" s="282"/>
      <c r="RD51" s="282"/>
      <c r="RE51" s="282"/>
      <c r="RF51" s="282"/>
      <c r="RG51" s="282"/>
      <c r="RH51" s="282"/>
      <c r="RI51" s="282"/>
      <c r="RJ51" s="282"/>
      <c r="RK51" s="282"/>
      <c r="RL51" s="282"/>
      <c r="RM51" s="282"/>
      <c r="RN51" s="282"/>
      <c r="RO51" s="282"/>
      <c r="RP51" s="282"/>
      <c r="RQ51" s="282"/>
      <c r="RR51" s="282"/>
      <c r="RS51" s="282"/>
      <c r="RT51" s="282"/>
      <c r="RU51" s="282"/>
      <c r="RV51" s="282"/>
      <c r="RW51" s="282"/>
      <c r="RX51" s="282"/>
      <c r="RY51" s="282"/>
      <c r="RZ51" s="282"/>
      <c r="SA51" s="282"/>
      <c r="SB51" s="282"/>
      <c r="SC51" s="282"/>
      <c r="SD51" s="282"/>
      <c r="SE51" s="282"/>
      <c r="SF51" s="282"/>
      <c r="SG51" s="282"/>
      <c r="SH51" s="282"/>
      <c r="SI51" s="282"/>
      <c r="SJ51" s="282"/>
      <c r="SK51" s="282"/>
      <c r="SL51" s="282"/>
      <c r="SM51" s="282"/>
      <c r="SN51" s="282"/>
      <c r="SO51" s="282"/>
      <c r="SP51" s="282"/>
      <c r="SQ51" s="282"/>
      <c r="SR51" s="282"/>
      <c r="SS51" s="282"/>
      <c r="ST51" s="282"/>
      <c r="SU51" s="282"/>
      <c r="SV51" s="282"/>
      <c r="SW51" s="282"/>
      <c r="SX51" s="282"/>
      <c r="SY51" s="282"/>
      <c r="SZ51" s="282"/>
      <c r="TA51" s="282"/>
      <c r="TB51" s="282"/>
      <c r="TC51" s="282"/>
      <c r="TD51" s="282"/>
      <c r="TE51" s="282"/>
      <c r="TF51" s="282"/>
      <c r="TG51" s="282"/>
      <c r="TH51" s="282"/>
      <c r="TI51" s="282"/>
      <c r="TJ51" s="282"/>
      <c r="TK51" s="282"/>
      <c r="TL51" s="282"/>
      <c r="TM51" s="282"/>
      <c r="TN51" s="282"/>
      <c r="TO51" s="282"/>
      <c r="TP51" s="282"/>
      <c r="TQ51" s="282"/>
      <c r="TR51" s="282"/>
      <c r="TS51" s="282"/>
      <c r="TT51" s="282"/>
      <c r="TU51" s="282"/>
      <c r="TV51" s="282"/>
      <c r="TW51" s="282"/>
      <c r="TX51" s="282"/>
      <c r="TY51" s="282"/>
      <c r="TZ51" s="282"/>
      <c r="UA51" s="282"/>
      <c r="UB51" s="282"/>
      <c r="UC51" s="282"/>
      <c r="UD51" s="282"/>
      <c r="UE51" s="282"/>
      <c r="UF51" s="282"/>
      <c r="UG51" s="282"/>
      <c r="UH51" s="282"/>
      <c r="UI51" s="282"/>
      <c r="UJ51" s="282"/>
      <c r="UK51" s="282"/>
      <c r="UL51" s="282"/>
      <c r="UM51" s="282"/>
      <c r="UN51" s="282"/>
      <c r="UO51" s="282"/>
      <c r="UP51" s="282"/>
      <c r="UQ51" s="282"/>
      <c r="UR51" s="282"/>
      <c r="US51" s="282"/>
      <c r="UT51" s="282"/>
      <c r="UU51" s="282"/>
      <c r="UV51" s="282"/>
      <c r="UW51" s="282"/>
      <c r="UX51" s="282"/>
      <c r="UY51" s="282"/>
      <c r="UZ51" s="282"/>
      <c r="VA51" s="282"/>
      <c r="VB51" s="282"/>
      <c r="VC51" s="282"/>
      <c r="VD51" s="282"/>
      <c r="VE51" s="282"/>
      <c r="VF51" s="282"/>
      <c r="VG51" s="282"/>
      <c r="VH51" s="282"/>
      <c r="VI51" s="282"/>
      <c r="VJ51" s="282"/>
      <c r="VK51" s="282"/>
      <c r="VL51" s="282"/>
      <c r="VM51" s="282"/>
      <c r="VN51" s="282"/>
      <c r="VO51" s="282"/>
      <c r="VP51" s="282"/>
      <c r="VQ51" s="282"/>
      <c r="VR51" s="282"/>
      <c r="VS51" s="282"/>
      <c r="VT51" s="282"/>
      <c r="VU51" s="282"/>
      <c r="VV51" s="282"/>
      <c r="VW51" s="282"/>
      <c r="VX51" s="282"/>
      <c r="VY51" s="282"/>
      <c r="VZ51" s="282"/>
      <c r="WA51" s="282"/>
      <c r="WB51" s="282"/>
      <c r="WC51" s="282"/>
      <c r="WD51" s="282"/>
      <c r="WE51" s="282"/>
      <c r="WF51" s="282"/>
      <c r="WG51" s="282"/>
      <c r="WH51" s="282"/>
      <c r="WI51" s="282"/>
      <c r="WJ51" s="282"/>
      <c r="WK51" s="282"/>
      <c r="WL51" s="282"/>
      <c r="WM51" s="282"/>
      <c r="WN51" s="282"/>
      <c r="WO51" s="282"/>
      <c r="WP51" s="282"/>
      <c r="WQ51" s="282"/>
      <c r="WR51" s="282"/>
      <c r="WS51" s="282"/>
      <c r="WT51" s="282"/>
      <c r="WU51" s="282"/>
      <c r="WV51" s="282"/>
      <c r="WW51" s="282"/>
      <c r="WX51" s="282"/>
      <c r="WY51" s="282"/>
      <c r="WZ51" s="282"/>
      <c r="XA51" s="282"/>
      <c r="XB51" s="282"/>
      <c r="XC51" s="282"/>
      <c r="XD51" s="282"/>
      <c r="XE51" s="282"/>
      <c r="XF51" s="282"/>
      <c r="XG51" s="282"/>
      <c r="XH51" s="282"/>
      <c r="XI51" s="282"/>
      <c r="XJ51" s="282"/>
      <c r="XK51" s="282"/>
      <c r="XL51" s="282"/>
      <c r="XM51" s="282"/>
      <c r="XN51" s="282"/>
      <c r="XO51" s="282"/>
      <c r="XP51" s="282"/>
      <c r="XQ51" s="282"/>
      <c r="XR51" s="282"/>
      <c r="XS51" s="282"/>
      <c r="XT51" s="282"/>
      <c r="XU51" s="282"/>
      <c r="XV51" s="282"/>
      <c r="XW51" s="282"/>
      <c r="XX51" s="282"/>
      <c r="XY51" s="282"/>
      <c r="XZ51" s="282"/>
      <c r="YA51" s="282"/>
      <c r="YB51" s="282"/>
      <c r="YC51" s="282"/>
      <c r="YD51" s="282"/>
      <c r="YE51" s="282"/>
      <c r="YF51" s="282"/>
      <c r="YG51" s="282"/>
      <c r="YH51" s="282"/>
      <c r="YI51" s="282"/>
      <c r="YJ51" s="282"/>
      <c r="YK51" s="282"/>
      <c r="YL51" s="282"/>
      <c r="YM51" s="282"/>
      <c r="YN51" s="282"/>
      <c r="YO51" s="282"/>
      <c r="YP51" s="282"/>
      <c r="YQ51" s="282"/>
      <c r="YR51" s="282"/>
      <c r="YS51" s="282"/>
      <c r="YT51" s="282"/>
      <c r="YU51" s="282"/>
      <c r="YV51" s="282"/>
      <c r="YW51" s="282"/>
      <c r="YX51" s="282"/>
      <c r="YY51" s="282"/>
      <c r="YZ51" s="282"/>
      <c r="ZA51" s="282"/>
      <c r="ZB51" s="282"/>
      <c r="ZC51" s="282"/>
      <c r="ZD51" s="282"/>
      <c r="ZE51" s="282"/>
    </row>
    <row r="52" ht="20.25" customHeight="1">
      <c r="A52" s="448" t="s">
        <v>2070</v>
      </c>
      <c r="B52" s="432"/>
      <c r="C52" s="432"/>
      <c r="D52" s="432" t="s">
        <v>382</v>
      </c>
      <c r="E52" s="432"/>
      <c r="F52" s="432"/>
      <c r="G52" s="432"/>
      <c r="H52" s="432"/>
      <c r="I52" s="449">
        <v>0.15</v>
      </c>
      <c r="J52" s="449">
        <v>0.85</v>
      </c>
      <c r="K52" s="432"/>
      <c r="L52" s="432"/>
      <c r="M52" s="432" t="s">
        <v>1379</v>
      </c>
      <c r="N52" s="432"/>
      <c r="O52" s="432"/>
      <c r="P52" s="449">
        <v>0.15</v>
      </c>
      <c r="Q52" s="449">
        <v>0.85</v>
      </c>
      <c r="R52" s="432"/>
      <c r="S52" s="432"/>
      <c r="T52" s="432"/>
      <c r="U52" s="432"/>
      <c r="V52" s="432"/>
      <c r="W52" s="449">
        <v>0.15</v>
      </c>
      <c r="X52" s="449">
        <v>0.85</v>
      </c>
      <c r="Y52" s="432"/>
      <c r="Z52" s="432"/>
      <c r="AA52" s="432"/>
      <c r="AB52" s="432"/>
      <c r="AC52" s="432"/>
      <c r="AD52" s="432" t="s">
        <v>1379</v>
      </c>
      <c r="AE52" s="432"/>
      <c r="AF52" s="432"/>
      <c r="AG52" s="432" t="s">
        <v>382</v>
      </c>
      <c r="AH52" s="432"/>
      <c r="AI52" s="432"/>
      <c r="AJ52" s="432"/>
      <c r="AK52" s="432" t="s">
        <v>2005</v>
      </c>
      <c r="AL52" s="432"/>
      <c r="AM52" s="432"/>
      <c r="AN52" s="432" t="s">
        <v>2005</v>
      </c>
      <c r="AO52" s="432"/>
      <c r="AP52" s="432"/>
      <c r="AQ52" s="449">
        <v>0.5</v>
      </c>
      <c r="AR52" s="449">
        <v>0.5</v>
      </c>
      <c r="AS52" s="449">
        <v>0.5</v>
      </c>
      <c r="AT52" s="449">
        <v>0.5</v>
      </c>
      <c r="AU52" s="432"/>
      <c r="AV52" s="432"/>
      <c r="AW52" s="432"/>
      <c r="AX52" s="432"/>
      <c r="AY52" s="432">
        <v>15.0</v>
      </c>
      <c r="AZ52" s="432">
        <v>85.0</v>
      </c>
      <c r="BA52" s="432"/>
      <c r="BB52" s="432"/>
      <c r="BC52" s="432"/>
      <c r="BD52" s="432"/>
      <c r="BE52" s="432"/>
      <c r="BF52" s="432" t="s">
        <v>382</v>
      </c>
      <c r="BG52" s="432"/>
      <c r="BH52" s="432"/>
      <c r="BI52" s="432" t="s">
        <v>382</v>
      </c>
      <c r="BJ52" s="432"/>
      <c r="BK52" s="432"/>
      <c r="BL52" s="432"/>
      <c r="BM52" s="432">
        <v>15.0</v>
      </c>
      <c r="BN52" s="432">
        <v>85.0</v>
      </c>
      <c r="BO52" s="432"/>
      <c r="BP52" s="432"/>
      <c r="BQ52" s="432"/>
      <c r="BR52" s="432"/>
      <c r="BS52" s="432"/>
      <c r="BT52" s="432" t="s">
        <v>382</v>
      </c>
      <c r="BU52" s="432"/>
      <c r="BV52" s="432"/>
      <c r="BW52" s="432"/>
      <c r="BX52" s="432" t="s">
        <v>382</v>
      </c>
      <c r="BY52" s="432"/>
      <c r="BZ52" s="432"/>
      <c r="CA52" s="432">
        <v>15.0</v>
      </c>
      <c r="CB52" s="432">
        <v>85.0</v>
      </c>
      <c r="CC52" s="432"/>
      <c r="CD52" s="432"/>
      <c r="CE52" s="432" t="s">
        <v>1379</v>
      </c>
      <c r="CF52" s="432"/>
      <c r="CG52" s="432"/>
      <c r="CH52" s="432">
        <v>15.0</v>
      </c>
      <c r="CI52" s="432">
        <v>85.0</v>
      </c>
      <c r="CJ52" s="432"/>
      <c r="CK52" s="432"/>
      <c r="CL52" s="432"/>
      <c r="CM52" s="432"/>
      <c r="CN52" s="432"/>
      <c r="CO52" s="450" t="s">
        <v>2005</v>
      </c>
      <c r="CP52" s="450"/>
      <c r="CQ52" s="450"/>
      <c r="CR52" s="450"/>
      <c r="CS52" s="450" t="s">
        <v>382</v>
      </c>
      <c r="CT52" s="450"/>
      <c r="CU52" s="450"/>
      <c r="CV52" s="450">
        <v>15.0</v>
      </c>
      <c r="CW52" s="450">
        <v>85.0</v>
      </c>
      <c r="CX52" s="450"/>
      <c r="CY52" s="450"/>
      <c r="CZ52" s="450"/>
      <c r="DA52" s="450"/>
      <c r="DB52" s="450"/>
      <c r="DC52" s="450" t="s">
        <v>1379</v>
      </c>
      <c r="DD52" s="450"/>
      <c r="DE52" s="450">
        <v>15.0</v>
      </c>
      <c r="DF52" s="450">
        <v>85.0</v>
      </c>
      <c r="DH52" s="450"/>
      <c r="DI52" s="450"/>
      <c r="DJ52" s="450">
        <v>15.0</v>
      </c>
      <c r="DK52" s="450">
        <v>85.0</v>
      </c>
      <c r="DL52" s="450"/>
      <c r="DM52" s="450"/>
      <c r="DN52" s="450"/>
      <c r="DO52" s="450"/>
      <c r="DP52" s="450"/>
      <c r="DQ52" s="450" t="s">
        <v>1379</v>
      </c>
      <c r="DR52" s="450"/>
      <c r="DS52" s="450"/>
      <c r="DT52" s="450" t="s">
        <v>382</v>
      </c>
      <c r="DU52" s="450"/>
      <c r="DV52" s="450"/>
      <c r="DW52" s="450"/>
      <c r="DX52" s="432" t="s">
        <v>382</v>
      </c>
      <c r="DY52" s="432"/>
      <c r="DZ52" s="432">
        <v>50.0</v>
      </c>
      <c r="EA52" s="432">
        <v>50.0</v>
      </c>
      <c r="EB52" s="432" t="s">
        <v>382</v>
      </c>
      <c r="EC52" s="432" t="s">
        <v>382</v>
      </c>
      <c r="ED52" s="432" t="s">
        <v>2073</v>
      </c>
      <c r="EE52" s="432">
        <v>10.0</v>
      </c>
      <c r="EF52" s="432">
        <v>90.0</v>
      </c>
      <c r="EG52" s="432"/>
      <c r="EH52" s="432"/>
      <c r="EI52" s="432"/>
      <c r="EJ52" s="432"/>
      <c r="EK52" s="432"/>
      <c r="EL52" s="432">
        <v>15.0</v>
      </c>
      <c r="EM52" s="432">
        <v>85.0</v>
      </c>
      <c r="EN52" s="432"/>
      <c r="EO52" s="432"/>
      <c r="EP52" s="432" t="s">
        <v>1379</v>
      </c>
      <c r="EQ52" s="432"/>
      <c r="ER52" s="432"/>
      <c r="ES52" s="432" t="s">
        <v>382</v>
      </c>
      <c r="ET52" s="432"/>
      <c r="EU52" s="432"/>
      <c r="EV52" s="432"/>
      <c r="EW52" s="432"/>
      <c r="EX52" s="432"/>
      <c r="EY52" s="432"/>
      <c r="EZ52" s="432"/>
      <c r="FA52" s="432"/>
      <c r="FB52" s="451"/>
      <c r="FC52" s="432"/>
      <c r="FD52" s="432"/>
      <c r="FE52" s="432"/>
      <c r="FF52" s="432"/>
      <c r="FG52" s="432"/>
      <c r="FH52" s="432"/>
      <c r="FI52" s="432"/>
      <c r="FJ52" s="432"/>
      <c r="FK52" s="432"/>
      <c r="FL52" s="432"/>
      <c r="FM52" s="432"/>
      <c r="FN52" s="451"/>
      <c r="FO52" s="432"/>
      <c r="FP52" s="432"/>
      <c r="FQ52" s="432"/>
      <c r="FR52" s="432"/>
      <c r="FS52" s="432"/>
      <c r="FT52" s="432"/>
      <c r="FU52" s="432"/>
      <c r="FV52" s="432"/>
      <c r="FW52" s="432"/>
      <c r="FX52" s="432"/>
      <c r="FY52" s="432"/>
      <c r="FZ52" s="432"/>
      <c r="GA52" s="432"/>
      <c r="GB52" s="432"/>
      <c r="GC52" s="432"/>
      <c r="GD52" s="432"/>
      <c r="GE52" s="432"/>
      <c r="GF52" s="432"/>
      <c r="GG52" s="432"/>
      <c r="GH52" s="432"/>
      <c r="GI52" s="432"/>
      <c r="GJ52" s="432"/>
      <c r="GK52" s="432"/>
      <c r="GL52" s="432"/>
      <c r="GM52" s="432"/>
      <c r="GN52" s="432"/>
      <c r="GO52" s="432"/>
      <c r="GP52" s="432"/>
      <c r="GQ52" s="432"/>
      <c r="GR52" s="432"/>
      <c r="GS52" s="432"/>
      <c r="GT52" s="432"/>
      <c r="GU52" s="432"/>
      <c r="GV52" s="432"/>
      <c r="GW52" s="432"/>
      <c r="GX52" s="432"/>
      <c r="GY52" s="432"/>
      <c r="GZ52" s="432"/>
      <c r="HA52" s="432"/>
      <c r="HB52" s="432"/>
      <c r="HC52" s="432"/>
      <c r="HD52" s="432"/>
      <c r="HE52" s="432"/>
      <c r="HF52" s="432"/>
      <c r="HG52" s="432"/>
      <c r="HH52" s="432"/>
      <c r="HI52" s="432"/>
      <c r="HJ52" s="432"/>
      <c r="HK52" s="436"/>
      <c r="HL52" s="452"/>
      <c r="HM52" s="452"/>
      <c r="HN52" s="436"/>
      <c r="HO52" s="452"/>
      <c r="HP52" s="452"/>
      <c r="HQ52" s="452"/>
      <c r="HR52" s="453"/>
      <c r="HS52" s="453"/>
      <c r="HT52" s="452"/>
      <c r="HU52" s="452"/>
      <c r="HV52" s="452"/>
      <c r="HW52" s="452"/>
      <c r="HX52" s="452"/>
      <c r="HY52" s="453"/>
      <c r="HZ52" s="453"/>
      <c r="IA52" s="452"/>
      <c r="IB52" s="452"/>
      <c r="IC52" s="436"/>
      <c r="ID52" s="452"/>
      <c r="IE52" s="452"/>
      <c r="IF52" s="453"/>
      <c r="IG52" s="453"/>
      <c r="IH52" s="432"/>
      <c r="II52" s="432"/>
      <c r="IJ52" s="432"/>
      <c r="IK52" s="432"/>
      <c r="IL52" s="432"/>
      <c r="IM52" s="454"/>
      <c r="IN52" s="455"/>
      <c r="IO52" s="432"/>
      <c r="IP52" s="456"/>
      <c r="IQ52" s="456"/>
      <c r="IR52" s="432"/>
      <c r="IS52" s="432"/>
      <c r="IT52" s="453"/>
      <c r="IU52" s="453"/>
      <c r="IV52" s="432"/>
      <c r="IW52" s="456"/>
      <c r="IX52" s="456"/>
      <c r="IY52" s="432"/>
      <c r="IZ52" s="432"/>
      <c r="JA52" s="453"/>
      <c r="JB52" s="453"/>
      <c r="JC52" s="432"/>
      <c r="JD52" s="432"/>
      <c r="JE52" s="453"/>
      <c r="JF52" s="432"/>
      <c r="JG52" s="453"/>
      <c r="JH52" s="453"/>
      <c r="JI52" s="453"/>
      <c r="JJ52" s="432"/>
      <c r="JK52" s="453"/>
      <c r="JL52" s="457"/>
      <c r="JM52" s="432"/>
      <c r="JN52" s="432"/>
      <c r="JO52" s="453"/>
      <c r="JP52" s="453"/>
      <c r="JQ52" s="432"/>
      <c r="JR52" s="432"/>
      <c r="JS52" s="432"/>
      <c r="JT52" s="432"/>
      <c r="JU52" s="432"/>
      <c r="JV52" s="453"/>
      <c r="JW52" s="453"/>
      <c r="JX52" s="432"/>
      <c r="JY52" s="432"/>
      <c r="JZ52" s="432"/>
      <c r="KA52" s="432"/>
      <c r="KB52" s="432"/>
      <c r="KC52" s="453"/>
      <c r="KD52" s="453"/>
      <c r="KE52" s="432"/>
      <c r="KF52" s="432"/>
      <c r="KG52" s="432"/>
      <c r="KH52" s="432"/>
      <c r="KI52" s="432"/>
      <c r="KJ52" s="453"/>
      <c r="KK52" s="453"/>
      <c r="KL52" s="432"/>
      <c r="KM52" s="432"/>
      <c r="KN52" s="432"/>
      <c r="KO52" s="432"/>
      <c r="KP52" s="432"/>
      <c r="KQ52" s="453"/>
      <c r="KR52" s="453"/>
      <c r="KS52" s="432"/>
      <c r="KT52" s="432"/>
      <c r="KU52" s="432"/>
      <c r="KV52" s="432"/>
      <c r="KW52" s="432"/>
      <c r="KX52" s="453"/>
      <c r="KY52" s="453"/>
      <c r="KZ52" s="432"/>
      <c r="LA52" s="432"/>
      <c r="LB52" s="432"/>
      <c r="LC52" s="432"/>
      <c r="LD52" s="432"/>
      <c r="LE52" s="432"/>
      <c r="LF52" s="453"/>
      <c r="LG52" s="432"/>
      <c r="LH52" s="453"/>
      <c r="LI52" s="453"/>
      <c r="LJ52" s="432"/>
      <c r="LK52" s="432"/>
      <c r="LL52" s="453"/>
      <c r="LM52" s="453"/>
      <c r="LN52" s="432"/>
      <c r="LO52" s="432"/>
      <c r="LP52" s="432"/>
      <c r="LQ52" s="432"/>
      <c r="LR52" s="432"/>
      <c r="LS52" s="453"/>
      <c r="LT52" s="453"/>
      <c r="LU52" s="453"/>
      <c r="LV52" s="432"/>
      <c r="LW52" s="432"/>
      <c r="LX52" s="432"/>
      <c r="LY52" s="432"/>
      <c r="LZ52" s="432"/>
      <c r="MA52" s="432"/>
      <c r="MB52" s="432"/>
      <c r="MC52" s="432"/>
      <c r="MD52" s="432"/>
      <c r="ME52" s="432"/>
      <c r="MF52" s="432"/>
      <c r="MG52" s="432"/>
      <c r="MH52" s="432"/>
      <c r="MI52" s="432"/>
      <c r="MJ52" s="432"/>
      <c r="MK52" s="432"/>
      <c r="ML52" s="432"/>
      <c r="MM52" s="432"/>
      <c r="MN52" s="458"/>
      <c r="MO52" s="458"/>
      <c r="MP52" s="458"/>
      <c r="MQ52" s="458"/>
      <c r="MR52" s="458"/>
      <c r="MS52" s="458"/>
      <c r="MT52" s="458"/>
      <c r="MU52" s="458"/>
      <c r="MV52" s="458"/>
      <c r="MW52" s="458"/>
      <c r="MX52" s="458"/>
      <c r="MY52" s="458"/>
      <c r="MZ52" s="458"/>
      <c r="NA52" s="458"/>
      <c r="NB52" s="458"/>
      <c r="NC52" s="458"/>
      <c r="ND52" s="458"/>
      <c r="NE52" s="458"/>
      <c r="NF52" s="458"/>
      <c r="NG52" s="458"/>
      <c r="NH52" s="458"/>
      <c r="NI52" s="458"/>
      <c r="NJ52" s="458"/>
      <c r="NK52" s="458"/>
      <c r="NL52" s="458"/>
      <c r="NM52" s="458"/>
      <c r="NN52" s="458"/>
      <c r="NO52" s="458"/>
      <c r="NP52" s="458"/>
      <c r="NQ52" s="458"/>
      <c r="NR52" s="458"/>
      <c r="NS52" s="458"/>
      <c r="NT52" s="458"/>
      <c r="NU52" s="458"/>
      <c r="NV52" s="458"/>
      <c r="NW52" s="458"/>
      <c r="NX52" s="458"/>
      <c r="NY52" s="458"/>
      <c r="NZ52" s="458"/>
      <c r="OA52" s="458"/>
      <c r="OB52" s="458"/>
      <c r="OC52" s="458"/>
      <c r="OD52" s="458"/>
      <c r="OE52" s="458"/>
      <c r="OF52" s="458"/>
      <c r="OG52" s="458"/>
      <c r="OH52" s="458"/>
      <c r="OI52" s="458"/>
      <c r="OJ52" s="458"/>
      <c r="OK52" s="458"/>
      <c r="OL52" s="458"/>
      <c r="OM52" s="458"/>
      <c r="ON52" s="458"/>
      <c r="OO52" s="458"/>
      <c r="OP52" s="458"/>
      <c r="OQ52" s="458"/>
      <c r="OR52" s="458"/>
      <c r="OS52" s="458"/>
      <c r="OT52" s="458"/>
      <c r="OU52" s="458"/>
      <c r="OV52" s="458"/>
      <c r="OW52" s="458"/>
      <c r="OX52" s="458"/>
      <c r="OY52" s="458"/>
      <c r="OZ52" s="458"/>
      <c r="PA52" s="458"/>
      <c r="PB52" s="458"/>
      <c r="PC52" s="458"/>
      <c r="PD52" s="458"/>
      <c r="PE52" s="458"/>
      <c r="PF52" s="458"/>
      <c r="PG52" s="458"/>
      <c r="PH52" s="458"/>
      <c r="PI52" s="458"/>
      <c r="PJ52" s="458"/>
      <c r="PK52" s="458"/>
      <c r="PL52" s="458"/>
      <c r="PM52" s="458"/>
      <c r="PN52" s="458"/>
      <c r="PO52" s="458"/>
      <c r="PP52" s="458"/>
      <c r="PQ52" s="458"/>
      <c r="PR52" s="458"/>
      <c r="PS52" s="458"/>
      <c r="PT52" s="458"/>
      <c r="PU52" s="458"/>
      <c r="PV52" s="458"/>
      <c r="PW52" s="458"/>
      <c r="PX52" s="458"/>
      <c r="PY52" s="458"/>
      <c r="PZ52" s="458"/>
      <c r="QA52" s="458"/>
      <c r="QB52" s="458"/>
      <c r="QC52" s="458"/>
      <c r="QD52" s="458"/>
      <c r="QE52" s="458"/>
      <c r="QF52" s="458"/>
      <c r="QG52" s="458"/>
      <c r="QH52" s="458"/>
      <c r="QI52" s="458"/>
      <c r="QJ52" s="458"/>
      <c r="QK52" s="458"/>
      <c r="QL52" s="458"/>
      <c r="QM52" s="458"/>
      <c r="QN52" s="458"/>
      <c r="QO52" s="458"/>
      <c r="QP52" s="458"/>
      <c r="QQ52" s="458"/>
      <c r="QR52" s="458"/>
      <c r="QS52" s="458"/>
      <c r="QT52" s="458"/>
      <c r="QU52" s="458"/>
      <c r="QV52" s="458"/>
      <c r="QW52" s="458"/>
      <c r="QX52" s="458"/>
      <c r="QY52" s="458"/>
      <c r="QZ52" s="458"/>
      <c r="RA52" s="458"/>
      <c r="RB52" s="458"/>
      <c r="RC52" s="458"/>
      <c r="RD52" s="458"/>
      <c r="RE52" s="458"/>
      <c r="RF52" s="458"/>
      <c r="RG52" s="458"/>
      <c r="RH52" s="458"/>
      <c r="RI52" s="458"/>
      <c r="RJ52" s="458"/>
      <c r="RK52" s="458"/>
      <c r="RL52" s="458"/>
      <c r="RM52" s="458"/>
      <c r="RN52" s="458"/>
      <c r="RO52" s="458"/>
      <c r="RP52" s="458"/>
      <c r="RQ52" s="458"/>
      <c r="RR52" s="458"/>
      <c r="RS52" s="458"/>
      <c r="RT52" s="458"/>
      <c r="RU52" s="458"/>
      <c r="RV52" s="458"/>
      <c r="RW52" s="458"/>
      <c r="RX52" s="458"/>
      <c r="RY52" s="458"/>
      <c r="RZ52" s="458"/>
      <c r="SA52" s="458"/>
      <c r="SB52" s="458"/>
      <c r="SC52" s="458"/>
      <c r="SD52" s="458"/>
      <c r="SE52" s="458"/>
      <c r="SF52" s="458"/>
      <c r="SG52" s="458"/>
      <c r="SH52" s="458"/>
      <c r="SI52" s="458"/>
      <c r="SJ52" s="458"/>
      <c r="SK52" s="458"/>
      <c r="SL52" s="458"/>
      <c r="SM52" s="458"/>
      <c r="SN52" s="458"/>
      <c r="SO52" s="458"/>
      <c r="SP52" s="458"/>
      <c r="SQ52" s="458"/>
      <c r="SR52" s="458"/>
      <c r="SS52" s="458"/>
      <c r="ST52" s="458"/>
      <c r="SU52" s="458"/>
      <c r="SV52" s="458"/>
      <c r="SW52" s="458"/>
      <c r="SX52" s="458"/>
      <c r="SY52" s="458"/>
      <c r="SZ52" s="458"/>
      <c r="TA52" s="458"/>
      <c r="TB52" s="458"/>
      <c r="TC52" s="458"/>
      <c r="TD52" s="458"/>
      <c r="TE52" s="458"/>
      <c r="TF52" s="458"/>
      <c r="TG52" s="458"/>
      <c r="TH52" s="458"/>
      <c r="TI52" s="458"/>
      <c r="TJ52" s="458"/>
      <c r="TK52" s="458"/>
      <c r="TL52" s="458"/>
      <c r="TM52" s="458"/>
      <c r="TN52" s="458"/>
      <c r="TO52" s="458"/>
      <c r="TP52" s="458"/>
      <c r="TQ52" s="458"/>
      <c r="TR52" s="458"/>
      <c r="TS52" s="458"/>
      <c r="TT52" s="458"/>
      <c r="TU52" s="458"/>
      <c r="TV52" s="458"/>
      <c r="TW52" s="458"/>
      <c r="TX52" s="458"/>
      <c r="TY52" s="458"/>
      <c r="TZ52" s="458"/>
      <c r="UA52" s="458"/>
      <c r="UB52" s="458"/>
      <c r="UC52" s="458"/>
      <c r="UD52" s="458"/>
      <c r="UE52" s="458"/>
      <c r="UF52" s="458"/>
      <c r="UG52" s="458"/>
      <c r="UH52" s="458"/>
      <c r="UI52" s="458"/>
      <c r="UJ52" s="458"/>
      <c r="UK52" s="458"/>
      <c r="UL52" s="458"/>
      <c r="UM52" s="458"/>
      <c r="UN52" s="458"/>
      <c r="UO52" s="458"/>
      <c r="UP52" s="458"/>
      <c r="UQ52" s="458"/>
      <c r="UR52" s="458"/>
      <c r="US52" s="458"/>
      <c r="UT52" s="458"/>
      <c r="UU52" s="458"/>
      <c r="UV52" s="458"/>
      <c r="UW52" s="458"/>
      <c r="UX52" s="458"/>
      <c r="UY52" s="458"/>
      <c r="UZ52" s="458"/>
      <c r="VA52" s="458"/>
      <c r="VB52" s="458"/>
      <c r="VC52" s="458"/>
      <c r="VD52" s="458"/>
      <c r="VE52" s="458"/>
      <c r="VF52" s="458"/>
      <c r="VG52" s="458"/>
      <c r="VH52" s="458"/>
      <c r="VI52" s="458"/>
      <c r="VJ52" s="458"/>
      <c r="VK52" s="458"/>
      <c r="VL52" s="458"/>
      <c r="VM52" s="458"/>
      <c r="VN52" s="458"/>
      <c r="VO52" s="458"/>
      <c r="VP52" s="458"/>
      <c r="VQ52" s="458"/>
      <c r="VR52" s="458"/>
      <c r="VS52" s="458"/>
      <c r="VT52" s="458"/>
      <c r="VU52" s="458"/>
      <c r="VV52" s="458"/>
      <c r="VW52" s="458"/>
      <c r="VX52" s="458"/>
      <c r="VY52" s="458"/>
      <c r="VZ52" s="458"/>
      <c r="WA52" s="458"/>
      <c r="WB52" s="458"/>
      <c r="WC52" s="458"/>
      <c r="WD52" s="458"/>
      <c r="WE52" s="458"/>
      <c r="WF52" s="458"/>
      <c r="WG52" s="458"/>
      <c r="WH52" s="458"/>
      <c r="WI52" s="458"/>
      <c r="WJ52" s="458"/>
      <c r="WK52" s="458"/>
      <c r="WL52" s="458"/>
      <c r="WM52" s="458"/>
      <c r="WN52" s="458"/>
      <c r="WO52" s="458"/>
      <c r="WP52" s="458"/>
      <c r="WQ52" s="458"/>
      <c r="WR52" s="458"/>
      <c r="WS52" s="458"/>
      <c r="WT52" s="458"/>
      <c r="WU52" s="458"/>
      <c r="WV52" s="458"/>
      <c r="WW52" s="458"/>
      <c r="WX52" s="458"/>
      <c r="WY52" s="458"/>
      <c r="WZ52" s="458"/>
      <c r="XA52" s="458"/>
      <c r="XB52" s="458"/>
      <c r="XC52" s="458"/>
      <c r="XD52" s="458"/>
      <c r="XE52" s="458"/>
      <c r="XF52" s="458"/>
      <c r="XG52" s="458"/>
      <c r="XH52" s="458"/>
      <c r="XI52" s="458"/>
      <c r="XJ52" s="458"/>
      <c r="XK52" s="458"/>
      <c r="XL52" s="458"/>
      <c r="XM52" s="458"/>
      <c r="XN52" s="458"/>
      <c r="XO52" s="458"/>
      <c r="XP52" s="458"/>
      <c r="XQ52" s="458"/>
      <c r="XR52" s="458"/>
      <c r="XS52" s="458"/>
      <c r="XT52" s="458"/>
      <c r="XU52" s="458"/>
      <c r="XV52" s="458"/>
      <c r="XW52" s="458"/>
      <c r="XX52" s="458"/>
      <c r="XY52" s="458"/>
      <c r="XZ52" s="458"/>
      <c r="YA52" s="458"/>
      <c r="YB52" s="458"/>
      <c r="YC52" s="458"/>
      <c r="YD52" s="458"/>
      <c r="YE52" s="458"/>
      <c r="YF52" s="458"/>
      <c r="YG52" s="458"/>
      <c r="YH52" s="458"/>
      <c r="YI52" s="458"/>
      <c r="YJ52" s="458"/>
      <c r="YK52" s="458"/>
      <c r="YL52" s="458"/>
      <c r="YM52" s="458"/>
      <c r="YN52" s="458"/>
      <c r="YO52" s="458"/>
      <c r="YP52" s="458"/>
      <c r="YQ52" s="458"/>
      <c r="YR52" s="458"/>
      <c r="YS52" s="458"/>
      <c r="YT52" s="458"/>
      <c r="YU52" s="458"/>
      <c r="YV52" s="458"/>
      <c r="YW52" s="458"/>
      <c r="YX52" s="458"/>
      <c r="YY52" s="458"/>
      <c r="YZ52" s="458"/>
      <c r="ZA52" s="458"/>
      <c r="ZB52" s="458"/>
      <c r="ZC52" s="458"/>
      <c r="ZD52" s="458"/>
      <c r="ZE52" s="458"/>
    </row>
    <row r="53">
      <c r="A53" s="156" t="s">
        <v>2083</v>
      </c>
      <c r="B53" s="108" t="s">
        <v>2084</v>
      </c>
      <c r="C53" s="16"/>
      <c r="D53" s="16"/>
      <c r="E53" s="16"/>
      <c r="F53" s="16"/>
      <c r="G53" s="16"/>
      <c r="H53" s="25"/>
      <c r="I53" s="108" t="s">
        <v>329</v>
      </c>
      <c r="J53" s="16"/>
      <c r="K53" s="16"/>
      <c r="L53" s="16"/>
      <c r="M53" s="16"/>
      <c r="N53" s="16"/>
      <c r="O53" s="25"/>
      <c r="P53" s="108" t="s">
        <v>2085</v>
      </c>
      <c r="Q53" s="16"/>
      <c r="R53" s="16"/>
      <c r="S53" s="16"/>
      <c r="T53" s="16"/>
      <c r="U53" s="16"/>
      <c r="V53" s="25"/>
      <c r="W53" s="108" t="s">
        <v>667</v>
      </c>
      <c r="X53" s="16"/>
      <c r="Y53" s="16"/>
      <c r="Z53" s="16"/>
      <c r="AA53" s="16"/>
      <c r="AB53" s="16"/>
      <c r="AC53" s="25"/>
      <c r="AD53" s="108" t="s">
        <v>667</v>
      </c>
      <c r="AE53" s="16"/>
      <c r="AF53" s="16"/>
      <c r="AG53" s="16"/>
      <c r="AH53" s="16"/>
      <c r="AI53" s="16"/>
      <c r="AJ53" s="25"/>
      <c r="AK53" s="108" t="s">
        <v>2086</v>
      </c>
      <c r="AL53" s="16"/>
      <c r="AM53" s="16"/>
      <c r="AN53" s="16"/>
      <c r="AO53" s="16"/>
      <c r="AP53" s="16"/>
      <c r="AQ53" s="25"/>
      <c r="AR53" s="108" t="s">
        <v>2087</v>
      </c>
      <c r="AS53" s="16"/>
      <c r="AT53" s="16"/>
      <c r="AU53" s="16"/>
      <c r="AV53" s="16"/>
      <c r="AW53" s="16"/>
      <c r="AX53" s="25"/>
      <c r="AY53" s="108" t="s">
        <v>2086</v>
      </c>
      <c r="AZ53" s="16"/>
      <c r="BA53" s="16"/>
      <c r="BB53" s="16"/>
      <c r="BC53" s="16"/>
      <c r="BD53" s="16"/>
      <c r="BE53" s="25"/>
      <c r="BF53" s="108" t="s">
        <v>2089</v>
      </c>
      <c r="BG53" s="16"/>
      <c r="BH53" s="16"/>
      <c r="BI53" s="16"/>
      <c r="BJ53" s="16"/>
      <c r="BK53" s="16"/>
      <c r="BL53" s="25"/>
      <c r="BM53" s="108" t="s">
        <v>1160</v>
      </c>
      <c r="BN53" s="16"/>
      <c r="BO53" s="16"/>
      <c r="BP53" s="16"/>
      <c r="BQ53" s="16"/>
      <c r="BR53" s="16"/>
      <c r="BS53" s="25"/>
      <c r="BT53" s="108" t="s">
        <v>2090</v>
      </c>
      <c r="BU53" s="16"/>
      <c r="BV53" s="16"/>
      <c r="BW53" s="16"/>
      <c r="BX53" s="16"/>
      <c r="BY53" s="16"/>
      <c r="BZ53" s="25"/>
      <c r="CA53" s="108"/>
      <c r="CB53" s="16"/>
      <c r="CC53" s="16"/>
      <c r="CD53" s="16"/>
      <c r="CE53" s="16"/>
      <c r="CF53" s="16"/>
      <c r="CG53" s="25"/>
      <c r="CH53" s="108" t="s">
        <v>2091</v>
      </c>
      <c r="CI53" s="16"/>
      <c r="CJ53" s="16"/>
      <c r="CK53" s="16"/>
      <c r="CL53" s="16"/>
      <c r="CM53" s="16"/>
      <c r="CN53" s="25"/>
      <c r="CO53" s="108" t="s">
        <v>2092</v>
      </c>
      <c r="CP53" s="16"/>
      <c r="CQ53" s="16"/>
      <c r="CR53" s="16"/>
      <c r="CS53" s="16"/>
      <c r="CT53" s="16"/>
      <c r="CU53" s="25"/>
      <c r="CV53" s="108" t="s">
        <v>670</v>
      </c>
      <c r="CW53" s="16"/>
      <c r="CX53" s="16"/>
      <c r="CY53" s="16"/>
      <c r="CZ53" s="16"/>
      <c r="DA53" s="16"/>
      <c r="DB53" s="25"/>
      <c r="DC53" s="108" t="s">
        <v>670</v>
      </c>
      <c r="DD53" s="16"/>
      <c r="DE53" s="16"/>
      <c r="DF53" s="16"/>
      <c r="DG53" s="16"/>
      <c r="DH53" s="16"/>
      <c r="DI53" s="25"/>
      <c r="DJ53" s="108" t="s">
        <v>2022</v>
      </c>
      <c r="DK53" s="16"/>
      <c r="DL53" s="16"/>
      <c r="DM53" s="16"/>
      <c r="DN53" s="16"/>
      <c r="DO53" s="16"/>
      <c r="DP53" s="25"/>
      <c r="DQ53" s="108" t="s">
        <v>2022</v>
      </c>
      <c r="DR53" s="16"/>
      <c r="DS53" s="16"/>
      <c r="DT53" s="16"/>
      <c r="DU53" s="16"/>
      <c r="DV53" s="16"/>
      <c r="DW53" s="25"/>
      <c r="DX53" s="108" t="s">
        <v>2005</v>
      </c>
      <c r="DY53" s="16"/>
      <c r="DZ53" s="16"/>
      <c r="EA53" s="16"/>
      <c r="EB53" s="16"/>
      <c r="EC53" s="16"/>
      <c r="ED53" s="25"/>
      <c r="EE53" s="108" t="s">
        <v>2005</v>
      </c>
      <c r="EF53" s="16"/>
      <c r="EG53" s="16"/>
      <c r="EH53" s="16"/>
      <c r="EI53" s="16"/>
      <c r="EJ53" s="16"/>
      <c r="EK53" s="25"/>
      <c r="EL53" s="108"/>
      <c r="EM53" s="16"/>
      <c r="EN53" s="16"/>
      <c r="EO53" s="16"/>
      <c r="EP53" s="16"/>
      <c r="EQ53" s="16"/>
      <c r="ER53" s="25"/>
      <c r="ES53" s="108"/>
      <c r="ET53" s="16"/>
      <c r="EU53" s="16"/>
      <c r="EV53" s="16"/>
      <c r="EW53" s="16"/>
      <c r="EX53" s="16"/>
      <c r="EY53" s="25"/>
      <c r="EZ53" s="108"/>
      <c r="FA53" s="16"/>
      <c r="FB53" s="16"/>
      <c r="FC53" s="16"/>
      <c r="FD53" s="16"/>
      <c r="FE53" s="16"/>
      <c r="FF53" s="25"/>
      <c r="FG53" s="108"/>
      <c r="FH53" s="16"/>
      <c r="FI53" s="16"/>
      <c r="FJ53" s="16"/>
      <c r="FK53" s="16"/>
      <c r="FL53" s="16"/>
      <c r="FM53" s="25"/>
      <c r="FN53" s="108"/>
      <c r="FO53" s="16"/>
      <c r="FP53" s="16"/>
      <c r="FQ53" s="16"/>
      <c r="FR53" s="16"/>
      <c r="FS53" s="16"/>
      <c r="FT53" s="25"/>
      <c r="FU53" s="106"/>
      <c r="FV53" s="16"/>
      <c r="FW53" s="16"/>
      <c r="FX53" s="16"/>
      <c r="FY53" s="16"/>
      <c r="FZ53" s="16"/>
      <c r="GA53" s="25"/>
      <c r="GB53" s="106"/>
      <c r="GC53" s="16"/>
      <c r="GD53" s="16"/>
      <c r="GE53" s="16"/>
      <c r="GF53" s="16"/>
      <c r="GG53" s="16"/>
      <c r="GH53" s="25"/>
      <c r="GI53" s="108"/>
      <c r="GJ53" s="16"/>
      <c r="GK53" s="16"/>
      <c r="GL53" s="16"/>
      <c r="GM53" s="16"/>
      <c r="GN53" s="16"/>
      <c r="GO53" s="25"/>
      <c r="GP53" s="106"/>
      <c r="GQ53" s="16"/>
      <c r="GR53" s="16"/>
      <c r="GS53" s="16"/>
      <c r="GT53" s="16"/>
      <c r="GU53" s="16"/>
      <c r="GV53" s="25"/>
      <c r="GW53" s="108"/>
      <c r="GX53" s="16"/>
      <c r="GY53" s="16"/>
      <c r="GZ53" s="16"/>
      <c r="HA53" s="16"/>
      <c r="HB53" s="16"/>
      <c r="HC53" s="25"/>
      <c r="HD53" s="108"/>
      <c r="HE53" s="16"/>
      <c r="HF53" s="16"/>
      <c r="HG53" s="16"/>
      <c r="HH53" s="16"/>
      <c r="HI53" s="16"/>
      <c r="HJ53" s="25"/>
      <c r="HK53" s="108"/>
      <c r="HL53" s="16"/>
      <c r="HM53" s="16"/>
      <c r="HN53" s="16"/>
      <c r="HO53" s="16"/>
      <c r="HP53" s="16"/>
      <c r="HQ53" s="25"/>
      <c r="HR53" s="108"/>
      <c r="HS53" s="16"/>
      <c r="HT53" s="16"/>
      <c r="HU53" s="16"/>
      <c r="HV53" s="16"/>
      <c r="HW53" s="16"/>
      <c r="HX53" s="25"/>
      <c r="HY53" s="108"/>
      <c r="HZ53" s="16"/>
      <c r="IA53" s="16"/>
      <c r="IB53" s="16"/>
      <c r="IC53" s="16"/>
      <c r="ID53" s="16"/>
      <c r="IE53" s="25"/>
      <c r="IF53" s="108"/>
      <c r="IG53" s="16"/>
      <c r="IH53" s="16"/>
      <c r="II53" s="16"/>
      <c r="IJ53" s="16"/>
      <c r="IK53" s="16"/>
      <c r="IL53" s="25"/>
      <c r="IM53" s="108"/>
      <c r="IN53" s="16"/>
      <c r="IO53" s="16"/>
      <c r="IP53" s="16"/>
      <c r="IQ53" s="16"/>
      <c r="IR53" s="16"/>
      <c r="IS53" s="25"/>
      <c r="IT53" s="108"/>
      <c r="IU53" s="16"/>
      <c r="IV53" s="16"/>
      <c r="IW53" s="16"/>
      <c r="IX53" s="16"/>
      <c r="IY53" s="16"/>
      <c r="IZ53" s="25"/>
      <c r="JA53" s="108"/>
      <c r="JB53" s="16"/>
      <c r="JC53" s="16"/>
      <c r="JD53" s="16"/>
      <c r="JE53" s="16"/>
      <c r="JF53" s="16"/>
      <c r="JG53" s="25"/>
      <c r="JH53" s="108"/>
      <c r="JI53" s="16"/>
      <c r="JJ53" s="16"/>
      <c r="JK53" s="16"/>
      <c r="JL53" s="16"/>
      <c r="JM53" s="16"/>
      <c r="JN53" s="25"/>
      <c r="JO53" s="108"/>
      <c r="JP53" s="16"/>
      <c r="JQ53" s="16"/>
      <c r="JR53" s="16"/>
      <c r="JS53" s="16"/>
      <c r="JT53" s="16"/>
      <c r="JU53" s="25"/>
      <c r="JV53" s="108"/>
      <c r="JW53" s="16"/>
      <c r="JX53" s="16"/>
      <c r="JY53" s="16"/>
      <c r="JZ53" s="16"/>
      <c r="KA53" s="16"/>
      <c r="KB53" s="25"/>
      <c r="KC53" s="108"/>
      <c r="KD53" s="16"/>
      <c r="KE53" s="16"/>
      <c r="KF53" s="16"/>
      <c r="KG53" s="16"/>
      <c r="KH53" s="16"/>
      <c r="KI53" s="25"/>
      <c r="KJ53" s="108"/>
      <c r="KK53" s="16"/>
      <c r="KL53" s="16"/>
      <c r="KM53" s="16"/>
      <c r="KN53" s="16"/>
      <c r="KO53" s="16"/>
      <c r="KP53" s="25"/>
      <c r="KQ53" s="108"/>
      <c r="KR53" s="16"/>
      <c r="KS53" s="16"/>
      <c r="KT53" s="16"/>
      <c r="KU53" s="16"/>
      <c r="KV53" s="16"/>
      <c r="KW53" s="25"/>
      <c r="KX53" s="108"/>
      <c r="KY53" s="16"/>
      <c r="KZ53" s="16"/>
      <c r="LA53" s="16"/>
      <c r="LB53" s="16"/>
      <c r="LC53" s="16"/>
      <c r="LD53" s="25"/>
      <c r="LE53" s="108"/>
      <c r="LF53" s="16"/>
      <c r="LG53" s="16"/>
      <c r="LH53" s="16"/>
      <c r="LI53" s="16"/>
      <c r="LJ53" s="16"/>
      <c r="LK53" s="25"/>
      <c r="LL53" s="108"/>
      <c r="LM53" s="16"/>
      <c r="LN53" s="16"/>
      <c r="LO53" s="16"/>
      <c r="LP53" s="16"/>
      <c r="LQ53" s="16"/>
      <c r="LR53" s="25"/>
      <c r="LS53" s="108"/>
      <c r="LT53" s="16"/>
      <c r="LU53" s="16"/>
      <c r="LV53" s="16"/>
      <c r="LW53" s="16"/>
      <c r="LX53" s="16"/>
      <c r="LY53" s="25"/>
      <c r="LZ53" s="108"/>
      <c r="MA53" s="16"/>
      <c r="MB53" s="16"/>
      <c r="MC53" s="16"/>
      <c r="MD53" s="16"/>
      <c r="ME53" s="16"/>
      <c r="MF53" s="25"/>
      <c r="MG53" s="108"/>
      <c r="MH53" s="16"/>
      <c r="MI53" s="16"/>
      <c r="MJ53" s="16"/>
      <c r="MK53" s="16"/>
      <c r="ML53" s="16"/>
      <c r="MM53" s="25"/>
      <c r="MN53" s="388"/>
      <c r="MO53" s="16"/>
      <c r="MP53" s="16"/>
      <c r="MQ53" s="16"/>
      <c r="MR53" s="16"/>
      <c r="MS53" s="16"/>
      <c r="MT53" s="25"/>
      <c r="MU53" s="388"/>
      <c r="MV53" s="16"/>
      <c r="MW53" s="16"/>
      <c r="MX53" s="16"/>
      <c r="MY53" s="16"/>
      <c r="MZ53" s="16"/>
      <c r="NA53" s="25"/>
      <c r="NB53" s="399"/>
      <c r="NC53" s="399"/>
      <c r="ND53" s="399"/>
      <c r="NE53" s="399"/>
      <c r="NF53" s="399"/>
      <c r="NG53" s="399"/>
      <c r="NH53" s="399"/>
      <c r="NI53" s="399"/>
      <c r="NJ53" s="399"/>
      <c r="NK53" s="399"/>
      <c r="NL53" s="399"/>
      <c r="NM53" s="399"/>
      <c r="NN53" s="399"/>
      <c r="NO53" s="399"/>
      <c r="NP53" s="399"/>
      <c r="NQ53" s="399"/>
      <c r="NR53" s="399"/>
      <c r="NS53" s="399"/>
      <c r="NT53" s="399"/>
      <c r="NU53" s="399"/>
      <c r="NV53" s="399"/>
      <c r="NW53" s="399"/>
      <c r="NX53" s="399"/>
      <c r="NY53" s="399"/>
      <c r="NZ53" s="399"/>
      <c r="OA53" s="399"/>
      <c r="OB53" s="399"/>
      <c r="OC53" s="399"/>
      <c r="OD53" s="399"/>
      <c r="OE53" s="399"/>
      <c r="OF53" s="399"/>
      <c r="OG53" s="399"/>
      <c r="OH53" s="399"/>
      <c r="OI53" s="399"/>
      <c r="OJ53" s="399"/>
      <c r="OK53" s="399"/>
      <c r="OL53" s="399"/>
      <c r="OM53" s="399"/>
      <c r="ON53" s="399"/>
      <c r="OO53" s="399"/>
      <c r="OP53" s="399"/>
      <c r="OQ53" s="399"/>
      <c r="OR53" s="399"/>
      <c r="OS53" s="399"/>
      <c r="OT53" s="399"/>
      <c r="OU53" s="399"/>
      <c r="OV53" s="399"/>
      <c r="OW53" s="399"/>
      <c r="OX53" s="399"/>
      <c r="OY53" s="399"/>
      <c r="OZ53" s="399"/>
      <c r="PA53" s="399"/>
      <c r="PB53" s="399"/>
      <c r="PC53" s="399"/>
      <c r="PD53" s="399"/>
      <c r="PE53" s="399"/>
      <c r="PF53" s="399"/>
      <c r="PG53" s="399"/>
      <c r="PH53" s="399"/>
      <c r="PI53" s="399"/>
      <c r="PJ53" s="399"/>
      <c r="PK53" s="399"/>
      <c r="PL53" s="399"/>
      <c r="PM53" s="399"/>
      <c r="PN53" s="399"/>
      <c r="PO53" s="399"/>
      <c r="PP53" s="399"/>
      <c r="PQ53" s="399"/>
      <c r="PR53" s="399"/>
      <c r="PS53" s="399"/>
      <c r="PT53" s="399"/>
      <c r="PU53" s="399"/>
      <c r="PV53" s="399"/>
      <c r="PW53" s="399"/>
      <c r="PX53" s="399"/>
      <c r="PY53" s="399"/>
      <c r="PZ53" s="399"/>
      <c r="QA53" s="399"/>
      <c r="QB53" s="399"/>
      <c r="QC53" s="399"/>
      <c r="QD53" s="399"/>
      <c r="QE53" s="399"/>
      <c r="QF53" s="399"/>
      <c r="QG53" s="399"/>
      <c r="QH53" s="399"/>
      <c r="QI53" s="399"/>
      <c r="QJ53" s="399"/>
      <c r="QK53" s="399"/>
      <c r="QL53" s="399"/>
      <c r="QM53" s="399"/>
      <c r="QN53" s="399"/>
      <c r="QO53" s="399"/>
      <c r="QP53" s="399"/>
      <c r="QQ53" s="399"/>
      <c r="QR53" s="399"/>
      <c r="QS53" s="399"/>
      <c r="QT53" s="399"/>
      <c r="QU53" s="399"/>
      <c r="QV53" s="399"/>
      <c r="QW53" s="399"/>
      <c r="QX53" s="399"/>
      <c r="QY53" s="399"/>
      <c r="QZ53" s="399"/>
      <c r="RA53" s="399"/>
      <c r="RB53" s="399"/>
      <c r="RC53" s="399"/>
      <c r="RD53" s="399"/>
      <c r="RE53" s="399"/>
      <c r="RF53" s="399"/>
      <c r="RG53" s="399"/>
      <c r="RH53" s="399"/>
      <c r="RI53" s="399"/>
      <c r="RJ53" s="399"/>
      <c r="RK53" s="399"/>
      <c r="RL53" s="399"/>
      <c r="RM53" s="399"/>
      <c r="RN53" s="399"/>
      <c r="RO53" s="399"/>
      <c r="RP53" s="399"/>
      <c r="RQ53" s="399"/>
      <c r="RR53" s="399"/>
      <c r="RS53" s="399"/>
      <c r="RT53" s="399"/>
      <c r="RU53" s="399"/>
      <c r="RV53" s="399"/>
      <c r="RW53" s="399"/>
      <c r="RX53" s="399"/>
      <c r="RY53" s="399"/>
      <c r="RZ53" s="399"/>
      <c r="SA53" s="399"/>
      <c r="SB53" s="399"/>
      <c r="SC53" s="399"/>
      <c r="SD53" s="399"/>
      <c r="SE53" s="399"/>
      <c r="SF53" s="399"/>
      <c r="SG53" s="399"/>
      <c r="SH53" s="399"/>
      <c r="SI53" s="399"/>
      <c r="SJ53" s="399"/>
      <c r="SK53" s="399"/>
      <c r="SL53" s="399"/>
      <c r="SM53" s="399"/>
      <c r="SN53" s="399"/>
      <c r="SO53" s="399"/>
      <c r="SP53" s="399"/>
      <c r="SQ53" s="399"/>
      <c r="SR53" s="399"/>
      <c r="SS53" s="399"/>
      <c r="ST53" s="399"/>
      <c r="SU53" s="399"/>
      <c r="SV53" s="399"/>
      <c r="SW53" s="399"/>
      <c r="SX53" s="399"/>
      <c r="SY53" s="399"/>
      <c r="SZ53" s="399"/>
      <c r="TA53" s="399"/>
      <c r="TB53" s="399"/>
      <c r="TC53" s="399"/>
      <c r="TD53" s="399"/>
      <c r="TE53" s="399"/>
      <c r="TF53" s="399"/>
      <c r="TG53" s="399"/>
      <c r="TH53" s="399"/>
      <c r="TI53" s="399"/>
      <c r="TJ53" s="399"/>
      <c r="TK53" s="399"/>
      <c r="TL53" s="399"/>
      <c r="TM53" s="399"/>
      <c r="TN53" s="399"/>
      <c r="TO53" s="399"/>
      <c r="TP53" s="399"/>
      <c r="TQ53" s="399"/>
      <c r="TR53" s="399"/>
      <c r="TS53" s="399"/>
      <c r="TT53" s="399"/>
      <c r="TU53" s="399"/>
      <c r="TV53" s="399"/>
      <c r="TW53" s="399"/>
      <c r="TX53" s="399"/>
      <c r="TY53" s="399"/>
      <c r="TZ53" s="399"/>
      <c r="UA53" s="399"/>
      <c r="UB53" s="399"/>
      <c r="UC53" s="399"/>
      <c r="UD53" s="399"/>
      <c r="UE53" s="399"/>
      <c r="UF53" s="399"/>
      <c r="UG53" s="399"/>
      <c r="UH53" s="399"/>
      <c r="UI53" s="399"/>
      <c r="UJ53" s="399"/>
      <c r="UK53" s="399"/>
      <c r="UL53" s="399"/>
      <c r="UM53" s="399"/>
      <c r="UN53" s="399"/>
      <c r="UO53" s="399"/>
      <c r="UP53" s="399"/>
      <c r="UQ53" s="399"/>
      <c r="UR53" s="399"/>
      <c r="US53" s="399"/>
      <c r="UT53" s="399"/>
      <c r="UU53" s="399"/>
      <c r="UV53" s="399"/>
      <c r="UW53" s="399"/>
      <c r="UX53" s="399"/>
      <c r="UY53" s="399"/>
      <c r="UZ53" s="399"/>
      <c r="VA53" s="399"/>
      <c r="VB53" s="399"/>
      <c r="VC53" s="399"/>
      <c r="VD53" s="399"/>
      <c r="VE53" s="399"/>
      <c r="VF53" s="399"/>
      <c r="VG53" s="399"/>
      <c r="VH53" s="399"/>
      <c r="VI53" s="399"/>
      <c r="VJ53" s="399"/>
      <c r="VK53" s="399"/>
      <c r="VL53" s="399"/>
      <c r="VM53" s="399"/>
      <c r="VN53" s="399"/>
      <c r="VO53" s="399"/>
      <c r="VP53" s="399"/>
      <c r="VQ53" s="399"/>
      <c r="VR53" s="399"/>
      <c r="VS53" s="399"/>
      <c r="VT53" s="399"/>
      <c r="VU53" s="399"/>
      <c r="VV53" s="399"/>
      <c r="VW53" s="399"/>
      <c r="VX53" s="399"/>
      <c r="VY53" s="399"/>
      <c r="VZ53" s="399"/>
      <c r="WA53" s="399"/>
      <c r="WB53" s="399"/>
      <c r="WC53" s="399"/>
      <c r="WD53" s="399"/>
      <c r="WE53" s="399"/>
      <c r="WF53" s="399"/>
      <c r="WG53" s="399"/>
      <c r="WH53" s="399"/>
      <c r="WI53" s="399"/>
      <c r="WJ53" s="399"/>
      <c r="WK53" s="399"/>
      <c r="WL53" s="399"/>
      <c r="WM53" s="399"/>
      <c r="WN53" s="399"/>
      <c r="WO53" s="399"/>
      <c r="WP53" s="399"/>
      <c r="WQ53" s="399"/>
      <c r="WR53" s="399"/>
      <c r="WS53" s="399"/>
      <c r="WT53" s="399"/>
      <c r="WU53" s="399"/>
      <c r="WV53" s="399"/>
      <c r="WW53" s="399"/>
      <c r="WX53" s="399"/>
      <c r="WY53" s="399"/>
      <c r="WZ53" s="399"/>
      <c r="XA53" s="399"/>
      <c r="XB53" s="399"/>
      <c r="XC53" s="399"/>
      <c r="XD53" s="399"/>
      <c r="XE53" s="399"/>
      <c r="XF53" s="399"/>
      <c r="XG53" s="399"/>
      <c r="XH53" s="399"/>
      <c r="XI53" s="399"/>
      <c r="XJ53" s="399"/>
      <c r="XK53" s="399"/>
      <c r="XL53" s="399"/>
      <c r="XM53" s="399"/>
      <c r="XN53" s="399"/>
      <c r="XO53" s="399"/>
      <c r="XP53" s="399"/>
      <c r="XQ53" s="399"/>
      <c r="XR53" s="399"/>
      <c r="XS53" s="399"/>
      <c r="XT53" s="399"/>
      <c r="XU53" s="399"/>
      <c r="XV53" s="399"/>
      <c r="XW53" s="399"/>
      <c r="XX53" s="399"/>
      <c r="XY53" s="399"/>
      <c r="XZ53" s="399"/>
      <c r="YA53" s="399"/>
      <c r="YB53" s="399"/>
      <c r="YC53" s="399"/>
      <c r="YD53" s="399"/>
      <c r="YE53" s="399"/>
      <c r="YF53" s="399"/>
      <c r="YG53" s="399"/>
      <c r="YH53" s="399"/>
      <c r="YI53" s="399"/>
      <c r="YJ53" s="399"/>
      <c r="YK53" s="399"/>
      <c r="YL53" s="399"/>
      <c r="YM53" s="399"/>
      <c r="YN53" s="399"/>
      <c r="YO53" s="399"/>
      <c r="YP53" s="399"/>
      <c r="YQ53" s="399"/>
      <c r="YR53" s="399"/>
      <c r="YS53" s="399"/>
      <c r="YT53" s="399"/>
      <c r="YU53" s="399"/>
      <c r="YV53" s="399"/>
      <c r="YW53" s="399"/>
      <c r="YX53" s="399"/>
      <c r="YY53" s="399"/>
      <c r="YZ53" s="399"/>
      <c r="ZA53" s="399"/>
      <c r="ZB53" s="399"/>
      <c r="ZC53" s="399"/>
      <c r="ZD53" s="399"/>
      <c r="ZE53" s="399"/>
    </row>
    <row r="54">
      <c r="A54" s="156" t="s">
        <v>2053</v>
      </c>
      <c r="B54" s="108" t="s">
        <v>2103</v>
      </c>
      <c r="C54" s="16"/>
      <c r="D54" s="16"/>
      <c r="E54" s="16"/>
      <c r="F54" s="16"/>
      <c r="G54" s="16"/>
      <c r="H54" s="25"/>
      <c r="I54" s="108" t="s">
        <v>417</v>
      </c>
      <c r="J54" s="16"/>
      <c r="K54" s="16"/>
      <c r="L54" s="16"/>
      <c r="M54" s="16"/>
      <c r="N54" s="16"/>
      <c r="O54" s="25"/>
      <c r="P54" s="108" t="s">
        <v>2104</v>
      </c>
      <c r="Q54" s="16"/>
      <c r="R54" s="16"/>
      <c r="S54" s="16"/>
      <c r="T54" s="16"/>
      <c r="U54" s="16"/>
      <c r="V54" s="25"/>
      <c r="W54" s="108" t="s">
        <v>2105</v>
      </c>
      <c r="X54" s="16"/>
      <c r="Y54" s="16"/>
      <c r="Z54" s="16"/>
      <c r="AA54" s="16"/>
      <c r="AB54" s="16"/>
      <c r="AC54" s="25"/>
      <c r="AD54" s="108" t="s">
        <v>2106</v>
      </c>
      <c r="AE54" s="16"/>
      <c r="AF54" s="16"/>
      <c r="AG54" s="16"/>
      <c r="AH54" s="16"/>
      <c r="AI54" s="16"/>
      <c r="AJ54" s="25"/>
      <c r="AK54" s="108" t="s">
        <v>2107</v>
      </c>
      <c r="AL54" s="16"/>
      <c r="AM54" s="16"/>
      <c r="AN54" s="16"/>
      <c r="AO54" s="16"/>
      <c r="AP54" s="16"/>
      <c r="AQ54" s="25"/>
      <c r="AR54" s="420" t="s">
        <v>2108</v>
      </c>
      <c r="AS54" s="16"/>
      <c r="AT54" s="16"/>
      <c r="AU54" s="16"/>
      <c r="AV54" s="16"/>
      <c r="AW54" s="16"/>
      <c r="AX54" s="25"/>
      <c r="AY54" s="108" t="s">
        <v>2109</v>
      </c>
      <c r="AZ54" s="16"/>
      <c r="BA54" s="16"/>
      <c r="BB54" s="16"/>
      <c r="BC54" s="16"/>
      <c r="BD54" s="16"/>
      <c r="BE54" s="25"/>
      <c r="BF54" s="108" t="s">
        <v>2110</v>
      </c>
      <c r="BG54" s="16"/>
      <c r="BH54" s="16"/>
      <c r="BI54" s="16"/>
      <c r="BJ54" s="16"/>
      <c r="BK54" s="16"/>
      <c r="BL54" s="25"/>
      <c r="BM54" s="108" t="s">
        <v>2111</v>
      </c>
      <c r="BN54" s="16"/>
      <c r="BO54" s="16"/>
      <c r="BP54" s="16"/>
      <c r="BQ54" s="16"/>
      <c r="BR54" s="16"/>
      <c r="BS54" s="25"/>
      <c r="BT54" s="108"/>
      <c r="BU54" s="16"/>
      <c r="BV54" s="16"/>
      <c r="BW54" s="16"/>
      <c r="BX54" s="16"/>
      <c r="BY54" s="16"/>
      <c r="BZ54" s="25"/>
      <c r="CA54" s="108" t="s">
        <v>2112</v>
      </c>
      <c r="CB54" s="16"/>
      <c r="CC54" s="16"/>
      <c r="CD54" s="16"/>
      <c r="CE54" s="16"/>
      <c r="CF54" s="16"/>
      <c r="CG54" s="25"/>
      <c r="CH54" s="108"/>
      <c r="CI54" s="16"/>
      <c r="CJ54" s="16"/>
      <c r="CK54" s="16"/>
      <c r="CL54" s="16"/>
      <c r="CM54" s="16"/>
      <c r="CN54" s="25"/>
      <c r="CO54" s="108"/>
      <c r="CP54" s="16"/>
      <c r="CQ54" s="16"/>
      <c r="CR54" s="16"/>
      <c r="CS54" s="16"/>
      <c r="CT54" s="16"/>
      <c r="CU54" s="25"/>
      <c r="CV54" s="108" t="s">
        <v>2105</v>
      </c>
      <c r="CW54" s="16"/>
      <c r="CX54" s="16"/>
      <c r="CY54" s="16"/>
      <c r="CZ54" s="16"/>
      <c r="DA54" s="16"/>
      <c r="DB54" s="25"/>
      <c r="DC54" s="108" t="s">
        <v>2106</v>
      </c>
      <c r="DD54" s="16"/>
      <c r="DE54" s="16"/>
      <c r="DF54" s="16"/>
      <c r="DG54" s="16"/>
      <c r="DH54" s="16"/>
      <c r="DI54" s="25"/>
      <c r="DJ54" s="108" t="s">
        <v>2114</v>
      </c>
      <c r="DK54" s="16"/>
      <c r="DL54" s="16"/>
      <c r="DM54" s="16"/>
      <c r="DN54" s="16"/>
      <c r="DO54" s="16"/>
      <c r="DP54" s="25"/>
      <c r="DQ54" s="108" t="s">
        <v>2116</v>
      </c>
      <c r="DR54" s="16"/>
      <c r="DS54" s="16"/>
      <c r="DT54" s="16"/>
      <c r="DU54" s="16"/>
      <c r="DV54" s="16"/>
      <c r="DW54" s="25"/>
      <c r="DX54" s="231" t="s">
        <v>2117</v>
      </c>
      <c r="DY54" s="16"/>
      <c r="DZ54" s="16"/>
      <c r="EA54" s="16"/>
      <c r="EB54" s="16"/>
      <c r="EC54" s="16"/>
      <c r="ED54" s="25"/>
      <c r="EE54" s="108"/>
      <c r="EF54" s="16"/>
      <c r="EG54" s="16"/>
      <c r="EH54" s="16"/>
      <c r="EI54" s="16"/>
      <c r="EJ54" s="16"/>
      <c r="EK54" s="25"/>
      <c r="EL54" s="108"/>
      <c r="EM54" s="16"/>
      <c r="EN54" s="16"/>
      <c r="EO54" s="16"/>
      <c r="EP54" s="16"/>
      <c r="EQ54" s="16"/>
      <c r="ER54" s="25"/>
      <c r="ES54" s="108"/>
      <c r="ET54" s="16"/>
      <c r="EU54" s="16"/>
      <c r="EV54" s="16"/>
      <c r="EW54" s="16"/>
      <c r="EX54" s="16"/>
      <c r="EY54" s="25"/>
      <c r="EZ54" s="108"/>
      <c r="FA54" s="16"/>
      <c r="FB54" s="16"/>
      <c r="FC54" s="16"/>
      <c r="FD54" s="16"/>
      <c r="FE54" s="16"/>
      <c r="FF54" s="25"/>
      <c r="FG54" s="108"/>
      <c r="FH54" s="16"/>
      <c r="FI54" s="16"/>
      <c r="FJ54" s="16"/>
      <c r="FK54" s="16"/>
      <c r="FL54" s="16"/>
      <c r="FM54" s="25"/>
      <c r="FN54" s="388"/>
      <c r="FO54" s="16"/>
      <c r="FP54" s="16"/>
      <c r="FQ54" s="16"/>
      <c r="FR54" s="16"/>
      <c r="FS54" s="16"/>
      <c r="FT54" s="25"/>
      <c r="FU54" s="108"/>
      <c r="FV54" s="16"/>
      <c r="FW54" s="16"/>
      <c r="FX54" s="16"/>
      <c r="FY54" s="16"/>
      <c r="FZ54" s="16"/>
      <c r="GA54" s="25"/>
      <c r="GB54" s="108"/>
      <c r="GC54" s="16"/>
      <c r="GD54" s="16"/>
      <c r="GE54" s="16"/>
      <c r="GF54" s="16"/>
      <c r="GG54" s="16"/>
      <c r="GH54" s="25"/>
      <c r="GI54" s="108"/>
      <c r="GJ54" s="16"/>
      <c r="GK54" s="16"/>
      <c r="GL54" s="16"/>
      <c r="GM54" s="16"/>
      <c r="GN54" s="16"/>
      <c r="GO54" s="25"/>
      <c r="GP54" s="108"/>
      <c r="GQ54" s="16"/>
      <c r="GR54" s="16"/>
      <c r="GS54" s="16"/>
      <c r="GT54" s="16"/>
      <c r="GU54" s="16"/>
      <c r="GV54" s="25"/>
      <c r="GW54" s="108"/>
      <c r="GX54" s="16"/>
      <c r="GY54" s="16"/>
      <c r="GZ54" s="16"/>
      <c r="HA54" s="16"/>
      <c r="HB54" s="16"/>
      <c r="HC54" s="25"/>
      <c r="HD54" s="108"/>
      <c r="HE54" s="16"/>
      <c r="HF54" s="16"/>
      <c r="HG54" s="16"/>
      <c r="HH54" s="16"/>
      <c r="HI54" s="16"/>
      <c r="HJ54" s="25"/>
      <c r="HK54" s="108"/>
      <c r="HL54" s="16"/>
      <c r="HM54" s="16"/>
      <c r="HN54" s="16"/>
      <c r="HO54" s="16"/>
      <c r="HP54" s="16"/>
      <c r="HQ54" s="25"/>
      <c r="HR54" s="108"/>
      <c r="HS54" s="16"/>
      <c r="HT54" s="16"/>
      <c r="HU54" s="16"/>
      <c r="HV54" s="16"/>
      <c r="HW54" s="16"/>
      <c r="HX54" s="25"/>
      <c r="HY54" s="108"/>
      <c r="HZ54" s="16"/>
      <c r="IA54" s="16"/>
      <c r="IB54" s="16"/>
      <c r="IC54" s="16"/>
      <c r="ID54" s="16"/>
      <c r="IE54" s="25"/>
      <c r="IF54" s="343"/>
      <c r="IG54" s="343"/>
      <c r="IH54" s="343"/>
      <c r="II54" s="343"/>
      <c r="IJ54" s="343"/>
      <c r="IK54" s="343"/>
      <c r="IL54" s="343"/>
      <c r="IM54" s="108"/>
      <c r="IN54" s="16"/>
      <c r="IO54" s="16"/>
      <c r="IP54" s="16"/>
      <c r="IQ54" s="16"/>
      <c r="IR54" s="16"/>
      <c r="IS54" s="25"/>
      <c r="IT54" s="108"/>
      <c r="IU54" s="16"/>
      <c r="IV54" s="16"/>
      <c r="IW54" s="16"/>
      <c r="IX54" s="16"/>
      <c r="IY54" s="16"/>
      <c r="IZ54" s="25"/>
      <c r="JA54" s="108"/>
      <c r="JB54" s="16"/>
      <c r="JC54" s="16"/>
      <c r="JD54" s="16"/>
      <c r="JE54" s="16"/>
      <c r="JF54" s="16"/>
      <c r="JG54" s="25"/>
      <c r="JH54" s="108"/>
      <c r="JI54" s="16"/>
      <c r="JJ54" s="16"/>
      <c r="JK54" s="16"/>
      <c r="JL54" s="16"/>
      <c r="JM54" s="16"/>
      <c r="JN54" s="25"/>
      <c r="JO54" s="388"/>
      <c r="JP54" s="16"/>
      <c r="JQ54" s="16"/>
      <c r="JR54" s="16"/>
      <c r="JS54" s="16"/>
      <c r="JT54" s="16"/>
      <c r="JU54" s="25"/>
      <c r="JV54" s="108"/>
      <c r="JW54" s="16"/>
      <c r="JX54" s="16"/>
      <c r="JY54" s="16"/>
      <c r="JZ54" s="16"/>
      <c r="KA54" s="16"/>
      <c r="KB54" s="25"/>
      <c r="KC54" s="108"/>
      <c r="KD54" s="16"/>
      <c r="KE54" s="16"/>
      <c r="KF54" s="16"/>
      <c r="KG54" s="16"/>
      <c r="KH54" s="16"/>
      <c r="KI54" s="25"/>
      <c r="KJ54" s="108"/>
      <c r="KK54" s="16"/>
      <c r="KL54" s="16"/>
      <c r="KM54" s="16"/>
      <c r="KN54" s="16"/>
      <c r="KO54" s="16"/>
      <c r="KP54" s="25"/>
      <c r="KQ54" s="108"/>
      <c r="KR54" s="16"/>
      <c r="KS54" s="16"/>
      <c r="KT54" s="16"/>
      <c r="KU54" s="16"/>
      <c r="KV54" s="16"/>
      <c r="KW54" s="25"/>
      <c r="KX54" s="108"/>
      <c r="KY54" s="16"/>
      <c r="KZ54" s="16"/>
      <c r="LA54" s="16"/>
      <c r="LB54" s="16"/>
      <c r="LC54" s="16"/>
      <c r="LD54" s="25"/>
      <c r="LE54" s="108"/>
      <c r="LF54" s="16"/>
      <c r="LG54" s="16"/>
      <c r="LH54" s="16"/>
      <c r="LI54" s="16"/>
      <c r="LJ54" s="16"/>
      <c r="LK54" s="25"/>
      <c r="LL54" s="108"/>
      <c r="LM54" s="16"/>
      <c r="LN54" s="16"/>
      <c r="LO54" s="16"/>
      <c r="LP54" s="16"/>
      <c r="LQ54" s="16"/>
      <c r="LR54" s="25"/>
      <c r="LS54" s="108"/>
      <c r="LT54" s="16"/>
      <c r="LU54" s="16"/>
      <c r="LV54" s="16"/>
      <c r="LW54" s="16"/>
      <c r="LX54" s="16"/>
      <c r="LY54" s="25"/>
      <c r="LZ54" s="388"/>
      <c r="MA54" s="16"/>
      <c r="MB54" s="16"/>
      <c r="MC54" s="16"/>
      <c r="MD54" s="16"/>
      <c r="ME54" s="16"/>
      <c r="MF54" s="25"/>
      <c r="MG54" s="388"/>
      <c r="MH54" s="16"/>
      <c r="MI54" s="16"/>
      <c r="MJ54" s="16"/>
      <c r="MK54" s="16"/>
      <c r="ML54" s="16"/>
      <c r="MM54" s="25"/>
      <c r="MN54" s="388"/>
      <c r="MO54" s="16"/>
      <c r="MP54" s="16"/>
      <c r="MQ54" s="16"/>
      <c r="MR54" s="16"/>
      <c r="MS54" s="16"/>
      <c r="MT54" s="25"/>
      <c r="MU54" s="388"/>
      <c r="MV54" s="16"/>
      <c r="MW54" s="16"/>
      <c r="MX54" s="16"/>
      <c r="MY54" s="16"/>
      <c r="MZ54" s="16"/>
      <c r="NA54" s="25"/>
      <c r="NB54" s="399"/>
      <c r="NC54" s="399"/>
      <c r="ND54" s="399"/>
      <c r="NE54" s="399"/>
      <c r="NF54" s="399"/>
      <c r="NG54" s="399"/>
      <c r="NH54" s="399"/>
      <c r="NI54" s="399"/>
      <c r="NJ54" s="399"/>
      <c r="NK54" s="399"/>
      <c r="NL54" s="399"/>
      <c r="NM54" s="399"/>
      <c r="NN54" s="399"/>
      <c r="NO54" s="399"/>
      <c r="NP54" s="399"/>
      <c r="NQ54" s="399"/>
      <c r="NR54" s="399"/>
      <c r="NS54" s="399"/>
      <c r="NT54" s="399"/>
      <c r="NU54" s="399"/>
      <c r="NV54" s="399"/>
      <c r="NW54" s="399"/>
      <c r="NX54" s="399"/>
      <c r="NY54" s="399"/>
      <c r="NZ54" s="399"/>
      <c r="OA54" s="399"/>
      <c r="OB54" s="399"/>
      <c r="OC54" s="399"/>
      <c r="OD54" s="399"/>
      <c r="OE54" s="399"/>
      <c r="OF54" s="399"/>
      <c r="OG54" s="399"/>
      <c r="OH54" s="399"/>
      <c r="OI54" s="399"/>
      <c r="OJ54" s="399"/>
      <c r="OK54" s="399"/>
      <c r="OL54" s="399"/>
      <c r="OM54" s="399"/>
      <c r="ON54" s="399"/>
      <c r="OO54" s="399"/>
      <c r="OP54" s="399"/>
      <c r="OQ54" s="399"/>
      <c r="OR54" s="399"/>
      <c r="OS54" s="399"/>
      <c r="OT54" s="399"/>
      <c r="OU54" s="399"/>
      <c r="OV54" s="399"/>
      <c r="OW54" s="399"/>
      <c r="OX54" s="399"/>
      <c r="OY54" s="399"/>
      <c r="OZ54" s="399"/>
      <c r="PA54" s="399"/>
      <c r="PB54" s="399"/>
      <c r="PC54" s="399"/>
      <c r="PD54" s="399"/>
      <c r="PE54" s="399"/>
      <c r="PF54" s="399"/>
      <c r="PG54" s="399"/>
      <c r="PH54" s="399"/>
      <c r="PI54" s="399"/>
      <c r="PJ54" s="399"/>
      <c r="PK54" s="399"/>
      <c r="PL54" s="399"/>
      <c r="PM54" s="399"/>
      <c r="PN54" s="399"/>
      <c r="PO54" s="399"/>
      <c r="PP54" s="399"/>
      <c r="PQ54" s="399"/>
      <c r="PR54" s="399"/>
      <c r="PS54" s="399"/>
      <c r="PT54" s="399"/>
      <c r="PU54" s="399"/>
      <c r="PV54" s="399"/>
      <c r="PW54" s="399"/>
      <c r="PX54" s="399"/>
      <c r="PY54" s="399"/>
      <c r="PZ54" s="399"/>
      <c r="QA54" s="399"/>
      <c r="QB54" s="399"/>
      <c r="QC54" s="399"/>
      <c r="QD54" s="399"/>
      <c r="QE54" s="399"/>
      <c r="QF54" s="399"/>
      <c r="QG54" s="399"/>
      <c r="QH54" s="399"/>
      <c r="QI54" s="399"/>
      <c r="QJ54" s="399"/>
      <c r="QK54" s="399"/>
      <c r="QL54" s="399"/>
      <c r="QM54" s="399"/>
      <c r="QN54" s="399"/>
      <c r="QO54" s="399"/>
      <c r="QP54" s="399"/>
      <c r="QQ54" s="399"/>
      <c r="QR54" s="399"/>
      <c r="QS54" s="399"/>
      <c r="QT54" s="399"/>
      <c r="QU54" s="399"/>
      <c r="QV54" s="399"/>
      <c r="QW54" s="399"/>
      <c r="QX54" s="399"/>
      <c r="QY54" s="399"/>
      <c r="QZ54" s="399"/>
      <c r="RA54" s="399"/>
      <c r="RB54" s="399"/>
      <c r="RC54" s="399"/>
      <c r="RD54" s="399"/>
      <c r="RE54" s="399"/>
      <c r="RF54" s="399"/>
      <c r="RG54" s="399"/>
      <c r="RH54" s="399"/>
      <c r="RI54" s="399"/>
      <c r="RJ54" s="399"/>
      <c r="RK54" s="399"/>
      <c r="RL54" s="399"/>
      <c r="RM54" s="399"/>
      <c r="RN54" s="399"/>
      <c r="RO54" s="399"/>
      <c r="RP54" s="399"/>
      <c r="RQ54" s="399"/>
      <c r="RR54" s="399"/>
      <c r="RS54" s="399"/>
      <c r="RT54" s="399"/>
      <c r="RU54" s="399"/>
      <c r="RV54" s="399"/>
      <c r="RW54" s="399"/>
      <c r="RX54" s="399"/>
      <c r="RY54" s="399"/>
      <c r="RZ54" s="399"/>
      <c r="SA54" s="399"/>
      <c r="SB54" s="399"/>
      <c r="SC54" s="399"/>
      <c r="SD54" s="399"/>
      <c r="SE54" s="399"/>
      <c r="SF54" s="399"/>
      <c r="SG54" s="399"/>
      <c r="SH54" s="399"/>
      <c r="SI54" s="399"/>
      <c r="SJ54" s="399"/>
      <c r="SK54" s="399"/>
      <c r="SL54" s="399"/>
      <c r="SM54" s="399"/>
      <c r="SN54" s="399"/>
      <c r="SO54" s="399"/>
      <c r="SP54" s="399"/>
      <c r="SQ54" s="399"/>
      <c r="SR54" s="399"/>
      <c r="SS54" s="399"/>
      <c r="ST54" s="399"/>
      <c r="SU54" s="399"/>
      <c r="SV54" s="399"/>
      <c r="SW54" s="399"/>
      <c r="SX54" s="399"/>
      <c r="SY54" s="399"/>
      <c r="SZ54" s="399"/>
      <c r="TA54" s="399"/>
      <c r="TB54" s="399"/>
      <c r="TC54" s="399"/>
      <c r="TD54" s="399"/>
      <c r="TE54" s="399"/>
      <c r="TF54" s="399"/>
      <c r="TG54" s="399"/>
      <c r="TH54" s="399"/>
      <c r="TI54" s="399"/>
      <c r="TJ54" s="399"/>
      <c r="TK54" s="399"/>
      <c r="TL54" s="399"/>
      <c r="TM54" s="399"/>
      <c r="TN54" s="399"/>
      <c r="TO54" s="399"/>
      <c r="TP54" s="399"/>
      <c r="TQ54" s="399"/>
      <c r="TR54" s="399"/>
      <c r="TS54" s="399"/>
      <c r="TT54" s="399"/>
      <c r="TU54" s="399"/>
      <c r="TV54" s="399"/>
      <c r="TW54" s="399"/>
      <c r="TX54" s="399"/>
      <c r="TY54" s="399"/>
      <c r="TZ54" s="399"/>
      <c r="UA54" s="399"/>
      <c r="UB54" s="399"/>
      <c r="UC54" s="399"/>
      <c r="UD54" s="399"/>
      <c r="UE54" s="399"/>
      <c r="UF54" s="399"/>
      <c r="UG54" s="399"/>
      <c r="UH54" s="399"/>
      <c r="UI54" s="399"/>
      <c r="UJ54" s="399"/>
      <c r="UK54" s="399"/>
      <c r="UL54" s="399"/>
      <c r="UM54" s="399"/>
      <c r="UN54" s="399"/>
      <c r="UO54" s="399"/>
      <c r="UP54" s="399"/>
      <c r="UQ54" s="399"/>
      <c r="UR54" s="399"/>
      <c r="US54" s="399"/>
      <c r="UT54" s="399"/>
      <c r="UU54" s="399"/>
      <c r="UV54" s="399"/>
      <c r="UW54" s="399"/>
      <c r="UX54" s="399"/>
      <c r="UY54" s="399"/>
      <c r="UZ54" s="399"/>
      <c r="VA54" s="399"/>
      <c r="VB54" s="399"/>
      <c r="VC54" s="399"/>
      <c r="VD54" s="399"/>
      <c r="VE54" s="399"/>
      <c r="VF54" s="399"/>
      <c r="VG54" s="399"/>
      <c r="VH54" s="399"/>
      <c r="VI54" s="399"/>
      <c r="VJ54" s="399"/>
      <c r="VK54" s="399"/>
      <c r="VL54" s="399"/>
      <c r="VM54" s="399"/>
      <c r="VN54" s="399"/>
      <c r="VO54" s="399"/>
      <c r="VP54" s="399"/>
      <c r="VQ54" s="399"/>
      <c r="VR54" s="399"/>
      <c r="VS54" s="399"/>
      <c r="VT54" s="399"/>
      <c r="VU54" s="399"/>
      <c r="VV54" s="399"/>
      <c r="VW54" s="399"/>
      <c r="VX54" s="399"/>
      <c r="VY54" s="399"/>
      <c r="VZ54" s="399"/>
      <c r="WA54" s="399"/>
      <c r="WB54" s="399"/>
      <c r="WC54" s="399"/>
      <c r="WD54" s="399"/>
      <c r="WE54" s="399"/>
      <c r="WF54" s="399"/>
      <c r="WG54" s="399"/>
      <c r="WH54" s="399"/>
      <c r="WI54" s="399"/>
      <c r="WJ54" s="399"/>
      <c r="WK54" s="399"/>
      <c r="WL54" s="399"/>
      <c r="WM54" s="399"/>
      <c r="WN54" s="399"/>
      <c r="WO54" s="399"/>
      <c r="WP54" s="399"/>
      <c r="WQ54" s="399"/>
      <c r="WR54" s="399"/>
      <c r="WS54" s="399"/>
      <c r="WT54" s="399"/>
      <c r="WU54" s="399"/>
      <c r="WV54" s="399"/>
      <c r="WW54" s="399"/>
      <c r="WX54" s="399"/>
      <c r="WY54" s="399"/>
      <c r="WZ54" s="399"/>
      <c r="XA54" s="399"/>
      <c r="XB54" s="399"/>
      <c r="XC54" s="399"/>
      <c r="XD54" s="399"/>
      <c r="XE54" s="399"/>
      <c r="XF54" s="399"/>
      <c r="XG54" s="399"/>
      <c r="XH54" s="399"/>
      <c r="XI54" s="399"/>
      <c r="XJ54" s="399"/>
      <c r="XK54" s="399"/>
      <c r="XL54" s="399"/>
      <c r="XM54" s="399"/>
      <c r="XN54" s="399"/>
      <c r="XO54" s="399"/>
      <c r="XP54" s="399"/>
      <c r="XQ54" s="399"/>
      <c r="XR54" s="399"/>
      <c r="XS54" s="399"/>
      <c r="XT54" s="399"/>
      <c r="XU54" s="399"/>
      <c r="XV54" s="399"/>
      <c r="XW54" s="399"/>
      <c r="XX54" s="399"/>
      <c r="XY54" s="399"/>
      <c r="XZ54" s="399"/>
      <c r="YA54" s="399"/>
      <c r="YB54" s="399"/>
      <c r="YC54" s="399"/>
      <c r="YD54" s="399"/>
      <c r="YE54" s="399"/>
      <c r="YF54" s="399"/>
      <c r="YG54" s="399"/>
      <c r="YH54" s="399"/>
      <c r="YI54" s="399"/>
      <c r="YJ54" s="399"/>
      <c r="YK54" s="399"/>
      <c r="YL54" s="399"/>
      <c r="YM54" s="399"/>
      <c r="YN54" s="399"/>
      <c r="YO54" s="399"/>
      <c r="YP54" s="399"/>
      <c r="YQ54" s="399"/>
      <c r="YR54" s="399"/>
      <c r="YS54" s="399"/>
      <c r="YT54" s="399"/>
      <c r="YU54" s="399"/>
      <c r="YV54" s="399"/>
      <c r="YW54" s="399"/>
      <c r="YX54" s="399"/>
      <c r="YY54" s="399"/>
      <c r="YZ54" s="399"/>
      <c r="ZA54" s="399"/>
      <c r="ZB54" s="399"/>
      <c r="ZC54" s="399"/>
      <c r="ZD54" s="399"/>
      <c r="ZE54" s="399"/>
    </row>
    <row r="55">
      <c r="A55" s="464" t="s">
        <v>2133</v>
      </c>
      <c r="B55" s="465" t="s">
        <v>2134</v>
      </c>
      <c r="C55" s="16"/>
      <c r="D55" s="16"/>
      <c r="E55" s="16"/>
      <c r="F55" s="16"/>
      <c r="G55" s="16"/>
      <c r="H55" s="25"/>
      <c r="I55" s="465" t="s">
        <v>2022</v>
      </c>
      <c r="J55" s="16"/>
      <c r="K55" s="16"/>
      <c r="L55" s="16"/>
      <c r="M55" s="16"/>
      <c r="N55" s="16"/>
      <c r="O55" s="25"/>
      <c r="P55" s="465" t="s">
        <v>2134</v>
      </c>
      <c r="Q55" s="16"/>
      <c r="R55" s="16"/>
      <c r="S55" s="16"/>
      <c r="T55" s="16"/>
      <c r="U55" s="16"/>
      <c r="V55" s="25"/>
      <c r="W55" s="465" t="s">
        <v>2134</v>
      </c>
      <c r="X55" s="16"/>
      <c r="Y55" s="16"/>
      <c r="Z55" s="16"/>
      <c r="AA55" s="16"/>
      <c r="AB55" s="16"/>
      <c r="AC55" s="25"/>
      <c r="AD55" s="465" t="s">
        <v>343</v>
      </c>
      <c r="AE55" s="16"/>
      <c r="AF55" s="16"/>
      <c r="AG55" s="16"/>
      <c r="AH55" s="16"/>
      <c r="AI55" s="16"/>
      <c r="AJ55" s="25"/>
      <c r="AK55" s="108" t="s">
        <v>2136</v>
      </c>
      <c r="AL55" s="16"/>
      <c r="AM55" s="16"/>
      <c r="AN55" s="16"/>
      <c r="AO55" s="16"/>
      <c r="AP55" s="16"/>
      <c r="AQ55" s="25"/>
      <c r="AR55" s="420" t="s">
        <v>2137</v>
      </c>
      <c r="AS55" s="16"/>
      <c r="AT55" s="16"/>
      <c r="AU55" s="16"/>
      <c r="AV55" s="16"/>
      <c r="AW55" s="16"/>
      <c r="AX55" s="25"/>
      <c r="AY55" s="108" t="s">
        <v>2138</v>
      </c>
      <c r="AZ55" s="16"/>
      <c r="BA55" s="16"/>
      <c r="BB55" s="16"/>
      <c r="BC55" s="16"/>
      <c r="BD55" s="16"/>
      <c r="BE55" s="25"/>
      <c r="BF55" s="108"/>
      <c r="BG55" s="16"/>
      <c r="BH55" s="16"/>
      <c r="BI55" s="16"/>
      <c r="BJ55" s="16"/>
      <c r="BK55" s="16"/>
      <c r="BL55" s="25"/>
      <c r="BM55" s="108"/>
      <c r="BN55" s="16"/>
      <c r="BO55" s="16"/>
      <c r="BP55" s="16"/>
      <c r="BQ55" s="16"/>
      <c r="BR55" s="16"/>
      <c r="BS55" s="25"/>
      <c r="BT55" s="108" t="s">
        <v>2139</v>
      </c>
      <c r="BU55" s="16"/>
      <c r="BV55" s="16"/>
      <c r="BW55" s="16"/>
      <c r="BX55" s="16"/>
      <c r="BY55" s="16"/>
      <c r="BZ55" s="25"/>
      <c r="CA55" s="108" t="s">
        <v>2140</v>
      </c>
      <c r="CB55" s="16"/>
      <c r="CC55" s="16"/>
      <c r="CD55" s="16"/>
      <c r="CE55" s="16"/>
      <c r="CF55" s="16"/>
      <c r="CG55" s="25"/>
      <c r="CH55" s="108"/>
      <c r="CI55" s="16"/>
      <c r="CJ55" s="16"/>
      <c r="CK55" s="16"/>
      <c r="CL55" s="16"/>
      <c r="CM55" s="16"/>
      <c r="CN55" s="25"/>
      <c r="CO55" s="108" t="s">
        <v>2141</v>
      </c>
      <c r="CP55" s="16"/>
      <c r="CQ55" s="16"/>
      <c r="CR55" s="16"/>
      <c r="CS55" s="16"/>
      <c r="CT55" s="16"/>
      <c r="CU55" s="25"/>
      <c r="CV55" s="108"/>
      <c r="CW55" s="16"/>
      <c r="CX55" s="16"/>
      <c r="CY55" s="16"/>
      <c r="CZ55" s="16"/>
      <c r="DA55" s="16"/>
      <c r="DB55" s="25"/>
      <c r="DC55" s="465" t="s">
        <v>2142</v>
      </c>
      <c r="DD55" s="16"/>
      <c r="DE55" s="16"/>
      <c r="DF55" s="16"/>
      <c r="DG55" s="16"/>
      <c r="DH55" s="16"/>
      <c r="DI55" s="25"/>
      <c r="DJ55" s="466"/>
      <c r="DK55" s="16"/>
      <c r="DL55" s="16"/>
      <c r="DM55" s="16"/>
      <c r="DN55" s="16"/>
      <c r="DO55" s="16"/>
      <c r="DP55" s="25"/>
      <c r="DQ55" s="465" t="s">
        <v>382</v>
      </c>
      <c r="DR55" s="16"/>
      <c r="DS55" s="16"/>
      <c r="DT55" s="16"/>
      <c r="DU55" s="16"/>
      <c r="DV55" s="16"/>
      <c r="DW55" s="25"/>
      <c r="DX55" s="467"/>
      <c r="DY55" s="16"/>
      <c r="DZ55" s="16"/>
      <c r="EA55" s="16"/>
      <c r="EB55" s="16"/>
      <c r="EC55" s="16"/>
      <c r="ED55" s="25"/>
      <c r="EE55" s="466"/>
      <c r="EF55" s="16"/>
      <c r="EG55" s="16"/>
      <c r="EH55" s="16"/>
      <c r="EI55" s="16"/>
      <c r="EJ55" s="16"/>
      <c r="EK55" s="25"/>
      <c r="EL55" s="466"/>
      <c r="EM55" s="16"/>
      <c r="EN55" s="16"/>
      <c r="EO55" s="16"/>
      <c r="EP55" s="16"/>
      <c r="EQ55" s="16"/>
      <c r="ER55" s="25"/>
      <c r="ES55" s="466"/>
      <c r="ET55" s="16"/>
      <c r="EU55" s="16"/>
      <c r="EV55" s="16"/>
      <c r="EW55" s="16"/>
      <c r="EX55" s="16"/>
      <c r="EY55" s="25"/>
      <c r="EZ55" s="466"/>
      <c r="FA55" s="16"/>
      <c r="FB55" s="16"/>
      <c r="FC55" s="16"/>
      <c r="FD55" s="16"/>
      <c r="FE55" s="16"/>
      <c r="FF55" s="25"/>
      <c r="FG55" s="466"/>
      <c r="FH55" s="16"/>
      <c r="FI55" s="16"/>
      <c r="FJ55" s="16"/>
      <c r="FK55" s="16"/>
      <c r="FL55" s="16"/>
      <c r="FM55" s="25"/>
      <c r="FN55" s="467"/>
      <c r="FO55" s="16"/>
      <c r="FP55" s="16"/>
      <c r="FQ55" s="16"/>
      <c r="FR55" s="16"/>
      <c r="FS55" s="16"/>
      <c r="FT55" s="25"/>
      <c r="FU55" s="468"/>
      <c r="FV55" s="16"/>
      <c r="FW55" s="16"/>
      <c r="FX55" s="16"/>
      <c r="FY55" s="16"/>
      <c r="FZ55" s="16"/>
      <c r="GA55" s="25"/>
      <c r="GB55" s="468"/>
      <c r="GC55" s="16"/>
      <c r="GD55" s="16"/>
      <c r="GE55" s="16"/>
      <c r="GF55" s="16"/>
      <c r="GG55" s="16"/>
      <c r="GH55" s="25"/>
      <c r="GI55" s="466"/>
      <c r="GJ55" s="16"/>
      <c r="GK55" s="16"/>
      <c r="GL55" s="16"/>
      <c r="GM55" s="16"/>
      <c r="GN55" s="16"/>
      <c r="GO55" s="25"/>
      <c r="GP55" s="468"/>
      <c r="GQ55" s="16"/>
      <c r="GR55" s="16"/>
      <c r="GS55" s="16"/>
      <c r="GT55" s="16"/>
      <c r="GU55" s="16"/>
      <c r="GV55" s="25"/>
      <c r="GW55" s="466"/>
      <c r="GX55" s="16"/>
      <c r="GY55" s="16"/>
      <c r="GZ55" s="16"/>
      <c r="HA55" s="16"/>
      <c r="HB55" s="16"/>
      <c r="HC55" s="25"/>
      <c r="HD55" s="466"/>
      <c r="HE55" s="16"/>
      <c r="HF55" s="16"/>
      <c r="HG55" s="16"/>
      <c r="HH55" s="16"/>
      <c r="HI55" s="16"/>
      <c r="HJ55" s="25"/>
      <c r="HK55" s="466"/>
      <c r="HL55" s="16"/>
      <c r="HM55" s="16"/>
      <c r="HN55" s="16"/>
      <c r="HO55" s="16"/>
      <c r="HP55" s="16"/>
      <c r="HQ55" s="25"/>
      <c r="HR55" s="466"/>
      <c r="HS55" s="16"/>
      <c r="HT55" s="16"/>
      <c r="HU55" s="16"/>
      <c r="HV55" s="16"/>
      <c r="HW55" s="16"/>
      <c r="HX55" s="25"/>
      <c r="HY55" s="466"/>
      <c r="HZ55" s="16"/>
      <c r="IA55" s="16"/>
      <c r="IB55" s="16"/>
      <c r="IC55" s="16"/>
      <c r="ID55" s="16"/>
      <c r="IE55" s="25"/>
      <c r="IF55" s="467"/>
      <c r="IG55" s="16"/>
      <c r="IH55" s="16"/>
      <c r="II55" s="16"/>
      <c r="IJ55" s="16"/>
      <c r="IK55" s="16"/>
      <c r="IL55" s="25"/>
      <c r="IM55" s="466"/>
      <c r="IN55" s="16"/>
      <c r="IO55" s="16"/>
      <c r="IP55" s="16"/>
      <c r="IQ55" s="16"/>
      <c r="IR55" s="16"/>
      <c r="IS55" s="25"/>
      <c r="IT55" s="466"/>
      <c r="IU55" s="16"/>
      <c r="IV55" s="16"/>
      <c r="IW55" s="16"/>
      <c r="IX55" s="16"/>
      <c r="IY55" s="16"/>
      <c r="IZ55" s="25"/>
      <c r="JA55" s="466"/>
      <c r="JB55" s="16"/>
      <c r="JC55" s="16"/>
      <c r="JD55" s="16"/>
      <c r="JE55" s="16"/>
      <c r="JF55" s="16"/>
      <c r="JG55" s="25"/>
      <c r="JH55" s="466"/>
      <c r="JI55" s="16"/>
      <c r="JJ55" s="16"/>
      <c r="JK55" s="16"/>
      <c r="JL55" s="16"/>
      <c r="JM55" s="16"/>
      <c r="JN55" s="25"/>
      <c r="JO55" s="388"/>
      <c r="JP55" s="16"/>
      <c r="JQ55" s="16"/>
      <c r="JR55" s="16"/>
      <c r="JS55" s="16"/>
      <c r="JT55" s="16"/>
      <c r="JU55" s="25"/>
      <c r="JV55" s="108"/>
      <c r="JW55" s="16"/>
      <c r="JX55" s="16"/>
      <c r="JY55" s="16"/>
      <c r="JZ55" s="16"/>
      <c r="KA55" s="16"/>
      <c r="KB55" s="25"/>
      <c r="KC55" s="108"/>
      <c r="KD55" s="16"/>
      <c r="KE55" s="16"/>
      <c r="KF55" s="16"/>
      <c r="KG55" s="16"/>
      <c r="KH55" s="16"/>
      <c r="KI55" s="25"/>
      <c r="KJ55" s="108"/>
      <c r="KK55" s="16"/>
      <c r="KL55" s="16"/>
      <c r="KM55" s="16"/>
      <c r="KN55" s="16"/>
      <c r="KO55" s="16"/>
      <c r="KP55" s="25"/>
      <c r="KQ55" s="466"/>
      <c r="KR55" s="16"/>
      <c r="KS55" s="16"/>
      <c r="KT55" s="16"/>
      <c r="KU55" s="16"/>
      <c r="KV55" s="16"/>
      <c r="KW55" s="25"/>
      <c r="KX55" s="466"/>
      <c r="KY55" s="16"/>
      <c r="KZ55" s="16"/>
      <c r="LA55" s="16"/>
      <c r="LB55" s="16"/>
      <c r="LC55" s="16"/>
      <c r="LD55" s="25"/>
      <c r="LE55" s="466"/>
      <c r="LF55" s="16"/>
      <c r="LG55" s="16"/>
      <c r="LH55" s="16"/>
      <c r="LI55" s="16"/>
      <c r="LJ55" s="16"/>
      <c r="LK55" s="25"/>
      <c r="LL55" s="466"/>
      <c r="LM55" s="16"/>
      <c r="LN55" s="16"/>
      <c r="LO55" s="16"/>
      <c r="LP55" s="16"/>
      <c r="LQ55" s="16"/>
      <c r="LR55" s="25"/>
      <c r="LS55" s="466"/>
      <c r="LT55" s="16"/>
      <c r="LU55" s="16"/>
      <c r="LV55" s="16"/>
      <c r="LW55" s="16"/>
      <c r="LX55" s="16"/>
      <c r="LY55" s="25"/>
      <c r="LZ55" s="388"/>
      <c r="MA55" s="16"/>
      <c r="MB55" s="16"/>
      <c r="MC55" s="16"/>
      <c r="MD55" s="16"/>
      <c r="ME55" s="16"/>
      <c r="MF55" s="25"/>
      <c r="MG55" s="388"/>
      <c r="MH55" s="16"/>
      <c r="MI55" s="16"/>
      <c r="MJ55" s="16"/>
      <c r="MK55" s="16"/>
      <c r="ML55" s="16"/>
      <c r="MM55" s="25"/>
      <c r="MN55" s="388"/>
      <c r="MO55" s="16"/>
      <c r="MP55" s="16"/>
      <c r="MQ55" s="16"/>
      <c r="MR55" s="16"/>
      <c r="MS55" s="16"/>
      <c r="MT55" s="25"/>
      <c r="MU55" s="388"/>
      <c r="MV55" s="16"/>
      <c r="MW55" s="16"/>
      <c r="MX55" s="16"/>
      <c r="MY55" s="16"/>
      <c r="MZ55" s="16"/>
      <c r="NA55" s="25"/>
      <c r="NB55" s="470"/>
      <c r="NC55" s="470"/>
      <c r="ND55" s="470"/>
      <c r="NE55" s="470"/>
      <c r="NF55" s="470"/>
      <c r="NG55" s="470"/>
      <c r="NH55" s="470"/>
      <c r="NI55" s="470"/>
      <c r="NJ55" s="470"/>
      <c r="NK55" s="470"/>
      <c r="NL55" s="470"/>
      <c r="NM55" s="470"/>
      <c r="NN55" s="470"/>
      <c r="NO55" s="470"/>
      <c r="NP55" s="470"/>
      <c r="NQ55" s="470"/>
      <c r="NR55" s="470"/>
      <c r="NS55" s="470"/>
      <c r="NT55" s="470"/>
      <c r="NU55" s="470"/>
      <c r="NV55" s="470"/>
      <c r="NW55" s="470"/>
      <c r="NX55" s="470"/>
      <c r="NY55" s="470"/>
      <c r="NZ55" s="470"/>
      <c r="OA55" s="470"/>
      <c r="OB55" s="470"/>
      <c r="OC55" s="470"/>
      <c r="OD55" s="470"/>
      <c r="OE55" s="470"/>
      <c r="OF55" s="470"/>
      <c r="OG55" s="470"/>
      <c r="OH55" s="470"/>
      <c r="OI55" s="470"/>
      <c r="OJ55" s="470"/>
      <c r="OK55" s="470"/>
      <c r="OL55" s="470"/>
      <c r="OM55" s="470"/>
      <c r="ON55" s="470"/>
      <c r="OO55" s="470"/>
      <c r="OP55" s="470"/>
      <c r="OQ55" s="470"/>
      <c r="OR55" s="470"/>
      <c r="OS55" s="470"/>
      <c r="OT55" s="470"/>
      <c r="OU55" s="470"/>
      <c r="OV55" s="470"/>
      <c r="OW55" s="470"/>
      <c r="OX55" s="470"/>
      <c r="OY55" s="470"/>
      <c r="OZ55" s="470"/>
      <c r="PA55" s="470"/>
      <c r="PB55" s="470"/>
      <c r="PC55" s="470"/>
      <c r="PD55" s="470"/>
      <c r="PE55" s="470"/>
      <c r="PF55" s="470"/>
      <c r="PG55" s="470"/>
      <c r="PH55" s="470"/>
      <c r="PI55" s="470"/>
      <c r="PJ55" s="470"/>
      <c r="PK55" s="470"/>
      <c r="PL55" s="470"/>
      <c r="PM55" s="470"/>
      <c r="PN55" s="470"/>
      <c r="PO55" s="470"/>
      <c r="PP55" s="470"/>
      <c r="PQ55" s="470"/>
      <c r="PR55" s="470"/>
      <c r="PS55" s="470"/>
      <c r="PT55" s="470"/>
      <c r="PU55" s="470"/>
      <c r="PV55" s="470"/>
      <c r="PW55" s="470"/>
      <c r="PX55" s="470"/>
      <c r="PY55" s="470"/>
      <c r="PZ55" s="470"/>
      <c r="QA55" s="470"/>
      <c r="QB55" s="470"/>
      <c r="QC55" s="470"/>
      <c r="QD55" s="470"/>
      <c r="QE55" s="470"/>
      <c r="QF55" s="470"/>
      <c r="QG55" s="470"/>
      <c r="QH55" s="470"/>
      <c r="QI55" s="470"/>
      <c r="QJ55" s="470"/>
      <c r="QK55" s="470"/>
      <c r="QL55" s="470"/>
      <c r="QM55" s="470"/>
      <c r="QN55" s="470"/>
      <c r="QO55" s="470"/>
      <c r="QP55" s="470"/>
      <c r="QQ55" s="470"/>
      <c r="QR55" s="470"/>
      <c r="QS55" s="470"/>
      <c r="QT55" s="470"/>
      <c r="QU55" s="470"/>
      <c r="QV55" s="470"/>
      <c r="QW55" s="470"/>
      <c r="QX55" s="470"/>
      <c r="QY55" s="470"/>
      <c r="QZ55" s="470"/>
      <c r="RA55" s="470"/>
      <c r="RB55" s="470"/>
      <c r="RC55" s="470"/>
      <c r="RD55" s="470"/>
      <c r="RE55" s="470"/>
      <c r="RF55" s="470"/>
      <c r="RG55" s="470"/>
      <c r="RH55" s="470"/>
      <c r="RI55" s="470"/>
      <c r="RJ55" s="470"/>
      <c r="RK55" s="470"/>
      <c r="RL55" s="470"/>
      <c r="RM55" s="470"/>
      <c r="RN55" s="470"/>
      <c r="RO55" s="470"/>
      <c r="RP55" s="470"/>
      <c r="RQ55" s="470"/>
      <c r="RR55" s="470"/>
      <c r="RS55" s="470"/>
      <c r="RT55" s="470"/>
      <c r="RU55" s="470"/>
      <c r="RV55" s="470"/>
      <c r="RW55" s="470"/>
      <c r="RX55" s="470"/>
      <c r="RY55" s="470"/>
      <c r="RZ55" s="470"/>
      <c r="SA55" s="470"/>
      <c r="SB55" s="470"/>
      <c r="SC55" s="470"/>
      <c r="SD55" s="470"/>
      <c r="SE55" s="470"/>
      <c r="SF55" s="470"/>
      <c r="SG55" s="470"/>
      <c r="SH55" s="470"/>
      <c r="SI55" s="470"/>
      <c r="SJ55" s="470"/>
      <c r="SK55" s="470"/>
      <c r="SL55" s="470"/>
      <c r="SM55" s="470"/>
      <c r="SN55" s="470"/>
      <c r="SO55" s="470"/>
      <c r="SP55" s="470"/>
      <c r="SQ55" s="470"/>
      <c r="SR55" s="470"/>
      <c r="SS55" s="470"/>
      <c r="ST55" s="470"/>
      <c r="SU55" s="470"/>
      <c r="SV55" s="470"/>
      <c r="SW55" s="470"/>
      <c r="SX55" s="470"/>
      <c r="SY55" s="470"/>
      <c r="SZ55" s="470"/>
      <c r="TA55" s="470"/>
      <c r="TB55" s="470"/>
      <c r="TC55" s="470"/>
      <c r="TD55" s="470"/>
      <c r="TE55" s="470"/>
      <c r="TF55" s="470"/>
      <c r="TG55" s="470"/>
      <c r="TH55" s="470"/>
      <c r="TI55" s="470"/>
      <c r="TJ55" s="470"/>
      <c r="TK55" s="470"/>
      <c r="TL55" s="470"/>
      <c r="TM55" s="470"/>
      <c r="TN55" s="470"/>
      <c r="TO55" s="470"/>
      <c r="TP55" s="470"/>
      <c r="TQ55" s="470"/>
      <c r="TR55" s="470"/>
      <c r="TS55" s="470"/>
      <c r="TT55" s="470"/>
      <c r="TU55" s="470"/>
      <c r="TV55" s="470"/>
      <c r="TW55" s="470"/>
      <c r="TX55" s="470"/>
      <c r="TY55" s="470"/>
      <c r="TZ55" s="470"/>
      <c r="UA55" s="470"/>
      <c r="UB55" s="470"/>
      <c r="UC55" s="470"/>
      <c r="UD55" s="470"/>
      <c r="UE55" s="470"/>
      <c r="UF55" s="470"/>
      <c r="UG55" s="470"/>
      <c r="UH55" s="470"/>
      <c r="UI55" s="470"/>
      <c r="UJ55" s="470"/>
      <c r="UK55" s="470"/>
      <c r="UL55" s="470"/>
      <c r="UM55" s="470"/>
      <c r="UN55" s="470"/>
      <c r="UO55" s="470"/>
      <c r="UP55" s="470"/>
      <c r="UQ55" s="470"/>
      <c r="UR55" s="470"/>
      <c r="US55" s="470"/>
      <c r="UT55" s="470"/>
      <c r="UU55" s="470"/>
      <c r="UV55" s="470"/>
      <c r="UW55" s="470"/>
      <c r="UX55" s="470"/>
      <c r="UY55" s="470"/>
      <c r="UZ55" s="470"/>
      <c r="VA55" s="470"/>
      <c r="VB55" s="470"/>
      <c r="VC55" s="470"/>
      <c r="VD55" s="470"/>
      <c r="VE55" s="470"/>
      <c r="VF55" s="470"/>
      <c r="VG55" s="470"/>
      <c r="VH55" s="470"/>
      <c r="VI55" s="470"/>
      <c r="VJ55" s="470"/>
      <c r="VK55" s="470"/>
      <c r="VL55" s="470"/>
      <c r="VM55" s="470"/>
      <c r="VN55" s="470"/>
      <c r="VO55" s="470"/>
      <c r="VP55" s="470"/>
      <c r="VQ55" s="470"/>
      <c r="VR55" s="470"/>
      <c r="VS55" s="470"/>
      <c r="VT55" s="470"/>
      <c r="VU55" s="470"/>
      <c r="VV55" s="470"/>
      <c r="VW55" s="470"/>
      <c r="VX55" s="470"/>
      <c r="VY55" s="470"/>
      <c r="VZ55" s="470"/>
      <c r="WA55" s="470"/>
      <c r="WB55" s="470"/>
      <c r="WC55" s="470"/>
      <c r="WD55" s="470"/>
      <c r="WE55" s="470"/>
      <c r="WF55" s="470"/>
      <c r="WG55" s="470"/>
      <c r="WH55" s="470"/>
      <c r="WI55" s="470"/>
      <c r="WJ55" s="470"/>
      <c r="WK55" s="470"/>
      <c r="WL55" s="470"/>
      <c r="WM55" s="470"/>
      <c r="WN55" s="470"/>
      <c r="WO55" s="470"/>
      <c r="WP55" s="470"/>
      <c r="WQ55" s="470"/>
      <c r="WR55" s="470"/>
      <c r="WS55" s="470"/>
      <c r="WT55" s="470"/>
      <c r="WU55" s="470"/>
      <c r="WV55" s="470"/>
      <c r="WW55" s="470"/>
      <c r="WX55" s="470"/>
      <c r="WY55" s="470"/>
      <c r="WZ55" s="470"/>
      <c r="XA55" s="470"/>
      <c r="XB55" s="470"/>
      <c r="XC55" s="470"/>
      <c r="XD55" s="470"/>
      <c r="XE55" s="470"/>
      <c r="XF55" s="470"/>
      <c r="XG55" s="470"/>
      <c r="XH55" s="470"/>
      <c r="XI55" s="470"/>
      <c r="XJ55" s="470"/>
      <c r="XK55" s="470"/>
      <c r="XL55" s="470"/>
      <c r="XM55" s="470"/>
      <c r="XN55" s="470"/>
      <c r="XO55" s="470"/>
      <c r="XP55" s="470"/>
      <c r="XQ55" s="470"/>
      <c r="XR55" s="470"/>
      <c r="XS55" s="470"/>
      <c r="XT55" s="470"/>
      <c r="XU55" s="470"/>
      <c r="XV55" s="470"/>
      <c r="XW55" s="470"/>
      <c r="XX55" s="470"/>
      <c r="XY55" s="470"/>
      <c r="XZ55" s="470"/>
      <c r="YA55" s="470"/>
      <c r="YB55" s="470"/>
      <c r="YC55" s="470"/>
      <c r="YD55" s="470"/>
      <c r="YE55" s="470"/>
      <c r="YF55" s="470"/>
      <c r="YG55" s="470"/>
      <c r="YH55" s="470"/>
      <c r="YI55" s="470"/>
      <c r="YJ55" s="470"/>
      <c r="YK55" s="470"/>
      <c r="YL55" s="470"/>
      <c r="YM55" s="470"/>
      <c r="YN55" s="470"/>
      <c r="YO55" s="470"/>
      <c r="YP55" s="470"/>
      <c r="YQ55" s="470"/>
      <c r="YR55" s="470"/>
      <c r="YS55" s="470"/>
      <c r="YT55" s="470"/>
      <c r="YU55" s="470"/>
      <c r="YV55" s="470"/>
      <c r="YW55" s="470"/>
      <c r="YX55" s="470"/>
      <c r="YY55" s="470"/>
      <c r="YZ55" s="470"/>
      <c r="ZA55" s="470"/>
      <c r="ZB55" s="470"/>
      <c r="ZC55" s="470"/>
      <c r="ZD55" s="470"/>
      <c r="ZE55" s="470"/>
    </row>
    <row r="56">
      <c r="A56" s="471" t="s">
        <v>2144</v>
      </c>
      <c r="B56" s="465" t="s">
        <v>2134</v>
      </c>
      <c r="C56" s="16"/>
      <c r="D56" s="16"/>
      <c r="E56" s="16"/>
      <c r="F56" s="16"/>
      <c r="G56" s="16"/>
      <c r="H56" s="25"/>
      <c r="I56" s="465" t="s">
        <v>2145</v>
      </c>
      <c r="J56" s="16"/>
      <c r="K56" s="16"/>
      <c r="L56" s="16"/>
      <c r="M56" s="16"/>
      <c r="N56" s="16"/>
      <c r="O56" s="25"/>
      <c r="P56" s="465" t="s">
        <v>2134</v>
      </c>
      <c r="Q56" s="16"/>
      <c r="R56" s="16"/>
      <c r="S56" s="16"/>
      <c r="T56" s="16"/>
      <c r="U56" s="16"/>
      <c r="V56" s="25"/>
      <c r="W56" s="465" t="s">
        <v>2134</v>
      </c>
      <c r="X56" s="16"/>
      <c r="Y56" s="16"/>
      <c r="Z56" s="16"/>
      <c r="AA56" s="16"/>
      <c r="AB56" s="16"/>
      <c r="AC56" s="25"/>
      <c r="AD56" s="472" t="s">
        <v>2146</v>
      </c>
      <c r="AE56" s="23"/>
      <c r="AF56" s="23"/>
      <c r="AG56" s="23"/>
      <c r="AH56" s="23"/>
      <c r="AI56" s="23"/>
      <c r="AJ56" s="104"/>
      <c r="AK56" s="108" t="s">
        <v>2147</v>
      </c>
      <c r="AL56" s="16"/>
      <c r="AM56" s="16"/>
      <c r="AN56" s="16"/>
      <c r="AO56" s="16"/>
      <c r="AP56" s="16"/>
      <c r="AQ56" s="25"/>
      <c r="AR56" s="420" t="s">
        <v>2148</v>
      </c>
      <c r="AS56" s="16"/>
      <c r="AT56" s="16"/>
      <c r="AU56" s="16"/>
      <c r="AV56" s="16"/>
      <c r="AW56" s="16"/>
      <c r="AX56" s="25"/>
      <c r="AY56" s="108" t="s">
        <v>2149</v>
      </c>
      <c r="AZ56" s="16"/>
      <c r="BA56" s="16"/>
      <c r="BB56" s="16"/>
      <c r="BC56" s="16"/>
      <c r="BD56" s="16"/>
      <c r="BE56" s="25"/>
      <c r="BF56" s="108"/>
      <c r="BG56" s="16"/>
      <c r="BH56" s="16"/>
      <c r="BI56" s="16"/>
      <c r="BJ56" s="16"/>
      <c r="BK56" s="16"/>
      <c r="BL56" s="25"/>
      <c r="BM56" s="108"/>
      <c r="BN56" s="16"/>
      <c r="BO56" s="16"/>
      <c r="BP56" s="16"/>
      <c r="BQ56" s="16"/>
      <c r="BR56" s="16"/>
      <c r="BS56" s="25"/>
      <c r="BT56" s="108"/>
      <c r="BU56" s="16"/>
      <c r="BV56" s="16"/>
      <c r="BW56" s="16"/>
      <c r="BX56" s="16"/>
      <c r="BY56" s="16"/>
      <c r="BZ56" s="25"/>
      <c r="CA56" s="108" t="s">
        <v>2150</v>
      </c>
      <c r="CB56" s="16"/>
      <c r="CC56" s="16"/>
      <c r="CD56" s="16"/>
      <c r="CE56" s="16"/>
      <c r="CF56" s="16"/>
      <c r="CG56" s="25"/>
      <c r="CH56" s="388"/>
      <c r="CI56" s="16"/>
      <c r="CJ56" s="16"/>
      <c r="CK56" s="16"/>
      <c r="CL56" s="16"/>
      <c r="CM56" s="16"/>
      <c r="CN56" s="25"/>
      <c r="CO56" s="108"/>
      <c r="CP56" s="16"/>
      <c r="CQ56" s="16"/>
      <c r="CR56" s="16"/>
      <c r="CS56" s="16"/>
      <c r="CT56" s="16"/>
      <c r="CU56" s="25"/>
      <c r="CV56" s="108"/>
      <c r="CW56" s="16"/>
      <c r="CX56" s="16"/>
      <c r="CY56" s="16"/>
      <c r="CZ56" s="16"/>
      <c r="DA56" s="16"/>
      <c r="DB56" s="25"/>
      <c r="DC56" s="472" t="s">
        <v>2152</v>
      </c>
      <c r="DD56" s="23"/>
      <c r="DE56" s="23"/>
      <c r="DF56" s="23"/>
      <c r="DG56" s="23"/>
      <c r="DH56" s="23"/>
      <c r="DI56" s="104"/>
      <c r="DJ56" s="474"/>
      <c r="DK56" s="23"/>
      <c r="DL56" s="23"/>
      <c r="DM56" s="23"/>
      <c r="DN56" s="23"/>
      <c r="DO56" s="23"/>
      <c r="DP56" s="104"/>
      <c r="DQ56" s="472" t="s">
        <v>2153</v>
      </c>
      <c r="DR56" s="23"/>
      <c r="DS56" s="23"/>
      <c r="DT56" s="23"/>
      <c r="DU56" s="23"/>
      <c r="DV56" s="23"/>
      <c r="DW56" s="104"/>
      <c r="DX56" s="475"/>
      <c r="DY56" s="476"/>
      <c r="DZ56" s="476"/>
      <c r="EA56" s="476"/>
      <c r="EB56" s="476"/>
      <c r="EC56" s="476"/>
      <c r="ED56" s="477"/>
      <c r="EE56" s="474"/>
      <c r="EF56" s="23"/>
      <c r="EG56" s="23"/>
      <c r="EH56" s="23"/>
      <c r="EI56" s="23"/>
      <c r="EJ56" s="23"/>
      <c r="EK56" s="104"/>
      <c r="EL56" s="474"/>
      <c r="EM56" s="23"/>
      <c r="EN56" s="23"/>
      <c r="EO56" s="23"/>
      <c r="EP56" s="23"/>
      <c r="EQ56" s="23"/>
      <c r="ER56" s="104"/>
      <c r="ES56" s="474"/>
      <c r="ET56" s="23"/>
      <c r="EU56" s="23"/>
      <c r="EV56" s="23"/>
      <c r="EW56" s="23"/>
      <c r="EX56" s="23"/>
      <c r="EY56" s="104"/>
      <c r="EZ56" s="474"/>
      <c r="FA56" s="23"/>
      <c r="FB56" s="23"/>
      <c r="FC56" s="23"/>
      <c r="FD56" s="23"/>
      <c r="FE56" s="23"/>
      <c r="FF56" s="104"/>
      <c r="FG56" s="474"/>
      <c r="FH56" s="23"/>
      <c r="FI56" s="23"/>
      <c r="FJ56" s="23"/>
      <c r="FK56" s="23"/>
      <c r="FL56" s="23"/>
      <c r="FM56" s="104"/>
      <c r="FN56" s="388"/>
      <c r="FO56" s="16"/>
      <c r="FP56" s="16"/>
      <c r="FQ56" s="16"/>
      <c r="FR56" s="16"/>
      <c r="FS56" s="16"/>
      <c r="FT56" s="25"/>
      <c r="FU56" s="108"/>
      <c r="FV56" s="16"/>
      <c r="FW56" s="16"/>
      <c r="FX56" s="16"/>
      <c r="FY56" s="16"/>
      <c r="FZ56" s="16"/>
      <c r="GA56" s="25"/>
      <c r="GB56" s="108"/>
      <c r="GC56" s="16"/>
      <c r="GD56" s="16"/>
      <c r="GE56" s="16"/>
      <c r="GF56" s="16"/>
      <c r="GG56" s="16"/>
      <c r="GH56" s="25"/>
      <c r="GI56" s="108"/>
      <c r="GJ56" s="16"/>
      <c r="GK56" s="16"/>
      <c r="GL56" s="16"/>
      <c r="GM56" s="16"/>
      <c r="GN56" s="16"/>
      <c r="GO56" s="25"/>
      <c r="GP56" s="108"/>
      <c r="GQ56" s="16"/>
      <c r="GR56" s="16"/>
      <c r="GS56" s="16"/>
      <c r="GT56" s="16"/>
      <c r="GU56" s="16"/>
      <c r="GV56" s="25"/>
      <c r="GW56" s="474"/>
      <c r="GX56" s="23"/>
      <c r="GY56" s="23"/>
      <c r="GZ56" s="23"/>
      <c r="HA56" s="23"/>
      <c r="HB56" s="23"/>
      <c r="HC56" s="104"/>
      <c r="HD56" s="108"/>
      <c r="HE56" s="16"/>
      <c r="HF56" s="16"/>
      <c r="HG56" s="16"/>
      <c r="HH56" s="16"/>
      <c r="HI56" s="16"/>
      <c r="HJ56" s="25"/>
      <c r="HK56" s="108"/>
      <c r="HL56" s="16"/>
      <c r="HM56" s="16"/>
      <c r="HN56" s="16"/>
      <c r="HO56" s="16"/>
      <c r="HP56" s="16"/>
      <c r="HQ56" s="25"/>
      <c r="HR56" s="108"/>
      <c r="HS56" s="16"/>
      <c r="HT56" s="16"/>
      <c r="HU56" s="16"/>
      <c r="HV56" s="16"/>
      <c r="HW56" s="16"/>
      <c r="HX56" s="25"/>
      <c r="HY56" s="474"/>
      <c r="HZ56" s="23"/>
      <c r="IA56" s="23"/>
      <c r="IB56" s="23"/>
      <c r="IC56" s="23"/>
      <c r="ID56" s="23"/>
      <c r="IE56" s="104"/>
      <c r="IF56" s="355"/>
      <c r="IG56" s="355"/>
      <c r="IH56" s="355"/>
      <c r="II56" s="355"/>
      <c r="IJ56" s="355"/>
      <c r="IK56" s="355"/>
      <c r="IL56" s="478"/>
      <c r="IM56" s="474"/>
      <c r="IN56" s="23"/>
      <c r="IO56" s="23"/>
      <c r="IP56" s="23"/>
      <c r="IQ56" s="23"/>
      <c r="IR56" s="23"/>
      <c r="IS56" s="104"/>
      <c r="IT56" s="108"/>
      <c r="IU56" s="16"/>
      <c r="IV56" s="16"/>
      <c r="IW56" s="16"/>
      <c r="IX56" s="16"/>
      <c r="IY56" s="16"/>
      <c r="IZ56" s="25"/>
      <c r="JA56" s="474"/>
      <c r="JB56" s="23"/>
      <c r="JC56" s="23"/>
      <c r="JD56" s="23"/>
      <c r="JE56" s="23"/>
      <c r="JF56" s="23"/>
      <c r="JG56" s="104"/>
      <c r="JH56" s="108"/>
      <c r="JI56" s="16"/>
      <c r="JJ56" s="16"/>
      <c r="JK56" s="16"/>
      <c r="JL56" s="16"/>
      <c r="JM56" s="16"/>
      <c r="JN56" s="25"/>
      <c r="JO56" s="388"/>
      <c r="JP56" s="16"/>
      <c r="JQ56" s="16"/>
      <c r="JR56" s="16"/>
      <c r="JS56" s="16"/>
      <c r="JT56" s="16"/>
      <c r="JU56" s="25"/>
      <c r="JV56" s="108"/>
      <c r="JW56" s="16"/>
      <c r="JX56" s="16"/>
      <c r="JY56" s="16"/>
      <c r="JZ56" s="16"/>
      <c r="KA56" s="16"/>
      <c r="KB56" s="25"/>
      <c r="KC56" s="108"/>
      <c r="KD56" s="16"/>
      <c r="KE56" s="16"/>
      <c r="KF56" s="16"/>
      <c r="KG56" s="16"/>
      <c r="KH56" s="16"/>
      <c r="KI56" s="25"/>
      <c r="KJ56" s="108"/>
      <c r="KK56" s="16"/>
      <c r="KL56" s="16"/>
      <c r="KM56" s="16"/>
      <c r="KN56" s="16"/>
      <c r="KO56" s="16"/>
      <c r="KP56" s="25"/>
      <c r="KQ56" s="474"/>
      <c r="KR56" s="23"/>
      <c r="KS56" s="23"/>
      <c r="KT56" s="23"/>
      <c r="KU56" s="23"/>
      <c r="KV56" s="23"/>
      <c r="KW56" s="104"/>
      <c r="KX56" s="474"/>
      <c r="KY56" s="23"/>
      <c r="KZ56" s="23"/>
      <c r="LA56" s="23"/>
      <c r="LB56" s="23"/>
      <c r="LC56" s="23"/>
      <c r="LD56" s="104"/>
      <c r="LE56" s="474"/>
      <c r="LF56" s="23"/>
      <c r="LG56" s="23"/>
      <c r="LH56" s="23"/>
      <c r="LI56" s="23"/>
      <c r="LJ56" s="23"/>
      <c r="LK56" s="104"/>
      <c r="LL56" s="108"/>
      <c r="LM56" s="16"/>
      <c r="LN56" s="16"/>
      <c r="LO56" s="16"/>
      <c r="LP56" s="16"/>
      <c r="LQ56" s="16"/>
      <c r="LR56" s="25"/>
      <c r="LS56" s="108"/>
      <c r="LT56" s="16"/>
      <c r="LU56" s="16"/>
      <c r="LV56" s="16"/>
      <c r="LW56" s="16"/>
      <c r="LX56" s="16"/>
      <c r="LY56" s="25"/>
      <c r="LZ56" s="388"/>
      <c r="MA56" s="16"/>
      <c r="MB56" s="16"/>
      <c r="MC56" s="16"/>
      <c r="MD56" s="16"/>
      <c r="ME56" s="16"/>
      <c r="MF56" s="25"/>
      <c r="MG56" s="388"/>
      <c r="MH56" s="16"/>
      <c r="MI56" s="16"/>
      <c r="MJ56" s="16"/>
      <c r="MK56" s="16"/>
      <c r="ML56" s="16"/>
      <c r="MM56" s="25"/>
      <c r="MN56" s="388"/>
      <c r="MO56" s="16"/>
      <c r="MP56" s="16"/>
      <c r="MQ56" s="16"/>
      <c r="MR56" s="16"/>
      <c r="MS56" s="16"/>
      <c r="MT56" s="25"/>
      <c r="MU56" s="388"/>
      <c r="MV56" s="16"/>
      <c r="MW56" s="16"/>
      <c r="MX56" s="16"/>
      <c r="MY56" s="16"/>
      <c r="MZ56" s="16"/>
      <c r="NA56" s="25"/>
      <c r="NB56" s="479"/>
      <c r="NC56" s="479"/>
      <c r="ND56" s="479"/>
      <c r="NE56" s="479"/>
      <c r="NF56" s="479"/>
      <c r="NG56" s="479"/>
      <c r="NH56" s="479"/>
      <c r="NI56" s="479"/>
      <c r="NJ56" s="479"/>
      <c r="NK56" s="479"/>
      <c r="NL56" s="479"/>
      <c r="NM56" s="479"/>
      <c r="NN56" s="479"/>
      <c r="NO56" s="479"/>
      <c r="NP56" s="479"/>
      <c r="NQ56" s="479"/>
      <c r="NR56" s="479"/>
      <c r="NS56" s="479"/>
      <c r="NT56" s="479"/>
      <c r="NU56" s="479"/>
      <c r="NV56" s="479"/>
      <c r="NW56" s="479"/>
      <c r="NX56" s="479"/>
      <c r="NY56" s="479"/>
      <c r="NZ56" s="479"/>
      <c r="OA56" s="479"/>
      <c r="OB56" s="479"/>
      <c r="OC56" s="479"/>
      <c r="OD56" s="479"/>
      <c r="OE56" s="479"/>
      <c r="OF56" s="479"/>
      <c r="OG56" s="479"/>
      <c r="OH56" s="479"/>
      <c r="OI56" s="479"/>
      <c r="OJ56" s="479"/>
      <c r="OK56" s="479"/>
      <c r="OL56" s="479"/>
      <c r="OM56" s="479"/>
      <c r="ON56" s="479"/>
      <c r="OO56" s="479"/>
      <c r="OP56" s="479"/>
      <c r="OQ56" s="479"/>
      <c r="OR56" s="479"/>
      <c r="OS56" s="479"/>
      <c r="OT56" s="479"/>
      <c r="OU56" s="479"/>
      <c r="OV56" s="479"/>
      <c r="OW56" s="479"/>
      <c r="OX56" s="479"/>
      <c r="OY56" s="479"/>
      <c r="OZ56" s="479"/>
      <c r="PA56" s="479"/>
      <c r="PB56" s="479"/>
      <c r="PC56" s="479"/>
      <c r="PD56" s="479"/>
      <c r="PE56" s="479"/>
      <c r="PF56" s="479"/>
      <c r="PG56" s="479"/>
      <c r="PH56" s="479"/>
      <c r="PI56" s="479"/>
      <c r="PJ56" s="479"/>
      <c r="PK56" s="479"/>
      <c r="PL56" s="479"/>
      <c r="PM56" s="479"/>
      <c r="PN56" s="479"/>
      <c r="PO56" s="479"/>
      <c r="PP56" s="479"/>
      <c r="PQ56" s="479"/>
      <c r="PR56" s="479"/>
      <c r="PS56" s="479"/>
      <c r="PT56" s="479"/>
      <c r="PU56" s="479"/>
      <c r="PV56" s="479"/>
      <c r="PW56" s="479"/>
      <c r="PX56" s="479"/>
      <c r="PY56" s="479"/>
      <c r="PZ56" s="479"/>
      <c r="QA56" s="479"/>
      <c r="QB56" s="479"/>
      <c r="QC56" s="479"/>
      <c r="QD56" s="479"/>
      <c r="QE56" s="479"/>
      <c r="QF56" s="479"/>
      <c r="QG56" s="479"/>
      <c r="QH56" s="479"/>
      <c r="QI56" s="479"/>
      <c r="QJ56" s="479"/>
      <c r="QK56" s="479"/>
      <c r="QL56" s="479"/>
      <c r="QM56" s="479"/>
      <c r="QN56" s="479"/>
      <c r="QO56" s="479"/>
      <c r="QP56" s="479"/>
      <c r="QQ56" s="479"/>
      <c r="QR56" s="479"/>
      <c r="QS56" s="479"/>
      <c r="QT56" s="479"/>
      <c r="QU56" s="479"/>
      <c r="QV56" s="479"/>
      <c r="QW56" s="479"/>
      <c r="QX56" s="479"/>
      <c r="QY56" s="479"/>
      <c r="QZ56" s="479"/>
      <c r="RA56" s="479"/>
      <c r="RB56" s="479"/>
      <c r="RC56" s="479"/>
      <c r="RD56" s="479"/>
      <c r="RE56" s="479"/>
      <c r="RF56" s="479"/>
      <c r="RG56" s="479"/>
      <c r="RH56" s="479"/>
      <c r="RI56" s="479"/>
      <c r="RJ56" s="479"/>
      <c r="RK56" s="479"/>
      <c r="RL56" s="479"/>
      <c r="RM56" s="479"/>
      <c r="RN56" s="479"/>
      <c r="RO56" s="479"/>
      <c r="RP56" s="479"/>
      <c r="RQ56" s="479"/>
      <c r="RR56" s="479"/>
      <c r="RS56" s="479"/>
      <c r="RT56" s="479"/>
      <c r="RU56" s="479"/>
      <c r="RV56" s="479"/>
      <c r="RW56" s="479"/>
      <c r="RX56" s="479"/>
      <c r="RY56" s="479"/>
      <c r="RZ56" s="479"/>
      <c r="SA56" s="479"/>
      <c r="SB56" s="479"/>
      <c r="SC56" s="479"/>
      <c r="SD56" s="479"/>
      <c r="SE56" s="479"/>
      <c r="SF56" s="479"/>
      <c r="SG56" s="479"/>
      <c r="SH56" s="479"/>
      <c r="SI56" s="479"/>
      <c r="SJ56" s="479"/>
      <c r="SK56" s="479"/>
      <c r="SL56" s="479"/>
      <c r="SM56" s="479"/>
      <c r="SN56" s="479"/>
      <c r="SO56" s="479"/>
      <c r="SP56" s="479"/>
      <c r="SQ56" s="479"/>
      <c r="SR56" s="479"/>
      <c r="SS56" s="479"/>
      <c r="ST56" s="479"/>
      <c r="SU56" s="479"/>
      <c r="SV56" s="479"/>
      <c r="SW56" s="479"/>
      <c r="SX56" s="479"/>
      <c r="SY56" s="479"/>
      <c r="SZ56" s="479"/>
      <c r="TA56" s="479"/>
      <c r="TB56" s="479"/>
      <c r="TC56" s="479"/>
      <c r="TD56" s="479"/>
      <c r="TE56" s="479"/>
      <c r="TF56" s="479"/>
      <c r="TG56" s="479"/>
      <c r="TH56" s="479"/>
      <c r="TI56" s="479"/>
      <c r="TJ56" s="479"/>
      <c r="TK56" s="479"/>
      <c r="TL56" s="479"/>
      <c r="TM56" s="479"/>
      <c r="TN56" s="479"/>
      <c r="TO56" s="479"/>
      <c r="TP56" s="479"/>
      <c r="TQ56" s="479"/>
      <c r="TR56" s="479"/>
      <c r="TS56" s="479"/>
      <c r="TT56" s="479"/>
      <c r="TU56" s="479"/>
      <c r="TV56" s="479"/>
      <c r="TW56" s="479"/>
      <c r="TX56" s="479"/>
      <c r="TY56" s="479"/>
      <c r="TZ56" s="479"/>
      <c r="UA56" s="479"/>
      <c r="UB56" s="479"/>
      <c r="UC56" s="479"/>
      <c r="UD56" s="479"/>
      <c r="UE56" s="479"/>
      <c r="UF56" s="479"/>
      <c r="UG56" s="479"/>
      <c r="UH56" s="479"/>
      <c r="UI56" s="479"/>
      <c r="UJ56" s="479"/>
      <c r="UK56" s="479"/>
      <c r="UL56" s="479"/>
      <c r="UM56" s="479"/>
      <c r="UN56" s="479"/>
      <c r="UO56" s="479"/>
      <c r="UP56" s="479"/>
      <c r="UQ56" s="479"/>
      <c r="UR56" s="479"/>
      <c r="US56" s="479"/>
      <c r="UT56" s="479"/>
      <c r="UU56" s="479"/>
      <c r="UV56" s="479"/>
      <c r="UW56" s="479"/>
      <c r="UX56" s="479"/>
      <c r="UY56" s="479"/>
      <c r="UZ56" s="479"/>
      <c r="VA56" s="479"/>
      <c r="VB56" s="479"/>
      <c r="VC56" s="479"/>
      <c r="VD56" s="479"/>
      <c r="VE56" s="479"/>
      <c r="VF56" s="479"/>
      <c r="VG56" s="479"/>
      <c r="VH56" s="479"/>
      <c r="VI56" s="479"/>
      <c r="VJ56" s="479"/>
      <c r="VK56" s="479"/>
      <c r="VL56" s="479"/>
      <c r="VM56" s="479"/>
      <c r="VN56" s="479"/>
      <c r="VO56" s="479"/>
      <c r="VP56" s="479"/>
      <c r="VQ56" s="479"/>
      <c r="VR56" s="479"/>
      <c r="VS56" s="479"/>
      <c r="VT56" s="479"/>
      <c r="VU56" s="479"/>
      <c r="VV56" s="479"/>
      <c r="VW56" s="479"/>
      <c r="VX56" s="479"/>
      <c r="VY56" s="479"/>
      <c r="VZ56" s="479"/>
      <c r="WA56" s="479"/>
      <c r="WB56" s="479"/>
      <c r="WC56" s="479"/>
      <c r="WD56" s="479"/>
      <c r="WE56" s="479"/>
      <c r="WF56" s="479"/>
      <c r="WG56" s="479"/>
      <c r="WH56" s="479"/>
      <c r="WI56" s="479"/>
      <c r="WJ56" s="479"/>
      <c r="WK56" s="479"/>
      <c r="WL56" s="479"/>
      <c r="WM56" s="479"/>
      <c r="WN56" s="479"/>
      <c r="WO56" s="479"/>
      <c r="WP56" s="479"/>
      <c r="WQ56" s="479"/>
      <c r="WR56" s="479"/>
      <c r="WS56" s="479"/>
      <c r="WT56" s="479"/>
      <c r="WU56" s="479"/>
      <c r="WV56" s="479"/>
      <c r="WW56" s="479"/>
      <c r="WX56" s="479"/>
      <c r="WY56" s="479"/>
      <c r="WZ56" s="479"/>
      <c r="XA56" s="479"/>
      <c r="XB56" s="479"/>
      <c r="XC56" s="479"/>
      <c r="XD56" s="479"/>
      <c r="XE56" s="479"/>
      <c r="XF56" s="479"/>
      <c r="XG56" s="479"/>
      <c r="XH56" s="479"/>
      <c r="XI56" s="479"/>
      <c r="XJ56" s="479"/>
      <c r="XK56" s="479"/>
      <c r="XL56" s="479"/>
      <c r="XM56" s="479"/>
      <c r="XN56" s="479"/>
      <c r="XO56" s="479"/>
      <c r="XP56" s="479"/>
      <c r="XQ56" s="479"/>
      <c r="XR56" s="479"/>
      <c r="XS56" s="479"/>
      <c r="XT56" s="479"/>
      <c r="XU56" s="479"/>
      <c r="XV56" s="479"/>
      <c r="XW56" s="479"/>
      <c r="XX56" s="479"/>
      <c r="XY56" s="479"/>
      <c r="XZ56" s="479"/>
      <c r="YA56" s="479"/>
      <c r="YB56" s="479"/>
      <c r="YC56" s="479"/>
      <c r="YD56" s="479"/>
      <c r="YE56" s="479"/>
      <c r="YF56" s="479"/>
      <c r="YG56" s="479"/>
      <c r="YH56" s="479"/>
      <c r="YI56" s="479"/>
      <c r="YJ56" s="479"/>
      <c r="YK56" s="479"/>
      <c r="YL56" s="479"/>
      <c r="YM56" s="479"/>
      <c r="YN56" s="479"/>
      <c r="YO56" s="479"/>
      <c r="YP56" s="479"/>
      <c r="YQ56" s="479"/>
      <c r="YR56" s="479"/>
      <c r="YS56" s="479"/>
      <c r="YT56" s="479"/>
      <c r="YU56" s="479"/>
      <c r="YV56" s="479"/>
      <c r="YW56" s="479"/>
      <c r="YX56" s="479"/>
      <c r="YY56" s="479"/>
      <c r="YZ56" s="479"/>
      <c r="ZA56" s="479"/>
      <c r="ZB56" s="479"/>
      <c r="ZC56" s="479"/>
      <c r="ZD56" s="479"/>
      <c r="ZE56" s="479"/>
    </row>
    <row r="57">
      <c r="A57" s="156" t="s">
        <v>789</v>
      </c>
      <c r="B57" s="388"/>
      <c r="C57" s="16"/>
      <c r="D57" s="16"/>
      <c r="E57" s="16"/>
      <c r="F57" s="16"/>
      <c r="G57" s="16"/>
      <c r="H57" s="25"/>
      <c r="I57" s="388"/>
      <c r="J57" s="16"/>
      <c r="K57" s="16"/>
      <c r="L57" s="16"/>
      <c r="M57" s="16"/>
      <c r="N57" s="16"/>
      <c r="O57" s="25"/>
      <c r="P57" s="108"/>
      <c r="Q57" s="16"/>
      <c r="R57" s="16"/>
      <c r="S57" s="16"/>
      <c r="T57" s="16"/>
      <c r="U57" s="16"/>
      <c r="V57" s="25"/>
      <c r="W57" s="388"/>
      <c r="X57" s="16"/>
      <c r="Y57" s="16"/>
      <c r="Z57" s="16"/>
      <c r="AA57" s="16"/>
      <c r="AB57" s="16"/>
      <c r="AC57" s="25"/>
      <c r="AD57" s="388"/>
      <c r="AE57" s="16"/>
      <c r="AF57" s="16"/>
      <c r="AG57" s="16"/>
      <c r="AH57" s="16"/>
      <c r="AI57" s="16"/>
      <c r="AJ57" s="25"/>
      <c r="AK57" s="108" t="s">
        <v>2155</v>
      </c>
      <c r="AL57" s="16"/>
      <c r="AM57" s="16"/>
      <c r="AN57" s="16"/>
      <c r="AO57" s="16"/>
      <c r="AP57" s="16"/>
      <c r="AQ57" s="25"/>
      <c r="AR57" s="388"/>
      <c r="AS57" s="16"/>
      <c r="AT57" s="16"/>
      <c r="AU57" s="16"/>
      <c r="AV57" s="16"/>
      <c r="AW57" s="16"/>
      <c r="AX57" s="25"/>
      <c r="AY57" s="108"/>
      <c r="AZ57" s="16"/>
      <c r="BA57" s="16"/>
      <c r="BB57" s="16"/>
      <c r="BC57" s="16"/>
      <c r="BD57" s="16"/>
      <c r="BE57" s="25"/>
      <c r="BF57" s="388"/>
      <c r="BG57" s="16"/>
      <c r="BH57" s="16"/>
      <c r="BI57" s="16"/>
      <c r="BJ57" s="16"/>
      <c r="BK57" s="16"/>
      <c r="BL57" s="25"/>
      <c r="BM57" s="108"/>
      <c r="BN57" s="16"/>
      <c r="BO57" s="16"/>
      <c r="BP57" s="16"/>
      <c r="BQ57" s="16"/>
      <c r="BR57" s="16"/>
      <c r="BS57" s="25"/>
      <c r="BT57" s="58" t="s">
        <v>2156</v>
      </c>
      <c r="CA57" s="108" t="s">
        <v>2157</v>
      </c>
      <c r="CB57" s="16"/>
      <c r="CC57" s="16"/>
      <c r="CD57" s="16"/>
      <c r="CE57" s="16"/>
      <c r="CF57" s="16"/>
      <c r="CG57" s="25"/>
      <c r="CH57" s="108" t="s">
        <v>2158</v>
      </c>
      <c r="CI57" s="16"/>
      <c r="CJ57" s="16"/>
      <c r="CK57" s="16"/>
      <c r="CL57" s="16"/>
      <c r="CM57" s="16"/>
      <c r="CN57" s="25"/>
      <c r="CO57" s="108" t="s">
        <v>2159</v>
      </c>
      <c r="CP57" s="16"/>
      <c r="CQ57" s="16"/>
      <c r="CR57" s="16"/>
      <c r="CS57" s="16"/>
      <c r="CT57" s="16"/>
      <c r="CU57" s="25"/>
      <c r="CV57" s="388"/>
      <c r="CW57" s="16"/>
      <c r="CX57" s="16"/>
      <c r="CY57" s="16"/>
      <c r="CZ57" s="16"/>
      <c r="DA57" s="16"/>
      <c r="DB57" s="25"/>
      <c r="DC57" s="388"/>
      <c r="DD57" s="16"/>
      <c r="DE57" s="16"/>
      <c r="DF57" s="16"/>
      <c r="DG57" s="16"/>
      <c r="DH57" s="16"/>
      <c r="DI57" s="25"/>
      <c r="DJ57" s="108"/>
      <c r="DK57" s="16"/>
      <c r="DL57" s="16"/>
      <c r="DM57" s="16"/>
      <c r="DN57" s="16"/>
      <c r="DO57" s="16"/>
      <c r="DP57" s="25"/>
      <c r="DQ57" s="108"/>
      <c r="DR57" s="16"/>
      <c r="DS57" s="16"/>
      <c r="DT57" s="16"/>
      <c r="DU57" s="16"/>
      <c r="DV57" s="16"/>
      <c r="DW57" s="25"/>
      <c r="DX57" s="108"/>
      <c r="DY57" s="16"/>
      <c r="DZ57" s="16"/>
      <c r="EA57" s="16"/>
      <c r="EB57" s="16"/>
      <c r="EC57" s="16"/>
      <c r="ED57" s="25"/>
      <c r="EE57" s="388"/>
      <c r="EF57" s="16"/>
      <c r="EG57" s="16"/>
      <c r="EH57" s="16"/>
      <c r="EI57" s="16"/>
      <c r="EJ57" s="16"/>
      <c r="EK57" s="25"/>
      <c r="EL57" s="388"/>
      <c r="EM57" s="16"/>
      <c r="EN57" s="16"/>
      <c r="EO57" s="16"/>
      <c r="EP57" s="16"/>
      <c r="EQ57" s="16"/>
      <c r="ER57" s="25"/>
      <c r="ES57" s="388"/>
      <c r="ET57" s="16"/>
      <c r="EU57" s="16"/>
      <c r="EV57" s="16"/>
      <c r="EW57" s="16"/>
      <c r="EX57" s="16"/>
      <c r="EY57" s="25"/>
      <c r="EZ57" s="108"/>
      <c r="FA57" s="16"/>
      <c r="FB57" s="16"/>
      <c r="FC57" s="16"/>
      <c r="FD57" s="16"/>
      <c r="FE57" s="16"/>
      <c r="FF57" s="25"/>
      <c r="FG57" s="108"/>
      <c r="FH57" s="16"/>
      <c r="FI57" s="16"/>
      <c r="FJ57" s="16"/>
      <c r="FK57" s="16"/>
      <c r="FL57" s="16"/>
      <c r="FM57" s="25"/>
      <c r="FN57" s="108"/>
      <c r="FO57" s="16"/>
      <c r="FP57" s="16"/>
      <c r="FQ57" s="16"/>
      <c r="FR57" s="16"/>
      <c r="FS57" s="16"/>
      <c r="FT57" s="25"/>
      <c r="FU57" s="388"/>
      <c r="FV57" s="16"/>
      <c r="FW57" s="16"/>
      <c r="FX57" s="16"/>
      <c r="FY57" s="16"/>
      <c r="FZ57" s="16"/>
      <c r="GA57" s="25"/>
      <c r="GB57" s="388"/>
      <c r="GC57" s="16"/>
      <c r="GD57" s="16"/>
      <c r="GE57" s="16"/>
      <c r="GF57" s="16"/>
      <c r="GG57" s="16"/>
      <c r="GH57" s="25"/>
      <c r="GI57" s="388"/>
      <c r="GJ57" s="16"/>
      <c r="GK57" s="16"/>
      <c r="GL57" s="16"/>
      <c r="GM57" s="16"/>
      <c r="GN57" s="16"/>
      <c r="GO57" s="25"/>
      <c r="GP57" s="388"/>
      <c r="GQ57" s="16"/>
      <c r="GR57" s="16"/>
      <c r="GS57" s="16"/>
      <c r="GT57" s="16"/>
      <c r="GU57" s="16"/>
      <c r="GV57" s="25"/>
      <c r="GW57" s="388"/>
      <c r="GX57" s="16"/>
      <c r="GY57" s="16"/>
      <c r="GZ57" s="16"/>
      <c r="HA57" s="16"/>
      <c r="HB57" s="16"/>
      <c r="HC57" s="25"/>
      <c r="HD57" s="388"/>
      <c r="HE57" s="16"/>
      <c r="HF57" s="16"/>
      <c r="HG57" s="16"/>
      <c r="HH57" s="16"/>
      <c r="HI57" s="16"/>
      <c r="HJ57" s="25"/>
      <c r="HK57" s="108"/>
      <c r="HL57" s="16"/>
      <c r="HM57" s="16"/>
      <c r="HN57" s="16"/>
      <c r="HO57" s="16"/>
      <c r="HP57" s="16"/>
      <c r="HQ57" s="25"/>
      <c r="HR57" s="108"/>
      <c r="HS57" s="16"/>
      <c r="HT57" s="16"/>
      <c r="HU57" s="16"/>
      <c r="HV57" s="16"/>
      <c r="HW57" s="16"/>
      <c r="HX57" s="25"/>
      <c r="HY57" s="388"/>
      <c r="HZ57" s="16"/>
      <c r="IA57" s="16"/>
      <c r="IB57" s="16"/>
      <c r="IC57" s="16"/>
      <c r="ID57" s="16"/>
      <c r="IE57" s="25"/>
      <c r="IF57" s="108"/>
      <c r="IG57" s="16"/>
      <c r="IH57" s="16"/>
      <c r="II57" s="16"/>
      <c r="IJ57" s="16"/>
      <c r="IK57" s="16"/>
      <c r="IL57" s="25"/>
      <c r="IM57" s="108"/>
      <c r="IN57" s="16"/>
      <c r="IO57" s="16"/>
      <c r="IP57" s="16"/>
      <c r="IQ57" s="16"/>
      <c r="IR57" s="16"/>
      <c r="IS57" s="25"/>
      <c r="IT57" s="108"/>
      <c r="IU57" s="16"/>
      <c r="IV57" s="16"/>
      <c r="IW57" s="16"/>
      <c r="IX57" s="16"/>
      <c r="IY57" s="16"/>
      <c r="IZ57" s="25"/>
      <c r="JA57" s="388"/>
      <c r="JB57" s="16"/>
      <c r="JC57" s="16"/>
      <c r="JD57" s="16"/>
      <c r="JE57" s="16"/>
      <c r="JF57" s="16"/>
      <c r="JG57" s="25"/>
      <c r="JH57" s="108"/>
      <c r="JI57" s="16"/>
      <c r="JJ57" s="16"/>
      <c r="JK57" s="16"/>
      <c r="JL57" s="16"/>
      <c r="JM57" s="16"/>
      <c r="JN57" s="25"/>
      <c r="JO57" s="388"/>
      <c r="JP57" s="16"/>
      <c r="JQ57" s="16"/>
      <c r="JR57" s="16"/>
      <c r="JS57" s="16"/>
      <c r="JT57" s="16"/>
      <c r="JU57" s="25"/>
      <c r="JV57" s="108"/>
      <c r="JW57" s="16"/>
      <c r="JX57" s="16"/>
      <c r="JY57" s="16"/>
      <c r="JZ57" s="16"/>
      <c r="KA57" s="16"/>
      <c r="KB57" s="25"/>
      <c r="KC57" s="388"/>
      <c r="KD57" s="16"/>
      <c r="KE57" s="16"/>
      <c r="KF57" s="16"/>
      <c r="KG57" s="16"/>
      <c r="KH57" s="16"/>
      <c r="KI57" s="25"/>
      <c r="KJ57" s="388"/>
      <c r="KK57" s="16"/>
      <c r="KL57" s="16"/>
      <c r="KM57" s="16"/>
      <c r="KN57" s="16"/>
      <c r="KO57" s="16"/>
      <c r="KP57" s="25"/>
      <c r="KQ57" s="388"/>
      <c r="KR57" s="16"/>
      <c r="KS57" s="16"/>
      <c r="KT57" s="16"/>
      <c r="KU57" s="16"/>
      <c r="KV57" s="16"/>
      <c r="KW57" s="25"/>
      <c r="KX57" s="388"/>
      <c r="KY57" s="16"/>
      <c r="KZ57" s="16"/>
      <c r="LA57" s="16"/>
      <c r="LB57" s="16"/>
      <c r="LC57" s="16"/>
      <c r="LD57" s="25"/>
      <c r="LE57" s="388"/>
      <c r="LF57" s="16"/>
      <c r="LG57" s="16"/>
      <c r="LH57" s="16"/>
      <c r="LI57" s="16"/>
      <c r="LJ57" s="16"/>
      <c r="LK57" s="25"/>
      <c r="LL57" s="388"/>
      <c r="LM57" s="16"/>
      <c r="LN57" s="16"/>
      <c r="LO57" s="16"/>
      <c r="LP57" s="16"/>
      <c r="LQ57" s="16"/>
      <c r="LR57" s="25"/>
      <c r="LS57" s="388"/>
      <c r="LT57" s="16"/>
      <c r="LU57" s="16"/>
      <c r="LV57" s="16"/>
      <c r="LW57" s="16"/>
      <c r="LX57" s="16"/>
      <c r="LY57" s="25"/>
      <c r="LZ57" s="388"/>
      <c r="MA57" s="16"/>
      <c r="MB57" s="16"/>
      <c r="MC57" s="16"/>
      <c r="MD57" s="16"/>
      <c r="ME57" s="16"/>
      <c r="MF57" s="25"/>
      <c r="MG57" s="388"/>
      <c r="MH57" s="16"/>
      <c r="MI57" s="16"/>
      <c r="MJ57" s="16"/>
      <c r="MK57" s="16"/>
      <c r="ML57" s="16"/>
      <c r="MM57" s="25"/>
      <c r="MN57" s="388"/>
      <c r="MO57" s="16"/>
      <c r="MP57" s="16"/>
      <c r="MQ57" s="16"/>
      <c r="MR57" s="16"/>
      <c r="MS57" s="16"/>
      <c r="MT57" s="25"/>
      <c r="MU57" s="388"/>
      <c r="MV57" s="16"/>
      <c r="MW57" s="16"/>
      <c r="MX57" s="16"/>
      <c r="MY57" s="16"/>
      <c r="MZ57" s="16"/>
      <c r="NA57" s="25"/>
      <c r="NB57" s="399"/>
      <c r="NC57" s="399"/>
      <c r="ND57" s="399"/>
      <c r="NE57" s="399"/>
      <c r="NF57" s="399"/>
      <c r="NG57" s="399"/>
      <c r="NH57" s="399"/>
      <c r="NI57" s="399"/>
      <c r="NJ57" s="399"/>
      <c r="NK57" s="399"/>
      <c r="NL57" s="399"/>
      <c r="NM57" s="399"/>
      <c r="NN57" s="399"/>
      <c r="NO57" s="399"/>
      <c r="NP57" s="399"/>
      <c r="NQ57" s="399"/>
      <c r="NR57" s="399"/>
      <c r="NS57" s="399"/>
      <c r="NT57" s="399"/>
      <c r="NU57" s="399"/>
      <c r="NV57" s="399"/>
      <c r="NW57" s="399"/>
      <c r="NX57" s="399"/>
      <c r="NY57" s="399"/>
      <c r="NZ57" s="399"/>
      <c r="OA57" s="399"/>
      <c r="OB57" s="399"/>
      <c r="OC57" s="399"/>
      <c r="OD57" s="399"/>
      <c r="OE57" s="399"/>
      <c r="OF57" s="399"/>
      <c r="OG57" s="399"/>
      <c r="OH57" s="399"/>
      <c r="OI57" s="399"/>
      <c r="OJ57" s="399"/>
      <c r="OK57" s="399"/>
      <c r="OL57" s="399"/>
      <c r="OM57" s="399"/>
      <c r="ON57" s="399"/>
      <c r="OO57" s="399"/>
      <c r="OP57" s="399"/>
      <c r="OQ57" s="399"/>
      <c r="OR57" s="399"/>
      <c r="OS57" s="399"/>
      <c r="OT57" s="399"/>
      <c r="OU57" s="399"/>
      <c r="OV57" s="399"/>
      <c r="OW57" s="399"/>
      <c r="OX57" s="399"/>
      <c r="OY57" s="399"/>
      <c r="OZ57" s="399"/>
      <c r="PA57" s="399"/>
      <c r="PB57" s="399"/>
      <c r="PC57" s="399"/>
      <c r="PD57" s="399"/>
      <c r="PE57" s="399"/>
      <c r="PF57" s="399"/>
      <c r="PG57" s="399"/>
      <c r="PH57" s="399"/>
      <c r="PI57" s="399"/>
      <c r="PJ57" s="399"/>
      <c r="PK57" s="399"/>
      <c r="PL57" s="399"/>
      <c r="PM57" s="399"/>
      <c r="PN57" s="399"/>
      <c r="PO57" s="399"/>
      <c r="PP57" s="399"/>
      <c r="PQ57" s="399"/>
      <c r="PR57" s="399"/>
      <c r="PS57" s="399"/>
      <c r="PT57" s="399"/>
      <c r="PU57" s="399"/>
      <c r="PV57" s="399"/>
      <c r="PW57" s="399"/>
      <c r="PX57" s="399"/>
      <c r="PY57" s="399"/>
      <c r="PZ57" s="399"/>
      <c r="QA57" s="399"/>
      <c r="QB57" s="399"/>
      <c r="QC57" s="399"/>
      <c r="QD57" s="399"/>
      <c r="QE57" s="399"/>
      <c r="QF57" s="399"/>
      <c r="QG57" s="399"/>
      <c r="QH57" s="399"/>
      <c r="QI57" s="399"/>
      <c r="QJ57" s="399"/>
      <c r="QK57" s="399"/>
      <c r="QL57" s="399"/>
      <c r="QM57" s="399"/>
      <c r="QN57" s="399"/>
      <c r="QO57" s="399"/>
      <c r="QP57" s="399"/>
      <c r="QQ57" s="399"/>
      <c r="QR57" s="399"/>
      <c r="QS57" s="399"/>
      <c r="QT57" s="399"/>
      <c r="QU57" s="399"/>
      <c r="QV57" s="399"/>
      <c r="QW57" s="399"/>
      <c r="QX57" s="399"/>
      <c r="QY57" s="399"/>
      <c r="QZ57" s="399"/>
      <c r="RA57" s="399"/>
      <c r="RB57" s="399"/>
      <c r="RC57" s="399"/>
      <c r="RD57" s="399"/>
      <c r="RE57" s="399"/>
      <c r="RF57" s="399"/>
      <c r="RG57" s="399"/>
      <c r="RH57" s="399"/>
      <c r="RI57" s="399"/>
      <c r="RJ57" s="399"/>
      <c r="RK57" s="399"/>
      <c r="RL57" s="399"/>
      <c r="RM57" s="399"/>
      <c r="RN57" s="399"/>
      <c r="RO57" s="399"/>
      <c r="RP57" s="399"/>
      <c r="RQ57" s="399"/>
      <c r="RR57" s="399"/>
      <c r="RS57" s="399"/>
      <c r="RT57" s="399"/>
      <c r="RU57" s="399"/>
      <c r="RV57" s="399"/>
      <c r="RW57" s="399"/>
      <c r="RX57" s="399"/>
      <c r="RY57" s="399"/>
      <c r="RZ57" s="399"/>
      <c r="SA57" s="399"/>
      <c r="SB57" s="399"/>
      <c r="SC57" s="399"/>
      <c r="SD57" s="399"/>
      <c r="SE57" s="399"/>
      <c r="SF57" s="399"/>
      <c r="SG57" s="399"/>
      <c r="SH57" s="399"/>
      <c r="SI57" s="399"/>
      <c r="SJ57" s="399"/>
      <c r="SK57" s="399"/>
      <c r="SL57" s="399"/>
      <c r="SM57" s="399"/>
      <c r="SN57" s="399"/>
      <c r="SO57" s="399"/>
      <c r="SP57" s="399"/>
      <c r="SQ57" s="399"/>
      <c r="SR57" s="399"/>
      <c r="SS57" s="399"/>
      <c r="ST57" s="399"/>
      <c r="SU57" s="399"/>
      <c r="SV57" s="399"/>
      <c r="SW57" s="399"/>
      <c r="SX57" s="399"/>
      <c r="SY57" s="399"/>
      <c r="SZ57" s="399"/>
      <c r="TA57" s="399"/>
      <c r="TB57" s="399"/>
      <c r="TC57" s="399"/>
      <c r="TD57" s="399"/>
      <c r="TE57" s="399"/>
      <c r="TF57" s="399"/>
      <c r="TG57" s="399"/>
      <c r="TH57" s="399"/>
      <c r="TI57" s="399"/>
      <c r="TJ57" s="399"/>
      <c r="TK57" s="399"/>
      <c r="TL57" s="399"/>
      <c r="TM57" s="399"/>
      <c r="TN57" s="399"/>
      <c r="TO57" s="399"/>
      <c r="TP57" s="399"/>
      <c r="TQ57" s="399"/>
      <c r="TR57" s="399"/>
      <c r="TS57" s="399"/>
      <c r="TT57" s="399"/>
      <c r="TU57" s="399"/>
      <c r="TV57" s="399"/>
      <c r="TW57" s="399"/>
      <c r="TX57" s="399"/>
      <c r="TY57" s="399"/>
      <c r="TZ57" s="399"/>
      <c r="UA57" s="399"/>
      <c r="UB57" s="399"/>
      <c r="UC57" s="399"/>
      <c r="UD57" s="399"/>
      <c r="UE57" s="399"/>
      <c r="UF57" s="399"/>
      <c r="UG57" s="399"/>
      <c r="UH57" s="399"/>
      <c r="UI57" s="399"/>
      <c r="UJ57" s="399"/>
      <c r="UK57" s="399"/>
      <c r="UL57" s="399"/>
      <c r="UM57" s="399"/>
      <c r="UN57" s="399"/>
      <c r="UO57" s="399"/>
      <c r="UP57" s="399"/>
      <c r="UQ57" s="399"/>
      <c r="UR57" s="399"/>
      <c r="US57" s="399"/>
      <c r="UT57" s="399"/>
      <c r="UU57" s="399"/>
      <c r="UV57" s="399"/>
      <c r="UW57" s="399"/>
      <c r="UX57" s="399"/>
      <c r="UY57" s="399"/>
      <c r="UZ57" s="399"/>
      <c r="VA57" s="399"/>
      <c r="VB57" s="399"/>
      <c r="VC57" s="399"/>
      <c r="VD57" s="399"/>
      <c r="VE57" s="399"/>
      <c r="VF57" s="399"/>
      <c r="VG57" s="399"/>
      <c r="VH57" s="399"/>
      <c r="VI57" s="399"/>
      <c r="VJ57" s="399"/>
      <c r="VK57" s="399"/>
      <c r="VL57" s="399"/>
      <c r="VM57" s="399"/>
      <c r="VN57" s="399"/>
      <c r="VO57" s="399"/>
      <c r="VP57" s="399"/>
      <c r="VQ57" s="399"/>
      <c r="VR57" s="399"/>
      <c r="VS57" s="399"/>
      <c r="VT57" s="399"/>
      <c r="VU57" s="399"/>
      <c r="VV57" s="399"/>
      <c r="VW57" s="399"/>
      <c r="VX57" s="399"/>
      <c r="VY57" s="399"/>
      <c r="VZ57" s="399"/>
      <c r="WA57" s="399"/>
      <c r="WB57" s="399"/>
      <c r="WC57" s="399"/>
      <c r="WD57" s="399"/>
      <c r="WE57" s="399"/>
      <c r="WF57" s="399"/>
      <c r="WG57" s="399"/>
      <c r="WH57" s="399"/>
      <c r="WI57" s="399"/>
      <c r="WJ57" s="399"/>
      <c r="WK57" s="399"/>
      <c r="WL57" s="399"/>
      <c r="WM57" s="399"/>
      <c r="WN57" s="399"/>
      <c r="WO57" s="399"/>
      <c r="WP57" s="399"/>
      <c r="WQ57" s="399"/>
      <c r="WR57" s="399"/>
      <c r="WS57" s="399"/>
      <c r="WT57" s="399"/>
      <c r="WU57" s="399"/>
      <c r="WV57" s="399"/>
      <c r="WW57" s="399"/>
      <c r="WX57" s="399"/>
      <c r="WY57" s="399"/>
      <c r="WZ57" s="399"/>
      <c r="XA57" s="399"/>
      <c r="XB57" s="399"/>
      <c r="XC57" s="399"/>
      <c r="XD57" s="399"/>
      <c r="XE57" s="399"/>
      <c r="XF57" s="399"/>
      <c r="XG57" s="399"/>
      <c r="XH57" s="399"/>
      <c r="XI57" s="399"/>
      <c r="XJ57" s="399"/>
      <c r="XK57" s="399"/>
      <c r="XL57" s="399"/>
      <c r="XM57" s="399"/>
      <c r="XN57" s="399"/>
      <c r="XO57" s="399"/>
      <c r="XP57" s="399"/>
      <c r="XQ57" s="399"/>
      <c r="XR57" s="399"/>
      <c r="XS57" s="399"/>
      <c r="XT57" s="399"/>
      <c r="XU57" s="399"/>
      <c r="XV57" s="399"/>
      <c r="XW57" s="399"/>
      <c r="XX57" s="399"/>
      <c r="XY57" s="399"/>
      <c r="XZ57" s="399"/>
      <c r="YA57" s="399"/>
      <c r="YB57" s="399"/>
      <c r="YC57" s="399"/>
      <c r="YD57" s="399"/>
      <c r="YE57" s="399"/>
      <c r="YF57" s="399"/>
      <c r="YG57" s="399"/>
      <c r="YH57" s="399"/>
      <c r="YI57" s="399"/>
      <c r="YJ57" s="399"/>
      <c r="YK57" s="399"/>
      <c r="YL57" s="399"/>
      <c r="YM57" s="399"/>
      <c r="YN57" s="399"/>
      <c r="YO57" s="399"/>
      <c r="YP57" s="399"/>
      <c r="YQ57" s="399"/>
      <c r="YR57" s="399"/>
      <c r="YS57" s="399"/>
      <c r="YT57" s="399"/>
      <c r="YU57" s="399"/>
      <c r="YV57" s="399"/>
      <c r="YW57" s="399"/>
      <c r="YX57" s="399"/>
      <c r="YY57" s="399"/>
      <c r="YZ57" s="399"/>
      <c r="ZA57" s="399"/>
      <c r="ZB57" s="399"/>
      <c r="ZC57" s="399"/>
      <c r="ZD57" s="399"/>
      <c r="ZE57" s="399"/>
    </row>
    <row r="58">
      <c r="A58" s="448" t="s">
        <v>1388</v>
      </c>
      <c r="B58" s="108" t="s">
        <v>1839</v>
      </c>
      <c r="C58" s="16"/>
      <c r="D58" s="16"/>
      <c r="E58" s="16"/>
      <c r="F58" s="16"/>
      <c r="G58" s="16"/>
      <c r="H58" s="25"/>
      <c r="I58" s="283"/>
      <c r="J58" s="16"/>
      <c r="K58" s="16"/>
      <c r="L58" s="16"/>
      <c r="M58" s="16"/>
      <c r="N58" s="16"/>
      <c r="O58" s="25"/>
      <c r="P58" s="153"/>
      <c r="Q58" s="16"/>
      <c r="R58" s="16"/>
      <c r="S58" s="16"/>
      <c r="T58" s="16"/>
      <c r="U58" s="16"/>
      <c r="V58" s="25"/>
      <c r="W58" s="283"/>
      <c r="X58" s="16"/>
      <c r="Y58" s="16"/>
      <c r="Z58" s="16"/>
      <c r="AA58" s="16"/>
      <c r="AB58" s="16"/>
      <c r="AC58" s="25"/>
      <c r="AD58" s="153"/>
      <c r="AE58" s="16"/>
      <c r="AF58" s="16"/>
      <c r="AG58" s="16"/>
      <c r="AH58" s="16"/>
      <c r="AI58" s="16"/>
      <c r="AJ58" s="25"/>
      <c r="AK58" s="108" t="s">
        <v>2161</v>
      </c>
      <c r="AL58" s="16"/>
      <c r="AM58" s="16"/>
      <c r="AN58" s="16"/>
      <c r="AO58" s="16"/>
      <c r="AP58" s="16"/>
      <c r="AQ58" s="25"/>
      <c r="AR58" s="153"/>
      <c r="AS58" s="16"/>
      <c r="AT58" s="16"/>
      <c r="AU58" s="16"/>
      <c r="AV58" s="16"/>
      <c r="AW58" s="16"/>
      <c r="AX58" s="25"/>
      <c r="AY58" s="480"/>
      <c r="AZ58" s="16"/>
      <c r="BA58" s="16"/>
      <c r="BB58" s="16"/>
      <c r="BC58" s="16"/>
      <c r="BD58" s="16"/>
      <c r="BE58" s="25"/>
      <c r="BF58" s="153"/>
      <c r="BG58" s="16"/>
      <c r="BH58" s="16"/>
      <c r="BI58" s="16"/>
      <c r="BJ58" s="16"/>
      <c r="BK58" s="16"/>
      <c r="BL58" s="25"/>
      <c r="BM58" s="106"/>
      <c r="BN58" s="16"/>
      <c r="BO58" s="16"/>
      <c r="BP58" s="16"/>
      <c r="BQ58" s="16"/>
      <c r="BR58" s="16"/>
      <c r="BS58" s="25"/>
      <c r="BT58" s="106" t="s">
        <v>728</v>
      </c>
      <c r="BU58" s="16"/>
      <c r="BV58" s="16"/>
      <c r="BW58" s="16"/>
      <c r="BX58" s="16"/>
      <c r="BY58" s="16"/>
      <c r="BZ58" s="25"/>
      <c r="CA58" s="106" t="s">
        <v>729</v>
      </c>
      <c r="CB58" s="16"/>
      <c r="CC58" s="16"/>
      <c r="CD58" s="16"/>
      <c r="CE58" s="16"/>
      <c r="CF58" s="16"/>
      <c r="CG58" s="25"/>
      <c r="CH58" s="191" t="s">
        <v>730</v>
      </c>
      <c r="CI58" s="16"/>
      <c r="CJ58" s="16"/>
      <c r="CK58" s="16"/>
      <c r="CL58" s="16"/>
      <c r="CM58" s="16"/>
      <c r="CN58" s="16"/>
      <c r="CO58" s="25"/>
      <c r="CP58" s="230"/>
      <c r="CQ58" s="230"/>
      <c r="CR58" s="230"/>
      <c r="CS58" s="230"/>
      <c r="CT58" s="230"/>
      <c r="CU58" s="241"/>
      <c r="CV58" s="108" t="s">
        <v>2162</v>
      </c>
      <c r="CW58" s="16"/>
      <c r="CX58" s="16"/>
      <c r="CY58" s="16"/>
      <c r="CZ58" s="16"/>
      <c r="DA58" s="16"/>
      <c r="DB58" s="25"/>
      <c r="DC58" s="106" t="s">
        <v>2163</v>
      </c>
      <c r="DD58" s="16"/>
      <c r="DE58" s="16"/>
      <c r="DF58" s="16"/>
      <c r="DG58" s="16"/>
      <c r="DH58" s="16"/>
      <c r="DI58" s="25"/>
      <c r="DJ58" s="153"/>
      <c r="DK58" s="16"/>
      <c r="DL58" s="16"/>
      <c r="DM58" s="16"/>
      <c r="DN58" s="16"/>
      <c r="DO58" s="16"/>
      <c r="DP58" s="25"/>
      <c r="DQ58" s="153"/>
      <c r="DR58" s="16"/>
      <c r="DS58" s="16"/>
      <c r="DT58" s="16"/>
      <c r="DU58" s="16"/>
      <c r="DV58" s="16"/>
      <c r="DW58" s="25"/>
      <c r="DX58" s="266"/>
      <c r="DY58" s="16"/>
      <c r="DZ58" s="16"/>
      <c r="EA58" s="16"/>
      <c r="EB58" s="16"/>
      <c r="EC58" s="16"/>
      <c r="ED58" s="25"/>
      <c r="EE58" s="481"/>
      <c r="EF58" s="16"/>
      <c r="EG58" s="16"/>
      <c r="EH58" s="16"/>
      <c r="EI58" s="16"/>
      <c r="EJ58" s="16"/>
      <c r="EK58" s="25"/>
      <c r="EL58" s="481"/>
      <c r="EM58" s="16"/>
      <c r="EN58" s="16"/>
      <c r="EO58" s="16"/>
      <c r="EP58" s="16"/>
      <c r="EQ58" s="16"/>
      <c r="ER58" s="25"/>
      <c r="ES58" s="482"/>
      <c r="ET58" s="16"/>
      <c r="EU58" s="16"/>
      <c r="EV58" s="16"/>
      <c r="EW58" s="16"/>
      <c r="EX58" s="16"/>
      <c r="EY58" s="25"/>
      <c r="EZ58" s="481"/>
      <c r="FA58" s="16"/>
      <c r="FB58" s="16"/>
      <c r="FC58" s="16"/>
      <c r="FD58" s="16"/>
      <c r="FE58" s="16"/>
      <c r="FF58" s="25"/>
      <c r="FG58" s="153"/>
      <c r="FH58" s="16"/>
      <c r="FI58" s="16"/>
      <c r="FJ58" s="16"/>
      <c r="FK58" s="16"/>
      <c r="FL58" s="16"/>
      <c r="FM58" s="25"/>
      <c r="FN58" s="153"/>
      <c r="FO58" s="16"/>
      <c r="FP58" s="16"/>
      <c r="FQ58" s="16"/>
      <c r="FR58" s="16"/>
      <c r="FS58" s="16"/>
      <c r="FT58" s="25"/>
      <c r="FU58" s="153"/>
      <c r="FV58" s="16"/>
      <c r="FW58" s="16"/>
      <c r="FX58" s="16"/>
      <c r="FY58" s="16"/>
      <c r="FZ58" s="16"/>
      <c r="GA58" s="25"/>
      <c r="GB58" s="153"/>
      <c r="GC58" s="16"/>
      <c r="GD58" s="16"/>
      <c r="GE58" s="16"/>
      <c r="GF58" s="16"/>
      <c r="GG58" s="16"/>
      <c r="GH58" s="25"/>
      <c r="GI58" s="153"/>
      <c r="GJ58" s="16"/>
      <c r="GK58" s="16"/>
      <c r="GL58" s="16"/>
      <c r="GM58" s="16"/>
      <c r="GN58" s="16"/>
      <c r="GO58" s="25"/>
      <c r="GP58" s="153"/>
      <c r="GQ58" s="16"/>
      <c r="GR58" s="16"/>
      <c r="GS58" s="16"/>
      <c r="GT58" s="16"/>
      <c r="GU58" s="16"/>
      <c r="GV58" s="25"/>
      <c r="GW58" s="283"/>
      <c r="GX58" s="16"/>
      <c r="GY58" s="16"/>
      <c r="GZ58" s="16"/>
      <c r="HA58" s="16"/>
      <c r="HB58" s="16"/>
      <c r="HC58" s="25"/>
      <c r="HD58" s="283"/>
      <c r="HE58" s="16"/>
      <c r="HF58" s="16"/>
      <c r="HG58" s="16"/>
      <c r="HH58" s="16"/>
      <c r="HI58" s="16"/>
      <c r="HJ58" s="25"/>
      <c r="HK58" s="283"/>
      <c r="HL58" s="16"/>
      <c r="HM58" s="16"/>
      <c r="HN58" s="16"/>
      <c r="HO58" s="16"/>
      <c r="HP58" s="16"/>
      <c r="HQ58" s="25"/>
      <c r="HR58" s="153"/>
      <c r="HS58" s="16"/>
      <c r="HT58" s="16"/>
      <c r="HU58" s="16"/>
      <c r="HV58" s="16"/>
      <c r="HW58" s="16"/>
      <c r="HX58" s="25"/>
      <c r="HY58" s="283"/>
      <c r="HZ58" s="16"/>
      <c r="IA58" s="16"/>
      <c r="IB58" s="16"/>
      <c r="IC58" s="16"/>
      <c r="ID58" s="16"/>
      <c r="IE58" s="25"/>
      <c r="IF58" s="153"/>
      <c r="IG58" s="16"/>
      <c r="IH58" s="16"/>
      <c r="II58" s="16"/>
      <c r="IJ58" s="16"/>
      <c r="IK58" s="16"/>
      <c r="IL58" s="25"/>
      <c r="IM58" s="153"/>
      <c r="IN58" s="16"/>
      <c r="IO58" s="16"/>
      <c r="IP58" s="16"/>
      <c r="IQ58" s="16"/>
      <c r="IR58" s="16"/>
      <c r="IS58" s="25"/>
      <c r="IT58" s="153"/>
      <c r="IU58" s="16"/>
      <c r="IV58" s="16"/>
      <c r="IW58" s="16"/>
      <c r="IX58" s="16"/>
      <c r="IY58" s="16"/>
      <c r="IZ58" s="25"/>
      <c r="JA58" s="153"/>
      <c r="JB58" s="16"/>
      <c r="JC58" s="16"/>
      <c r="JD58" s="16"/>
      <c r="JE58" s="16"/>
      <c r="JF58" s="16"/>
      <c r="JG58" s="25"/>
      <c r="JH58" s="151"/>
      <c r="JI58" s="16"/>
      <c r="JJ58" s="16"/>
      <c r="JK58" s="16"/>
      <c r="JL58" s="16"/>
      <c r="JM58" s="16"/>
      <c r="JN58" s="25"/>
      <c r="JO58" s="153"/>
      <c r="JP58" s="16"/>
      <c r="JQ58" s="16"/>
      <c r="JR58" s="16"/>
      <c r="JS58" s="16"/>
      <c r="JT58" s="16"/>
      <c r="JU58" s="25"/>
      <c r="JV58" s="153"/>
      <c r="JW58" s="16"/>
      <c r="JX58" s="16"/>
      <c r="JY58" s="16"/>
      <c r="JZ58" s="16"/>
      <c r="KA58" s="16"/>
      <c r="KB58" s="25"/>
      <c r="KC58" s="153"/>
      <c r="KD58" s="16"/>
      <c r="KE58" s="16"/>
      <c r="KF58" s="16"/>
      <c r="KG58" s="16"/>
      <c r="KH58" s="16"/>
      <c r="KI58" s="25"/>
      <c r="KJ58" s="283"/>
      <c r="KK58" s="16"/>
      <c r="KL58" s="16"/>
      <c r="KM58" s="16"/>
      <c r="KN58" s="16"/>
      <c r="KO58" s="16"/>
      <c r="KP58" s="25"/>
      <c r="KQ58" s="153"/>
      <c r="KR58" s="16"/>
      <c r="KS58" s="16"/>
      <c r="KT58" s="16"/>
      <c r="KU58" s="16"/>
      <c r="KV58" s="16"/>
      <c r="KW58" s="25"/>
      <c r="KX58" s="153"/>
      <c r="KY58" s="16"/>
      <c r="KZ58" s="16"/>
      <c r="LA58" s="16"/>
      <c r="LB58" s="16"/>
      <c r="LC58" s="16"/>
      <c r="LD58" s="25"/>
      <c r="LE58" s="283"/>
      <c r="LF58" s="16"/>
      <c r="LG58" s="16"/>
      <c r="LH58" s="16"/>
      <c r="LI58" s="16"/>
      <c r="LJ58" s="16"/>
      <c r="LK58" s="25"/>
      <c r="LL58" s="153"/>
      <c r="LM58" s="16"/>
      <c r="LN58" s="16"/>
      <c r="LO58" s="16"/>
      <c r="LP58" s="16"/>
      <c r="LQ58" s="16"/>
      <c r="LR58" s="25"/>
      <c r="LS58" s="153"/>
      <c r="LT58" s="16"/>
      <c r="LU58" s="16"/>
      <c r="LV58" s="16"/>
      <c r="LW58" s="16"/>
      <c r="LX58" s="16"/>
      <c r="LY58" s="25"/>
      <c r="LZ58" s="153"/>
      <c r="MA58" s="16"/>
      <c r="MB58" s="16"/>
      <c r="MC58" s="16"/>
      <c r="MD58" s="16"/>
      <c r="ME58" s="16"/>
      <c r="MF58" s="25"/>
      <c r="MG58" s="283"/>
      <c r="MH58" s="16"/>
      <c r="MI58" s="16"/>
      <c r="MJ58" s="16"/>
      <c r="MK58" s="16"/>
      <c r="ML58" s="16"/>
      <c r="MM58" s="25"/>
      <c r="MN58" s="153"/>
      <c r="MO58" s="16"/>
      <c r="MP58" s="16"/>
      <c r="MQ58" s="16"/>
      <c r="MR58" s="16"/>
      <c r="MS58" s="16"/>
      <c r="MT58" s="25"/>
      <c r="MU58" s="283"/>
      <c r="MV58" s="16"/>
      <c r="MW58" s="16"/>
      <c r="MX58" s="16"/>
      <c r="MY58" s="16"/>
      <c r="MZ58" s="16"/>
      <c r="NA58" s="25"/>
      <c r="NB58" s="402"/>
      <c r="NC58" s="270"/>
      <c r="ND58" s="270"/>
      <c r="NE58" s="270"/>
      <c r="NF58" s="270"/>
      <c r="NG58" s="270"/>
      <c r="NH58" s="270"/>
      <c r="NI58" s="270"/>
      <c r="NJ58" s="270"/>
      <c r="NK58" s="270"/>
      <c r="NL58" s="270"/>
      <c r="NM58" s="270"/>
      <c r="NN58" s="270"/>
      <c r="NO58" s="270"/>
      <c r="NP58" s="270"/>
      <c r="NQ58" s="270"/>
      <c r="NR58" s="270"/>
      <c r="NS58" s="270"/>
      <c r="NT58" s="270"/>
      <c r="NU58" s="270"/>
      <c r="NV58" s="270"/>
      <c r="NW58" s="270"/>
      <c r="NX58" s="270"/>
      <c r="NY58" s="270"/>
      <c r="NZ58" s="270"/>
      <c r="OA58" s="270"/>
      <c r="OB58" s="270"/>
      <c r="OC58" s="270"/>
      <c r="OD58" s="270"/>
      <c r="OE58" s="270"/>
      <c r="OF58" s="270"/>
      <c r="OG58" s="270"/>
      <c r="OH58" s="270"/>
      <c r="OI58" s="270"/>
      <c r="OJ58" s="270"/>
      <c r="OK58" s="270"/>
      <c r="OL58" s="270"/>
      <c r="OM58" s="270"/>
      <c r="ON58" s="270"/>
      <c r="OO58" s="270"/>
      <c r="OP58" s="270"/>
      <c r="OQ58" s="270"/>
      <c r="OR58" s="270"/>
      <c r="OS58" s="270"/>
      <c r="OT58" s="270"/>
      <c r="OU58" s="270"/>
      <c r="OV58" s="270"/>
      <c r="OW58" s="270"/>
      <c r="OX58" s="270"/>
      <c r="OY58" s="270"/>
      <c r="OZ58" s="270"/>
      <c r="PA58" s="270"/>
      <c r="PB58" s="270"/>
      <c r="PC58" s="270"/>
      <c r="PD58" s="270"/>
      <c r="PE58" s="270"/>
      <c r="PF58" s="270"/>
      <c r="PG58" s="270"/>
      <c r="PH58" s="270"/>
      <c r="PI58" s="270"/>
      <c r="PJ58" s="270"/>
      <c r="PK58" s="270"/>
      <c r="PL58" s="270"/>
      <c r="PM58" s="270"/>
      <c r="PN58" s="270"/>
      <c r="PO58" s="270"/>
      <c r="PP58" s="270"/>
      <c r="PQ58" s="270"/>
      <c r="PR58" s="270"/>
      <c r="PS58" s="270"/>
      <c r="PT58" s="270"/>
      <c r="PU58" s="270"/>
      <c r="PV58" s="270"/>
      <c r="PW58" s="270"/>
      <c r="PX58" s="270"/>
      <c r="PY58" s="270"/>
      <c r="PZ58" s="270"/>
      <c r="QA58" s="270"/>
      <c r="QB58" s="270"/>
      <c r="QC58" s="270"/>
      <c r="QD58" s="270"/>
      <c r="QE58" s="270"/>
      <c r="QF58" s="270"/>
      <c r="QG58" s="270"/>
      <c r="QH58" s="270"/>
      <c r="QI58" s="270"/>
      <c r="QJ58" s="270"/>
      <c r="QK58" s="270"/>
      <c r="QL58" s="270"/>
      <c r="QM58" s="270"/>
      <c r="QN58" s="270"/>
      <c r="QO58" s="270"/>
      <c r="QP58" s="270"/>
      <c r="QQ58" s="270"/>
      <c r="QR58" s="270"/>
      <c r="QS58" s="270"/>
      <c r="QT58" s="270"/>
      <c r="QU58" s="270"/>
      <c r="QV58" s="270"/>
      <c r="QW58" s="270"/>
      <c r="QX58" s="270"/>
      <c r="QY58" s="270"/>
      <c r="QZ58" s="270"/>
      <c r="RA58" s="270"/>
      <c r="RB58" s="270"/>
      <c r="RC58" s="270"/>
      <c r="RD58" s="270"/>
      <c r="RE58" s="270"/>
      <c r="RF58" s="270"/>
      <c r="RG58" s="270"/>
      <c r="RH58" s="270"/>
      <c r="RI58" s="270"/>
      <c r="RJ58" s="270"/>
      <c r="RK58" s="270"/>
      <c r="RL58" s="270"/>
      <c r="RM58" s="270"/>
      <c r="RN58" s="270"/>
      <c r="RO58" s="270"/>
      <c r="RP58" s="270"/>
      <c r="RQ58" s="270"/>
      <c r="RR58" s="270"/>
      <c r="RS58" s="270"/>
      <c r="RT58" s="270"/>
      <c r="RU58" s="270"/>
      <c r="RV58" s="270"/>
      <c r="RW58" s="270"/>
      <c r="RX58" s="270"/>
      <c r="RY58" s="270"/>
      <c r="RZ58" s="270"/>
      <c r="SA58" s="270"/>
      <c r="SB58" s="270"/>
      <c r="SC58" s="270"/>
      <c r="SD58" s="270"/>
      <c r="SE58" s="270"/>
      <c r="SF58" s="270"/>
      <c r="SG58" s="270"/>
      <c r="SH58" s="270"/>
      <c r="SI58" s="270"/>
      <c r="SJ58" s="270"/>
      <c r="SK58" s="270"/>
      <c r="SL58" s="270"/>
      <c r="SM58" s="270"/>
      <c r="SN58" s="270"/>
      <c r="SO58" s="270"/>
      <c r="SP58" s="270"/>
      <c r="SQ58" s="270"/>
      <c r="SR58" s="270"/>
      <c r="SS58" s="270"/>
      <c r="ST58" s="270"/>
      <c r="SU58" s="270"/>
      <c r="SV58" s="270"/>
      <c r="SW58" s="270"/>
      <c r="SX58" s="270"/>
      <c r="SY58" s="270"/>
      <c r="SZ58" s="270"/>
      <c r="TA58" s="270"/>
      <c r="TB58" s="270"/>
      <c r="TC58" s="270"/>
      <c r="TD58" s="270"/>
      <c r="TE58" s="270"/>
      <c r="TF58" s="270"/>
      <c r="TG58" s="270"/>
      <c r="TH58" s="270"/>
      <c r="TI58" s="270"/>
      <c r="TJ58" s="270"/>
      <c r="TK58" s="270"/>
      <c r="TL58" s="270"/>
      <c r="TM58" s="270"/>
      <c r="TN58" s="270"/>
      <c r="TO58" s="270"/>
      <c r="TP58" s="270"/>
      <c r="TQ58" s="270"/>
      <c r="TR58" s="270"/>
      <c r="TS58" s="270"/>
      <c r="TT58" s="270"/>
      <c r="TU58" s="270"/>
      <c r="TV58" s="270"/>
      <c r="TW58" s="270"/>
      <c r="TX58" s="270"/>
      <c r="TY58" s="270"/>
      <c r="TZ58" s="270"/>
      <c r="UA58" s="270"/>
      <c r="UB58" s="270"/>
      <c r="UC58" s="270"/>
      <c r="UD58" s="270"/>
      <c r="UE58" s="270"/>
      <c r="UF58" s="270"/>
      <c r="UG58" s="270"/>
      <c r="UH58" s="270"/>
      <c r="UI58" s="270"/>
      <c r="UJ58" s="270"/>
      <c r="UK58" s="270"/>
      <c r="UL58" s="270"/>
      <c r="UM58" s="270"/>
      <c r="UN58" s="270"/>
      <c r="UO58" s="270"/>
      <c r="UP58" s="270"/>
      <c r="UQ58" s="270"/>
      <c r="UR58" s="270"/>
      <c r="US58" s="270"/>
      <c r="UT58" s="270"/>
      <c r="UU58" s="270"/>
      <c r="UV58" s="270"/>
      <c r="UW58" s="270"/>
      <c r="UX58" s="270"/>
      <c r="UY58" s="270"/>
      <c r="UZ58" s="270"/>
      <c r="VA58" s="270"/>
      <c r="VB58" s="270"/>
      <c r="VC58" s="270"/>
      <c r="VD58" s="270"/>
      <c r="VE58" s="270"/>
      <c r="VF58" s="270"/>
      <c r="VG58" s="270"/>
      <c r="VH58" s="270"/>
      <c r="VI58" s="270"/>
      <c r="VJ58" s="270"/>
      <c r="VK58" s="270"/>
      <c r="VL58" s="270"/>
      <c r="VM58" s="270"/>
      <c r="VN58" s="270"/>
      <c r="VO58" s="270"/>
      <c r="VP58" s="270"/>
      <c r="VQ58" s="270"/>
      <c r="VR58" s="270"/>
      <c r="VS58" s="270"/>
      <c r="VT58" s="270"/>
      <c r="VU58" s="270"/>
      <c r="VV58" s="270"/>
      <c r="VW58" s="270"/>
      <c r="VX58" s="270"/>
      <c r="VY58" s="270"/>
      <c r="VZ58" s="270"/>
      <c r="WA58" s="270"/>
      <c r="WB58" s="270"/>
      <c r="WC58" s="270"/>
      <c r="WD58" s="270"/>
      <c r="WE58" s="270"/>
      <c r="WF58" s="270"/>
      <c r="WG58" s="270"/>
      <c r="WH58" s="270"/>
      <c r="WI58" s="270"/>
      <c r="WJ58" s="270"/>
      <c r="WK58" s="270"/>
      <c r="WL58" s="270"/>
      <c r="WM58" s="270"/>
      <c r="WN58" s="270"/>
      <c r="WO58" s="270"/>
      <c r="WP58" s="270"/>
      <c r="WQ58" s="270"/>
      <c r="WR58" s="270"/>
      <c r="WS58" s="270"/>
      <c r="WT58" s="270"/>
      <c r="WU58" s="270"/>
      <c r="WV58" s="270"/>
      <c r="WW58" s="270"/>
      <c r="WX58" s="270"/>
      <c r="WY58" s="270"/>
      <c r="WZ58" s="270"/>
      <c r="XA58" s="270"/>
      <c r="XB58" s="270"/>
      <c r="XC58" s="270"/>
      <c r="XD58" s="270"/>
      <c r="XE58" s="270"/>
      <c r="XF58" s="270"/>
      <c r="XG58" s="270"/>
      <c r="XH58" s="270"/>
      <c r="XI58" s="270"/>
      <c r="XJ58" s="270"/>
      <c r="XK58" s="270"/>
      <c r="XL58" s="270"/>
      <c r="XM58" s="270"/>
      <c r="XN58" s="270"/>
      <c r="XO58" s="270"/>
      <c r="XP58" s="270"/>
      <c r="XQ58" s="270"/>
      <c r="XR58" s="270"/>
      <c r="XS58" s="270"/>
      <c r="XT58" s="270"/>
      <c r="XU58" s="270"/>
      <c r="XV58" s="270"/>
      <c r="XW58" s="270"/>
      <c r="XX58" s="270"/>
      <c r="XY58" s="270"/>
      <c r="XZ58" s="270"/>
      <c r="YA58" s="270"/>
      <c r="YB58" s="270"/>
      <c r="YC58" s="270"/>
      <c r="YD58" s="270"/>
      <c r="YE58" s="270"/>
      <c r="YF58" s="270"/>
      <c r="YG58" s="270"/>
      <c r="YH58" s="270"/>
      <c r="YI58" s="270"/>
      <c r="YJ58" s="270"/>
      <c r="YK58" s="270"/>
      <c r="YL58" s="270"/>
      <c r="YM58" s="270"/>
      <c r="YN58" s="270"/>
      <c r="YO58" s="270"/>
      <c r="YP58" s="270"/>
      <c r="YQ58" s="270"/>
      <c r="YR58" s="270"/>
      <c r="YS58" s="270"/>
      <c r="YT58" s="270"/>
      <c r="YU58" s="270"/>
      <c r="YV58" s="270"/>
      <c r="YW58" s="270"/>
      <c r="YX58" s="270"/>
      <c r="YY58" s="270"/>
      <c r="YZ58" s="270"/>
      <c r="ZA58" s="270"/>
      <c r="ZB58" s="270"/>
      <c r="ZC58" s="270"/>
      <c r="ZD58" s="270"/>
      <c r="ZE58" s="270"/>
    </row>
    <row r="59">
      <c r="A59" s="156" t="s">
        <v>1637</v>
      </c>
      <c r="B59" s="283"/>
      <c r="C59" s="16"/>
      <c r="D59" s="16"/>
      <c r="E59" s="16"/>
      <c r="F59" s="16"/>
      <c r="G59" s="16"/>
      <c r="H59" s="25"/>
      <c r="I59" s="283"/>
      <c r="J59" s="16"/>
      <c r="K59" s="16"/>
      <c r="L59" s="16"/>
      <c r="M59" s="16"/>
      <c r="N59" s="16"/>
      <c r="O59" s="25"/>
      <c r="P59" s="283"/>
      <c r="Q59" s="16"/>
      <c r="R59" s="16"/>
      <c r="S59" s="16"/>
      <c r="T59" s="16"/>
      <c r="U59" s="16"/>
      <c r="V59" s="25"/>
      <c r="W59" s="283"/>
      <c r="X59" s="16"/>
      <c r="Y59" s="16"/>
      <c r="Z59" s="16"/>
      <c r="AA59" s="16"/>
      <c r="AB59" s="16"/>
      <c r="AC59" s="25"/>
      <c r="AD59" s="283"/>
      <c r="AE59" s="16"/>
      <c r="AF59" s="16"/>
      <c r="AG59" s="16"/>
      <c r="AH59" s="16"/>
      <c r="AI59" s="16"/>
      <c r="AJ59" s="25"/>
      <c r="AK59" s="283"/>
      <c r="AL59" s="16"/>
      <c r="AM59" s="16"/>
      <c r="AN59" s="16"/>
      <c r="AO59" s="16"/>
      <c r="AP59" s="16"/>
      <c r="AQ59" s="25"/>
      <c r="AR59" s="283"/>
      <c r="AS59" s="16"/>
      <c r="AT59" s="16"/>
      <c r="AU59" s="16"/>
      <c r="AV59" s="16"/>
      <c r="AW59" s="16"/>
      <c r="AX59" s="25"/>
      <c r="AY59" s="283"/>
      <c r="AZ59" s="16"/>
      <c r="BA59" s="16"/>
      <c r="BB59" s="16"/>
      <c r="BC59" s="16"/>
      <c r="BD59" s="16"/>
      <c r="BE59" s="25"/>
      <c r="BF59" s="283"/>
      <c r="BG59" s="16"/>
      <c r="BH59" s="16"/>
      <c r="BI59" s="16"/>
      <c r="BJ59" s="16"/>
      <c r="BK59" s="16"/>
      <c r="BL59" s="25"/>
      <c r="BM59" s="283"/>
      <c r="BN59" s="16"/>
      <c r="BO59" s="16"/>
      <c r="BP59" s="16"/>
      <c r="BQ59" s="16"/>
      <c r="BR59" s="16"/>
      <c r="BS59" s="25"/>
      <c r="BT59" s="153"/>
      <c r="BU59" s="16"/>
      <c r="BV59" s="16"/>
      <c r="BW59" s="16"/>
      <c r="BX59" s="16"/>
      <c r="BY59" s="16"/>
      <c r="BZ59" s="25"/>
      <c r="CA59" s="283"/>
      <c r="CB59" s="16"/>
      <c r="CC59" s="16"/>
      <c r="CD59" s="16"/>
      <c r="CE59" s="16"/>
      <c r="CF59" s="16"/>
      <c r="CG59" s="25"/>
      <c r="CH59" s="283"/>
      <c r="CI59" s="16"/>
      <c r="CJ59" s="16"/>
      <c r="CK59" s="16"/>
      <c r="CL59" s="16"/>
      <c r="CM59" s="16"/>
      <c r="CN59" s="25"/>
      <c r="CO59" s="283"/>
      <c r="CP59" s="16"/>
      <c r="CQ59" s="16"/>
      <c r="CR59" s="16"/>
      <c r="CS59" s="16"/>
      <c r="CT59" s="16"/>
      <c r="CU59" s="25"/>
      <c r="CV59" s="283"/>
      <c r="CW59" s="16"/>
      <c r="CX59" s="16"/>
      <c r="CY59" s="16"/>
      <c r="CZ59" s="16"/>
      <c r="DA59" s="16"/>
      <c r="DB59" s="25"/>
      <c r="DC59" s="283"/>
      <c r="DD59" s="16"/>
      <c r="DE59" s="16"/>
      <c r="DF59" s="16"/>
      <c r="DG59" s="16"/>
      <c r="DH59" s="16"/>
      <c r="DI59" s="25"/>
      <c r="DJ59" s="283"/>
      <c r="DK59" s="16"/>
      <c r="DL59" s="16"/>
      <c r="DM59" s="16"/>
      <c r="DN59" s="16"/>
      <c r="DO59" s="16"/>
      <c r="DP59" s="25"/>
      <c r="DQ59" s="283"/>
      <c r="DR59" s="16"/>
      <c r="DS59" s="16"/>
      <c r="DT59" s="16"/>
      <c r="DU59" s="16"/>
      <c r="DV59" s="16"/>
      <c r="DW59" s="25"/>
      <c r="DX59" s="153"/>
      <c r="DY59" s="16"/>
      <c r="DZ59" s="16"/>
      <c r="EA59" s="16"/>
      <c r="EB59" s="16"/>
      <c r="EC59" s="16"/>
      <c r="ED59" s="25"/>
      <c r="EE59" s="283"/>
      <c r="EF59" s="16"/>
      <c r="EG59" s="16"/>
      <c r="EH59" s="16"/>
      <c r="EI59" s="16"/>
      <c r="EJ59" s="16"/>
      <c r="EK59" s="25"/>
      <c r="EL59" s="283"/>
      <c r="EM59" s="16"/>
      <c r="EN59" s="16"/>
      <c r="EO59" s="16"/>
      <c r="EP59" s="16"/>
      <c r="EQ59" s="16"/>
      <c r="ER59" s="25"/>
      <c r="ES59" s="283"/>
      <c r="ET59" s="16"/>
      <c r="EU59" s="16"/>
      <c r="EV59" s="16"/>
      <c r="EW59" s="16"/>
      <c r="EX59" s="16"/>
      <c r="EY59" s="25"/>
      <c r="EZ59" s="283"/>
      <c r="FA59" s="16"/>
      <c r="FB59" s="16"/>
      <c r="FC59" s="16"/>
      <c r="FD59" s="16"/>
      <c r="FE59" s="16"/>
      <c r="FF59" s="25"/>
      <c r="FG59" s="283"/>
      <c r="FH59" s="16"/>
      <c r="FI59" s="16"/>
      <c r="FJ59" s="16"/>
      <c r="FK59" s="16"/>
      <c r="FL59" s="16"/>
      <c r="FM59" s="25"/>
      <c r="FN59" s="485"/>
      <c r="FO59" s="16"/>
      <c r="FP59" s="16"/>
      <c r="FQ59" s="16"/>
      <c r="FR59" s="16"/>
      <c r="FS59" s="16"/>
      <c r="FT59" s="25"/>
      <c r="FU59" s="153"/>
      <c r="FV59" s="16"/>
      <c r="FW59" s="16"/>
      <c r="FX59" s="16"/>
      <c r="FY59" s="16"/>
      <c r="FZ59" s="16"/>
      <c r="GA59" s="25"/>
      <c r="GB59" s="153"/>
      <c r="GC59" s="16"/>
      <c r="GD59" s="16"/>
      <c r="GE59" s="16"/>
      <c r="GF59" s="16"/>
      <c r="GG59" s="16"/>
      <c r="GH59" s="25"/>
      <c r="GI59" s="283"/>
      <c r="GJ59" s="16"/>
      <c r="GK59" s="16"/>
      <c r="GL59" s="16"/>
      <c r="GM59" s="16"/>
      <c r="GN59" s="16"/>
      <c r="GO59" s="25"/>
      <c r="GP59" s="283"/>
      <c r="GQ59" s="16"/>
      <c r="GR59" s="16"/>
      <c r="GS59" s="16"/>
      <c r="GT59" s="16"/>
      <c r="GU59" s="16"/>
      <c r="GV59" s="25"/>
      <c r="GW59" s="283"/>
      <c r="GX59" s="16"/>
      <c r="GY59" s="16"/>
      <c r="GZ59" s="16"/>
      <c r="HA59" s="16"/>
      <c r="HB59" s="16"/>
      <c r="HC59" s="25"/>
      <c r="HD59" s="283"/>
      <c r="HE59" s="16"/>
      <c r="HF59" s="16"/>
      <c r="HG59" s="16"/>
      <c r="HH59" s="16"/>
      <c r="HI59" s="16"/>
      <c r="HJ59" s="25"/>
      <c r="HK59" s="283"/>
      <c r="HL59" s="16"/>
      <c r="HM59" s="16"/>
      <c r="HN59" s="16"/>
      <c r="HO59" s="16"/>
      <c r="HP59" s="16"/>
      <c r="HQ59" s="25"/>
      <c r="HR59" s="283"/>
      <c r="HS59" s="16"/>
      <c r="HT59" s="16"/>
      <c r="HU59" s="16"/>
      <c r="HV59" s="16"/>
      <c r="HW59" s="16"/>
      <c r="HX59" s="25"/>
      <c r="HY59" s="283"/>
      <c r="HZ59" s="16"/>
      <c r="IA59" s="16"/>
      <c r="IB59" s="16"/>
      <c r="IC59" s="16"/>
      <c r="ID59" s="16"/>
      <c r="IE59" s="25"/>
      <c r="IF59" s="283"/>
      <c r="IG59" s="16"/>
      <c r="IH59" s="16"/>
      <c r="II59" s="16"/>
      <c r="IJ59" s="16"/>
      <c r="IK59" s="16"/>
      <c r="IL59" s="25"/>
      <c r="IM59" s="283"/>
      <c r="IN59" s="16"/>
      <c r="IO59" s="16"/>
      <c r="IP59" s="16"/>
      <c r="IQ59" s="16"/>
      <c r="IR59" s="16"/>
      <c r="IS59" s="25"/>
      <c r="IT59" s="283"/>
      <c r="IU59" s="16"/>
      <c r="IV59" s="16"/>
      <c r="IW59" s="16"/>
      <c r="IX59" s="16"/>
      <c r="IY59" s="16"/>
      <c r="IZ59" s="25"/>
      <c r="JA59" s="283"/>
      <c r="JB59" s="16"/>
      <c r="JC59" s="16"/>
      <c r="JD59" s="16"/>
      <c r="JE59" s="16"/>
      <c r="JF59" s="16"/>
      <c r="JG59" s="25"/>
      <c r="JH59" s="283"/>
      <c r="JI59" s="16"/>
      <c r="JJ59" s="16"/>
      <c r="JK59" s="16"/>
      <c r="JL59" s="16"/>
      <c r="JM59" s="16"/>
      <c r="JN59" s="25"/>
      <c r="JO59" s="283"/>
      <c r="JP59" s="16"/>
      <c r="JQ59" s="16"/>
      <c r="JR59" s="16"/>
      <c r="JS59" s="16"/>
      <c r="JT59" s="16"/>
      <c r="JU59" s="25"/>
      <c r="JV59" s="283"/>
      <c r="JW59" s="16"/>
      <c r="JX59" s="16"/>
      <c r="JY59" s="16"/>
      <c r="JZ59" s="16"/>
      <c r="KA59" s="16"/>
      <c r="KB59" s="25"/>
      <c r="KC59" s="283"/>
      <c r="KD59" s="16"/>
      <c r="KE59" s="16"/>
      <c r="KF59" s="16"/>
      <c r="KG59" s="16"/>
      <c r="KH59" s="16"/>
      <c r="KI59" s="25"/>
      <c r="KJ59" s="283"/>
      <c r="KK59" s="16"/>
      <c r="KL59" s="16"/>
      <c r="KM59" s="16"/>
      <c r="KN59" s="16"/>
      <c r="KO59" s="16"/>
      <c r="KP59" s="25"/>
      <c r="KQ59" s="283"/>
      <c r="KR59" s="16"/>
      <c r="KS59" s="16"/>
      <c r="KT59" s="16"/>
      <c r="KU59" s="16"/>
      <c r="KV59" s="16"/>
      <c r="KW59" s="25"/>
      <c r="KX59" s="283"/>
      <c r="KY59" s="16"/>
      <c r="KZ59" s="16"/>
      <c r="LA59" s="16"/>
      <c r="LB59" s="16"/>
      <c r="LC59" s="16"/>
      <c r="LD59" s="25"/>
      <c r="LE59" s="153"/>
      <c r="LF59" s="16"/>
      <c r="LG59" s="16"/>
      <c r="LH59" s="16"/>
      <c r="LI59" s="16"/>
      <c r="LJ59" s="16"/>
      <c r="LK59" s="25"/>
      <c r="LL59" s="283"/>
      <c r="LM59" s="16"/>
      <c r="LN59" s="16"/>
      <c r="LO59" s="16"/>
      <c r="LP59" s="16"/>
      <c r="LQ59" s="16"/>
      <c r="LR59" s="25"/>
      <c r="LS59" s="283"/>
      <c r="LT59" s="16"/>
      <c r="LU59" s="16"/>
      <c r="LV59" s="16"/>
      <c r="LW59" s="16"/>
      <c r="LX59" s="16"/>
      <c r="LY59" s="25"/>
      <c r="LZ59" s="283"/>
      <c r="MA59" s="16"/>
      <c r="MB59" s="16"/>
      <c r="MC59" s="16"/>
      <c r="MD59" s="16"/>
      <c r="ME59" s="16"/>
      <c r="MF59" s="25"/>
      <c r="MG59" s="283"/>
      <c r="MH59" s="16"/>
      <c r="MI59" s="16"/>
      <c r="MJ59" s="16"/>
      <c r="MK59" s="16"/>
      <c r="ML59" s="16"/>
      <c r="MM59" s="25"/>
      <c r="MN59" s="283"/>
      <c r="MO59" s="16"/>
      <c r="MP59" s="16"/>
      <c r="MQ59" s="16"/>
      <c r="MR59" s="16"/>
      <c r="MS59" s="16"/>
      <c r="MT59" s="25"/>
      <c r="MU59" s="283"/>
      <c r="MV59" s="16"/>
      <c r="MW59" s="16"/>
      <c r="MX59" s="16"/>
      <c r="MY59" s="16"/>
      <c r="MZ59" s="16"/>
      <c r="NA59" s="25"/>
      <c r="NB59" s="402"/>
      <c r="NC59" s="270"/>
      <c r="ND59" s="270"/>
      <c r="NE59" s="270"/>
      <c r="NF59" s="270"/>
      <c r="NG59" s="270"/>
      <c r="NH59" s="270"/>
      <c r="NI59" s="270"/>
      <c r="NJ59" s="270"/>
      <c r="NK59" s="270"/>
      <c r="NL59" s="270"/>
      <c r="NM59" s="270"/>
      <c r="NN59" s="270"/>
      <c r="NO59" s="270"/>
      <c r="NP59" s="270"/>
      <c r="NQ59" s="270"/>
      <c r="NR59" s="270"/>
      <c r="NS59" s="270"/>
      <c r="NT59" s="270"/>
      <c r="NU59" s="270"/>
      <c r="NV59" s="270"/>
      <c r="NW59" s="270"/>
      <c r="NX59" s="270"/>
      <c r="NY59" s="270"/>
      <c r="NZ59" s="270"/>
      <c r="OA59" s="270"/>
      <c r="OB59" s="270"/>
      <c r="OC59" s="270"/>
      <c r="OD59" s="270"/>
      <c r="OE59" s="270"/>
      <c r="OF59" s="270"/>
      <c r="OG59" s="270"/>
      <c r="OH59" s="270"/>
      <c r="OI59" s="270"/>
      <c r="OJ59" s="270"/>
      <c r="OK59" s="270"/>
      <c r="OL59" s="270"/>
      <c r="OM59" s="270"/>
      <c r="ON59" s="270"/>
      <c r="OO59" s="270"/>
      <c r="OP59" s="270"/>
      <c r="OQ59" s="270"/>
      <c r="OR59" s="270"/>
      <c r="OS59" s="270"/>
      <c r="OT59" s="270"/>
      <c r="OU59" s="270"/>
      <c r="OV59" s="270"/>
      <c r="OW59" s="270"/>
      <c r="OX59" s="270"/>
      <c r="OY59" s="270"/>
      <c r="OZ59" s="270"/>
      <c r="PA59" s="270"/>
      <c r="PB59" s="270"/>
      <c r="PC59" s="270"/>
      <c r="PD59" s="270"/>
      <c r="PE59" s="270"/>
      <c r="PF59" s="270"/>
      <c r="PG59" s="270"/>
      <c r="PH59" s="270"/>
      <c r="PI59" s="270"/>
      <c r="PJ59" s="270"/>
      <c r="PK59" s="270"/>
      <c r="PL59" s="270"/>
      <c r="PM59" s="270"/>
      <c r="PN59" s="270"/>
      <c r="PO59" s="270"/>
      <c r="PP59" s="270"/>
      <c r="PQ59" s="270"/>
      <c r="PR59" s="270"/>
      <c r="PS59" s="270"/>
      <c r="PT59" s="270"/>
      <c r="PU59" s="270"/>
      <c r="PV59" s="270"/>
      <c r="PW59" s="270"/>
      <c r="PX59" s="270"/>
      <c r="PY59" s="270"/>
      <c r="PZ59" s="270"/>
      <c r="QA59" s="270"/>
      <c r="QB59" s="270"/>
      <c r="QC59" s="270"/>
      <c r="QD59" s="270"/>
      <c r="QE59" s="270"/>
      <c r="QF59" s="270"/>
      <c r="QG59" s="270"/>
      <c r="QH59" s="270"/>
      <c r="QI59" s="270"/>
      <c r="QJ59" s="270"/>
      <c r="QK59" s="270"/>
      <c r="QL59" s="270"/>
      <c r="QM59" s="270"/>
      <c r="QN59" s="270"/>
      <c r="QO59" s="270"/>
      <c r="QP59" s="270"/>
      <c r="QQ59" s="270"/>
      <c r="QR59" s="270"/>
      <c r="QS59" s="270"/>
      <c r="QT59" s="270"/>
      <c r="QU59" s="270"/>
      <c r="QV59" s="270"/>
      <c r="QW59" s="270"/>
      <c r="QX59" s="270"/>
      <c r="QY59" s="270"/>
      <c r="QZ59" s="270"/>
      <c r="RA59" s="270"/>
      <c r="RB59" s="270"/>
      <c r="RC59" s="270"/>
      <c r="RD59" s="270"/>
      <c r="RE59" s="270"/>
      <c r="RF59" s="270"/>
      <c r="RG59" s="270"/>
      <c r="RH59" s="270"/>
      <c r="RI59" s="270"/>
      <c r="RJ59" s="270"/>
      <c r="RK59" s="270"/>
      <c r="RL59" s="270"/>
      <c r="RM59" s="270"/>
      <c r="RN59" s="270"/>
      <c r="RO59" s="270"/>
      <c r="RP59" s="270"/>
      <c r="RQ59" s="270"/>
      <c r="RR59" s="270"/>
      <c r="RS59" s="270"/>
      <c r="RT59" s="270"/>
      <c r="RU59" s="270"/>
      <c r="RV59" s="270"/>
      <c r="RW59" s="270"/>
      <c r="RX59" s="270"/>
      <c r="RY59" s="270"/>
      <c r="RZ59" s="270"/>
      <c r="SA59" s="270"/>
      <c r="SB59" s="270"/>
      <c r="SC59" s="270"/>
      <c r="SD59" s="270"/>
      <c r="SE59" s="270"/>
      <c r="SF59" s="270"/>
      <c r="SG59" s="270"/>
      <c r="SH59" s="270"/>
      <c r="SI59" s="270"/>
      <c r="SJ59" s="270"/>
      <c r="SK59" s="270"/>
      <c r="SL59" s="270"/>
      <c r="SM59" s="270"/>
      <c r="SN59" s="270"/>
      <c r="SO59" s="270"/>
      <c r="SP59" s="270"/>
      <c r="SQ59" s="270"/>
      <c r="SR59" s="270"/>
      <c r="SS59" s="270"/>
      <c r="ST59" s="270"/>
      <c r="SU59" s="270"/>
      <c r="SV59" s="270"/>
      <c r="SW59" s="270"/>
      <c r="SX59" s="270"/>
      <c r="SY59" s="270"/>
      <c r="SZ59" s="270"/>
      <c r="TA59" s="270"/>
      <c r="TB59" s="270"/>
      <c r="TC59" s="270"/>
      <c r="TD59" s="270"/>
      <c r="TE59" s="270"/>
      <c r="TF59" s="270"/>
      <c r="TG59" s="270"/>
      <c r="TH59" s="270"/>
      <c r="TI59" s="270"/>
      <c r="TJ59" s="270"/>
      <c r="TK59" s="270"/>
      <c r="TL59" s="270"/>
      <c r="TM59" s="270"/>
      <c r="TN59" s="270"/>
      <c r="TO59" s="270"/>
      <c r="TP59" s="270"/>
      <c r="TQ59" s="270"/>
      <c r="TR59" s="270"/>
      <c r="TS59" s="270"/>
      <c r="TT59" s="270"/>
      <c r="TU59" s="270"/>
      <c r="TV59" s="270"/>
      <c r="TW59" s="270"/>
      <c r="TX59" s="270"/>
      <c r="TY59" s="270"/>
      <c r="TZ59" s="270"/>
      <c r="UA59" s="270"/>
      <c r="UB59" s="270"/>
      <c r="UC59" s="270"/>
      <c r="UD59" s="270"/>
      <c r="UE59" s="270"/>
      <c r="UF59" s="270"/>
      <c r="UG59" s="270"/>
      <c r="UH59" s="270"/>
      <c r="UI59" s="270"/>
      <c r="UJ59" s="270"/>
      <c r="UK59" s="270"/>
      <c r="UL59" s="270"/>
      <c r="UM59" s="270"/>
      <c r="UN59" s="270"/>
      <c r="UO59" s="270"/>
      <c r="UP59" s="270"/>
      <c r="UQ59" s="270"/>
      <c r="UR59" s="270"/>
      <c r="US59" s="270"/>
      <c r="UT59" s="270"/>
      <c r="UU59" s="270"/>
      <c r="UV59" s="270"/>
      <c r="UW59" s="270"/>
      <c r="UX59" s="270"/>
      <c r="UY59" s="270"/>
      <c r="UZ59" s="270"/>
      <c r="VA59" s="270"/>
      <c r="VB59" s="270"/>
      <c r="VC59" s="270"/>
      <c r="VD59" s="270"/>
      <c r="VE59" s="270"/>
      <c r="VF59" s="270"/>
      <c r="VG59" s="270"/>
      <c r="VH59" s="270"/>
      <c r="VI59" s="270"/>
      <c r="VJ59" s="270"/>
      <c r="VK59" s="270"/>
      <c r="VL59" s="270"/>
      <c r="VM59" s="270"/>
      <c r="VN59" s="270"/>
      <c r="VO59" s="270"/>
      <c r="VP59" s="270"/>
      <c r="VQ59" s="270"/>
      <c r="VR59" s="270"/>
      <c r="VS59" s="270"/>
      <c r="VT59" s="270"/>
      <c r="VU59" s="270"/>
      <c r="VV59" s="270"/>
      <c r="VW59" s="270"/>
      <c r="VX59" s="270"/>
      <c r="VY59" s="270"/>
      <c r="VZ59" s="270"/>
      <c r="WA59" s="270"/>
      <c r="WB59" s="270"/>
      <c r="WC59" s="270"/>
      <c r="WD59" s="270"/>
      <c r="WE59" s="270"/>
      <c r="WF59" s="270"/>
      <c r="WG59" s="270"/>
      <c r="WH59" s="270"/>
      <c r="WI59" s="270"/>
      <c r="WJ59" s="270"/>
      <c r="WK59" s="270"/>
      <c r="WL59" s="270"/>
      <c r="WM59" s="270"/>
      <c r="WN59" s="270"/>
      <c r="WO59" s="270"/>
      <c r="WP59" s="270"/>
      <c r="WQ59" s="270"/>
      <c r="WR59" s="270"/>
      <c r="WS59" s="270"/>
      <c r="WT59" s="270"/>
      <c r="WU59" s="270"/>
      <c r="WV59" s="270"/>
      <c r="WW59" s="270"/>
      <c r="WX59" s="270"/>
      <c r="WY59" s="270"/>
      <c r="WZ59" s="270"/>
      <c r="XA59" s="270"/>
      <c r="XB59" s="270"/>
      <c r="XC59" s="270"/>
      <c r="XD59" s="270"/>
      <c r="XE59" s="270"/>
      <c r="XF59" s="270"/>
      <c r="XG59" s="270"/>
      <c r="XH59" s="270"/>
      <c r="XI59" s="270"/>
      <c r="XJ59" s="270"/>
      <c r="XK59" s="270"/>
      <c r="XL59" s="270"/>
      <c r="XM59" s="270"/>
      <c r="XN59" s="270"/>
      <c r="XO59" s="270"/>
      <c r="XP59" s="270"/>
      <c r="XQ59" s="270"/>
      <c r="XR59" s="270"/>
      <c r="XS59" s="270"/>
      <c r="XT59" s="270"/>
      <c r="XU59" s="270"/>
      <c r="XV59" s="270"/>
      <c r="XW59" s="270"/>
      <c r="XX59" s="270"/>
      <c r="XY59" s="270"/>
      <c r="XZ59" s="270"/>
      <c r="YA59" s="270"/>
      <c r="YB59" s="270"/>
      <c r="YC59" s="270"/>
      <c r="YD59" s="270"/>
      <c r="YE59" s="270"/>
      <c r="YF59" s="270"/>
      <c r="YG59" s="270"/>
      <c r="YH59" s="270"/>
      <c r="YI59" s="270"/>
      <c r="YJ59" s="270"/>
      <c r="YK59" s="270"/>
      <c r="YL59" s="270"/>
      <c r="YM59" s="270"/>
      <c r="YN59" s="270"/>
      <c r="YO59" s="270"/>
      <c r="YP59" s="270"/>
      <c r="YQ59" s="270"/>
      <c r="YR59" s="270"/>
      <c r="YS59" s="270"/>
      <c r="YT59" s="270"/>
      <c r="YU59" s="270"/>
      <c r="YV59" s="270"/>
      <c r="YW59" s="270"/>
      <c r="YX59" s="270"/>
      <c r="YY59" s="270"/>
      <c r="YZ59" s="270"/>
      <c r="ZA59" s="270"/>
      <c r="ZB59" s="270"/>
      <c r="ZC59" s="270"/>
      <c r="ZD59" s="270"/>
      <c r="ZE59" s="270"/>
    </row>
    <row r="60">
      <c r="A60" s="156" t="s">
        <v>1756</v>
      </c>
      <c r="B60" s="487"/>
      <c r="C60" s="16"/>
      <c r="D60" s="16"/>
      <c r="E60" s="16"/>
      <c r="F60" s="16"/>
      <c r="G60" s="16"/>
      <c r="H60" s="25"/>
      <c r="I60" s="283"/>
      <c r="J60" s="16"/>
      <c r="K60" s="16"/>
      <c r="L60" s="16"/>
      <c r="M60" s="16"/>
      <c r="N60" s="16"/>
      <c r="O60" s="25"/>
      <c r="P60" s="283"/>
      <c r="Q60" s="16"/>
      <c r="R60" s="16"/>
      <c r="S60" s="16"/>
      <c r="T60" s="16"/>
      <c r="U60" s="16"/>
      <c r="V60" s="25"/>
      <c r="W60" s="283"/>
      <c r="X60" s="16"/>
      <c r="Y60" s="16"/>
      <c r="Z60" s="16"/>
      <c r="AA60" s="16"/>
      <c r="AB60" s="16"/>
      <c r="AC60" s="25"/>
      <c r="AD60" s="283"/>
      <c r="AE60" s="16"/>
      <c r="AF60" s="16"/>
      <c r="AG60" s="16"/>
      <c r="AH60" s="16"/>
      <c r="AI60" s="16"/>
      <c r="AJ60" s="25"/>
      <c r="AK60" s="283"/>
      <c r="AL60" s="16"/>
      <c r="AM60" s="16"/>
      <c r="AN60" s="16"/>
      <c r="AO60" s="16"/>
      <c r="AP60" s="16"/>
      <c r="AQ60" s="25"/>
      <c r="AR60" s="283"/>
      <c r="AS60" s="16"/>
      <c r="AT60" s="16"/>
      <c r="AU60" s="16"/>
      <c r="AV60" s="16"/>
      <c r="AW60" s="16"/>
      <c r="AX60" s="25"/>
      <c r="AY60" s="153"/>
      <c r="AZ60" s="16"/>
      <c r="BA60" s="16"/>
      <c r="BB60" s="16"/>
      <c r="BC60" s="16"/>
      <c r="BD60" s="16"/>
      <c r="BE60" s="25"/>
      <c r="BF60" s="283"/>
      <c r="BG60" s="16"/>
      <c r="BH60" s="16"/>
      <c r="BI60" s="16"/>
      <c r="BJ60" s="16"/>
      <c r="BK60" s="16"/>
      <c r="BL60" s="25"/>
      <c r="BM60" s="283"/>
      <c r="BN60" s="16"/>
      <c r="BO60" s="16"/>
      <c r="BP60" s="16"/>
      <c r="BQ60" s="16"/>
      <c r="BR60" s="16"/>
      <c r="BS60" s="25"/>
      <c r="BT60" s="153"/>
      <c r="BU60" s="16"/>
      <c r="BV60" s="16"/>
      <c r="BW60" s="16"/>
      <c r="BX60" s="16"/>
      <c r="BY60" s="16"/>
      <c r="BZ60" s="25"/>
      <c r="CA60" s="283"/>
      <c r="CB60" s="16"/>
      <c r="CC60" s="16"/>
      <c r="CD60" s="16"/>
      <c r="CE60" s="16"/>
      <c r="CF60" s="16"/>
      <c r="CG60" s="25"/>
      <c r="CH60" s="283"/>
      <c r="CI60" s="16"/>
      <c r="CJ60" s="16"/>
      <c r="CK60" s="16"/>
      <c r="CL60" s="16"/>
      <c r="CM60" s="16"/>
      <c r="CN60" s="25"/>
      <c r="CO60" s="283"/>
      <c r="CP60" s="16"/>
      <c r="CQ60" s="16"/>
      <c r="CR60" s="16"/>
      <c r="CS60" s="16"/>
      <c r="CT60" s="16"/>
      <c r="CU60" s="25"/>
      <c r="CV60" s="283"/>
      <c r="CW60" s="16"/>
      <c r="CX60" s="16"/>
      <c r="CY60" s="16"/>
      <c r="CZ60" s="16"/>
      <c r="DA60" s="16"/>
      <c r="DB60" s="25"/>
      <c r="DC60" s="283"/>
      <c r="DD60" s="16"/>
      <c r="DE60" s="16"/>
      <c r="DF60" s="16"/>
      <c r="DG60" s="16"/>
      <c r="DH60" s="16"/>
      <c r="DI60" s="25"/>
      <c r="DJ60" s="283"/>
      <c r="DK60" s="16"/>
      <c r="DL60" s="16"/>
      <c r="DM60" s="16"/>
      <c r="DN60" s="16"/>
      <c r="DO60" s="16"/>
      <c r="DP60" s="25"/>
      <c r="DQ60" s="283"/>
      <c r="DR60" s="16"/>
      <c r="DS60" s="16"/>
      <c r="DT60" s="16"/>
      <c r="DU60" s="16"/>
      <c r="DV60" s="16"/>
      <c r="DW60" s="25"/>
      <c r="DX60" s="283"/>
      <c r="DY60" s="16"/>
      <c r="DZ60" s="16"/>
      <c r="EA60" s="16"/>
      <c r="EB60" s="16"/>
      <c r="EC60" s="16"/>
      <c r="ED60" s="25"/>
      <c r="EE60" s="283"/>
      <c r="EF60" s="16"/>
      <c r="EG60" s="16"/>
      <c r="EH60" s="16"/>
      <c r="EI60" s="16"/>
      <c r="EJ60" s="16"/>
      <c r="EK60" s="25"/>
      <c r="EL60" s="153"/>
      <c r="EM60" s="16"/>
      <c r="EN60" s="16"/>
      <c r="EO60" s="16"/>
      <c r="EP60" s="16"/>
      <c r="EQ60" s="16"/>
      <c r="ER60" s="16"/>
      <c r="ES60" s="16"/>
      <c r="ET60" s="16"/>
      <c r="EU60" s="16"/>
      <c r="EV60" s="16"/>
      <c r="EW60" s="16"/>
      <c r="EX60" s="16"/>
      <c r="EY60" s="25"/>
      <c r="EZ60" s="283"/>
      <c r="FA60" s="16"/>
      <c r="FB60" s="16"/>
      <c r="FC60" s="16"/>
      <c r="FD60" s="16"/>
      <c r="FE60" s="16"/>
      <c r="FF60" s="25"/>
      <c r="FG60" s="283"/>
      <c r="FH60" s="16"/>
      <c r="FI60" s="16"/>
      <c r="FJ60" s="16"/>
      <c r="FK60" s="16"/>
      <c r="FL60" s="16"/>
      <c r="FM60" s="25"/>
      <c r="FN60" s="485"/>
      <c r="FO60" s="16"/>
      <c r="FP60" s="16"/>
      <c r="FQ60" s="16"/>
      <c r="FR60" s="16"/>
      <c r="FS60" s="16"/>
      <c r="FT60" s="25"/>
      <c r="FU60" s="153"/>
      <c r="FV60" s="16"/>
      <c r="FW60" s="16"/>
      <c r="FX60" s="16"/>
      <c r="FY60" s="16"/>
      <c r="FZ60" s="16"/>
      <c r="GA60" s="25"/>
      <c r="GB60" s="153"/>
      <c r="GC60" s="16"/>
      <c r="GD60" s="16"/>
      <c r="GE60" s="16"/>
      <c r="GF60" s="16"/>
      <c r="GG60" s="16"/>
      <c r="GH60" s="25"/>
      <c r="GI60" s="283"/>
      <c r="GJ60" s="16"/>
      <c r="GK60" s="16"/>
      <c r="GL60" s="16"/>
      <c r="GM60" s="16"/>
      <c r="GN60" s="16"/>
      <c r="GO60" s="25"/>
      <c r="GP60" s="283"/>
      <c r="GQ60" s="16"/>
      <c r="GR60" s="16"/>
      <c r="GS60" s="16"/>
      <c r="GT60" s="16"/>
      <c r="GU60" s="16"/>
      <c r="GV60" s="25"/>
      <c r="GW60" s="283"/>
      <c r="GX60" s="16"/>
      <c r="GY60" s="16"/>
      <c r="GZ60" s="16"/>
      <c r="HA60" s="16"/>
      <c r="HB60" s="16"/>
      <c r="HC60" s="25"/>
      <c r="HD60" s="283"/>
      <c r="HE60" s="16"/>
      <c r="HF60" s="16"/>
      <c r="HG60" s="16"/>
      <c r="HH60" s="16"/>
      <c r="HI60" s="16"/>
      <c r="HJ60" s="25"/>
      <c r="HK60" s="283"/>
      <c r="HL60" s="16"/>
      <c r="HM60" s="16"/>
      <c r="HN60" s="16"/>
      <c r="HO60" s="16"/>
      <c r="HP60" s="16"/>
      <c r="HQ60" s="25"/>
      <c r="HR60" s="283"/>
      <c r="HS60" s="16"/>
      <c r="HT60" s="16"/>
      <c r="HU60" s="16"/>
      <c r="HV60" s="16"/>
      <c r="HW60" s="16"/>
      <c r="HX60" s="25"/>
      <c r="HY60" s="283"/>
      <c r="HZ60" s="16"/>
      <c r="IA60" s="16"/>
      <c r="IB60" s="16"/>
      <c r="IC60" s="16"/>
      <c r="ID60" s="16"/>
      <c r="IE60" s="25"/>
      <c r="IF60" s="283"/>
      <c r="IG60" s="16"/>
      <c r="IH60" s="16"/>
      <c r="II60" s="16"/>
      <c r="IJ60" s="16"/>
      <c r="IK60" s="16"/>
      <c r="IL60" s="25"/>
      <c r="IM60" s="283"/>
      <c r="IN60" s="16"/>
      <c r="IO60" s="16"/>
      <c r="IP60" s="16"/>
      <c r="IQ60" s="16"/>
      <c r="IR60" s="16"/>
      <c r="IS60" s="25"/>
      <c r="IT60" s="283"/>
      <c r="IU60" s="16"/>
      <c r="IV60" s="16"/>
      <c r="IW60" s="16"/>
      <c r="IX60" s="16"/>
      <c r="IY60" s="16"/>
      <c r="IZ60" s="25"/>
      <c r="JA60" s="283"/>
      <c r="JB60" s="16"/>
      <c r="JC60" s="16"/>
      <c r="JD60" s="16"/>
      <c r="JE60" s="16"/>
      <c r="JF60" s="16"/>
      <c r="JG60" s="25"/>
      <c r="JH60" s="283"/>
      <c r="JI60" s="16"/>
      <c r="JJ60" s="16"/>
      <c r="JK60" s="16"/>
      <c r="JL60" s="16"/>
      <c r="JM60" s="16"/>
      <c r="JN60" s="25"/>
      <c r="JO60" s="283"/>
      <c r="JP60" s="16"/>
      <c r="JQ60" s="16"/>
      <c r="JR60" s="16"/>
      <c r="JS60" s="16"/>
      <c r="JT60" s="16"/>
      <c r="JU60" s="25"/>
      <c r="JV60" s="283"/>
      <c r="JW60" s="16"/>
      <c r="JX60" s="16"/>
      <c r="JY60" s="16"/>
      <c r="JZ60" s="16"/>
      <c r="KA60" s="16"/>
      <c r="KB60" s="25"/>
      <c r="KC60" s="283"/>
      <c r="KD60" s="16"/>
      <c r="KE60" s="16"/>
      <c r="KF60" s="16"/>
      <c r="KG60" s="16"/>
      <c r="KH60" s="16"/>
      <c r="KI60" s="25"/>
      <c r="KJ60" s="283"/>
      <c r="KK60" s="16"/>
      <c r="KL60" s="16"/>
      <c r="KM60" s="16"/>
      <c r="KN60" s="16"/>
      <c r="KO60" s="16"/>
      <c r="KP60" s="25"/>
      <c r="KQ60" s="283"/>
      <c r="KR60" s="16"/>
      <c r="KS60" s="16"/>
      <c r="KT60" s="16"/>
      <c r="KU60" s="16"/>
      <c r="KV60" s="16"/>
      <c r="KW60" s="25"/>
      <c r="KX60" s="283"/>
      <c r="KY60" s="16"/>
      <c r="KZ60" s="16"/>
      <c r="LA60" s="16"/>
      <c r="LB60" s="16"/>
      <c r="LC60" s="16"/>
      <c r="LD60" s="25"/>
      <c r="LE60" s="153"/>
      <c r="LF60" s="16"/>
      <c r="LG60" s="16"/>
      <c r="LH60" s="16"/>
      <c r="LI60" s="16"/>
      <c r="LJ60" s="16"/>
      <c r="LK60" s="25"/>
      <c r="LL60" s="283"/>
      <c r="LM60" s="16"/>
      <c r="LN60" s="16"/>
      <c r="LO60" s="16"/>
      <c r="LP60" s="16"/>
      <c r="LQ60" s="16"/>
      <c r="LR60" s="25"/>
      <c r="LS60" s="283"/>
      <c r="LT60" s="16"/>
      <c r="LU60" s="16"/>
      <c r="LV60" s="16"/>
      <c r="LW60" s="16"/>
      <c r="LX60" s="16"/>
      <c r="LY60" s="25"/>
      <c r="LZ60" s="283"/>
      <c r="MA60" s="16"/>
      <c r="MB60" s="16"/>
      <c r="MC60" s="16"/>
      <c r="MD60" s="16"/>
      <c r="ME60" s="16"/>
      <c r="MF60" s="25"/>
      <c r="MG60" s="283"/>
      <c r="MH60" s="16"/>
      <c r="MI60" s="16"/>
      <c r="MJ60" s="16"/>
      <c r="MK60" s="16"/>
      <c r="ML60" s="16"/>
      <c r="MM60" s="25"/>
      <c r="MN60" s="283"/>
      <c r="MO60" s="16"/>
      <c r="MP60" s="16"/>
      <c r="MQ60" s="16"/>
      <c r="MR60" s="16"/>
      <c r="MS60" s="16"/>
      <c r="MT60" s="25"/>
      <c r="MU60" s="283"/>
      <c r="MV60" s="16"/>
      <c r="MW60" s="16"/>
      <c r="MX60" s="16"/>
      <c r="MY60" s="16"/>
      <c r="MZ60" s="16"/>
      <c r="NA60" s="25"/>
      <c r="NB60" s="402"/>
      <c r="NC60" s="270"/>
      <c r="ND60" s="270"/>
      <c r="NE60" s="270"/>
      <c r="NF60" s="270"/>
      <c r="NG60" s="270"/>
      <c r="NH60" s="270"/>
      <c r="NI60" s="270"/>
      <c r="NJ60" s="270"/>
      <c r="NK60" s="270"/>
      <c r="NL60" s="270"/>
      <c r="NM60" s="270"/>
      <c r="NN60" s="270"/>
      <c r="NO60" s="270"/>
      <c r="NP60" s="270"/>
      <c r="NQ60" s="270"/>
      <c r="NR60" s="270"/>
      <c r="NS60" s="270"/>
      <c r="NT60" s="270"/>
      <c r="NU60" s="270"/>
      <c r="NV60" s="270"/>
      <c r="NW60" s="270"/>
      <c r="NX60" s="270"/>
      <c r="NY60" s="270"/>
      <c r="NZ60" s="270"/>
      <c r="OA60" s="270"/>
      <c r="OB60" s="270"/>
      <c r="OC60" s="270"/>
      <c r="OD60" s="270"/>
      <c r="OE60" s="270"/>
      <c r="OF60" s="270"/>
      <c r="OG60" s="270"/>
      <c r="OH60" s="270"/>
      <c r="OI60" s="270"/>
      <c r="OJ60" s="270"/>
      <c r="OK60" s="270"/>
      <c r="OL60" s="270"/>
      <c r="OM60" s="270"/>
      <c r="ON60" s="270"/>
      <c r="OO60" s="270"/>
      <c r="OP60" s="270"/>
      <c r="OQ60" s="270"/>
      <c r="OR60" s="270"/>
      <c r="OS60" s="270"/>
      <c r="OT60" s="270"/>
      <c r="OU60" s="270"/>
      <c r="OV60" s="270"/>
      <c r="OW60" s="270"/>
      <c r="OX60" s="270"/>
      <c r="OY60" s="270"/>
      <c r="OZ60" s="270"/>
      <c r="PA60" s="270"/>
      <c r="PB60" s="270"/>
      <c r="PC60" s="270"/>
      <c r="PD60" s="270"/>
      <c r="PE60" s="270"/>
      <c r="PF60" s="270"/>
      <c r="PG60" s="270"/>
      <c r="PH60" s="270"/>
      <c r="PI60" s="270"/>
      <c r="PJ60" s="270"/>
      <c r="PK60" s="270"/>
      <c r="PL60" s="270"/>
      <c r="PM60" s="270"/>
      <c r="PN60" s="270"/>
      <c r="PO60" s="270"/>
      <c r="PP60" s="270"/>
      <c r="PQ60" s="270"/>
      <c r="PR60" s="270"/>
      <c r="PS60" s="270"/>
      <c r="PT60" s="270"/>
      <c r="PU60" s="270"/>
      <c r="PV60" s="270"/>
      <c r="PW60" s="270"/>
      <c r="PX60" s="270"/>
      <c r="PY60" s="270"/>
      <c r="PZ60" s="270"/>
      <c r="QA60" s="270"/>
      <c r="QB60" s="270"/>
      <c r="QC60" s="270"/>
      <c r="QD60" s="270"/>
      <c r="QE60" s="270"/>
      <c r="QF60" s="270"/>
      <c r="QG60" s="270"/>
      <c r="QH60" s="270"/>
      <c r="QI60" s="270"/>
      <c r="QJ60" s="270"/>
      <c r="QK60" s="270"/>
      <c r="QL60" s="270"/>
      <c r="QM60" s="270"/>
      <c r="QN60" s="270"/>
      <c r="QO60" s="270"/>
      <c r="QP60" s="270"/>
      <c r="QQ60" s="270"/>
      <c r="QR60" s="270"/>
      <c r="QS60" s="270"/>
      <c r="QT60" s="270"/>
      <c r="QU60" s="270"/>
      <c r="QV60" s="270"/>
      <c r="QW60" s="270"/>
      <c r="QX60" s="270"/>
      <c r="QY60" s="270"/>
      <c r="QZ60" s="270"/>
      <c r="RA60" s="270"/>
      <c r="RB60" s="270"/>
      <c r="RC60" s="270"/>
      <c r="RD60" s="270"/>
      <c r="RE60" s="270"/>
      <c r="RF60" s="270"/>
      <c r="RG60" s="270"/>
      <c r="RH60" s="270"/>
      <c r="RI60" s="270"/>
      <c r="RJ60" s="270"/>
      <c r="RK60" s="270"/>
      <c r="RL60" s="270"/>
      <c r="RM60" s="270"/>
      <c r="RN60" s="270"/>
      <c r="RO60" s="270"/>
      <c r="RP60" s="270"/>
      <c r="RQ60" s="270"/>
      <c r="RR60" s="270"/>
      <c r="RS60" s="270"/>
      <c r="RT60" s="270"/>
      <c r="RU60" s="270"/>
      <c r="RV60" s="270"/>
      <c r="RW60" s="270"/>
      <c r="RX60" s="270"/>
      <c r="RY60" s="270"/>
      <c r="RZ60" s="270"/>
      <c r="SA60" s="270"/>
      <c r="SB60" s="270"/>
      <c r="SC60" s="270"/>
      <c r="SD60" s="270"/>
      <c r="SE60" s="270"/>
      <c r="SF60" s="270"/>
      <c r="SG60" s="270"/>
      <c r="SH60" s="270"/>
      <c r="SI60" s="270"/>
      <c r="SJ60" s="270"/>
      <c r="SK60" s="270"/>
      <c r="SL60" s="270"/>
      <c r="SM60" s="270"/>
      <c r="SN60" s="270"/>
      <c r="SO60" s="270"/>
      <c r="SP60" s="270"/>
      <c r="SQ60" s="270"/>
      <c r="SR60" s="270"/>
      <c r="SS60" s="270"/>
      <c r="ST60" s="270"/>
      <c r="SU60" s="270"/>
      <c r="SV60" s="270"/>
      <c r="SW60" s="270"/>
      <c r="SX60" s="270"/>
      <c r="SY60" s="270"/>
      <c r="SZ60" s="270"/>
      <c r="TA60" s="270"/>
      <c r="TB60" s="270"/>
      <c r="TC60" s="270"/>
      <c r="TD60" s="270"/>
      <c r="TE60" s="270"/>
      <c r="TF60" s="270"/>
      <c r="TG60" s="270"/>
      <c r="TH60" s="270"/>
      <c r="TI60" s="270"/>
      <c r="TJ60" s="270"/>
      <c r="TK60" s="270"/>
      <c r="TL60" s="270"/>
      <c r="TM60" s="270"/>
      <c r="TN60" s="270"/>
      <c r="TO60" s="270"/>
      <c r="TP60" s="270"/>
      <c r="TQ60" s="270"/>
      <c r="TR60" s="270"/>
      <c r="TS60" s="270"/>
      <c r="TT60" s="270"/>
      <c r="TU60" s="270"/>
      <c r="TV60" s="270"/>
      <c r="TW60" s="270"/>
      <c r="TX60" s="270"/>
      <c r="TY60" s="270"/>
      <c r="TZ60" s="270"/>
      <c r="UA60" s="270"/>
      <c r="UB60" s="270"/>
      <c r="UC60" s="270"/>
      <c r="UD60" s="270"/>
      <c r="UE60" s="270"/>
      <c r="UF60" s="270"/>
      <c r="UG60" s="270"/>
      <c r="UH60" s="270"/>
      <c r="UI60" s="270"/>
      <c r="UJ60" s="270"/>
      <c r="UK60" s="270"/>
      <c r="UL60" s="270"/>
      <c r="UM60" s="270"/>
      <c r="UN60" s="270"/>
      <c r="UO60" s="270"/>
      <c r="UP60" s="270"/>
      <c r="UQ60" s="270"/>
      <c r="UR60" s="270"/>
      <c r="US60" s="270"/>
      <c r="UT60" s="270"/>
      <c r="UU60" s="270"/>
      <c r="UV60" s="270"/>
      <c r="UW60" s="270"/>
      <c r="UX60" s="270"/>
      <c r="UY60" s="270"/>
      <c r="UZ60" s="270"/>
      <c r="VA60" s="270"/>
      <c r="VB60" s="270"/>
      <c r="VC60" s="270"/>
      <c r="VD60" s="270"/>
      <c r="VE60" s="270"/>
      <c r="VF60" s="270"/>
      <c r="VG60" s="270"/>
      <c r="VH60" s="270"/>
      <c r="VI60" s="270"/>
      <c r="VJ60" s="270"/>
      <c r="VK60" s="270"/>
      <c r="VL60" s="270"/>
      <c r="VM60" s="270"/>
      <c r="VN60" s="270"/>
      <c r="VO60" s="270"/>
      <c r="VP60" s="270"/>
      <c r="VQ60" s="270"/>
      <c r="VR60" s="270"/>
      <c r="VS60" s="270"/>
      <c r="VT60" s="270"/>
      <c r="VU60" s="270"/>
      <c r="VV60" s="270"/>
      <c r="VW60" s="270"/>
      <c r="VX60" s="270"/>
      <c r="VY60" s="270"/>
      <c r="VZ60" s="270"/>
      <c r="WA60" s="270"/>
      <c r="WB60" s="270"/>
      <c r="WC60" s="270"/>
      <c r="WD60" s="270"/>
      <c r="WE60" s="270"/>
      <c r="WF60" s="270"/>
      <c r="WG60" s="270"/>
      <c r="WH60" s="270"/>
      <c r="WI60" s="270"/>
      <c r="WJ60" s="270"/>
      <c r="WK60" s="270"/>
      <c r="WL60" s="270"/>
      <c r="WM60" s="270"/>
      <c r="WN60" s="270"/>
      <c r="WO60" s="270"/>
      <c r="WP60" s="270"/>
      <c r="WQ60" s="270"/>
      <c r="WR60" s="270"/>
      <c r="WS60" s="270"/>
      <c r="WT60" s="270"/>
      <c r="WU60" s="270"/>
      <c r="WV60" s="270"/>
      <c r="WW60" s="270"/>
      <c r="WX60" s="270"/>
      <c r="WY60" s="270"/>
      <c r="WZ60" s="270"/>
      <c r="XA60" s="270"/>
      <c r="XB60" s="270"/>
      <c r="XC60" s="270"/>
      <c r="XD60" s="270"/>
      <c r="XE60" s="270"/>
      <c r="XF60" s="270"/>
      <c r="XG60" s="270"/>
      <c r="XH60" s="270"/>
      <c r="XI60" s="270"/>
      <c r="XJ60" s="270"/>
      <c r="XK60" s="270"/>
      <c r="XL60" s="270"/>
      <c r="XM60" s="270"/>
      <c r="XN60" s="270"/>
      <c r="XO60" s="270"/>
      <c r="XP60" s="270"/>
      <c r="XQ60" s="270"/>
      <c r="XR60" s="270"/>
      <c r="XS60" s="270"/>
      <c r="XT60" s="270"/>
      <c r="XU60" s="270"/>
      <c r="XV60" s="270"/>
      <c r="XW60" s="270"/>
      <c r="XX60" s="270"/>
      <c r="XY60" s="270"/>
      <c r="XZ60" s="270"/>
      <c r="YA60" s="270"/>
      <c r="YB60" s="270"/>
      <c r="YC60" s="270"/>
      <c r="YD60" s="270"/>
      <c r="YE60" s="270"/>
      <c r="YF60" s="270"/>
      <c r="YG60" s="270"/>
      <c r="YH60" s="270"/>
      <c r="YI60" s="270"/>
      <c r="YJ60" s="270"/>
      <c r="YK60" s="270"/>
      <c r="YL60" s="270"/>
      <c r="YM60" s="270"/>
      <c r="YN60" s="270"/>
      <c r="YO60" s="270"/>
      <c r="YP60" s="270"/>
      <c r="YQ60" s="270"/>
      <c r="YR60" s="270"/>
      <c r="YS60" s="270"/>
      <c r="YT60" s="270"/>
      <c r="YU60" s="270"/>
      <c r="YV60" s="270"/>
      <c r="YW60" s="270"/>
      <c r="YX60" s="270"/>
      <c r="YY60" s="270"/>
      <c r="YZ60" s="270"/>
      <c r="ZA60" s="270"/>
      <c r="ZB60" s="270"/>
      <c r="ZC60" s="270"/>
      <c r="ZD60" s="270"/>
      <c r="ZE60" s="270"/>
    </row>
    <row r="61">
      <c r="A61" s="115" t="s">
        <v>2160</v>
      </c>
      <c r="B61" s="118"/>
      <c r="C61" s="16"/>
      <c r="D61" s="16"/>
      <c r="E61" s="16"/>
      <c r="F61" s="16"/>
      <c r="G61" s="16"/>
      <c r="H61" s="16"/>
      <c r="I61" s="118"/>
      <c r="J61" s="16"/>
      <c r="K61" s="16"/>
      <c r="L61" s="16"/>
      <c r="M61" s="16"/>
      <c r="N61" s="16"/>
      <c r="O61" s="16"/>
      <c r="P61" s="118"/>
      <c r="Q61" s="16"/>
      <c r="R61" s="16"/>
      <c r="S61" s="16"/>
      <c r="T61" s="16"/>
      <c r="U61" s="16"/>
      <c r="V61" s="16"/>
      <c r="W61" s="118"/>
      <c r="X61" s="16"/>
      <c r="Y61" s="16"/>
      <c r="Z61" s="16"/>
      <c r="AA61" s="16"/>
      <c r="AB61" s="16"/>
      <c r="AC61" s="16"/>
      <c r="AD61" s="118"/>
      <c r="AE61" s="16"/>
      <c r="AF61" s="16"/>
      <c r="AG61" s="16"/>
      <c r="AH61" s="16"/>
      <c r="AI61" s="16"/>
      <c r="AJ61" s="16"/>
      <c r="AK61" s="118"/>
      <c r="AL61" s="16"/>
      <c r="AM61" s="16"/>
      <c r="AN61" s="16"/>
      <c r="AO61" s="16"/>
      <c r="AP61" s="16"/>
      <c r="AQ61" s="16"/>
      <c r="AR61" s="118"/>
      <c r="AS61" s="16"/>
      <c r="AT61" s="16"/>
      <c r="AU61" s="16"/>
      <c r="AV61" s="16"/>
      <c r="AW61" s="16"/>
      <c r="AX61" s="16"/>
      <c r="AY61" s="118"/>
      <c r="AZ61" s="16"/>
      <c r="BA61" s="16"/>
      <c r="BB61" s="16"/>
      <c r="BC61" s="16"/>
      <c r="BD61" s="16"/>
      <c r="BE61" s="16"/>
      <c r="BF61" s="118"/>
      <c r="BG61" s="16"/>
      <c r="BH61" s="16"/>
      <c r="BI61" s="16"/>
      <c r="BJ61" s="16"/>
      <c r="BK61" s="16"/>
      <c r="BL61" s="16"/>
      <c r="BM61" s="118"/>
      <c r="BN61" s="16"/>
      <c r="BO61" s="16"/>
      <c r="BP61" s="16"/>
      <c r="BQ61" s="16"/>
      <c r="BR61" s="16"/>
      <c r="BS61" s="16"/>
      <c r="BT61" s="118"/>
      <c r="BU61" s="16"/>
      <c r="BV61" s="16"/>
      <c r="BW61" s="16"/>
      <c r="BX61" s="16"/>
      <c r="BY61" s="16"/>
      <c r="BZ61" s="16"/>
      <c r="CA61" s="118"/>
      <c r="CB61" s="16"/>
      <c r="CC61" s="16"/>
      <c r="CD61" s="16"/>
      <c r="CE61" s="16"/>
      <c r="CF61" s="16"/>
      <c r="CG61" s="16"/>
      <c r="CH61" s="118"/>
      <c r="CI61" s="16"/>
      <c r="CJ61" s="16"/>
      <c r="CK61" s="16"/>
      <c r="CL61" s="16"/>
      <c r="CM61" s="16"/>
      <c r="CN61" s="16"/>
      <c r="CO61" s="118"/>
      <c r="CP61" s="16"/>
      <c r="CQ61" s="16"/>
      <c r="CR61" s="16"/>
      <c r="CS61" s="16"/>
      <c r="CT61" s="16"/>
      <c r="CU61" s="16"/>
      <c r="CV61" s="118"/>
      <c r="CW61" s="16"/>
      <c r="CX61" s="16"/>
      <c r="CY61" s="16"/>
      <c r="CZ61" s="16"/>
      <c r="DA61" s="16"/>
      <c r="DB61" s="16"/>
      <c r="DC61" s="118"/>
      <c r="DD61" s="16"/>
      <c r="DE61" s="16"/>
      <c r="DF61" s="16"/>
      <c r="DG61" s="16"/>
      <c r="DH61" s="16"/>
      <c r="DI61" s="16"/>
      <c r="DJ61" s="118"/>
      <c r="DK61" s="16"/>
      <c r="DL61" s="16"/>
      <c r="DM61" s="16"/>
      <c r="DN61" s="16"/>
      <c r="DO61" s="16"/>
      <c r="DP61" s="16"/>
      <c r="DQ61" s="118"/>
      <c r="DR61" s="16"/>
      <c r="DS61" s="16"/>
      <c r="DT61" s="16"/>
      <c r="DU61" s="16"/>
      <c r="DV61" s="16"/>
      <c r="DW61" s="16"/>
      <c r="DX61" s="118"/>
      <c r="DY61" s="16"/>
      <c r="DZ61" s="16"/>
      <c r="EA61" s="16"/>
      <c r="EB61" s="16"/>
      <c r="EC61" s="16"/>
      <c r="ED61" s="16"/>
      <c r="EE61" s="118"/>
      <c r="EF61" s="16"/>
      <c r="EG61" s="16"/>
      <c r="EH61" s="16"/>
      <c r="EI61" s="16"/>
      <c r="EJ61" s="16"/>
      <c r="EK61" s="16"/>
      <c r="EL61" s="118"/>
      <c r="EM61" s="16"/>
      <c r="EN61" s="16"/>
      <c r="EO61" s="16"/>
      <c r="EP61" s="16"/>
      <c r="EQ61" s="16"/>
      <c r="ER61" s="16"/>
      <c r="ES61" s="118"/>
      <c r="ET61" s="16"/>
      <c r="EU61" s="16"/>
      <c r="EV61" s="16"/>
      <c r="EW61" s="16"/>
      <c r="EX61" s="16"/>
      <c r="EY61" s="16"/>
      <c r="EZ61" s="118"/>
      <c r="FA61" s="16"/>
      <c r="FB61" s="16"/>
      <c r="FC61" s="16"/>
      <c r="FD61" s="16"/>
      <c r="FE61" s="16"/>
      <c r="FF61" s="16"/>
      <c r="FG61" s="118"/>
      <c r="FH61" s="16"/>
      <c r="FI61" s="16"/>
      <c r="FJ61" s="16"/>
      <c r="FK61" s="16"/>
      <c r="FL61" s="16"/>
      <c r="FM61" s="16"/>
      <c r="FN61" s="118"/>
      <c r="FO61" s="16"/>
      <c r="FP61" s="16"/>
      <c r="FQ61" s="16"/>
      <c r="FR61" s="16"/>
      <c r="FS61" s="16"/>
      <c r="FT61" s="16"/>
      <c r="FU61" s="118"/>
      <c r="FV61" s="16"/>
      <c r="FW61" s="16"/>
      <c r="FX61" s="16"/>
      <c r="FY61" s="16"/>
      <c r="FZ61" s="16"/>
      <c r="GA61" s="16"/>
      <c r="GB61" s="489"/>
      <c r="GC61" s="23"/>
      <c r="GD61" s="23"/>
      <c r="GE61" s="23"/>
      <c r="GF61" s="23"/>
      <c r="GG61" s="23"/>
      <c r="GH61" s="23"/>
      <c r="GI61" s="118"/>
      <c r="GJ61" s="16"/>
      <c r="GK61" s="16"/>
      <c r="GL61" s="16"/>
      <c r="GM61" s="16"/>
      <c r="GN61" s="16"/>
      <c r="GO61" s="16"/>
      <c r="GP61" s="118"/>
      <c r="GQ61" s="16"/>
      <c r="GR61" s="16"/>
      <c r="GS61" s="16"/>
      <c r="GT61" s="16"/>
      <c r="GU61" s="16"/>
      <c r="GV61" s="16"/>
      <c r="GW61" s="118"/>
      <c r="GX61" s="16"/>
      <c r="GY61" s="16"/>
      <c r="GZ61" s="16"/>
      <c r="HA61" s="16"/>
      <c r="HB61" s="16"/>
      <c r="HC61" s="16"/>
      <c r="HD61" s="118"/>
      <c r="HE61" s="16"/>
      <c r="HF61" s="16"/>
      <c r="HG61" s="16"/>
      <c r="HH61" s="16"/>
      <c r="HI61" s="16"/>
      <c r="HJ61" s="16"/>
      <c r="HK61" s="118"/>
      <c r="HL61" s="16"/>
      <c r="HM61" s="16"/>
      <c r="HN61" s="16"/>
      <c r="HO61" s="16"/>
      <c r="HP61" s="16"/>
      <c r="HQ61" s="16"/>
      <c r="HR61" s="118"/>
      <c r="HS61" s="16"/>
      <c r="HT61" s="16"/>
      <c r="HU61" s="16"/>
      <c r="HV61" s="16"/>
      <c r="HW61" s="16"/>
      <c r="HX61" s="16"/>
      <c r="HY61" s="118"/>
      <c r="HZ61" s="16"/>
      <c r="IA61" s="16"/>
      <c r="IB61" s="16"/>
      <c r="IC61" s="16"/>
      <c r="ID61" s="16"/>
      <c r="IE61" s="16"/>
      <c r="IF61" s="118"/>
      <c r="IG61" s="16"/>
      <c r="IH61" s="16"/>
      <c r="II61" s="16"/>
      <c r="IJ61" s="16"/>
      <c r="IK61" s="16"/>
      <c r="IL61" s="16"/>
      <c r="IM61" s="118"/>
      <c r="IN61" s="16"/>
      <c r="IO61" s="16"/>
      <c r="IP61" s="16"/>
      <c r="IQ61" s="16"/>
      <c r="IR61" s="16"/>
      <c r="IS61" s="16"/>
      <c r="IT61" s="118"/>
      <c r="IU61" s="16"/>
      <c r="IV61" s="16"/>
      <c r="IW61" s="16"/>
      <c r="IX61" s="16"/>
      <c r="IY61" s="16"/>
      <c r="IZ61" s="16"/>
      <c r="JA61" s="118"/>
      <c r="JB61" s="16"/>
      <c r="JC61" s="16"/>
      <c r="JD61" s="16"/>
      <c r="JE61" s="16"/>
      <c r="JF61" s="16"/>
      <c r="JG61" s="16"/>
      <c r="JH61" s="118"/>
      <c r="JI61" s="16"/>
      <c r="JJ61" s="16"/>
      <c r="JK61" s="16"/>
      <c r="JL61" s="16"/>
      <c r="JM61" s="16"/>
      <c r="JN61" s="16"/>
      <c r="JO61" s="118"/>
      <c r="JP61" s="16"/>
      <c r="JQ61" s="16"/>
      <c r="JR61" s="16"/>
      <c r="JS61" s="16"/>
      <c r="JT61" s="16"/>
      <c r="JU61" s="16"/>
      <c r="JV61" s="118"/>
      <c r="JW61" s="16"/>
      <c r="JX61" s="16"/>
      <c r="JY61" s="16"/>
      <c r="JZ61" s="16"/>
      <c r="KA61" s="16"/>
      <c r="KB61" s="16"/>
      <c r="KC61" s="118"/>
      <c r="KD61" s="16"/>
      <c r="KE61" s="16"/>
      <c r="KF61" s="16"/>
      <c r="KG61" s="16"/>
      <c r="KH61" s="16"/>
      <c r="KI61" s="16"/>
      <c r="KJ61" s="118"/>
      <c r="KK61" s="16"/>
      <c r="KL61" s="16"/>
      <c r="KM61" s="16"/>
      <c r="KN61" s="16"/>
      <c r="KO61" s="16"/>
      <c r="KP61" s="16"/>
      <c r="KQ61" s="118"/>
      <c r="KR61" s="16"/>
      <c r="KS61" s="16"/>
      <c r="KT61" s="16"/>
      <c r="KU61" s="16"/>
      <c r="KV61" s="16"/>
      <c r="KW61" s="16"/>
      <c r="KX61" s="118"/>
      <c r="KY61" s="16"/>
      <c r="KZ61" s="16"/>
      <c r="LA61" s="16"/>
      <c r="LB61" s="16"/>
      <c r="LC61" s="16"/>
      <c r="LD61" s="16"/>
      <c r="LE61" s="118"/>
      <c r="LF61" s="16"/>
      <c r="LG61" s="16"/>
      <c r="LH61" s="16"/>
      <c r="LI61" s="16"/>
      <c r="LJ61" s="16"/>
      <c r="LK61" s="16"/>
      <c r="LL61" s="118"/>
      <c r="LM61" s="16"/>
      <c r="LN61" s="16"/>
      <c r="LO61" s="16"/>
      <c r="LP61" s="16"/>
      <c r="LQ61" s="16"/>
      <c r="LR61" s="16"/>
      <c r="LS61" s="118"/>
      <c r="LT61" s="16"/>
      <c r="LU61" s="16"/>
      <c r="LV61" s="16"/>
      <c r="LW61" s="16"/>
      <c r="LX61" s="16"/>
      <c r="LY61" s="16"/>
      <c r="LZ61" s="118"/>
      <c r="MA61" s="16"/>
      <c r="MB61" s="16"/>
      <c r="MC61" s="16"/>
      <c r="MD61" s="16"/>
      <c r="ME61" s="16"/>
      <c r="MF61" s="16"/>
      <c r="MG61" s="118"/>
      <c r="MH61" s="16"/>
      <c r="MI61" s="16"/>
      <c r="MJ61" s="16"/>
      <c r="MK61" s="16"/>
      <c r="ML61" s="16"/>
      <c r="MM61" s="16"/>
      <c r="MN61" s="118"/>
      <c r="MO61" s="16"/>
      <c r="MP61" s="16"/>
      <c r="MQ61" s="16"/>
      <c r="MR61" s="16"/>
      <c r="MS61" s="16"/>
      <c r="MT61" s="16"/>
      <c r="MU61" s="118"/>
      <c r="MV61" s="16"/>
      <c r="MW61" s="16"/>
      <c r="MX61" s="16"/>
      <c r="MY61" s="16"/>
      <c r="MZ61" s="16"/>
      <c r="NA61" s="25"/>
      <c r="NB61" s="490"/>
      <c r="NC61" s="491"/>
      <c r="ND61" s="491"/>
      <c r="NE61" s="491"/>
      <c r="NF61" s="491"/>
      <c r="NG61" s="491"/>
      <c r="NH61" s="491"/>
      <c r="NI61" s="491"/>
      <c r="NP61" s="491"/>
      <c r="NW61" s="491"/>
      <c r="OD61" s="491"/>
      <c r="OK61" s="491"/>
      <c r="OR61" s="491"/>
      <c r="OY61" s="491"/>
      <c r="PF61" s="491"/>
      <c r="PM61" s="491"/>
      <c r="PT61" s="491"/>
      <c r="QA61" s="491"/>
      <c r="QH61" s="491"/>
      <c r="QO61" s="491"/>
      <c r="QV61" s="491"/>
      <c r="RC61" s="491"/>
      <c r="RJ61" s="491"/>
      <c r="RQ61" s="491"/>
      <c r="RX61" s="491"/>
      <c r="SE61" s="491"/>
      <c r="SL61" s="491"/>
      <c r="SS61" s="491"/>
      <c r="SZ61" s="491"/>
      <c r="TG61" s="491"/>
      <c r="TN61" s="491"/>
      <c r="TU61" s="491"/>
      <c r="UB61" s="491"/>
      <c r="UI61" s="491"/>
      <c r="UP61" s="491"/>
      <c r="UW61" s="491"/>
      <c r="VD61" s="491"/>
      <c r="VK61" s="491"/>
      <c r="VR61" s="491"/>
      <c r="VY61" s="491"/>
      <c r="WF61" s="491"/>
      <c r="WM61" s="491"/>
      <c r="WT61" s="491"/>
      <c r="XA61" s="491"/>
      <c r="XH61" s="491"/>
      <c r="XO61" s="491"/>
      <c r="XV61" s="491"/>
      <c r="YC61" s="491"/>
      <c r="YJ61" s="491"/>
      <c r="YQ61" s="491"/>
      <c r="YX61" s="491"/>
      <c r="ZE61" s="492"/>
    </row>
    <row r="62">
      <c r="A62" s="156" t="s">
        <v>254</v>
      </c>
      <c r="B62" s="134" t="s">
        <v>259</v>
      </c>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25"/>
      <c r="AG62" s="134" t="s">
        <v>1548</v>
      </c>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25"/>
      <c r="BI62" s="134" t="s">
        <v>2164</v>
      </c>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25"/>
      <c r="CN62" s="134" t="s">
        <v>2165</v>
      </c>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25"/>
      <c r="DR62" s="134" t="s">
        <v>2166</v>
      </c>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25"/>
      <c r="EW62" s="108"/>
      <c r="EX62" s="16"/>
      <c r="EY62" s="25"/>
      <c r="EZ62" s="108"/>
      <c r="FA62" s="16"/>
      <c r="FB62" s="16"/>
      <c r="FC62" s="16"/>
      <c r="FD62" s="16"/>
      <c r="FE62" s="16"/>
      <c r="FF62" s="25"/>
      <c r="FG62" s="108"/>
      <c r="FH62" s="16"/>
      <c r="FI62" s="16"/>
      <c r="FJ62" s="16"/>
      <c r="FK62" s="16"/>
      <c r="FL62" s="16"/>
      <c r="FM62" s="25"/>
      <c r="FN62" s="108"/>
      <c r="FO62" s="16"/>
      <c r="FP62" s="16"/>
      <c r="FQ62" s="16"/>
      <c r="FR62" s="16"/>
      <c r="FS62" s="16"/>
      <c r="FT62" s="25"/>
      <c r="FU62" s="108"/>
      <c r="FV62" s="16"/>
      <c r="FW62" s="16"/>
      <c r="FX62" s="16"/>
      <c r="FY62" s="16"/>
      <c r="FZ62" s="16"/>
      <c r="GA62" s="25"/>
      <c r="GB62" s="108"/>
      <c r="GC62" s="16"/>
      <c r="GD62" s="16"/>
      <c r="GE62" s="16"/>
      <c r="GF62" s="16"/>
      <c r="GG62" s="16"/>
      <c r="GH62" s="25"/>
      <c r="GI62" s="108"/>
      <c r="GJ62" s="16"/>
      <c r="GK62" s="16"/>
      <c r="GL62" s="16"/>
      <c r="GM62" s="16"/>
      <c r="GN62" s="16"/>
      <c r="GO62" s="25"/>
      <c r="GP62" s="108"/>
      <c r="GQ62" s="16"/>
      <c r="GR62" s="16"/>
      <c r="GS62" s="16"/>
      <c r="GT62" s="16"/>
      <c r="GU62" s="16"/>
      <c r="GV62" s="25"/>
      <c r="GW62" s="108"/>
      <c r="GX62" s="16"/>
      <c r="GY62" s="16"/>
      <c r="GZ62" s="16"/>
      <c r="HA62" s="16"/>
      <c r="HB62" s="16"/>
      <c r="HC62" s="25"/>
      <c r="HD62" s="108"/>
      <c r="HE62" s="16"/>
      <c r="HF62" s="16"/>
      <c r="HG62" s="16"/>
      <c r="HH62" s="16"/>
      <c r="HI62" s="16"/>
      <c r="HJ62" s="25"/>
      <c r="HK62" s="108"/>
      <c r="HL62" s="16"/>
      <c r="HM62" s="16"/>
      <c r="HN62" s="16"/>
      <c r="HO62" s="16"/>
      <c r="HP62" s="16"/>
      <c r="HQ62" s="25"/>
      <c r="IF62" s="108"/>
      <c r="IG62" s="16"/>
      <c r="IH62" s="16"/>
      <c r="II62" s="16"/>
      <c r="IJ62" s="16"/>
      <c r="IK62" s="16"/>
      <c r="IL62" s="25"/>
      <c r="IM62" s="108"/>
      <c r="IN62" s="16"/>
      <c r="IO62" s="16"/>
      <c r="IP62" s="16"/>
      <c r="IQ62" s="16"/>
      <c r="IR62" s="16"/>
      <c r="IS62" s="25"/>
      <c r="IT62" s="108"/>
      <c r="IU62" s="16"/>
      <c r="IV62" s="16"/>
      <c r="IW62" s="16"/>
      <c r="IX62" s="16"/>
      <c r="IY62" s="16"/>
      <c r="IZ62" s="25"/>
      <c r="JA62" s="108"/>
      <c r="JB62" s="16"/>
      <c r="JC62" s="16"/>
      <c r="JD62" s="16"/>
      <c r="JE62" s="16"/>
      <c r="JF62" s="16"/>
      <c r="JG62" s="25"/>
      <c r="JH62" s="108"/>
      <c r="JI62" s="16"/>
      <c r="JJ62" s="16"/>
      <c r="JK62" s="16"/>
      <c r="JL62" s="16"/>
      <c r="JM62" s="16"/>
      <c r="JN62" s="25"/>
      <c r="JO62" s="108"/>
      <c r="JP62" s="16"/>
      <c r="JQ62" s="16"/>
      <c r="JR62" s="16"/>
      <c r="JS62" s="16"/>
      <c r="JT62" s="16"/>
      <c r="JU62" s="25"/>
      <c r="JV62" s="108"/>
      <c r="JW62" s="16"/>
      <c r="JX62" s="16"/>
      <c r="JY62" s="16"/>
      <c r="JZ62" s="16"/>
      <c r="KA62" s="16"/>
      <c r="KB62" s="25"/>
      <c r="KC62" s="108"/>
      <c r="KD62" s="16"/>
      <c r="KE62" s="16"/>
      <c r="KF62" s="16"/>
      <c r="KG62" s="16"/>
      <c r="KH62" s="16"/>
      <c r="KI62" s="25"/>
      <c r="KJ62" s="108"/>
      <c r="KK62" s="16"/>
      <c r="KL62" s="16"/>
      <c r="KM62" s="16"/>
      <c r="KN62" s="16"/>
      <c r="KO62" s="16"/>
      <c r="KP62" s="25"/>
      <c r="KQ62" s="108"/>
      <c r="KR62" s="16"/>
      <c r="KS62" s="16"/>
      <c r="KT62" s="16"/>
      <c r="KU62" s="16"/>
      <c r="KV62" s="16"/>
      <c r="KW62" s="25"/>
      <c r="KX62" s="108"/>
      <c r="KY62" s="16"/>
      <c r="KZ62" s="16"/>
      <c r="LA62" s="16"/>
      <c r="LB62" s="16"/>
      <c r="LC62" s="16"/>
      <c r="LD62" s="25"/>
      <c r="LE62" s="108"/>
      <c r="LF62" s="16"/>
      <c r="LG62" s="16"/>
      <c r="LH62" s="16"/>
      <c r="LI62" s="16"/>
      <c r="LJ62" s="16"/>
      <c r="LK62" s="25"/>
      <c r="LL62" s="108"/>
      <c r="LM62" s="16"/>
      <c r="LN62" s="16"/>
      <c r="LO62" s="16"/>
      <c r="LP62" s="16"/>
      <c r="LQ62" s="16"/>
      <c r="LR62" s="25"/>
      <c r="LS62" s="108"/>
      <c r="LT62" s="16"/>
      <c r="LU62" s="16"/>
      <c r="LV62" s="16"/>
      <c r="LW62" s="16"/>
      <c r="LX62" s="16"/>
      <c r="LY62" s="25"/>
      <c r="LZ62" s="108"/>
      <c r="MA62" s="16"/>
      <c r="MB62" s="16"/>
      <c r="MC62" s="16"/>
      <c r="MD62" s="16"/>
      <c r="ME62" s="16"/>
      <c r="MF62" s="25"/>
      <c r="MG62" s="108"/>
      <c r="MH62" s="16"/>
      <c r="MI62" s="16"/>
      <c r="MJ62" s="16"/>
      <c r="MK62" s="16"/>
      <c r="ML62" s="16"/>
      <c r="MM62" s="25"/>
      <c r="MN62" s="108"/>
      <c r="MO62" s="16"/>
      <c r="MP62" s="16"/>
      <c r="MQ62" s="16"/>
      <c r="MR62" s="16"/>
      <c r="MS62" s="16"/>
      <c r="MT62" s="25"/>
      <c r="MU62" s="108"/>
      <c r="MV62" s="16"/>
      <c r="MW62" s="16"/>
      <c r="MX62" s="16"/>
      <c r="MY62" s="16"/>
      <c r="MZ62" s="16"/>
      <c r="NA62" s="25"/>
      <c r="NB62" s="81"/>
      <c r="ZE62" s="366"/>
    </row>
    <row r="63">
      <c r="A63" s="483"/>
      <c r="HR63" s="484" t="s">
        <v>2167</v>
      </c>
      <c r="HS63" s="10"/>
      <c r="HT63" s="10"/>
      <c r="HU63" s="10"/>
      <c r="HV63" s="10"/>
      <c r="HW63" s="10"/>
      <c r="HX63" s="10"/>
      <c r="HY63" s="10"/>
      <c r="HZ63" s="10"/>
      <c r="IA63" s="10"/>
      <c r="IB63" s="10"/>
      <c r="IC63" s="10"/>
      <c r="ID63" s="10"/>
      <c r="IE63" s="121"/>
      <c r="IF63" s="486" t="s">
        <v>2168</v>
      </c>
      <c r="IG63" s="10"/>
      <c r="IH63" s="10"/>
      <c r="II63" s="10"/>
      <c r="IJ63" s="10"/>
      <c r="IK63" s="10"/>
      <c r="IL63" s="121"/>
      <c r="ZE63" s="366"/>
    </row>
    <row r="64">
      <c r="A64" s="13"/>
      <c r="BF64" s="164"/>
      <c r="BT64" s="164"/>
      <c r="HR64" s="405"/>
      <c r="IE64" s="83"/>
      <c r="IF64" s="405"/>
      <c r="IL64" s="83"/>
      <c r="ZE64" s="366"/>
    </row>
    <row r="65">
      <c r="A65" s="13"/>
      <c r="HR65" s="405"/>
      <c r="IE65" s="83"/>
      <c r="IF65" s="405"/>
      <c r="IL65" s="83"/>
      <c r="ZE65" s="366"/>
    </row>
    <row r="66">
      <c r="A66" s="483"/>
      <c r="W66" s="58" t="s">
        <v>2169</v>
      </c>
      <c r="HR66" s="488"/>
      <c r="HS66" s="23"/>
      <c r="HT66" s="23"/>
      <c r="HU66" s="23"/>
      <c r="HV66" s="23"/>
      <c r="HW66" s="23"/>
      <c r="HX66" s="23"/>
      <c r="HY66" s="23"/>
      <c r="HZ66" s="23"/>
      <c r="IA66" s="23"/>
      <c r="IB66" s="23"/>
      <c r="IC66" s="23"/>
      <c r="ID66" s="23"/>
      <c r="IE66" s="104"/>
      <c r="IF66" s="488"/>
      <c r="IG66" s="23"/>
      <c r="IH66" s="23"/>
      <c r="II66" s="23"/>
      <c r="IJ66" s="23"/>
      <c r="IK66" s="23"/>
      <c r="IL66" s="104"/>
      <c r="ZE66" s="366"/>
    </row>
    <row r="67">
      <c r="A67" s="483"/>
      <c r="W67" s="58" t="s">
        <v>2170</v>
      </c>
      <c r="DQ67" s="58" t="s">
        <v>2171</v>
      </c>
      <c r="ZE67" s="366"/>
    </row>
    <row r="68">
      <c r="A68" s="483"/>
      <c r="B68" s="380"/>
      <c r="C68" s="380"/>
      <c r="D68" s="380"/>
      <c r="E68" s="380"/>
      <c r="F68" s="380"/>
      <c r="G68" s="380"/>
      <c r="H68" s="380"/>
      <c r="I68" s="380"/>
      <c r="J68" s="380"/>
      <c r="K68" s="380"/>
      <c r="L68" s="380"/>
      <c r="M68" s="380"/>
      <c r="N68" s="380"/>
      <c r="O68" s="380"/>
      <c r="P68" s="380"/>
      <c r="Q68" s="380"/>
      <c r="R68" s="380"/>
      <c r="S68" s="380"/>
      <c r="T68" s="380"/>
      <c r="U68" s="380"/>
      <c r="V68" s="380"/>
      <c r="W68" s="380"/>
      <c r="X68" s="380"/>
      <c r="Y68" s="380"/>
      <c r="Z68" s="380"/>
      <c r="AA68" s="380"/>
      <c r="AB68" s="380"/>
      <c r="AC68" s="380"/>
      <c r="AD68" s="380"/>
      <c r="AE68" s="380"/>
      <c r="AF68" s="380"/>
      <c r="AG68" s="380"/>
      <c r="AH68" s="380"/>
      <c r="AI68" s="380"/>
      <c r="AJ68" s="380"/>
      <c r="AK68" s="380"/>
      <c r="AL68" s="380"/>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row>
    <row r="69">
      <c r="A69" s="483"/>
      <c r="B69" s="380"/>
      <c r="C69" s="380"/>
      <c r="D69" s="380"/>
      <c r="E69" s="380"/>
      <c r="F69" s="380"/>
      <c r="G69" s="380"/>
      <c r="H69" s="380"/>
      <c r="I69" s="380"/>
      <c r="J69" s="380"/>
      <c r="K69" s="380"/>
      <c r="L69" s="380"/>
      <c r="M69" s="380"/>
      <c r="N69" s="380"/>
      <c r="O69" s="380"/>
      <c r="P69" s="380"/>
      <c r="Q69" s="380"/>
      <c r="R69" s="380"/>
      <c r="S69" s="380"/>
      <c r="T69" s="380"/>
      <c r="U69" s="380"/>
      <c r="V69" s="380"/>
      <c r="W69" s="380"/>
      <c r="X69" s="380"/>
      <c r="Y69" s="380"/>
      <c r="Z69" s="380"/>
      <c r="AA69" s="380"/>
      <c r="AB69" s="380"/>
      <c r="AC69" s="380"/>
      <c r="AD69" s="380"/>
      <c r="AE69" s="380"/>
      <c r="AF69" s="380"/>
      <c r="AG69" s="380"/>
      <c r="AH69" s="380"/>
      <c r="AI69" s="380"/>
      <c r="AJ69" s="380"/>
      <c r="AK69" s="380"/>
      <c r="AL69" s="380"/>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row>
    <row r="70">
      <c r="A70" s="483"/>
      <c r="B70" s="380"/>
      <c r="C70" s="380"/>
      <c r="D70" s="380"/>
      <c r="E70" s="380"/>
      <c r="F70" s="380"/>
      <c r="G70" s="380"/>
      <c r="H70" s="380"/>
      <c r="I70" s="380"/>
      <c r="J70" s="380"/>
      <c r="K70" s="380"/>
      <c r="L70" s="380"/>
      <c r="M70" s="380"/>
      <c r="N70" s="380"/>
      <c r="O70" s="380"/>
      <c r="P70" s="380"/>
      <c r="Q70" s="380"/>
      <c r="R70" s="380"/>
      <c r="S70" s="380"/>
      <c r="T70" s="380"/>
      <c r="U70" s="380"/>
      <c r="V70" s="380"/>
      <c r="W70" s="380"/>
      <c r="X70" s="380"/>
      <c r="Y70" s="380"/>
      <c r="Z70" s="380"/>
      <c r="AA70" s="380"/>
      <c r="AB70" s="380"/>
      <c r="AC70" s="380"/>
      <c r="AD70" s="380"/>
      <c r="AE70" s="380"/>
      <c r="AF70" s="380"/>
      <c r="AG70" s="380"/>
      <c r="AH70" s="380"/>
      <c r="AI70" s="380"/>
      <c r="AJ70" s="380"/>
      <c r="AK70" s="380"/>
      <c r="AL70" s="380"/>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row>
    <row r="71">
      <c r="A71" s="483"/>
      <c r="B71" s="380"/>
      <c r="C71" s="380"/>
      <c r="D71" s="380"/>
      <c r="E71" s="380"/>
      <c r="F71" s="380"/>
      <c r="G71" s="380"/>
      <c r="H71" s="380"/>
      <c r="I71" s="380"/>
      <c r="J71" s="380"/>
      <c r="K71" s="380"/>
      <c r="L71" s="380"/>
      <c r="M71" s="380"/>
      <c r="N71" s="380"/>
      <c r="O71" s="380"/>
      <c r="P71" s="380"/>
      <c r="Q71" s="380"/>
      <c r="R71" s="380"/>
      <c r="S71" s="380"/>
      <c r="T71" s="380"/>
      <c r="U71" s="380"/>
      <c r="V71" s="380"/>
      <c r="W71" s="380"/>
      <c r="X71" s="380"/>
      <c r="Y71" s="380"/>
      <c r="Z71" s="380"/>
      <c r="AA71" s="380"/>
      <c r="AB71" s="380"/>
      <c r="AC71" s="380"/>
      <c r="AD71" s="380"/>
      <c r="AE71" s="380"/>
      <c r="AF71" s="380"/>
      <c r="AG71" s="380"/>
      <c r="AH71" s="380"/>
      <c r="AI71" s="380"/>
      <c r="AJ71" s="380"/>
      <c r="AK71" s="380"/>
      <c r="AL71" s="380"/>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row>
    <row r="72">
      <c r="A72" s="483"/>
      <c r="B72" s="380"/>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c r="AA72" s="380"/>
      <c r="AB72" s="380"/>
      <c r="AC72" s="380"/>
      <c r="AD72" s="380"/>
      <c r="AE72" s="380"/>
      <c r="AF72" s="380"/>
      <c r="AG72" s="380"/>
      <c r="AH72" s="380"/>
      <c r="AI72" s="380"/>
      <c r="AJ72" s="380"/>
      <c r="AK72" s="380"/>
      <c r="AL72" s="380"/>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row>
    <row r="87">
      <c r="A87" s="483"/>
      <c r="B87" s="380"/>
      <c r="C87" s="380"/>
      <c r="D87" s="380"/>
      <c r="E87" s="380"/>
      <c r="F87" s="380"/>
      <c r="G87" s="380"/>
      <c r="H87" s="380"/>
      <c r="I87" s="403"/>
      <c r="J87" s="380"/>
      <c r="K87" s="380"/>
      <c r="L87" s="380"/>
      <c r="M87" s="380"/>
      <c r="N87" s="380"/>
      <c r="O87" s="404"/>
      <c r="P87" s="380"/>
      <c r="Q87" s="380"/>
      <c r="R87" s="380"/>
      <c r="S87" s="380"/>
      <c r="T87" s="380"/>
      <c r="U87" s="380"/>
      <c r="V87" s="380"/>
      <c r="W87" s="403"/>
      <c r="X87" s="380"/>
      <c r="Y87" s="380"/>
      <c r="Z87" s="380"/>
      <c r="AA87" s="380"/>
      <c r="AB87" s="380"/>
      <c r="AC87" s="404"/>
      <c r="AD87" s="380"/>
      <c r="AE87" s="380"/>
      <c r="AF87" s="380"/>
      <c r="AG87" s="380"/>
      <c r="AH87" s="380"/>
      <c r="AI87" s="380"/>
      <c r="AJ87" s="380"/>
      <c r="AK87" s="403"/>
      <c r="AL87" s="380"/>
      <c r="AM87" s="380"/>
      <c r="AN87" s="380"/>
      <c r="AO87" s="380"/>
      <c r="AP87" s="380"/>
      <c r="AQ87" s="404"/>
      <c r="AR87" s="380"/>
      <c r="AS87" s="380"/>
      <c r="AT87" s="380"/>
      <c r="AU87" s="380"/>
      <c r="AV87" s="380"/>
      <c r="AW87" s="380"/>
      <c r="AX87" s="380"/>
      <c r="AY87" s="403"/>
      <c r="AZ87" s="380"/>
      <c r="BA87" s="380"/>
      <c r="BB87" s="380"/>
      <c r="BC87" s="380"/>
      <c r="BD87" s="380"/>
      <c r="BE87" s="404"/>
      <c r="BF87" s="380"/>
      <c r="BG87" s="380"/>
      <c r="BH87" s="380"/>
      <c r="BI87" s="380"/>
      <c r="BJ87" s="380"/>
      <c r="BK87" s="380"/>
      <c r="BL87" s="380"/>
      <c r="BM87" s="403"/>
      <c r="BS87" s="83"/>
      <c r="CA87" s="405"/>
      <c r="CG87" s="83"/>
      <c r="CO87" s="405"/>
      <c r="CU87" s="83"/>
      <c r="DC87" s="405"/>
      <c r="DI87" s="83"/>
      <c r="DQ87" s="405"/>
      <c r="DW87" s="83"/>
      <c r="EE87" s="405"/>
      <c r="EK87" s="83"/>
      <c r="ES87" s="405"/>
      <c r="EY87" s="83"/>
      <c r="FG87" s="405"/>
      <c r="FM87" s="83"/>
      <c r="FU87" s="405"/>
      <c r="GA87" s="83"/>
      <c r="GI87" s="405"/>
      <c r="GO87" s="83"/>
      <c r="GW87" s="405"/>
      <c r="HC87" s="83"/>
      <c r="HK87" s="405"/>
      <c r="HQ87" s="83"/>
      <c r="HY87" s="405"/>
      <c r="IE87" s="83"/>
      <c r="IM87" s="405"/>
      <c r="IS87" s="83"/>
      <c r="JA87" s="405"/>
      <c r="JG87" s="83"/>
      <c r="JO87" s="405"/>
      <c r="JU87" s="83"/>
      <c r="KC87" s="405"/>
      <c r="KI87" s="83"/>
      <c r="KQ87" s="405"/>
      <c r="KW87" s="83"/>
      <c r="LE87" s="405"/>
      <c r="LK87" s="83"/>
      <c r="LS87" s="405"/>
      <c r="LY87" s="83"/>
      <c r="MG87" s="405"/>
      <c r="MM87" s="83"/>
      <c r="MU87" s="405"/>
      <c r="NA87" s="83"/>
    </row>
    <row r="88">
      <c r="A88" s="483"/>
      <c r="B88" s="380"/>
      <c r="C88" s="380"/>
      <c r="D88" s="380"/>
      <c r="E88" s="380"/>
      <c r="F88" s="380"/>
      <c r="G88" s="380"/>
      <c r="H88" s="380"/>
      <c r="I88" s="403"/>
      <c r="J88" s="380"/>
      <c r="K88" s="380"/>
      <c r="L88" s="380"/>
      <c r="M88" s="380"/>
      <c r="N88" s="380"/>
      <c r="O88" s="404"/>
      <c r="P88" s="380"/>
      <c r="Q88" s="380"/>
      <c r="R88" s="380"/>
      <c r="S88" s="380"/>
      <c r="T88" s="380"/>
      <c r="U88" s="380"/>
      <c r="V88" s="380"/>
      <c r="W88" s="403"/>
      <c r="X88" s="380"/>
      <c r="Y88" s="380"/>
      <c r="Z88" s="380"/>
      <c r="AA88" s="380"/>
      <c r="AB88" s="380"/>
      <c r="AC88" s="404"/>
      <c r="AD88" s="380"/>
      <c r="AE88" s="380"/>
      <c r="AF88" s="380"/>
      <c r="AG88" s="380"/>
      <c r="AH88" s="380"/>
      <c r="AI88" s="380"/>
      <c r="AJ88" s="380"/>
      <c r="AK88" s="403"/>
      <c r="AL88" s="380"/>
      <c r="AM88" s="380"/>
      <c r="AN88" s="380"/>
      <c r="AO88" s="380"/>
      <c r="AP88" s="380"/>
      <c r="AQ88" s="404"/>
      <c r="AR88" s="380"/>
      <c r="AS88" s="380"/>
      <c r="AT88" s="380"/>
      <c r="AU88" s="380"/>
      <c r="AV88" s="380"/>
      <c r="AW88" s="380"/>
      <c r="AX88" s="380"/>
      <c r="AY88" s="403"/>
      <c r="AZ88" s="380"/>
      <c r="BA88" s="380"/>
      <c r="BB88" s="380"/>
      <c r="BC88" s="380"/>
      <c r="BD88" s="380"/>
      <c r="BE88" s="404"/>
      <c r="BF88" s="380"/>
      <c r="BG88" s="380"/>
      <c r="BH88" s="380"/>
      <c r="BI88" s="380"/>
      <c r="BJ88" s="380"/>
      <c r="BK88" s="380"/>
      <c r="BL88" s="380"/>
      <c r="BM88" s="403"/>
      <c r="BS88" s="83"/>
      <c r="CA88" s="405"/>
      <c r="CG88" s="83"/>
      <c r="CO88" s="405"/>
      <c r="CU88" s="83"/>
      <c r="DC88" s="405"/>
      <c r="DI88" s="83"/>
      <c r="DQ88" s="405"/>
      <c r="DW88" s="83"/>
      <c r="EE88" s="405"/>
      <c r="EK88" s="83"/>
      <c r="ES88" s="405"/>
      <c r="EY88" s="83"/>
      <c r="FG88" s="405"/>
      <c r="FM88" s="83"/>
      <c r="FU88" s="405"/>
      <c r="GA88" s="83"/>
      <c r="GI88" s="405"/>
      <c r="GO88" s="83"/>
      <c r="GW88" s="405"/>
      <c r="HC88" s="83"/>
      <c r="HK88" s="405"/>
      <c r="HQ88" s="83"/>
      <c r="HY88" s="405"/>
      <c r="IE88" s="83"/>
      <c r="IM88" s="405"/>
      <c r="IS88" s="83"/>
      <c r="JA88" s="405"/>
      <c r="JG88" s="83"/>
      <c r="JO88" s="405"/>
      <c r="JU88" s="83"/>
      <c r="KC88" s="405"/>
      <c r="KI88" s="83"/>
      <c r="KQ88" s="405"/>
      <c r="KW88" s="83"/>
      <c r="LE88" s="405"/>
      <c r="LK88" s="83"/>
      <c r="LS88" s="405"/>
      <c r="LY88" s="83"/>
      <c r="MG88" s="405"/>
      <c r="MM88" s="83"/>
      <c r="MU88" s="405"/>
      <c r="NA88" s="83"/>
    </row>
    <row r="89">
      <c r="A89" s="483"/>
      <c r="B89" s="380"/>
      <c r="C89" s="380"/>
      <c r="D89" s="380"/>
      <c r="E89" s="380"/>
      <c r="F89" s="380"/>
      <c r="G89" s="380"/>
      <c r="H89" s="380"/>
      <c r="I89" s="403"/>
      <c r="J89" s="380"/>
      <c r="K89" s="380"/>
      <c r="L89" s="380"/>
      <c r="M89" s="380"/>
      <c r="N89" s="380"/>
      <c r="O89" s="404"/>
      <c r="P89" s="380"/>
      <c r="Q89" s="380"/>
      <c r="R89" s="380"/>
      <c r="S89" s="380"/>
      <c r="T89" s="380"/>
      <c r="U89" s="380"/>
      <c r="V89" s="380"/>
      <c r="W89" s="403"/>
      <c r="X89" s="380"/>
      <c r="Y89" s="380"/>
      <c r="Z89" s="380"/>
      <c r="AA89" s="380"/>
      <c r="AB89" s="380"/>
      <c r="AC89" s="404"/>
      <c r="AD89" s="380"/>
      <c r="AE89" s="380"/>
      <c r="AF89" s="380"/>
      <c r="AG89" s="380"/>
      <c r="AH89" s="380"/>
      <c r="AI89" s="380"/>
      <c r="AJ89" s="380"/>
      <c r="AK89" s="403"/>
      <c r="AL89" s="380"/>
      <c r="AM89" s="380"/>
      <c r="AN89" s="380"/>
      <c r="AO89" s="380"/>
      <c r="AP89" s="380"/>
      <c r="AQ89" s="404"/>
      <c r="AR89" s="380"/>
      <c r="AS89" s="380"/>
      <c r="AT89" s="380"/>
      <c r="AU89" s="380"/>
      <c r="AV89" s="380"/>
      <c r="AW89" s="380"/>
      <c r="AX89" s="380"/>
      <c r="AY89" s="403"/>
      <c r="AZ89" s="380"/>
      <c r="BA89" s="380"/>
      <c r="BB89" s="380"/>
      <c r="BC89" s="380"/>
      <c r="BD89" s="380"/>
      <c r="BE89" s="404"/>
      <c r="BF89" s="380"/>
      <c r="BG89" s="380"/>
      <c r="BH89" s="380"/>
      <c r="BI89" s="380"/>
      <c r="BJ89" s="380"/>
      <c r="BK89" s="380"/>
      <c r="BL89" s="380"/>
      <c r="BM89" s="403"/>
      <c r="BS89" s="83"/>
      <c r="CA89" s="405"/>
      <c r="CG89" s="83"/>
      <c r="CO89" s="405"/>
      <c r="CU89" s="83"/>
      <c r="DC89" s="405"/>
      <c r="DI89" s="83"/>
      <c r="DQ89" s="405"/>
      <c r="DW89" s="83"/>
      <c r="EE89" s="405"/>
      <c r="EK89" s="83"/>
      <c r="ES89" s="405"/>
      <c r="EY89" s="83"/>
      <c r="FG89" s="405"/>
      <c r="FM89" s="83"/>
      <c r="FU89" s="405"/>
      <c r="GA89" s="83"/>
      <c r="GI89" s="405"/>
      <c r="GO89" s="83"/>
      <c r="GW89" s="405"/>
      <c r="HC89" s="83"/>
      <c r="HK89" s="405"/>
      <c r="HQ89" s="83"/>
      <c r="HY89" s="405"/>
      <c r="IE89" s="83"/>
      <c r="IM89" s="405"/>
      <c r="IS89" s="83"/>
      <c r="JA89" s="405"/>
      <c r="JG89" s="83"/>
      <c r="JO89" s="405"/>
      <c r="JU89" s="83"/>
      <c r="KC89" s="405"/>
      <c r="KI89" s="83"/>
      <c r="KQ89" s="405"/>
      <c r="KW89" s="83"/>
      <c r="LE89" s="405"/>
      <c r="LK89" s="83"/>
      <c r="LS89" s="405"/>
      <c r="LY89" s="83"/>
      <c r="MG89" s="405"/>
      <c r="MM89" s="83"/>
      <c r="MU89" s="405"/>
      <c r="NA89" s="83"/>
    </row>
    <row r="90">
      <c r="A90" s="483"/>
      <c r="B90" s="380"/>
      <c r="C90" s="380"/>
      <c r="D90" s="380"/>
      <c r="E90" s="380"/>
      <c r="F90" s="380"/>
      <c r="G90" s="380"/>
      <c r="H90" s="380"/>
      <c r="I90" s="403"/>
      <c r="J90" s="380"/>
      <c r="K90" s="380"/>
      <c r="L90" s="380"/>
      <c r="M90" s="380"/>
      <c r="N90" s="380"/>
      <c r="O90" s="404"/>
      <c r="P90" s="380"/>
      <c r="Q90" s="380"/>
      <c r="R90" s="380"/>
      <c r="S90" s="380"/>
      <c r="T90" s="380"/>
      <c r="U90" s="380"/>
      <c r="V90" s="380"/>
      <c r="W90" s="403"/>
      <c r="X90" s="380"/>
      <c r="Y90" s="380"/>
      <c r="Z90" s="380"/>
      <c r="AA90" s="380"/>
      <c r="AB90" s="380"/>
      <c r="AC90" s="404"/>
      <c r="AD90" s="380"/>
      <c r="AE90" s="380"/>
      <c r="AF90" s="380"/>
      <c r="AG90" s="380"/>
      <c r="AH90" s="380"/>
      <c r="AI90" s="380"/>
      <c r="AJ90" s="380"/>
      <c r="AK90" s="403"/>
      <c r="AL90" s="380"/>
      <c r="AM90" s="380"/>
      <c r="AN90" s="380"/>
      <c r="AO90" s="380"/>
      <c r="AP90" s="380"/>
      <c r="AQ90" s="404"/>
      <c r="AR90" s="380"/>
      <c r="AS90" s="380"/>
      <c r="AT90" s="380"/>
      <c r="AU90" s="380"/>
      <c r="AV90" s="380"/>
      <c r="AW90" s="380"/>
      <c r="AX90" s="380"/>
      <c r="AY90" s="403"/>
      <c r="AZ90" s="380"/>
      <c r="BA90" s="380"/>
      <c r="BB90" s="380"/>
      <c r="BC90" s="380"/>
      <c r="BD90" s="380"/>
      <c r="BE90" s="404"/>
      <c r="BF90" s="380"/>
      <c r="BG90" s="380"/>
      <c r="BH90" s="380"/>
      <c r="BI90" s="380"/>
      <c r="BJ90" s="380"/>
      <c r="BK90" s="380"/>
      <c r="BL90" s="380"/>
      <c r="BM90" s="403"/>
      <c r="BS90" s="83"/>
      <c r="CA90" s="405"/>
      <c r="CG90" s="83"/>
      <c r="CO90" s="405"/>
      <c r="CU90" s="83"/>
      <c r="DC90" s="405"/>
      <c r="DI90" s="83"/>
      <c r="DQ90" s="405"/>
      <c r="DW90" s="83"/>
      <c r="EE90" s="405"/>
      <c r="EK90" s="83"/>
      <c r="ES90" s="405"/>
      <c r="EY90" s="83"/>
      <c r="FG90" s="405"/>
      <c r="FM90" s="83"/>
      <c r="FU90" s="405"/>
      <c r="GA90" s="83"/>
      <c r="GI90" s="405"/>
      <c r="GO90" s="83"/>
      <c r="GW90" s="405"/>
      <c r="HC90" s="83"/>
      <c r="HK90" s="405"/>
      <c r="HQ90" s="83"/>
      <c r="HY90" s="405"/>
      <c r="IE90" s="83"/>
      <c r="IM90" s="405"/>
      <c r="IS90" s="83"/>
      <c r="JA90" s="405"/>
      <c r="JG90" s="83"/>
      <c r="JO90" s="405"/>
      <c r="JU90" s="83"/>
      <c r="KC90" s="405"/>
      <c r="KI90" s="83"/>
      <c r="KQ90" s="405"/>
      <c r="KW90" s="83"/>
      <c r="LE90" s="405"/>
      <c r="LK90" s="83"/>
      <c r="LS90" s="405"/>
      <c r="LY90" s="83"/>
      <c r="MG90" s="405"/>
      <c r="MM90" s="83"/>
      <c r="MU90" s="405"/>
      <c r="NA90" s="83"/>
    </row>
    <row r="91">
      <c r="A91" s="483"/>
      <c r="B91" s="380"/>
      <c r="C91" s="380"/>
      <c r="D91" s="380"/>
      <c r="E91" s="380"/>
      <c r="F91" s="380"/>
      <c r="G91" s="380"/>
      <c r="H91" s="380"/>
      <c r="I91" s="403"/>
      <c r="J91" s="380"/>
      <c r="K91" s="380"/>
      <c r="L91" s="380"/>
      <c r="M91" s="380"/>
      <c r="N91" s="380"/>
      <c r="O91" s="404"/>
      <c r="P91" s="380"/>
      <c r="Q91" s="380"/>
      <c r="R91" s="380"/>
      <c r="S91" s="380"/>
      <c r="T91" s="380"/>
      <c r="U91" s="380"/>
      <c r="V91" s="380"/>
      <c r="W91" s="403"/>
      <c r="X91" s="380"/>
      <c r="Y91" s="380"/>
      <c r="Z91" s="380"/>
      <c r="AA91" s="380"/>
      <c r="AB91" s="380"/>
      <c r="AC91" s="404"/>
      <c r="AD91" s="380"/>
      <c r="AE91" s="380"/>
      <c r="AF91" s="380"/>
      <c r="AG91" s="380"/>
      <c r="AH91" s="380"/>
      <c r="AI91" s="380"/>
      <c r="AJ91" s="380"/>
      <c r="AK91" s="403"/>
      <c r="AL91" s="380"/>
      <c r="AM91" s="380"/>
      <c r="AN91" s="380"/>
      <c r="AO91" s="380"/>
      <c r="AP91" s="380"/>
      <c r="AQ91" s="404"/>
      <c r="AR91" s="380"/>
      <c r="AS91" s="380"/>
      <c r="AT91" s="380"/>
      <c r="AU91" s="380"/>
      <c r="AV91" s="380"/>
      <c r="AW91" s="380"/>
      <c r="AX91" s="380"/>
      <c r="AY91" s="403"/>
      <c r="AZ91" s="380"/>
      <c r="BA91" s="380"/>
      <c r="BB91" s="380"/>
      <c r="BC91" s="380"/>
      <c r="BD91" s="380"/>
      <c r="BE91" s="404"/>
      <c r="BF91" s="380"/>
      <c r="BG91" s="380"/>
      <c r="BH91" s="380"/>
      <c r="BI91" s="380"/>
      <c r="BJ91" s="380"/>
      <c r="BK91" s="380"/>
      <c r="BL91" s="380"/>
      <c r="BM91" s="403"/>
      <c r="BS91" s="83"/>
      <c r="CA91" s="405"/>
      <c r="CG91" s="83"/>
      <c r="CO91" s="405"/>
      <c r="CU91" s="83"/>
      <c r="DC91" s="405"/>
      <c r="DI91" s="83"/>
      <c r="DQ91" s="405"/>
      <c r="DW91" s="83"/>
      <c r="EE91" s="405"/>
      <c r="EK91" s="83"/>
      <c r="ES91" s="405"/>
      <c r="EY91" s="83"/>
      <c r="FG91" s="405"/>
      <c r="FM91" s="83"/>
      <c r="FU91" s="405"/>
      <c r="GA91" s="83"/>
      <c r="GI91" s="405"/>
      <c r="GO91" s="83"/>
      <c r="GW91" s="405"/>
      <c r="HC91" s="83"/>
      <c r="HK91" s="405"/>
      <c r="HQ91" s="83"/>
      <c r="HY91" s="405"/>
      <c r="IE91" s="83"/>
      <c r="IM91" s="405"/>
      <c r="IS91" s="83"/>
      <c r="JA91" s="405"/>
      <c r="JG91" s="83"/>
      <c r="JO91" s="405"/>
      <c r="JU91" s="83"/>
      <c r="KC91" s="405"/>
      <c r="KI91" s="83"/>
      <c r="KQ91" s="405"/>
      <c r="KW91" s="83"/>
      <c r="LE91" s="405"/>
      <c r="LK91" s="83"/>
      <c r="LS91" s="405"/>
      <c r="LY91" s="83"/>
      <c r="MG91" s="405"/>
      <c r="MM91" s="83"/>
      <c r="MU91" s="405"/>
      <c r="NA91" s="83"/>
    </row>
    <row r="92">
      <c r="A92" s="483"/>
      <c r="B92" s="380"/>
      <c r="C92" s="380"/>
      <c r="D92" s="380"/>
      <c r="E92" s="380"/>
      <c r="F92" s="380"/>
      <c r="G92" s="380"/>
      <c r="H92" s="380"/>
      <c r="I92" s="403"/>
      <c r="J92" s="380"/>
      <c r="K92" s="380"/>
      <c r="L92" s="380"/>
      <c r="M92" s="380"/>
      <c r="N92" s="380"/>
      <c r="O92" s="404"/>
      <c r="P92" s="380"/>
      <c r="Q92" s="380"/>
      <c r="R92" s="380"/>
      <c r="S92" s="380"/>
      <c r="T92" s="380"/>
      <c r="U92" s="380"/>
      <c r="V92" s="380"/>
      <c r="W92" s="403"/>
      <c r="X92" s="380"/>
      <c r="Y92" s="380"/>
      <c r="Z92" s="380"/>
      <c r="AA92" s="380"/>
      <c r="AB92" s="380"/>
      <c r="AC92" s="404"/>
      <c r="AD92" s="380"/>
      <c r="AE92" s="380"/>
      <c r="AF92" s="380"/>
      <c r="AG92" s="380"/>
      <c r="AH92" s="380"/>
      <c r="AI92" s="380"/>
      <c r="AJ92" s="380"/>
      <c r="AK92" s="403"/>
      <c r="AL92" s="380"/>
      <c r="AM92" s="380"/>
      <c r="AN92" s="380"/>
      <c r="AO92" s="380"/>
      <c r="AP92" s="380"/>
      <c r="AQ92" s="404"/>
      <c r="AR92" s="380"/>
      <c r="AS92" s="380"/>
      <c r="AT92" s="380"/>
      <c r="AU92" s="380"/>
      <c r="AV92" s="380"/>
      <c r="AW92" s="380"/>
      <c r="AX92" s="380"/>
      <c r="AY92" s="403"/>
      <c r="AZ92" s="380"/>
      <c r="BA92" s="380"/>
      <c r="BB92" s="380"/>
      <c r="BC92" s="380"/>
      <c r="BD92" s="380"/>
      <c r="BE92" s="404"/>
      <c r="BF92" s="380"/>
      <c r="BG92" s="380"/>
      <c r="BH92" s="380"/>
      <c r="BI92" s="380"/>
      <c r="BJ92" s="380"/>
      <c r="BK92" s="380"/>
      <c r="BL92" s="380"/>
      <c r="BM92" s="403"/>
      <c r="BS92" s="83"/>
      <c r="CA92" s="405"/>
      <c r="CG92" s="83"/>
      <c r="CO92" s="405"/>
      <c r="CU92" s="83"/>
      <c r="DC92" s="405"/>
      <c r="DI92" s="83"/>
      <c r="DQ92" s="405"/>
      <c r="DW92" s="83"/>
      <c r="EE92" s="405"/>
      <c r="EK92" s="83"/>
      <c r="ES92" s="405"/>
      <c r="EY92" s="83"/>
      <c r="FG92" s="405"/>
      <c r="FM92" s="83"/>
      <c r="FU92" s="405"/>
      <c r="GA92" s="83"/>
      <c r="GI92" s="405"/>
      <c r="GO92" s="83"/>
      <c r="GW92" s="405"/>
      <c r="HC92" s="83"/>
      <c r="HK92" s="405"/>
      <c r="HQ92" s="83"/>
      <c r="HY92" s="405"/>
      <c r="IE92" s="83"/>
      <c r="IM92" s="405"/>
      <c r="IS92" s="83"/>
      <c r="JA92" s="405"/>
      <c r="JG92" s="83"/>
      <c r="JO92" s="405"/>
      <c r="JU92" s="83"/>
      <c r="KC92" s="405"/>
      <c r="KI92" s="83"/>
      <c r="KQ92" s="405"/>
      <c r="KW92" s="83"/>
      <c r="LE92" s="405"/>
      <c r="LK92" s="83"/>
      <c r="LS92" s="405"/>
      <c r="LY92" s="83"/>
      <c r="MG92" s="405"/>
      <c r="MM92" s="83"/>
      <c r="MU92" s="405"/>
      <c r="NA92" s="83"/>
    </row>
    <row r="93">
      <c r="A93" s="483"/>
      <c r="B93" s="380"/>
      <c r="C93" s="380"/>
      <c r="D93" s="380"/>
      <c r="E93" s="380"/>
      <c r="F93" s="380"/>
      <c r="G93" s="380"/>
      <c r="H93" s="380"/>
      <c r="I93" s="403"/>
      <c r="J93" s="380"/>
      <c r="K93" s="380"/>
      <c r="L93" s="380"/>
      <c r="M93" s="380"/>
      <c r="N93" s="380"/>
      <c r="O93" s="404"/>
      <c r="P93" s="380"/>
      <c r="Q93" s="380"/>
      <c r="R93" s="380"/>
      <c r="S93" s="380"/>
      <c r="T93" s="380"/>
      <c r="U93" s="380"/>
      <c r="V93" s="380"/>
      <c r="W93" s="403"/>
      <c r="X93" s="380"/>
      <c r="Y93" s="380"/>
      <c r="Z93" s="380"/>
      <c r="AA93" s="380"/>
      <c r="AB93" s="380"/>
      <c r="AC93" s="404"/>
      <c r="AD93" s="380"/>
      <c r="AE93" s="380"/>
      <c r="AF93" s="380"/>
      <c r="AG93" s="380"/>
      <c r="AH93" s="380"/>
      <c r="AI93" s="380"/>
      <c r="AJ93" s="380"/>
      <c r="AK93" s="403"/>
      <c r="AL93" s="380"/>
      <c r="AM93" s="380"/>
      <c r="AN93" s="380"/>
      <c r="AO93" s="380"/>
      <c r="AP93" s="380"/>
      <c r="AQ93" s="404"/>
      <c r="AR93" s="380"/>
      <c r="AS93" s="380"/>
      <c r="AT93" s="380"/>
      <c r="AU93" s="380"/>
      <c r="AV93" s="380"/>
      <c r="AW93" s="380"/>
      <c r="AX93" s="380"/>
      <c r="AY93" s="403"/>
      <c r="AZ93" s="380"/>
      <c r="BA93" s="380"/>
      <c r="BB93" s="380"/>
      <c r="BC93" s="380"/>
      <c r="BD93" s="380"/>
      <c r="BE93" s="404"/>
      <c r="BF93" s="380"/>
      <c r="BG93" s="380"/>
      <c r="BH93" s="380"/>
      <c r="BI93" s="380"/>
      <c r="BJ93" s="380"/>
      <c r="BK93" s="380"/>
      <c r="BL93" s="380"/>
      <c r="BM93" s="403"/>
      <c r="BS93" s="83"/>
      <c r="CA93" s="405"/>
      <c r="CG93" s="83"/>
      <c r="CO93" s="405"/>
      <c r="CU93" s="83"/>
      <c r="DC93" s="405"/>
      <c r="DI93" s="83"/>
      <c r="DQ93" s="405"/>
      <c r="DW93" s="83"/>
      <c r="EE93" s="405"/>
      <c r="EK93" s="83"/>
      <c r="ES93" s="405"/>
      <c r="EY93" s="83"/>
      <c r="FG93" s="405"/>
      <c r="FM93" s="83"/>
      <c r="FU93" s="405"/>
      <c r="GA93" s="83"/>
      <c r="GI93" s="405"/>
      <c r="GO93" s="83"/>
      <c r="GW93" s="405"/>
      <c r="HC93" s="83"/>
      <c r="HK93" s="405"/>
      <c r="HQ93" s="83"/>
      <c r="HY93" s="405"/>
      <c r="IE93" s="83"/>
      <c r="IM93" s="405"/>
      <c r="IS93" s="83"/>
      <c r="JA93" s="405"/>
      <c r="JG93" s="83"/>
      <c r="JO93" s="405"/>
      <c r="JU93" s="83"/>
      <c r="KC93" s="405"/>
      <c r="KI93" s="83"/>
      <c r="KQ93" s="405"/>
      <c r="KW93" s="83"/>
      <c r="LE93" s="405"/>
      <c r="LK93" s="83"/>
      <c r="LS93" s="405"/>
      <c r="LY93" s="83"/>
      <c r="MG93" s="405"/>
      <c r="MM93" s="83"/>
      <c r="MU93" s="405"/>
      <c r="NA93" s="83"/>
    </row>
    <row r="94">
      <c r="A94" s="483"/>
      <c r="B94" s="380"/>
      <c r="C94" s="380"/>
      <c r="D94" s="380"/>
      <c r="E94" s="380"/>
      <c r="F94" s="380"/>
      <c r="G94" s="380"/>
      <c r="H94" s="380"/>
      <c r="I94" s="403"/>
      <c r="J94" s="380"/>
      <c r="K94" s="380"/>
      <c r="L94" s="380"/>
      <c r="M94" s="380"/>
      <c r="N94" s="380"/>
      <c r="O94" s="404"/>
      <c r="P94" s="380"/>
      <c r="Q94" s="380"/>
      <c r="R94" s="380"/>
      <c r="S94" s="380"/>
      <c r="T94" s="380"/>
      <c r="U94" s="380"/>
      <c r="V94" s="380"/>
      <c r="W94" s="403"/>
      <c r="X94" s="380"/>
      <c r="Y94" s="380"/>
      <c r="Z94" s="380"/>
      <c r="AA94" s="380"/>
      <c r="AB94" s="380"/>
      <c r="AC94" s="404"/>
      <c r="AD94" s="380"/>
      <c r="AE94" s="380"/>
      <c r="AF94" s="380"/>
      <c r="AG94" s="380"/>
      <c r="AH94" s="380"/>
      <c r="AI94" s="380"/>
      <c r="AJ94" s="380"/>
      <c r="AK94" s="403"/>
      <c r="AL94" s="380"/>
      <c r="AM94" s="380"/>
      <c r="AN94" s="380"/>
      <c r="AO94" s="380"/>
      <c r="AP94" s="380"/>
      <c r="AQ94" s="404"/>
      <c r="AR94" s="380"/>
      <c r="AS94" s="380"/>
      <c r="AT94" s="380"/>
      <c r="AU94" s="380"/>
      <c r="AV94" s="380"/>
      <c r="AW94" s="380"/>
      <c r="AX94" s="380"/>
      <c r="AY94" s="403"/>
      <c r="AZ94" s="380"/>
      <c r="BA94" s="380"/>
      <c r="BB94" s="380"/>
      <c r="BC94" s="380"/>
      <c r="BD94" s="380"/>
      <c r="BE94" s="404"/>
      <c r="BF94" s="380"/>
      <c r="BG94" s="380"/>
      <c r="BH94" s="380"/>
      <c r="BI94" s="380"/>
      <c r="BJ94" s="380"/>
      <c r="BK94" s="380"/>
      <c r="BL94" s="380"/>
      <c r="BM94" s="403"/>
      <c r="BS94" s="83"/>
      <c r="CA94" s="405"/>
      <c r="CG94" s="83"/>
      <c r="CO94" s="405"/>
      <c r="CU94" s="83"/>
      <c r="DC94" s="405"/>
      <c r="DI94" s="83"/>
      <c r="DQ94" s="405"/>
      <c r="DW94" s="83"/>
      <c r="EE94" s="405"/>
      <c r="EK94" s="83"/>
      <c r="ES94" s="405"/>
      <c r="EY94" s="83"/>
      <c r="FG94" s="405"/>
      <c r="FM94" s="83"/>
      <c r="FU94" s="405"/>
      <c r="GA94" s="83"/>
      <c r="GI94" s="405"/>
      <c r="GO94" s="83"/>
      <c r="GW94" s="405"/>
      <c r="HC94" s="83"/>
      <c r="HK94" s="405"/>
      <c r="HQ94" s="83"/>
      <c r="HY94" s="405"/>
      <c r="IE94" s="83"/>
      <c r="IM94" s="405"/>
      <c r="IS94" s="83"/>
      <c r="JA94" s="405"/>
      <c r="JG94" s="83"/>
      <c r="JO94" s="405"/>
      <c r="JU94" s="83"/>
      <c r="KC94" s="405"/>
      <c r="KI94" s="83"/>
      <c r="KQ94" s="405"/>
      <c r="KW94" s="83"/>
      <c r="LE94" s="405"/>
      <c r="LK94" s="83"/>
      <c r="LS94" s="405"/>
      <c r="LY94" s="83"/>
      <c r="MG94" s="405"/>
      <c r="MM94" s="83"/>
      <c r="MU94" s="405"/>
      <c r="NA94" s="83"/>
    </row>
    <row r="95">
      <c r="A95" s="483"/>
      <c r="B95" s="380"/>
      <c r="C95" s="380"/>
      <c r="D95" s="380"/>
      <c r="E95" s="380"/>
      <c r="F95" s="380"/>
      <c r="G95" s="380"/>
      <c r="H95" s="380"/>
      <c r="I95" s="403"/>
      <c r="J95" s="380"/>
      <c r="K95" s="380"/>
      <c r="L95" s="380"/>
      <c r="M95" s="380"/>
      <c r="N95" s="380"/>
      <c r="O95" s="404"/>
      <c r="P95" s="380"/>
      <c r="Q95" s="380"/>
      <c r="R95" s="380"/>
      <c r="S95" s="380"/>
      <c r="T95" s="380"/>
      <c r="U95" s="380"/>
      <c r="V95" s="380"/>
      <c r="W95" s="403"/>
      <c r="X95" s="380"/>
      <c r="Y95" s="380"/>
      <c r="Z95" s="380"/>
      <c r="AA95" s="380"/>
      <c r="AB95" s="380"/>
      <c r="AC95" s="404"/>
      <c r="AD95" s="380"/>
      <c r="AE95" s="380"/>
      <c r="AF95" s="380"/>
      <c r="AG95" s="380"/>
      <c r="AH95" s="380"/>
      <c r="AI95" s="380"/>
      <c r="AJ95" s="380"/>
      <c r="AK95" s="403"/>
      <c r="AL95" s="380"/>
      <c r="AM95" s="380"/>
      <c r="AN95" s="380"/>
      <c r="AO95" s="380"/>
      <c r="AP95" s="380"/>
      <c r="AQ95" s="404"/>
      <c r="AR95" s="380"/>
      <c r="AS95" s="380"/>
      <c r="AT95" s="380"/>
      <c r="AU95" s="380"/>
      <c r="AV95" s="380"/>
      <c r="AW95" s="380"/>
      <c r="AX95" s="380"/>
      <c r="AY95" s="403"/>
      <c r="AZ95" s="380"/>
      <c r="BA95" s="380"/>
      <c r="BB95" s="380"/>
      <c r="BC95" s="380"/>
      <c r="BD95" s="380"/>
      <c r="BE95" s="404"/>
      <c r="BF95" s="380"/>
      <c r="BG95" s="380"/>
      <c r="BH95" s="380"/>
      <c r="BI95" s="380"/>
      <c r="BJ95" s="380"/>
      <c r="BK95" s="380"/>
      <c r="BL95" s="380"/>
      <c r="BM95" s="403"/>
      <c r="BS95" s="83"/>
      <c r="CA95" s="405"/>
      <c r="CG95" s="83"/>
      <c r="CO95" s="405"/>
      <c r="CU95" s="83"/>
      <c r="DC95" s="405"/>
      <c r="DI95" s="83"/>
      <c r="DQ95" s="405"/>
      <c r="DW95" s="83"/>
      <c r="EE95" s="405"/>
      <c r="EK95" s="83"/>
      <c r="ES95" s="405"/>
      <c r="EY95" s="83"/>
      <c r="FG95" s="405"/>
      <c r="FM95" s="83"/>
      <c r="FU95" s="405"/>
      <c r="GA95" s="83"/>
      <c r="GI95" s="405"/>
      <c r="GO95" s="83"/>
      <c r="GW95" s="405"/>
      <c r="HC95" s="83"/>
      <c r="HK95" s="405"/>
      <c r="HQ95" s="83"/>
      <c r="HY95" s="405"/>
      <c r="IE95" s="83"/>
      <c r="IM95" s="405"/>
      <c r="IS95" s="83"/>
      <c r="JA95" s="405"/>
      <c r="JG95" s="83"/>
      <c r="JO95" s="405"/>
      <c r="JU95" s="83"/>
      <c r="KC95" s="405"/>
      <c r="KI95" s="83"/>
      <c r="KQ95" s="405"/>
      <c r="KW95" s="83"/>
      <c r="LE95" s="405"/>
      <c r="LK95" s="83"/>
      <c r="LS95" s="405"/>
      <c r="LY95" s="83"/>
      <c r="MG95" s="405"/>
      <c r="MM95" s="83"/>
      <c r="MU95" s="405"/>
      <c r="NA95" s="83"/>
    </row>
    <row r="96">
      <c r="A96" s="483"/>
      <c r="B96" s="380"/>
      <c r="C96" s="380"/>
      <c r="D96" s="380"/>
      <c r="E96" s="380"/>
      <c r="F96" s="380"/>
      <c r="G96" s="380"/>
      <c r="H96" s="380"/>
      <c r="I96" s="403"/>
      <c r="J96" s="380"/>
      <c r="K96" s="380"/>
      <c r="L96" s="380"/>
      <c r="M96" s="380"/>
      <c r="N96" s="380"/>
      <c r="O96" s="404"/>
      <c r="P96" s="380"/>
      <c r="Q96" s="380"/>
      <c r="R96" s="380"/>
      <c r="S96" s="380"/>
      <c r="T96" s="380"/>
      <c r="U96" s="380"/>
      <c r="V96" s="380"/>
      <c r="W96" s="403"/>
      <c r="X96" s="380"/>
      <c r="Y96" s="380"/>
      <c r="Z96" s="380"/>
      <c r="AA96" s="380"/>
      <c r="AB96" s="380"/>
      <c r="AC96" s="404"/>
      <c r="AD96" s="380"/>
      <c r="AE96" s="380"/>
      <c r="AF96" s="380"/>
      <c r="AG96" s="380"/>
      <c r="AH96" s="380"/>
      <c r="AI96" s="380"/>
      <c r="AJ96" s="380"/>
      <c r="AK96" s="403"/>
      <c r="AL96" s="380"/>
      <c r="AM96" s="380"/>
      <c r="AN96" s="380"/>
      <c r="AO96" s="380"/>
      <c r="AP96" s="380"/>
      <c r="AQ96" s="404"/>
      <c r="AR96" s="380"/>
      <c r="AS96" s="380"/>
      <c r="AT96" s="380"/>
      <c r="AU96" s="380"/>
      <c r="AV96" s="380"/>
      <c r="AW96" s="380"/>
      <c r="AX96" s="380"/>
      <c r="AY96" s="403"/>
      <c r="AZ96" s="380"/>
      <c r="BA96" s="380"/>
      <c r="BB96" s="380"/>
      <c r="BC96" s="380"/>
      <c r="BD96" s="380"/>
      <c r="BE96" s="404"/>
      <c r="BF96" s="380"/>
      <c r="BG96" s="380"/>
      <c r="BH96" s="380"/>
      <c r="BI96" s="380"/>
      <c r="BJ96" s="380"/>
      <c r="BK96" s="380"/>
      <c r="BL96" s="380"/>
      <c r="BM96" s="403"/>
      <c r="BS96" s="83"/>
      <c r="CA96" s="405"/>
      <c r="CG96" s="83"/>
      <c r="CO96" s="405"/>
      <c r="CU96" s="83"/>
      <c r="DC96" s="405"/>
      <c r="DI96" s="83"/>
      <c r="DQ96" s="405"/>
      <c r="DW96" s="83"/>
      <c r="EE96" s="405"/>
      <c r="EK96" s="83"/>
      <c r="ES96" s="405"/>
      <c r="EY96" s="83"/>
      <c r="FG96" s="405"/>
      <c r="FM96" s="83"/>
      <c r="FU96" s="405"/>
      <c r="GA96" s="83"/>
      <c r="GI96" s="405"/>
      <c r="GO96" s="83"/>
      <c r="GW96" s="405"/>
      <c r="HC96" s="83"/>
      <c r="HK96" s="405"/>
      <c r="HQ96" s="83"/>
      <c r="HY96" s="405"/>
      <c r="IE96" s="83"/>
      <c r="IM96" s="405"/>
      <c r="IS96" s="83"/>
      <c r="JA96" s="405"/>
      <c r="JG96" s="83"/>
      <c r="JO96" s="405"/>
      <c r="JU96" s="83"/>
      <c r="KC96" s="405"/>
      <c r="KI96" s="83"/>
      <c r="KQ96" s="405"/>
      <c r="KW96" s="83"/>
      <c r="LE96" s="405"/>
      <c r="LK96" s="83"/>
      <c r="LS96" s="405"/>
      <c r="LY96" s="83"/>
      <c r="MG96" s="405"/>
      <c r="MM96" s="83"/>
      <c r="MU96" s="405"/>
      <c r="NA96" s="83"/>
    </row>
    <row r="97">
      <c r="A97" s="483"/>
      <c r="B97" s="380"/>
      <c r="C97" s="380"/>
      <c r="D97" s="380"/>
      <c r="E97" s="380"/>
      <c r="F97" s="380"/>
      <c r="G97" s="380"/>
      <c r="H97" s="380"/>
      <c r="I97" s="403"/>
      <c r="J97" s="380"/>
      <c r="K97" s="380"/>
      <c r="L97" s="380"/>
      <c r="M97" s="380"/>
      <c r="N97" s="380"/>
      <c r="O97" s="404"/>
      <c r="P97" s="380"/>
      <c r="Q97" s="380"/>
      <c r="R97" s="380"/>
      <c r="S97" s="380"/>
      <c r="T97" s="380"/>
      <c r="U97" s="380"/>
      <c r="V97" s="380"/>
      <c r="W97" s="403"/>
      <c r="X97" s="380"/>
      <c r="Y97" s="380"/>
      <c r="Z97" s="380"/>
      <c r="AA97" s="380"/>
      <c r="AB97" s="380"/>
      <c r="AC97" s="404"/>
      <c r="AD97" s="380"/>
      <c r="AE97" s="380"/>
      <c r="AF97" s="380"/>
      <c r="AG97" s="380"/>
      <c r="AH97" s="380"/>
      <c r="AI97" s="380"/>
      <c r="AJ97" s="380"/>
      <c r="AK97" s="403"/>
      <c r="AL97" s="380"/>
      <c r="AM97" s="380"/>
      <c r="AN97" s="380"/>
      <c r="AO97" s="380"/>
      <c r="AP97" s="380"/>
      <c r="AQ97" s="404"/>
      <c r="AR97" s="380"/>
      <c r="AS97" s="380"/>
      <c r="AT97" s="380"/>
      <c r="AU97" s="380"/>
      <c r="AV97" s="380"/>
      <c r="AW97" s="380"/>
      <c r="AX97" s="380"/>
      <c r="AY97" s="403"/>
      <c r="AZ97" s="380"/>
      <c r="BA97" s="380"/>
      <c r="BB97" s="380"/>
      <c r="BC97" s="380"/>
      <c r="BD97" s="380"/>
      <c r="BE97" s="404"/>
      <c r="BF97" s="380"/>
      <c r="BG97" s="380"/>
      <c r="BH97" s="380"/>
      <c r="BI97" s="380"/>
      <c r="BJ97" s="380"/>
      <c r="BK97" s="380"/>
      <c r="BL97" s="380"/>
      <c r="BM97" s="403"/>
      <c r="BS97" s="83"/>
      <c r="CA97" s="405"/>
      <c r="CG97" s="83"/>
      <c r="CO97" s="405"/>
      <c r="CU97" s="83"/>
      <c r="DC97" s="405"/>
      <c r="DI97" s="83"/>
      <c r="DQ97" s="405"/>
      <c r="DW97" s="83"/>
      <c r="EE97" s="405"/>
      <c r="EK97" s="83"/>
      <c r="ES97" s="405"/>
      <c r="EY97" s="83"/>
      <c r="FG97" s="405"/>
      <c r="FM97" s="83"/>
      <c r="FU97" s="405"/>
      <c r="GA97" s="83"/>
      <c r="GI97" s="405"/>
      <c r="GO97" s="83"/>
      <c r="GW97" s="405"/>
      <c r="HC97" s="83"/>
      <c r="HK97" s="405"/>
      <c r="HQ97" s="83"/>
      <c r="HY97" s="405"/>
      <c r="IE97" s="83"/>
      <c r="IM97" s="405"/>
      <c r="IS97" s="83"/>
      <c r="JA97" s="405"/>
      <c r="JG97" s="83"/>
      <c r="JO97" s="405"/>
      <c r="JU97" s="83"/>
      <c r="KC97" s="405"/>
      <c r="KI97" s="83"/>
      <c r="KQ97" s="405"/>
      <c r="KW97" s="83"/>
      <c r="LE97" s="405"/>
      <c r="LK97" s="83"/>
      <c r="LS97" s="405"/>
      <c r="LY97" s="83"/>
      <c r="MG97" s="405"/>
      <c r="MM97" s="83"/>
      <c r="MU97" s="405"/>
      <c r="NA97" s="83"/>
    </row>
    <row r="98">
      <c r="A98" s="483"/>
      <c r="B98" s="380"/>
      <c r="C98" s="380"/>
      <c r="D98" s="380"/>
      <c r="E98" s="380"/>
      <c r="F98" s="380"/>
      <c r="G98" s="380"/>
      <c r="H98" s="380"/>
      <c r="I98" s="403"/>
      <c r="J98" s="380"/>
      <c r="K98" s="380"/>
      <c r="L98" s="380"/>
      <c r="M98" s="380"/>
      <c r="N98" s="380"/>
      <c r="O98" s="404"/>
      <c r="P98" s="380"/>
      <c r="Q98" s="380"/>
      <c r="R98" s="380"/>
      <c r="S98" s="380"/>
      <c r="T98" s="380"/>
      <c r="U98" s="380"/>
      <c r="V98" s="380"/>
      <c r="W98" s="403"/>
      <c r="X98" s="380"/>
      <c r="Y98" s="380"/>
      <c r="Z98" s="380"/>
      <c r="AA98" s="380"/>
      <c r="AB98" s="380"/>
      <c r="AC98" s="404"/>
      <c r="AD98" s="380"/>
      <c r="AE98" s="380"/>
      <c r="AF98" s="380"/>
      <c r="AG98" s="380"/>
      <c r="AH98" s="380"/>
      <c r="AI98" s="380"/>
      <c r="AJ98" s="380"/>
      <c r="AK98" s="403"/>
      <c r="AL98" s="380"/>
      <c r="AM98" s="380"/>
      <c r="AN98" s="380"/>
      <c r="AO98" s="380"/>
      <c r="AP98" s="380"/>
      <c r="AQ98" s="404"/>
      <c r="AR98" s="380"/>
      <c r="AS98" s="380"/>
      <c r="AT98" s="380"/>
      <c r="AU98" s="380"/>
      <c r="AV98" s="380"/>
      <c r="AW98" s="380"/>
      <c r="AX98" s="380"/>
      <c r="AY98" s="403"/>
      <c r="AZ98" s="380"/>
      <c r="BA98" s="380"/>
      <c r="BB98" s="380"/>
      <c r="BC98" s="380"/>
      <c r="BD98" s="380"/>
      <c r="BE98" s="404"/>
      <c r="BF98" s="380"/>
      <c r="BG98" s="380"/>
      <c r="BH98" s="380"/>
      <c r="BI98" s="380"/>
      <c r="BJ98" s="380"/>
      <c r="BK98" s="380"/>
      <c r="BL98" s="380"/>
      <c r="BM98" s="403"/>
      <c r="BS98" s="83"/>
      <c r="CA98" s="405"/>
      <c r="CG98" s="83"/>
      <c r="CO98" s="405"/>
      <c r="CU98" s="83"/>
      <c r="DC98" s="405"/>
      <c r="DI98" s="83"/>
      <c r="DQ98" s="405"/>
      <c r="DW98" s="83"/>
      <c r="EE98" s="405"/>
      <c r="EK98" s="83"/>
      <c r="ES98" s="405"/>
      <c r="EY98" s="83"/>
      <c r="FG98" s="405"/>
      <c r="FM98" s="83"/>
      <c r="FU98" s="405"/>
      <c r="GA98" s="83"/>
      <c r="GI98" s="405"/>
      <c r="GO98" s="83"/>
      <c r="GW98" s="405"/>
      <c r="HC98" s="83"/>
      <c r="HK98" s="405"/>
      <c r="HQ98" s="83"/>
      <c r="HY98" s="405"/>
      <c r="IE98" s="83"/>
      <c r="IM98" s="405"/>
      <c r="IS98" s="83"/>
      <c r="JA98" s="405"/>
      <c r="JG98" s="83"/>
      <c r="JO98" s="405"/>
      <c r="JU98" s="83"/>
      <c r="KC98" s="405"/>
      <c r="KI98" s="83"/>
      <c r="KQ98" s="405"/>
      <c r="KW98" s="83"/>
      <c r="LE98" s="405"/>
      <c r="LK98" s="83"/>
      <c r="LS98" s="405"/>
      <c r="LY98" s="83"/>
      <c r="MG98" s="405"/>
      <c r="MM98" s="83"/>
      <c r="MU98" s="405"/>
      <c r="NA98" s="83"/>
    </row>
    <row r="99">
      <c r="A99" s="483"/>
      <c r="B99" s="380"/>
      <c r="C99" s="380"/>
      <c r="D99" s="380"/>
      <c r="E99" s="380"/>
      <c r="F99" s="380"/>
      <c r="G99" s="380"/>
      <c r="H99" s="380"/>
      <c r="I99" s="403"/>
      <c r="J99" s="380"/>
      <c r="K99" s="380"/>
      <c r="L99" s="380"/>
      <c r="M99" s="380"/>
      <c r="N99" s="380"/>
      <c r="O99" s="404"/>
      <c r="P99" s="380"/>
      <c r="Q99" s="380"/>
      <c r="R99" s="380"/>
      <c r="S99" s="380"/>
      <c r="T99" s="380"/>
      <c r="U99" s="380"/>
      <c r="V99" s="380"/>
      <c r="W99" s="403"/>
      <c r="X99" s="380"/>
      <c r="Y99" s="380"/>
      <c r="Z99" s="380"/>
      <c r="AA99" s="380"/>
      <c r="AB99" s="380"/>
      <c r="AC99" s="404"/>
      <c r="AD99" s="380"/>
      <c r="AE99" s="380"/>
      <c r="AF99" s="380"/>
      <c r="AG99" s="380"/>
      <c r="AH99" s="380"/>
      <c r="AI99" s="380"/>
      <c r="AJ99" s="380"/>
      <c r="AK99" s="403"/>
      <c r="AL99" s="380"/>
      <c r="AM99" s="380"/>
      <c r="AN99" s="380"/>
      <c r="AO99" s="380"/>
      <c r="AP99" s="380"/>
      <c r="AQ99" s="404"/>
      <c r="AR99" s="380"/>
      <c r="AS99" s="380"/>
      <c r="AT99" s="380"/>
      <c r="AU99" s="380"/>
      <c r="AV99" s="380"/>
      <c r="AW99" s="380"/>
      <c r="AX99" s="380"/>
      <c r="AY99" s="403"/>
      <c r="AZ99" s="380"/>
      <c r="BA99" s="380"/>
      <c r="BB99" s="380"/>
      <c r="BC99" s="380"/>
      <c r="BD99" s="380"/>
      <c r="BE99" s="404"/>
      <c r="BF99" s="380"/>
      <c r="BG99" s="380"/>
      <c r="BH99" s="380"/>
      <c r="BI99" s="380"/>
      <c r="BJ99" s="380"/>
      <c r="BK99" s="380"/>
      <c r="BL99" s="380"/>
      <c r="BM99" s="403"/>
      <c r="BS99" s="83"/>
      <c r="CA99" s="405"/>
      <c r="CG99" s="83"/>
      <c r="CO99" s="405"/>
      <c r="CU99" s="83"/>
      <c r="DC99" s="405"/>
      <c r="DI99" s="83"/>
      <c r="DQ99" s="405"/>
      <c r="DW99" s="83"/>
      <c r="EE99" s="405"/>
      <c r="EK99" s="83"/>
      <c r="ES99" s="405"/>
      <c r="EY99" s="83"/>
      <c r="FG99" s="405"/>
      <c r="FM99" s="83"/>
      <c r="FU99" s="405"/>
      <c r="GA99" s="83"/>
      <c r="GI99" s="405"/>
      <c r="GO99" s="83"/>
      <c r="GW99" s="405"/>
      <c r="HC99" s="83"/>
      <c r="HK99" s="405"/>
      <c r="HQ99" s="83"/>
      <c r="HY99" s="405"/>
      <c r="IE99" s="83"/>
      <c r="IM99" s="405"/>
      <c r="IS99" s="83"/>
      <c r="JA99" s="405"/>
      <c r="JG99" s="83"/>
      <c r="JO99" s="405"/>
      <c r="JU99" s="83"/>
      <c r="KC99" s="405"/>
      <c r="KI99" s="83"/>
      <c r="KQ99" s="405"/>
      <c r="KW99" s="83"/>
      <c r="LE99" s="405"/>
      <c r="LK99" s="83"/>
      <c r="LS99" s="405"/>
      <c r="LY99" s="83"/>
      <c r="MG99" s="405"/>
      <c r="MM99" s="83"/>
      <c r="MU99" s="405"/>
      <c r="NA99" s="83"/>
    </row>
    <row r="100">
      <c r="A100" s="483"/>
      <c r="B100" s="380"/>
      <c r="C100" s="380"/>
      <c r="D100" s="380"/>
      <c r="E100" s="380"/>
      <c r="F100" s="380"/>
      <c r="G100" s="380"/>
      <c r="H100" s="380"/>
      <c r="I100" s="403"/>
      <c r="J100" s="380"/>
      <c r="K100" s="380"/>
      <c r="L100" s="380"/>
      <c r="M100" s="380"/>
      <c r="N100" s="380"/>
      <c r="O100" s="404"/>
      <c r="P100" s="380"/>
      <c r="Q100" s="380"/>
      <c r="R100" s="380"/>
      <c r="S100" s="380"/>
      <c r="T100" s="380"/>
      <c r="U100" s="380"/>
      <c r="V100" s="380"/>
      <c r="W100" s="403"/>
      <c r="X100" s="380"/>
      <c r="Y100" s="380"/>
      <c r="Z100" s="380"/>
      <c r="AA100" s="380"/>
      <c r="AB100" s="380"/>
      <c r="AC100" s="404"/>
      <c r="AD100" s="380"/>
      <c r="AE100" s="380"/>
      <c r="AF100" s="380"/>
      <c r="AG100" s="380"/>
      <c r="AH100" s="380"/>
      <c r="AI100" s="380"/>
      <c r="AJ100" s="380"/>
      <c r="AK100" s="403"/>
      <c r="AL100" s="380"/>
      <c r="AM100" s="380"/>
      <c r="AN100" s="380"/>
      <c r="AO100" s="380"/>
      <c r="AP100" s="380"/>
      <c r="AQ100" s="404"/>
      <c r="AR100" s="380"/>
      <c r="AS100" s="380"/>
      <c r="AT100" s="380"/>
      <c r="AU100" s="380"/>
      <c r="AV100" s="380"/>
      <c r="AW100" s="380"/>
      <c r="AX100" s="380"/>
      <c r="AY100" s="403"/>
      <c r="AZ100" s="380"/>
      <c r="BA100" s="380"/>
      <c r="BB100" s="380"/>
      <c r="BC100" s="380"/>
      <c r="BD100" s="380"/>
      <c r="BE100" s="404"/>
      <c r="BF100" s="380"/>
      <c r="BG100" s="380"/>
      <c r="BH100" s="380"/>
      <c r="BI100" s="380"/>
      <c r="BJ100" s="380"/>
      <c r="BK100" s="380"/>
      <c r="BL100" s="380"/>
      <c r="BM100" s="403"/>
      <c r="BS100" s="83"/>
      <c r="CA100" s="405"/>
      <c r="CG100" s="83"/>
      <c r="CO100" s="405"/>
      <c r="CU100" s="83"/>
      <c r="DC100" s="405"/>
      <c r="DI100" s="83"/>
      <c r="DQ100" s="405"/>
      <c r="DW100" s="83"/>
      <c r="EE100" s="405"/>
      <c r="EK100" s="83"/>
      <c r="ES100" s="405"/>
      <c r="EY100" s="83"/>
      <c r="FG100" s="405"/>
      <c r="FM100" s="83"/>
      <c r="FU100" s="405"/>
      <c r="GA100" s="83"/>
      <c r="GI100" s="405"/>
      <c r="GO100" s="83"/>
      <c r="GW100" s="405"/>
      <c r="HC100" s="83"/>
      <c r="HK100" s="405"/>
      <c r="HQ100" s="83"/>
      <c r="HY100" s="405"/>
      <c r="IE100" s="83"/>
      <c r="IM100" s="405"/>
      <c r="IS100" s="83"/>
      <c r="JA100" s="405"/>
      <c r="JG100" s="83"/>
      <c r="JO100" s="405"/>
      <c r="JU100" s="83"/>
      <c r="KC100" s="405"/>
      <c r="KI100" s="83"/>
      <c r="KQ100" s="405"/>
      <c r="KW100" s="83"/>
      <c r="LE100" s="405"/>
      <c r="LK100" s="83"/>
      <c r="LS100" s="405"/>
      <c r="LY100" s="83"/>
      <c r="MG100" s="405"/>
      <c r="MM100" s="83"/>
      <c r="MU100" s="405"/>
      <c r="NA100" s="83"/>
    </row>
    <row r="101">
      <c r="A101" s="483"/>
      <c r="B101" s="380"/>
      <c r="C101" s="380"/>
      <c r="D101" s="380"/>
      <c r="E101" s="380"/>
      <c r="F101" s="380"/>
      <c r="G101" s="380"/>
      <c r="H101" s="380"/>
      <c r="I101" s="403"/>
      <c r="J101" s="380"/>
      <c r="K101" s="380"/>
      <c r="L101" s="380"/>
      <c r="M101" s="380"/>
      <c r="N101" s="380"/>
      <c r="O101" s="404"/>
      <c r="P101" s="380"/>
      <c r="Q101" s="380"/>
      <c r="R101" s="380"/>
      <c r="S101" s="380"/>
      <c r="T101" s="380"/>
      <c r="U101" s="380"/>
      <c r="V101" s="380"/>
      <c r="W101" s="403"/>
      <c r="X101" s="380"/>
      <c r="Y101" s="380"/>
      <c r="Z101" s="380"/>
      <c r="AA101" s="380"/>
      <c r="AB101" s="380"/>
      <c r="AC101" s="404"/>
      <c r="AD101" s="380"/>
      <c r="AE101" s="380"/>
      <c r="AF101" s="380"/>
      <c r="AG101" s="380"/>
      <c r="AH101" s="380"/>
      <c r="AI101" s="380"/>
      <c r="AJ101" s="380"/>
      <c r="AK101" s="403"/>
      <c r="AL101" s="380"/>
      <c r="AM101" s="380"/>
      <c r="AN101" s="380"/>
      <c r="AO101" s="380"/>
      <c r="AP101" s="380"/>
      <c r="AQ101" s="404"/>
      <c r="AR101" s="380"/>
      <c r="AS101" s="380"/>
      <c r="AT101" s="380"/>
      <c r="AU101" s="380"/>
      <c r="AV101" s="380"/>
      <c r="AW101" s="380"/>
      <c r="AX101" s="380"/>
      <c r="AY101" s="403"/>
      <c r="AZ101" s="380"/>
      <c r="BA101" s="380"/>
      <c r="BB101" s="380"/>
      <c r="BC101" s="380"/>
      <c r="BD101" s="380"/>
      <c r="BE101" s="404"/>
      <c r="BF101" s="380"/>
      <c r="BG101" s="380"/>
      <c r="BH101" s="380"/>
      <c r="BI101" s="380"/>
      <c r="BJ101" s="380"/>
      <c r="BK101" s="380"/>
      <c r="BL101" s="380"/>
      <c r="BM101" s="403"/>
      <c r="BS101" s="83"/>
      <c r="CA101" s="405"/>
      <c r="CG101" s="83"/>
      <c r="CO101" s="405"/>
      <c r="CU101" s="83"/>
      <c r="DC101" s="405"/>
      <c r="DI101" s="83"/>
      <c r="DQ101" s="405"/>
      <c r="DW101" s="83"/>
      <c r="EE101" s="405"/>
      <c r="EK101" s="83"/>
      <c r="ES101" s="405"/>
      <c r="EY101" s="83"/>
      <c r="FG101" s="405"/>
      <c r="FM101" s="83"/>
      <c r="FU101" s="405"/>
      <c r="GA101" s="83"/>
      <c r="GI101" s="405"/>
      <c r="GO101" s="83"/>
      <c r="GW101" s="405"/>
      <c r="HC101" s="83"/>
      <c r="HK101" s="405"/>
      <c r="HQ101" s="83"/>
      <c r="HY101" s="405"/>
      <c r="IE101" s="83"/>
      <c r="IM101" s="405"/>
      <c r="IS101" s="83"/>
      <c r="JA101" s="405"/>
      <c r="JG101" s="83"/>
      <c r="JO101" s="405"/>
      <c r="JU101" s="83"/>
      <c r="KC101" s="405"/>
      <c r="KI101" s="83"/>
      <c r="KQ101" s="405"/>
      <c r="KW101" s="83"/>
      <c r="LE101" s="405"/>
      <c r="LK101" s="83"/>
      <c r="LS101" s="405"/>
      <c r="LY101" s="83"/>
      <c r="MG101" s="405"/>
      <c r="MM101" s="83"/>
      <c r="MU101" s="405"/>
      <c r="NA101" s="83"/>
    </row>
    <row r="102">
      <c r="A102" s="483"/>
      <c r="B102" s="380"/>
      <c r="C102" s="380"/>
      <c r="D102" s="380"/>
      <c r="E102" s="380"/>
      <c r="F102" s="380"/>
      <c r="G102" s="380"/>
      <c r="H102" s="380"/>
      <c r="I102" s="403"/>
      <c r="J102" s="380"/>
      <c r="K102" s="380"/>
      <c r="L102" s="380"/>
      <c r="M102" s="380"/>
      <c r="N102" s="380"/>
      <c r="O102" s="404"/>
      <c r="P102" s="380"/>
      <c r="Q102" s="380"/>
      <c r="R102" s="380"/>
      <c r="S102" s="380"/>
      <c r="T102" s="380"/>
      <c r="U102" s="380"/>
      <c r="V102" s="380"/>
      <c r="W102" s="403"/>
      <c r="X102" s="380"/>
      <c r="Y102" s="380"/>
      <c r="Z102" s="380"/>
      <c r="AA102" s="380"/>
      <c r="AB102" s="380"/>
      <c r="AC102" s="404"/>
      <c r="AD102" s="380"/>
      <c r="AE102" s="380"/>
      <c r="AF102" s="380"/>
      <c r="AG102" s="380"/>
      <c r="AH102" s="380"/>
      <c r="AI102" s="380"/>
      <c r="AJ102" s="380"/>
      <c r="AK102" s="403"/>
      <c r="AL102" s="380"/>
      <c r="AM102" s="380"/>
      <c r="AN102" s="380"/>
      <c r="AO102" s="380"/>
      <c r="AP102" s="380"/>
      <c r="AQ102" s="404"/>
      <c r="AR102" s="380"/>
      <c r="AS102" s="380"/>
      <c r="AT102" s="380"/>
      <c r="AU102" s="380"/>
      <c r="AV102" s="380"/>
      <c r="AW102" s="380"/>
      <c r="AX102" s="380"/>
      <c r="AY102" s="403"/>
      <c r="AZ102" s="380"/>
      <c r="BA102" s="380"/>
      <c r="BB102" s="380"/>
      <c r="BC102" s="380"/>
      <c r="BD102" s="380"/>
      <c r="BE102" s="404"/>
      <c r="BF102" s="380"/>
      <c r="BG102" s="380"/>
      <c r="BH102" s="380"/>
      <c r="BI102" s="380"/>
      <c r="BJ102" s="380"/>
      <c r="BK102" s="380"/>
      <c r="BL102" s="380"/>
      <c r="BM102" s="403"/>
      <c r="BS102" s="83"/>
      <c r="CA102" s="405"/>
      <c r="CG102" s="83"/>
      <c r="CO102" s="405"/>
      <c r="CU102" s="83"/>
      <c r="DC102" s="405"/>
      <c r="DI102" s="83"/>
      <c r="DQ102" s="405"/>
      <c r="DW102" s="83"/>
      <c r="EE102" s="405"/>
      <c r="EK102" s="83"/>
      <c r="ES102" s="405"/>
      <c r="EY102" s="83"/>
      <c r="FG102" s="405"/>
      <c r="FM102" s="83"/>
      <c r="FU102" s="405"/>
      <c r="GA102" s="83"/>
      <c r="GI102" s="405"/>
      <c r="GO102" s="83"/>
      <c r="GW102" s="405"/>
      <c r="HC102" s="83"/>
      <c r="HK102" s="405"/>
      <c r="HQ102" s="83"/>
      <c r="HY102" s="405"/>
      <c r="IE102" s="83"/>
      <c r="IM102" s="405"/>
      <c r="IS102" s="83"/>
      <c r="JA102" s="405"/>
      <c r="JG102" s="83"/>
      <c r="JO102" s="405"/>
      <c r="JU102" s="83"/>
      <c r="KC102" s="405"/>
      <c r="KI102" s="83"/>
      <c r="KQ102" s="405"/>
      <c r="KW102" s="83"/>
      <c r="LE102" s="405"/>
      <c r="LK102" s="83"/>
      <c r="LS102" s="405"/>
      <c r="LY102" s="83"/>
      <c r="MG102" s="405"/>
      <c r="MM102" s="83"/>
      <c r="MU102" s="405"/>
      <c r="NA102" s="83"/>
    </row>
    <row r="103">
      <c r="A103" s="483"/>
      <c r="B103" s="380"/>
      <c r="C103" s="380"/>
      <c r="D103" s="380"/>
      <c r="E103" s="380"/>
      <c r="F103" s="380"/>
      <c r="G103" s="380"/>
      <c r="H103" s="380"/>
      <c r="I103" s="403"/>
      <c r="J103" s="380"/>
      <c r="K103" s="380"/>
      <c r="L103" s="380"/>
      <c r="M103" s="380"/>
      <c r="N103" s="380"/>
      <c r="O103" s="404"/>
      <c r="P103" s="380"/>
      <c r="Q103" s="380"/>
      <c r="R103" s="380"/>
      <c r="S103" s="380"/>
      <c r="T103" s="380"/>
      <c r="U103" s="380"/>
      <c r="V103" s="380"/>
      <c r="W103" s="403"/>
      <c r="X103" s="380"/>
      <c r="Y103" s="380"/>
      <c r="Z103" s="380"/>
      <c r="AA103" s="380"/>
      <c r="AB103" s="380"/>
      <c r="AC103" s="404"/>
      <c r="AD103" s="380"/>
      <c r="AE103" s="380"/>
      <c r="AF103" s="380"/>
      <c r="AG103" s="380"/>
      <c r="AH103" s="380"/>
      <c r="AI103" s="380"/>
      <c r="AJ103" s="380"/>
      <c r="AK103" s="403"/>
      <c r="AL103" s="380"/>
      <c r="AM103" s="380"/>
      <c r="AN103" s="380"/>
      <c r="AO103" s="380"/>
      <c r="AP103" s="380"/>
      <c r="AQ103" s="404"/>
      <c r="AR103" s="380"/>
      <c r="AS103" s="380"/>
      <c r="AT103" s="380"/>
      <c r="AU103" s="380"/>
      <c r="AV103" s="380"/>
      <c r="AW103" s="380"/>
      <c r="AX103" s="380"/>
      <c r="AY103" s="403"/>
      <c r="AZ103" s="380"/>
      <c r="BA103" s="380"/>
      <c r="BB103" s="380"/>
      <c r="BC103" s="380"/>
      <c r="BD103" s="380"/>
      <c r="BE103" s="404"/>
      <c r="BF103" s="380"/>
      <c r="BG103" s="380"/>
      <c r="BH103" s="380"/>
      <c r="BI103" s="380"/>
      <c r="BJ103" s="380"/>
      <c r="BK103" s="380"/>
      <c r="BL103" s="380"/>
      <c r="BM103" s="403"/>
      <c r="BS103" s="83"/>
      <c r="CA103" s="405"/>
      <c r="CG103" s="83"/>
      <c r="CO103" s="405"/>
      <c r="CU103" s="83"/>
      <c r="DC103" s="405"/>
      <c r="DI103" s="83"/>
      <c r="DQ103" s="405"/>
      <c r="DW103" s="83"/>
      <c r="EE103" s="405"/>
      <c r="EK103" s="83"/>
      <c r="ES103" s="405"/>
      <c r="EY103" s="83"/>
      <c r="FG103" s="405"/>
      <c r="FM103" s="83"/>
      <c r="FU103" s="405"/>
      <c r="GA103" s="83"/>
      <c r="GI103" s="405"/>
      <c r="GO103" s="83"/>
      <c r="GW103" s="405"/>
      <c r="HC103" s="83"/>
      <c r="HK103" s="405"/>
      <c r="HQ103" s="83"/>
      <c r="HY103" s="405"/>
      <c r="IE103" s="83"/>
      <c r="IM103" s="405"/>
      <c r="IS103" s="83"/>
      <c r="JA103" s="405"/>
      <c r="JG103" s="83"/>
      <c r="JO103" s="405"/>
      <c r="JU103" s="83"/>
      <c r="KC103" s="405"/>
      <c r="KI103" s="83"/>
      <c r="KQ103" s="405"/>
      <c r="KW103" s="83"/>
      <c r="LE103" s="405"/>
      <c r="LK103" s="83"/>
      <c r="LS103" s="405"/>
      <c r="LY103" s="83"/>
      <c r="MG103" s="405"/>
      <c r="MM103" s="83"/>
      <c r="MU103" s="405"/>
      <c r="NA103" s="83"/>
    </row>
    <row r="104">
      <c r="A104" s="483"/>
      <c r="B104" s="380"/>
      <c r="C104" s="380"/>
      <c r="D104" s="380"/>
      <c r="E104" s="380"/>
      <c r="F104" s="380"/>
      <c r="G104" s="380"/>
      <c r="H104" s="380"/>
      <c r="I104" s="403"/>
      <c r="J104" s="380"/>
      <c r="K104" s="380"/>
      <c r="L104" s="380"/>
      <c r="M104" s="380"/>
      <c r="N104" s="380"/>
      <c r="O104" s="404"/>
      <c r="P104" s="380"/>
      <c r="Q104" s="380"/>
      <c r="R104" s="380"/>
      <c r="S104" s="380"/>
      <c r="T104" s="380"/>
      <c r="U104" s="380"/>
      <c r="V104" s="380"/>
      <c r="W104" s="403"/>
      <c r="X104" s="380"/>
      <c r="Y104" s="380"/>
      <c r="Z104" s="380"/>
      <c r="AA104" s="380"/>
      <c r="AB104" s="380"/>
      <c r="AC104" s="404"/>
      <c r="AD104" s="380"/>
      <c r="AE104" s="380"/>
      <c r="AF104" s="380"/>
      <c r="AG104" s="380"/>
      <c r="AH104" s="380"/>
      <c r="AI104" s="380"/>
      <c r="AJ104" s="380"/>
      <c r="AK104" s="403"/>
      <c r="AL104" s="380"/>
      <c r="AM104" s="380"/>
      <c r="AN104" s="380"/>
      <c r="AO104" s="380"/>
      <c r="AP104" s="380"/>
      <c r="AQ104" s="404"/>
      <c r="AR104" s="380"/>
      <c r="AS104" s="380"/>
      <c r="AT104" s="380"/>
      <c r="AU104" s="380"/>
      <c r="AV104" s="380"/>
      <c r="AW104" s="380"/>
      <c r="AX104" s="380"/>
      <c r="AY104" s="403"/>
      <c r="AZ104" s="380"/>
      <c r="BA104" s="380"/>
      <c r="BB104" s="380"/>
      <c r="BC104" s="380"/>
      <c r="BD104" s="380"/>
      <c r="BE104" s="404"/>
      <c r="BF104" s="380"/>
      <c r="BG104" s="380"/>
      <c r="BH104" s="380"/>
      <c r="BI104" s="380"/>
      <c r="BJ104" s="380"/>
      <c r="BK104" s="380"/>
      <c r="BL104" s="380"/>
      <c r="BM104" s="403"/>
      <c r="BS104" s="83"/>
      <c r="CA104" s="405"/>
      <c r="CG104" s="83"/>
      <c r="CO104" s="405"/>
      <c r="CU104" s="83"/>
      <c r="DC104" s="405"/>
      <c r="DI104" s="83"/>
      <c r="DQ104" s="405"/>
      <c r="DW104" s="83"/>
      <c r="EE104" s="405"/>
      <c r="EK104" s="83"/>
      <c r="ES104" s="405"/>
      <c r="EY104" s="83"/>
      <c r="FG104" s="405"/>
      <c r="FM104" s="83"/>
      <c r="FU104" s="405"/>
      <c r="GA104" s="83"/>
      <c r="GI104" s="405"/>
      <c r="GO104" s="83"/>
      <c r="GW104" s="405"/>
      <c r="HC104" s="83"/>
      <c r="HK104" s="405"/>
      <c r="HQ104" s="83"/>
      <c r="HY104" s="405"/>
      <c r="IE104" s="83"/>
      <c r="IM104" s="405"/>
      <c r="IS104" s="83"/>
      <c r="JA104" s="405"/>
      <c r="JG104" s="83"/>
      <c r="JO104" s="405"/>
      <c r="JU104" s="83"/>
      <c r="KC104" s="405"/>
      <c r="KI104" s="83"/>
      <c r="KQ104" s="405"/>
      <c r="KW104" s="83"/>
      <c r="LE104" s="405"/>
      <c r="LK104" s="83"/>
      <c r="LS104" s="405"/>
      <c r="LY104" s="83"/>
      <c r="MG104" s="405"/>
      <c r="MM104" s="83"/>
      <c r="MU104" s="405"/>
      <c r="NA104" s="83"/>
    </row>
    <row r="105">
      <c r="A105" s="483"/>
      <c r="B105" s="380"/>
      <c r="C105" s="380"/>
      <c r="D105" s="380"/>
      <c r="E105" s="380"/>
      <c r="F105" s="380"/>
      <c r="G105" s="380"/>
      <c r="H105" s="380"/>
      <c r="I105" s="403"/>
      <c r="J105" s="380"/>
      <c r="K105" s="380"/>
      <c r="L105" s="380"/>
      <c r="M105" s="380"/>
      <c r="N105" s="380"/>
      <c r="O105" s="404"/>
      <c r="P105" s="380"/>
      <c r="Q105" s="380"/>
      <c r="R105" s="380"/>
      <c r="S105" s="380"/>
      <c r="T105" s="380"/>
      <c r="U105" s="380"/>
      <c r="V105" s="380"/>
      <c r="W105" s="403"/>
      <c r="X105" s="380"/>
      <c r="Y105" s="380"/>
      <c r="Z105" s="380"/>
      <c r="AA105" s="380"/>
      <c r="AB105" s="380"/>
      <c r="AC105" s="404"/>
      <c r="AD105" s="380"/>
      <c r="AE105" s="380"/>
      <c r="AF105" s="380"/>
      <c r="AG105" s="380"/>
      <c r="AH105" s="380"/>
      <c r="AI105" s="380"/>
      <c r="AJ105" s="380"/>
      <c r="AK105" s="403"/>
      <c r="AL105" s="380"/>
      <c r="AM105" s="380"/>
      <c r="AN105" s="380"/>
      <c r="AO105" s="380"/>
      <c r="AP105" s="380"/>
      <c r="AQ105" s="404"/>
      <c r="AR105" s="380"/>
      <c r="AS105" s="380"/>
      <c r="AT105" s="380"/>
      <c r="AU105" s="380"/>
      <c r="AV105" s="380"/>
      <c r="AW105" s="380"/>
      <c r="AX105" s="380"/>
      <c r="AY105" s="403"/>
      <c r="AZ105" s="380"/>
      <c r="BA105" s="380"/>
      <c r="BB105" s="380"/>
      <c r="BC105" s="380"/>
      <c r="BD105" s="380"/>
      <c r="BE105" s="404"/>
      <c r="BF105" s="380"/>
      <c r="BG105" s="380"/>
      <c r="BH105" s="380"/>
      <c r="BI105" s="380"/>
      <c r="BJ105" s="380"/>
      <c r="BK105" s="380"/>
      <c r="BL105" s="380"/>
      <c r="BM105" s="403"/>
      <c r="BS105" s="83"/>
      <c r="CA105" s="405"/>
      <c r="CG105" s="83"/>
      <c r="CO105" s="405"/>
      <c r="CU105" s="83"/>
      <c r="DC105" s="405"/>
      <c r="DI105" s="83"/>
      <c r="DQ105" s="405"/>
      <c r="DW105" s="83"/>
      <c r="EE105" s="405"/>
      <c r="EK105" s="83"/>
      <c r="ES105" s="405"/>
      <c r="EY105" s="83"/>
      <c r="FG105" s="405"/>
      <c r="FM105" s="83"/>
      <c r="FU105" s="405"/>
      <c r="GA105" s="83"/>
      <c r="GI105" s="405"/>
      <c r="GO105" s="83"/>
      <c r="GW105" s="405"/>
      <c r="HC105" s="83"/>
      <c r="HK105" s="405"/>
      <c r="HQ105" s="83"/>
      <c r="HY105" s="405"/>
      <c r="IE105" s="83"/>
      <c r="IM105" s="405"/>
      <c r="IS105" s="83"/>
      <c r="JA105" s="405"/>
      <c r="JG105" s="83"/>
      <c r="JO105" s="405"/>
      <c r="JU105" s="83"/>
      <c r="KC105" s="405"/>
      <c r="KI105" s="83"/>
      <c r="KQ105" s="405"/>
      <c r="KW105" s="83"/>
      <c r="LE105" s="405"/>
      <c r="LK105" s="83"/>
      <c r="LS105" s="405"/>
      <c r="LY105" s="83"/>
      <c r="MG105" s="405"/>
      <c r="MM105" s="83"/>
      <c r="MU105" s="405"/>
      <c r="NA105" s="83"/>
    </row>
    <row r="106">
      <c r="A106" s="483"/>
      <c r="B106" s="380"/>
      <c r="C106" s="380"/>
      <c r="D106" s="380"/>
      <c r="E106" s="380"/>
      <c r="F106" s="380"/>
      <c r="G106" s="380"/>
      <c r="H106" s="380"/>
      <c r="I106" s="403"/>
      <c r="J106" s="380"/>
      <c r="K106" s="380"/>
      <c r="L106" s="380"/>
      <c r="M106" s="380"/>
      <c r="N106" s="380"/>
      <c r="O106" s="404"/>
      <c r="P106" s="380"/>
      <c r="Q106" s="380"/>
      <c r="R106" s="380"/>
      <c r="S106" s="380"/>
      <c r="T106" s="380"/>
      <c r="U106" s="380"/>
      <c r="V106" s="380"/>
      <c r="W106" s="403"/>
      <c r="X106" s="380"/>
      <c r="Y106" s="380"/>
      <c r="Z106" s="380"/>
      <c r="AA106" s="380"/>
      <c r="AB106" s="380"/>
      <c r="AC106" s="404"/>
      <c r="AD106" s="380"/>
      <c r="AE106" s="380"/>
      <c r="AF106" s="380"/>
      <c r="AG106" s="380"/>
      <c r="AH106" s="380"/>
      <c r="AI106" s="380"/>
      <c r="AJ106" s="380"/>
      <c r="AK106" s="403"/>
      <c r="AL106" s="380"/>
      <c r="AM106" s="380"/>
      <c r="AN106" s="380"/>
      <c r="AO106" s="380"/>
      <c r="AP106" s="380"/>
      <c r="AQ106" s="404"/>
      <c r="AR106" s="380"/>
      <c r="AS106" s="380"/>
      <c r="AT106" s="380"/>
      <c r="AU106" s="380"/>
      <c r="AV106" s="380"/>
      <c r="AW106" s="380"/>
      <c r="AX106" s="380"/>
      <c r="AY106" s="403"/>
      <c r="AZ106" s="380"/>
      <c r="BA106" s="380"/>
      <c r="BB106" s="380"/>
      <c r="BC106" s="380"/>
      <c r="BD106" s="380"/>
      <c r="BE106" s="404"/>
      <c r="BF106" s="380"/>
      <c r="BG106" s="380"/>
      <c r="BH106" s="380"/>
      <c r="BI106" s="380"/>
      <c r="BJ106" s="380"/>
      <c r="BK106" s="380"/>
      <c r="BL106" s="380"/>
      <c r="BM106" s="403"/>
      <c r="BS106" s="83"/>
      <c r="CA106" s="405"/>
      <c r="CG106" s="83"/>
      <c r="CO106" s="405"/>
      <c r="CU106" s="83"/>
      <c r="DC106" s="405"/>
      <c r="DI106" s="83"/>
      <c r="DQ106" s="405"/>
      <c r="DW106" s="83"/>
      <c r="EE106" s="405"/>
      <c r="EK106" s="83"/>
      <c r="ES106" s="405"/>
      <c r="EY106" s="83"/>
      <c r="FG106" s="405"/>
      <c r="FM106" s="83"/>
      <c r="FU106" s="405"/>
      <c r="GA106" s="83"/>
      <c r="GI106" s="405"/>
      <c r="GO106" s="83"/>
      <c r="GW106" s="405"/>
      <c r="HC106" s="83"/>
      <c r="HK106" s="405"/>
      <c r="HQ106" s="83"/>
      <c r="HY106" s="405"/>
      <c r="IE106" s="83"/>
      <c r="IM106" s="405"/>
      <c r="IS106" s="83"/>
      <c r="JA106" s="405"/>
      <c r="JG106" s="83"/>
      <c r="JO106" s="405"/>
      <c r="JU106" s="83"/>
      <c r="KC106" s="405"/>
      <c r="KI106" s="83"/>
      <c r="KQ106" s="405"/>
      <c r="KW106" s="83"/>
      <c r="LE106" s="405"/>
      <c r="LK106" s="83"/>
      <c r="LS106" s="405"/>
      <c r="LY106" s="83"/>
      <c r="MG106" s="405"/>
      <c r="MM106" s="83"/>
      <c r="MU106" s="405"/>
      <c r="NA106" s="83"/>
    </row>
    <row r="107">
      <c r="A107" s="483"/>
      <c r="B107" s="380"/>
      <c r="C107" s="380"/>
      <c r="D107" s="380"/>
      <c r="E107" s="380"/>
      <c r="F107" s="380"/>
      <c r="G107" s="380"/>
      <c r="H107" s="380"/>
      <c r="I107" s="403"/>
      <c r="J107" s="380"/>
      <c r="K107" s="380"/>
      <c r="L107" s="380"/>
      <c r="M107" s="380"/>
      <c r="N107" s="380"/>
      <c r="O107" s="404"/>
      <c r="P107" s="380"/>
      <c r="Q107" s="380"/>
      <c r="R107" s="380"/>
      <c r="S107" s="380"/>
      <c r="T107" s="380"/>
      <c r="U107" s="380"/>
      <c r="V107" s="380"/>
      <c r="W107" s="403"/>
      <c r="X107" s="380"/>
      <c r="Y107" s="380"/>
      <c r="Z107" s="380"/>
      <c r="AA107" s="380"/>
      <c r="AB107" s="380"/>
      <c r="AC107" s="404"/>
      <c r="AD107" s="380"/>
      <c r="AE107" s="380"/>
      <c r="AF107" s="380"/>
      <c r="AG107" s="380"/>
      <c r="AH107" s="380"/>
      <c r="AI107" s="380"/>
      <c r="AJ107" s="380"/>
      <c r="AK107" s="403"/>
      <c r="AL107" s="380"/>
      <c r="AM107" s="380"/>
      <c r="AN107" s="380"/>
      <c r="AO107" s="380"/>
      <c r="AP107" s="380"/>
      <c r="AQ107" s="404"/>
      <c r="AR107" s="380"/>
      <c r="AS107" s="380"/>
      <c r="AT107" s="380"/>
      <c r="AU107" s="380"/>
      <c r="AV107" s="380"/>
      <c r="AW107" s="380"/>
      <c r="AX107" s="380"/>
      <c r="AY107" s="403"/>
      <c r="AZ107" s="380"/>
      <c r="BA107" s="380"/>
      <c r="BB107" s="380"/>
      <c r="BC107" s="380"/>
      <c r="BD107" s="380"/>
      <c r="BE107" s="404"/>
      <c r="BF107" s="380"/>
      <c r="BG107" s="380"/>
      <c r="BH107" s="380"/>
      <c r="BI107" s="380"/>
      <c r="BJ107" s="380"/>
      <c r="BK107" s="380"/>
      <c r="BL107" s="380"/>
      <c r="BM107" s="403"/>
      <c r="BS107" s="83"/>
      <c r="CA107" s="405"/>
      <c r="CG107" s="83"/>
      <c r="CO107" s="405"/>
      <c r="CU107" s="83"/>
      <c r="DC107" s="405"/>
      <c r="DI107" s="83"/>
      <c r="DQ107" s="405"/>
      <c r="DW107" s="83"/>
      <c r="EE107" s="405"/>
      <c r="EK107" s="83"/>
      <c r="ES107" s="405"/>
      <c r="EY107" s="83"/>
      <c r="FG107" s="405"/>
      <c r="FM107" s="83"/>
      <c r="FU107" s="405"/>
      <c r="GA107" s="83"/>
      <c r="GI107" s="405"/>
      <c r="GO107" s="83"/>
      <c r="GW107" s="405"/>
      <c r="HC107" s="83"/>
      <c r="HK107" s="405"/>
      <c r="HQ107" s="83"/>
      <c r="HY107" s="405"/>
      <c r="IE107" s="83"/>
      <c r="IM107" s="405"/>
      <c r="IS107" s="83"/>
      <c r="JA107" s="405"/>
      <c r="JG107" s="83"/>
      <c r="JO107" s="405"/>
      <c r="JU107" s="83"/>
      <c r="KC107" s="405"/>
      <c r="KI107" s="83"/>
      <c r="KQ107" s="405"/>
      <c r="KW107" s="83"/>
      <c r="LE107" s="405"/>
      <c r="LK107" s="83"/>
      <c r="LS107" s="405"/>
      <c r="LY107" s="83"/>
      <c r="MG107" s="405"/>
      <c r="MM107" s="83"/>
      <c r="MU107" s="405"/>
      <c r="NA107" s="83"/>
    </row>
    <row r="108">
      <c r="A108" s="483"/>
      <c r="B108" s="380"/>
      <c r="C108" s="380"/>
      <c r="D108" s="380"/>
      <c r="E108" s="380"/>
      <c r="F108" s="380"/>
      <c r="G108" s="380"/>
      <c r="H108" s="380"/>
      <c r="I108" s="403"/>
      <c r="J108" s="380"/>
      <c r="K108" s="380"/>
      <c r="L108" s="380"/>
      <c r="M108" s="380"/>
      <c r="N108" s="380"/>
      <c r="O108" s="404"/>
      <c r="P108" s="380"/>
      <c r="Q108" s="380"/>
      <c r="R108" s="380"/>
      <c r="S108" s="380"/>
      <c r="T108" s="380"/>
      <c r="U108" s="380"/>
      <c r="V108" s="380"/>
      <c r="W108" s="403"/>
      <c r="X108" s="380"/>
      <c r="Y108" s="380"/>
      <c r="Z108" s="380"/>
      <c r="AA108" s="380"/>
      <c r="AB108" s="380"/>
      <c r="AC108" s="404"/>
      <c r="AD108" s="380"/>
      <c r="AE108" s="380"/>
      <c r="AF108" s="380"/>
      <c r="AG108" s="380"/>
      <c r="AH108" s="380"/>
      <c r="AI108" s="380"/>
      <c r="AJ108" s="380"/>
      <c r="AK108" s="403"/>
      <c r="AL108" s="380"/>
      <c r="AM108" s="380"/>
      <c r="AN108" s="380"/>
      <c r="AO108" s="380"/>
      <c r="AP108" s="380"/>
      <c r="AQ108" s="404"/>
      <c r="AR108" s="380"/>
      <c r="AS108" s="380"/>
      <c r="AT108" s="380"/>
      <c r="AU108" s="380"/>
      <c r="AV108" s="380"/>
      <c r="AW108" s="380"/>
      <c r="AX108" s="380"/>
      <c r="AY108" s="403"/>
      <c r="AZ108" s="380"/>
      <c r="BA108" s="380"/>
      <c r="BB108" s="380"/>
      <c r="BC108" s="380"/>
      <c r="BD108" s="380"/>
      <c r="BE108" s="404"/>
      <c r="BF108" s="380"/>
      <c r="BG108" s="380"/>
      <c r="BH108" s="380"/>
      <c r="BI108" s="380"/>
      <c r="BJ108" s="380"/>
      <c r="BK108" s="380"/>
      <c r="BL108" s="380"/>
      <c r="BM108" s="403"/>
      <c r="BS108" s="83"/>
      <c r="CA108" s="405"/>
      <c r="CG108" s="83"/>
      <c r="CO108" s="405"/>
      <c r="CU108" s="83"/>
      <c r="DC108" s="405"/>
      <c r="DI108" s="83"/>
      <c r="DQ108" s="405"/>
      <c r="DW108" s="83"/>
      <c r="EE108" s="405"/>
      <c r="EK108" s="83"/>
      <c r="ES108" s="405"/>
      <c r="EY108" s="83"/>
      <c r="FG108" s="405"/>
      <c r="FM108" s="83"/>
      <c r="FU108" s="405"/>
      <c r="GA108" s="83"/>
      <c r="GI108" s="405"/>
      <c r="GO108" s="83"/>
      <c r="GW108" s="405"/>
      <c r="HC108" s="83"/>
      <c r="HK108" s="405"/>
      <c r="HQ108" s="83"/>
      <c r="HY108" s="405"/>
      <c r="IE108" s="83"/>
      <c r="IM108" s="405"/>
      <c r="IS108" s="83"/>
      <c r="JA108" s="405"/>
      <c r="JG108" s="83"/>
      <c r="JO108" s="405"/>
      <c r="JU108" s="83"/>
      <c r="KC108" s="405"/>
      <c r="KI108" s="83"/>
      <c r="KQ108" s="405"/>
      <c r="KW108" s="83"/>
      <c r="LE108" s="405"/>
      <c r="LK108" s="83"/>
      <c r="LS108" s="405"/>
      <c r="LY108" s="83"/>
      <c r="MG108" s="405"/>
      <c r="MM108" s="83"/>
      <c r="MU108" s="405"/>
      <c r="NA108" s="83"/>
    </row>
    <row r="109">
      <c r="A109" s="483"/>
      <c r="B109" s="380"/>
      <c r="C109" s="380"/>
      <c r="D109" s="380"/>
      <c r="E109" s="380"/>
      <c r="F109" s="380"/>
      <c r="G109" s="380"/>
      <c r="H109" s="380"/>
      <c r="I109" s="403"/>
      <c r="J109" s="380"/>
      <c r="K109" s="380"/>
      <c r="L109" s="380"/>
      <c r="M109" s="380"/>
      <c r="N109" s="380"/>
      <c r="O109" s="404"/>
      <c r="P109" s="380"/>
      <c r="Q109" s="380"/>
      <c r="R109" s="380"/>
      <c r="S109" s="380"/>
      <c r="T109" s="380"/>
      <c r="U109" s="380"/>
      <c r="V109" s="380"/>
      <c r="W109" s="403"/>
      <c r="X109" s="380"/>
      <c r="Y109" s="380"/>
      <c r="Z109" s="380"/>
      <c r="AA109" s="380"/>
      <c r="AB109" s="380"/>
      <c r="AC109" s="404"/>
      <c r="AD109" s="380"/>
      <c r="AE109" s="380"/>
      <c r="AF109" s="380"/>
      <c r="AG109" s="380"/>
      <c r="AH109" s="380"/>
      <c r="AI109" s="380"/>
      <c r="AJ109" s="380"/>
      <c r="AK109" s="403"/>
      <c r="AL109" s="380"/>
      <c r="AM109" s="380"/>
      <c r="AN109" s="380"/>
      <c r="AO109" s="380"/>
      <c r="AP109" s="380"/>
      <c r="AQ109" s="404"/>
      <c r="AR109" s="380"/>
      <c r="AS109" s="380"/>
      <c r="AT109" s="380"/>
      <c r="AU109" s="380"/>
      <c r="AV109" s="380"/>
      <c r="AW109" s="380"/>
      <c r="AX109" s="380"/>
      <c r="AY109" s="403"/>
      <c r="AZ109" s="380"/>
      <c r="BA109" s="380"/>
      <c r="BB109" s="380"/>
      <c r="BC109" s="380"/>
      <c r="BD109" s="380"/>
      <c r="BE109" s="404"/>
      <c r="BF109" s="380"/>
      <c r="BG109" s="380"/>
      <c r="BH109" s="380"/>
      <c r="BI109" s="380"/>
      <c r="BJ109" s="380"/>
      <c r="BK109" s="380"/>
      <c r="BL109" s="380"/>
      <c r="BM109" s="403"/>
      <c r="BS109" s="83"/>
      <c r="CA109" s="405"/>
      <c r="CG109" s="83"/>
      <c r="CO109" s="405"/>
      <c r="CU109" s="83"/>
      <c r="DC109" s="405"/>
      <c r="DI109" s="83"/>
      <c r="DQ109" s="405"/>
      <c r="DW109" s="83"/>
      <c r="EE109" s="405"/>
      <c r="EK109" s="83"/>
      <c r="ES109" s="405"/>
      <c r="EY109" s="83"/>
      <c r="FG109" s="405"/>
      <c r="FM109" s="83"/>
      <c r="FU109" s="405"/>
      <c r="GA109" s="83"/>
      <c r="GI109" s="405"/>
      <c r="GO109" s="83"/>
      <c r="GW109" s="405"/>
      <c r="HC109" s="83"/>
      <c r="HK109" s="405"/>
      <c r="HQ109" s="83"/>
      <c r="HY109" s="405"/>
      <c r="IE109" s="83"/>
      <c r="IM109" s="405"/>
      <c r="IS109" s="83"/>
      <c r="JA109" s="405"/>
      <c r="JG109" s="83"/>
      <c r="JO109" s="405"/>
      <c r="JU109" s="83"/>
      <c r="KC109" s="405"/>
      <c r="KI109" s="83"/>
      <c r="KQ109" s="405"/>
      <c r="KW109" s="83"/>
      <c r="LE109" s="405"/>
      <c r="LK109" s="83"/>
      <c r="LS109" s="405"/>
      <c r="LY109" s="83"/>
      <c r="MG109" s="405"/>
      <c r="MM109" s="83"/>
      <c r="MU109" s="405"/>
      <c r="NA109" s="83"/>
    </row>
    <row r="110">
      <c r="A110" s="483"/>
      <c r="B110" s="380"/>
      <c r="C110" s="380"/>
      <c r="D110" s="380"/>
      <c r="E110" s="380"/>
      <c r="F110" s="380"/>
      <c r="G110" s="380"/>
      <c r="H110" s="380"/>
      <c r="I110" s="403"/>
      <c r="J110" s="380"/>
      <c r="K110" s="380"/>
      <c r="L110" s="380"/>
      <c r="M110" s="380"/>
      <c r="N110" s="380"/>
      <c r="O110" s="404"/>
      <c r="P110" s="380"/>
      <c r="Q110" s="380"/>
      <c r="R110" s="380"/>
      <c r="S110" s="380"/>
      <c r="T110" s="380"/>
      <c r="U110" s="380"/>
      <c r="V110" s="380"/>
      <c r="W110" s="403"/>
      <c r="X110" s="380"/>
      <c r="Y110" s="380"/>
      <c r="Z110" s="380"/>
      <c r="AA110" s="380"/>
      <c r="AB110" s="380"/>
      <c r="AC110" s="404"/>
      <c r="AD110" s="380"/>
      <c r="AE110" s="380"/>
      <c r="AF110" s="380"/>
      <c r="AG110" s="380"/>
      <c r="AH110" s="380"/>
      <c r="AI110" s="380"/>
      <c r="AJ110" s="380"/>
      <c r="AK110" s="403"/>
      <c r="AL110" s="380"/>
      <c r="AM110" s="380"/>
      <c r="AN110" s="380"/>
      <c r="AO110" s="380"/>
      <c r="AP110" s="380"/>
      <c r="AQ110" s="404"/>
      <c r="AR110" s="380"/>
      <c r="AS110" s="380"/>
      <c r="AT110" s="380"/>
      <c r="AU110" s="380"/>
      <c r="AV110" s="380"/>
      <c r="AW110" s="380"/>
      <c r="AX110" s="380"/>
      <c r="AY110" s="403"/>
      <c r="AZ110" s="380"/>
      <c r="BA110" s="380"/>
      <c r="BB110" s="380"/>
      <c r="BC110" s="380"/>
      <c r="BD110" s="380"/>
      <c r="BE110" s="404"/>
      <c r="BF110" s="380"/>
      <c r="BG110" s="380"/>
      <c r="BH110" s="380"/>
      <c r="BI110" s="380"/>
      <c r="BJ110" s="380"/>
      <c r="BK110" s="380"/>
      <c r="BL110" s="380"/>
      <c r="BM110" s="403"/>
      <c r="BS110" s="83"/>
      <c r="CA110" s="405"/>
      <c r="CG110" s="83"/>
      <c r="CO110" s="405"/>
      <c r="CU110" s="83"/>
      <c r="DC110" s="405"/>
      <c r="DI110" s="83"/>
      <c r="DQ110" s="405"/>
      <c r="DW110" s="83"/>
      <c r="EE110" s="405"/>
      <c r="EK110" s="83"/>
      <c r="ES110" s="405"/>
      <c r="EY110" s="83"/>
      <c r="FG110" s="405"/>
      <c r="FM110" s="83"/>
      <c r="FU110" s="405"/>
      <c r="GA110" s="83"/>
      <c r="GI110" s="405"/>
      <c r="GO110" s="83"/>
      <c r="GW110" s="405"/>
      <c r="HC110" s="83"/>
      <c r="HK110" s="405"/>
      <c r="HQ110" s="83"/>
      <c r="HY110" s="405"/>
      <c r="IE110" s="83"/>
      <c r="IM110" s="405"/>
      <c r="IS110" s="83"/>
      <c r="JA110" s="405"/>
      <c r="JG110" s="83"/>
      <c r="JO110" s="405"/>
      <c r="JU110" s="83"/>
      <c r="KC110" s="405"/>
      <c r="KI110" s="83"/>
      <c r="KQ110" s="405"/>
      <c r="KW110" s="83"/>
      <c r="LE110" s="405"/>
      <c r="LK110" s="83"/>
      <c r="LS110" s="405"/>
      <c r="LY110" s="83"/>
      <c r="MG110" s="405"/>
      <c r="MM110" s="83"/>
      <c r="MU110" s="405"/>
      <c r="NA110" s="83"/>
    </row>
    <row r="111">
      <c r="A111" s="483"/>
      <c r="B111" s="380"/>
      <c r="C111" s="380"/>
      <c r="D111" s="380"/>
      <c r="E111" s="380"/>
      <c r="F111" s="380"/>
      <c r="G111" s="380"/>
      <c r="H111" s="380"/>
      <c r="I111" s="403"/>
      <c r="J111" s="380"/>
      <c r="K111" s="380"/>
      <c r="L111" s="380"/>
      <c r="M111" s="380"/>
      <c r="N111" s="380"/>
      <c r="O111" s="404"/>
      <c r="P111" s="380"/>
      <c r="Q111" s="380"/>
      <c r="R111" s="380"/>
      <c r="S111" s="380"/>
      <c r="T111" s="380"/>
      <c r="U111" s="380"/>
      <c r="V111" s="380"/>
      <c r="W111" s="403"/>
      <c r="X111" s="380"/>
      <c r="Y111" s="380"/>
      <c r="Z111" s="380"/>
      <c r="AA111" s="380"/>
      <c r="AB111" s="380"/>
      <c r="AC111" s="404"/>
      <c r="AD111" s="380"/>
      <c r="AE111" s="380"/>
      <c r="AF111" s="380"/>
      <c r="AG111" s="380"/>
      <c r="AH111" s="380"/>
      <c r="AI111" s="380"/>
      <c r="AJ111" s="380"/>
      <c r="AK111" s="403"/>
      <c r="AL111" s="380"/>
      <c r="AM111" s="380"/>
      <c r="AN111" s="380"/>
      <c r="AO111" s="380"/>
      <c r="AP111" s="380"/>
      <c r="AQ111" s="404"/>
      <c r="AR111" s="380"/>
      <c r="AS111" s="380"/>
      <c r="AT111" s="380"/>
      <c r="AU111" s="380"/>
      <c r="AV111" s="380"/>
      <c r="AW111" s="380"/>
      <c r="AX111" s="380"/>
      <c r="AY111" s="403"/>
      <c r="AZ111" s="380"/>
      <c r="BA111" s="380"/>
      <c r="BB111" s="380"/>
      <c r="BC111" s="380"/>
      <c r="BD111" s="380"/>
      <c r="BE111" s="404"/>
      <c r="BF111" s="380"/>
      <c r="BG111" s="380"/>
      <c r="BH111" s="380"/>
      <c r="BI111" s="380"/>
      <c r="BJ111" s="380"/>
      <c r="BK111" s="380"/>
      <c r="BL111" s="380"/>
      <c r="BM111" s="403"/>
      <c r="BS111" s="83"/>
      <c r="CA111" s="405"/>
      <c r="CG111" s="83"/>
      <c r="CO111" s="405"/>
      <c r="CU111" s="83"/>
      <c r="DC111" s="405"/>
      <c r="DI111" s="83"/>
      <c r="DQ111" s="405"/>
      <c r="DW111" s="83"/>
      <c r="EE111" s="405"/>
      <c r="EK111" s="83"/>
      <c r="ES111" s="405"/>
      <c r="EY111" s="83"/>
      <c r="FG111" s="405"/>
      <c r="FM111" s="83"/>
      <c r="FU111" s="405"/>
      <c r="GA111" s="83"/>
      <c r="GI111" s="405"/>
      <c r="GO111" s="83"/>
      <c r="GW111" s="405"/>
      <c r="HC111" s="83"/>
      <c r="HK111" s="405"/>
      <c r="HQ111" s="83"/>
      <c r="HY111" s="405"/>
      <c r="IE111" s="83"/>
      <c r="IM111" s="405"/>
      <c r="IS111" s="83"/>
      <c r="JA111" s="405"/>
      <c r="JG111" s="83"/>
      <c r="JO111" s="405"/>
      <c r="JU111" s="83"/>
      <c r="KC111" s="405"/>
      <c r="KI111" s="83"/>
      <c r="KQ111" s="405"/>
      <c r="KW111" s="83"/>
      <c r="LE111" s="405"/>
      <c r="LK111" s="83"/>
      <c r="LS111" s="405"/>
      <c r="LY111" s="83"/>
      <c r="MG111" s="405"/>
      <c r="MM111" s="83"/>
      <c r="MU111" s="405"/>
      <c r="NA111" s="83"/>
    </row>
    <row r="112">
      <c r="A112" s="483"/>
      <c r="B112" s="380"/>
      <c r="C112" s="380"/>
      <c r="D112" s="380"/>
      <c r="E112" s="380"/>
      <c r="F112" s="380"/>
      <c r="G112" s="380"/>
      <c r="H112" s="380"/>
      <c r="I112" s="403"/>
      <c r="J112" s="380"/>
      <c r="K112" s="380"/>
      <c r="L112" s="380"/>
      <c r="M112" s="380"/>
      <c r="N112" s="380"/>
      <c r="O112" s="404"/>
      <c r="P112" s="380"/>
      <c r="Q112" s="380"/>
      <c r="R112" s="380"/>
      <c r="S112" s="380"/>
      <c r="T112" s="380"/>
      <c r="U112" s="380"/>
      <c r="V112" s="380"/>
      <c r="W112" s="403"/>
      <c r="X112" s="380"/>
      <c r="Y112" s="380"/>
      <c r="Z112" s="380"/>
      <c r="AA112" s="380"/>
      <c r="AB112" s="380"/>
      <c r="AC112" s="404"/>
      <c r="AD112" s="380"/>
      <c r="AE112" s="380"/>
      <c r="AF112" s="380"/>
      <c r="AG112" s="380"/>
      <c r="AH112" s="380"/>
      <c r="AI112" s="380"/>
      <c r="AJ112" s="380"/>
      <c r="AK112" s="403"/>
      <c r="AL112" s="380"/>
      <c r="AM112" s="380"/>
      <c r="AN112" s="380"/>
      <c r="AO112" s="380"/>
      <c r="AP112" s="380"/>
      <c r="AQ112" s="404"/>
      <c r="AR112" s="380"/>
      <c r="AS112" s="380"/>
      <c r="AT112" s="380"/>
      <c r="AU112" s="380"/>
      <c r="AV112" s="380"/>
      <c r="AW112" s="380"/>
      <c r="AX112" s="380"/>
      <c r="AY112" s="403"/>
      <c r="AZ112" s="380"/>
      <c r="BA112" s="380"/>
      <c r="BB112" s="380"/>
      <c r="BC112" s="380"/>
      <c r="BD112" s="380"/>
      <c r="BE112" s="404"/>
      <c r="BF112" s="380"/>
      <c r="BG112" s="380"/>
      <c r="BH112" s="380"/>
      <c r="BI112" s="380"/>
      <c r="BJ112" s="380"/>
      <c r="BK112" s="380"/>
      <c r="BL112" s="380"/>
      <c r="BM112" s="403"/>
      <c r="BS112" s="83"/>
      <c r="CA112" s="405"/>
      <c r="CG112" s="83"/>
      <c r="CO112" s="405"/>
      <c r="CU112" s="83"/>
      <c r="DC112" s="405"/>
      <c r="DI112" s="83"/>
      <c r="DQ112" s="405"/>
      <c r="DW112" s="83"/>
      <c r="EE112" s="405"/>
      <c r="EK112" s="83"/>
      <c r="ES112" s="405"/>
      <c r="EY112" s="83"/>
      <c r="FG112" s="405"/>
      <c r="FM112" s="83"/>
      <c r="FU112" s="405"/>
      <c r="GA112" s="83"/>
      <c r="GI112" s="405"/>
      <c r="GO112" s="83"/>
      <c r="GW112" s="405"/>
      <c r="HC112" s="83"/>
      <c r="HK112" s="405"/>
      <c r="HQ112" s="83"/>
      <c r="HY112" s="405"/>
      <c r="IE112" s="83"/>
      <c r="IM112" s="405"/>
      <c r="IS112" s="83"/>
      <c r="JA112" s="405"/>
      <c r="JG112" s="83"/>
      <c r="JO112" s="405"/>
      <c r="JU112" s="83"/>
      <c r="KC112" s="405"/>
      <c r="KI112" s="83"/>
      <c r="KQ112" s="405"/>
      <c r="KW112" s="83"/>
      <c r="LE112" s="405"/>
      <c r="LK112" s="83"/>
      <c r="LS112" s="405"/>
      <c r="LY112" s="83"/>
      <c r="MG112" s="405"/>
      <c r="MM112" s="83"/>
      <c r="MU112" s="405"/>
      <c r="NA112" s="83"/>
    </row>
    <row r="113">
      <c r="A113" s="483"/>
      <c r="B113" s="380"/>
      <c r="C113" s="380"/>
      <c r="D113" s="380"/>
      <c r="E113" s="380"/>
      <c r="F113" s="380"/>
      <c r="G113" s="380"/>
      <c r="H113" s="380"/>
      <c r="I113" s="403"/>
      <c r="J113" s="380"/>
      <c r="K113" s="380"/>
      <c r="L113" s="380"/>
      <c r="M113" s="380"/>
      <c r="N113" s="380"/>
      <c r="O113" s="404"/>
      <c r="P113" s="380"/>
      <c r="Q113" s="380"/>
      <c r="R113" s="380"/>
      <c r="S113" s="380"/>
      <c r="T113" s="380"/>
      <c r="U113" s="380"/>
      <c r="V113" s="380"/>
      <c r="W113" s="403"/>
      <c r="X113" s="380"/>
      <c r="Y113" s="380"/>
      <c r="Z113" s="380"/>
      <c r="AA113" s="380"/>
      <c r="AB113" s="380"/>
      <c r="AC113" s="404"/>
      <c r="AD113" s="380"/>
      <c r="AE113" s="380"/>
      <c r="AF113" s="380"/>
      <c r="AG113" s="380"/>
      <c r="AH113" s="380"/>
      <c r="AI113" s="380"/>
      <c r="AJ113" s="380"/>
      <c r="AK113" s="403"/>
      <c r="AL113" s="380"/>
      <c r="AM113" s="380"/>
      <c r="AN113" s="380"/>
      <c r="AO113" s="380"/>
      <c r="AP113" s="380"/>
      <c r="AQ113" s="404"/>
      <c r="AR113" s="380"/>
      <c r="AS113" s="380"/>
      <c r="AT113" s="380"/>
      <c r="AU113" s="380"/>
      <c r="AV113" s="380"/>
      <c r="AW113" s="380"/>
      <c r="AX113" s="380"/>
      <c r="AY113" s="403"/>
      <c r="AZ113" s="380"/>
      <c r="BA113" s="380"/>
      <c r="BB113" s="380"/>
      <c r="BC113" s="380"/>
      <c r="BD113" s="380"/>
      <c r="BE113" s="404"/>
      <c r="BF113" s="380"/>
      <c r="BG113" s="380"/>
      <c r="BH113" s="380"/>
      <c r="BI113" s="380"/>
      <c r="BJ113" s="380"/>
      <c r="BK113" s="380"/>
      <c r="BL113" s="380"/>
      <c r="BM113" s="403"/>
      <c r="BS113" s="83"/>
      <c r="CA113" s="405"/>
      <c r="CG113" s="83"/>
      <c r="CO113" s="405"/>
      <c r="CU113" s="83"/>
      <c r="DC113" s="405"/>
      <c r="DI113" s="83"/>
      <c r="DQ113" s="405"/>
      <c r="DW113" s="83"/>
      <c r="EE113" s="405"/>
      <c r="EK113" s="83"/>
      <c r="ES113" s="405"/>
      <c r="EY113" s="83"/>
      <c r="FG113" s="405"/>
      <c r="FM113" s="83"/>
      <c r="FU113" s="405"/>
      <c r="GA113" s="83"/>
      <c r="GI113" s="405"/>
      <c r="GO113" s="83"/>
      <c r="GW113" s="405"/>
      <c r="HC113" s="83"/>
      <c r="HK113" s="405"/>
      <c r="HQ113" s="83"/>
      <c r="HY113" s="405"/>
      <c r="IE113" s="83"/>
      <c r="IM113" s="405"/>
      <c r="IS113" s="83"/>
      <c r="JA113" s="405"/>
      <c r="JG113" s="83"/>
      <c r="JO113" s="405"/>
      <c r="JU113" s="83"/>
      <c r="KC113" s="405"/>
      <c r="KI113" s="83"/>
      <c r="KQ113" s="405"/>
      <c r="KW113" s="83"/>
      <c r="LE113" s="405"/>
      <c r="LK113" s="83"/>
      <c r="LS113" s="405"/>
      <c r="LY113" s="83"/>
      <c r="MG113" s="405"/>
      <c r="MM113" s="83"/>
      <c r="MU113" s="405"/>
      <c r="NA113" s="83"/>
    </row>
    <row r="114">
      <c r="A114" s="483"/>
      <c r="B114" s="380"/>
      <c r="C114" s="380"/>
      <c r="D114" s="380"/>
      <c r="E114" s="380"/>
      <c r="F114" s="380"/>
      <c r="G114" s="380"/>
      <c r="H114" s="380"/>
      <c r="I114" s="403"/>
      <c r="J114" s="380"/>
      <c r="K114" s="380"/>
      <c r="L114" s="380"/>
      <c r="M114" s="380"/>
      <c r="N114" s="380"/>
      <c r="O114" s="404"/>
      <c r="P114" s="380"/>
      <c r="Q114" s="380"/>
      <c r="R114" s="380"/>
      <c r="S114" s="380"/>
      <c r="T114" s="380"/>
      <c r="U114" s="380"/>
      <c r="V114" s="380"/>
      <c r="W114" s="403"/>
      <c r="X114" s="380"/>
      <c r="Y114" s="380"/>
      <c r="Z114" s="380"/>
      <c r="AA114" s="380"/>
      <c r="AB114" s="380"/>
      <c r="AC114" s="404"/>
      <c r="AD114" s="380"/>
      <c r="AE114" s="380"/>
      <c r="AF114" s="380"/>
      <c r="AG114" s="380"/>
      <c r="AH114" s="380"/>
      <c r="AI114" s="380"/>
      <c r="AJ114" s="380"/>
      <c r="AK114" s="403"/>
      <c r="AL114" s="380"/>
      <c r="AM114" s="380"/>
      <c r="AN114" s="380"/>
      <c r="AO114" s="380"/>
      <c r="AP114" s="380"/>
      <c r="AQ114" s="404"/>
      <c r="AR114" s="380"/>
      <c r="AS114" s="380"/>
      <c r="AT114" s="380"/>
      <c r="AU114" s="380"/>
      <c r="AV114" s="380"/>
      <c r="AW114" s="380"/>
      <c r="AX114" s="380"/>
      <c r="AY114" s="403"/>
      <c r="AZ114" s="380"/>
      <c r="BA114" s="380"/>
      <c r="BB114" s="380"/>
      <c r="BC114" s="380"/>
      <c r="BD114" s="380"/>
      <c r="BE114" s="404"/>
      <c r="BF114" s="380"/>
      <c r="BG114" s="380"/>
      <c r="BH114" s="380"/>
      <c r="BI114" s="380"/>
      <c r="BJ114" s="380"/>
      <c r="BK114" s="380"/>
      <c r="BL114" s="380"/>
      <c r="BM114" s="403"/>
      <c r="BS114" s="83"/>
      <c r="CA114" s="405"/>
      <c r="CG114" s="83"/>
      <c r="CO114" s="405"/>
      <c r="CU114" s="83"/>
      <c r="DC114" s="405"/>
      <c r="DI114" s="83"/>
      <c r="DQ114" s="405"/>
      <c r="DW114" s="83"/>
      <c r="EE114" s="405"/>
      <c r="EK114" s="83"/>
      <c r="ES114" s="405"/>
      <c r="EY114" s="83"/>
      <c r="FG114" s="405"/>
      <c r="FM114" s="83"/>
      <c r="FU114" s="405"/>
      <c r="GA114" s="83"/>
      <c r="GI114" s="405"/>
      <c r="GO114" s="83"/>
      <c r="GW114" s="405"/>
      <c r="HC114" s="83"/>
      <c r="HK114" s="405"/>
      <c r="HQ114" s="83"/>
      <c r="HY114" s="405"/>
      <c r="IE114" s="83"/>
      <c r="IM114" s="405"/>
      <c r="IS114" s="83"/>
      <c r="JA114" s="405"/>
      <c r="JG114" s="83"/>
      <c r="JO114" s="405"/>
      <c r="JU114" s="83"/>
      <c r="KC114" s="405"/>
      <c r="KI114" s="83"/>
      <c r="KQ114" s="405"/>
      <c r="KW114" s="83"/>
      <c r="LE114" s="405"/>
      <c r="LK114" s="83"/>
      <c r="LS114" s="405"/>
      <c r="LY114" s="83"/>
      <c r="MG114" s="405"/>
      <c r="MM114" s="83"/>
      <c r="MU114" s="405"/>
      <c r="NA114" s="83"/>
    </row>
    <row r="115">
      <c r="A115" s="483"/>
      <c r="B115" s="380"/>
      <c r="C115" s="380"/>
      <c r="D115" s="380"/>
      <c r="E115" s="380"/>
      <c r="F115" s="380"/>
      <c r="G115" s="380"/>
      <c r="H115" s="380"/>
      <c r="I115" s="403"/>
      <c r="J115" s="380"/>
      <c r="K115" s="380"/>
      <c r="L115" s="380"/>
      <c r="M115" s="380"/>
      <c r="N115" s="380"/>
      <c r="O115" s="404"/>
      <c r="P115" s="380"/>
      <c r="Q115" s="380"/>
      <c r="R115" s="380"/>
      <c r="S115" s="380"/>
      <c r="T115" s="380"/>
      <c r="U115" s="380"/>
      <c r="V115" s="380"/>
      <c r="W115" s="403"/>
      <c r="X115" s="380"/>
      <c r="Y115" s="380"/>
      <c r="Z115" s="380"/>
      <c r="AA115" s="380"/>
      <c r="AB115" s="380"/>
      <c r="AC115" s="404"/>
      <c r="AD115" s="380"/>
      <c r="AE115" s="380"/>
      <c r="AF115" s="380"/>
      <c r="AG115" s="380"/>
      <c r="AH115" s="380"/>
      <c r="AI115" s="380"/>
      <c r="AJ115" s="380"/>
      <c r="AK115" s="403"/>
      <c r="AL115" s="380"/>
      <c r="AM115" s="380"/>
      <c r="AN115" s="380"/>
      <c r="AO115" s="380"/>
      <c r="AP115" s="380"/>
      <c r="AQ115" s="404"/>
      <c r="AR115" s="380"/>
      <c r="AS115" s="380"/>
      <c r="AT115" s="380"/>
      <c r="AU115" s="380"/>
      <c r="AV115" s="380"/>
      <c r="AW115" s="380"/>
      <c r="AX115" s="380"/>
      <c r="AY115" s="403"/>
      <c r="AZ115" s="380"/>
      <c r="BA115" s="380"/>
      <c r="BB115" s="380"/>
      <c r="BC115" s="380"/>
      <c r="BD115" s="380"/>
      <c r="BE115" s="404"/>
      <c r="BF115" s="380"/>
      <c r="BG115" s="380"/>
      <c r="BH115" s="380"/>
      <c r="BI115" s="380"/>
      <c r="BJ115" s="380"/>
      <c r="BK115" s="380"/>
      <c r="BL115" s="380"/>
      <c r="BM115" s="403"/>
      <c r="BS115" s="83"/>
      <c r="CA115" s="405"/>
      <c r="CG115" s="83"/>
      <c r="CO115" s="405"/>
      <c r="CU115" s="83"/>
      <c r="DC115" s="405"/>
      <c r="DI115" s="83"/>
      <c r="DQ115" s="405"/>
      <c r="DW115" s="83"/>
      <c r="EE115" s="405"/>
      <c r="EK115" s="83"/>
      <c r="ES115" s="405"/>
      <c r="EY115" s="83"/>
      <c r="FG115" s="405"/>
      <c r="FM115" s="83"/>
      <c r="FU115" s="405"/>
      <c r="GA115" s="83"/>
      <c r="GI115" s="405"/>
      <c r="GO115" s="83"/>
      <c r="GW115" s="405"/>
      <c r="HC115" s="83"/>
      <c r="HK115" s="405"/>
      <c r="HQ115" s="83"/>
      <c r="HY115" s="405"/>
      <c r="IE115" s="83"/>
      <c r="IM115" s="405"/>
      <c r="IS115" s="83"/>
      <c r="JA115" s="405"/>
      <c r="JG115" s="83"/>
      <c r="JO115" s="405"/>
      <c r="JU115" s="83"/>
      <c r="KC115" s="405"/>
      <c r="KI115" s="83"/>
      <c r="KQ115" s="405"/>
      <c r="KW115" s="83"/>
      <c r="LE115" s="405"/>
      <c r="LK115" s="83"/>
      <c r="LS115" s="405"/>
      <c r="LY115" s="83"/>
      <c r="MG115" s="405"/>
      <c r="MM115" s="83"/>
      <c r="MU115" s="405"/>
      <c r="NA115" s="83"/>
    </row>
    <row r="116">
      <c r="A116" s="483"/>
      <c r="B116" s="380"/>
      <c r="C116" s="380"/>
      <c r="D116" s="380"/>
      <c r="E116" s="380"/>
      <c r="F116" s="380"/>
      <c r="G116" s="380"/>
      <c r="H116" s="380"/>
      <c r="I116" s="403"/>
      <c r="J116" s="380"/>
      <c r="K116" s="380"/>
      <c r="L116" s="380"/>
      <c r="M116" s="380"/>
      <c r="N116" s="380"/>
      <c r="O116" s="404"/>
      <c r="P116" s="380"/>
      <c r="Q116" s="380"/>
      <c r="R116" s="380"/>
      <c r="S116" s="380"/>
      <c r="T116" s="380"/>
      <c r="U116" s="380"/>
      <c r="V116" s="380"/>
      <c r="W116" s="403"/>
      <c r="X116" s="380"/>
      <c r="Y116" s="380"/>
      <c r="Z116" s="380"/>
      <c r="AA116" s="380"/>
      <c r="AB116" s="380"/>
      <c r="AC116" s="404"/>
      <c r="AD116" s="380"/>
      <c r="AE116" s="380"/>
      <c r="AF116" s="380"/>
      <c r="AG116" s="380"/>
      <c r="AH116" s="380"/>
      <c r="AI116" s="380"/>
      <c r="AJ116" s="380"/>
      <c r="AK116" s="403"/>
      <c r="AL116" s="380"/>
      <c r="AM116" s="380"/>
      <c r="AN116" s="380"/>
      <c r="AO116" s="380"/>
      <c r="AP116" s="380"/>
      <c r="AQ116" s="404"/>
      <c r="AR116" s="380"/>
      <c r="AS116" s="380"/>
      <c r="AT116" s="380"/>
      <c r="AU116" s="380"/>
      <c r="AV116" s="380"/>
      <c r="AW116" s="380"/>
      <c r="AX116" s="380"/>
      <c r="AY116" s="403"/>
      <c r="AZ116" s="380"/>
      <c r="BA116" s="380"/>
      <c r="BB116" s="380"/>
      <c r="BC116" s="380"/>
      <c r="BD116" s="380"/>
      <c r="BE116" s="404"/>
      <c r="BF116" s="380"/>
      <c r="BG116" s="380"/>
      <c r="BH116" s="380"/>
      <c r="BI116" s="380"/>
      <c r="BJ116" s="380"/>
      <c r="BK116" s="380"/>
      <c r="BL116" s="380"/>
      <c r="BM116" s="403"/>
      <c r="BS116" s="83"/>
      <c r="CA116" s="405"/>
      <c r="CG116" s="83"/>
      <c r="CO116" s="405"/>
      <c r="CU116" s="83"/>
      <c r="DC116" s="405"/>
      <c r="DI116" s="83"/>
      <c r="DQ116" s="405"/>
      <c r="DW116" s="83"/>
      <c r="EE116" s="405"/>
      <c r="EK116" s="83"/>
      <c r="ES116" s="405"/>
      <c r="EY116" s="83"/>
      <c r="FG116" s="405"/>
      <c r="FM116" s="83"/>
      <c r="FU116" s="405"/>
      <c r="GA116" s="83"/>
      <c r="GI116" s="405"/>
      <c r="GO116" s="83"/>
      <c r="GW116" s="405"/>
      <c r="HC116" s="83"/>
      <c r="HK116" s="405"/>
      <c r="HQ116" s="83"/>
      <c r="HY116" s="405"/>
      <c r="IE116" s="83"/>
      <c r="IM116" s="405"/>
      <c r="IS116" s="83"/>
      <c r="JA116" s="405"/>
      <c r="JG116" s="83"/>
      <c r="JO116" s="405"/>
      <c r="JU116" s="83"/>
      <c r="KC116" s="405"/>
      <c r="KI116" s="83"/>
      <c r="KQ116" s="405"/>
      <c r="KW116" s="83"/>
      <c r="LE116" s="405"/>
      <c r="LK116" s="83"/>
      <c r="LS116" s="405"/>
      <c r="LY116" s="83"/>
      <c r="MG116" s="405"/>
      <c r="MM116" s="83"/>
      <c r="MU116" s="405"/>
      <c r="NA116" s="83"/>
    </row>
    <row r="117">
      <c r="A117" s="483"/>
      <c r="B117" s="380"/>
      <c r="C117" s="380"/>
      <c r="D117" s="380"/>
      <c r="E117" s="380"/>
      <c r="F117" s="380"/>
      <c r="G117" s="380"/>
      <c r="H117" s="380"/>
      <c r="I117" s="403"/>
      <c r="J117" s="380"/>
      <c r="K117" s="380"/>
      <c r="L117" s="380"/>
      <c r="M117" s="380"/>
      <c r="N117" s="380"/>
      <c r="O117" s="404"/>
      <c r="P117" s="380"/>
      <c r="Q117" s="380"/>
      <c r="R117" s="380"/>
      <c r="S117" s="380"/>
      <c r="T117" s="380"/>
      <c r="U117" s="380"/>
      <c r="V117" s="380"/>
      <c r="W117" s="403"/>
      <c r="X117" s="380"/>
      <c r="Y117" s="380"/>
      <c r="Z117" s="380"/>
      <c r="AA117" s="380"/>
      <c r="AB117" s="380"/>
      <c r="AC117" s="404"/>
      <c r="AD117" s="380"/>
      <c r="AE117" s="380"/>
      <c r="AF117" s="380"/>
      <c r="AG117" s="380"/>
      <c r="AH117" s="380"/>
      <c r="AI117" s="380"/>
      <c r="AJ117" s="380"/>
      <c r="AK117" s="403"/>
      <c r="AL117" s="380"/>
      <c r="AM117" s="380"/>
      <c r="AN117" s="380"/>
      <c r="AO117" s="380"/>
      <c r="AP117" s="380"/>
      <c r="AQ117" s="404"/>
      <c r="AR117" s="380"/>
      <c r="AS117" s="380"/>
      <c r="AT117" s="380"/>
      <c r="AU117" s="380"/>
      <c r="AV117" s="380"/>
      <c r="AW117" s="380"/>
      <c r="AX117" s="380"/>
      <c r="AY117" s="403"/>
      <c r="AZ117" s="380"/>
      <c r="BA117" s="380"/>
      <c r="BB117" s="380"/>
      <c r="BC117" s="380"/>
      <c r="BD117" s="380"/>
      <c r="BE117" s="404"/>
      <c r="BF117" s="380"/>
      <c r="BG117" s="380"/>
      <c r="BH117" s="380"/>
      <c r="BI117" s="380"/>
      <c r="BJ117" s="380"/>
      <c r="BK117" s="380"/>
      <c r="BL117" s="380"/>
      <c r="BM117" s="403"/>
      <c r="BS117" s="83"/>
      <c r="CA117" s="405"/>
      <c r="CG117" s="83"/>
      <c r="CO117" s="405"/>
      <c r="CU117" s="83"/>
      <c r="DC117" s="405"/>
      <c r="DI117" s="83"/>
      <c r="DQ117" s="405"/>
      <c r="DW117" s="83"/>
      <c r="EE117" s="405"/>
      <c r="EK117" s="83"/>
      <c r="ES117" s="405"/>
      <c r="EY117" s="83"/>
      <c r="FG117" s="405"/>
      <c r="FM117" s="83"/>
      <c r="FU117" s="405"/>
      <c r="GA117" s="83"/>
      <c r="GI117" s="405"/>
      <c r="GO117" s="83"/>
      <c r="GW117" s="405"/>
      <c r="HC117" s="83"/>
      <c r="HK117" s="405"/>
      <c r="HQ117" s="83"/>
      <c r="HY117" s="405"/>
      <c r="IE117" s="83"/>
      <c r="IM117" s="405"/>
      <c r="IS117" s="83"/>
      <c r="JA117" s="405"/>
      <c r="JG117" s="83"/>
      <c r="JO117" s="405"/>
      <c r="JU117" s="83"/>
      <c r="KC117" s="405"/>
      <c r="KI117" s="83"/>
      <c r="KQ117" s="405"/>
      <c r="KW117" s="83"/>
      <c r="LE117" s="405"/>
      <c r="LK117" s="83"/>
      <c r="LS117" s="405"/>
      <c r="LY117" s="83"/>
      <c r="MG117" s="405"/>
      <c r="MM117" s="83"/>
      <c r="MU117" s="405"/>
      <c r="NA117" s="83"/>
    </row>
    <row r="118">
      <c r="A118" s="483"/>
      <c r="B118" s="380"/>
      <c r="C118" s="380"/>
      <c r="D118" s="380"/>
      <c r="E118" s="380"/>
      <c r="F118" s="380"/>
      <c r="G118" s="380"/>
      <c r="H118" s="380"/>
      <c r="I118" s="403"/>
      <c r="J118" s="380"/>
      <c r="K118" s="380"/>
      <c r="L118" s="380"/>
      <c r="M118" s="380"/>
      <c r="N118" s="380"/>
      <c r="O118" s="404"/>
      <c r="P118" s="380"/>
      <c r="Q118" s="380"/>
      <c r="R118" s="380"/>
      <c r="S118" s="380"/>
      <c r="T118" s="380"/>
      <c r="U118" s="380"/>
      <c r="V118" s="380"/>
      <c r="W118" s="403"/>
      <c r="X118" s="380"/>
      <c r="Y118" s="380"/>
      <c r="Z118" s="380"/>
      <c r="AA118" s="380"/>
      <c r="AB118" s="380"/>
      <c r="AC118" s="404"/>
      <c r="AD118" s="380"/>
      <c r="AE118" s="380"/>
      <c r="AF118" s="380"/>
      <c r="AG118" s="380"/>
      <c r="AH118" s="380"/>
      <c r="AI118" s="380"/>
      <c r="AJ118" s="380"/>
      <c r="AK118" s="403"/>
      <c r="AL118" s="380"/>
      <c r="AM118" s="380"/>
      <c r="AN118" s="380"/>
      <c r="AO118" s="380"/>
      <c r="AP118" s="380"/>
      <c r="AQ118" s="404"/>
      <c r="AR118" s="380"/>
      <c r="AS118" s="380"/>
      <c r="AT118" s="380"/>
      <c r="AU118" s="380"/>
      <c r="AV118" s="380"/>
      <c r="AW118" s="380"/>
      <c r="AX118" s="380"/>
      <c r="AY118" s="403"/>
      <c r="AZ118" s="380"/>
      <c r="BA118" s="380"/>
      <c r="BB118" s="380"/>
      <c r="BC118" s="380"/>
      <c r="BD118" s="380"/>
      <c r="BE118" s="404"/>
      <c r="BF118" s="380"/>
      <c r="BG118" s="380"/>
      <c r="BH118" s="380"/>
      <c r="BI118" s="380"/>
      <c r="BJ118" s="380"/>
      <c r="BK118" s="380"/>
      <c r="BL118" s="380"/>
      <c r="BM118" s="403"/>
      <c r="BS118" s="83"/>
      <c r="CA118" s="405"/>
      <c r="CG118" s="83"/>
      <c r="CO118" s="405"/>
      <c r="CU118" s="83"/>
      <c r="DC118" s="405"/>
      <c r="DI118" s="83"/>
      <c r="DQ118" s="405"/>
      <c r="DW118" s="83"/>
      <c r="EE118" s="405"/>
      <c r="EK118" s="83"/>
      <c r="ES118" s="405"/>
      <c r="EY118" s="83"/>
      <c r="FG118" s="405"/>
      <c r="FM118" s="83"/>
      <c r="FU118" s="405"/>
      <c r="GA118" s="83"/>
      <c r="GI118" s="405"/>
      <c r="GO118" s="83"/>
      <c r="GW118" s="405"/>
      <c r="HC118" s="83"/>
      <c r="HK118" s="405"/>
      <c r="HQ118" s="83"/>
      <c r="HY118" s="405"/>
      <c r="IE118" s="83"/>
      <c r="IM118" s="405"/>
      <c r="IS118" s="83"/>
      <c r="JA118" s="405"/>
      <c r="JG118" s="83"/>
      <c r="JO118" s="405"/>
      <c r="JU118" s="83"/>
      <c r="KC118" s="405"/>
      <c r="KI118" s="83"/>
      <c r="KQ118" s="405"/>
      <c r="KW118" s="83"/>
      <c r="LE118" s="405"/>
      <c r="LK118" s="83"/>
      <c r="LS118" s="405"/>
      <c r="LY118" s="83"/>
      <c r="MG118" s="405"/>
      <c r="MM118" s="83"/>
      <c r="MU118" s="405"/>
      <c r="NA118" s="83"/>
    </row>
    <row r="119">
      <c r="A119" s="483"/>
      <c r="B119" s="380"/>
      <c r="C119" s="380"/>
      <c r="D119" s="380"/>
      <c r="E119" s="380"/>
      <c r="F119" s="380"/>
      <c r="G119" s="380"/>
      <c r="H119" s="380"/>
      <c r="I119" s="403"/>
      <c r="J119" s="380"/>
      <c r="K119" s="380"/>
      <c r="L119" s="380"/>
      <c r="M119" s="380"/>
      <c r="N119" s="380"/>
      <c r="O119" s="404"/>
      <c r="P119" s="380"/>
      <c r="Q119" s="380"/>
      <c r="R119" s="380"/>
      <c r="S119" s="380"/>
      <c r="T119" s="380"/>
      <c r="U119" s="380"/>
      <c r="V119" s="380"/>
      <c r="W119" s="403"/>
      <c r="X119" s="380"/>
      <c r="Y119" s="380"/>
      <c r="Z119" s="380"/>
      <c r="AA119" s="380"/>
      <c r="AB119" s="380"/>
      <c r="AC119" s="404"/>
      <c r="AD119" s="380"/>
      <c r="AE119" s="380"/>
      <c r="AF119" s="380"/>
      <c r="AG119" s="380"/>
      <c r="AH119" s="380"/>
      <c r="AI119" s="380"/>
      <c r="AJ119" s="380"/>
      <c r="AK119" s="403"/>
      <c r="AL119" s="380"/>
      <c r="AM119" s="380"/>
      <c r="AN119" s="380"/>
      <c r="AO119" s="380"/>
      <c r="AP119" s="380"/>
      <c r="AQ119" s="404"/>
      <c r="AR119" s="380"/>
      <c r="AS119" s="380"/>
      <c r="AT119" s="380"/>
      <c r="AU119" s="380"/>
      <c r="AV119" s="380"/>
      <c r="AW119" s="380"/>
      <c r="AX119" s="380"/>
      <c r="AY119" s="403"/>
      <c r="AZ119" s="380"/>
      <c r="BA119" s="380"/>
      <c r="BB119" s="380"/>
      <c r="BC119" s="380"/>
      <c r="BD119" s="380"/>
      <c r="BE119" s="404"/>
      <c r="BF119" s="380"/>
      <c r="BG119" s="380"/>
      <c r="BH119" s="380"/>
      <c r="BI119" s="380"/>
      <c r="BJ119" s="380"/>
      <c r="BK119" s="380"/>
      <c r="BL119" s="380"/>
      <c r="BM119" s="403"/>
      <c r="BS119" s="83"/>
      <c r="CA119" s="405"/>
      <c r="CG119" s="83"/>
      <c r="CO119" s="405"/>
      <c r="CU119" s="83"/>
      <c r="DC119" s="405"/>
      <c r="DI119" s="83"/>
      <c r="DQ119" s="405"/>
      <c r="DW119" s="83"/>
      <c r="EE119" s="405"/>
      <c r="EK119" s="83"/>
      <c r="ES119" s="405"/>
      <c r="EY119" s="83"/>
      <c r="FG119" s="405"/>
      <c r="FM119" s="83"/>
      <c r="FU119" s="405"/>
      <c r="GA119" s="83"/>
      <c r="GI119" s="405"/>
      <c r="GO119" s="83"/>
      <c r="GW119" s="405"/>
      <c r="HC119" s="83"/>
      <c r="HK119" s="405"/>
      <c r="HQ119" s="83"/>
      <c r="HY119" s="405"/>
      <c r="IE119" s="83"/>
      <c r="IM119" s="405"/>
      <c r="IS119" s="83"/>
      <c r="JA119" s="405"/>
      <c r="JG119" s="83"/>
      <c r="JO119" s="405"/>
      <c r="JU119" s="83"/>
      <c r="KC119" s="405"/>
      <c r="KI119" s="83"/>
      <c r="KQ119" s="405"/>
      <c r="KW119" s="83"/>
      <c r="LE119" s="405"/>
      <c r="LK119" s="83"/>
      <c r="LS119" s="405"/>
      <c r="LY119" s="83"/>
      <c r="MG119" s="405"/>
      <c r="MM119" s="83"/>
      <c r="MU119" s="405"/>
      <c r="NA119" s="83"/>
    </row>
    <row r="120">
      <c r="A120" s="483"/>
      <c r="B120" s="380"/>
      <c r="C120" s="380"/>
      <c r="D120" s="380"/>
      <c r="E120" s="380"/>
      <c r="F120" s="380"/>
      <c r="G120" s="380"/>
      <c r="H120" s="380"/>
      <c r="I120" s="403"/>
      <c r="J120" s="380"/>
      <c r="K120" s="380"/>
      <c r="L120" s="380"/>
      <c r="M120" s="380"/>
      <c r="N120" s="380"/>
      <c r="O120" s="404"/>
      <c r="P120" s="380"/>
      <c r="Q120" s="380"/>
      <c r="R120" s="380"/>
      <c r="S120" s="380"/>
      <c r="T120" s="380"/>
      <c r="U120" s="380"/>
      <c r="V120" s="380"/>
      <c r="W120" s="403"/>
      <c r="X120" s="380"/>
      <c r="Y120" s="380"/>
      <c r="Z120" s="380"/>
      <c r="AA120" s="380"/>
      <c r="AB120" s="380"/>
      <c r="AC120" s="404"/>
      <c r="AD120" s="380"/>
      <c r="AE120" s="380"/>
      <c r="AF120" s="380"/>
      <c r="AG120" s="380"/>
      <c r="AH120" s="380"/>
      <c r="AI120" s="380"/>
      <c r="AJ120" s="380"/>
      <c r="AK120" s="403"/>
      <c r="AL120" s="380"/>
      <c r="AM120" s="380"/>
      <c r="AN120" s="380"/>
      <c r="AO120" s="380"/>
      <c r="AP120" s="380"/>
      <c r="AQ120" s="404"/>
      <c r="AR120" s="380"/>
      <c r="AS120" s="380"/>
      <c r="AT120" s="380"/>
      <c r="AU120" s="380"/>
      <c r="AV120" s="380"/>
      <c r="AW120" s="380"/>
      <c r="AX120" s="380"/>
      <c r="AY120" s="403"/>
      <c r="AZ120" s="380"/>
      <c r="BA120" s="380"/>
      <c r="BB120" s="380"/>
      <c r="BC120" s="380"/>
      <c r="BD120" s="380"/>
      <c r="BE120" s="404"/>
      <c r="BF120" s="380"/>
      <c r="BG120" s="380"/>
      <c r="BH120" s="380"/>
      <c r="BI120" s="380"/>
      <c r="BJ120" s="380"/>
      <c r="BK120" s="380"/>
      <c r="BL120" s="380"/>
      <c r="BM120" s="403"/>
      <c r="BS120" s="83"/>
      <c r="CA120" s="405"/>
      <c r="CG120" s="83"/>
      <c r="CO120" s="405"/>
      <c r="CU120" s="83"/>
      <c r="DC120" s="405"/>
      <c r="DI120" s="83"/>
      <c r="DQ120" s="405"/>
      <c r="DW120" s="83"/>
      <c r="EE120" s="405"/>
      <c r="EK120" s="83"/>
      <c r="ES120" s="405"/>
      <c r="EY120" s="83"/>
      <c r="FG120" s="405"/>
      <c r="FM120" s="83"/>
      <c r="FU120" s="405"/>
      <c r="GA120" s="83"/>
      <c r="GI120" s="405"/>
      <c r="GO120" s="83"/>
      <c r="GW120" s="405"/>
      <c r="HC120" s="83"/>
      <c r="HK120" s="405"/>
      <c r="HQ120" s="83"/>
      <c r="HY120" s="405"/>
      <c r="IE120" s="83"/>
      <c r="IM120" s="405"/>
      <c r="IS120" s="83"/>
      <c r="JA120" s="405"/>
      <c r="JG120" s="83"/>
      <c r="JO120" s="405"/>
      <c r="JU120" s="83"/>
      <c r="KC120" s="405"/>
      <c r="KI120" s="83"/>
      <c r="KQ120" s="405"/>
      <c r="KW120" s="83"/>
      <c r="LE120" s="405"/>
      <c r="LK120" s="83"/>
      <c r="LS120" s="405"/>
      <c r="LY120" s="83"/>
      <c r="MG120" s="405"/>
      <c r="MM120" s="83"/>
      <c r="MU120" s="405"/>
      <c r="NA120" s="83"/>
    </row>
    <row r="121">
      <c r="A121" s="483"/>
      <c r="B121" s="380"/>
      <c r="C121" s="380"/>
      <c r="D121" s="380"/>
      <c r="E121" s="380"/>
      <c r="F121" s="380"/>
      <c r="G121" s="380"/>
      <c r="H121" s="380"/>
      <c r="I121" s="403"/>
      <c r="J121" s="380"/>
      <c r="K121" s="380"/>
      <c r="L121" s="380"/>
      <c r="M121" s="380"/>
      <c r="N121" s="380"/>
      <c r="O121" s="404"/>
      <c r="P121" s="380"/>
      <c r="Q121" s="380"/>
      <c r="R121" s="380"/>
      <c r="S121" s="380"/>
      <c r="T121" s="380"/>
      <c r="U121" s="380"/>
      <c r="V121" s="380"/>
      <c r="W121" s="403"/>
      <c r="X121" s="380"/>
      <c r="Y121" s="380"/>
      <c r="Z121" s="380"/>
      <c r="AA121" s="380"/>
      <c r="AB121" s="380"/>
      <c r="AC121" s="404"/>
      <c r="AD121" s="380"/>
      <c r="AE121" s="380"/>
      <c r="AF121" s="380"/>
      <c r="AG121" s="380"/>
      <c r="AH121" s="380"/>
      <c r="AI121" s="380"/>
      <c r="AJ121" s="380"/>
      <c r="AK121" s="403"/>
      <c r="AL121" s="380"/>
      <c r="AM121" s="380"/>
      <c r="AN121" s="380"/>
      <c r="AO121" s="380"/>
      <c r="AP121" s="380"/>
      <c r="AQ121" s="404"/>
      <c r="AR121" s="380"/>
      <c r="AS121" s="380"/>
      <c r="AT121" s="380"/>
      <c r="AU121" s="380"/>
      <c r="AV121" s="380"/>
      <c r="AW121" s="380"/>
      <c r="AX121" s="380"/>
      <c r="AY121" s="403"/>
      <c r="AZ121" s="380"/>
      <c r="BA121" s="380"/>
      <c r="BB121" s="380"/>
      <c r="BC121" s="380"/>
      <c r="BD121" s="380"/>
      <c r="BE121" s="404"/>
      <c r="BF121" s="380"/>
      <c r="BG121" s="380"/>
      <c r="BH121" s="380"/>
      <c r="BI121" s="380"/>
      <c r="BJ121" s="380"/>
      <c r="BK121" s="380"/>
      <c r="BL121" s="380"/>
      <c r="BM121" s="403"/>
      <c r="BS121" s="83"/>
      <c r="CA121" s="405"/>
      <c r="CG121" s="83"/>
      <c r="CO121" s="405"/>
      <c r="CU121" s="83"/>
      <c r="DC121" s="405"/>
      <c r="DI121" s="83"/>
      <c r="DQ121" s="405"/>
      <c r="DW121" s="83"/>
      <c r="EE121" s="405"/>
      <c r="EK121" s="83"/>
      <c r="ES121" s="405"/>
      <c r="EY121" s="83"/>
      <c r="FG121" s="405"/>
      <c r="FM121" s="83"/>
      <c r="FU121" s="405"/>
      <c r="GA121" s="83"/>
      <c r="GI121" s="405"/>
      <c r="GO121" s="83"/>
      <c r="GW121" s="405"/>
      <c r="HC121" s="83"/>
      <c r="HK121" s="405"/>
      <c r="HQ121" s="83"/>
      <c r="HY121" s="405"/>
      <c r="IE121" s="83"/>
      <c r="IM121" s="405"/>
      <c r="IS121" s="83"/>
      <c r="JA121" s="405"/>
      <c r="JG121" s="83"/>
      <c r="JO121" s="405"/>
      <c r="JU121" s="83"/>
      <c r="KC121" s="405"/>
      <c r="KI121" s="83"/>
      <c r="KQ121" s="405"/>
      <c r="KW121" s="83"/>
      <c r="LE121" s="405"/>
      <c r="LK121" s="83"/>
      <c r="LS121" s="405"/>
      <c r="LY121" s="83"/>
      <c r="MG121" s="405"/>
      <c r="MM121" s="83"/>
      <c r="MU121" s="405"/>
      <c r="NA121" s="83"/>
    </row>
    <row r="122">
      <c r="A122" s="483"/>
      <c r="B122" s="380"/>
      <c r="C122" s="380"/>
      <c r="D122" s="380"/>
      <c r="E122" s="380"/>
      <c r="F122" s="380"/>
      <c r="G122" s="380"/>
      <c r="H122" s="380"/>
      <c r="I122" s="403"/>
      <c r="J122" s="380"/>
      <c r="K122" s="380"/>
      <c r="L122" s="380"/>
      <c r="M122" s="380"/>
      <c r="N122" s="380"/>
      <c r="O122" s="404"/>
      <c r="P122" s="380"/>
      <c r="Q122" s="380"/>
      <c r="R122" s="380"/>
      <c r="S122" s="380"/>
      <c r="T122" s="380"/>
      <c r="U122" s="380"/>
      <c r="V122" s="380"/>
      <c r="W122" s="403"/>
      <c r="X122" s="380"/>
      <c r="Y122" s="380"/>
      <c r="Z122" s="380"/>
      <c r="AA122" s="380"/>
      <c r="AB122" s="380"/>
      <c r="AC122" s="404"/>
      <c r="AD122" s="380"/>
      <c r="AE122" s="380"/>
      <c r="AF122" s="380"/>
      <c r="AG122" s="380"/>
      <c r="AH122" s="380"/>
      <c r="AI122" s="380"/>
      <c r="AJ122" s="380"/>
      <c r="AK122" s="403"/>
      <c r="AL122" s="380"/>
      <c r="AM122" s="380"/>
      <c r="AN122" s="380"/>
      <c r="AO122" s="380"/>
      <c r="AP122" s="380"/>
      <c r="AQ122" s="404"/>
      <c r="AR122" s="380"/>
      <c r="AS122" s="380"/>
      <c r="AT122" s="380"/>
      <c r="AU122" s="380"/>
      <c r="AV122" s="380"/>
      <c r="AW122" s="380"/>
      <c r="AX122" s="380"/>
      <c r="AY122" s="403"/>
      <c r="AZ122" s="380"/>
      <c r="BA122" s="380"/>
      <c r="BB122" s="380"/>
      <c r="BC122" s="380"/>
      <c r="BD122" s="380"/>
      <c r="BE122" s="404"/>
      <c r="BF122" s="380"/>
      <c r="BG122" s="380"/>
      <c r="BH122" s="380"/>
      <c r="BI122" s="380"/>
      <c r="BJ122" s="380"/>
      <c r="BK122" s="380"/>
      <c r="BL122" s="380"/>
      <c r="BM122" s="403"/>
      <c r="BS122" s="83"/>
      <c r="CA122" s="405"/>
      <c r="CG122" s="83"/>
      <c r="CO122" s="405"/>
      <c r="CU122" s="83"/>
      <c r="DC122" s="405"/>
      <c r="DI122" s="83"/>
      <c r="DQ122" s="405"/>
      <c r="DW122" s="83"/>
      <c r="EE122" s="405"/>
      <c r="EK122" s="83"/>
      <c r="ES122" s="405"/>
      <c r="EY122" s="83"/>
      <c r="FG122" s="405"/>
      <c r="FM122" s="83"/>
      <c r="FU122" s="405"/>
      <c r="GA122" s="83"/>
      <c r="GI122" s="405"/>
      <c r="GO122" s="83"/>
      <c r="GW122" s="405"/>
      <c r="HC122" s="83"/>
      <c r="HK122" s="405"/>
      <c r="HQ122" s="83"/>
      <c r="HY122" s="405"/>
      <c r="IE122" s="83"/>
      <c r="IM122" s="405"/>
      <c r="IS122" s="83"/>
      <c r="JA122" s="405"/>
      <c r="JG122" s="83"/>
      <c r="JO122" s="405"/>
      <c r="JU122" s="83"/>
      <c r="KC122" s="405"/>
      <c r="KI122" s="83"/>
      <c r="KQ122" s="405"/>
      <c r="KW122" s="83"/>
      <c r="LE122" s="405"/>
      <c r="LK122" s="83"/>
      <c r="LS122" s="405"/>
      <c r="LY122" s="83"/>
      <c r="MG122" s="405"/>
      <c r="MM122" s="83"/>
      <c r="MU122" s="405"/>
      <c r="NA122" s="83"/>
    </row>
    <row r="123">
      <c r="A123" s="483"/>
      <c r="B123" s="380"/>
      <c r="C123" s="380"/>
      <c r="D123" s="380"/>
      <c r="E123" s="380"/>
      <c r="F123" s="380"/>
      <c r="G123" s="380"/>
      <c r="H123" s="380"/>
      <c r="I123" s="403"/>
      <c r="J123" s="380"/>
      <c r="K123" s="380"/>
      <c r="L123" s="380"/>
      <c r="M123" s="380"/>
      <c r="N123" s="380"/>
      <c r="O123" s="404"/>
      <c r="P123" s="380"/>
      <c r="Q123" s="380"/>
      <c r="R123" s="380"/>
      <c r="S123" s="380"/>
      <c r="T123" s="380"/>
      <c r="U123" s="380"/>
      <c r="V123" s="380"/>
      <c r="W123" s="403"/>
      <c r="X123" s="380"/>
      <c r="Y123" s="380"/>
      <c r="Z123" s="380"/>
      <c r="AA123" s="380"/>
      <c r="AB123" s="380"/>
      <c r="AC123" s="404"/>
      <c r="AD123" s="380"/>
      <c r="AE123" s="380"/>
      <c r="AF123" s="380"/>
      <c r="AG123" s="380"/>
      <c r="AH123" s="380"/>
      <c r="AI123" s="380"/>
      <c r="AJ123" s="380"/>
      <c r="AK123" s="403"/>
      <c r="AL123" s="380"/>
      <c r="AM123" s="380"/>
      <c r="AN123" s="380"/>
      <c r="AO123" s="380"/>
      <c r="AP123" s="380"/>
      <c r="AQ123" s="404"/>
      <c r="AR123" s="380"/>
      <c r="AS123" s="380"/>
      <c r="AT123" s="380"/>
      <c r="AU123" s="380"/>
      <c r="AV123" s="380"/>
      <c r="AW123" s="380"/>
      <c r="AX123" s="380"/>
      <c r="AY123" s="403"/>
      <c r="AZ123" s="380"/>
      <c r="BA123" s="380"/>
      <c r="BB123" s="380"/>
      <c r="BC123" s="380"/>
      <c r="BD123" s="380"/>
      <c r="BE123" s="404"/>
      <c r="BF123" s="380"/>
      <c r="BG123" s="380"/>
      <c r="BH123" s="380"/>
      <c r="BI123" s="380"/>
      <c r="BJ123" s="380"/>
      <c r="BK123" s="380"/>
      <c r="BL123" s="380"/>
      <c r="BM123" s="403"/>
      <c r="BS123" s="83"/>
      <c r="CA123" s="405"/>
      <c r="CG123" s="83"/>
      <c r="CO123" s="405"/>
      <c r="CU123" s="83"/>
      <c r="DC123" s="405"/>
      <c r="DI123" s="83"/>
      <c r="DQ123" s="405"/>
      <c r="DW123" s="83"/>
      <c r="EE123" s="405"/>
      <c r="EK123" s="83"/>
      <c r="ES123" s="405"/>
      <c r="EY123" s="83"/>
      <c r="FG123" s="405"/>
      <c r="FM123" s="83"/>
      <c r="FU123" s="405"/>
      <c r="GA123" s="83"/>
      <c r="GI123" s="405"/>
      <c r="GO123" s="83"/>
      <c r="GW123" s="405"/>
      <c r="HC123" s="83"/>
      <c r="HK123" s="405"/>
      <c r="HQ123" s="83"/>
      <c r="HY123" s="405"/>
      <c r="IE123" s="83"/>
      <c r="IM123" s="405"/>
      <c r="IS123" s="83"/>
      <c r="JA123" s="405"/>
      <c r="JG123" s="83"/>
      <c r="JO123" s="405"/>
      <c r="JU123" s="83"/>
      <c r="KC123" s="405"/>
      <c r="KI123" s="83"/>
      <c r="KQ123" s="405"/>
      <c r="KW123" s="83"/>
      <c r="LE123" s="405"/>
      <c r="LK123" s="83"/>
      <c r="LS123" s="405"/>
      <c r="LY123" s="83"/>
      <c r="MG123" s="405"/>
      <c r="MM123" s="83"/>
      <c r="MU123" s="405"/>
      <c r="NA123" s="83"/>
    </row>
    <row r="124">
      <c r="A124" s="483"/>
      <c r="B124" s="380"/>
      <c r="C124" s="380"/>
      <c r="D124" s="380"/>
      <c r="E124" s="380"/>
      <c r="F124" s="380"/>
      <c r="G124" s="380"/>
      <c r="H124" s="380"/>
      <c r="I124" s="403"/>
      <c r="J124" s="380"/>
      <c r="K124" s="380"/>
      <c r="L124" s="380"/>
      <c r="M124" s="380"/>
      <c r="N124" s="380"/>
      <c r="O124" s="404"/>
      <c r="P124" s="380"/>
      <c r="Q124" s="380"/>
      <c r="R124" s="380"/>
      <c r="S124" s="380"/>
      <c r="T124" s="380"/>
      <c r="U124" s="380"/>
      <c r="V124" s="380"/>
      <c r="W124" s="403"/>
      <c r="X124" s="380"/>
      <c r="Y124" s="380"/>
      <c r="Z124" s="380"/>
      <c r="AA124" s="380"/>
      <c r="AB124" s="380"/>
      <c r="AC124" s="404"/>
      <c r="AD124" s="380"/>
      <c r="AE124" s="380"/>
      <c r="AF124" s="380"/>
      <c r="AG124" s="380"/>
      <c r="AH124" s="380"/>
      <c r="AI124" s="380"/>
      <c r="AJ124" s="380"/>
      <c r="AK124" s="403"/>
      <c r="AL124" s="380"/>
      <c r="AM124" s="380"/>
      <c r="AN124" s="380"/>
      <c r="AO124" s="380"/>
      <c r="AP124" s="380"/>
      <c r="AQ124" s="404"/>
      <c r="AR124" s="380"/>
      <c r="AS124" s="380"/>
      <c r="AT124" s="380"/>
      <c r="AU124" s="380"/>
      <c r="AV124" s="380"/>
      <c r="AW124" s="380"/>
      <c r="AX124" s="380"/>
      <c r="AY124" s="403"/>
      <c r="AZ124" s="380"/>
      <c r="BA124" s="380"/>
      <c r="BB124" s="380"/>
      <c r="BC124" s="380"/>
      <c r="BD124" s="380"/>
      <c r="BE124" s="404"/>
      <c r="BF124" s="380"/>
      <c r="BG124" s="380"/>
      <c r="BH124" s="380"/>
      <c r="BI124" s="380"/>
      <c r="BJ124" s="380"/>
      <c r="BK124" s="380"/>
      <c r="BL124" s="380"/>
      <c r="BM124" s="403"/>
      <c r="BS124" s="83"/>
      <c r="CA124" s="405"/>
      <c r="CG124" s="83"/>
      <c r="CO124" s="405"/>
      <c r="CU124" s="83"/>
      <c r="DC124" s="405"/>
      <c r="DI124" s="83"/>
      <c r="DQ124" s="405"/>
      <c r="DW124" s="83"/>
      <c r="EE124" s="405"/>
      <c r="EK124" s="83"/>
      <c r="ES124" s="405"/>
      <c r="EY124" s="83"/>
      <c r="FG124" s="405"/>
      <c r="FM124" s="83"/>
      <c r="FU124" s="405"/>
      <c r="GA124" s="83"/>
      <c r="GI124" s="405"/>
      <c r="GO124" s="83"/>
      <c r="GW124" s="405"/>
      <c r="HC124" s="83"/>
      <c r="HK124" s="405"/>
      <c r="HQ124" s="83"/>
      <c r="HY124" s="405"/>
      <c r="IE124" s="83"/>
      <c r="IM124" s="405"/>
      <c r="IS124" s="83"/>
      <c r="JA124" s="405"/>
      <c r="JG124" s="83"/>
      <c r="JO124" s="405"/>
      <c r="JU124" s="83"/>
      <c r="KC124" s="405"/>
      <c r="KI124" s="83"/>
      <c r="KQ124" s="405"/>
      <c r="KW124" s="83"/>
      <c r="LE124" s="405"/>
      <c r="LK124" s="83"/>
      <c r="LS124" s="405"/>
      <c r="LY124" s="83"/>
      <c r="MG124" s="405"/>
      <c r="MM124" s="83"/>
      <c r="MU124" s="405"/>
      <c r="NA124" s="83"/>
    </row>
    <row r="125">
      <c r="A125" s="483"/>
      <c r="B125" s="380"/>
      <c r="C125" s="380"/>
      <c r="D125" s="380"/>
      <c r="E125" s="380"/>
      <c r="F125" s="380"/>
      <c r="G125" s="380"/>
      <c r="H125" s="380"/>
      <c r="I125" s="403"/>
      <c r="J125" s="380"/>
      <c r="K125" s="380"/>
      <c r="L125" s="380"/>
      <c r="M125" s="380"/>
      <c r="N125" s="380"/>
      <c r="O125" s="404"/>
      <c r="P125" s="380"/>
      <c r="Q125" s="380"/>
      <c r="R125" s="380"/>
      <c r="S125" s="380"/>
      <c r="T125" s="380"/>
      <c r="U125" s="380"/>
      <c r="V125" s="380"/>
      <c r="W125" s="403"/>
      <c r="X125" s="380"/>
      <c r="Y125" s="380"/>
      <c r="Z125" s="380"/>
      <c r="AA125" s="380"/>
      <c r="AB125" s="380"/>
      <c r="AC125" s="404"/>
      <c r="AD125" s="380"/>
      <c r="AE125" s="380"/>
      <c r="AF125" s="380"/>
      <c r="AG125" s="380"/>
      <c r="AH125" s="380"/>
      <c r="AI125" s="380"/>
      <c r="AJ125" s="380"/>
      <c r="AK125" s="403"/>
      <c r="AL125" s="380"/>
      <c r="AM125" s="380"/>
      <c r="AN125" s="380"/>
      <c r="AO125" s="380"/>
      <c r="AP125" s="380"/>
      <c r="AQ125" s="404"/>
      <c r="AR125" s="380"/>
      <c r="AS125" s="380"/>
      <c r="AT125" s="380"/>
      <c r="AU125" s="380"/>
      <c r="AV125" s="380"/>
      <c r="AW125" s="380"/>
      <c r="AX125" s="380"/>
      <c r="AY125" s="403"/>
      <c r="AZ125" s="380"/>
      <c r="BA125" s="380"/>
      <c r="BB125" s="380"/>
      <c r="BC125" s="380"/>
      <c r="BD125" s="380"/>
      <c r="BE125" s="404"/>
      <c r="BF125" s="380"/>
      <c r="BG125" s="380"/>
      <c r="BH125" s="380"/>
      <c r="BI125" s="380"/>
      <c r="BJ125" s="380"/>
      <c r="BK125" s="380"/>
      <c r="BL125" s="380"/>
      <c r="BM125" s="403"/>
      <c r="BS125" s="83"/>
      <c r="CA125" s="405"/>
      <c r="CG125" s="83"/>
      <c r="CO125" s="405"/>
      <c r="CU125" s="83"/>
      <c r="DC125" s="405"/>
      <c r="DI125" s="83"/>
      <c r="DQ125" s="405"/>
      <c r="DW125" s="83"/>
      <c r="EE125" s="405"/>
      <c r="EK125" s="83"/>
      <c r="ES125" s="405"/>
      <c r="EY125" s="83"/>
      <c r="FG125" s="405"/>
      <c r="FM125" s="83"/>
      <c r="FU125" s="405"/>
      <c r="GA125" s="83"/>
      <c r="GI125" s="405"/>
      <c r="GO125" s="83"/>
      <c r="GW125" s="405"/>
      <c r="HC125" s="83"/>
      <c r="HK125" s="405"/>
      <c r="HQ125" s="83"/>
      <c r="HY125" s="405"/>
      <c r="IE125" s="83"/>
      <c r="IM125" s="405"/>
      <c r="IS125" s="83"/>
      <c r="JA125" s="405"/>
      <c r="JG125" s="83"/>
      <c r="JO125" s="405"/>
      <c r="JU125" s="83"/>
      <c r="KC125" s="405"/>
      <c r="KI125" s="83"/>
      <c r="KQ125" s="405"/>
      <c r="KW125" s="83"/>
      <c r="LE125" s="405"/>
      <c r="LK125" s="83"/>
      <c r="LS125" s="405"/>
      <c r="LY125" s="83"/>
      <c r="MG125" s="405"/>
      <c r="MM125" s="83"/>
      <c r="MU125" s="405"/>
      <c r="NA125" s="83"/>
    </row>
    <row r="126">
      <c r="A126" s="483"/>
      <c r="B126" s="380"/>
      <c r="C126" s="380"/>
      <c r="D126" s="380"/>
      <c r="E126" s="380"/>
      <c r="F126" s="380"/>
      <c r="G126" s="380"/>
      <c r="H126" s="380"/>
      <c r="I126" s="403"/>
      <c r="J126" s="380"/>
      <c r="K126" s="380"/>
      <c r="L126" s="380"/>
      <c r="M126" s="380"/>
      <c r="N126" s="380"/>
      <c r="O126" s="404"/>
      <c r="P126" s="380"/>
      <c r="Q126" s="380"/>
      <c r="R126" s="380"/>
      <c r="S126" s="380"/>
      <c r="T126" s="380"/>
      <c r="U126" s="380"/>
      <c r="V126" s="380"/>
      <c r="W126" s="403"/>
      <c r="X126" s="380"/>
      <c r="Y126" s="380"/>
      <c r="Z126" s="380"/>
      <c r="AA126" s="380"/>
      <c r="AB126" s="380"/>
      <c r="AC126" s="404"/>
      <c r="AD126" s="380"/>
      <c r="AE126" s="380"/>
      <c r="AF126" s="380"/>
      <c r="AG126" s="380"/>
      <c r="AH126" s="380"/>
      <c r="AI126" s="380"/>
      <c r="AJ126" s="380"/>
      <c r="AK126" s="403"/>
      <c r="AL126" s="380"/>
      <c r="AM126" s="380"/>
      <c r="AN126" s="380"/>
      <c r="AO126" s="380"/>
      <c r="AP126" s="380"/>
      <c r="AQ126" s="404"/>
      <c r="AR126" s="380"/>
      <c r="AS126" s="380"/>
      <c r="AT126" s="380"/>
      <c r="AU126" s="380"/>
      <c r="AV126" s="380"/>
      <c r="AW126" s="380"/>
      <c r="AX126" s="380"/>
      <c r="AY126" s="403"/>
      <c r="AZ126" s="380"/>
      <c r="BA126" s="380"/>
      <c r="BB126" s="380"/>
      <c r="BC126" s="380"/>
      <c r="BD126" s="380"/>
      <c r="BE126" s="404"/>
      <c r="BF126" s="380"/>
      <c r="BG126" s="380"/>
      <c r="BH126" s="380"/>
      <c r="BI126" s="380"/>
      <c r="BJ126" s="380"/>
      <c r="BK126" s="380"/>
      <c r="BL126" s="380"/>
      <c r="BM126" s="403"/>
      <c r="BS126" s="83"/>
      <c r="CA126" s="405"/>
      <c r="CG126" s="83"/>
      <c r="CO126" s="405"/>
      <c r="CU126" s="83"/>
      <c r="DC126" s="405"/>
      <c r="DI126" s="83"/>
      <c r="DQ126" s="405"/>
      <c r="DW126" s="83"/>
      <c r="EE126" s="405"/>
      <c r="EK126" s="83"/>
      <c r="ES126" s="405"/>
      <c r="EY126" s="83"/>
      <c r="FG126" s="405"/>
      <c r="FM126" s="83"/>
      <c r="FU126" s="405"/>
      <c r="GA126" s="83"/>
      <c r="GI126" s="405"/>
      <c r="GO126" s="83"/>
      <c r="GW126" s="405"/>
      <c r="HC126" s="83"/>
      <c r="HK126" s="405"/>
      <c r="HQ126" s="83"/>
      <c r="HY126" s="405"/>
      <c r="IE126" s="83"/>
      <c r="IM126" s="405"/>
      <c r="IS126" s="83"/>
      <c r="JA126" s="405"/>
      <c r="JG126" s="83"/>
      <c r="JO126" s="405"/>
      <c r="JU126" s="83"/>
      <c r="KC126" s="405"/>
      <c r="KI126" s="83"/>
      <c r="KQ126" s="405"/>
      <c r="KW126" s="83"/>
      <c r="LE126" s="405"/>
      <c r="LK126" s="83"/>
      <c r="LS126" s="405"/>
      <c r="LY126" s="83"/>
      <c r="MG126" s="405"/>
      <c r="MM126" s="83"/>
      <c r="MU126" s="405"/>
      <c r="NA126" s="83"/>
    </row>
    <row r="127">
      <c r="A127" s="483"/>
      <c r="B127" s="380"/>
      <c r="C127" s="380"/>
      <c r="D127" s="380"/>
      <c r="E127" s="380"/>
      <c r="F127" s="380"/>
      <c r="G127" s="380"/>
      <c r="H127" s="380"/>
      <c r="I127" s="403"/>
      <c r="J127" s="380"/>
      <c r="K127" s="380"/>
      <c r="L127" s="380"/>
      <c r="M127" s="380"/>
      <c r="N127" s="380"/>
      <c r="O127" s="404"/>
      <c r="P127" s="380"/>
      <c r="Q127" s="380"/>
      <c r="R127" s="380"/>
      <c r="S127" s="380"/>
      <c r="T127" s="380"/>
      <c r="U127" s="380"/>
      <c r="V127" s="380"/>
      <c r="W127" s="403"/>
      <c r="X127" s="380"/>
      <c r="Y127" s="380"/>
      <c r="Z127" s="380"/>
      <c r="AA127" s="380"/>
      <c r="AB127" s="380"/>
      <c r="AC127" s="404"/>
      <c r="AD127" s="380"/>
      <c r="AE127" s="380"/>
      <c r="AF127" s="380"/>
      <c r="AG127" s="380"/>
      <c r="AH127" s="380"/>
      <c r="AI127" s="380"/>
      <c r="AJ127" s="380"/>
      <c r="AK127" s="403"/>
      <c r="AL127" s="380"/>
      <c r="AM127" s="380"/>
      <c r="AN127" s="380"/>
      <c r="AO127" s="380"/>
      <c r="AP127" s="380"/>
      <c r="AQ127" s="404"/>
      <c r="AR127" s="380"/>
      <c r="AS127" s="380"/>
      <c r="AT127" s="380"/>
      <c r="AU127" s="380"/>
      <c r="AV127" s="380"/>
      <c r="AW127" s="380"/>
      <c r="AX127" s="380"/>
      <c r="AY127" s="403"/>
      <c r="AZ127" s="380"/>
      <c r="BA127" s="380"/>
      <c r="BB127" s="380"/>
      <c r="BC127" s="380"/>
      <c r="BD127" s="380"/>
      <c r="BE127" s="404"/>
      <c r="BF127" s="380"/>
      <c r="BG127" s="380"/>
      <c r="BH127" s="380"/>
      <c r="BI127" s="380"/>
      <c r="BJ127" s="380"/>
      <c r="BK127" s="380"/>
      <c r="BL127" s="380"/>
      <c r="BM127" s="403"/>
      <c r="BS127" s="83"/>
      <c r="CA127" s="405"/>
      <c r="CG127" s="83"/>
      <c r="CO127" s="405"/>
      <c r="CU127" s="83"/>
      <c r="DC127" s="405"/>
      <c r="DI127" s="83"/>
      <c r="DQ127" s="405"/>
      <c r="DW127" s="83"/>
      <c r="EE127" s="405"/>
      <c r="EK127" s="83"/>
      <c r="ES127" s="405"/>
      <c r="EY127" s="83"/>
      <c r="FG127" s="405"/>
      <c r="FM127" s="83"/>
      <c r="FU127" s="405"/>
      <c r="GA127" s="83"/>
      <c r="GI127" s="405"/>
      <c r="GO127" s="83"/>
      <c r="GW127" s="405"/>
      <c r="HC127" s="83"/>
      <c r="HK127" s="405"/>
      <c r="HQ127" s="83"/>
      <c r="HY127" s="405"/>
      <c r="IE127" s="83"/>
      <c r="IM127" s="405"/>
      <c r="IS127" s="83"/>
      <c r="JA127" s="405"/>
      <c r="JG127" s="83"/>
      <c r="JO127" s="405"/>
      <c r="JU127" s="83"/>
      <c r="KC127" s="405"/>
      <c r="KI127" s="83"/>
      <c r="KQ127" s="405"/>
      <c r="KW127" s="83"/>
      <c r="LE127" s="405"/>
      <c r="LK127" s="83"/>
      <c r="LS127" s="405"/>
      <c r="LY127" s="83"/>
      <c r="MG127" s="405"/>
      <c r="MM127" s="83"/>
      <c r="MU127" s="405"/>
      <c r="NA127" s="83"/>
    </row>
    <row r="128">
      <c r="A128" s="483"/>
      <c r="B128" s="380"/>
      <c r="C128" s="380"/>
      <c r="D128" s="380"/>
      <c r="E128" s="380"/>
      <c r="F128" s="380"/>
      <c r="G128" s="380"/>
      <c r="H128" s="380"/>
      <c r="I128" s="403"/>
      <c r="J128" s="380"/>
      <c r="K128" s="380"/>
      <c r="L128" s="380"/>
      <c r="M128" s="380"/>
      <c r="N128" s="380"/>
      <c r="O128" s="404"/>
      <c r="P128" s="380"/>
      <c r="Q128" s="380"/>
      <c r="R128" s="380"/>
      <c r="S128" s="380"/>
      <c r="T128" s="380"/>
      <c r="U128" s="380"/>
      <c r="V128" s="380"/>
      <c r="W128" s="403"/>
      <c r="X128" s="380"/>
      <c r="Y128" s="380"/>
      <c r="Z128" s="380"/>
      <c r="AA128" s="380"/>
      <c r="AB128" s="380"/>
      <c r="AC128" s="404"/>
      <c r="AD128" s="380"/>
      <c r="AE128" s="380"/>
      <c r="AF128" s="380"/>
      <c r="AG128" s="380"/>
      <c r="AH128" s="380"/>
      <c r="AI128" s="380"/>
      <c r="AJ128" s="380"/>
      <c r="AK128" s="403"/>
      <c r="AL128" s="380"/>
      <c r="AM128" s="380"/>
      <c r="AN128" s="380"/>
      <c r="AO128" s="380"/>
      <c r="AP128" s="380"/>
      <c r="AQ128" s="404"/>
      <c r="AR128" s="380"/>
      <c r="AS128" s="380"/>
      <c r="AT128" s="380"/>
      <c r="AU128" s="380"/>
      <c r="AV128" s="380"/>
      <c r="AW128" s="380"/>
      <c r="AX128" s="380"/>
      <c r="AY128" s="403"/>
      <c r="AZ128" s="380"/>
      <c r="BA128" s="380"/>
      <c r="BB128" s="380"/>
      <c r="BC128" s="380"/>
      <c r="BD128" s="380"/>
      <c r="BE128" s="404"/>
      <c r="BF128" s="380"/>
      <c r="BG128" s="380"/>
      <c r="BH128" s="380"/>
      <c r="BI128" s="380"/>
      <c r="BJ128" s="380"/>
      <c r="BK128" s="380"/>
      <c r="BL128" s="380"/>
      <c r="BM128" s="403"/>
      <c r="BS128" s="83"/>
      <c r="CA128" s="405"/>
      <c r="CG128" s="83"/>
      <c r="CO128" s="405"/>
      <c r="CU128" s="83"/>
      <c r="DC128" s="405"/>
      <c r="DI128" s="83"/>
      <c r="DQ128" s="405"/>
      <c r="DW128" s="83"/>
      <c r="EE128" s="405"/>
      <c r="EK128" s="83"/>
      <c r="ES128" s="405"/>
      <c r="EY128" s="83"/>
      <c r="FG128" s="405"/>
      <c r="FM128" s="83"/>
      <c r="FU128" s="405"/>
      <c r="GA128" s="83"/>
      <c r="GI128" s="405"/>
      <c r="GO128" s="83"/>
      <c r="GW128" s="405"/>
      <c r="HC128" s="83"/>
      <c r="HK128" s="405"/>
      <c r="HQ128" s="83"/>
      <c r="HY128" s="405"/>
      <c r="IE128" s="83"/>
      <c r="IM128" s="405"/>
      <c r="IS128" s="83"/>
      <c r="JA128" s="405"/>
      <c r="JG128" s="83"/>
      <c r="JO128" s="405"/>
      <c r="JU128" s="83"/>
      <c r="KC128" s="405"/>
      <c r="KI128" s="83"/>
      <c r="KQ128" s="405"/>
      <c r="KW128" s="83"/>
      <c r="LE128" s="405"/>
      <c r="LK128" s="83"/>
      <c r="LS128" s="405"/>
      <c r="LY128" s="83"/>
      <c r="MG128" s="405"/>
      <c r="MM128" s="83"/>
      <c r="MU128" s="405"/>
      <c r="NA128" s="83"/>
    </row>
    <row r="129">
      <c r="A129" s="483"/>
      <c r="B129" s="380"/>
      <c r="C129" s="380"/>
      <c r="D129" s="380"/>
      <c r="E129" s="380"/>
      <c r="F129" s="380"/>
      <c r="G129" s="380"/>
      <c r="H129" s="380"/>
      <c r="I129" s="403"/>
      <c r="J129" s="380"/>
      <c r="K129" s="380"/>
      <c r="L129" s="380"/>
      <c r="M129" s="380"/>
      <c r="N129" s="380"/>
      <c r="O129" s="404"/>
      <c r="P129" s="380"/>
      <c r="Q129" s="380"/>
      <c r="R129" s="380"/>
      <c r="S129" s="380"/>
      <c r="T129" s="380"/>
      <c r="U129" s="380"/>
      <c r="V129" s="380"/>
      <c r="W129" s="403"/>
      <c r="X129" s="380"/>
      <c r="Y129" s="380"/>
      <c r="Z129" s="380"/>
      <c r="AA129" s="380"/>
      <c r="AB129" s="380"/>
      <c r="AC129" s="404"/>
      <c r="AD129" s="380"/>
      <c r="AE129" s="380"/>
      <c r="AF129" s="380"/>
      <c r="AG129" s="380"/>
      <c r="AH129" s="380"/>
      <c r="AI129" s="380"/>
      <c r="AJ129" s="380"/>
      <c r="AK129" s="403"/>
      <c r="AL129" s="380"/>
      <c r="AM129" s="380"/>
      <c r="AN129" s="380"/>
      <c r="AO129" s="380"/>
      <c r="AP129" s="380"/>
      <c r="AQ129" s="404"/>
      <c r="AR129" s="380"/>
      <c r="AS129" s="380"/>
      <c r="AT129" s="380"/>
      <c r="AU129" s="380"/>
      <c r="AV129" s="380"/>
      <c r="AW129" s="380"/>
      <c r="AX129" s="380"/>
      <c r="AY129" s="403"/>
      <c r="AZ129" s="380"/>
      <c r="BA129" s="380"/>
      <c r="BB129" s="380"/>
      <c r="BC129" s="380"/>
      <c r="BD129" s="380"/>
      <c r="BE129" s="404"/>
      <c r="BF129" s="380"/>
      <c r="BG129" s="380"/>
      <c r="BH129" s="380"/>
      <c r="BI129" s="380"/>
      <c r="BJ129" s="380"/>
      <c r="BK129" s="380"/>
      <c r="BL129" s="380"/>
      <c r="BM129" s="403"/>
      <c r="BS129" s="83"/>
      <c r="CA129" s="405"/>
      <c r="CG129" s="83"/>
      <c r="CO129" s="405"/>
      <c r="CU129" s="83"/>
      <c r="DC129" s="405"/>
      <c r="DI129" s="83"/>
      <c r="DQ129" s="405"/>
      <c r="DW129" s="83"/>
      <c r="EE129" s="405"/>
      <c r="EK129" s="83"/>
      <c r="ES129" s="405"/>
      <c r="EY129" s="83"/>
      <c r="FG129" s="405"/>
      <c r="FM129" s="83"/>
      <c r="FU129" s="405"/>
      <c r="GA129" s="83"/>
      <c r="GI129" s="405"/>
      <c r="GO129" s="83"/>
      <c r="GW129" s="405"/>
      <c r="HC129" s="83"/>
      <c r="HK129" s="405"/>
      <c r="HQ129" s="83"/>
      <c r="HY129" s="405"/>
      <c r="IE129" s="83"/>
      <c r="IM129" s="405"/>
      <c r="IS129" s="83"/>
      <c r="JA129" s="405"/>
      <c r="JG129" s="83"/>
      <c r="JO129" s="405"/>
      <c r="JU129" s="83"/>
      <c r="KC129" s="405"/>
      <c r="KI129" s="83"/>
      <c r="KQ129" s="405"/>
      <c r="KW129" s="83"/>
      <c r="LE129" s="405"/>
      <c r="LK129" s="83"/>
      <c r="LS129" s="405"/>
      <c r="LY129" s="83"/>
      <c r="MG129" s="405"/>
      <c r="MM129" s="83"/>
      <c r="MU129" s="405"/>
      <c r="NA129" s="83"/>
    </row>
    <row r="130">
      <c r="A130" s="483"/>
      <c r="B130" s="380"/>
      <c r="C130" s="380"/>
      <c r="D130" s="380"/>
      <c r="E130" s="380"/>
      <c r="F130" s="380"/>
      <c r="G130" s="380"/>
      <c r="H130" s="380"/>
      <c r="I130" s="403"/>
      <c r="J130" s="380"/>
      <c r="K130" s="380"/>
      <c r="L130" s="380"/>
      <c r="M130" s="380"/>
      <c r="N130" s="380"/>
      <c r="O130" s="404"/>
      <c r="P130" s="380"/>
      <c r="Q130" s="380"/>
      <c r="R130" s="380"/>
      <c r="S130" s="380"/>
      <c r="T130" s="380"/>
      <c r="U130" s="380"/>
      <c r="V130" s="380"/>
      <c r="W130" s="403"/>
      <c r="X130" s="380"/>
      <c r="Y130" s="380"/>
      <c r="Z130" s="380"/>
      <c r="AA130" s="380"/>
      <c r="AB130" s="380"/>
      <c r="AC130" s="404"/>
      <c r="AD130" s="380"/>
      <c r="AE130" s="380"/>
      <c r="AF130" s="380"/>
      <c r="AG130" s="380"/>
      <c r="AH130" s="380"/>
      <c r="AI130" s="380"/>
      <c r="AJ130" s="380"/>
      <c r="AK130" s="403"/>
      <c r="AL130" s="380"/>
      <c r="AM130" s="380"/>
      <c r="AN130" s="380"/>
      <c r="AO130" s="380"/>
      <c r="AP130" s="380"/>
      <c r="AQ130" s="404"/>
      <c r="AR130" s="380"/>
      <c r="AS130" s="380"/>
      <c r="AT130" s="380"/>
      <c r="AU130" s="380"/>
      <c r="AV130" s="380"/>
      <c r="AW130" s="380"/>
      <c r="AX130" s="380"/>
      <c r="AY130" s="403"/>
      <c r="AZ130" s="380"/>
      <c r="BA130" s="380"/>
      <c r="BB130" s="380"/>
      <c r="BC130" s="380"/>
      <c r="BD130" s="380"/>
      <c r="BE130" s="404"/>
      <c r="BF130" s="380"/>
      <c r="BG130" s="380"/>
      <c r="BH130" s="380"/>
      <c r="BI130" s="380"/>
      <c r="BJ130" s="380"/>
      <c r="BK130" s="380"/>
      <c r="BL130" s="380"/>
      <c r="BM130" s="403"/>
      <c r="BS130" s="83"/>
      <c r="CA130" s="405"/>
      <c r="CG130" s="83"/>
      <c r="CO130" s="405"/>
      <c r="CU130" s="83"/>
      <c r="DC130" s="405"/>
      <c r="DI130" s="83"/>
      <c r="DQ130" s="405"/>
      <c r="DW130" s="83"/>
      <c r="EE130" s="405"/>
      <c r="EK130" s="83"/>
      <c r="ES130" s="405"/>
      <c r="EY130" s="83"/>
      <c r="FG130" s="405"/>
      <c r="FM130" s="83"/>
      <c r="FU130" s="405"/>
      <c r="GA130" s="83"/>
      <c r="GI130" s="405"/>
      <c r="GO130" s="83"/>
      <c r="GW130" s="405"/>
      <c r="HC130" s="83"/>
      <c r="HK130" s="405"/>
      <c r="HQ130" s="83"/>
      <c r="HY130" s="405"/>
      <c r="IE130" s="83"/>
      <c r="IM130" s="405"/>
      <c r="IS130" s="83"/>
      <c r="JA130" s="405"/>
      <c r="JG130" s="83"/>
      <c r="JO130" s="405"/>
      <c r="JU130" s="83"/>
      <c r="KC130" s="405"/>
      <c r="KI130" s="83"/>
      <c r="KQ130" s="405"/>
      <c r="KW130" s="83"/>
      <c r="LE130" s="405"/>
      <c r="LK130" s="83"/>
      <c r="LS130" s="405"/>
      <c r="LY130" s="83"/>
      <c r="MG130" s="405"/>
      <c r="MM130" s="83"/>
      <c r="MU130" s="405"/>
      <c r="NA130" s="83"/>
    </row>
    <row r="131">
      <c r="A131" s="483"/>
      <c r="B131" s="380"/>
      <c r="C131" s="380"/>
      <c r="D131" s="380"/>
      <c r="E131" s="380"/>
      <c r="F131" s="380"/>
      <c r="G131" s="380"/>
      <c r="H131" s="380"/>
      <c r="I131" s="403"/>
      <c r="J131" s="380"/>
      <c r="K131" s="380"/>
      <c r="L131" s="380"/>
      <c r="M131" s="380"/>
      <c r="N131" s="380"/>
      <c r="O131" s="404"/>
      <c r="P131" s="380"/>
      <c r="Q131" s="380"/>
      <c r="R131" s="380"/>
      <c r="S131" s="380"/>
      <c r="T131" s="380"/>
      <c r="U131" s="380"/>
      <c r="V131" s="380"/>
      <c r="W131" s="403"/>
      <c r="X131" s="380"/>
      <c r="Y131" s="380"/>
      <c r="Z131" s="380"/>
      <c r="AA131" s="380"/>
      <c r="AB131" s="380"/>
      <c r="AC131" s="404"/>
      <c r="AD131" s="380"/>
      <c r="AE131" s="380"/>
      <c r="AF131" s="380"/>
      <c r="AG131" s="380"/>
      <c r="AH131" s="380"/>
      <c r="AI131" s="380"/>
      <c r="AJ131" s="380"/>
      <c r="AK131" s="403"/>
      <c r="AL131" s="380"/>
      <c r="AM131" s="380"/>
      <c r="AN131" s="380"/>
      <c r="AO131" s="380"/>
      <c r="AP131" s="380"/>
      <c r="AQ131" s="404"/>
      <c r="AR131" s="380"/>
      <c r="AS131" s="380"/>
      <c r="AT131" s="380"/>
      <c r="AU131" s="380"/>
      <c r="AV131" s="380"/>
      <c r="AW131" s="380"/>
      <c r="AX131" s="380"/>
      <c r="AY131" s="403"/>
      <c r="AZ131" s="380"/>
      <c r="BA131" s="380"/>
      <c r="BB131" s="380"/>
      <c r="BC131" s="380"/>
      <c r="BD131" s="380"/>
      <c r="BE131" s="404"/>
      <c r="BF131" s="380"/>
      <c r="BG131" s="380"/>
      <c r="BH131" s="380"/>
      <c r="BI131" s="380"/>
      <c r="BJ131" s="380"/>
      <c r="BK131" s="380"/>
      <c r="BL131" s="380"/>
      <c r="BM131" s="403"/>
      <c r="BS131" s="83"/>
      <c r="CA131" s="405"/>
      <c r="CG131" s="83"/>
      <c r="CO131" s="405"/>
      <c r="CU131" s="83"/>
      <c r="DC131" s="405"/>
      <c r="DI131" s="83"/>
      <c r="DQ131" s="405"/>
      <c r="DW131" s="83"/>
      <c r="EE131" s="405"/>
      <c r="EK131" s="83"/>
      <c r="ES131" s="405"/>
      <c r="EY131" s="83"/>
      <c r="FG131" s="405"/>
      <c r="FM131" s="83"/>
      <c r="FU131" s="405"/>
      <c r="GA131" s="83"/>
      <c r="GI131" s="405"/>
      <c r="GO131" s="83"/>
      <c r="GW131" s="405"/>
      <c r="HC131" s="83"/>
      <c r="HK131" s="405"/>
      <c r="HQ131" s="83"/>
      <c r="HY131" s="405"/>
      <c r="IE131" s="83"/>
      <c r="IM131" s="405"/>
      <c r="IS131" s="83"/>
      <c r="JA131" s="405"/>
      <c r="JG131" s="83"/>
      <c r="JO131" s="405"/>
      <c r="JU131" s="83"/>
      <c r="KC131" s="405"/>
      <c r="KI131" s="83"/>
      <c r="KQ131" s="405"/>
      <c r="KW131" s="83"/>
      <c r="LE131" s="405"/>
      <c r="LK131" s="83"/>
      <c r="LS131" s="405"/>
      <c r="LY131" s="83"/>
      <c r="MG131" s="405"/>
      <c r="MM131" s="83"/>
      <c r="MU131" s="405"/>
      <c r="NA131" s="83"/>
    </row>
    <row r="132">
      <c r="A132" s="483"/>
      <c r="B132" s="380"/>
      <c r="C132" s="380"/>
      <c r="D132" s="380"/>
      <c r="E132" s="380"/>
      <c r="F132" s="380"/>
      <c r="G132" s="380"/>
      <c r="H132" s="380"/>
      <c r="I132" s="403"/>
      <c r="J132" s="380"/>
      <c r="K132" s="380"/>
      <c r="L132" s="380"/>
      <c r="M132" s="380"/>
      <c r="N132" s="380"/>
      <c r="O132" s="404"/>
      <c r="P132" s="380"/>
      <c r="Q132" s="380"/>
      <c r="R132" s="380"/>
      <c r="S132" s="380"/>
      <c r="T132" s="380"/>
      <c r="U132" s="380"/>
      <c r="V132" s="380"/>
      <c r="W132" s="403"/>
      <c r="X132" s="380"/>
      <c r="Y132" s="380"/>
      <c r="Z132" s="380"/>
      <c r="AA132" s="380"/>
      <c r="AB132" s="380"/>
      <c r="AC132" s="404"/>
      <c r="AD132" s="380"/>
      <c r="AE132" s="380"/>
      <c r="AF132" s="380"/>
      <c r="AG132" s="380"/>
      <c r="AH132" s="380"/>
      <c r="AI132" s="380"/>
      <c r="AJ132" s="380"/>
      <c r="AK132" s="403"/>
      <c r="AL132" s="380"/>
      <c r="AM132" s="380"/>
      <c r="AN132" s="380"/>
      <c r="AO132" s="380"/>
      <c r="AP132" s="380"/>
      <c r="AQ132" s="404"/>
      <c r="AR132" s="380"/>
      <c r="AS132" s="380"/>
      <c r="AT132" s="380"/>
      <c r="AU132" s="380"/>
      <c r="AV132" s="380"/>
      <c r="AW132" s="380"/>
      <c r="AX132" s="380"/>
      <c r="AY132" s="403"/>
      <c r="AZ132" s="380"/>
      <c r="BA132" s="380"/>
      <c r="BB132" s="380"/>
      <c r="BC132" s="380"/>
      <c r="BD132" s="380"/>
      <c r="BE132" s="404"/>
      <c r="BF132" s="380"/>
      <c r="BG132" s="380"/>
      <c r="BH132" s="380"/>
      <c r="BI132" s="380"/>
      <c r="BJ132" s="380"/>
      <c r="BK132" s="380"/>
      <c r="BL132" s="380"/>
      <c r="BM132" s="403"/>
      <c r="BS132" s="83"/>
      <c r="CA132" s="405"/>
      <c r="CG132" s="83"/>
      <c r="CO132" s="405"/>
      <c r="CU132" s="83"/>
      <c r="DC132" s="405"/>
      <c r="DI132" s="83"/>
      <c r="DQ132" s="405"/>
      <c r="DW132" s="83"/>
      <c r="EE132" s="405"/>
      <c r="EK132" s="83"/>
      <c r="ES132" s="405"/>
      <c r="EY132" s="83"/>
      <c r="FG132" s="405"/>
      <c r="FM132" s="83"/>
      <c r="FU132" s="405"/>
      <c r="GA132" s="83"/>
      <c r="GI132" s="405"/>
      <c r="GO132" s="83"/>
      <c r="GW132" s="405"/>
      <c r="HC132" s="83"/>
      <c r="HK132" s="405"/>
      <c r="HQ132" s="83"/>
      <c r="HY132" s="405"/>
      <c r="IE132" s="83"/>
      <c r="IM132" s="405"/>
      <c r="IS132" s="83"/>
      <c r="JA132" s="405"/>
      <c r="JG132" s="83"/>
      <c r="JO132" s="405"/>
      <c r="JU132" s="83"/>
      <c r="KC132" s="405"/>
      <c r="KI132" s="83"/>
      <c r="KQ132" s="405"/>
      <c r="KW132" s="83"/>
      <c r="LE132" s="405"/>
      <c r="LK132" s="83"/>
      <c r="LS132" s="405"/>
      <c r="LY132" s="83"/>
      <c r="MG132" s="405"/>
      <c r="MM132" s="83"/>
      <c r="MU132" s="405"/>
      <c r="NA132" s="83"/>
    </row>
    <row r="133">
      <c r="A133" s="483"/>
      <c r="B133" s="380"/>
      <c r="C133" s="380"/>
      <c r="D133" s="380"/>
      <c r="E133" s="380"/>
      <c r="F133" s="380"/>
      <c r="G133" s="380"/>
      <c r="H133" s="380"/>
      <c r="I133" s="403"/>
      <c r="J133" s="380"/>
      <c r="K133" s="380"/>
      <c r="L133" s="380"/>
      <c r="M133" s="380"/>
      <c r="N133" s="380"/>
      <c r="O133" s="404"/>
      <c r="P133" s="380"/>
      <c r="Q133" s="380"/>
      <c r="R133" s="380"/>
      <c r="S133" s="380"/>
      <c r="T133" s="380"/>
      <c r="U133" s="380"/>
      <c r="V133" s="380"/>
      <c r="W133" s="403"/>
      <c r="X133" s="380"/>
      <c r="Y133" s="380"/>
      <c r="Z133" s="380"/>
      <c r="AA133" s="380"/>
      <c r="AB133" s="380"/>
      <c r="AC133" s="404"/>
      <c r="AD133" s="380"/>
      <c r="AE133" s="380"/>
      <c r="AF133" s="380"/>
      <c r="AG133" s="380"/>
      <c r="AH133" s="380"/>
      <c r="AI133" s="380"/>
      <c r="AJ133" s="380"/>
      <c r="AK133" s="403"/>
      <c r="AL133" s="380"/>
      <c r="AM133" s="380"/>
      <c r="AN133" s="380"/>
      <c r="AO133" s="380"/>
      <c r="AP133" s="380"/>
      <c r="AQ133" s="404"/>
      <c r="AR133" s="380"/>
      <c r="AS133" s="380"/>
      <c r="AT133" s="380"/>
      <c r="AU133" s="380"/>
      <c r="AV133" s="380"/>
      <c r="AW133" s="380"/>
      <c r="AX133" s="380"/>
      <c r="AY133" s="403"/>
      <c r="AZ133" s="380"/>
      <c r="BA133" s="380"/>
      <c r="BB133" s="380"/>
      <c r="BC133" s="380"/>
      <c r="BD133" s="380"/>
      <c r="BE133" s="404"/>
      <c r="BF133" s="380"/>
      <c r="BG133" s="380"/>
      <c r="BH133" s="380"/>
      <c r="BI133" s="380"/>
      <c r="BJ133" s="380"/>
      <c r="BK133" s="380"/>
      <c r="BL133" s="380"/>
      <c r="BM133" s="403"/>
      <c r="BS133" s="83"/>
      <c r="CA133" s="405"/>
      <c r="CG133" s="83"/>
      <c r="CO133" s="405"/>
      <c r="CU133" s="83"/>
      <c r="DC133" s="405"/>
      <c r="DI133" s="83"/>
      <c r="DQ133" s="405"/>
      <c r="DW133" s="83"/>
      <c r="EE133" s="405"/>
      <c r="EK133" s="83"/>
      <c r="ES133" s="405"/>
      <c r="EY133" s="83"/>
      <c r="FG133" s="405"/>
      <c r="FM133" s="83"/>
      <c r="FU133" s="405"/>
      <c r="GA133" s="83"/>
      <c r="GI133" s="405"/>
      <c r="GO133" s="83"/>
      <c r="GW133" s="405"/>
      <c r="HC133" s="83"/>
      <c r="HK133" s="405"/>
      <c r="HQ133" s="83"/>
      <c r="HY133" s="405"/>
      <c r="IE133" s="83"/>
      <c r="IM133" s="405"/>
      <c r="IS133" s="83"/>
      <c r="JA133" s="405"/>
      <c r="JG133" s="83"/>
      <c r="JO133" s="405"/>
      <c r="JU133" s="83"/>
      <c r="KC133" s="405"/>
      <c r="KI133" s="83"/>
      <c r="KQ133" s="405"/>
      <c r="KW133" s="83"/>
      <c r="LE133" s="405"/>
      <c r="LK133" s="83"/>
      <c r="LS133" s="405"/>
      <c r="LY133" s="83"/>
      <c r="MG133" s="405"/>
      <c r="MM133" s="83"/>
      <c r="MU133" s="405"/>
      <c r="NA133" s="83"/>
    </row>
    <row r="134">
      <c r="A134" s="483"/>
      <c r="B134" s="380"/>
      <c r="C134" s="380"/>
      <c r="D134" s="380"/>
      <c r="E134" s="380"/>
      <c r="F134" s="380"/>
      <c r="G134" s="380"/>
      <c r="H134" s="380"/>
      <c r="I134" s="403"/>
      <c r="J134" s="380"/>
      <c r="K134" s="380"/>
      <c r="L134" s="380"/>
      <c r="M134" s="380"/>
      <c r="N134" s="380"/>
      <c r="O134" s="404"/>
      <c r="P134" s="380"/>
      <c r="Q134" s="380"/>
      <c r="R134" s="380"/>
      <c r="S134" s="380"/>
      <c r="T134" s="380"/>
      <c r="U134" s="380"/>
      <c r="V134" s="380"/>
      <c r="W134" s="403"/>
      <c r="X134" s="380"/>
      <c r="Y134" s="380"/>
      <c r="Z134" s="380"/>
      <c r="AA134" s="380"/>
      <c r="AB134" s="380"/>
      <c r="AC134" s="404"/>
      <c r="AD134" s="380"/>
      <c r="AE134" s="380"/>
      <c r="AF134" s="380"/>
      <c r="AG134" s="380"/>
      <c r="AH134" s="380"/>
      <c r="AI134" s="380"/>
      <c r="AJ134" s="380"/>
      <c r="AK134" s="403"/>
      <c r="AL134" s="380"/>
      <c r="AM134" s="380"/>
      <c r="AN134" s="380"/>
      <c r="AO134" s="380"/>
      <c r="AP134" s="380"/>
      <c r="AQ134" s="404"/>
      <c r="AR134" s="380"/>
      <c r="AS134" s="380"/>
      <c r="AT134" s="380"/>
      <c r="AU134" s="380"/>
      <c r="AV134" s="380"/>
      <c r="AW134" s="380"/>
      <c r="AX134" s="380"/>
      <c r="AY134" s="403"/>
      <c r="AZ134" s="380"/>
      <c r="BA134" s="380"/>
      <c r="BB134" s="380"/>
      <c r="BC134" s="380"/>
      <c r="BD134" s="380"/>
      <c r="BE134" s="404"/>
      <c r="BF134" s="380"/>
      <c r="BG134" s="380"/>
      <c r="BH134" s="380"/>
      <c r="BI134" s="380"/>
      <c r="BJ134" s="380"/>
      <c r="BK134" s="380"/>
      <c r="BL134" s="380"/>
      <c r="BM134" s="403"/>
      <c r="BS134" s="83"/>
      <c r="CA134" s="405"/>
      <c r="CG134" s="83"/>
      <c r="CO134" s="405"/>
      <c r="CU134" s="83"/>
      <c r="DC134" s="405"/>
      <c r="DI134" s="83"/>
      <c r="DQ134" s="405"/>
      <c r="DW134" s="83"/>
      <c r="EE134" s="405"/>
      <c r="EK134" s="83"/>
      <c r="ES134" s="405"/>
      <c r="EY134" s="83"/>
      <c r="FG134" s="405"/>
      <c r="FM134" s="83"/>
      <c r="FU134" s="405"/>
      <c r="GA134" s="83"/>
      <c r="GI134" s="405"/>
      <c r="GO134" s="83"/>
      <c r="GW134" s="405"/>
      <c r="HC134" s="83"/>
      <c r="HK134" s="405"/>
      <c r="HQ134" s="83"/>
      <c r="HY134" s="405"/>
      <c r="IE134" s="83"/>
      <c r="IM134" s="405"/>
      <c r="IS134" s="83"/>
      <c r="JA134" s="405"/>
      <c r="JG134" s="83"/>
      <c r="JO134" s="405"/>
      <c r="JU134" s="83"/>
      <c r="KC134" s="405"/>
      <c r="KI134" s="83"/>
      <c r="KQ134" s="405"/>
      <c r="KW134" s="83"/>
      <c r="LE134" s="405"/>
      <c r="LK134" s="83"/>
      <c r="LS134" s="405"/>
      <c r="LY134" s="83"/>
      <c r="MG134" s="405"/>
      <c r="MM134" s="83"/>
      <c r="MU134" s="405"/>
      <c r="NA134" s="83"/>
    </row>
    <row r="135">
      <c r="A135" s="483"/>
      <c r="B135" s="380"/>
      <c r="C135" s="380"/>
      <c r="D135" s="380"/>
      <c r="E135" s="380"/>
      <c r="F135" s="380"/>
      <c r="G135" s="380"/>
      <c r="H135" s="380"/>
      <c r="I135" s="403"/>
      <c r="J135" s="380"/>
      <c r="K135" s="380"/>
      <c r="L135" s="380"/>
      <c r="M135" s="380"/>
      <c r="N135" s="380"/>
      <c r="O135" s="404"/>
      <c r="P135" s="380"/>
      <c r="Q135" s="380"/>
      <c r="R135" s="380"/>
      <c r="S135" s="380"/>
      <c r="T135" s="380"/>
      <c r="U135" s="380"/>
      <c r="V135" s="380"/>
      <c r="W135" s="403"/>
      <c r="X135" s="380"/>
      <c r="Y135" s="380"/>
      <c r="Z135" s="380"/>
      <c r="AA135" s="380"/>
      <c r="AB135" s="380"/>
      <c r="AC135" s="404"/>
      <c r="AD135" s="380"/>
      <c r="AE135" s="380"/>
      <c r="AF135" s="380"/>
      <c r="AG135" s="380"/>
      <c r="AH135" s="380"/>
      <c r="AI135" s="380"/>
      <c r="AJ135" s="380"/>
      <c r="AK135" s="403"/>
      <c r="AL135" s="380"/>
      <c r="AM135" s="380"/>
      <c r="AN135" s="380"/>
      <c r="AO135" s="380"/>
      <c r="AP135" s="380"/>
      <c r="AQ135" s="404"/>
      <c r="AR135" s="380"/>
      <c r="AS135" s="380"/>
      <c r="AT135" s="380"/>
      <c r="AU135" s="380"/>
      <c r="AV135" s="380"/>
      <c r="AW135" s="380"/>
      <c r="AX135" s="380"/>
      <c r="AY135" s="403"/>
      <c r="AZ135" s="380"/>
      <c r="BA135" s="380"/>
      <c r="BB135" s="380"/>
      <c r="BC135" s="380"/>
      <c r="BD135" s="380"/>
      <c r="BE135" s="404"/>
      <c r="BF135" s="380"/>
      <c r="BG135" s="380"/>
      <c r="BH135" s="380"/>
      <c r="BI135" s="380"/>
      <c r="BJ135" s="380"/>
      <c r="BK135" s="380"/>
      <c r="BL135" s="380"/>
      <c r="BM135" s="403"/>
      <c r="BS135" s="83"/>
      <c r="CA135" s="405"/>
      <c r="CG135" s="83"/>
      <c r="CO135" s="405"/>
      <c r="CU135" s="83"/>
      <c r="DC135" s="405"/>
      <c r="DI135" s="83"/>
      <c r="DQ135" s="405"/>
      <c r="DW135" s="83"/>
      <c r="EE135" s="405"/>
      <c r="EK135" s="83"/>
      <c r="ES135" s="405"/>
      <c r="EY135" s="83"/>
      <c r="FG135" s="405"/>
      <c r="FM135" s="83"/>
      <c r="FU135" s="405"/>
      <c r="GA135" s="83"/>
      <c r="GI135" s="405"/>
      <c r="GO135" s="83"/>
      <c r="GW135" s="405"/>
      <c r="HC135" s="83"/>
      <c r="HK135" s="405"/>
      <c r="HQ135" s="83"/>
      <c r="HY135" s="405"/>
      <c r="IE135" s="83"/>
      <c r="IM135" s="405"/>
      <c r="IS135" s="83"/>
      <c r="JA135" s="405"/>
      <c r="JG135" s="83"/>
      <c r="JO135" s="405"/>
      <c r="JU135" s="83"/>
      <c r="KC135" s="405"/>
      <c r="KI135" s="83"/>
      <c r="KQ135" s="405"/>
      <c r="KW135" s="83"/>
      <c r="LE135" s="405"/>
      <c r="LK135" s="83"/>
      <c r="LS135" s="405"/>
      <c r="LY135" s="83"/>
      <c r="MG135" s="405"/>
      <c r="MM135" s="83"/>
      <c r="MU135" s="405"/>
      <c r="NA135" s="83"/>
    </row>
    <row r="136">
      <c r="A136" s="483"/>
      <c r="B136" s="380"/>
      <c r="C136" s="380"/>
      <c r="D136" s="380"/>
      <c r="E136" s="380"/>
      <c r="F136" s="380"/>
      <c r="G136" s="380"/>
      <c r="H136" s="380"/>
      <c r="I136" s="403"/>
      <c r="J136" s="380"/>
      <c r="K136" s="380"/>
      <c r="L136" s="380"/>
      <c r="M136" s="380"/>
      <c r="N136" s="380"/>
      <c r="O136" s="404"/>
      <c r="P136" s="380"/>
      <c r="Q136" s="380"/>
      <c r="R136" s="380"/>
      <c r="S136" s="380"/>
      <c r="T136" s="380"/>
      <c r="U136" s="380"/>
      <c r="V136" s="380"/>
      <c r="W136" s="403"/>
      <c r="X136" s="380"/>
      <c r="Y136" s="380"/>
      <c r="Z136" s="380"/>
      <c r="AA136" s="380"/>
      <c r="AB136" s="380"/>
      <c r="AC136" s="404"/>
      <c r="AD136" s="380"/>
      <c r="AE136" s="380"/>
      <c r="AF136" s="380"/>
      <c r="AG136" s="380"/>
      <c r="AH136" s="380"/>
      <c r="AI136" s="380"/>
      <c r="AJ136" s="380"/>
      <c r="AK136" s="403"/>
      <c r="AL136" s="380"/>
      <c r="AM136" s="380"/>
      <c r="AN136" s="380"/>
      <c r="AO136" s="380"/>
      <c r="AP136" s="380"/>
      <c r="AQ136" s="404"/>
      <c r="AR136" s="380"/>
      <c r="AS136" s="380"/>
      <c r="AT136" s="380"/>
      <c r="AU136" s="380"/>
      <c r="AV136" s="380"/>
      <c r="AW136" s="380"/>
      <c r="AX136" s="380"/>
      <c r="AY136" s="403"/>
      <c r="AZ136" s="380"/>
      <c r="BA136" s="380"/>
      <c r="BB136" s="380"/>
      <c r="BC136" s="380"/>
      <c r="BD136" s="380"/>
      <c r="BE136" s="404"/>
      <c r="BF136" s="380"/>
      <c r="BG136" s="380"/>
      <c r="BH136" s="380"/>
      <c r="BI136" s="380"/>
      <c r="BJ136" s="380"/>
      <c r="BK136" s="380"/>
      <c r="BL136" s="380"/>
      <c r="BM136" s="403"/>
      <c r="BS136" s="83"/>
      <c r="CA136" s="405"/>
      <c r="CG136" s="83"/>
      <c r="CO136" s="405"/>
      <c r="CU136" s="83"/>
      <c r="DC136" s="405"/>
      <c r="DI136" s="83"/>
      <c r="DQ136" s="405"/>
      <c r="DW136" s="83"/>
      <c r="EE136" s="405"/>
      <c r="EK136" s="83"/>
      <c r="ES136" s="405"/>
      <c r="EY136" s="83"/>
      <c r="FG136" s="405"/>
      <c r="FM136" s="83"/>
      <c r="FU136" s="405"/>
      <c r="GA136" s="83"/>
      <c r="GI136" s="405"/>
      <c r="GO136" s="83"/>
      <c r="GW136" s="405"/>
      <c r="HC136" s="83"/>
      <c r="HK136" s="405"/>
      <c r="HQ136" s="83"/>
      <c r="HY136" s="405"/>
      <c r="IE136" s="83"/>
      <c r="IM136" s="405"/>
      <c r="IS136" s="83"/>
      <c r="JA136" s="405"/>
      <c r="JG136" s="83"/>
      <c r="JO136" s="405"/>
      <c r="JU136" s="83"/>
      <c r="KC136" s="405"/>
      <c r="KI136" s="83"/>
      <c r="KQ136" s="405"/>
      <c r="KW136" s="83"/>
      <c r="LE136" s="405"/>
      <c r="LK136" s="83"/>
      <c r="LS136" s="405"/>
      <c r="LY136" s="83"/>
      <c r="MG136" s="405"/>
      <c r="MM136" s="83"/>
      <c r="MU136" s="405"/>
      <c r="NA136" s="83"/>
    </row>
    <row r="137">
      <c r="A137" s="483"/>
      <c r="B137" s="380"/>
      <c r="C137" s="380"/>
      <c r="D137" s="380"/>
      <c r="E137" s="380"/>
      <c r="F137" s="380"/>
      <c r="G137" s="380"/>
      <c r="H137" s="380"/>
      <c r="I137" s="403"/>
      <c r="J137" s="380"/>
      <c r="K137" s="380"/>
      <c r="L137" s="380"/>
      <c r="M137" s="380"/>
      <c r="N137" s="380"/>
      <c r="O137" s="404"/>
      <c r="P137" s="380"/>
      <c r="Q137" s="380"/>
      <c r="R137" s="380"/>
      <c r="S137" s="380"/>
      <c r="T137" s="380"/>
      <c r="U137" s="380"/>
      <c r="V137" s="380"/>
      <c r="W137" s="403"/>
      <c r="X137" s="380"/>
      <c r="Y137" s="380"/>
      <c r="Z137" s="380"/>
      <c r="AA137" s="380"/>
      <c r="AB137" s="380"/>
      <c r="AC137" s="404"/>
      <c r="AD137" s="380"/>
      <c r="AE137" s="380"/>
      <c r="AF137" s="380"/>
      <c r="AG137" s="380"/>
      <c r="AH137" s="380"/>
      <c r="AI137" s="380"/>
      <c r="AJ137" s="380"/>
      <c r="AK137" s="403"/>
      <c r="AL137" s="380"/>
      <c r="AM137" s="380"/>
      <c r="AN137" s="380"/>
      <c r="AO137" s="380"/>
      <c r="AP137" s="380"/>
      <c r="AQ137" s="404"/>
      <c r="AR137" s="380"/>
      <c r="AS137" s="380"/>
      <c r="AT137" s="380"/>
      <c r="AU137" s="380"/>
      <c r="AV137" s="380"/>
      <c r="AW137" s="380"/>
      <c r="AX137" s="380"/>
      <c r="AY137" s="403"/>
      <c r="AZ137" s="380"/>
      <c r="BA137" s="380"/>
      <c r="BB137" s="380"/>
      <c r="BC137" s="380"/>
      <c r="BD137" s="380"/>
      <c r="BE137" s="404"/>
      <c r="BF137" s="380"/>
      <c r="BG137" s="380"/>
      <c r="BH137" s="380"/>
      <c r="BI137" s="380"/>
      <c r="BJ137" s="380"/>
      <c r="BK137" s="380"/>
      <c r="BL137" s="380"/>
      <c r="BM137" s="403"/>
      <c r="BS137" s="83"/>
      <c r="CA137" s="405"/>
      <c r="CG137" s="83"/>
      <c r="CO137" s="405"/>
      <c r="CU137" s="83"/>
      <c r="DC137" s="405"/>
      <c r="DI137" s="83"/>
      <c r="DQ137" s="405"/>
      <c r="DW137" s="83"/>
      <c r="EE137" s="405"/>
      <c r="EK137" s="83"/>
      <c r="ES137" s="405"/>
      <c r="EY137" s="83"/>
      <c r="FG137" s="405"/>
      <c r="FM137" s="83"/>
      <c r="FU137" s="405"/>
      <c r="GA137" s="83"/>
      <c r="GI137" s="405"/>
      <c r="GO137" s="83"/>
      <c r="GW137" s="405"/>
      <c r="HC137" s="83"/>
      <c r="HK137" s="405"/>
      <c r="HQ137" s="83"/>
      <c r="HY137" s="405"/>
      <c r="IE137" s="83"/>
      <c r="IM137" s="405"/>
      <c r="IS137" s="83"/>
      <c r="JA137" s="405"/>
      <c r="JG137" s="83"/>
      <c r="JO137" s="405"/>
      <c r="JU137" s="83"/>
      <c r="KC137" s="405"/>
      <c r="KI137" s="83"/>
      <c r="KQ137" s="405"/>
      <c r="KW137" s="83"/>
      <c r="LE137" s="405"/>
      <c r="LK137" s="83"/>
      <c r="LS137" s="405"/>
      <c r="LY137" s="83"/>
      <c r="MG137" s="405"/>
      <c r="MM137" s="83"/>
      <c r="MU137" s="405"/>
      <c r="NA137" s="83"/>
    </row>
    <row r="138">
      <c r="A138" s="483"/>
      <c r="B138" s="380"/>
      <c r="C138" s="380"/>
      <c r="D138" s="380"/>
      <c r="E138" s="380"/>
      <c r="F138" s="380"/>
      <c r="G138" s="380"/>
      <c r="H138" s="380"/>
      <c r="I138" s="403"/>
      <c r="J138" s="380"/>
      <c r="K138" s="380"/>
      <c r="L138" s="380"/>
      <c r="M138" s="380"/>
      <c r="N138" s="380"/>
      <c r="O138" s="404"/>
      <c r="P138" s="380"/>
      <c r="Q138" s="380"/>
      <c r="R138" s="380"/>
      <c r="S138" s="380"/>
      <c r="T138" s="380"/>
      <c r="U138" s="380"/>
      <c r="V138" s="380"/>
      <c r="W138" s="403"/>
      <c r="X138" s="380"/>
      <c r="Y138" s="380"/>
      <c r="Z138" s="380"/>
      <c r="AA138" s="380"/>
      <c r="AB138" s="380"/>
      <c r="AC138" s="404"/>
      <c r="AD138" s="380"/>
      <c r="AE138" s="380"/>
      <c r="AF138" s="380"/>
      <c r="AG138" s="380"/>
      <c r="AH138" s="380"/>
      <c r="AI138" s="380"/>
      <c r="AJ138" s="380"/>
      <c r="AK138" s="403"/>
      <c r="AL138" s="380"/>
      <c r="AM138" s="380"/>
      <c r="AN138" s="380"/>
      <c r="AO138" s="380"/>
      <c r="AP138" s="380"/>
      <c r="AQ138" s="404"/>
      <c r="AR138" s="380"/>
      <c r="AS138" s="380"/>
      <c r="AT138" s="380"/>
      <c r="AU138" s="380"/>
      <c r="AV138" s="380"/>
      <c r="AW138" s="380"/>
      <c r="AX138" s="380"/>
      <c r="AY138" s="403"/>
      <c r="AZ138" s="380"/>
      <c r="BA138" s="380"/>
      <c r="BB138" s="380"/>
      <c r="BC138" s="380"/>
      <c r="BD138" s="380"/>
      <c r="BE138" s="404"/>
      <c r="BF138" s="380"/>
      <c r="BG138" s="380"/>
      <c r="BH138" s="380"/>
      <c r="BI138" s="380"/>
      <c r="BJ138" s="380"/>
      <c r="BK138" s="380"/>
      <c r="BL138" s="380"/>
      <c r="BM138" s="403"/>
      <c r="BS138" s="83"/>
      <c r="CA138" s="405"/>
      <c r="CG138" s="83"/>
      <c r="CO138" s="405"/>
      <c r="CU138" s="83"/>
      <c r="DC138" s="405"/>
      <c r="DI138" s="83"/>
      <c r="DQ138" s="405"/>
      <c r="DW138" s="83"/>
      <c r="EE138" s="405"/>
      <c r="EK138" s="83"/>
      <c r="ES138" s="405"/>
      <c r="EY138" s="83"/>
      <c r="FG138" s="405"/>
      <c r="FM138" s="83"/>
      <c r="FU138" s="405"/>
      <c r="GA138" s="83"/>
      <c r="GI138" s="405"/>
      <c r="GO138" s="83"/>
      <c r="GW138" s="405"/>
      <c r="HC138" s="83"/>
      <c r="HK138" s="405"/>
      <c r="HQ138" s="83"/>
      <c r="HY138" s="405"/>
      <c r="IE138" s="83"/>
      <c r="IM138" s="405"/>
      <c r="IS138" s="83"/>
      <c r="JA138" s="405"/>
      <c r="JG138" s="83"/>
      <c r="JO138" s="405"/>
      <c r="JU138" s="83"/>
      <c r="KC138" s="405"/>
      <c r="KI138" s="83"/>
      <c r="KQ138" s="405"/>
      <c r="KW138" s="83"/>
      <c r="LE138" s="405"/>
      <c r="LK138" s="83"/>
      <c r="LS138" s="405"/>
      <c r="LY138" s="83"/>
      <c r="MG138" s="405"/>
      <c r="MM138" s="83"/>
      <c r="MU138" s="405"/>
      <c r="NA138" s="83"/>
    </row>
    <row r="139">
      <c r="A139" s="483"/>
      <c r="B139" s="380"/>
      <c r="C139" s="380"/>
      <c r="D139" s="380"/>
      <c r="E139" s="380"/>
      <c r="F139" s="380"/>
      <c r="G139" s="380"/>
      <c r="H139" s="380"/>
      <c r="I139" s="403"/>
      <c r="J139" s="380"/>
      <c r="K139" s="380"/>
      <c r="L139" s="380"/>
      <c r="M139" s="380"/>
      <c r="N139" s="380"/>
      <c r="O139" s="404"/>
      <c r="P139" s="380"/>
      <c r="Q139" s="380"/>
      <c r="R139" s="380"/>
      <c r="S139" s="380"/>
      <c r="T139" s="380"/>
      <c r="U139" s="380"/>
      <c r="V139" s="380"/>
      <c r="W139" s="403"/>
      <c r="X139" s="380"/>
      <c r="Y139" s="380"/>
      <c r="Z139" s="380"/>
      <c r="AA139" s="380"/>
      <c r="AB139" s="380"/>
      <c r="AC139" s="404"/>
      <c r="AD139" s="380"/>
      <c r="AE139" s="380"/>
      <c r="AF139" s="380"/>
      <c r="AG139" s="380"/>
      <c r="AH139" s="380"/>
      <c r="AI139" s="380"/>
      <c r="AJ139" s="380"/>
      <c r="AK139" s="403"/>
      <c r="AL139" s="380"/>
      <c r="AM139" s="380"/>
      <c r="AN139" s="380"/>
      <c r="AO139" s="380"/>
      <c r="AP139" s="380"/>
      <c r="AQ139" s="404"/>
      <c r="AR139" s="380"/>
      <c r="AS139" s="380"/>
      <c r="AT139" s="380"/>
      <c r="AU139" s="380"/>
      <c r="AV139" s="380"/>
      <c r="AW139" s="380"/>
      <c r="AX139" s="380"/>
      <c r="AY139" s="403"/>
      <c r="AZ139" s="380"/>
      <c r="BA139" s="380"/>
      <c r="BB139" s="380"/>
      <c r="BC139" s="380"/>
      <c r="BD139" s="380"/>
      <c r="BE139" s="404"/>
      <c r="BF139" s="380"/>
      <c r="BG139" s="380"/>
      <c r="BH139" s="380"/>
      <c r="BI139" s="380"/>
      <c r="BJ139" s="380"/>
      <c r="BK139" s="380"/>
      <c r="BL139" s="380"/>
      <c r="BM139" s="403"/>
      <c r="BS139" s="83"/>
      <c r="CA139" s="405"/>
      <c r="CG139" s="83"/>
      <c r="CO139" s="405"/>
      <c r="CU139" s="83"/>
      <c r="DC139" s="405"/>
      <c r="DI139" s="83"/>
      <c r="DQ139" s="405"/>
      <c r="DW139" s="83"/>
      <c r="EE139" s="405"/>
      <c r="EK139" s="83"/>
      <c r="ES139" s="405"/>
      <c r="EY139" s="83"/>
      <c r="FG139" s="405"/>
      <c r="FM139" s="83"/>
      <c r="FU139" s="405"/>
      <c r="GA139" s="83"/>
      <c r="GI139" s="405"/>
      <c r="GO139" s="83"/>
      <c r="GW139" s="405"/>
      <c r="HC139" s="83"/>
      <c r="HK139" s="405"/>
      <c r="HQ139" s="83"/>
      <c r="HY139" s="405"/>
      <c r="IE139" s="83"/>
      <c r="IM139" s="405"/>
      <c r="IS139" s="83"/>
      <c r="JA139" s="405"/>
      <c r="JG139" s="83"/>
      <c r="JO139" s="405"/>
      <c r="JU139" s="83"/>
      <c r="KC139" s="405"/>
      <c r="KI139" s="83"/>
      <c r="KQ139" s="405"/>
      <c r="KW139" s="83"/>
      <c r="LE139" s="405"/>
      <c r="LK139" s="83"/>
      <c r="LS139" s="405"/>
      <c r="LY139" s="83"/>
      <c r="MG139" s="405"/>
      <c r="MM139" s="83"/>
      <c r="MU139" s="405"/>
      <c r="NA139" s="83"/>
    </row>
    <row r="140">
      <c r="A140" s="483"/>
      <c r="B140" s="380"/>
      <c r="C140" s="380"/>
      <c r="D140" s="380"/>
      <c r="E140" s="380"/>
      <c r="F140" s="380"/>
      <c r="G140" s="380"/>
      <c r="H140" s="380"/>
      <c r="I140" s="403"/>
      <c r="J140" s="380"/>
      <c r="K140" s="380"/>
      <c r="L140" s="380"/>
      <c r="M140" s="380"/>
      <c r="N140" s="380"/>
      <c r="O140" s="404"/>
      <c r="P140" s="380"/>
      <c r="Q140" s="380"/>
      <c r="R140" s="380"/>
      <c r="S140" s="380"/>
      <c r="T140" s="380"/>
      <c r="U140" s="380"/>
      <c r="V140" s="380"/>
      <c r="W140" s="403"/>
      <c r="X140" s="380"/>
      <c r="Y140" s="380"/>
      <c r="Z140" s="380"/>
      <c r="AA140" s="380"/>
      <c r="AB140" s="380"/>
      <c r="AC140" s="404"/>
      <c r="AD140" s="380"/>
      <c r="AE140" s="380"/>
      <c r="AF140" s="380"/>
      <c r="AG140" s="380"/>
      <c r="AH140" s="380"/>
      <c r="AI140" s="380"/>
      <c r="AJ140" s="380"/>
      <c r="AK140" s="403"/>
      <c r="AL140" s="380"/>
      <c r="AM140" s="380"/>
      <c r="AN140" s="380"/>
      <c r="AO140" s="380"/>
      <c r="AP140" s="380"/>
      <c r="AQ140" s="404"/>
      <c r="AR140" s="380"/>
      <c r="AS140" s="380"/>
      <c r="AT140" s="380"/>
      <c r="AU140" s="380"/>
      <c r="AV140" s="380"/>
      <c r="AW140" s="380"/>
      <c r="AX140" s="380"/>
      <c r="AY140" s="403"/>
      <c r="AZ140" s="380"/>
      <c r="BA140" s="380"/>
      <c r="BB140" s="380"/>
      <c r="BC140" s="380"/>
      <c r="BD140" s="380"/>
      <c r="BE140" s="404"/>
      <c r="BF140" s="380"/>
      <c r="BG140" s="380"/>
      <c r="BH140" s="380"/>
      <c r="BI140" s="380"/>
      <c r="BJ140" s="380"/>
      <c r="BK140" s="380"/>
      <c r="BL140" s="380"/>
      <c r="BM140" s="403"/>
      <c r="BS140" s="83"/>
      <c r="CA140" s="405"/>
      <c r="CG140" s="83"/>
      <c r="CO140" s="405"/>
      <c r="CU140" s="83"/>
      <c r="DC140" s="405"/>
      <c r="DI140" s="83"/>
      <c r="DQ140" s="405"/>
      <c r="DW140" s="83"/>
      <c r="EE140" s="405"/>
      <c r="EK140" s="83"/>
      <c r="ES140" s="405"/>
      <c r="EY140" s="83"/>
      <c r="FG140" s="405"/>
      <c r="FM140" s="83"/>
      <c r="FU140" s="405"/>
      <c r="GA140" s="83"/>
      <c r="GI140" s="405"/>
      <c r="GO140" s="83"/>
      <c r="GW140" s="405"/>
      <c r="HC140" s="83"/>
      <c r="HK140" s="405"/>
      <c r="HQ140" s="83"/>
      <c r="HY140" s="405"/>
      <c r="IE140" s="83"/>
      <c r="IM140" s="405"/>
      <c r="IS140" s="83"/>
      <c r="JA140" s="405"/>
      <c r="JG140" s="83"/>
      <c r="JO140" s="405"/>
      <c r="JU140" s="83"/>
      <c r="KC140" s="405"/>
      <c r="KI140" s="83"/>
      <c r="KQ140" s="405"/>
      <c r="KW140" s="83"/>
      <c r="LE140" s="405"/>
      <c r="LK140" s="83"/>
      <c r="LS140" s="405"/>
      <c r="LY140" s="83"/>
      <c r="MG140" s="405"/>
      <c r="MM140" s="83"/>
      <c r="MU140" s="405"/>
      <c r="NA140" s="83"/>
    </row>
    <row r="141">
      <c r="A141" s="483"/>
      <c r="B141" s="380"/>
      <c r="C141" s="380"/>
      <c r="D141" s="380"/>
      <c r="E141" s="380"/>
      <c r="F141" s="380"/>
      <c r="G141" s="380"/>
      <c r="H141" s="380"/>
      <c r="I141" s="403"/>
      <c r="J141" s="380"/>
      <c r="K141" s="380"/>
      <c r="L141" s="380"/>
      <c r="M141" s="380"/>
      <c r="N141" s="380"/>
      <c r="O141" s="404"/>
      <c r="P141" s="380"/>
      <c r="Q141" s="380"/>
      <c r="R141" s="380"/>
      <c r="S141" s="380"/>
      <c r="T141" s="380"/>
      <c r="U141" s="380"/>
      <c r="V141" s="380"/>
      <c r="W141" s="403"/>
      <c r="X141" s="380"/>
      <c r="Y141" s="380"/>
      <c r="Z141" s="380"/>
      <c r="AA141" s="380"/>
      <c r="AB141" s="380"/>
      <c r="AC141" s="404"/>
      <c r="AD141" s="380"/>
      <c r="AE141" s="380"/>
      <c r="AF141" s="380"/>
      <c r="AG141" s="380"/>
      <c r="AH141" s="380"/>
      <c r="AI141" s="380"/>
      <c r="AJ141" s="380"/>
      <c r="AK141" s="403"/>
      <c r="AL141" s="380"/>
      <c r="AM141" s="380"/>
      <c r="AN141" s="380"/>
      <c r="AO141" s="380"/>
      <c r="AP141" s="380"/>
      <c r="AQ141" s="404"/>
      <c r="AR141" s="380"/>
      <c r="AS141" s="380"/>
      <c r="AT141" s="380"/>
      <c r="AU141" s="380"/>
      <c r="AV141" s="380"/>
      <c r="AW141" s="380"/>
      <c r="AX141" s="380"/>
      <c r="AY141" s="403"/>
      <c r="AZ141" s="380"/>
      <c r="BA141" s="380"/>
      <c r="BB141" s="380"/>
      <c r="BC141" s="380"/>
      <c r="BD141" s="380"/>
      <c r="BE141" s="404"/>
      <c r="BF141" s="380"/>
      <c r="BG141" s="380"/>
      <c r="BH141" s="380"/>
      <c r="BI141" s="380"/>
      <c r="BJ141" s="380"/>
      <c r="BK141" s="380"/>
      <c r="BL141" s="380"/>
      <c r="BM141" s="403"/>
      <c r="BS141" s="83"/>
      <c r="CA141" s="405"/>
      <c r="CG141" s="83"/>
      <c r="CO141" s="405"/>
      <c r="CU141" s="83"/>
      <c r="DC141" s="405"/>
      <c r="DI141" s="83"/>
      <c r="DQ141" s="405"/>
      <c r="DW141" s="83"/>
      <c r="EE141" s="405"/>
      <c r="EK141" s="83"/>
      <c r="ES141" s="405"/>
      <c r="EY141" s="83"/>
      <c r="FG141" s="405"/>
      <c r="FM141" s="83"/>
      <c r="FU141" s="405"/>
      <c r="GA141" s="83"/>
      <c r="GI141" s="405"/>
      <c r="GO141" s="83"/>
      <c r="GW141" s="405"/>
      <c r="HC141" s="83"/>
      <c r="HK141" s="405"/>
      <c r="HQ141" s="83"/>
      <c r="HY141" s="405"/>
      <c r="IE141" s="83"/>
      <c r="IM141" s="405"/>
      <c r="IS141" s="83"/>
      <c r="JA141" s="405"/>
      <c r="JG141" s="83"/>
      <c r="JO141" s="405"/>
      <c r="JU141" s="83"/>
      <c r="KC141" s="405"/>
      <c r="KI141" s="83"/>
      <c r="KQ141" s="405"/>
      <c r="KW141" s="83"/>
      <c r="LE141" s="405"/>
      <c r="LK141" s="83"/>
      <c r="LS141" s="405"/>
      <c r="LY141" s="83"/>
      <c r="MG141" s="405"/>
      <c r="MM141" s="83"/>
      <c r="MU141" s="405"/>
      <c r="NA141" s="83"/>
    </row>
    <row r="142">
      <c r="A142" s="483"/>
      <c r="B142" s="380"/>
      <c r="C142" s="380"/>
      <c r="D142" s="380"/>
      <c r="E142" s="380"/>
      <c r="F142" s="380"/>
      <c r="G142" s="380"/>
      <c r="H142" s="380"/>
      <c r="I142" s="403"/>
      <c r="J142" s="380"/>
      <c r="K142" s="380"/>
      <c r="L142" s="380"/>
      <c r="M142" s="380"/>
      <c r="N142" s="380"/>
      <c r="O142" s="404"/>
      <c r="P142" s="380"/>
      <c r="Q142" s="380"/>
      <c r="R142" s="380"/>
      <c r="S142" s="380"/>
      <c r="T142" s="380"/>
      <c r="U142" s="380"/>
      <c r="V142" s="380"/>
      <c r="W142" s="403"/>
      <c r="X142" s="380"/>
      <c r="Y142" s="380"/>
      <c r="Z142" s="380"/>
      <c r="AA142" s="380"/>
      <c r="AB142" s="380"/>
      <c r="AC142" s="404"/>
      <c r="AD142" s="380"/>
      <c r="AE142" s="380"/>
      <c r="AF142" s="380"/>
      <c r="AG142" s="380"/>
      <c r="AH142" s="380"/>
      <c r="AI142" s="380"/>
      <c r="AJ142" s="380"/>
      <c r="AK142" s="403"/>
      <c r="AL142" s="380"/>
      <c r="AM142" s="380"/>
      <c r="AN142" s="380"/>
      <c r="AO142" s="380"/>
      <c r="AP142" s="380"/>
      <c r="AQ142" s="404"/>
      <c r="AR142" s="380"/>
      <c r="AS142" s="380"/>
      <c r="AT142" s="380"/>
      <c r="AU142" s="380"/>
      <c r="AV142" s="380"/>
      <c r="AW142" s="380"/>
      <c r="AX142" s="380"/>
      <c r="AY142" s="403"/>
      <c r="AZ142" s="380"/>
      <c r="BA142" s="380"/>
      <c r="BB142" s="380"/>
      <c r="BC142" s="380"/>
      <c r="BD142" s="380"/>
      <c r="BE142" s="404"/>
      <c r="BF142" s="380"/>
      <c r="BG142" s="380"/>
      <c r="BH142" s="380"/>
      <c r="BI142" s="380"/>
      <c r="BJ142" s="380"/>
      <c r="BK142" s="380"/>
      <c r="BL142" s="380"/>
      <c r="BM142" s="403"/>
      <c r="BS142" s="83"/>
      <c r="CA142" s="405"/>
      <c r="CG142" s="83"/>
      <c r="CO142" s="405"/>
      <c r="CU142" s="83"/>
      <c r="DC142" s="405"/>
      <c r="DI142" s="83"/>
      <c r="DQ142" s="405"/>
      <c r="DW142" s="83"/>
      <c r="EE142" s="405"/>
      <c r="EK142" s="83"/>
      <c r="ES142" s="405"/>
      <c r="EY142" s="83"/>
      <c r="FG142" s="405"/>
      <c r="FM142" s="83"/>
      <c r="FU142" s="405"/>
      <c r="GA142" s="83"/>
      <c r="GI142" s="405"/>
      <c r="GO142" s="83"/>
      <c r="GW142" s="405"/>
      <c r="HC142" s="83"/>
      <c r="HK142" s="405"/>
      <c r="HQ142" s="83"/>
      <c r="HY142" s="405"/>
      <c r="IE142" s="83"/>
      <c r="IM142" s="405"/>
      <c r="IS142" s="83"/>
      <c r="JA142" s="405"/>
      <c r="JG142" s="83"/>
      <c r="JO142" s="405"/>
      <c r="JU142" s="83"/>
      <c r="KC142" s="405"/>
      <c r="KI142" s="83"/>
      <c r="KQ142" s="405"/>
      <c r="KW142" s="83"/>
      <c r="LE142" s="405"/>
      <c r="LK142" s="83"/>
      <c r="LS142" s="405"/>
      <c r="LY142" s="83"/>
      <c r="MG142" s="405"/>
      <c r="MM142" s="83"/>
      <c r="MU142" s="405"/>
      <c r="NA142" s="83"/>
    </row>
    <row r="143">
      <c r="A143" s="483"/>
      <c r="B143" s="380"/>
      <c r="C143" s="380"/>
      <c r="D143" s="380"/>
      <c r="E143" s="380"/>
      <c r="F143" s="380"/>
      <c r="G143" s="380"/>
      <c r="H143" s="380"/>
      <c r="I143" s="403"/>
      <c r="J143" s="380"/>
      <c r="K143" s="380"/>
      <c r="L143" s="380"/>
      <c r="M143" s="380"/>
      <c r="N143" s="380"/>
      <c r="O143" s="404"/>
      <c r="P143" s="380"/>
      <c r="Q143" s="380"/>
      <c r="R143" s="380"/>
      <c r="S143" s="380"/>
      <c r="T143" s="380"/>
      <c r="U143" s="380"/>
      <c r="V143" s="380"/>
      <c r="W143" s="403"/>
      <c r="X143" s="380"/>
      <c r="Y143" s="380"/>
      <c r="Z143" s="380"/>
      <c r="AA143" s="380"/>
      <c r="AB143" s="380"/>
      <c r="AC143" s="404"/>
      <c r="AD143" s="380"/>
      <c r="AE143" s="380"/>
      <c r="AF143" s="380"/>
      <c r="AG143" s="380"/>
      <c r="AH143" s="380"/>
      <c r="AI143" s="380"/>
      <c r="AJ143" s="380"/>
      <c r="AK143" s="403"/>
      <c r="AL143" s="380"/>
      <c r="AM143" s="380"/>
      <c r="AN143" s="380"/>
      <c r="AO143" s="380"/>
      <c r="AP143" s="380"/>
      <c r="AQ143" s="404"/>
      <c r="AR143" s="380"/>
      <c r="AS143" s="380"/>
      <c r="AT143" s="380"/>
      <c r="AU143" s="380"/>
      <c r="AV143" s="380"/>
      <c r="AW143" s="380"/>
      <c r="AX143" s="380"/>
      <c r="AY143" s="403"/>
      <c r="AZ143" s="380"/>
      <c r="BA143" s="380"/>
      <c r="BB143" s="380"/>
      <c r="BC143" s="380"/>
      <c r="BD143" s="380"/>
      <c r="BE143" s="404"/>
      <c r="BF143" s="380"/>
      <c r="BG143" s="380"/>
      <c r="BH143" s="380"/>
      <c r="BI143" s="380"/>
      <c r="BJ143" s="380"/>
      <c r="BK143" s="380"/>
      <c r="BL143" s="380"/>
      <c r="BM143" s="403"/>
      <c r="BS143" s="83"/>
      <c r="CA143" s="405"/>
      <c r="CG143" s="83"/>
      <c r="CO143" s="405"/>
      <c r="CU143" s="83"/>
      <c r="DC143" s="405"/>
      <c r="DI143" s="83"/>
      <c r="DQ143" s="405"/>
      <c r="DW143" s="83"/>
      <c r="EE143" s="405"/>
      <c r="EK143" s="83"/>
      <c r="ES143" s="405"/>
      <c r="EY143" s="83"/>
      <c r="FG143" s="405"/>
      <c r="FM143" s="83"/>
      <c r="FU143" s="405"/>
      <c r="GA143" s="83"/>
      <c r="GI143" s="405"/>
      <c r="GO143" s="83"/>
      <c r="GW143" s="405"/>
      <c r="HC143" s="83"/>
      <c r="HK143" s="405"/>
      <c r="HQ143" s="83"/>
      <c r="HY143" s="405"/>
      <c r="IE143" s="83"/>
      <c r="IM143" s="405"/>
      <c r="IS143" s="83"/>
      <c r="JA143" s="405"/>
      <c r="JG143" s="83"/>
      <c r="JO143" s="405"/>
      <c r="JU143" s="83"/>
      <c r="KC143" s="405"/>
      <c r="KI143" s="83"/>
      <c r="KQ143" s="405"/>
      <c r="KW143" s="83"/>
      <c r="LE143" s="405"/>
      <c r="LK143" s="83"/>
      <c r="LS143" s="405"/>
      <c r="LY143" s="83"/>
      <c r="MG143" s="405"/>
      <c r="MM143" s="83"/>
      <c r="MU143" s="405"/>
      <c r="NA143" s="83"/>
    </row>
    <row r="144">
      <c r="A144" s="483"/>
      <c r="B144" s="380"/>
      <c r="C144" s="380"/>
      <c r="D144" s="380"/>
      <c r="E144" s="380"/>
      <c r="F144" s="380"/>
      <c r="G144" s="380"/>
      <c r="H144" s="380"/>
      <c r="I144" s="403"/>
      <c r="J144" s="380"/>
      <c r="K144" s="380"/>
      <c r="L144" s="380"/>
      <c r="M144" s="380"/>
      <c r="N144" s="380"/>
      <c r="O144" s="404"/>
      <c r="P144" s="380"/>
      <c r="Q144" s="380"/>
      <c r="R144" s="380"/>
      <c r="S144" s="380"/>
      <c r="T144" s="380"/>
      <c r="U144" s="380"/>
      <c r="V144" s="380"/>
      <c r="W144" s="403"/>
      <c r="X144" s="380"/>
      <c r="Y144" s="380"/>
      <c r="Z144" s="380"/>
      <c r="AA144" s="380"/>
      <c r="AB144" s="380"/>
      <c r="AC144" s="404"/>
      <c r="AD144" s="380"/>
      <c r="AE144" s="380"/>
      <c r="AF144" s="380"/>
      <c r="AG144" s="380"/>
      <c r="AH144" s="380"/>
      <c r="AI144" s="380"/>
      <c r="AJ144" s="380"/>
      <c r="AK144" s="403"/>
      <c r="AL144" s="380"/>
      <c r="AM144" s="380"/>
      <c r="AN144" s="380"/>
      <c r="AO144" s="380"/>
      <c r="AP144" s="380"/>
      <c r="AQ144" s="404"/>
      <c r="AR144" s="380"/>
      <c r="AS144" s="380"/>
      <c r="AT144" s="380"/>
      <c r="AU144" s="380"/>
      <c r="AV144" s="380"/>
      <c r="AW144" s="380"/>
      <c r="AX144" s="380"/>
      <c r="AY144" s="403"/>
      <c r="AZ144" s="380"/>
      <c r="BA144" s="380"/>
      <c r="BB144" s="380"/>
      <c r="BC144" s="380"/>
      <c r="BD144" s="380"/>
      <c r="BE144" s="404"/>
      <c r="BF144" s="380"/>
      <c r="BG144" s="380"/>
      <c r="BH144" s="380"/>
      <c r="BI144" s="380"/>
      <c r="BJ144" s="380"/>
      <c r="BK144" s="380"/>
      <c r="BL144" s="380"/>
      <c r="BM144" s="403"/>
      <c r="BS144" s="83"/>
      <c r="CA144" s="405"/>
      <c r="CG144" s="83"/>
      <c r="CO144" s="405"/>
      <c r="CU144" s="83"/>
      <c r="DC144" s="405"/>
      <c r="DI144" s="83"/>
      <c r="DQ144" s="405"/>
      <c r="DW144" s="83"/>
      <c r="EE144" s="405"/>
      <c r="EK144" s="83"/>
      <c r="ES144" s="405"/>
      <c r="EY144" s="83"/>
      <c r="FG144" s="405"/>
      <c r="FM144" s="83"/>
      <c r="FU144" s="405"/>
      <c r="GA144" s="83"/>
      <c r="GI144" s="405"/>
      <c r="GO144" s="83"/>
      <c r="GW144" s="405"/>
      <c r="HC144" s="83"/>
      <c r="HK144" s="405"/>
      <c r="HQ144" s="83"/>
      <c r="HY144" s="405"/>
      <c r="IE144" s="83"/>
      <c r="IM144" s="405"/>
      <c r="IS144" s="83"/>
      <c r="JA144" s="405"/>
      <c r="JG144" s="83"/>
      <c r="JO144" s="405"/>
      <c r="JU144" s="83"/>
      <c r="KC144" s="405"/>
      <c r="KI144" s="83"/>
      <c r="KQ144" s="405"/>
      <c r="KW144" s="83"/>
      <c r="LE144" s="405"/>
      <c r="LK144" s="83"/>
      <c r="LS144" s="405"/>
      <c r="LY144" s="83"/>
      <c r="MG144" s="405"/>
      <c r="MM144" s="83"/>
      <c r="MU144" s="405"/>
      <c r="NA144" s="83"/>
    </row>
    <row r="145">
      <c r="A145" s="483"/>
      <c r="B145" s="380"/>
      <c r="C145" s="380"/>
      <c r="D145" s="380"/>
      <c r="E145" s="380"/>
      <c r="F145" s="380"/>
      <c r="G145" s="380"/>
      <c r="H145" s="380"/>
      <c r="I145" s="403"/>
      <c r="J145" s="380"/>
      <c r="K145" s="380"/>
      <c r="L145" s="380"/>
      <c r="M145" s="380"/>
      <c r="N145" s="380"/>
      <c r="O145" s="404"/>
      <c r="P145" s="380"/>
      <c r="Q145" s="380"/>
      <c r="R145" s="380"/>
      <c r="S145" s="380"/>
      <c r="T145" s="380"/>
      <c r="U145" s="380"/>
      <c r="V145" s="380"/>
      <c r="W145" s="403"/>
      <c r="X145" s="380"/>
      <c r="Y145" s="380"/>
      <c r="Z145" s="380"/>
      <c r="AA145" s="380"/>
      <c r="AB145" s="380"/>
      <c r="AC145" s="404"/>
      <c r="AD145" s="380"/>
      <c r="AE145" s="380"/>
      <c r="AF145" s="380"/>
      <c r="AG145" s="380"/>
      <c r="AH145" s="380"/>
      <c r="AI145" s="380"/>
      <c r="AJ145" s="380"/>
      <c r="AK145" s="403"/>
      <c r="AL145" s="380"/>
      <c r="AM145" s="380"/>
      <c r="AN145" s="380"/>
      <c r="AO145" s="380"/>
      <c r="AP145" s="380"/>
      <c r="AQ145" s="404"/>
      <c r="AR145" s="380"/>
      <c r="AS145" s="380"/>
      <c r="AT145" s="380"/>
      <c r="AU145" s="380"/>
      <c r="AV145" s="380"/>
      <c r="AW145" s="380"/>
      <c r="AX145" s="380"/>
      <c r="AY145" s="403"/>
      <c r="AZ145" s="380"/>
      <c r="BA145" s="380"/>
      <c r="BB145" s="380"/>
      <c r="BC145" s="380"/>
      <c r="BD145" s="380"/>
      <c r="BE145" s="404"/>
      <c r="BF145" s="380"/>
      <c r="BG145" s="380"/>
      <c r="BH145" s="380"/>
      <c r="BI145" s="380"/>
      <c r="BJ145" s="380"/>
      <c r="BK145" s="380"/>
      <c r="BL145" s="380"/>
      <c r="BM145" s="403"/>
      <c r="BS145" s="83"/>
      <c r="CA145" s="405"/>
      <c r="CG145" s="83"/>
      <c r="CO145" s="405"/>
      <c r="CU145" s="83"/>
      <c r="DC145" s="405"/>
      <c r="DI145" s="83"/>
      <c r="DQ145" s="405"/>
      <c r="DW145" s="83"/>
      <c r="EE145" s="405"/>
      <c r="EK145" s="83"/>
      <c r="ES145" s="405"/>
      <c r="EY145" s="83"/>
      <c r="FG145" s="405"/>
      <c r="FM145" s="83"/>
      <c r="FU145" s="405"/>
      <c r="GA145" s="83"/>
      <c r="GI145" s="405"/>
      <c r="GO145" s="83"/>
      <c r="GW145" s="405"/>
      <c r="HC145" s="83"/>
      <c r="HK145" s="405"/>
      <c r="HQ145" s="83"/>
      <c r="HY145" s="405"/>
      <c r="IE145" s="83"/>
      <c r="IM145" s="405"/>
      <c r="IS145" s="83"/>
      <c r="JA145" s="405"/>
      <c r="JG145" s="83"/>
      <c r="JO145" s="405"/>
      <c r="JU145" s="83"/>
      <c r="KC145" s="405"/>
      <c r="KI145" s="83"/>
      <c r="KQ145" s="405"/>
      <c r="KW145" s="83"/>
      <c r="LE145" s="405"/>
      <c r="LK145" s="83"/>
      <c r="LS145" s="405"/>
      <c r="LY145" s="83"/>
      <c r="MG145" s="405"/>
      <c r="MM145" s="83"/>
      <c r="MU145" s="405"/>
      <c r="NA145" s="83"/>
    </row>
    <row r="146">
      <c r="A146" s="483"/>
      <c r="B146" s="380"/>
      <c r="C146" s="380"/>
      <c r="D146" s="380"/>
      <c r="E146" s="380"/>
      <c r="F146" s="380"/>
      <c r="G146" s="380"/>
      <c r="H146" s="380"/>
      <c r="I146" s="403"/>
      <c r="J146" s="380"/>
      <c r="K146" s="380"/>
      <c r="L146" s="380"/>
      <c r="M146" s="380"/>
      <c r="N146" s="380"/>
      <c r="O146" s="404"/>
      <c r="P146" s="380"/>
      <c r="Q146" s="380"/>
      <c r="R146" s="380"/>
      <c r="S146" s="380"/>
      <c r="T146" s="380"/>
      <c r="U146" s="380"/>
      <c r="V146" s="380"/>
      <c r="W146" s="403"/>
      <c r="X146" s="380"/>
      <c r="Y146" s="380"/>
      <c r="Z146" s="380"/>
      <c r="AA146" s="380"/>
      <c r="AB146" s="380"/>
      <c r="AC146" s="404"/>
      <c r="AD146" s="380"/>
      <c r="AE146" s="380"/>
      <c r="AF146" s="380"/>
      <c r="AG146" s="380"/>
      <c r="AH146" s="380"/>
      <c r="AI146" s="380"/>
      <c r="AJ146" s="380"/>
      <c r="AK146" s="403"/>
      <c r="AL146" s="380"/>
      <c r="AM146" s="380"/>
      <c r="AN146" s="380"/>
      <c r="AO146" s="380"/>
      <c r="AP146" s="380"/>
      <c r="AQ146" s="404"/>
      <c r="AR146" s="380"/>
      <c r="AS146" s="380"/>
      <c r="AT146" s="380"/>
      <c r="AU146" s="380"/>
      <c r="AV146" s="380"/>
      <c r="AW146" s="380"/>
      <c r="AX146" s="380"/>
      <c r="AY146" s="403"/>
      <c r="AZ146" s="380"/>
      <c r="BA146" s="380"/>
      <c r="BB146" s="380"/>
      <c r="BC146" s="380"/>
      <c r="BD146" s="380"/>
      <c r="BE146" s="404"/>
      <c r="BF146" s="380"/>
      <c r="BG146" s="380"/>
      <c r="BH146" s="380"/>
      <c r="BI146" s="380"/>
      <c r="BJ146" s="380"/>
      <c r="BK146" s="380"/>
      <c r="BL146" s="380"/>
      <c r="BM146" s="403"/>
      <c r="BS146" s="83"/>
      <c r="CA146" s="405"/>
      <c r="CG146" s="83"/>
      <c r="CO146" s="405"/>
      <c r="CU146" s="83"/>
      <c r="DC146" s="405"/>
      <c r="DI146" s="83"/>
      <c r="DQ146" s="405"/>
      <c r="DW146" s="83"/>
      <c r="EE146" s="405"/>
      <c r="EK146" s="83"/>
      <c r="ES146" s="405"/>
      <c r="EY146" s="83"/>
      <c r="FG146" s="405"/>
      <c r="FM146" s="83"/>
      <c r="FU146" s="405"/>
      <c r="GA146" s="83"/>
      <c r="GI146" s="405"/>
      <c r="GO146" s="83"/>
      <c r="GW146" s="405"/>
      <c r="HC146" s="83"/>
      <c r="HK146" s="405"/>
      <c r="HQ146" s="83"/>
      <c r="HY146" s="405"/>
      <c r="IE146" s="83"/>
      <c r="IM146" s="405"/>
      <c r="IS146" s="83"/>
      <c r="JA146" s="405"/>
      <c r="JG146" s="83"/>
      <c r="JO146" s="405"/>
      <c r="JU146" s="83"/>
      <c r="KC146" s="405"/>
      <c r="KI146" s="83"/>
      <c r="KQ146" s="405"/>
      <c r="KW146" s="83"/>
      <c r="LE146" s="405"/>
      <c r="LK146" s="83"/>
      <c r="LS146" s="405"/>
      <c r="LY146" s="83"/>
      <c r="MG146" s="405"/>
      <c r="MM146" s="83"/>
      <c r="MU146" s="405"/>
      <c r="NA146" s="83"/>
    </row>
    <row r="147">
      <c r="A147" s="483"/>
      <c r="B147" s="380"/>
      <c r="C147" s="380"/>
      <c r="D147" s="380"/>
      <c r="E147" s="380"/>
      <c r="F147" s="380"/>
      <c r="G147" s="380"/>
      <c r="H147" s="380"/>
      <c r="I147" s="403"/>
      <c r="J147" s="380"/>
      <c r="K147" s="380"/>
      <c r="L147" s="380"/>
      <c r="M147" s="380"/>
      <c r="N147" s="380"/>
      <c r="O147" s="404"/>
      <c r="P147" s="380"/>
      <c r="Q147" s="380"/>
      <c r="R147" s="380"/>
      <c r="S147" s="380"/>
      <c r="T147" s="380"/>
      <c r="U147" s="380"/>
      <c r="V147" s="380"/>
      <c r="W147" s="403"/>
      <c r="X147" s="380"/>
      <c r="Y147" s="380"/>
      <c r="Z147" s="380"/>
      <c r="AA147" s="380"/>
      <c r="AB147" s="380"/>
      <c r="AC147" s="404"/>
      <c r="AD147" s="380"/>
      <c r="AE147" s="380"/>
      <c r="AF147" s="380"/>
      <c r="AG147" s="380"/>
      <c r="AH147" s="380"/>
      <c r="AI147" s="380"/>
      <c r="AJ147" s="380"/>
      <c r="AK147" s="403"/>
      <c r="AL147" s="380"/>
      <c r="AM147" s="380"/>
      <c r="AN147" s="380"/>
      <c r="AO147" s="380"/>
      <c r="AP147" s="380"/>
      <c r="AQ147" s="404"/>
      <c r="AR147" s="380"/>
      <c r="AS147" s="380"/>
      <c r="AT147" s="380"/>
      <c r="AU147" s="380"/>
      <c r="AV147" s="380"/>
      <c r="AW147" s="380"/>
      <c r="AX147" s="380"/>
      <c r="AY147" s="403"/>
      <c r="AZ147" s="380"/>
      <c r="BA147" s="380"/>
      <c r="BB147" s="380"/>
      <c r="BC147" s="380"/>
      <c r="BD147" s="380"/>
      <c r="BE147" s="404"/>
      <c r="BF147" s="380"/>
      <c r="BG147" s="380"/>
      <c r="BH147" s="380"/>
      <c r="BI147" s="380"/>
      <c r="BJ147" s="380"/>
      <c r="BK147" s="380"/>
      <c r="BL147" s="380"/>
      <c r="BM147" s="403"/>
      <c r="BS147" s="83"/>
      <c r="CA147" s="405"/>
      <c r="CG147" s="83"/>
      <c r="CO147" s="405"/>
      <c r="CU147" s="83"/>
      <c r="DC147" s="405"/>
      <c r="DI147" s="83"/>
      <c r="DQ147" s="405"/>
      <c r="DW147" s="83"/>
      <c r="EE147" s="405"/>
      <c r="EK147" s="83"/>
      <c r="ES147" s="405"/>
      <c r="EY147" s="83"/>
      <c r="FG147" s="405"/>
      <c r="FM147" s="83"/>
      <c r="FU147" s="405"/>
      <c r="GA147" s="83"/>
      <c r="GI147" s="405"/>
      <c r="GO147" s="83"/>
      <c r="GW147" s="405"/>
      <c r="HC147" s="83"/>
      <c r="HK147" s="405"/>
      <c r="HQ147" s="83"/>
      <c r="HY147" s="405"/>
      <c r="IE147" s="83"/>
      <c r="IM147" s="405"/>
      <c r="IS147" s="83"/>
      <c r="JA147" s="405"/>
      <c r="JG147" s="83"/>
      <c r="JO147" s="405"/>
      <c r="JU147" s="83"/>
      <c r="KC147" s="405"/>
      <c r="KI147" s="83"/>
      <c r="KQ147" s="405"/>
      <c r="KW147" s="83"/>
      <c r="LE147" s="405"/>
      <c r="LK147" s="83"/>
      <c r="LS147" s="405"/>
      <c r="LY147" s="83"/>
      <c r="MG147" s="405"/>
      <c r="MM147" s="83"/>
      <c r="MU147" s="405"/>
      <c r="NA147" s="83"/>
    </row>
    <row r="148">
      <c r="A148" s="483"/>
      <c r="B148" s="380"/>
      <c r="C148" s="380"/>
      <c r="D148" s="380"/>
      <c r="E148" s="380"/>
      <c r="F148" s="380"/>
      <c r="G148" s="380"/>
      <c r="H148" s="380"/>
      <c r="I148" s="403"/>
      <c r="J148" s="380"/>
      <c r="K148" s="380"/>
      <c r="L148" s="380"/>
      <c r="M148" s="380"/>
      <c r="N148" s="380"/>
      <c r="O148" s="404"/>
      <c r="P148" s="380"/>
      <c r="Q148" s="380"/>
      <c r="R148" s="380"/>
      <c r="S148" s="380"/>
      <c r="T148" s="380"/>
      <c r="U148" s="380"/>
      <c r="V148" s="380"/>
      <c r="W148" s="403"/>
      <c r="X148" s="380"/>
      <c r="Y148" s="380"/>
      <c r="Z148" s="380"/>
      <c r="AA148" s="380"/>
      <c r="AB148" s="380"/>
      <c r="AC148" s="404"/>
      <c r="AD148" s="380"/>
      <c r="AE148" s="380"/>
      <c r="AF148" s="380"/>
      <c r="AG148" s="380"/>
      <c r="AH148" s="380"/>
      <c r="AI148" s="380"/>
      <c r="AJ148" s="380"/>
      <c r="AK148" s="403"/>
      <c r="AL148" s="380"/>
      <c r="AM148" s="380"/>
      <c r="AN148" s="380"/>
      <c r="AO148" s="380"/>
      <c r="AP148" s="380"/>
      <c r="AQ148" s="404"/>
      <c r="AR148" s="380"/>
      <c r="AS148" s="380"/>
      <c r="AT148" s="380"/>
      <c r="AU148" s="380"/>
      <c r="AV148" s="380"/>
      <c r="AW148" s="380"/>
      <c r="AX148" s="380"/>
      <c r="AY148" s="403"/>
      <c r="AZ148" s="380"/>
      <c r="BA148" s="380"/>
      <c r="BB148" s="380"/>
      <c r="BC148" s="380"/>
      <c r="BD148" s="380"/>
      <c r="BE148" s="404"/>
      <c r="BF148" s="380"/>
      <c r="BG148" s="380"/>
      <c r="BH148" s="380"/>
      <c r="BI148" s="380"/>
      <c r="BJ148" s="380"/>
      <c r="BK148" s="380"/>
      <c r="BL148" s="380"/>
      <c r="BM148" s="403"/>
      <c r="BS148" s="83"/>
      <c r="CA148" s="405"/>
      <c r="CG148" s="83"/>
      <c r="CO148" s="405"/>
      <c r="CU148" s="83"/>
      <c r="DC148" s="405"/>
      <c r="DI148" s="83"/>
      <c r="DQ148" s="405"/>
      <c r="DW148" s="83"/>
      <c r="EE148" s="405"/>
      <c r="EK148" s="83"/>
      <c r="ES148" s="405"/>
      <c r="EY148" s="83"/>
      <c r="FG148" s="405"/>
      <c r="FM148" s="83"/>
      <c r="FU148" s="405"/>
      <c r="GA148" s="83"/>
      <c r="GI148" s="405"/>
      <c r="GO148" s="83"/>
      <c r="GW148" s="405"/>
      <c r="HC148" s="83"/>
      <c r="HK148" s="405"/>
      <c r="HQ148" s="83"/>
      <c r="HY148" s="405"/>
      <c r="IE148" s="83"/>
      <c r="IM148" s="405"/>
      <c r="IS148" s="83"/>
      <c r="JA148" s="405"/>
      <c r="JG148" s="83"/>
      <c r="JO148" s="405"/>
      <c r="JU148" s="83"/>
      <c r="KC148" s="405"/>
      <c r="KI148" s="83"/>
      <c r="KQ148" s="405"/>
      <c r="KW148" s="83"/>
      <c r="LE148" s="405"/>
      <c r="LK148" s="83"/>
      <c r="LS148" s="405"/>
      <c r="LY148" s="83"/>
      <c r="MG148" s="405"/>
      <c r="MM148" s="83"/>
      <c r="MU148" s="405"/>
      <c r="NA148" s="83"/>
    </row>
    <row r="149">
      <c r="A149" s="483"/>
      <c r="B149" s="380"/>
      <c r="C149" s="380"/>
      <c r="D149" s="380"/>
      <c r="E149" s="380"/>
      <c r="F149" s="380"/>
      <c r="G149" s="380"/>
      <c r="H149" s="380"/>
      <c r="I149" s="403"/>
      <c r="J149" s="380"/>
      <c r="K149" s="380"/>
      <c r="L149" s="380"/>
      <c r="M149" s="380"/>
      <c r="N149" s="380"/>
      <c r="O149" s="404"/>
      <c r="P149" s="380"/>
      <c r="Q149" s="380"/>
      <c r="R149" s="380"/>
      <c r="S149" s="380"/>
      <c r="T149" s="380"/>
      <c r="U149" s="380"/>
      <c r="V149" s="380"/>
      <c r="W149" s="403"/>
      <c r="X149" s="380"/>
      <c r="Y149" s="380"/>
      <c r="Z149" s="380"/>
      <c r="AA149" s="380"/>
      <c r="AB149" s="380"/>
      <c r="AC149" s="404"/>
      <c r="AD149" s="380"/>
      <c r="AE149" s="380"/>
      <c r="AF149" s="380"/>
      <c r="AG149" s="380"/>
      <c r="AH149" s="380"/>
      <c r="AI149" s="380"/>
      <c r="AJ149" s="380"/>
      <c r="AK149" s="403"/>
      <c r="AL149" s="380"/>
      <c r="AM149" s="380"/>
      <c r="AN149" s="380"/>
      <c r="AO149" s="380"/>
      <c r="AP149" s="380"/>
      <c r="AQ149" s="404"/>
      <c r="AR149" s="380"/>
      <c r="AS149" s="380"/>
      <c r="AT149" s="380"/>
      <c r="AU149" s="380"/>
      <c r="AV149" s="380"/>
      <c r="AW149" s="380"/>
      <c r="AX149" s="380"/>
      <c r="AY149" s="403"/>
      <c r="AZ149" s="380"/>
      <c r="BA149" s="380"/>
      <c r="BB149" s="380"/>
      <c r="BC149" s="380"/>
      <c r="BD149" s="380"/>
      <c r="BE149" s="404"/>
      <c r="BF149" s="380"/>
      <c r="BG149" s="380"/>
      <c r="BH149" s="380"/>
      <c r="BI149" s="380"/>
      <c r="BJ149" s="380"/>
      <c r="BK149" s="380"/>
      <c r="BL149" s="380"/>
      <c r="BM149" s="403"/>
      <c r="BS149" s="83"/>
      <c r="CA149" s="405"/>
      <c r="CG149" s="83"/>
      <c r="CO149" s="405"/>
      <c r="CU149" s="83"/>
      <c r="DC149" s="405"/>
      <c r="DI149" s="83"/>
      <c r="DQ149" s="405"/>
      <c r="DW149" s="83"/>
      <c r="EE149" s="405"/>
      <c r="EK149" s="83"/>
      <c r="ES149" s="405"/>
      <c r="EY149" s="83"/>
      <c r="FG149" s="405"/>
      <c r="FM149" s="83"/>
      <c r="FU149" s="405"/>
      <c r="GA149" s="83"/>
      <c r="GI149" s="405"/>
      <c r="GO149" s="83"/>
      <c r="GW149" s="405"/>
      <c r="HC149" s="83"/>
      <c r="HK149" s="405"/>
      <c r="HQ149" s="83"/>
      <c r="HY149" s="405"/>
      <c r="IE149" s="83"/>
      <c r="IM149" s="405"/>
      <c r="IS149" s="83"/>
      <c r="JA149" s="405"/>
      <c r="JG149" s="83"/>
      <c r="JO149" s="405"/>
      <c r="JU149" s="83"/>
      <c r="KC149" s="405"/>
      <c r="KI149" s="83"/>
      <c r="KQ149" s="405"/>
      <c r="KW149" s="83"/>
      <c r="LE149" s="405"/>
      <c r="LK149" s="83"/>
      <c r="LS149" s="405"/>
      <c r="LY149" s="83"/>
      <c r="MG149" s="405"/>
      <c r="MM149" s="83"/>
      <c r="MU149" s="405"/>
      <c r="NA149" s="83"/>
    </row>
    <row r="150">
      <c r="A150" s="483"/>
      <c r="B150" s="380"/>
      <c r="C150" s="380"/>
      <c r="D150" s="380"/>
      <c r="E150" s="380"/>
      <c r="F150" s="380"/>
      <c r="G150" s="380"/>
      <c r="H150" s="380"/>
      <c r="I150" s="403"/>
      <c r="J150" s="380"/>
      <c r="K150" s="380"/>
      <c r="L150" s="380"/>
      <c r="M150" s="380"/>
      <c r="N150" s="380"/>
      <c r="O150" s="404"/>
      <c r="P150" s="380"/>
      <c r="Q150" s="380"/>
      <c r="R150" s="380"/>
      <c r="S150" s="380"/>
      <c r="T150" s="380"/>
      <c r="U150" s="380"/>
      <c r="V150" s="380"/>
      <c r="W150" s="403"/>
      <c r="X150" s="380"/>
      <c r="Y150" s="380"/>
      <c r="Z150" s="380"/>
      <c r="AA150" s="380"/>
      <c r="AB150" s="380"/>
      <c r="AC150" s="404"/>
      <c r="AD150" s="380"/>
      <c r="AE150" s="380"/>
      <c r="AF150" s="380"/>
      <c r="AG150" s="380"/>
      <c r="AH150" s="380"/>
      <c r="AI150" s="380"/>
      <c r="AJ150" s="380"/>
      <c r="AK150" s="403"/>
      <c r="AL150" s="380"/>
      <c r="AM150" s="380"/>
      <c r="AN150" s="380"/>
      <c r="AO150" s="380"/>
      <c r="AP150" s="380"/>
      <c r="AQ150" s="404"/>
      <c r="AR150" s="380"/>
      <c r="AS150" s="380"/>
      <c r="AT150" s="380"/>
      <c r="AU150" s="380"/>
      <c r="AV150" s="380"/>
      <c r="AW150" s="380"/>
      <c r="AX150" s="380"/>
      <c r="AY150" s="403"/>
      <c r="AZ150" s="380"/>
      <c r="BA150" s="380"/>
      <c r="BB150" s="380"/>
      <c r="BC150" s="380"/>
      <c r="BD150" s="380"/>
      <c r="BE150" s="404"/>
      <c r="BF150" s="380"/>
      <c r="BG150" s="380"/>
      <c r="BH150" s="380"/>
      <c r="BI150" s="380"/>
      <c r="BJ150" s="380"/>
      <c r="BK150" s="380"/>
      <c r="BL150" s="380"/>
      <c r="BM150" s="403"/>
      <c r="BS150" s="83"/>
      <c r="CA150" s="405"/>
      <c r="CG150" s="83"/>
      <c r="CO150" s="405"/>
      <c r="CU150" s="83"/>
      <c r="DC150" s="405"/>
      <c r="DI150" s="83"/>
      <c r="DQ150" s="405"/>
      <c r="DW150" s="83"/>
      <c r="EE150" s="405"/>
      <c r="EK150" s="83"/>
      <c r="ES150" s="405"/>
      <c r="EY150" s="83"/>
      <c r="FG150" s="405"/>
      <c r="FM150" s="83"/>
      <c r="FU150" s="405"/>
      <c r="GA150" s="83"/>
      <c r="GI150" s="405"/>
      <c r="GO150" s="83"/>
      <c r="GW150" s="405"/>
      <c r="HC150" s="83"/>
      <c r="HK150" s="405"/>
      <c r="HQ150" s="83"/>
      <c r="HY150" s="405"/>
      <c r="IE150" s="83"/>
      <c r="IM150" s="405"/>
      <c r="IS150" s="83"/>
      <c r="JA150" s="405"/>
      <c r="JG150" s="83"/>
      <c r="JO150" s="405"/>
      <c r="JU150" s="83"/>
      <c r="KC150" s="405"/>
      <c r="KI150" s="83"/>
      <c r="KQ150" s="405"/>
      <c r="KW150" s="83"/>
      <c r="LE150" s="405"/>
      <c r="LK150" s="83"/>
      <c r="LS150" s="405"/>
      <c r="LY150" s="83"/>
      <c r="MG150" s="405"/>
      <c r="MM150" s="83"/>
      <c r="MU150" s="405"/>
      <c r="NA150" s="83"/>
    </row>
    <row r="151">
      <c r="A151" s="483"/>
      <c r="B151" s="380"/>
      <c r="C151" s="380"/>
      <c r="D151" s="380"/>
      <c r="E151" s="380"/>
      <c r="F151" s="380"/>
      <c r="G151" s="380"/>
      <c r="H151" s="380"/>
      <c r="I151" s="403"/>
      <c r="J151" s="380"/>
      <c r="K151" s="380"/>
      <c r="L151" s="380"/>
      <c r="M151" s="380"/>
      <c r="N151" s="380"/>
      <c r="O151" s="404"/>
      <c r="P151" s="380"/>
      <c r="Q151" s="380"/>
      <c r="R151" s="380"/>
      <c r="S151" s="380"/>
      <c r="T151" s="380"/>
      <c r="U151" s="380"/>
      <c r="V151" s="380"/>
      <c r="W151" s="403"/>
      <c r="X151" s="380"/>
      <c r="Y151" s="380"/>
      <c r="Z151" s="380"/>
      <c r="AA151" s="380"/>
      <c r="AB151" s="380"/>
      <c r="AC151" s="404"/>
      <c r="AD151" s="380"/>
      <c r="AE151" s="380"/>
      <c r="AF151" s="380"/>
      <c r="AG151" s="380"/>
      <c r="AH151" s="380"/>
      <c r="AI151" s="380"/>
      <c r="AJ151" s="380"/>
      <c r="AK151" s="403"/>
      <c r="AL151" s="380"/>
      <c r="AM151" s="380"/>
      <c r="AN151" s="380"/>
      <c r="AO151" s="380"/>
      <c r="AP151" s="380"/>
      <c r="AQ151" s="404"/>
      <c r="AR151" s="380"/>
      <c r="AS151" s="380"/>
      <c r="AT151" s="380"/>
      <c r="AU151" s="380"/>
      <c r="AV151" s="380"/>
      <c r="AW151" s="380"/>
      <c r="AX151" s="380"/>
      <c r="AY151" s="403"/>
      <c r="AZ151" s="380"/>
      <c r="BA151" s="380"/>
      <c r="BB151" s="380"/>
      <c r="BC151" s="380"/>
      <c r="BD151" s="380"/>
      <c r="BE151" s="404"/>
      <c r="BF151" s="380"/>
      <c r="BG151" s="380"/>
      <c r="BH151" s="380"/>
      <c r="BI151" s="380"/>
      <c r="BJ151" s="380"/>
      <c r="BK151" s="380"/>
      <c r="BL151" s="380"/>
      <c r="BM151" s="403"/>
      <c r="BS151" s="83"/>
      <c r="CA151" s="405"/>
      <c r="CG151" s="83"/>
      <c r="CO151" s="405"/>
      <c r="CU151" s="83"/>
      <c r="DC151" s="405"/>
      <c r="DI151" s="83"/>
      <c r="DQ151" s="405"/>
      <c r="DW151" s="83"/>
      <c r="EE151" s="405"/>
      <c r="EK151" s="83"/>
      <c r="ES151" s="405"/>
      <c r="EY151" s="83"/>
      <c r="FG151" s="405"/>
      <c r="FM151" s="83"/>
      <c r="FU151" s="405"/>
      <c r="GA151" s="83"/>
      <c r="GI151" s="405"/>
      <c r="GO151" s="83"/>
      <c r="GW151" s="405"/>
      <c r="HC151" s="83"/>
      <c r="HK151" s="405"/>
      <c r="HQ151" s="83"/>
      <c r="HY151" s="405"/>
      <c r="IE151" s="83"/>
      <c r="IM151" s="405"/>
      <c r="IS151" s="83"/>
      <c r="JA151" s="405"/>
      <c r="JG151" s="83"/>
      <c r="JO151" s="405"/>
      <c r="JU151" s="83"/>
      <c r="KC151" s="405"/>
      <c r="KI151" s="83"/>
      <c r="KQ151" s="405"/>
      <c r="KW151" s="83"/>
      <c r="LE151" s="405"/>
      <c r="LK151" s="83"/>
      <c r="LS151" s="405"/>
      <c r="LY151" s="83"/>
      <c r="MG151" s="405"/>
      <c r="MM151" s="83"/>
      <c r="MU151" s="405"/>
      <c r="NA151" s="83"/>
    </row>
    <row r="152">
      <c r="A152" s="483"/>
      <c r="B152" s="380"/>
      <c r="C152" s="380"/>
      <c r="D152" s="380"/>
      <c r="E152" s="380"/>
      <c r="F152" s="380"/>
      <c r="G152" s="380"/>
      <c r="H152" s="380"/>
      <c r="I152" s="403"/>
      <c r="J152" s="380"/>
      <c r="K152" s="380"/>
      <c r="L152" s="380"/>
      <c r="M152" s="380"/>
      <c r="N152" s="380"/>
      <c r="O152" s="404"/>
      <c r="P152" s="380"/>
      <c r="Q152" s="380"/>
      <c r="R152" s="380"/>
      <c r="S152" s="380"/>
      <c r="T152" s="380"/>
      <c r="U152" s="380"/>
      <c r="V152" s="380"/>
      <c r="W152" s="403"/>
      <c r="X152" s="380"/>
      <c r="Y152" s="380"/>
      <c r="Z152" s="380"/>
      <c r="AA152" s="380"/>
      <c r="AB152" s="380"/>
      <c r="AC152" s="404"/>
      <c r="AD152" s="380"/>
      <c r="AE152" s="380"/>
      <c r="AF152" s="380"/>
      <c r="AG152" s="380"/>
      <c r="AH152" s="380"/>
      <c r="AI152" s="380"/>
      <c r="AJ152" s="380"/>
      <c r="AK152" s="403"/>
      <c r="AL152" s="380"/>
      <c r="AM152" s="380"/>
      <c r="AN152" s="380"/>
      <c r="AO152" s="380"/>
      <c r="AP152" s="380"/>
      <c r="AQ152" s="404"/>
      <c r="AR152" s="380"/>
      <c r="AS152" s="380"/>
      <c r="AT152" s="380"/>
      <c r="AU152" s="380"/>
      <c r="AV152" s="380"/>
      <c r="AW152" s="380"/>
      <c r="AX152" s="380"/>
      <c r="AY152" s="403"/>
      <c r="AZ152" s="380"/>
      <c r="BA152" s="380"/>
      <c r="BB152" s="380"/>
      <c r="BC152" s="380"/>
      <c r="BD152" s="380"/>
      <c r="BE152" s="404"/>
      <c r="BF152" s="380"/>
      <c r="BG152" s="380"/>
      <c r="BH152" s="380"/>
      <c r="BI152" s="380"/>
      <c r="BJ152" s="380"/>
      <c r="BK152" s="380"/>
      <c r="BL152" s="380"/>
      <c r="BM152" s="403"/>
      <c r="BS152" s="83"/>
      <c r="CA152" s="405"/>
      <c r="CG152" s="83"/>
      <c r="CO152" s="405"/>
      <c r="CU152" s="83"/>
      <c r="DC152" s="405"/>
      <c r="DI152" s="83"/>
      <c r="DQ152" s="405"/>
      <c r="DW152" s="83"/>
      <c r="EE152" s="405"/>
      <c r="EK152" s="83"/>
      <c r="ES152" s="405"/>
      <c r="EY152" s="83"/>
      <c r="FG152" s="405"/>
      <c r="FM152" s="83"/>
      <c r="FU152" s="405"/>
      <c r="GA152" s="83"/>
      <c r="GI152" s="405"/>
      <c r="GO152" s="83"/>
      <c r="GW152" s="405"/>
      <c r="HC152" s="83"/>
      <c r="HK152" s="405"/>
      <c r="HQ152" s="83"/>
      <c r="HY152" s="405"/>
      <c r="IE152" s="83"/>
      <c r="IM152" s="405"/>
      <c r="IS152" s="83"/>
      <c r="JA152" s="405"/>
      <c r="JG152" s="83"/>
      <c r="JO152" s="405"/>
      <c r="JU152" s="83"/>
      <c r="KC152" s="405"/>
      <c r="KI152" s="83"/>
      <c r="KQ152" s="405"/>
      <c r="KW152" s="83"/>
      <c r="LE152" s="405"/>
      <c r="LK152" s="83"/>
      <c r="LS152" s="405"/>
      <c r="LY152" s="83"/>
      <c r="MG152" s="405"/>
      <c r="MM152" s="83"/>
      <c r="MU152" s="405"/>
      <c r="NA152" s="83"/>
    </row>
    <row r="153">
      <c r="A153" s="483"/>
      <c r="B153" s="380"/>
      <c r="C153" s="380"/>
      <c r="D153" s="380"/>
      <c r="E153" s="380"/>
      <c r="F153" s="380"/>
      <c r="G153" s="380"/>
      <c r="H153" s="380"/>
      <c r="I153" s="403"/>
      <c r="J153" s="380"/>
      <c r="K153" s="380"/>
      <c r="L153" s="380"/>
      <c r="M153" s="380"/>
      <c r="N153" s="380"/>
      <c r="O153" s="404"/>
      <c r="P153" s="380"/>
      <c r="Q153" s="380"/>
      <c r="R153" s="380"/>
      <c r="S153" s="380"/>
      <c r="T153" s="380"/>
      <c r="U153" s="380"/>
      <c r="V153" s="380"/>
      <c r="W153" s="403"/>
      <c r="X153" s="380"/>
      <c r="Y153" s="380"/>
      <c r="Z153" s="380"/>
      <c r="AA153" s="380"/>
      <c r="AB153" s="380"/>
      <c r="AC153" s="404"/>
      <c r="AD153" s="380"/>
      <c r="AE153" s="380"/>
      <c r="AF153" s="380"/>
      <c r="AG153" s="380"/>
      <c r="AH153" s="380"/>
      <c r="AI153" s="380"/>
      <c r="AJ153" s="380"/>
      <c r="AK153" s="403"/>
      <c r="AL153" s="380"/>
      <c r="AM153" s="380"/>
      <c r="AN153" s="380"/>
      <c r="AO153" s="380"/>
      <c r="AP153" s="380"/>
      <c r="AQ153" s="404"/>
      <c r="AR153" s="380"/>
      <c r="AS153" s="380"/>
      <c r="AT153" s="380"/>
      <c r="AU153" s="380"/>
      <c r="AV153" s="380"/>
      <c r="AW153" s="380"/>
      <c r="AX153" s="380"/>
      <c r="AY153" s="403"/>
      <c r="AZ153" s="380"/>
      <c r="BA153" s="380"/>
      <c r="BB153" s="380"/>
      <c r="BC153" s="380"/>
      <c r="BD153" s="380"/>
      <c r="BE153" s="404"/>
      <c r="BF153" s="380"/>
      <c r="BG153" s="380"/>
      <c r="BH153" s="380"/>
      <c r="BI153" s="380"/>
      <c r="BJ153" s="380"/>
      <c r="BK153" s="380"/>
      <c r="BL153" s="380"/>
      <c r="BM153" s="403"/>
      <c r="BS153" s="83"/>
      <c r="CA153" s="405"/>
      <c r="CG153" s="83"/>
      <c r="CO153" s="405"/>
      <c r="CU153" s="83"/>
      <c r="DC153" s="405"/>
      <c r="DI153" s="83"/>
      <c r="DQ153" s="405"/>
      <c r="DW153" s="83"/>
      <c r="EE153" s="405"/>
      <c r="EK153" s="83"/>
      <c r="ES153" s="405"/>
      <c r="EY153" s="83"/>
      <c r="FG153" s="405"/>
      <c r="FM153" s="83"/>
      <c r="FU153" s="405"/>
      <c r="GA153" s="83"/>
      <c r="GI153" s="405"/>
      <c r="GO153" s="83"/>
      <c r="GW153" s="405"/>
      <c r="HC153" s="83"/>
      <c r="HK153" s="405"/>
      <c r="HQ153" s="83"/>
      <c r="HY153" s="405"/>
      <c r="IE153" s="83"/>
      <c r="IM153" s="405"/>
      <c r="IS153" s="83"/>
      <c r="JA153" s="405"/>
      <c r="JG153" s="83"/>
      <c r="JO153" s="405"/>
      <c r="JU153" s="83"/>
      <c r="KC153" s="405"/>
      <c r="KI153" s="83"/>
      <c r="KQ153" s="405"/>
      <c r="KW153" s="83"/>
      <c r="LE153" s="405"/>
      <c r="LK153" s="83"/>
      <c r="LS153" s="405"/>
      <c r="LY153" s="83"/>
      <c r="MG153" s="405"/>
      <c r="MM153" s="83"/>
      <c r="MU153" s="405"/>
      <c r="NA153" s="83"/>
    </row>
    <row r="154">
      <c r="A154" s="483"/>
      <c r="B154" s="380"/>
      <c r="C154" s="380"/>
      <c r="D154" s="380"/>
      <c r="E154" s="380"/>
      <c r="F154" s="380"/>
      <c r="G154" s="380"/>
      <c r="H154" s="380"/>
      <c r="I154" s="403"/>
      <c r="J154" s="380"/>
      <c r="K154" s="380"/>
      <c r="L154" s="380"/>
      <c r="M154" s="380"/>
      <c r="N154" s="380"/>
      <c r="O154" s="404"/>
      <c r="P154" s="380"/>
      <c r="Q154" s="380"/>
      <c r="R154" s="380"/>
      <c r="S154" s="380"/>
      <c r="T154" s="380"/>
      <c r="U154" s="380"/>
      <c r="V154" s="380"/>
      <c r="W154" s="403"/>
      <c r="X154" s="380"/>
      <c r="Y154" s="380"/>
      <c r="Z154" s="380"/>
      <c r="AA154" s="380"/>
      <c r="AB154" s="380"/>
      <c r="AC154" s="404"/>
      <c r="AD154" s="380"/>
      <c r="AE154" s="380"/>
      <c r="AF154" s="380"/>
      <c r="AG154" s="380"/>
      <c r="AH154" s="380"/>
      <c r="AI154" s="380"/>
      <c r="AJ154" s="380"/>
      <c r="AK154" s="403"/>
      <c r="AL154" s="380"/>
      <c r="AM154" s="380"/>
      <c r="AN154" s="380"/>
      <c r="AO154" s="380"/>
      <c r="AP154" s="380"/>
      <c r="AQ154" s="404"/>
      <c r="AR154" s="380"/>
      <c r="AS154" s="380"/>
      <c r="AT154" s="380"/>
      <c r="AU154" s="380"/>
      <c r="AV154" s="380"/>
      <c r="AW154" s="380"/>
      <c r="AX154" s="380"/>
      <c r="AY154" s="403"/>
      <c r="AZ154" s="380"/>
      <c r="BA154" s="380"/>
      <c r="BB154" s="380"/>
      <c r="BC154" s="380"/>
      <c r="BD154" s="380"/>
      <c r="BE154" s="404"/>
      <c r="BF154" s="380"/>
      <c r="BG154" s="380"/>
      <c r="BH154" s="380"/>
      <c r="BI154" s="380"/>
      <c r="BJ154" s="380"/>
      <c r="BK154" s="380"/>
      <c r="BL154" s="380"/>
      <c r="BM154" s="403"/>
      <c r="BS154" s="83"/>
      <c r="CA154" s="405"/>
      <c r="CG154" s="83"/>
      <c r="CO154" s="405"/>
      <c r="CU154" s="83"/>
      <c r="DC154" s="405"/>
      <c r="DI154" s="83"/>
      <c r="DQ154" s="405"/>
      <c r="DW154" s="83"/>
      <c r="EE154" s="405"/>
      <c r="EK154" s="83"/>
      <c r="ES154" s="405"/>
      <c r="EY154" s="83"/>
      <c r="FG154" s="405"/>
      <c r="FM154" s="83"/>
      <c r="FU154" s="405"/>
      <c r="GA154" s="83"/>
      <c r="GI154" s="405"/>
      <c r="GO154" s="83"/>
      <c r="GW154" s="405"/>
      <c r="HC154" s="83"/>
      <c r="HK154" s="405"/>
      <c r="HQ154" s="83"/>
      <c r="HY154" s="405"/>
      <c r="IE154" s="83"/>
      <c r="IM154" s="405"/>
      <c r="IS154" s="83"/>
      <c r="JA154" s="405"/>
      <c r="JG154" s="83"/>
      <c r="JO154" s="405"/>
      <c r="JU154" s="83"/>
      <c r="KC154" s="405"/>
      <c r="KI154" s="83"/>
      <c r="KQ154" s="405"/>
      <c r="KW154" s="83"/>
      <c r="LE154" s="405"/>
      <c r="LK154" s="83"/>
      <c r="LS154" s="405"/>
      <c r="LY154" s="83"/>
      <c r="MG154" s="405"/>
      <c r="MM154" s="83"/>
      <c r="MU154" s="405"/>
      <c r="NA154" s="83"/>
    </row>
    <row r="155">
      <c r="A155" s="483"/>
      <c r="B155" s="380"/>
      <c r="C155" s="380"/>
      <c r="D155" s="380"/>
      <c r="E155" s="380"/>
      <c r="F155" s="380"/>
      <c r="G155" s="380"/>
      <c r="H155" s="380"/>
      <c r="I155" s="403"/>
      <c r="J155" s="380"/>
      <c r="K155" s="380"/>
      <c r="L155" s="380"/>
      <c r="M155" s="380"/>
      <c r="N155" s="380"/>
      <c r="O155" s="404"/>
      <c r="P155" s="380"/>
      <c r="Q155" s="380"/>
      <c r="R155" s="380"/>
      <c r="S155" s="380"/>
      <c r="T155" s="380"/>
      <c r="U155" s="380"/>
      <c r="V155" s="380"/>
      <c r="W155" s="403"/>
      <c r="X155" s="380"/>
      <c r="Y155" s="380"/>
      <c r="Z155" s="380"/>
      <c r="AA155" s="380"/>
      <c r="AB155" s="380"/>
      <c r="AC155" s="404"/>
      <c r="AD155" s="380"/>
      <c r="AE155" s="380"/>
      <c r="AF155" s="380"/>
      <c r="AG155" s="380"/>
      <c r="AH155" s="380"/>
      <c r="AI155" s="380"/>
      <c r="AJ155" s="380"/>
      <c r="AK155" s="403"/>
      <c r="AL155" s="380"/>
      <c r="AM155" s="380"/>
      <c r="AN155" s="380"/>
      <c r="AO155" s="380"/>
      <c r="AP155" s="380"/>
      <c r="AQ155" s="404"/>
      <c r="AR155" s="380"/>
      <c r="AS155" s="380"/>
      <c r="AT155" s="380"/>
      <c r="AU155" s="380"/>
      <c r="AV155" s="380"/>
      <c r="AW155" s="380"/>
      <c r="AX155" s="380"/>
      <c r="AY155" s="403"/>
      <c r="AZ155" s="380"/>
      <c r="BA155" s="380"/>
      <c r="BB155" s="380"/>
      <c r="BC155" s="380"/>
      <c r="BD155" s="380"/>
      <c r="BE155" s="404"/>
      <c r="BF155" s="380"/>
      <c r="BG155" s="380"/>
      <c r="BH155" s="380"/>
      <c r="BI155" s="380"/>
      <c r="BJ155" s="380"/>
      <c r="BK155" s="380"/>
      <c r="BL155" s="380"/>
      <c r="BM155" s="403"/>
      <c r="BS155" s="83"/>
      <c r="CA155" s="405"/>
      <c r="CG155" s="83"/>
      <c r="CO155" s="405"/>
      <c r="CU155" s="83"/>
      <c r="DC155" s="405"/>
      <c r="DI155" s="83"/>
      <c r="DQ155" s="405"/>
      <c r="DW155" s="83"/>
      <c r="EE155" s="405"/>
      <c r="EK155" s="83"/>
      <c r="ES155" s="405"/>
      <c r="EY155" s="83"/>
      <c r="FG155" s="405"/>
      <c r="FM155" s="83"/>
      <c r="FU155" s="405"/>
      <c r="GA155" s="83"/>
      <c r="GI155" s="405"/>
      <c r="GO155" s="83"/>
      <c r="GW155" s="405"/>
      <c r="HC155" s="83"/>
      <c r="HK155" s="405"/>
      <c r="HQ155" s="83"/>
      <c r="HY155" s="405"/>
      <c r="IE155" s="83"/>
      <c r="IM155" s="405"/>
      <c r="IS155" s="83"/>
      <c r="JA155" s="405"/>
      <c r="JG155" s="83"/>
      <c r="JO155" s="405"/>
      <c r="JU155" s="83"/>
      <c r="KC155" s="405"/>
      <c r="KI155" s="83"/>
      <c r="KQ155" s="405"/>
      <c r="KW155" s="83"/>
      <c r="LE155" s="405"/>
      <c r="LK155" s="83"/>
      <c r="LS155" s="405"/>
      <c r="LY155" s="83"/>
      <c r="MG155" s="405"/>
      <c r="MM155" s="83"/>
      <c r="MU155" s="405"/>
      <c r="NA155" s="83"/>
    </row>
    <row r="156">
      <c r="A156" s="483"/>
      <c r="B156" s="380"/>
      <c r="C156" s="380"/>
      <c r="D156" s="380"/>
      <c r="E156" s="380"/>
      <c r="F156" s="380"/>
      <c r="G156" s="380"/>
      <c r="H156" s="380"/>
      <c r="I156" s="403"/>
      <c r="J156" s="380"/>
      <c r="K156" s="380"/>
      <c r="L156" s="380"/>
      <c r="M156" s="380"/>
      <c r="N156" s="380"/>
      <c r="O156" s="404"/>
      <c r="P156" s="380"/>
      <c r="Q156" s="380"/>
      <c r="R156" s="380"/>
      <c r="S156" s="380"/>
      <c r="T156" s="380"/>
      <c r="U156" s="380"/>
      <c r="V156" s="380"/>
      <c r="W156" s="403"/>
      <c r="X156" s="380"/>
      <c r="Y156" s="380"/>
      <c r="Z156" s="380"/>
      <c r="AA156" s="380"/>
      <c r="AB156" s="380"/>
      <c r="AC156" s="404"/>
      <c r="AD156" s="380"/>
      <c r="AE156" s="380"/>
      <c r="AF156" s="380"/>
      <c r="AG156" s="380"/>
      <c r="AH156" s="380"/>
      <c r="AI156" s="380"/>
      <c r="AJ156" s="380"/>
      <c r="AK156" s="403"/>
      <c r="AL156" s="380"/>
      <c r="AM156" s="380"/>
      <c r="AN156" s="380"/>
      <c r="AO156" s="380"/>
      <c r="AP156" s="380"/>
      <c r="AQ156" s="404"/>
      <c r="AR156" s="380"/>
      <c r="AS156" s="380"/>
      <c r="AT156" s="380"/>
      <c r="AU156" s="380"/>
      <c r="AV156" s="380"/>
      <c r="AW156" s="380"/>
      <c r="AX156" s="380"/>
      <c r="AY156" s="403"/>
      <c r="AZ156" s="380"/>
      <c r="BA156" s="380"/>
      <c r="BB156" s="380"/>
      <c r="BC156" s="380"/>
      <c r="BD156" s="380"/>
      <c r="BE156" s="404"/>
      <c r="BF156" s="380"/>
      <c r="BG156" s="380"/>
      <c r="BH156" s="380"/>
      <c r="BI156" s="380"/>
      <c r="BJ156" s="380"/>
      <c r="BK156" s="380"/>
      <c r="BL156" s="380"/>
      <c r="BM156" s="403"/>
      <c r="BS156" s="83"/>
      <c r="CA156" s="405"/>
      <c r="CG156" s="83"/>
      <c r="CO156" s="405"/>
      <c r="CU156" s="83"/>
      <c r="DC156" s="405"/>
      <c r="DI156" s="83"/>
      <c r="DQ156" s="405"/>
      <c r="DW156" s="83"/>
      <c r="EE156" s="405"/>
      <c r="EK156" s="83"/>
      <c r="ES156" s="405"/>
      <c r="EY156" s="83"/>
      <c r="FG156" s="405"/>
      <c r="FM156" s="83"/>
      <c r="FU156" s="405"/>
      <c r="GA156" s="83"/>
      <c r="GI156" s="405"/>
      <c r="GO156" s="83"/>
      <c r="GW156" s="405"/>
      <c r="HC156" s="83"/>
      <c r="HK156" s="405"/>
      <c r="HQ156" s="83"/>
      <c r="HY156" s="405"/>
      <c r="IE156" s="83"/>
      <c r="IM156" s="405"/>
      <c r="IS156" s="83"/>
      <c r="JA156" s="405"/>
      <c r="JG156" s="83"/>
      <c r="JO156" s="405"/>
      <c r="JU156" s="83"/>
      <c r="KC156" s="405"/>
      <c r="KI156" s="83"/>
      <c r="KQ156" s="405"/>
      <c r="KW156" s="83"/>
      <c r="LE156" s="405"/>
      <c r="LK156" s="83"/>
      <c r="LS156" s="405"/>
      <c r="LY156" s="83"/>
      <c r="MG156" s="405"/>
      <c r="MM156" s="83"/>
      <c r="MU156" s="405"/>
      <c r="NA156" s="83"/>
    </row>
    <row r="157">
      <c r="A157" s="483"/>
      <c r="B157" s="380"/>
      <c r="C157" s="380"/>
      <c r="D157" s="380"/>
      <c r="E157" s="380"/>
      <c r="F157" s="380"/>
      <c r="G157" s="380"/>
      <c r="H157" s="380"/>
      <c r="I157" s="403"/>
      <c r="J157" s="380"/>
      <c r="K157" s="380"/>
      <c r="L157" s="380"/>
      <c r="M157" s="380"/>
      <c r="N157" s="380"/>
      <c r="O157" s="404"/>
      <c r="P157" s="380"/>
      <c r="Q157" s="380"/>
      <c r="R157" s="380"/>
      <c r="S157" s="380"/>
      <c r="T157" s="380"/>
      <c r="U157" s="380"/>
      <c r="V157" s="380"/>
      <c r="W157" s="403"/>
      <c r="X157" s="380"/>
      <c r="Y157" s="380"/>
      <c r="Z157" s="380"/>
      <c r="AA157" s="380"/>
      <c r="AB157" s="380"/>
      <c r="AC157" s="404"/>
      <c r="AD157" s="380"/>
      <c r="AE157" s="380"/>
      <c r="AF157" s="380"/>
      <c r="AG157" s="380"/>
      <c r="AH157" s="380"/>
      <c r="AI157" s="380"/>
      <c r="AJ157" s="380"/>
      <c r="AK157" s="403"/>
      <c r="AL157" s="380"/>
      <c r="AM157" s="380"/>
      <c r="AN157" s="380"/>
      <c r="AO157" s="380"/>
      <c r="AP157" s="380"/>
      <c r="AQ157" s="404"/>
      <c r="AR157" s="380"/>
      <c r="AS157" s="380"/>
      <c r="AT157" s="380"/>
      <c r="AU157" s="380"/>
      <c r="AV157" s="380"/>
      <c r="AW157" s="380"/>
      <c r="AX157" s="380"/>
      <c r="AY157" s="403"/>
      <c r="AZ157" s="380"/>
      <c r="BA157" s="380"/>
      <c r="BB157" s="380"/>
      <c r="BC157" s="380"/>
      <c r="BD157" s="380"/>
      <c r="BE157" s="404"/>
      <c r="BF157" s="380"/>
      <c r="BG157" s="380"/>
      <c r="BH157" s="380"/>
      <c r="BI157" s="380"/>
      <c r="BJ157" s="380"/>
      <c r="BK157" s="380"/>
      <c r="BL157" s="380"/>
      <c r="BM157" s="403"/>
      <c r="BS157" s="83"/>
      <c r="CA157" s="405"/>
      <c r="CG157" s="83"/>
      <c r="CO157" s="405"/>
      <c r="CU157" s="83"/>
      <c r="DC157" s="405"/>
      <c r="DI157" s="83"/>
      <c r="DQ157" s="405"/>
      <c r="DW157" s="83"/>
      <c r="EE157" s="405"/>
      <c r="EK157" s="83"/>
      <c r="ES157" s="405"/>
      <c r="EY157" s="83"/>
      <c r="FG157" s="405"/>
      <c r="FM157" s="83"/>
      <c r="FU157" s="405"/>
      <c r="GA157" s="83"/>
      <c r="GI157" s="405"/>
      <c r="GO157" s="83"/>
      <c r="GW157" s="405"/>
      <c r="HC157" s="83"/>
      <c r="HK157" s="405"/>
      <c r="HQ157" s="83"/>
      <c r="HY157" s="405"/>
      <c r="IE157" s="83"/>
      <c r="IM157" s="405"/>
      <c r="IS157" s="83"/>
      <c r="JA157" s="405"/>
      <c r="JG157" s="83"/>
      <c r="JO157" s="405"/>
      <c r="JU157" s="83"/>
      <c r="KC157" s="405"/>
      <c r="KI157" s="83"/>
      <c r="KQ157" s="405"/>
      <c r="KW157" s="83"/>
      <c r="LE157" s="405"/>
      <c r="LK157" s="83"/>
      <c r="LS157" s="405"/>
      <c r="LY157" s="83"/>
      <c r="MG157" s="405"/>
      <c r="MM157" s="83"/>
      <c r="MU157" s="405"/>
      <c r="NA157" s="83"/>
    </row>
    <row r="158">
      <c r="A158" s="483"/>
      <c r="B158" s="380"/>
      <c r="C158" s="380"/>
      <c r="D158" s="380"/>
      <c r="E158" s="380"/>
      <c r="F158" s="380"/>
      <c r="G158" s="380"/>
      <c r="H158" s="380"/>
      <c r="I158" s="403"/>
      <c r="J158" s="380"/>
      <c r="K158" s="380"/>
      <c r="L158" s="380"/>
      <c r="M158" s="380"/>
      <c r="N158" s="380"/>
      <c r="O158" s="404"/>
      <c r="P158" s="380"/>
      <c r="Q158" s="380"/>
      <c r="R158" s="380"/>
      <c r="S158" s="380"/>
      <c r="T158" s="380"/>
      <c r="U158" s="380"/>
      <c r="V158" s="380"/>
      <c r="W158" s="403"/>
      <c r="X158" s="380"/>
      <c r="Y158" s="380"/>
      <c r="Z158" s="380"/>
      <c r="AA158" s="380"/>
      <c r="AB158" s="380"/>
      <c r="AC158" s="404"/>
      <c r="AD158" s="380"/>
      <c r="AE158" s="380"/>
      <c r="AF158" s="380"/>
      <c r="AG158" s="380"/>
      <c r="AH158" s="380"/>
      <c r="AI158" s="380"/>
      <c r="AJ158" s="380"/>
      <c r="AK158" s="403"/>
      <c r="AL158" s="380"/>
      <c r="AM158" s="380"/>
      <c r="AN158" s="380"/>
      <c r="AO158" s="380"/>
      <c r="AP158" s="380"/>
      <c r="AQ158" s="404"/>
      <c r="AR158" s="380"/>
      <c r="AS158" s="380"/>
      <c r="AT158" s="380"/>
      <c r="AU158" s="380"/>
      <c r="AV158" s="380"/>
      <c r="AW158" s="380"/>
      <c r="AX158" s="380"/>
      <c r="AY158" s="403"/>
      <c r="AZ158" s="380"/>
      <c r="BA158" s="380"/>
      <c r="BB158" s="380"/>
      <c r="BC158" s="380"/>
      <c r="BD158" s="380"/>
      <c r="BE158" s="404"/>
      <c r="BF158" s="380"/>
      <c r="BG158" s="380"/>
      <c r="BH158" s="380"/>
      <c r="BI158" s="380"/>
      <c r="BJ158" s="380"/>
      <c r="BK158" s="380"/>
      <c r="BL158" s="380"/>
      <c r="BM158" s="403"/>
      <c r="BS158" s="83"/>
      <c r="CA158" s="405"/>
      <c r="CG158" s="83"/>
      <c r="CO158" s="405"/>
      <c r="CU158" s="83"/>
      <c r="DC158" s="405"/>
      <c r="DI158" s="83"/>
      <c r="DQ158" s="405"/>
      <c r="DW158" s="83"/>
      <c r="EE158" s="405"/>
      <c r="EK158" s="83"/>
      <c r="ES158" s="405"/>
      <c r="EY158" s="83"/>
      <c r="FG158" s="405"/>
      <c r="FM158" s="83"/>
      <c r="FU158" s="405"/>
      <c r="GA158" s="83"/>
      <c r="GI158" s="405"/>
      <c r="GO158" s="83"/>
      <c r="GW158" s="405"/>
      <c r="HC158" s="83"/>
      <c r="HK158" s="405"/>
      <c r="HQ158" s="83"/>
      <c r="HY158" s="405"/>
      <c r="IE158" s="83"/>
      <c r="IM158" s="405"/>
      <c r="IS158" s="83"/>
      <c r="JA158" s="405"/>
      <c r="JG158" s="83"/>
      <c r="JO158" s="405"/>
      <c r="JU158" s="83"/>
      <c r="KC158" s="405"/>
      <c r="KI158" s="83"/>
      <c r="KQ158" s="405"/>
      <c r="KW158" s="83"/>
      <c r="LE158" s="405"/>
      <c r="LK158" s="83"/>
      <c r="LS158" s="405"/>
      <c r="LY158" s="83"/>
      <c r="MG158" s="405"/>
      <c r="MM158" s="83"/>
      <c r="MU158" s="405"/>
      <c r="NA158" s="83"/>
    </row>
    <row r="159">
      <c r="A159" s="483"/>
      <c r="B159" s="380"/>
      <c r="C159" s="380"/>
      <c r="D159" s="380"/>
      <c r="E159" s="380"/>
      <c r="F159" s="380"/>
      <c r="G159" s="380"/>
      <c r="H159" s="380"/>
      <c r="I159" s="403"/>
      <c r="J159" s="380"/>
      <c r="K159" s="380"/>
      <c r="L159" s="380"/>
      <c r="M159" s="380"/>
      <c r="N159" s="380"/>
      <c r="O159" s="404"/>
      <c r="P159" s="380"/>
      <c r="Q159" s="380"/>
      <c r="R159" s="380"/>
      <c r="S159" s="380"/>
      <c r="T159" s="380"/>
      <c r="U159" s="380"/>
      <c r="V159" s="380"/>
      <c r="W159" s="403"/>
      <c r="X159" s="380"/>
      <c r="Y159" s="380"/>
      <c r="Z159" s="380"/>
      <c r="AA159" s="380"/>
      <c r="AB159" s="380"/>
      <c r="AC159" s="404"/>
      <c r="AD159" s="380"/>
      <c r="AE159" s="380"/>
      <c r="AF159" s="380"/>
      <c r="AG159" s="380"/>
      <c r="AH159" s="380"/>
      <c r="AI159" s="380"/>
      <c r="AJ159" s="380"/>
      <c r="AK159" s="403"/>
      <c r="AL159" s="380"/>
      <c r="AM159" s="380"/>
      <c r="AN159" s="380"/>
      <c r="AO159" s="380"/>
      <c r="AP159" s="380"/>
      <c r="AQ159" s="404"/>
      <c r="AR159" s="380"/>
      <c r="AS159" s="380"/>
      <c r="AT159" s="380"/>
      <c r="AU159" s="380"/>
      <c r="AV159" s="380"/>
      <c r="AW159" s="380"/>
      <c r="AX159" s="380"/>
      <c r="AY159" s="403"/>
      <c r="AZ159" s="380"/>
      <c r="BA159" s="380"/>
      <c r="BB159" s="380"/>
      <c r="BC159" s="380"/>
      <c r="BD159" s="380"/>
      <c r="BE159" s="404"/>
      <c r="BF159" s="380"/>
      <c r="BG159" s="380"/>
      <c r="BH159" s="380"/>
      <c r="BI159" s="380"/>
      <c r="BJ159" s="380"/>
      <c r="BK159" s="380"/>
      <c r="BL159" s="380"/>
      <c r="BM159" s="403"/>
      <c r="BS159" s="83"/>
      <c r="CA159" s="405"/>
      <c r="CG159" s="83"/>
      <c r="CO159" s="405"/>
      <c r="CU159" s="83"/>
      <c r="DC159" s="405"/>
      <c r="DI159" s="83"/>
      <c r="DQ159" s="405"/>
      <c r="DW159" s="83"/>
      <c r="EE159" s="405"/>
      <c r="EK159" s="83"/>
      <c r="ES159" s="405"/>
      <c r="EY159" s="83"/>
      <c r="FG159" s="405"/>
      <c r="FM159" s="83"/>
      <c r="FU159" s="405"/>
      <c r="GA159" s="83"/>
      <c r="GI159" s="405"/>
      <c r="GO159" s="83"/>
      <c r="GW159" s="405"/>
      <c r="HC159" s="83"/>
      <c r="HK159" s="405"/>
      <c r="HQ159" s="83"/>
      <c r="HY159" s="405"/>
      <c r="IE159" s="83"/>
      <c r="IM159" s="405"/>
      <c r="IS159" s="83"/>
      <c r="JA159" s="405"/>
      <c r="JG159" s="83"/>
      <c r="JO159" s="405"/>
      <c r="JU159" s="83"/>
      <c r="KC159" s="405"/>
      <c r="KI159" s="83"/>
      <c r="KQ159" s="405"/>
      <c r="KW159" s="83"/>
      <c r="LE159" s="405"/>
      <c r="LK159" s="83"/>
      <c r="LS159" s="405"/>
      <c r="LY159" s="83"/>
      <c r="MG159" s="405"/>
      <c r="MM159" s="83"/>
      <c r="MU159" s="405"/>
      <c r="NA159" s="83"/>
    </row>
    <row r="160">
      <c r="A160" s="483"/>
      <c r="B160" s="380"/>
      <c r="C160" s="380"/>
      <c r="D160" s="380"/>
      <c r="E160" s="380"/>
      <c r="F160" s="380"/>
      <c r="G160" s="380"/>
      <c r="H160" s="380"/>
      <c r="I160" s="403"/>
      <c r="J160" s="380"/>
      <c r="K160" s="380"/>
      <c r="L160" s="380"/>
      <c r="M160" s="380"/>
      <c r="N160" s="380"/>
      <c r="O160" s="404"/>
      <c r="P160" s="380"/>
      <c r="Q160" s="380"/>
      <c r="R160" s="380"/>
      <c r="S160" s="380"/>
      <c r="T160" s="380"/>
      <c r="U160" s="380"/>
      <c r="V160" s="380"/>
      <c r="W160" s="403"/>
      <c r="X160" s="380"/>
      <c r="Y160" s="380"/>
      <c r="Z160" s="380"/>
      <c r="AA160" s="380"/>
      <c r="AB160" s="380"/>
      <c r="AC160" s="404"/>
      <c r="AD160" s="380"/>
      <c r="AE160" s="380"/>
      <c r="AF160" s="380"/>
      <c r="AG160" s="380"/>
      <c r="AH160" s="380"/>
      <c r="AI160" s="380"/>
      <c r="AJ160" s="380"/>
      <c r="AK160" s="403"/>
      <c r="AL160" s="380"/>
      <c r="AM160" s="380"/>
      <c r="AN160" s="380"/>
      <c r="AO160" s="380"/>
      <c r="AP160" s="380"/>
      <c r="AQ160" s="404"/>
      <c r="AR160" s="380"/>
      <c r="AS160" s="380"/>
      <c r="AT160" s="380"/>
      <c r="AU160" s="380"/>
      <c r="AV160" s="380"/>
      <c r="AW160" s="380"/>
      <c r="AX160" s="380"/>
      <c r="AY160" s="403"/>
      <c r="AZ160" s="380"/>
      <c r="BA160" s="380"/>
      <c r="BB160" s="380"/>
      <c r="BC160" s="380"/>
      <c r="BD160" s="380"/>
      <c r="BE160" s="404"/>
      <c r="BF160" s="380"/>
      <c r="BG160" s="380"/>
      <c r="BH160" s="380"/>
      <c r="BI160" s="380"/>
      <c r="BJ160" s="380"/>
      <c r="BK160" s="380"/>
      <c r="BL160" s="380"/>
      <c r="BM160" s="403"/>
      <c r="BS160" s="83"/>
      <c r="CA160" s="405"/>
      <c r="CG160" s="83"/>
      <c r="CO160" s="405"/>
      <c r="CU160" s="83"/>
      <c r="DC160" s="405"/>
      <c r="DI160" s="83"/>
      <c r="DQ160" s="405"/>
      <c r="DW160" s="83"/>
      <c r="EE160" s="405"/>
      <c r="EK160" s="83"/>
      <c r="ES160" s="405"/>
      <c r="EY160" s="83"/>
      <c r="FG160" s="405"/>
      <c r="FM160" s="83"/>
      <c r="FU160" s="405"/>
      <c r="GA160" s="83"/>
      <c r="GI160" s="405"/>
      <c r="GO160" s="83"/>
      <c r="GW160" s="405"/>
      <c r="HC160" s="83"/>
      <c r="HK160" s="405"/>
      <c r="HQ160" s="83"/>
      <c r="HY160" s="405"/>
      <c r="IE160" s="83"/>
      <c r="IM160" s="405"/>
      <c r="IS160" s="83"/>
      <c r="JA160" s="405"/>
      <c r="JG160" s="83"/>
      <c r="JO160" s="405"/>
      <c r="JU160" s="83"/>
      <c r="KC160" s="405"/>
      <c r="KI160" s="83"/>
      <c r="KQ160" s="405"/>
      <c r="KW160" s="83"/>
      <c r="LE160" s="405"/>
      <c r="LK160" s="83"/>
      <c r="LS160" s="405"/>
      <c r="LY160" s="83"/>
      <c r="MG160" s="405"/>
      <c r="MM160" s="83"/>
      <c r="MU160" s="405"/>
      <c r="NA160" s="83"/>
    </row>
    <row r="161">
      <c r="A161" s="483"/>
      <c r="B161" s="380"/>
      <c r="C161" s="380"/>
      <c r="D161" s="380"/>
      <c r="E161" s="380"/>
      <c r="F161" s="380"/>
      <c r="G161" s="380"/>
      <c r="H161" s="380"/>
      <c r="I161" s="403"/>
      <c r="J161" s="380"/>
      <c r="K161" s="380"/>
      <c r="L161" s="380"/>
      <c r="M161" s="380"/>
      <c r="N161" s="380"/>
      <c r="O161" s="404"/>
      <c r="P161" s="380"/>
      <c r="Q161" s="380"/>
      <c r="R161" s="380"/>
      <c r="S161" s="380"/>
      <c r="T161" s="380"/>
      <c r="U161" s="380"/>
      <c r="V161" s="380"/>
      <c r="W161" s="403"/>
      <c r="X161" s="380"/>
      <c r="Y161" s="380"/>
      <c r="Z161" s="380"/>
      <c r="AA161" s="380"/>
      <c r="AB161" s="380"/>
      <c r="AC161" s="404"/>
      <c r="AD161" s="380"/>
      <c r="AE161" s="380"/>
      <c r="AF161" s="380"/>
      <c r="AG161" s="380"/>
      <c r="AH161" s="380"/>
      <c r="AI161" s="380"/>
      <c r="AJ161" s="380"/>
      <c r="AK161" s="403"/>
      <c r="AL161" s="380"/>
      <c r="AM161" s="380"/>
      <c r="AN161" s="380"/>
      <c r="AO161" s="380"/>
      <c r="AP161" s="380"/>
      <c r="AQ161" s="404"/>
      <c r="AR161" s="380"/>
      <c r="AS161" s="380"/>
      <c r="AT161" s="380"/>
      <c r="AU161" s="380"/>
      <c r="AV161" s="380"/>
      <c r="AW161" s="380"/>
      <c r="AX161" s="380"/>
      <c r="AY161" s="403"/>
      <c r="AZ161" s="380"/>
      <c r="BA161" s="380"/>
      <c r="BB161" s="380"/>
      <c r="BC161" s="380"/>
      <c r="BD161" s="380"/>
      <c r="BE161" s="404"/>
      <c r="BF161" s="380"/>
      <c r="BG161" s="380"/>
      <c r="BH161" s="380"/>
      <c r="BI161" s="380"/>
      <c r="BJ161" s="380"/>
      <c r="BK161" s="380"/>
      <c r="BL161" s="380"/>
      <c r="BM161" s="403"/>
      <c r="BS161" s="83"/>
      <c r="CA161" s="405"/>
      <c r="CG161" s="83"/>
      <c r="CO161" s="405"/>
      <c r="CU161" s="83"/>
      <c r="DC161" s="405"/>
      <c r="DI161" s="83"/>
      <c r="DQ161" s="405"/>
      <c r="DW161" s="83"/>
      <c r="EE161" s="405"/>
      <c r="EK161" s="83"/>
      <c r="ES161" s="405"/>
      <c r="EY161" s="83"/>
      <c r="FG161" s="405"/>
      <c r="FM161" s="83"/>
      <c r="FU161" s="405"/>
      <c r="GA161" s="83"/>
      <c r="GI161" s="405"/>
      <c r="GO161" s="83"/>
      <c r="GW161" s="405"/>
      <c r="HC161" s="83"/>
      <c r="HK161" s="405"/>
      <c r="HQ161" s="83"/>
      <c r="HY161" s="405"/>
      <c r="IE161" s="83"/>
      <c r="IM161" s="405"/>
      <c r="IS161" s="83"/>
      <c r="JA161" s="405"/>
      <c r="JG161" s="83"/>
      <c r="JO161" s="405"/>
      <c r="JU161" s="83"/>
      <c r="KC161" s="405"/>
      <c r="KI161" s="83"/>
      <c r="KQ161" s="405"/>
      <c r="KW161" s="83"/>
      <c r="LE161" s="405"/>
      <c r="LK161" s="83"/>
      <c r="LS161" s="405"/>
      <c r="LY161" s="83"/>
      <c r="MG161" s="405"/>
      <c r="MM161" s="83"/>
      <c r="MU161" s="405"/>
      <c r="NA161" s="83"/>
    </row>
    <row r="162">
      <c r="A162" s="483"/>
      <c r="B162" s="380"/>
      <c r="C162" s="380"/>
      <c r="D162" s="380"/>
      <c r="E162" s="380"/>
      <c r="F162" s="380"/>
      <c r="G162" s="380"/>
      <c r="H162" s="380"/>
      <c r="I162" s="403"/>
      <c r="J162" s="380"/>
      <c r="K162" s="380"/>
      <c r="L162" s="380"/>
      <c r="M162" s="380"/>
      <c r="N162" s="380"/>
      <c r="O162" s="404"/>
      <c r="P162" s="380"/>
      <c r="Q162" s="380"/>
      <c r="R162" s="380"/>
      <c r="S162" s="380"/>
      <c r="T162" s="380"/>
      <c r="U162" s="380"/>
      <c r="V162" s="380"/>
      <c r="W162" s="403"/>
      <c r="X162" s="380"/>
      <c r="Y162" s="380"/>
      <c r="Z162" s="380"/>
      <c r="AA162" s="380"/>
      <c r="AB162" s="380"/>
      <c r="AC162" s="404"/>
      <c r="AD162" s="380"/>
      <c r="AE162" s="380"/>
      <c r="AF162" s="380"/>
      <c r="AG162" s="380"/>
      <c r="AH162" s="380"/>
      <c r="AI162" s="380"/>
      <c r="AJ162" s="380"/>
      <c r="AK162" s="403"/>
      <c r="AL162" s="380"/>
      <c r="AM162" s="380"/>
      <c r="AN162" s="380"/>
      <c r="AO162" s="380"/>
      <c r="AP162" s="380"/>
      <c r="AQ162" s="404"/>
      <c r="AR162" s="380"/>
      <c r="AS162" s="380"/>
      <c r="AT162" s="380"/>
      <c r="AU162" s="380"/>
      <c r="AV162" s="380"/>
      <c r="AW162" s="380"/>
      <c r="AX162" s="380"/>
      <c r="AY162" s="403"/>
      <c r="AZ162" s="380"/>
      <c r="BA162" s="380"/>
      <c r="BB162" s="380"/>
      <c r="BC162" s="380"/>
      <c r="BD162" s="380"/>
      <c r="BE162" s="404"/>
      <c r="BF162" s="380"/>
      <c r="BG162" s="380"/>
      <c r="BH162" s="380"/>
      <c r="BI162" s="380"/>
      <c r="BJ162" s="380"/>
      <c r="BK162" s="380"/>
      <c r="BL162" s="380"/>
      <c r="BM162" s="403"/>
      <c r="BS162" s="83"/>
      <c r="CA162" s="405"/>
      <c r="CG162" s="83"/>
      <c r="CO162" s="405"/>
      <c r="CU162" s="83"/>
      <c r="DC162" s="405"/>
      <c r="DI162" s="83"/>
      <c r="DQ162" s="405"/>
      <c r="DW162" s="83"/>
      <c r="EE162" s="405"/>
      <c r="EK162" s="83"/>
      <c r="ES162" s="405"/>
      <c r="EY162" s="83"/>
      <c r="FG162" s="405"/>
      <c r="FM162" s="83"/>
      <c r="FU162" s="405"/>
      <c r="GA162" s="83"/>
      <c r="GI162" s="405"/>
      <c r="GO162" s="83"/>
      <c r="GW162" s="405"/>
      <c r="HC162" s="83"/>
      <c r="HK162" s="405"/>
      <c r="HQ162" s="83"/>
      <c r="HY162" s="405"/>
      <c r="IE162" s="83"/>
      <c r="IM162" s="405"/>
      <c r="IS162" s="83"/>
      <c r="JA162" s="405"/>
      <c r="JG162" s="83"/>
      <c r="JO162" s="405"/>
      <c r="JU162" s="83"/>
      <c r="KC162" s="405"/>
      <c r="KI162" s="83"/>
      <c r="KQ162" s="405"/>
      <c r="KW162" s="83"/>
      <c r="LE162" s="405"/>
      <c r="LK162" s="83"/>
      <c r="LS162" s="405"/>
      <c r="LY162" s="83"/>
      <c r="MG162" s="405"/>
      <c r="MM162" s="83"/>
      <c r="MU162" s="405"/>
      <c r="NA162" s="83"/>
    </row>
    <row r="163">
      <c r="A163" s="483"/>
      <c r="B163" s="380"/>
      <c r="C163" s="380"/>
      <c r="D163" s="380"/>
      <c r="E163" s="380"/>
      <c r="F163" s="380"/>
      <c r="G163" s="380"/>
      <c r="H163" s="380"/>
      <c r="I163" s="403"/>
      <c r="J163" s="380"/>
      <c r="K163" s="380"/>
      <c r="L163" s="380"/>
      <c r="M163" s="380"/>
      <c r="N163" s="380"/>
      <c r="O163" s="404"/>
      <c r="P163" s="380"/>
      <c r="Q163" s="380"/>
      <c r="R163" s="380"/>
      <c r="S163" s="380"/>
      <c r="T163" s="380"/>
      <c r="U163" s="380"/>
      <c r="V163" s="380"/>
      <c r="W163" s="403"/>
      <c r="X163" s="380"/>
      <c r="Y163" s="380"/>
      <c r="Z163" s="380"/>
      <c r="AA163" s="380"/>
      <c r="AB163" s="380"/>
      <c r="AC163" s="404"/>
      <c r="AD163" s="380"/>
      <c r="AE163" s="380"/>
      <c r="AF163" s="380"/>
      <c r="AG163" s="380"/>
      <c r="AH163" s="380"/>
      <c r="AI163" s="380"/>
      <c r="AJ163" s="380"/>
      <c r="AK163" s="403"/>
      <c r="AL163" s="380"/>
      <c r="AM163" s="380"/>
      <c r="AN163" s="380"/>
      <c r="AO163" s="380"/>
      <c r="AP163" s="380"/>
      <c r="AQ163" s="404"/>
      <c r="AR163" s="380"/>
      <c r="AS163" s="380"/>
      <c r="AT163" s="380"/>
      <c r="AU163" s="380"/>
      <c r="AV163" s="380"/>
      <c r="AW163" s="380"/>
      <c r="AX163" s="380"/>
      <c r="AY163" s="403"/>
      <c r="AZ163" s="380"/>
      <c r="BA163" s="380"/>
      <c r="BB163" s="380"/>
      <c r="BC163" s="380"/>
      <c r="BD163" s="380"/>
      <c r="BE163" s="404"/>
      <c r="BF163" s="380"/>
      <c r="BG163" s="380"/>
      <c r="BH163" s="380"/>
      <c r="BI163" s="380"/>
      <c r="BJ163" s="380"/>
      <c r="BK163" s="380"/>
      <c r="BL163" s="380"/>
      <c r="BM163" s="403"/>
      <c r="BS163" s="83"/>
      <c r="CA163" s="405"/>
      <c r="CG163" s="83"/>
      <c r="CO163" s="405"/>
      <c r="CU163" s="83"/>
      <c r="DC163" s="405"/>
      <c r="DI163" s="83"/>
      <c r="DQ163" s="405"/>
      <c r="DW163" s="83"/>
      <c r="EE163" s="405"/>
      <c r="EK163" s="83"/>
      <c r="ES163" s="405"/>
      <c r="EY163" s="83"/>
      <c r="FG163" s="405"/>
      <c r="FM163" s="83"/>
      <c r="FU163" s="405"/>
      <c r="GA163" s="83"/>
      <c r="GI163" s="405"/>
      <c r="GO163" s="83"/>
      <c r="GW163" s="405"/>
      <c r="HC163" s="83"/>
      <c r="HK163" s="405"/>
      <c r="HQ163" s="83"/>
      <c r="HY163" s="405"/>
      <c r="IE163" s="83"/>
      <c r="IM163" s="405"/>
      <c r="IS163" s="83"/>
      <c r="JA163" s="405"/>
      <c r="JG163" s="83"/>
      <c r="JO163" s="405"/>
      <c r="JU163" s="83"/>
      <c r="KC163" s="405"/>
      <c r="KI163" s="83"/>
      <c r="KQ163" s="405"/>
      <c r="KW163" s="83"/>
      <c r="LE163" s="405"/>
      <c r="LK163" s="83"/>
      <c r="LS163" s="405"/>
      <c r="LY163" s="83"/>
      <c r="MG163" s="405"/>
      <c r="MM163" s="83"/>
      <c r="MU163" s="405"/>
      <c r="NA163" s="83"/>
    </row>
    <row r="164">
      <c r="A164" s="483"/>
      <c r="B164" s="380"/>
      <c r="C164" s="380"/>
      <c r="D164" s="380"/>
      <c r="E164" s="380"/>
      <c r="F164" s="380"/>
      <c r="G164" s="380"/>
      <c r="H164" s="380"/>
      <c r="I164" s="403"/>
      <c r="J164" s="380"/>
      <c r="K164" s="380"/>
      <c r="L164" s="380"/>
      <c r="M164" s="380"/>
      <c r="N164" s="380"/>
      <c r="O164" s="404"/>
      <c r="P164" s="380"/>
      <c r="Q164" s="380"/>
      <c r="R164" s="380"/>
      <c r="S164" s="380"/>
      <c r="T164" s="380"/>
      <c r="U164" s="380"/>
      <c r="V164" s="380"/>
      <c r="W164" s="403"/>
      <c r="X164" s="380"/>
      <c r="Y164" s="380"/>
      <c r="Z164" s="380"/>
      <c r="AA164" s="380"/>
      <c r="AB164" s="380"/>
      <c r="AC164" s="404"/>
      <c r="AD164" s="380"/>
      <c r="AE164" s="380"/>
      <c r="AF164" s="380"/>
      <c r="AG164" s="380"/>
      <c r="AH164" s="380"/>
      <c r="AI164" s="380"/>
      <c r="AJ164" s="380"/>
      <c r="AK164" s="403"/>
      <c r="AL164" s="380"/>
      <c r="AM164" s="380"/>
      <c r="AN164" s="380"/>
      <c r="AO164" s="380"/>
      <c r="AP164" s="380"/>
      <c r="AQ164" s="404"/>
      <c r="AR164" s="380"/>
      <c r="AS164" s="380"/>
      <c r="AT164" s="380"/>
      <c r="AU164" s="380"/>
      <c r="AV164" s="380"/>
      <c r="AW164" s="380"/>
      <c r="AX164" s="380"/>
      <c r="AY164" s="403"/>
      <c r="AZ164" s="380"/>
      <c r="BA164" s="380"/>
      <c r="BB164" s="380"/>
      <c r="BC164" s="380"/>
      <c r="BD164" s="380"/>
      <c r="BE164" s="404"/>
      <c r="BF164" s="380"/>
      <c r="BG164" s="380"/>
      <c r="BH164" s="380"/>
      <c r="BI164" s="380"/>
      <c r="BJ164" s="380"/>
      <c r="BK164" s="380"/>
      <c r="BL164" s="380"/>
      <c r="BM164" s="403"/>
      <c r="BS164" s="83"/>
      <c r="CA164" s="405"/>
      <c r="CG164" s="83"/>
      <c r="CO164" s="405"/>
      <c r="CU164" s="83"/>
      <c r="DC164" s="405"/>
      <c r="DI164" s="83"/>
      <c r="DQ164" s="405"/>
      <c r="DW164" s="83"/>
      <c r="EE164" s="405"/>
      <c r="EK164" s="83"/>
      <c r="ES164" s="405"/>
      <c r="EY164" s="83"/>
      <c r="FG164" s="405"/>
      <c r="FM164" s="83"/>
      <c r="FU164" s="405"/>
      <c r="GA164" s="83"/>
      <c r="GI164" s="405"/>
      <c r="GO164" s="83"/>
      <c r="GW164" s="405"/>
      <c r="HC164" s="83"/>
      <c r="HK164" s="405"/>
      <c r="HQ164" s="83"/>
      <c r="HY164" s="405"/>
      <c r="IE164" s="83"/>
      <c r="IM164" s="405"/>
      <c r="IS164" s="83"/>
      <c r="JA164" s="405"/>
      <c r="JG164" s="83"/>
      <c r="JO164" s="405"/>
      <c r="JU164" s="83"/>
      <c r="KC164" s="405"/>
      <c r="KI164" s="83"/>
      <c r="KQ164" s="405"/>
      <c r="KW164" s="83"/>
      <c r="LE164" s="405"/>
      <c r="LK164" s="83"/>
      <c r="LS164" s="405"/>
      <c r="LY164" s="83"/>
      <c r="MG164" s="405"/>
      <c r="MM164" s="83"/>
      <c r="MU164" s="405"/>
      <c r="NA164" s="83"/>
    </row>
    <row r="165">
      <c r="A165" s="483"/>
      <c r="B165" s="380"/>
      <c r="C165" s="380"/>
      <c r="D165" s="380"/>
      <c r="E165" s="380"/>
      <c r="F165" s="380"/>
      <c r="G165" s="380"/>
      <c r="H165" s="380"/>
      <c r="I165" s="403"/>
      <c r="J165" s="380"/>
      <c r="K165" s="380"/>
      <c r="L165" s="380"/>
      <c r="M165" s="380"/>
      <c r="N165" s="380"/>
      <c r="O165" s="404"/>
      <c r="P165" s="380"/>
      <c r="Q165" s="380"/>
      <c r="R165" s="380"/>
      <c r="S165" s="380"/>
      <c r="T165" s="380"/>
      <c r="U165" s="380"/>
      <c r="V165" s="380"/>
      <c r="W165" s="403"/>
      <c r="X165" s="380"/>
      <c r="Y165" s="380"/>
      <c r="Z165" s="380"/>
      <c r="AA165" s="380"/>
      <c r="AB165" s="380"/>
      <c r="AC165" s="404"/>
      <c r="AD165" s="380"/>
      <c r="AE165" s="380"/>
      <c r="AF165" s="380"/>
      <c r="AG165" s="380"/>
      <c r="AH165" s="380"/>
      <c r="AI165" s="380"/>
      <c r="AJ165" s="380"/>
      <c r="AK165" s="403"/>
      <c r="AL165" s="380"/>
      <c r="AM165" s="380"/>
      <c r="AN165" s="380"/>
      <c r="AO165" s="380"/>
      <c r="AP165" s="380"/>
      <c r="AQ165" s="404"/>
      <c r="AR165" s="380"/>
      <c r="AS165" s="380"/>
      <c r="AT165" s="380"/>
      <c r="AU165" s="380"/>
      <c r="AV165" s="380"/>
      <c r="AW165" s="380"/>
      <c r="AX165" s="380"/>
      <c r="AY165" s="403"/>
      <c r="AZ165" s="380"/>
      <c r="BA165" s="380"/>
      <c r="BB165" s="380"/>
      <c r="BC165" s="380"/>
      <c r="BD165" s="380"/>
      <c r="BE165" s="404"/>
      <c r="BF165" s="380"/>
      <c r="BG165" s="380"/>
      <c r="BH165" s="380"/>
      <c r="BI165" s="380"/>
      <c r="BJ165" s="380"/>
      <c r="BK165" s="380"/>
      <c r="BL165" s="380"/>
      <c r="BM165" s="403"/>
      <c r="BS165" s="83"/>
      <c r="CA165" s="405"/>
      <c r="CG165" s="83"/>
      <c r="CO165" s="405"/>
      <c r="CU165" s="83"/>
      <c r="DC165" s="405"/>
      <c r="DI165" s="83"/>
      <c r="DQ165" s="405"/>
      <c r="DW165" s="83"/>
      <c r="EE165" s="405"/>
      <c r="EK165" s="83"/>
      <c r="ES165" s="405"/>
      <c r="EY165" s="83"/>
      <c r="FG165" s="405"/>
      <c r="FM165" s="83"/>
      <c r="FU165" s="405"/>
      <c r="GA165" s="83"/>
      <c r="GI165" s="405"/>
      <c r="GO165" s="83"/>
      <c r="GW165" s="405"/>
      <c r="HC165" s="83"/>
      <c r="HK165" s="405"/>
      <c r="HQ165" s="83"/>
      <c r="HY165" s="405"/>
      <c r="IE165" s="83"/>
      <c r="IM165" s="405"/>
      <c r="IS165" s="83"/>
      <c r="JA165" s="405"/>
      <c r="JG165" s="83"/>
      <c r="JO165" s="405"/>
      <c r="JU165" s="83"/>
      <c r="KC165" s="405"/>
      <c r="KI165" s="83"/>
      <c r="KQ165" s="405"/>
      <c r="KW165" s="83"/>
      <c r="LE165" s="405"/>
      <c r="LK165" s="83"/>
      <c r="LS165" s="405"/>
      <c r="LY165" s="83"/>
      <c r="MG165" s="405"/>
      <c r="MM165" s="83"/>
      <c r="MU165" s="405"/>
      <c r="NA165" s="83"/>
    </row>
    <row r="166">
      <c r="A166" s="483"/>
      <c r="B166" s="380"/>
      <c r="C166" s="380"/>
      <c r="D166" s="380"/>
      <c r="E166" s="380"/>
      <c r="F166" s="380"/>
      <c r="G166" s="380"/>
      <c r="H166" s="380"/>
      <c r="I166" s="403"/>
      <c r="J166" s="380"/>
      <c r="K166" s="380"/>
      <c r="L166" s="380"/>
      <c r="M166" s="380"/>
      <c r="N166" s="380"/>
      <c r="O166" s="404"/>
      <c r="P166" s="380"/>
      <c r="Q166" s="380"/>
      <c r="R166" s="380"/>
      <c r="S166" s="380"/>
      <c r="T166" s="380"/>
      <c r="U166" s="380"/>
      <c r="V166" s="380"/>
      <c r="W166" s="403"/>
      <c r="X166" s="380"/>
      <c r="Y166" s="380"/>
      <c r="Z166" s="380"/>
      <c r="AA166" s="380"/>
      <c r="AB166" s="380"/>
      <c r="AC166" s="404"/>
      <c r="AD166" s="380"/>
      <c r="AE166" s="380"/>
      <c r="AF166" s="380"/>
      <c r="AG166" s="380"/>
      <c r="AH166" s="380"/>
      <c r="AI166" s="380"/>
      <c r="AJ166" s="380"/>
      <c r="AK166" s="403"/>
      <c r="AL166" s="380"/>
      <c r="AM166" s="380"/>
      <c r="AN166" s="380"/>
      <c r="AO166" s="380"/>
      <c r="AP166" s="380"/>
      <c r="AQ166" s="404"/>
      <c r="AR166" s="380"/>
      <c r="AS166" s="380"/>
      <c r="AT166" s="380"/>
      <c r="AU166" s="380"/>
      <c r="AV166" s="380"/>
      <c r="AW166" s="380"/>
      <c r="AX166" s="380"/>
      <c r="AY166" s="403"/>
      <c r="AZ166" s="380"/>
      <c r="BA166" s="380"/>
      <c r="BB166" s="380"/>
      <c r="BC166" s="380"/>
      <c r="BD166" s="380"/>
      <c r="BE166" s="404"/>
      <c r="BF166" s="380"/>
      <c r="BG166" s="380"/>
      <c r="BH166" s="380"/>
      <c r="BI166" s="380"/>
      <c r="BJ166" s="380"/>
      <c r="BK166" s="380"/>
      <c r="BL166" s="380"/>
      <c r="BM166" s="403"/>
      <c r="BS166" s="83"/>
      <c r="CA166" s="405"/>
      <c r="CG166" s="83"/>
      <c r="CO166" s="405"/>
      <c r="CU166" s="83"/>
      <c r="DC166" s="405"/>
      <c r="DI166" s="83"/>
      <c r="DQ166" s="405"/>
      <c r="DW166" s="83"/>
      <c r="EE166" s="405"/>
      <c r="EK166" s="83"/>
      <c r="ES166" s="405"/>
      <c r="EY166" s="83"/>
      <c r="FG166" s="405"/>
      <c r="FM166" s="83"/>
      <c r="FU166" s="405"/>
      <c r="GA166" s="83"/>
      <c r="GI166" s="405"/>
      <c r="GO166" s="83"/>
      <c r="GW166" s="405"/>
      <c r="HC166" s="83"/>
      <c r="HK166" s="405"/>
      <c r="HQ166" s="83"/>
      <c r="HY166" s="405"/>
      <c r="IE166" s="83"/>
      <c r="IM166" s="405"/>
      <c r="IS166" s="83"/>
      <c r="JA166" s="405"/>
      <c r="JG166" s="83"/>
      <c r="JO166" s="405"/>
      <c r="JU166" s="83"/>
      <c r="KC166" s="405"/>
      <c r="KI166" s="83"/>
      <c r="KQ166" s="405"/>
      <c r="KW166" s="83"/>
      <c r="LE166" s="405"/>
      <c r="LK166" s="83"/>
      <c r="LS166" s="405"/>
      <c r="LY166" s="83"/>
      <c r="MG166" s="405"/>
      <c r="MM166" s="83"/>
      <c r="MU166" s="405"/>
      <c r="NA166" s="83"/>
    </row>
    <row r="167">
      <c r="A167" s="483"/>
      <c r="B167" s="380"/>
      <c r="C167" s="380"/>
      <c r="D167" s="380"/>
      <c r="E167" s="380"/>
      <c r="F167" s="380"/>
      <c r="G167" s="380"/>
      <c r="H167" s="380"/>
      <c r="I167" s="403"/>
      <c r="J167" s="380"/>
      <c r="K167" s="380"/>
      <c r="L167" s="380"/>
      <c r="M167" s="380"/>
      <c r="N167" s="380"/>
      <c r="O167" s="404"/>
      <c r="P167" s="380"/>
      <c r="Q167" s="380"/>
      <c r="R167" s="380"/>
      <c r="S167" s="380"/>
      <c r="T167" s="380"/>
      <c r="U167" s="380"/>
      <c r="V167" s="380"/>
      <c r="W167" s="403"/>
      <c r="X167" s="380"/>
      <c r="Y167" s="380"/>
      <c r="Z167" s="380"/>
      <c r="AA167" s="380"/>
      <c r="AB167" s="380"/>
      <c r="AC167" s="404"/>
      <c r="AD167" s="380"/>
      <c r="AE167" s="380"/>
      <c r="AF167" s="380"/>
      <c r="AG167" s="380"/>
      <c r="AH167" s="380"/>
      <c r="AI167" s="380"/>
      <c r="AJ167" s="380"/>
      <c r="AK167" s="403"/>
      <c r="AL167" s="380"/>
      <c r="AM167" s="380"/>
      <c r="AN167" s="380"/>
      <c r="AO167" s="380"/>
      <c r="AP167" s="380"/>
      <c r="AQ167" s="404"/>
      <c r="AR167" s="380"/>
      <c r="AS167" s="380"/>
      <c r="AT167" s="380"/>
      <c r="AU167" s="380"/>
      <c r="AV167" s="380"/>
      <c r="AW167" s="380"/>
      <c r="AX167" s="380"/>
      <c r="AY167" s="403"/>
      <c r="AZ167" s="380"/>
      <c r="BA167" s="380"/>
      <c r="BB167" s="380"/>
      <c r="BC167" s="380"/>
      <c r="BD167" s="380"/>
      <c r="BE167" s="404"/>
      <c r="BF167" s="380"/>
      <c r="BG167" s="380"/>
      <c r="BH167" s="380"/>
      <c r="BI167" s="380"/>
      <c r="BJ167" s="380"/>
      <c r="BK167" s="380"/>
      <c r="BL167" s="380"/>
      <c r="BM167" s="403"/>
      <c r="BS167" s="83"/>
      <c r="CA167" s="405"/>
      <c r="CG167" s="83"/>
      <c r="CO167" s="405"/>
      <c r="CU167" s="83"/>
      <c r="DC167" s="405"/>
      <c r="DI167" s="83"/>
      <c r="DQ167" s="405"/>
      <c r="DW167" s="83"/>
      <c r="EE167" s="405"/>
      <c r="EK167" s="83"/>
      <c r="ES167" s="405"/>
      <c r="EY167" s="83"/>
      <c r="FG167" s="405"/>
      <c r="FM167" s="83"/>
      <c r="FU167" s="405"/>
      <c r="GA167" s="83"/>
      <c r="GI167" s="405"/>
      <c r="GO167" s="83"/>
      <c r="GW167" s="405"/>
      <c r="HC167" s="83"/>
      <c r="HK167" s="405"/>
      <c r="HQ167" s="83"/>
      <c r="HY167" s="405"/>
      <c r="IE167" s="83"/>
      <c r="IM167" s="405"/>
      <c r="IS167" s="83"/>
      <c r="JA167" s="405"/>
      <c r="JG167" s="83"/>
      <c r="JO167" s="405"/>
      <c r="JU167" s="83"/>
      <c r="KC167" s="405"/>
      <c r="KI167" s="83"/>
      <c r="KQ167" s="405"/>
      <c r="KW167" s="83"/>
      <c r="LE167" s="405"/>
      <c r="LK167" s="83"/>
      <c r="LS167" s="405"/>
      <c r="LY167" s="83"/>
      <c r="MG167" s="405"/>
      <c r="MM167" s="83"/>
      <c r="MU167" s="405"/>
      <c r="NA167" s="83"/>
    </row>
    <row r="168">
      <c r="A168" s="483"/>
      <c r="B168" s="380"/>
      <c r="C168" s="380"/>
      <c r="D168" s="380"/>
      <c r="E168" s="380"/>
      <c r="F168" s="380"/>
      <c r="G168" s="380"/>
      <c r="H168" s="380"/>
      <c r="I168" s="403"/>
      <c r="J168" s="380"/>
      <c r="K168" s="380"/>
      <c r="L168" s="380"/>
      <c r="M168" s="380"/>
      <c r="N168" s="380"/>
      <c r="O168" s="404"/>
      <c r="P168" s="380"/>
      <c r="Q168" s="380"/>
      <c r="R168" s="380"/>
      <c r="S168" s="380"/>
      <c r="T168" s="380"/>
      <c r="U168" s="380"/>
      <c r="V168" s="380"/>
      <c r="W168" s="403"/>
      <c r="X168" s="380"/>
      <c r="Y168" s="380"/>
      <c r="Z168" s="380"/>
      <c r="AA168" s="380"/>
      <c r="AB168" s="380"/>
      <c r="AC168" s="404"/>
      <c r="AD168" s="380"/>
      <c r="AE168" s="380"/>
      <c r="AF168" s="380"/>
      <c r="AG168" s="380"/>
      <c r="AH168" s="380"/>
      <c r="AI168" s="380"/>
      <c r="AJ168" s="380"/>
      <c r="AK168" s="403"/>
      <c r="AL168" s="380"/>
      <c r="AM168" s="380"/>
      <c r="AN168" s="380"/>
      <c r="AO168" s="380"/>
      <c r="AP168" s="380"/>
      <c r="AQ168" s="404"/>
      <c r="AR168" s="380"/>
      <c r="AS168" s="380"/>
      <c r="AT168" s="380"/>
      <c r="AU168" s="380"/>
      <c r="AV168" s="380"/>
      <c r="AW168" s="380"/>
      <c r="AX168" s="380"/>
      <c r="AY168" s="403"/>
      <c r="AZ168" s="380"/>
      <c r="BA168" s="380"/>
      <c r="BB168" s="380"/>
      <c r="BC168" s="380"/>
      <c r="BD168" s="380"/>
      <c r="BE168" s="404"/>
      <c r="BF168" s="380"/>
      <c r="BG168" s="380"/>
      <c r="BH168" s="380"/>
      <c r="BI168" s="380"/>
      <c r="BJ168" s="380"/>
      <c r="BK168" s="380"/>
      <c r="BL168" s="380"/>
      <c r="BM168" s="403"/>
      <c r="BS168" s="83"/>
      <c r="CA168" s="405"/>
      <c r="CG168" s="83"/>
      <c r="CO168" s="405"/>
      <c r="CU168" s="83"/>
      <c r="DC168" s="405"/>
      <c r="DI168" s="83"/>
      <c r="DQ168" s="405"/>
      <c r="DW168" s="83"/>
      <c r="EE168" s="405"/>
      <c r="EK168" s="83"/>
      <c r="ES168" s="405"/>
      <c r="EY168" s="83"/>
      <c r="FG168" s="405"/>
      <c r="FM168" s="83"/>
      <c r="FU168" s="405"/>
      <c r="GA168" s="83"/>
      <c r="GI168" s="405"/>
      <c r="GO168" s="83"/>
      <c r="GW168" s="405"/>
      <c r="HC168" s="83"/>
      <c r="HK168" s="405"/>
      <c r="HQ168" s="83"/>
      <c r="HY168" s="405"/>
      <c r="IE168" s="83"/>
      <c r="IM168" s="405"/>
      <c r="IS168" s="83"/>
      <c r="JA168" s="405"/>
      <c r="JG168" s="83"/>
      <c r="JO168" s="405"/>
      <c r="JU168" s="83"/>
      <c r="KC168" s="405"/>
      <c r="KI168" s="83"/>
      <c r="KQ168" s="405"/>
      <c r="KW168" s="83"/>
      <c r="LE168" s="405"/>
      <c r="LK168" s="83"/>
      <c r="LS168" s="405"/>
      <c r="LY168" s="83"/>
      <c r="MG168" s="405"/>
      <c r="MM168" s="83"/>
      <c r="MU168" s="405"/>
      <c r="NA168" s="83"/>
    </row>
    <row r="169">
      <c r="A169" s="483"/>
      <c r="B169" s="380"/>
      <c r="C169" s="380"/>
      <c r="D169" s="380"/>
      <c r="E169" s="380"/>
      <c r="F169" s="380"/>
      <c r="G169" s="380"/>
      <c r="H169" s="380"/>
      <c r="I169" s="403"/>
      <c r="J169" s="380"/>
      <c r="K169" s="380"/>
      <c r="L169" s="380"/>
      <c r="M169" s="380"/>
      <c r="N169" s="380"/>
      <c r="O169" s="404"/>
      <c r="P169" s="380"/>
      <c r="Q169" s="380"/>
      <c r="R169" s="380"/>
      <c r="S169" s="380"/>
      <c r="T169" s="380"/>
      <c r="U169" s="380"/>
      <c r="V169" s="380"/>
      <c r="W169" s="403"/>
      <c r="X169" s="380"/>
      <c r="Y169" s="380"/>
      <c r="Z169" s="380"/>
      <c r="AA169" s="380"/>
      <c r="AB169" s="380"/>
      <c r="AC169" s="404"/>
      <c r="AD169" s="380"/>
      <c r="AE169" s="380"/>
      <c r="AF169" s="380"/>
      <c r="AG169" s="380"/>
      <c r="AH169" s="380"/>
      <c r="AI169" s="380"/>
      <c r="AJ169" s="380"/>
      <c r="AK169" s="403"/>
      <c r="AL169" s="380"/>
      <c r="AM169" s="380"/>
      <c r="AN169" s="380"/>
      <c r="AO169" s="380"/>
      <c r="AP169" s="380"/>
      <c r="AQ169" s="404"/>
      <c r="AR169" s="380"/>
      <c r="AS169" s="380"/>
      <c r="AT169" s="380"/>
      <c r="AU169" s="380"/>
      <c r="AV169" s="380"/>
      <c r="AW169" s="380"/>
      <c r="AX169" s="380"/>
      <c r="AY169" s="403"/>
      <c r="AZ169" s="380"/>
      <c r="BA169" s="380"/>
      <c r="BB169" s="380"/>
      <c r="BC169" s="380"/>
      <c r="BD169" s="380"/>
      <c r="BE169" s="404"/>
      <c r="BF169" s="380"/>
      <c r="BG169" s="380"/>
      <c r="BH169" s="380"/>
      <c r="BI169" s="380"/>
      <c r="BJ169" s="380"/>
      <c r="BK169" s="380"/>
      <c r="BL169" s="380"/>
      <c r="BM169" s="403"/>
      <c r="BS169" s="83"/>
      <c r="CA169" s="405"/>
      <c r="CG169" s="83"/>
      <c r="CO169" s="405"/>
      <c r="CU169" s="83"/>
      <c r="DC169" s="405"/>
      <c r="DI169" s="83"/>
      <c r="DQ169" s="405"/>
      <c r="DW169" s="83"/>
      <c r="EE169" s="405"/>
      <c r="EK169" s="83"/>
      <c r="ES169" s="405"/>
      <c r="EY169" s="83"/>
      <c r="FG169" s="405"/>
      <c r="FM169" s="83"/>
      <c r="FU169" s="405"/>
      <c r="GA169" s="83"/>
      <c r="GI169" s="405"/>
      <c r="GO169" s="83"/>
      <c r="GW169" s="405"/>
      <c r="HC169" s="83"/>
      <c r="HK169" s="405"/>
      <c r="HQ169" s="83"/>
      <c r="HY169" s="405"/>
      <c r="IE169" s="83"/>
      <c r="IM169" s="405"/>
      <c r="IS169" s="83"/>
      <c r="JA169" s="405"/>
      <c r="JG169" s="83"/>
      <c r="JO169" s="405"/>
      <c r="JU169" s="83"/>
      <c r="KC169" s="405"/>
      <c r="KI169" s="83"/>
      <c r="KQ169" s="405"/>
      <c r="KW169" s="83"/>
      <c r="LE169" s="405"/>
      <c r="LK169" s="83"/>
      <c r="LS169" s="405"/>
      <c r="LY169" s="83"/>
      <c r="MG169" s="405"/>
      <c r="MM169" s="83"/>
      <c r="MU169" s="405"/>
      <c r="NA169" s="83"/>
    </row>
    <row r="170">
      <c r="A170" s="483"/>
      <c r="B170" s="380"/>
      <c r="C170" s="380"/>
      <c r="D170" s="380"/>
      <c r="E170" s="380"/>
      <c r="F170" s="380"/>
      <c r="G170" s="380"/>
      <c r="H170" s="380"/>
      <c r="I170" s="403"/>
      <c r="J170" s="380"/>
      <c r="K170" s="380"/>
      <c r="L170" s="380"/>
      <c r="M170" s="380"/>
      <c r="N170" s="380"/>
      <c r="O170" s="404"/>
      <c r="P170" s="380"/>
      <c r="Q170" s="380"/>
      <c r="R170" s="380"/>
      <c r="S170" s="380"/>
      <c r="T170" s="380"/>
      <c r="U170" s="380"/>
      <c r="V170" s="380"/>
      <c r="W170" s="403"/>
      <c r="X170" s="380"/>
      <c r="Y170" s="380"/>
      <c r="Z170" s="380"/>
      <c r="AA170" s="380"/>
      <c r="AB170" s="380"/>
      <c r="AC170" s="404"/>
      <c r="AD170" s="380"/>
      <c r="AE170" s="380"/>
      <c r="AF170" s="380"/>
      <c r="AG170" s="380"/>
      <c r="AH170" s="380"/>
      <c r="AI170" s="380"/>
      <c r="AJ170" s="380"/>
      <c r="AK170" s="403"/>
      <c r="AL170" s="380"/>
      <c r="AM170" s="380"/>
      <c r="AN170" s="380"/>
      <c r="AO170" s="380"/>
      <c r="AP170" s="380"/>
      <c r="AQ170" s="404"/>
      <c r="AR170" s="380"/>
      <c r="AS170" s="380"/>
      <c r="AT170" s="380"/>
      <c r="AU170" s="380"/>
      <c r="AV170" s="380"/>
      <c r="AW170" s="380"/>
      <c r="AX170" s="380"/>
      <c r="AY170" s="403"/>
      <c r="AZ170" s="380"/>
      <c r="BA170" s="380"/>
      <c r="BB170" s="380"/>
      <c r="BC170" s="380"/>
      <c r="BD170" s="380"/>
      <c r="BE170" s="404"/>
      <c r="BF170" s="380"/>
      <c r="BG170" s="380"/>
      <c r="BH170" s="380"/>
      <c r="BI170" s="380"/>
      <c r="BJ170" s="380"/>
      <c r="BK170" s="380"/>
      <c r="BL170" s="380"/>
      <c r="BM170" s="403"/>
      <c r="BS170" s="83"/>
      <c r="CA170" s="405"/>
      <c r="CG170" s="83"/>
      <c r="CO170" s="405"/>
      <c r="CU170" s="83"/>
      <c r="DC170" s="405"/>
      <c r="DI170" s="83"/>
      <c r="DQ170" s="405"/>
      <c r="DW170" s="83"/>
      <c r="EE170" s="405"/>
      <c r="EK170" s="83"/>
      <c r="ES170" s="405"/>
      <c r="EY170" s="83"/>
      <c r="FG170" s="405"/>
      <c r="FM170" s="83"/>
      <c r="FU170" s="405"/>
      <c r="GA170" s="83"/>
      <c r="GI170" s="405"/>
      <c r="GO170" s="83"/>
      <c r="GW170" s="405"/>
      <c r="HC170" s="83"/>
      <c r="HK170" s="405"/>
      <c r="HQ170" s="83"/>
      <c r="HY170" s="405"/>
      <c r="IE170" s="83"/>
      <c r="IM170" s="405"/>
      <c r="IS170" s="83"/>
      <c r="JA170" s="405"/>
      <c r="JG170" s="83"/>
      <c r="JO170" s="405"/>
      <c r="JU170" s="83"/>
      <c r="KC170" s="405"/>
      <c r="KI170" s="83"/>
      <c r="KQ170" s="405"/>
      <c r="KW170" s="83"/>
      <c r="LE170" s="405"/>
      <c r="LK170" s="83"/>
      <c r="LS170" s="405"/>
      <c r="LY170" s="83"/>
      <c r="MG170" s="405"/>
      <c r="MM170" s="83"/>
      <c r="MU170" s="405"/>
      <c r="NA170" s="83"/>
    </row>
    <row r="171">
      <c r="A171" s="483"/>
      <c r="B171" s="380"/>
      <c r="C171" s="380"/>
      <c r="D171" s="380"/>
      <c r="E171" s="380"/>
      <c r="F171" s="380"/>
      <c r="G171" s="380"/>
      <c r="H171" s="380"/>
      <c r="I171" s="403"/>
      <c r="J171" s="380"/>
      <c r="K171" s="380"/>
      <c r="L171" s="380"/>
      <c r="M171" s="380"/>
      <c r="N171" s="380"/>
      <c r="O171" s="404"/>
      <c r="P171" s="380"/>
      <c r="Q171" s="380"/>
      <c r="R171" s="380"/>
      <c r="S171" s="380"/>
      <c r="T171" s="380"/>
      <c r="U171" s="380"/>
      <c r="V171" s="380"/>
      <c r="W171" s="403"/>
      <c r="X171" s="380"/>
      <c r="Y171" s="380"/>
      <c r="Z171" s="380"/>
      <c r="AA171" s="380"/>
      <c r="AB171" s="380"/>
      <c r="AC171" s="404"/>
      <c r="AD171" s="380"/>
      <c r="AE171" s="380"/>
      <c r="AF171" s="380"/>
      <c r="AG171" s="380"/>
      <c r="AH171" s="380"/>
      <c r="AI171" s="380"/>
      <c r="AJ171" s="380"/>
      <c r="AK171" s="403"/>
      <c r="AL171" s="380"/>
      <c r="AM171" s="380"/>
      <c r="AN171" s="380"/>
      <c r="AO171" s="380"/>
      <c r="AP171" s="380"/>
      <c r="AQ171" s="404"/>
      <c r="AR171" s="380"/>
      <c r="AS171" s="380"/>
      <c r="AT171" s="380"/>
      <c r="AU171" s="380"/>
      <c r="AV171" s="380"/>
      <c r="AW171" s="380"/>
      <c r="AX171" s="380"/>
      <c r="AY171" s="403"/>
      <c r="AZ171" s="380"/>
      <c r="BA171" s="380"/>
      <c r="BB171" s="380"/>
      <c r="BC171" s="380"/>
      <c r="BD171" s="380"/>
      <c r="BE171" s="404"/>
      <c r="BF171" s="380"/>
      <c r="BG171" s="380"/>
      <c r="BH171" s="380"/>
      <c r="BI171" s="380"/>
      <c r="BJ171" s="380"/>
      <c r="BK171" s="380"/>
      <c r="BL171" s="380"/>
      <c r="BM171" s="403"/>
      <c r="BS171" s="83"/>
      <c r="CA171" s="405"/>
      <c r="CG171" s="83"/>
      <c r="CO171" s="405"/>
      <c r="CU171" s="83"/>
      <c r="DC171" s="405"/>
      <c r="DI171" s="83"/>
      <c r="DQ171" s="405"/>
      <c r="DW171" s="83"/>
      <c r="EE171" s="405"/>
      <c r="EK171" s="83"/>
      <c r="ES171" s="405"/>
      <c r="EY171" s="83"/>
      <c r="FG171" s="405"/>
      <c r="FM171" s="83"/>
      <c r="FU171" s="405"/>
      <c r="GA171" s="83"/>
      <c r="GI171" s="405"/>
      <c r="GO171" s="83"/>
      <c r="GW171" s="405"/>
      <c r="HC171" s="83"/>
      <c r="HK171" s="405"/>
      <c r="HQ171" s="83"/>
      <c r="HY171" s="405"/>
      <c r="IE171" s="83"/>
      <c r="IM171" s="405"/>
      <c r="IS171" s="83"/>
      <c r="JA171" s="405"/>
      <c r="JG171" s="83"/>
      <c r="JO171" s="405"/>
      <c r="JU171" s="83"/>
      <c r="KC171" s="405"/>
      <c r="KI171" s="83"/>
      <c r="KQ171" s="405"/>
      <c r="KW171" s="83"/>
      <c r="LE171" s="405"/>
      <c r="LK171" s="83"/>
      <c r="LS171" s="405"/>
      <c r="LY171" s="83"/>
      <c r="MG171" s="405"/>
      <c r="MM171" s="83"/>
      <c r="MU171" s="405"/>
      <c r="NA171" s="83"/>
    </row>
    <row r="172">
      <c r="A172" s="483"/>
      <c r="B172" s="380"/>
      <c r="C172" s="380"/>
      <c r="D172" s="380"/>
      <c r="E172" s="380"/>
      <c r="F172" s="380"/>
      <c r="G172" s="380"/>
      <c r="H172" s="380"/>
      <c r="I172" s="403"/>
      <c r="J172" s="380"/>
      <c r="K172" s="380"/>
      <c r="L172" s="380"/>
      <c r="M172" s="380"/>
      <c r="N172" s="380"/>
      <c r="O172" s="404"/>
      <c r="P172" s="380"/>
      <c r="Q172" s="380"/>
      <c r="R172" s="380"/>
      <c r="S172" s="380"/>
      <c r="T172" s="380"/>
      <c r="U172" s="380"/>
      <c r="V172" s="380"/>
      <c r="W172" s="403"/>
      <c r="X172" s="380"/>
      <c r="Y172" s="380"/>
      <c r="Z172" s="380"/>
      <c r="AA172" s="380"/>
      <c r="AB172" s="380"/>
      <c r="AC172" s="404"/>
      <c r="AD172" s="380"/>
      <c r="AE172" s="380"/>
      <c r="AF172" s="380"/>
      <c r="AG172" s="380"/>
      <c r="AH172" s="380"/>
      <c r="AI172" s="380"/>
      <c r="AJ172" s="380"/>
      <c r="AK172" s="403"/>
      <c r="AL172" s="380"/>
      <c r="AM172" s="380"/>
      <c r="AN172" s="380"/>
      <c r="AO172" s="380"/>
      <c r="AP172" s="380"/>
      <c r="AQ172" s="404"/>
      <c r="AR172" s="380"/>
      <c r="AS172" s="380"/>
      <c r="AT172" s="380"/>
      <c r="AU172" s="380"/>
      <c r="AV172" s="380"/>
      <c r="AW172" s="380"/>
      <c r="AX172" s="380"/>
      <c r="AY172" s="403"/>
      <c r="AZ172" s="380"/>
      <c r="BA172" s="380"/>
      <c r="BB172" s="380"/>
      <c r="BC172" s="380"/>
      <c r="BD172" s="380"/>
      <c r="BE172" s="404"/>
      <c r="BF172" s="380"/>
      <c r="BG172" s="380"/>
      <c r="BH172" s="380"/>
      <c r="BI172" s="380"/>
      <c r="BJ172" s="380"/>
      <c r="BK172" s="380"/>
      <c r="BL172" s="380"/>
      <c r="BM172" s="403"/>
      <c r="BS172" s="83"/>
      <c r="CA172" s="405"/>
      <c r="CG172" s="83"/>
      <c r="CO172" s="405"/>
      <c r="CU172" s="83"/>
      <c r="DC172" s="405"/>
      <c r="DI172" s="83"/>
      <c r="DQ172" s="405"/>
      <c r="DW172" s="83"/>
      <c r="EE172" s="405"/>
      <c r="EK172" s="83"/>
      <c r="ES172" s="405"/>
      <c r="EY172" s="83"/>
      <c r="FG172" s="405"/>
      <c r="FM172" s="83"/>
      <c r="FU172" s="405"/>
      <c r="GA172" s="83"/>
      <c r="GI172" s="405"/>
      <c r="GO172" s="83"/>
      <c r="GW172" s="405"/>
      <c r="HC172" s="83"/>
      <c r="HK172" s="405"/>
      <c r="HQ172" s="83"/>
      <c r="HY172" s="405"/>
      <c r="IE172" s="83"/>
      <c r="IM172" s="405"/>
      <c r="IS172" s="83"/>
      <c r="JA172" s="405"/>
      <c r="JG172" s="83"/>
      <c r="JO172" s="405"/>
      <c r="JU172" s="83"/>
      <c r="KC172" s="405"/>
      <c r="KI172" s="83"/>
      <c r="KQ172" s="405"/>
      <c r="KW172" s="83"/>
      <c r="LE172" s="405"/>
      <c r="LK172" s="83"/>
      <c r="LS172" s="405"/>
      <c r="LY172" s="83"/>
      <c r="MG172" s="405"/>
      <c r="MM172" s="83"/>
      <c r="MU172" s="405"/>
      <c r="NA172" s="83"/>
    </row>
    <row r="173">
      <c r="A173" s="483"/>
      <c r="B173" s="380"/>
      <c r="C173" s="380"/>
      <c r="D173" s="380"/>
      <c r="E173" s="380"/>
      <c r="F173" s="380"/>
      <c r="G173" s="380"/>
      <c r="H173" s="380"/>
      <c r="I173" s="403"/>
      <c r="J173" s="380"/>
      <c r="K173" s="380"/>
      <c r="L173" s="380"/>
      <c r="M173" s="380"/>
      <c r="N173" s="380"/>
      <c r="O173" s="404"/>
      <c r="P173" s="380"/>
      <c r="Q173" s="380"/>
      <c r="R173" s="380"/>
      <c r="S173" s="380"/>
      <c r="T173" s="380"/>
      <c r="U173" s="380"/>
      <c r="V173" s="380"/>
      <c r="W173" s="403"/>
      <c r="X173" s="380"/>
      <c r="Y173" s="380"/>
      <c r="Z173" s="380"/>
      <c r="AA173" s="380"/>
      <c r="AB173" s="380"/>
      <c r="AC173" s="404"/>
      <c r="AD173" s="380"/>
      <c r="AE173" s="380"/>
      <c r="AF173" s="380"/>
      <c r="AG173" s="380"/>
      <c r="AH173" s="380"/>
      <c r="AI173" s="380"/>
      <c r="AJ173" s="380"/>
      <c r="AK173" s="403"/>
      <c r="AL173" s="380"/>
      <c r="AM173" s="380"/>
      <c r="AN173" s="380"/>
      <c r="AO173" s="380"/>
      <c r="AP173" s="380"/>
      <c r="AQ173" s="404"/>
      <c r="AR173" s="380"/>
      <c r="AS173" s="380"/>
      <c r="AT173" s="380"/>
      <c r="AU173" s="380"/>
      <c r="AV173" s="380"/>
      <c r="AW173" s="380"/>
      <c r="AX173" s="380"/>
      <c r="AY173" s="403"/>
      <c r="AZ173" s="380"/>
      <c r="BA173" s="380"/>
      <c r="BB173" s="380"/>
      <c r="BC173" s="380"/>
      <c r="BD173" s="380"/>
      <c r="BE173" s="404"/>
      <c r="BF173" s="380"/>
      <c r="BG173" s="380"/>
      <c r="BH173" s="380"/>
      <c r="BI173" s="380"/>
      <c r="BJ173" s="380"/>
      <c r="BK173" s="380"/>
      <c r="BL173" s="380"/>
      <c r="BM173" s="403"/>
      <c r="BS173" s="83"/>
      <c r="CA173" s="405"/>
      <c r="CG173" s="83"/>
      <c r="CO173" s="405"/>
      <c r="CU173" s="83"/>
      <c r="DC173" s="405"/>
      <c r="DI173" s="83"/>
      <c r="DQ173" s="405"/>
      <c r="DW173" s="83"/>
      <c r="EE173" s="405"/>
      <c r="EK173" s="83"/>
      <c r="ES173" s="405"/>
      <c r="EY173" s="83"/>
      <c r="FG173" s="405"/>
      <c r="FM173" s="83"/>
      <c r="FU173" s="405"/>
      <c r="GA173" s="83"/>
      <c r="GI173" s="405"/>
      <c r="GO173" s="83"/>
      <c r="GW173" s="405"/>
      <c r="HC173" s="83"/>
      <c r="HK173" s="405"/>
      <c r="HQ173" s="83"/>
      <c r="HY173" s="405"/>
      <c r="IE173" s="83"/>
      <c r="IM173" s="405"/>
      <c r="IS173" s="83"/>
      <c r="JA173" s="405"/>
      <c r="JG173" s="83"/>
      <c r="JO173" s="405"/>
      <c r="JU173" s="83"/>
      <c r="KC173" s="405"/>
      <c r="KI173" s="83"/>
      <c r="KQ173" s="405"/>
      <c r="KW173" s="83"/>
      <c r="LE173" s="405"/>
      <c r="LK173" s="83"/>
      <c r="LS173" s="405"/>
      <c r="LY173" s="83"/>
      <c r="MG173" s="405"/>
      <c r="MM173" s="83"/>
      <c r="MU173" s="405"/>
      <c r="NA173" s="83"/>
    </row>
    <row r="174">
      <c r="A174" s="483"/>
      <c r="B174" s="380"/>
      <c r="C174" s="380"/>
      <c r="D174" s="380"/>
      <c r="E174" s="380"/>
      <c r="F174" s="380"/>
      <c r="G174" s="380"/>
      <c r="H174" s="380"/>
      <c r="I174" s="403"/>
      <c r="J174" s="380"/>
      <c r="K174" s="380"/>
      <c r="L174" s="380"/>
      <c r="M174" s="380"/>
      <c r="N174" s="380"/>
      <c r="O174" s="404"/>
      <c r="P174" s="380"/>
      <c r="Q174" s="380"/>
      <c r="R174" s="380"/>
      <c r="S174" s="380"/>
      <c r="T174" s="380"/>
      <c r="U174" s="380"/>
      <c r="V174" s="380"/>
      <c r="W174" s="403"/>
      <c r="X174" s="380"/>
      <c r="Y174" s="380"/>
      <c r="Z174" s="380"/>
      <c r="AA174" s="380"/>
      <c r="AB174" s="380"/>
      <c r="AC174" s="404"/>
      <c r="AD174" s="380"/>
      <c r="AE174" s="380"/>
      <c r="AF174" s="380"/>
      <c r="AG174" s="380"/>
      <c r="AH174" s="380"/>
      <c r="AI174" s="380"/>
      <c r="AJ174" s="380"/>
      <c r="AK174" s="403"/>
      <c r="AL174" s="380"/>
      <c r="AM174" s="380"/>
      <c r="AN174" s="380"/>
      <c r="AO174" s="380"/>
      <c r="AP174" s="380"/>
      <c r="AQ174" s="404"/>
      <c r="AR174" s="380"/>
      <c r="AS174" s="380"/>
      <c r="AT174" s="380"/>
      <c r="AU174" s="380"/>
      <c r="AV174" s="380"/>
      <c r="AW174" s="380"/>
      <c r="AX174" s="380"/>
      <c r="AY174" s="403"/>
      <c r="AZ174" s="380"/>
      <c r="BA174" s="380"/>
      <c r="BB174" s="380"/>
      <c r="BC174" s="380"/>
      <c r="BD174" s="380"/>
      <c r="BE174" s="404"/>
      <c r="BF174" s="380"/>
      <c r="BG174" s="380"/>
      <c r="BH174" s="380"/>
      <c r="BI174" s="380"/>
      <c r="BJ174" s="380"/>
      <c r="BK174" s="380"/>
      <c r="BL174" s="380"/>
      <c r="BM174" s="403"/>
      <c r="BS174" s="83"/>
      <c r="CA174" s="405"/>
      <c r="CG174" s="83"/>
      <c r="CO174" s="405"/>
      <c r="CU174" s="83"/>
      <c r="DC174" s="405"/>
      <c r="DI174" s="83"/>
      <c r="DQ174" s="405"/>
      <c r="DW174" s="83"/>
      <c r="EE174" s="405"/>
      <c r="EK174" s="83"/>
      <c r="ES174" s="405"/>
      <c r="EY174" s="83"/>
      <c r="FG174" s="405"/>
      <c r="FM174" s="83"/>
      <c r="FU174" s="405"/>
      <c r="GA174" s="83"/>
      <c r="GI174" s="405"/>
      <c r="GO174" s="83"/>
      <c r="GW174" s="405"/>
      <c r="HC174" s="83"/>
      <c r="HK174" s="405"/>
      <c r="HQ174" s="83"/>
      <c r="HY174" s="405"/>
      <c r="IE174" s="83"/>
      <c r="IM174" s="405"/>
      <c r="IS174" s="83"/>
      <c r="JA174" s="405"/>
      <c r="JG174" s="83"/>
      <c r="JO174" s="405"/>
      <c r="JU174" s="83"/>
      <c r="KC174" s="405"/>
      <c r="KI174" s="83"/>
      <c r="KQ174" s="405"/>
      <c r="KW174" s="83"/>
      <c r="LE174" s="405"/>
      <c r="LK174" s="83"/>
      <c r="LS174" s="405"/>
      <c r="LY174" s="83"/>
      <c r="MG174" s="405"/>
      <c r="MM174" s="83"/>
      <c r="MU174" s="405"/>
      <c r="NA174" s="83"/>
    </row>
    <row r="175">
      <c r="A175" s="483"/>
      <c r="B175" s="380"/>
      <c r="C175" s="380"/>
      <c r="D175" s="380"/>
      <c r="E175" s="380"/>
      <c r="F175" s="380"/>
      <c r="G175" s="380"/>
      <c r="H175" s="380"/>
      <c r="I175" s="403"/>
      <c r="J175" s="380"/>
      <c r="K175" s="380"/>
      <c r="L175" s="380"/>
      <c r="M175" s="380"/>
      <c r="N175" s="380"/>
      <c r="O175" s="404"/>
      <c r="P175" s="380"/>
      <c r="Q175" s="380"/>
      <c r="R175" s="380"/>
      <c r="S175" s="380"/>
      <c r="T175" s="380"/>
      <c r="U175" s="380"/>
      <c r="V175" s="380"/>
      <c r="W175" s="403"/>
      <c r="X175" s="380"/>
      <c r="Y175" s="380"/>
      <c r="Z175" s="380"/>
      <c r="AA175" s="380"/>
      <c r="AB175" s="380"/>
      <c r="AC175" s="404"/>
      <c r="AD175" s="380"/>
      <c r="AE175" s="380"/>
      <c r="AF175" s="380"/>
      <c r="AG175" s="380"/>
      <c r="AH175" s="380"/>
      <c r="AI175" s="380"/>
      <c r="AJ175" s="380"/>
      <c r="AK175" s="403"/>
      <c r="AL175" s="380"/>
      <c r="AM175" s="380"/>
      <c r="AN175" s="380"/>
      <c r="AO175" s="380"/>
      <c r="AP175" s="380"/>
      <c r="AQ175" s="404"/>
      <c r="AR175" s="380"/>
      <c r="AS175" s="380"/>
      <c r="AT175" s="380"/>
      <c r="AU175" s="380"/>
      <c r="AV175" s="380"/>
      <c r="AW175" s="380"/>
      <c r="AX175" s="380"/>
      <c r="AY175" s="403"/>
      <c r="AZ175" s="380"/>
      <c r="BA175" s="380"/>
      <c r="BB175" s="380"/>
      <c r="BC175" s="380"/>
      <c r="BD175" s="380"/>
      <c r="BE175" s="404"/>
      <c r="BF175" s="380"/>
      <c r="BG175" s="380"/>
      <c r="BH175" s="380"/>
      <c r="BI175" s="380"/>
      <c r="BJ175" s="380"/>
      <c r="BK175" s="380"/>
      <c r="BL175" s="380"/>
      <c r="BM175" s="403"/>
      <c r="BS175" s="83"/>
      <c r="CA175" s="405"/>
      <c r="CG175" s="83"/>
      <c r="CO175" s="405"/>
      <c r="CU175" s="83"/>
      <c r="DC175" s="405"/>
      <c r="DI175" s="83"/>
      <c r="DQ175" s="405"/>
      <c r="DW175" s="83"/>
      <c r="EE175" s="405"/>
      <c r="EK175" s="83"/>
      <c r="ES175" s="405"/>
      <c r="EY175" s="83"/>
      <c r="FG175" s="405"/>
      <c r="FM175" s="83"/>
      <c r="FU175" s="405"/>
      <c r="GA175" s="83"/>
      <c r="GI175" s="405"/>
      <c r="GO175" s="83"/>
      <c r="GW175" s="405"/>
      <c r="HC175" s="83"/>
      <c r="HK175" s="405"/>
      <c r="HQ175" s="83"/>
      <c r="HY175" s="405"/>
      <c r="IE175" s="83"/>
      <c r="IM175" s="405"/>
      <c r="IS175" s="83"/>
      <c r="JA175" s="405"/>
      <c r="JG175" s="83"/>
      <c r="JO175" s="405"/>
      <c r="JU175" s="83"/>
      <c r="KC175" s="405"/>
      <c r="KI175" s="83"/>
      <c r="KQ175" s="405"/>
      <c r="KW175" s="83"/>
      <c r="LE175" s="405"/>
      <c r="LK175" s="83"/>
      <c r="LS175" s="405"/>
      <c r="LY175" s="83"/>
      <c r="MG175" s="405"/>
      <c r="MM175" s="83"/>
      <c r="MU175" s="405"/>
      <c r="NA175" s="83"/>
    </row>
    <row r="176">
      <c r="A176" s="483"/>
      <c r="B176" s="380"/>
      <c r="C176" s="380"/>
      <c r="D176" s="380"/>
      <c r="E176" s="380"/>
      <c r="F176" s="380"/>
      <c r="G176" s="380"/>
      <c r="H176" s="380"/>
      <c r="I176" s="403"/>
      <c r="J176" s="380"/>
      <c r="K176" s="380"/>
      <c r="L176" s="380"/>
      <c r="M176" s="380"/>
      <c r="N176" s="380"/>
      <c r="O176" s="404"/>
      <c r="P176" s="380"/>
      <c r="Q176" s="380"/>
      <c r="R176" s="380"/>
      <c r="S176" s="380"/>
      <c r="T176" s="380"/>
      <c r="U176" s="380"/>
      <c r="V176" s="380"/>
      <c r="W176" s="403"/>
      <c r="X176" s="380"/>
      <c r="Y176" s="380"/>
      <c r="Z176" s="380"/>
      <c r="AA176" s="380"/>
      <c r="AB176" s="380"/>
      <c r="AC176" s="404"/>
      <c r="AD176" s="380"/>
      <c r="AE176" s="380"/>
      <c r="AF176" s="380"/>
      <c r="AG176" s="380"/>
      <c r="AH176" s="380"/>
      <c r="AI176" s="380"/>
      <c r="AJ176" s="380"/>
      <c r="AK176" s="403"/>
      <c r="AL176" s="380"/>
      <c r="AM176" s="380"/>
      <c r="AN176" s="380"/>
      <c r="AO176" s="380"/>
      <c r="AP176" s="380"/>
      <c r="AQ176" s="404"/>
      <c r="AR176" s="380"/>
      <c r="AS176" s="380"/>
      <c r="AT176" s="380"/>
      <c r="AU176" s="380"/>
      <c r="AV176" s="380"/>
      <c r="AW176" s="380"/>
      <c r="AX176" s="380"/>
      <c r="AY176" s="403"/>
      <c r="AZ176" s="380"/>
      <c r="BA176" s="380"/>
      <c r="BB176" s="380"/>
      <c r="BC176" s="380"/>
      <c r="BD176" s="380"/>
      <c r="BE176" s="404"/>
      <c r="BF176" s="380"/>
      <c r="BG176" s="380"/>
      <c r="BH176" s="380"/>
      <c r="BI176" s="380"/>
      <c r="BJ176" s="380"/>
      <c r="BK176" s="380"/>
      <c r="BL176" s="380"/>
      <c r="BM176" s="403"/>
      <c r="BS176" s="83"/>
      <c r="CA176" s="405"/>
      <c r="CG176" s="83"/>
      <c r="CO176" s="405"/>
      <c r="CU176" s="83"/>
      <c r="DC176" s="405"/>
      <c r="DI176" s="83"/>
      <c r="DQ176" s="405"/>
      <c r="DW176" s="83"/>
      <c r="EE176" s="405"/>
      <c r="EK176" s="83"/>
      <c r="ES176" s="405"/>
      <c r="EY176" s="83"/>
      <c r="FG176" s="405"/>
      <c r="FM176" s="83"/>
      <c r="FU176" s="405"/>
      <c r="GA176" s="83"/>
      <c r="GI176" s="405"/>
      <c r="GO176" s="83"/>
      <c r="GW176" s="405"/>
      <c r="HC176" s="83"/>
      <c r="HK176" s="405"/>
      <c r="HQ176" s="83"/>
      <c r="HY176" s="405"/>
      <c r="IE176" s="83"/>
      <c r="IM176" s="405"/>
      <c r="IS176" s="83"/>
      <c r="JA176" s="405"/>
      <c r="JG176" s="83"/>
      <c r="JO176" s="405"/>
      <c r="JU176" s="83"/>
      <c r="KC176" s="405"/>
      <c r="KI176" s="83"/>
      <c r="KQ176" s="405"/>
      <c r="KW176" s="83"/>
      <c r="LE176" s="405"/>
      <c r="LK176" s="83"/>
      <c r="LS176" s="405"/>
      <c r="LY176" s="83"/>
      <c r="MG176" s="405"/>
      <c r="MM176" s="83"/>
      <c r="MU176" s="405"/>
      <c r="NA176" s="83"/>
    </row>
    <row r="177">
      <c r="A177" s="483"/>
      <c r="B177" s="380"/>
      <c r="C177" s="380"/>
      <c r="D177" s="380"/>
      <c r="E177" s="380"/>
      <c r="F177" s="380"/>
      <c r="G177" s="380"/>
      <c r="H177" s="380"/>
      <c r="I177" s="403"/>
      <c r="J177" s="380"/>
      <c r="K177" s="380"/>
      <c r="L177" s="380"/>
      <c r="M177" s="380"/>
      <c r="N177" s="380"/>
      <c r="O177" s="404"/>
      <c r="P177" s="380"/>
      <c r="Q177" s="380"/>
      <c r="R177" s="380"/>
      <c r="S177" s="380"/>
      <c r="T177" s="380"/>
      <c r="U177" s="380"/>
      <c r="V177" s="380"/>
      <c r="W177" s="403"/>
      <c r="X177" s="380"/>
      <c r="Y177" s="380"/>
      <c r="Z177" s="380"/>
      <c r="AA177" s="380"/>
      <c r="AB177" s="380"/>
      <c r="AC177" s="404"/>
      <c r="AD177" s="380"/>
      <c r="AE177" s="380"/>
      <c r="AF177" s="380"/>
      <c r="AG177" s="380"/>
      <c r="AH177" s="380"/>
      <c r="AI177" s="380"/>
      <c r="AJ177" s="380"/>
      <c r="AK177" s="403"/>
      <c r="AL177" s="380"/>
      <c r="AM177" s="380"/>
      <c r="AN177" s="380"/>
      <c r="AO177" s="380"/>
      <c r="AP177" s="380"/>
      <c r="AQ177" s="404"/>
      <c r="AR177" s="380"/>
      <c r="AS177" s="380"/>
      <c r="AT177" s="380"/>
      <c r="AU177" s="380"/>
      <c r="AV177" s="380"/>
      <c r="AW177" s="380"/>
      <c r="AX177" s="380"/>
      <c r="AY177" s="403"/>
      <c r="AZ177" s="380"/>
      <c r="BA177" s="380"/>
      <c r="BB177" s="380"/>
      <c r="BC177" s="380"/>
      <c r="BD177" s="380"/>
      <c r="BE177" s="404"/>
      <c r="BF177" s="380"/>
      <c r="BG177" s="380"/>
      <c r="BH177" s="380"/>
      <c r="BI177" s="380"/>
      <c r="BJ177" s="380"/>
      <c r="BK177" s="380"/>
      <c r="BL177" s="380"/>
      <c r="BM177" s="403"/>
      <c r="BS177" s="83"/>
      <c r="CA177" s="405"/>
      <c r="CG177" s="83"/>
      <c r="CO177" s="405"/>
      <c r="CU177" s="83"/>
      <c r="DC177" s="405"/>
      <c r="DI177" s="83"/>
      <c r="DQ177" s="405"/>
      <c r="DW177" s="83"/>
      <c r="EE177" s="405"/>
      <c r="EK177" s="83"/>
      <c r="ES177" s="405"/>
      <c r="EY177" s="83"/>
      <c r="FG177" s="405"/>
      <c r="FM177" s="83"/>
      <c r="FU177" s="405"/>
      <c r="GA177" s="83"/>
      <c r="GI177" s="405"/>
      <c r="GO177" s="83"/>
      <c r="GW177" s="405"/>
      <c r="HC177" s="83"/>
      <c r="HK177" s="405"/>
      <c r="HQ177" s="83"/>
      <c r="HY177" s="405"/>
      <c r="IE177" s="83"/>
      <c r="IM177" s="405"/>
      <c r="IS177" s="83"/>
      <c r="JA177" s="405"/>
      <c r="JG177" s="83"/>
      <c r="JO177" s="405"/>
      <c r="JU177" s="83"/>
      <c r="KC177" s="405"/>
      <c r="KI177" s="83"/>
      <c r="KQ177" s="405"/>
      <c r="KW177" s="83"/>
      <c r="LE177" s="405"/>
      <c r="LK177" s="83"/>
      <c r="LS177" s="405"/>
      <c r="LY177" s="83"/>
      <c r="MG177" s="405"/>
      <c r="MM177" s="83"/>
      <c r="MU177" s="405"/>
      <c r="NA177" s="83"/>
    </row>
    <row r="178">
      <c r="A178" s="483"/>
      <c r="B178" s="380"/>
      <c r="C178" s="380"/>
      <c r="D178" s="380"/>
      <c r="E178" s="380"/>
      <c r="F178" s="380"/>
      <c r="G178" s="380"/>
      <c r="H178" s="380"/>
      <c r="I178" s="403"/>
      <c r="J178" s="380"/>
      <c r="K178" s="380"/>
      <c r="L178" s="380"/>
      <c r="M178" s="380"/>
      <c r="N178" s="380"/>
      <c r="O178" s="404"/>
      <c r="P178" s="380"/>
      <c r="Q178" s="380"/>
      <c r="R178" s="380"/>
      <c r="S178" s="380"/>
      <c r="T178" s="380"/>
      <c r="U178" s="380"/>
      <c r="V178" s="380"/>
      <c r="W178" s="403"/>
      <c r="X178" s="380"/>
      <c r="Y178" s="380"/>
      <c r="Z178" s="380"/>
      <c r="AA178" s="380"/>
      <c r="AB178" s="380"/>
      <c r="AC178" s="404"/>
      <c r="AD178" s="380"/>
      <c r="AE178" s="380"/>
      <c r="AF178" s="380"/>
      <c r="AG178" s="380"/>
      <c r="AH178" s="380"/>
      <c r="AI178" s="380"/>
      <c r="AJ178" s="380"/>
      <c r="AK178" s="403"/>
      <c r="AL178" s="380"/>
      <c r="AM178" s="380"/>
      <c r="AN178" s="380"/>
      <c r="AO178" s="380"/>
      <c r="AP178" s="380"/>
      <c r="AQ178" s="404"/>
      <c r="AR178" s="380"/>
      <c r="AS178" s="380"/>
      <c r="AT178" s="380"/>
      <c r="AU178" s="380"/>
      <c r="AV178" s="380"/>
      <c r="AW178" s="380"/>
      <c r="AX178" s="380"/>
      <c r="AY178" s="403"/>
      <c r="AZ178" s="380"/>
      <c r="BA178" s="380"/>
      <c r="BB178" s="380"/>
      <c r="BC178" s="380"/>
      <c r="BD178" s="380"/>
      <c r="BE178" s="404"/>
      <c r="BF178" s="380"/>
      <c r="BG178" s="380"/>
      <c r="BH178" s="380"/>
      <c r="BI178" s="380"/>
      <c r="BJ178" s="380"/>
      <c r="BK178" s="380"/>
      <c r="BL178" s="380"/>
      <c r="BM178" s="403"/>
      <c r="BS178" s="83"/>
      <c r="CA178" s="405"/>
      <c r="CG178" s="83"/>
      <c r="CO178" s="405"/>
      <c r="CU178" s="83"/>
      <c r="DC178" s="405"/>
      <c r="DI178" s="83"/>
      <c r="DQ178" s="405"/>
      <c r="DW178" s="83"/>
      <c r="EE178" s="405"/>
      <c r="EK178" s="83"/>
      <c r="ES178" s="405"/>
      <c r="EY178" s="83"/>
      <c r="FG178" s="405"/>
      <c r="FM178" s="83"/>
      <c r="FU178" s="405"/>
      <c r="GA178" s="83"/>
      <c r="GI178" s="405"/>
      <c r="GO178" s="83"/>
      <c r="GW178" s="405"/>
      <c r="HC178" s="83"/>
      <c r="HK178" s="405"/>
      <c r="HQ178" s="83"/>
      <c r="HY178" s="405"/>
      <c r="IE178" s="83"/>
      <c r="IM178" s="405"/>
      <c r="IS178" s="83"/>
      <c r="JA178" s="405"/>
      <c r="JG178" s="83"/>
      <c r="JO178" s="405"/>
      <c r="JU178" s="83"/>
      <c r="KC178" s="405"/>
      <c r="KI178" s="83"/>
      <c r="KQ178" s="405"/>
      <c r="KW178" s="83"/>
      <c r="LE178" s="405"/>
      <c r="LK178" s="83"/>
      <c r="LS178" s="405"/>
      <c r="LY178" s="83"/>
      <c r="MG178" s="405"/>
      <c r="MM178" s="83"/>
      <c r="MU178" s="405"/>
      <c r="NA178" s="83"/>
    </row>
    <row r="179">
      <c r="A179" s="483"/>
      <c r="B179" s="380"/>
      <c r="C179" s="380"/>
      <c r="D179" s="380"/>
      <c r="E179" s="380"/>
      <c r="F179" s="380"/>
      <c r="G179" s="380"/>
      <c r="H179" s="380"/>
      <c r="I179" s="403"/>
      <c r="J179" s="380"/>
      <c r="K179" s="380"/>
      <c r="L179" s="380"/>
      <c r="M179" s="380"/>
      <c r="N179" s="380"/>
      <c r="O179" s="404"/>
      <c r="P179" s="380"/>
      <c r="Q179" s="380"/>
      <c r="R179" s="380"/>
      <c r="S179" s="380"/>
      <c r="T179" s="380"/>
      <c r="U179" s="380"/>
      <c r="V179" s="380"/>
      <c r="W179" s="403"/>
      <c r="X179" s="380"/>
      <c r="Y179" s="380"/>
      <c r="Z179" s="380"/>
      <c r="AA179" s="380"/>
      <c r="AB179" s="380"/>
      <c r="AC179" s="404"/>
      <c r="AD179" s="380"/>
      <c r="AE179" s="380"/>
      <c r="AF179" s="380"/>
      <c r="AG179" s="380"/>
      <c r="AH179" s="380"/>
      <c r="AI179" s="380"/>
      <c r="AJ179" s="380"/>
      <c r="AK179" s="403"/>
      <c r="AL179" s="380"/>
      <c r="AM179" s="380"/>
      <c r="AN179" s="380"/>
      <c r="AO179" s="380"/>
      <c r="AP179" s="380"/>
      <c r="AQ179" s="404"/>
      <c r="AR179" s="380"/>
      <c r="AS179" s="380"/>
      <c r="AT179" s="380"/>
      <c r="AU179" s="380"/>
      <c r="AV179" s="380"/>
      <c r="AW179" s="380"/>
      <c r="AX179" s="380"/>
      <c r="AY179" s="403"/>
      <c r="AZ179" s="380"/>
      <c r="BA179" s="380"/>
      <c r="BB179" s="380"/>
      <c r="BC179" s="380"/>
      <c r="BD179" s="380"/>
      <c r="BE179" s="404"/>
      <c r="BF179" s="380"/>
      <c r="BG179" s="380"/>
      <c r="BH179" s="380"/>
      <c r="BI179" s="380"/>
      <c r="BJ179" s="380"/>
      <c r="BK179" s="380"/>
      <c r="BL179" s="380"/>
      <c r="BM179" s="403"/>
      <c r="BS179" s="83"/>
      <c r="CA179" s="405"/>
      <c r="CG179" s="83"/>
      <c r="CO179" s="405"/>
      <c r="CU179" s="83"/>
      <c r="DC179" s="405"/>
      <c r="DI179" s="83"/>
      <c r="DQ179" s="405"/>
      <c r="DW179" s="83"/>
      <c r="EE179" s="405"/>
      <c r="EK179" s="83"/>
      <c r="ES179" s="405"/>
      <c r="EY179" s="83"/>
      <c r="FG179" s="405"/>
      <c r="FM179" s="83"/>
      <c r="FU179" s="405"/>
      <c r="GA179" s="83"/>
      <c r="GI179" s="405"/>
      <c r="GO179" s="83"/>
      <c r="GW179" s="405"/>
      <c r="HC179" s="83"/>
      <c r="HK179" s="405"/>
      <c r="HQ179" s="83"/>
      <c r="HY179" s="405"/>
      <c r="IE179" s="83"/>
      <c r="IM179" s="405"/>
      <c r="IS179" s="83"/>
      <c r="JA179" s="405"/>
      <c r="JG179" s="83"/>
      <c r="JO179" s="405"/>
      <c r="JU179" s="83"/>
      <c r="KC179" s="405"/>
      <c r="KI179" s="83"/>
      <c r="KQ179" s="405"/>
      <c r="KW179" s="83"/>
      <c r="LE179" s="405"/>
      <c r="LK179" s="83"/>
      <c r="LS179" s="405"/>
      <c r="LY179" s="83"/>
      <c r="MG179" s="405"/>
      <c r="MM179" s="83"/>
      <c r="MU179" s="405"/>
      <c r="NA179" s="83"/>
    </row>
    <row r="180">
      <c r="A180" s="483"/>
      <c r="B180" s="380"/>
      <c r="C180" s="380"/>
      <c r="D180" s="380"/>
      <c r="E180" s="380"/>
      <c r="F180" s="380"/>
      <c r="G180" s="380"/>
      <c r="H180" s="380"/>
      <c r="I180" s="403"/>
      <c r="J180" s="380"/>
      <c r="K180" s="380"/>
      <c r="L180" s="380"/>
      <c r="M180" s="380"/>
      <c r="N180" s="380"/>
      <c r="O180" s="404"/>
      <c r="P180" s="380"/>
      <c r="Q180" s="380"/>
      <c r="R180" s="380"/>
      <c r="S180" s="380"/>
      <c r="T180" s="380"/>
      <c r="U180" s="380"/>
      <c r="V180" s="380"/>
      <c r="W180" s="403"/>
      <c r="X180" s="380"/>
      <c r="Y180" s="380"/>
      <c r="Z180" s="380"/>
      <c r="AA180" s="380"/>
      <c r="AB180" s="380"/>
      <c r="AC180" s="404"/>
      <c r="AD180" s="380"/>
      <c r="AE180" s="380"/>
      <c r="AF180" s="380"/>
      <c r="AG180" s="380"/>
      <c r="AH180" s="380"/>
      <c r="AI180" s="380"/>
      <c r="AJ180" s="380"/>
      <c r="AK180" s="403"/>
      <c r="AL180" s="380"/>
      <c r="AM180" s="380"/>
      <c r="AN180" s="380"/>
      <c r="AO180" s="380"/>
      <c r="AP180" s="380"/>
      <c r="AQ180" s="404"/>
      <c r="AR180" s="380"/>
      <c r="AS180" s="380"/>
      <c r="AT180" s="380"/>
      <c r="AU180" s="380"/>
      <c r="AV180" s="380"/>
      <c r="AW180" s="380"/>
      <c r="AX180" s="380"/>
      <c r="AY180" s="403"/>
      <c r="AZ180" s="380"/>
      <c r="BA180" s="380"/>
      <c r="BB180" s="380"/>
      <c r="BC180" s="380"/>
      <c r="BD180" s="380"/>
      <c r="BE180" s="404"/>
      <c r="BF180" s="380"/>
      <c r="BG180" s="380"/>
      <c r="BH180" s="380"/>
      <c r="BI180" s="380"/>
      <c r="BJ180" s="380"/>
      <c r="BK180" s="380"/>
      <c r="BL180" s="380"/>
      <c r="BM180" s="403"/>
      <c r="BS180" s="83"/>
      <c r="CA180" s="405"/>
      <c r="CG180" s="83"/>
      <c r="CO180" s="405"/>
      <c r="CU180" s="83"/>
      <c r="DC180" s="405"/>
      <c r="DI180" s="83"/>
      <c r="DQ180" s="405"/>
      <c r="DW180" s="83"/>
      <c r="EE180" s="405"/>
      <c r="EK180" s="83"/>
      <c r="ES180" s="405"/>
      <c r="EY180" s="83"/>
      <c r="FG180" s="405"/>
      <c r="FM180" s="83"/>
      <c r="FU180" s="405"/>
      <c r="GA180" s="83"/>
      <c r="GI180" s="405"/>
      <c r="GO180" s="83"/>
      <c r="GW180" s="405"/>
      <c r="HC180" s="83"/>
      <c r="HK180" s="405"/>
      <c r="HQ180" s="83"/>
      <c r="HY180" s="405"/>
      <c r="IE180" s="83"/>
      <c r="IM180" s="405"/>
      <c r="IS180" s="83"/>
      <c r="JA180" s="405"/>
      <c r="JG180" s="83"/>
      <c r="JO180" s="405"/>
      <c r="JU180" s="83"/>
      <c r="KC180" s="405"/>
      <c r="KI180" s="83"/>
      <c r="KQ180" s="405"/>
      <c r="KW180" s="83"/>
      <c r="LE180" s="405"/>
      <c r="LK180" s="83"/>
      <c r="LS180" s="405"/>
      <c r="LY180" s="83"/>
      <c r="MG180" s="405"/>
      <c r="MM180" s="83"/>
      <c r="MU180" s="405"/>
      <c r="NA180" s="83"/>
    </row>
    <row r="181">
      <c r="A181" s="483"/>
      <c r="B181" s="380"/>
      <c r="C181" s="380"/>
      <c r="D181" s="380"/>
      <c r="E181" s="380"/>
      <c r="F181" s="380"/>
      <c r="G181" s="380"/>
      <c r="H181" s="380"/>
      <c r="I181" s="403"/>
      <c r="J181" s="380"/>
      <c r="K181" s="380"/>
      <c r="L181" s="380"/>
      <c r="M181" s="380"/>
      <c r="N181" s="380"/>
      <c r="O181" s="404"/>
      <c r="P181" s="380"/>
      <c r="Q181" s="380"/>
      <c r="R181" s="380"/>
      <c r="S181" s="380"/>
      <c r="T181" s="380"/>
      <c r="U181" s="380"/>
      <c r="V181" s="380"/>
      <c r="W181" s="403"/>
      <c r="X181" s="380"/>
      <c r="Y181" s="380"/>
      <c r="Z181" s="380"/>
      <c r="AA181" s="380"/>
      <c r="AB181" s="380"/>
      <c r="AC181" s="404"/>
      <c r="AD181" s="380"/>
      <c r="AE181" s="380"/>
      <c r="AF181" s="380"/>
      <c r="AG181" s="380"/>
      <c r="AH181" s="380"/>
      <c r="AI181" s="380"/>
      <c r="AJ181" s="380"/>
      <c r="AK181" s="403"/>
      <c r="AL181" s="380"/>
      <c r="AM181" s="380"/>
      <c r="AN181" s="380"/>
      <c r="AO181" s="380"/>
      <c r="AP181" s="380"/>
      <c r="AQ181" s="404"/>
      <c r="AR181" s="380"/>
      <c r="AS181" s="380"/>
      <c r="AT181" s="380"/>
      <c r="AU181" s="380"/>
      <c r="AV181" s="380"/>
      <c r="AW181" s="380"/>
      <c r="AX181" s="380"/>
      <c r="AY181" s="403"/>
      <c r="AZ181" s="380"/>
      <c r="BA181" s="380"/>
      <c r="BB181" s="380"/>
      <c r="BC181" s="380"/>
      <c r="BD181" s="380"/>
      <c r="BE181" s="404"/>
      <c r="BF181" s="380"/>
      <c r="BG181" s="380"/>
      <c r="BH181" s="380"/>
      <c r="BI181" s="380"/>
      <c r="BJ181" s="380"/>
      <c r="BK181" s="380"/>
      <c r="BL181" s="380"/>
      <c r="BM181" s="403"/>
      <c r="BS181" s="83"/>
      <c r="CA181" s="405"/>
      <c r="CG181" s="83"/>
      <c r="CO181" s="405"/>
      <c r="CU181" s="83"/>
      <c r="DC181" s="405"/>
      <c r="DI181" s="83"/>
      <c r="DQ181" s="405"/>
      <c r="DW181" s="83"/>
      <c r="EE181" s="405"/>
      <c r="EK181" s="83"/>
      <c r="ES181" s="405"/>
      <c r="EY181" s="83"/>
      <c r="FG181" s="405"/>
      <c r="FM181" s="83"/>
      <c r="FU181" s="405"/>
      <c r="GA181" s="83"/>
      <c r="GI181" s="405"/>
      <c r="GO181" s="83"/>
      <c r="GW181" s="405"/>
      <c r="HC181" s="83"/>
      <c r="HK181" s="405"/>
      <c r="HQ181" s="83"/>
      <c r="HY181" s="405"/>
      <c r="IE181" s="83"/>
      <c r="IM181" s="405"/>
      <c r="IS181" s="83"/>
      <c r="JA181" s="405"/>
      <c r="JG181" s="83"/>
      <c r="JO181" s="405"/>
      <c r="JU181" s="83"/>
      <c r="KC181" s="405"/>
      <c r="KI181" s="83"/>
      <c r="KQ181" s="405"/>
      <c r="KW181" s="83"/>
      <c r="LE181" s="405"/>
      <c r="LK181" s="83"/>
      <c r="LS181" s="405"/>
      <c r="LY181" s="83"/>
      <c r="MG181" s="405"/>
      <c r="MM181" s="83"/>
      <c r="MU181" s="405"/>
      <c r="NA181" s="83"/>
    </row>
    <row r="182">
      <c r="A182" s="483"/>
      <c r="B182" s="380"/>
      <c r="C182" s="380"/>
      <c r="D182" s="380"/>
      <c r="E182" s="380"/>
      <c r="F182" s="380"/>
      <c r="G182" s="380"/>
      <c r="H182" s="380"/>
      <c r="I182" s="403"/>
      <c r="J182" s="380"/>
      <c r="K182" s="380"/>
      <c r="L182" s="380"/>
      <c r="M182" s="380"/>
      <c r="N182" s="380"/>
      <c r="O182" s="404"/>
      <c r="P182" s="380"/>
      <c r="Q182" s="380"/>
      <c r="R182" s="380"/>
      <c r="S182" s="380"/>
      <c r="T182" s="380"/>
      <c r="U182" s="380"/>
      <c r="V182" s="380"/>
      <c r="W182" s="403"/>
      <c r="X182" s="380"/>
      <c r="Y182" s="380"/>
      <c r="Z182" s="380"/>
      <c r="AA182" s="380"/>
      <c r="AB182" s="380"/>
      <c r="AC182" s="404"/>
      <c r="AD182" s="380"/>
      <c r="AE182" s="380"/>
      <c r="AF182" s="380"/>
      <c r="AG182" s="380"/>
      <c r="AH182" s="380"/>
      <c r="AI182" s="380"/>
      <c r="AJ182" s="380"/>
      <c r="AK182" s="403"/>
      <c r="AL182" s="380"/>
      <c r="AM182" s="380"/>
      <c r="AN182" s="380"/>
      <c r="AO182" s="380"/>
      <c r="AP182" s="380"/>
      <c r="AQ182" s="404"/>
      <c r="AR182" s="380"/>
      <c r="AS182" s="380"/>
      <c r="AT182" s="380"/>
      <c r="AU182" s="380"/>
      <c r="AV182" s="380"/>
      <c r="AW182" s="380"/>
      <c r="AX182" s="380"/>
      <c r="AY182" s="403"/>
      <c r="AZ182" s="380"/>
      <c r="BA182" s="380"/>
      <c r="BB182" s="380"/>
      <c r="BC182" s="380"/>
      <c r="BD182" s="380"/>
      <c r="BE182" s="404"/>
      <c r="BF182" s="380"/>
      <c r="BG182" s="380"/>
      <c r="BH182" s="380"/>
      <c r="BI182" s="380"/>
      <c r="BJ182" s="380"/>
      <c r="BK182" s="380"/>
      <c r="BL182" s="380"/>
      <c r="BM182" s="403"/>
      <c r="BS182" s="83"/>
      <c r="CA182" s="405"/>
      <c r="CG182" s="83"/>
      <c r="CO182" s="405"/>
      <c r="CU182" s="83"/>
      <c r="DC182" s="405"/>
      <c r="DI182" s="83"/>
      <c r="DQ182" s="405"/>
      <c r="DW182" s="83"/>
      <c r="EE182" s="405"/>
      <c r="EK182" s="83"/>
      <c r="ES182" s="405"/>
      <c r="EY182" s="83"/>
      <c r="FG182" s="405"/>
      <c r="FM182" s="83"/>
      <c r="FU182" s="405"/>
      <c r="GA182" s="83"/>
      <c r="GI182" s="405"/>
      <c r="GO182" s="83"/>
      <c r="GW182" s="405"/>
      <c r="HC182" s="83"/>
      <c r="HK182" s="405"/>
      <c r="HQ182" s="83"/>
      <c r="HY182" s="405"/>
      <c r="IE182" s="83"/>
      <c r="IM182" s="405"/>
      <c r="IS182" s="83"/>
      <c r="JA182" s="405"/>
      <c r="JG182" s="83"/>
      <c r="JO182" s="405"/>
      <c r="JU182" s="83"/>
      <c r="KC182" s="405"/>
      <c r="KI182" s="83"/>
      <c r="KQ182" s="405"/>
      <c r="KW182" s="83"/>
      <c r="LE182" s="405"/>
      <c r="LK182" s="83"/>
      <c r="LS182" s="405"/>
      <c r="LY182" s="83"/>
      <c r="MG182" s="405"/>
      <c r="MM182" s="83"/>
      <c r="MU182" s="405"/>
      <c r="NA182" s="83"/>
    </row>
    <row r="183">
      <c r="A183" s="483"/>
      <c r="B183" s="380"/>
      <c r="C183" s="380"/>
      <c r="D183" s="380"/>
      <c r="E183" s="380"/>
      <c r="F183" s="380"/>
      <c r="G183" s="380"/>
      <c r="H183" s="380"/>
      <c r="I183" s="403"/>
      <c r="J183" s="380"/>
      <c r="K183" s="380"/>
      <c r="L183" s="380"/>
      <c r="M183" s="380"/>
      <c r="N183" s="380"/>
      <c r="O183" s="404"/>
      <c r="P183" s="380"/>
      <c r="Q183" s="380"/>
      <c r="R183" s="380"/>
      <c r="S183" s="380"/>
      <c r="T183" s="380"/>
      <c r="U183" s="380"/>
      <c r="V183" s="380"/>
      <c r="W183" s="403"/>
      <c r="X183" s="380"/>
      <c r="Y183" s="380"/>
      <c r="Z183" s="380"/>
      <c r="AA183" s="380"/>
      <c r="AB183" s="380"/>
      <c r="AC183" s="404"/>
      <c r="AD183" s="380"/>
      <c r="AE183" s="380"/>
      <c r="AF183" s="380"/>
      <c r="AG183" s="380"/>
      <c r="AH183" s="380"/>
      <c r="AI183" s="380"/>
      <c r="AJ183" s="380"/>
      <c r="AK183" s="403"/>
      <c r="AL183" s="380"/>
      <c r="AM183" s="380"/>
      <c r="AN183" s="380"/>
      <c r="AO183" s="380"/>
      <c r="AP183" s="380"/>
      <c r="AQ183" s="404"/>
      <c r="AR183" s="380"/>
      <c r="AS183" s="380"/>
      <c r="AT183" s="380"/>
      <c r="AU183" s="380"/>
      <c r="AV183" s="380"/>
      <c r="AW183" s="380"/>
      <c r="AX183" s="380"/>
      <c r="AY183" s="403"/>
      <c r="AZ183" s="380"/>
      <c r="BA183" s="380"/>
      <c r="BB183" s="380"/>
      <c r="BC183" s="380"/>
      <c r="BD183" s="380"/>
      <c r="BE183" s="404"/>
      <c r="BF183" s="380"/>
      <c r="BG183" s="380"/>
      <c r="BH183" s="380"/>
      <c r="BI183" s="380"/>
      <c r="BJ183" s="380"/>
      <c r="BK183" s="380"/>
      <c r="BL183" s="380"/>
      <c r="BM183" s="403"/>
      <c r="BS183" s="83"/>
      <c r="CA183" s="405"/>
      <c r="CG183" s="83"/>
      <c r="CO183" s="405"/>
      <c r="CU183" s="83"/>
      <c r="DC183" s="405"/>
      <c r="DI183" s="83"/>
      <c r="DQ183" s="405"/>
      <c r="DW183" s="83"/>
      <c r="EE183" s="405"/>
      <c r="EK183" s="83"/>
      <c r="ES183" s="405"/>
      <c r="EY183" s="83"/>
      <c r="FG183" s="405"/>
      <c r="FM183" s="83"/>
      <c r="FU183" s="405"/>
      <c r="GA183" s="83"/>
      <c r="GI183" s="405"/>
      <c r="GO183" s="83"/>
      <c r="GW183" s="405"/>
      <c r="HC183" s="83"/>
      <c r="HK183" s="405"/>
      <c r="HQ183" s="83"/>
      <c r="HY183" s="405"/>
      <c r="IE183" s="83"/>
      <c r="IM183" s="405"/>
      <c r="IS183" s="83"/>
      <c r="JA183" s="405"/>
      <c r="JG183" s="83"/>
      <c r="JO183" s="405"/>
      <c r="JU183" s="83"/>
      <c r="KC183" s="405"/>
      <c r="KI183" s="83"/>
      <c r="KQ183" s="405"/>
      <c r="KW183" s="83"/>
      <c r="LE183" s="405"/>
      <c r="LK183" s="83"/>
      <c r="LS183" s="405"/>
      <c r="LY183" s="83"/>
      <c r="MG183" s="405"/>
      <c r="MM183" s="83"/>
      <c r="MU183" s="405"/>
      <c r="NA183" s="83"/>
    </row>
    <row r="184">
      <c r="A184" s="483"/>
      <c r="B184" s="380"/>
      <c r="C184" s="380"/>
      <c r="D184" s="380"/>
      <c r="E184" s="380"/>
      <c r="F184" s="380"/>
      <c r="G184" s="380"/>
      <c r="H184" s="380"/>
      <c r="I184" s="403"/>
      <c r="J184" s="380"/>
      <c r="K184" s="380"/>
      <c r="L184" s="380"/>
      <c r="M184" s="380"/>
      <c r="N184" s="380"/>
      <c r="O184" s="404"/>
      <c r="P184" s="380"/>
      <c r="Q184" s="380"/>
      <c r="R184" s="380"/>
      <c r="S184" s="380"/>
      <c r="T184" s="380"/>
      <c r="U184" s="380"/>
      <c r="V184" s="380"/>
      <c r="W184" s="403"/>
      <c r="X184" s="380"/>
      <c r="Y184" s="380"/>
      <c r="Z184" s="380"/>
      <c r="AA184" s="380"/>
      <c r="AB184" s="380"/>
      <c r="AC184" s="404"/>
      <c r="AD184" s="380"/>
      <c r="AE184" s="380"/>
      <c r="AF184" s="380"/>
      <c r="AG184" s="380"/>
      <c r="AH184" s="380"/>
      <c r="AI184" s="380"/>
      <c r="AJ184" s="380"/>
      <c r="AK184" s="403"/>
      <c r="AL184" s="380"/>
      <c r="AM184" s="380"/>
      <c r="AN184" s="380"/>
      <c r="AO184" s="380"/>
      <c r="AP184" s="380"/>
      <c r="AQ184" s="404"/>
      <c r="AR184" s="380"/>
      <c r="AS184" s="380"/>
      <c r="AT184" s="380"/>
      <c r="AU184" s="380"/>
      <c r="AV184" s="380"/>
      <c r="AW184" s="380"/>
      <c r="AX184" s="380"/>
      <c r="AY184" s="403"/>
      <c r="AZ184" s="380"/>
      <c r="BA184" s="380"/>
      <c r="BB184" s="380"/>
      <c r="BC184" s="380"/>
      <c r="BD184" s="380"/>
      <c r="BE184" s="404"/>
      <c r="BF184" s="380"/>
      <c r="BG184" s="380"/>
      <c r="BH184" s="380"/>
      <c r="BI184" s="380"/>
      <c r="BJ184" s="380"/>
      <c r="BK184" s="380"/>
      <c r="BL184" s="380"/>
      <c r="BM184" s="403"/>
      <c r="BS184" s="83"/>
      <c r="CA184" s="405"/>
      <c r="CG184" s="83"/>
      <c r="CO184" s="405"/>
      <c r="CU184" s="83"/>
      <c r="DC184" s="405"/>
      <c r="DI184" s="83"/>
      <c r="DQ184" s="405"/>
      <c r="DW184" s="83"/>
      <c r="EE184" s="405"/>
      <c r="EK184" s="83"/>
      <c r="ES184" s="405"/>
      <c r="EY184" s="83"/>
      <c r="FG184" s="405"/>
      <c r="FM184" s="83"/>
      <c r="FU184" s="405"/>
      <c r="GA184" s="83"/>
      <c r="GI184" s="405"/>
      <c r="GO184" s="83"/>
      <c r="GW184" s="405"/>
      <c r="HC184" s="83"/>
      <c r="HK184" s="405"/>
      <c r="HQ184" s="83"/>
      <c r="HY184" s="405"/>
      <c r="IE184" s="83"/>
      <c r="IM184" s="405"/>
      <c r="IS184" s="83"/>
      <c r="JA184" s="405"/>
      <c r="JG184" s="83"/>
      <c r="JO184" s="405"/>
      <c r="JU184" s="83"/>
      <c r="KC184" s="405"/>
      <c r="KI184" s="83"/>
      <c r="KQ184" s="405"/>
      <c r="KW184" s="83"/>
      <c r="LE184" s="405"/>
      <c r="LK184" s="83"/>
      <c r="LS184" s="405"/>
      <c r="LY184" s="83"/>
      <c r="MG184" s="405"/>
      <c r="MM184" s="83"/>
      <c r="MU184" s="405"/>
      <c r="NA184" s="83"/>
    </row>
    <row r="185">
      <c r="A185" s="483"/>
      <c r="B185" s="380"/>
      <c r="C185" s="380"/>
      <c r="D185" s="380"/>
      <c r="E185" s="380"/>
      <c r="F185" s="380"/>
      <c r="G185" s="380"/>
      <c r="H185" s="380"/>
      <c r="I185" s="403"/>
      <c r="J185" s="380"/>
      <c r="K185" s="380"/>
      <c r="L185" s="380"/>
      <c r="M185" s="380"/>
      <c r="N185" s="380"/>
      <c r="O185" s="404"/>
      <c r="P185" s="380"/>
      <c r="Q185" s="380"/>
      <c r="R185" s="380"/>
      <c r="S185" s="380"/>
      <c r="T185" s="380"/>
      <c r="U185" s="380"/>
      <c r="V185" s="380"/>
      <c r="W185" s="403"/>
      <c r="X185" s="380"/>
      <c r="Y185" s="380"/>
      <c r="Z185" s="380"/>
      <c r="AA185" s="380"/>
      <c r="AB185" s="380"/>
      <c r="AC185" s="404"/>
      <c r="AD185" s="380"/>
      <c r="AE185" s="380"/>
      <c r="AF185" s="380"/>
      <c r="AG185" s="380"/>
      <c r="AH185" s="380"/>
      <c r="AI185" s="380"/>
      <c r="AJ185" s="380"/>
      <c r="AK185" s="403"/>
      <c r="AL185" s="380"/>
      <c r="AM185" s="380"/>
      <c r="AN185" s="380"/>
      <c r="AO185" s="380"/>
      <c r="AP185" s="380"/>
      <c r="AQ185" s="404"/>
      <c r="AR185" s="380"/>
      <c r="AS185" s="380"/>
      <c r="AT185" s="380"/>
      <c r="AU185" s="380"/>
      <c r="AV185" s="380"/>
      <c r="AW185" s="380"/>
      <c r="AX185" s="380"/>
      <c r="AY185" s="403"/>
      <c r="AZ185" s="380"/>
      <c r="BA185" s="380"/>
      <c r="BB185" s="380"/>
      <c r="BC185" s="380"/>
      <c r="BD185" s="380"/>
      <c r="BE185" s="404"/>
      <c r="BF185" s="380"/>
      <c r="BG185" s="380"/>
      <c r="BH185" s="380"/>
      <c r="BI185" s="380"/>
      <c r="BJ185" s="380"/>
      <c r="BK185" s="380"/>
      <c r="BL185" s="380"/>
      <c r="BM185" s="403"/>
      <c r="BS185" s="83"/>
      <c r="CA185" s="405"/>
      <c r="CG185" s="83"/>
      <c r="CO185" s="405"/>
      <c r="CU185" s="83"/>
      <c r="DC185" s="405"/>
      <c r="DI185" s="83"/>
      <c r="DQ185" s="405"/>
      <c r="DW185" s="83"/>
      <c r="EE185" s="405"/>
      <c r="EK185" s="83"/>
      <c r="ES185" s="405"/>
      <c r="EY185" s="83"/>
      <c r="FG185" s="405"/>
      <c r="FM185" s="83"/>
      <c r="FU185" s="405"/>
      <c r="GA185" s="83"/>
      <c r="GI185" s="405"/>
      <c r="GO185" s="83"/>
      <c r="GW185" s="405"/>
      <c r="HC185" s="83"/>
      <c r="HK185" s="405"/>
      <c r="HQ185" s="83"/>
      <c r="HY185" s="405"/>
      <c r="IE185" s="83"/>
      <c r="IM185" s="405"/>
      <c r="IS185" s="83"/>
      <c r="JA185" s="405"/>
      <c r="JG185" s="83"/>
      <c r="JO185" s="405"/>
      <c r="JU185" s="83"/>
      <c r="KC185" s="405"/>
      <c r="KI185" s="83"/>
      <c r="KQ185" s="405"/>
      <c r="KW185" s="83"/>
      <c r="LE185" s="405"/>
      <c r="LK185" s="83"/>
      <c r="LS185" s="405"/>
      <c r="LY185" s="83"/>
      <c r="MG185" s="405"/>
      <c r="MM185" s="83"/>
      <c r="MU185" s="405"/>
      <c r="NA185" s="83"/>
    </row>
    <row r="186">
      <c r="A186" s="483"/>
      <c r="B186" s="380"/>
      <c r="C186" s="380"/>
      <c r="D186" s="380"/>
      <c r="E186" s="380"/>
      <c r="F186" s="380"/>
      <c r="G186" s="380"/>
      <c r="H186" s="380"/>
      <c r="I186" s="403"/>
      <c r="J186" s="380"/>
      <c r="K186" s="380"/>
      <c r="L186" s="380"/>
      <c r="M186" s="380"/>
      <c r="N186" s="380"/>
      <c r="O186" s="404"/>
      <c r="P186" s="380"/>
      <c r="Q186" s="380"/>
      <c r="R186" s="380"/>
      <c r="S186" s="380"/>
      <c r="T186" s="380"/>
      <c r="U186" s="380"/>
      <c r="V186" s="380"/>
      <c r="W186" s="403"/>
      <c r="X186" s="380"/>
      <c r="Y186" s="380"/>
      <c r="Z186" s="380"/>
      <c r="AA186" s="380"/>
      <c r="AB186" s="380"/>
      <c r="AC186" s="404"/>
      <c r="AD186" s="380"/>
      <c r="AE186" s="380"/>
      <c r="AF186" s="380"/>
      <c r="AG186" s="380"/>
      <c r="AH186" s="380"/>
      <c r="AI186" s="380"/>
      <c r="AJ186" s="380"/>
      <c r="AK186" s="403"/>
      <c r="AL186" s="380"/>
      <c r="AM186" s="380"/>
      <c r="AN186" s="380"/>
      <c r="AO186" s="380"/>
      <c r="AP186" s="380"/>
      <c r="AQ186" s="404"/>
      <c r="AR186" s="380"/>
      <c r="AS186" s="380"/>
      <c r="AT186" s="380"/>
      <c r="AU186" s="380"/>
      <c r="AV186" s="380"/>
      <c r="AW186" s="380"/>
      <c r="AX186" s="380"/>
      <c r="AY186" s="403"/>
      <c r="AZ186" s="380"/>
      <c r="BA186" s="380"/>
      <c r="BB186" s="380"/>
      <c r="BC186" s="380"/>
      <c r="BD186" s="380"/>
      <c r="BE186" s="404"/>
      <c r="BF186" s="380"/>
      <c r="BG186" s="380"/>
      <c r="BH186" s="380"/>
      <c r="BI186" s="380"/>
      <c r="BJ186" s="380"/>
      <c r="BK186" s="380"/>
      <c r="BL186" s="380"/>
      <c r="BM186" s="403"/>
      <c r="BS186" s="83"/>
      <c r="CA186" s="405"/>
      <c r="CG186" s="83"/>
      <c r="CO186" s="405"/>
      <c r="CU186" s="83"/>
      <c r="DC186" s="405"/>
      <c r="DI186" s="83"/>
      <c r="DQ186" s="405"/>
      <c r="DW186" s="83"/>
      <c r="EE186" s="405"/>
      <c r="EK186" s="83"/>
      <c r="ES186" s="405"/>
      <c r="EY186" s="83"/>
      <c r="FG186" s="405"/>
      <c r="FM186" s="83"/>
      <c r="FU186" s="405"/>
      <c r="GA186" s="83"/>
      <c r="GI186" s="405"/>
      <c r="GO186" s="83"/>
      <c r="GW186" s="405"/>
      <c r="HC186" s="83"/>
      <c r="HK186" s="405"/>
      <c r="HQ186" s="83"/>
      <c r="HY186" s="405"/>
      <c r="IE186" s="83"/>
      <c r="IM186" s="405"/>
      <c r="IS186" s="83"/>
      <c r="JA186" s="405"/>
      <c r="JG186" s="83"/>
      <c r="JO186" s="405"/>
      <c r="JU186" s="83"/>
      <c r="KC186" s="405"/>
      <c r="KI186" s="83"/>
      <c r="KQ186" s="405"/>
      <c r="KW186" s="83"/>
      <c r="LE186" s="405"/>
      <c r="LK186" s="83"/>
      <c r="LS186" s="405"/>
      <c r="LY186" s="83"/>
      <c r="MG186" s="405"/>
      <c r="MM186" s="83"/>
      <c r="MU186" s="405"/>
      <c r="NA186" s="83"/>
    </row>
    <row r="187">
      <c r="A187" s="483"/>
      <c r="B187" s="380"/>
      <c r="C187" s="380"/>
      <c r="D187" s="380"/>
      <c r="E187" s="380"/>
      <c r="F187" s="380"/>
      <c r="G187" s="380"/>
      <c r="H187" s="380"/>
      <c r="I187" s="403"/>
      <c r="J187" s="380"/>
      <c r="K187" s="380"/>
      <c r="L187" s="380"/>
      <c r="M187" s="380"/>
      <c r="N187" s="380"/>
      <c r="O187" s="404"/>
      <c r="P187" s="380"/>
      <c r="Q187" s="380"/>
      <c r="R187" s="380"/>
      <c r="S187" s="380"/>
      <c r="T187" s="380"/>
      <c r="U187" s="380"/>
      <c r="V187" s="380"/>
      <c r="W187" s="403"/>
      <c r="X187" s="380"/>
      <c r="Y187" s="380"/>
      <c r="Z187" s="380"/>
      <c r="AA187" s="380"/>
      <c r="AB187" s="380"/>
      <c r="AC187" s="404"/>
      <c r="AD187" s="380"/>
      <c r="AE187" s="380"/>
      <c r="AF187" s="380"/>
      <c r="AG187" s="380"/>
      <c r="AH187" s="380"/>
      <c r="AI187" s="380"/>
      <c r="AJ187" s="380"/>
      <c r="AK187" s="403"/>
      <c r="AL187" s="380"/>
      <c r="AM187" s="380"/>
      <c r="AN187" s="380"/>
      <c r="AO187" s="380"/>
      <c r="AP187" s="380"/>
      <c r="AQ187" s="404"/>
      <c r="AR187" s="380"/>
      <c r="AS187" s="380"/>
      <c r="AT187" s="380"/>
      <c r="AU187" s="380"/>
      <c r="AV187" s="380"/>
      <c r="AW187" s="380"/>
      <c r="AX187" s="380"/>
      <c r="AY187" s="403"/>
      <c r="AZ187" s="380"/>
      <c r="BA187" s="380"/>
      <c r="BB187" s="380"/>
      <c r="BC187" s="380"/>
      <c r="BD187" s="380"/>
      <c r="BE187" s="404"/>
      <c r="BF187" s="380"/>
      <c r="BG187" s="380"/>
      <c r="BH187" s="380"/>
      <c r="BI187" s="380"/>
      <c r="BJ187" s="380"/>
      <c r="BK187" s="380"/>
      <c r="BL187" s="380"/>
      <c r="BM187" s="403"/>
      <c r="BS187" s="83"/>
      <c r="CA187" s="405"/>
      <c r="CG187" s="83"/>
      <c r="CO187" s="405"/>
      <c r="CU187" s="83"/>
      <c r="DC187" s="405"/>
      <c r="DI187" s="83"/>
      <c r="DQ187" s="405"/>
      <c r="DW187" s="83"/>
      <c r="EE187" s="405"/>
      <c r="EK187" s="83"/>
      <c r="ES187" s="405"/>
      <c r="EY187" s="83"/>
      <c r="FG187" s="405"/>
      <c r="FM187" s="83"/>
      <c r="FU187" s="405"/>
      <c r="GA187" s="83"/>
      <c r="GI187" s="405"/>
      <c r="GO187" s="83"/>
      <c r="GW187" s="405"/>
      <c r="HC187" s="83"/>
      <c r="HK187" s="405"/>
      <c r="HQ187" s="83"/>
      <c r="HY187" s="405"/>
      <c r="IE187" s="83"/>
      <c r="IM187" s="405"/>
      <c r="IS187" s="83"/>
      <c r="JA187" s="405"/>
      <c r="JG187" s="83"/>
      <c r="JO187" s="405"/>
      <c r="JU187" s="83"/>
      <c r="KC187" s="405"/>
      <c r="KI187" s="83"/>
      <c r="KQ187" s="405"/>
      <c r="KW187" s="83"/>
      <c r="LE187" s="405"/>
      <c r="LK187" s="83"/>
      <c r="LS187" s="405"/>
      <c r="LY187" s="83"/>
      <c r="MG187" s="405"/>
      <c r="MM187" s="83"/>
      <c r="MU187" s="405"/>
      <c r="NA187" s="83"/>
    </row>
    <row r="188">
      <c r="A188" s="483"/>
      <c r="B188" s="380"/>
      <c r="C188" s="380"/>
      <c r="D188" s="380"/>
      <c r="E188" s="380"/>
      <c r="F188" s="380"/>
      <c r="G188" s="380"/>
      <c r="H188" s="380"/>
      <c r="I188" s="403"/>
      <c r="J188" s="380"/>
      <c r="K188" s="380"/>
      <c r="L188" s="380"/>
      <c r="M188" s="380"/>
      <c r="N188" s="380"/>
      <c r="O188" s="404"/>
      <c r="P188" s="380"/>
      <c r="Q188" s="380"/>
      <c r="R188" s="380"/>
      <c r="S188" s="380"/>
      <c r="T188" s="380"/>
      <c r="U188" s="380"/>
      <c r="V188" s="380"/>
      <c r="W188" s="403"/>
      <c r="X188" s="380"/>
      <c r="Y188" s="380"/>
      <c r="Z188" s="380"/>
      <c r="AA188" s="380"/>
      <c r="AB188" s="380"/>
      <c r="AC188" s="404"/>
      <c r="AD188" s="380"/>
      <c r="AE188" s="380"/>
      <c r="AF188" s="380"/>
      <c r="AG188" s="380"/>
      <c r="AH188" s="380"/>
      <c r="AI188" s="380"/>
      <c r="AJ188" s="380"/>
      <c r="AK188" s="403"/>
      <c r="AL188" s="380"/>
      <c r="AM188" s="380"/>
      <c r="AN188" s="380"/>
      <c r="AO188" s="380"/>
      <c r="AP188" s="380"/>
      <c r="AQ188" s="404"/>
      <c r="AR188" s="380"/>
      <c r="AS188" s="380"/>
      <c r="AT188" s="380"/>
      <c r="AU188" s="380"/>
      <c r="AV188" s="380"/>
      <c r="AW188" s="380"/>
      <c r="AX188" s="380"/>
      <c r="AY188" s="403"/>
      <c r="AZ188" s="380"/>
      <c r="BA188" s="380"/>
      <c r="BB188" s="380"/>
      <c r="BC188" s="380"/>
      <c r="BD188" s="380"/>
      <c r="BE188" s="404"/>
      <c r="BF188" s="380"/>
      <c r="BG188" s="380"/>
      <c r="BH188" s="380"/>
      <c r="BI188" s="380"/>
      <c r="BJ188" s="380"/>
      <c r="BK188" s="380"/>
      <c r="BL188" s="380"/>
      <c r="BM188" s="403"/>
      <c r="BS188" s="83"/>
      <c r="CA188" s="405"/>
      <c r="CG188" s="83"/>
      <c r="CO188" s="405"/>
      <c r="CU188" s="83"/>
      <c r="DC188" s="405"/>
      <c r="DI188" s="83"/>
      <c r="DQ188" s="405"/>
      <c r="DW188" s="83"/>
      <c r="EE188" s="405"/>
      <c r="EK188" s="83"/>
      <c r="ES188" s="405"/>
      <c r="EY188" s="83"/>
      <c r="FG188" s="405"/>
      <c r="FM188" s="83"/>
      <c r="FU188" s="405"/>
      <c r="GA188" s="83"/>
      <c r="GI188" s="405"/>
      <c r="GO188" s="83"/>
      <c r="GW188" s="405"/>
      <c r="HC188" s="83"/>
      <c r="HK188" s="405"/>
      <c r="HQ188" s="83"/>
      <c r="HY188" s="405"/>
      <c r="IE188" s="83"/>
      <c r="IM188" s="405"/>
      <c r="IS188" s="83"/>
      <c r="JA188" s="405"/>
      <c r="JG188" s="83"/>
      <c r="JO188" s="405"/>
      <c r="JU188" s="83"/>
      <c r="KC188" s="405"/>
      <c r="KI188" s="83"/>
      <c r="KQ188" s="405"/>
      <c r="KW188" s="83"/>
      <c r="LE188" s="405"/>
      <c r="LK188" s="83"/>
      <c r="LS188" s="405"/>
      <c r="LY188" s="83"/>
      <c r="MG188" s="405"/>
      <c r="MM188" s="83"/>
      <c r="MU188" s="405"/>
      <c r="NA188" s="83"/>
    </row>
    <row r="189">
      <c r="A189" s="483"/>
      <c r="B189" s="380"/>
      <c r="C189" s="380"/>
      <c r="D189" s="380"/>
      <c r="E189" s="380"/>
      <c r="F189" s="380"/>
      <c r="G189" s="380"/>
      <c r="H189" s="380"/>
      <c r="I189" s="403"/>
      <c r="J189" s="380"/>
      <c r="K189" s="380"/>
      <c r="L189" s="380"/>
      <c r="M189" s="380"/>
      <c r="N189" s="380"/>
      <c r="O189" s="404"/>
      <c r="P189" s="380"/>
      <c r="Q189" s="380"/>
      <c r="R189" s="380"/>
      <c r="S189" s="380"/>
      <c r="T189" s="380"/>
      <c r="U189" s="380"/>
      <c r="V189" s="380"/>
      <c r="W189" s="403"/>
      <c r="X189" s="380"/>
      <c r="Y189" s="380"/>
      <c r="Z189" s="380"/>
      <c r="AA189" s="380"/>
      <c r="AB189" s="380"/>
      <c r="AC189" s="404"/>
      <c r="AD189" s="380"/>
      <c r="AE189" s="380"/>
      <c r="AF189" s="380"/>
      <c r="AG189" s="380"/>
      <c r="AH189" s="380"/>
      <c r="AI189" s="380"/>
      <c r="AJ189" s="380"/>
      <c r="AK189" s="403"/>
      <c r="AL189" s="380"/>
      <c r="AM189" s="380"/>
      <c r="AN189" s="380"/>
      <c r="AO189" s="380"/>
      <c r="AP189" s="380"/>
      <c r="AQ189" s="404"/>
      <c r="AR189" s="380"/>
      <c r="AS189" s="380"/>
      <c r="AT189" s="380"/>
      <c r="AU189" s="380"/>
      <c r="AV189" s="380"/>
      <c r="AW189" s="380"/>
      <c r="AX189" s="380"/>
      <c r="AY189" s="403"/>
      <c r="AZ189" s="380"/>
      <c r="BA189" s="380"/>
      <c r="BB189" s="380"/>
      <c r="BC189" s="380"/>
      <c r="BD189" s="380"/>
      <c r="BE189" s="404"/>
      <c r="BF189" s="380"/>
      <c r="BG189" s="380"/>
      <c r="BH189" s="380"/>
      <c r="BI189" s="380"/>
      <c r="BJ189" s="380"/>
      <c r="BK189" s="380"/>
      <c r="BL189" s="380"/>
      <c r="BM189" s="403"/>
      <c r="BS189" s="83"/>
      <c r="CA189" s="405"/>
      <c r="CG189" s="83"/>
      <c r="CO189" s="405"/>
      <c r="CU189" s="83"/>
      <c r="DC189" s="405"/>
      <c r="DI189" s="83"/>
      <c r="DQ189" s="405"/>
      <c r="DW189" s="83"/>
      <c r="EE189" s="405"/>
      <c r="EK189" s="83"/>
      <c r="ES189" s="405"/>
      <c r="EY189" s="83"/>
      <c r="FG189" s="405"/>
      <c r="FM189" s="83"/>
      <c r="FU189" s="405"/>
      <c r="GA189" s="83"/>
      <c r="GI189" s="405"/>
      <c r="GO189" s="83"/>
      <c r="GW189" s="405"/>
      <c r="HC189" s="83"/>
      <c r="HK189" s="405"/>
      <c r="HQ189" s="83"/>
      <c r="HY189" s="405"/>
      <c r="IE189" s="83"/>
      <c r="IM189" s="405"/>
      <c r="IS189" s="83"/>
      <c r="JA189" s="405"/>
      <c r="JG189" s="83"/>
      <c r="JO189" s="405"/>
      <c r="JU189" s="83"/>
      <c r="KC189" s="405"/>
      <c r="KI189" s="83"/>
      <c r="KQ189" s="405"/>
      <c r="KW189" s="83"/>
      <c r="LE189" s="405"/>
      <c r="LK189" s="83"/>
      <c r="LS189" s="405"/>
      <c r="LY189" s="83"/>
      <c r="MG189" s="405"/>
      <c r="MM189" s="83"/>
      <c r="MU189" s="405"/>
      <c r="NA189" s="83"/>
    </row>
    <row r="190">
      <c r="A190" s="483"/>
      <c r="B190" s="380"/>
      <c r="C190" s="380"/>
      <c r="D190" s="380"/>
      <c r="E190" s="380"/>
      <c r="F190" s="380"/>
      <c r="G190" s="380"/>
      <c r="H190" s="380"/>
      <c r="I190" s="403"/>
      <c r="J190" s="380"/>
      <c r="K190" s="380"/>
      <c r="L190" s="380"/>
      <c r="M190" s="380"/>
      <c r="N190" s="380"/>
      <c r="O190" s="404"/>
      <c r="P190" s="380"/>
      <c r="Q190" s="380"/>
      <c r="R190" s="380"/>
      <c r="S190" s="380"/>
      <c r="T190" s="380"/>
      <c r="U190" s="380"/>
      <c r="V190" s="380"/>
      <c r="W190" s="403"/>
      <c r="X190" s="380"/>
      <c r="Y190" s="380"/>
      <c r="Z190" s="380"/>
      <c r="AA190" s="380"/>
      <c r="AB190" s="380"/>
      <c r="AC190" s="404"/>
      <c r="AD190" s="380"/>
      <c r="AE190" s="380"/>
      <c r="AF190" s="380"/>
      <c r="AG190" s="380"/>
      <c r="AH190" s="380"/>
      <c r="AI190" s="380"/>
      <c r="AJ190" s="380"/>
      <c r="AK190" s="403"/>
      <c r="AL190" s="380"/>
      <c r="AM190" s="380"/>
      <c r="AN190" s="380"/>
      <c r="AO190" s="380"/>
      <c r="AP190" s="380"/>
      <c r="AQ190" s="404"/>
      <c r="AR190" s="380"/>
      <c r="AS190" s="380"/>
      <c r="AT190" s="380"/>
      <c r="AU190" s="380"/>
      <c r="AV190" s="380"/>
      <c r="AW190" s="380"/>
      <c r="AX190" s="380"/>
      <c r="AY190" s="403"/>
      <c r="AZ190" s="380"/>
      <c r="BA190" s="380"/>
      <c r="BB190" s="380"/>
      <c r="BC190" s="380"/>
      <c r="BD190" s="380"/>
      <c r="BE190" s="404"/>
      <c r="BF190" s="380"/>
      <c r="BG190" s="380"/>
      <c r="BH190" s="380"/>
      <c r="BI190" s="380"/>
      <c r="BJ190" s="380"/>
      <c r="BK190" s="380"/>
      <c r="BL190" s="380"/>
      <c r="BM190" s="403"/>
      <c r="BS190" s="83"/>
      <c r="CA190" s="405"/>
      <c r="CG190" s="83"/>
      <c r="CO190" s="405"/>
      <c r="CU190" s="83"/>
      <c r="DC190" s="405"/>
      <c r="DI190" s="83"/>
      <c r="DQ190" s="405"/>
      <c r="DW190" s="83"/>
      <c r="EE190" s="405"/>
      <c r="EK190" s="83"/>
      <c r="ES190" s="405"/>
      <c r="EY190" s="83"/>
      <c r="FG190" s="405"/>
      <c r="FM190" s="83"/>
      <c r="FU190" s="405"/>
      <c r="GA190" s="83"/>
      <c r="GI190" s="405"/>
      <c r="GO190" s="83"/>
      <c r="GW190" s="405"/>
      <c r="HC190" s="83"/>
      <c r="HK190" s="405"/>
      <c r="HQ190" s="83"/>
      <c r="HY190" s="405"/>
      <c r="IE190" s="83"/>
      <c r="IM190" s="405"/>
      <c r="IS190" s="83"/>
      <c r="JA190" s="405"/>
      <c r="JG190" s="83"/>
      <c r="JO190" s="405"/>
      <c r="JU190" s="83"/>
      <c r="KC190" s="405"/>
      <c r="KI190" s="83"/>
      <c r="KQ190" s="405"/>
      <c r="KW190" s="83"/>
      <c r="LE190" s="405"/>
      <c r="LK190" s="83"/>
      <c r="LS190" s="405"/>
      <c r="LY190" s="83"/>
      <c r="MG190" s="405"/>
      <c r="MM190" s="83"/>
      <c r="MU190" s="405"/>
      <c r="NA190" s="83"/>
    </row>
    <row r="191">
      <c r="A191" s="483"/>
      <c r="B191" s="380"/>
      <c r="C191" s="380"/>
      <c r="D191" s="380"/>
      <c r="E191" s="380"/>
      <c r="F191" s="380"/>
      <c r="G191" s="380"/>
      <c r="H191" s="380"/>
      <c r="I191" s="403"/>
      <c r="J191" s="380"/>
      <c r="K191" s="380"/>
      <c r="L191" s="380"/>
      <c r="M191" s="380"/>
      <c r="N191" s="380"/>
      <c r="O191" s="404"/>
      <c r="P191" s="380"/>
      <c r="Q191" s="380"/>
      <c r="R191" s="380"/>
      <c r="S191" s="380"/>
      <c r="T191" s="380"/>
      <c r="U191" s="380"/>
      <c r="V191" s="380"/>
      <c r="W191" s="403"/>
      <c r="X191" s="380"/>
      <c r="Y191" s="380"/>
      <c r="Z191" s="380"/>
      <c r="AA191" s="380"/>
      <c r="AB191" s="380"/>
      <c r="AC191" s="404"/>
      <c r="AD191" s="380"/>
      <c r="AE191" s="380"/>
      <c r="AF191" s="380"/>
      <c r="AG191" s="380"/>
      <c r="AH191" s="380"/>
      <c r="AI191" s="380"/>
      <c r="AJ191" s="380"/>
      <c r="AK191" s="403"/>
      <c r="AL191" s="380"/>
      <c r="AM191" s="380"/>
      <c r="AN191" s="380"/>
      <c r="AO191" s="380"/>
      <c r="AP191" s="380"/>
      <c r="AQ191" s="404"/>
      <c r="AR191" s="380"/>
      <c r="AS191" s="380"/>
      <c r="AT191" s="380"/>
      <c r="AU191" s="380"/>
      <c r="AV191" s="380"/>
      <c r="AW191" s="380"/>
      <c r="AX191" s="380"/>
      <c r="AY191" s="403"/>
      <c r="AZ191" s="380"/>
      <c r="BA191" s="380"/>
      <c r="BB191" s="380"/>
      <c r="BC191" s="380"/>
      <c r="BD191" s="380"/>
      <c r="BE191" s="404"/>
      <c r="BF191" s="380"/>
      <c r="BG191" s="380"/>
      <c r="BH191" s="380"/>
      <c r="BI191" s="380"/>
      <c r="BJ191" s="380"/>
      <c r="BK191" s="380"/>
      <c r="BL191" s="380"/>
      <c r="BM191" s="403"/>
      <c r="BS191" s="83"/>
      <c r="CA191" s="405"/>
      <c r="CG191" s="83"/>
      <c r="CO191" s="405"/>
      <c r="CU191" s="83"/>
      <c r="DC191" s="405"/>
      <c r="DI191" s="83"/>
      <c r="DQ191" s="405"/>
      <c r="DW191" s="83"/>
      <c r="EE191" s="405"/>
      <c r="EK191" s="83"/>
      <c r="ES191" s="405"/>
      <c r="EY191" s="83"/>
      <c r="FG191" s="405"/>
      <c r="FM191" s="83"/>
      <c r="FU191" s="405"/>
      <c r="GA191" s="83"/>
      <c r="GI191" s="405"/>
      <c r="GO191" s="83"/>
      <c r="GW191" s="405"/>
      <c r="HC191" s="83"/>
      <c r="HK191" s="405"/>
      <c r="HQ191" s="83"/>
      <c r="HY191" s="405"/>
      <c r="IE191" s="83"/>
      <c r="IM191" s="405"/>
      <c r="IS191" s="83"/>
      <c r="JA191" s="405"/>
      <c r="JG191" s="83"/>
      <c r="JO191" s="405"/>
      <c r="JU191" s="83"/>
      <c r="KC191" s="405"/>
      <c r="KI191" s="83"/>
      <c r="KQ191" s="405"/>
      <c r="KW191" s="83"/>
      <c r="LE191" s="405"/>
      <c r="LK191" s="83"/>
      <c r="LS191" s="405"/>
      <c r="LY191" s="83"/>
      <c r="MG191" s="405"/>
      <c r="MM191" s="83"/>
      <c r="MU191" s="405"/>
      <c r="NA191" s="83"/>
    </row>
    <row r="192">
      <c r="A192" s="483"/>
      <c r="B192" s="380"/>
      <c r="C192" s="380"/>
      <c r="D192" s="380"/>
      <c r="E192" s="380"/>
      <c r="F192" s="380"/>
      <c r="G192" s="380"/>
      <c r="H192" s="380"/>
      <c r="I192" s="403"/>
      <c r="J192" s="380"/>
      <c r="K192" s="380"/>
      <c r="L192" s="380"/>
      <c r="M192" s="380"/>
      <c r="N192" s="380"/>
      <c r="O192" s="404"/>
      <c r="P192" s="380"/>
      <c r="Q192" s="380"/>
      <c r="R192" s="380"/>
      <c r="S192" s="380"/>
      <c r="T192" s="380"/>
      <c r="U192" s="380"/>
      <c r="V192" s="380"/>
      <c r="W192" s="403"/>
      <c r="X192" s="380"/>
      <c r="Y192" s="380"/>
      <c r="Z192" s="380"/>
      <c r="AA192" s="380"/>
      <c r="AB192" s="380"/>
      <c r="AC192" s="404"/>
      <c r="AD192" s="380"/>
      <c r="AE192" s="380"/>
      <c r="AF192" s="380"/>
      <c r="AG192" s="380"/>
      <c r="AH192" s="380"/>
      <c r="AI192" s="380"/>
      <c r="AJ192" s="380"/>
      <c r="AK192" s="403"/>
      <c r="AL192" s="380"/>
      <c r="AM192" s="380"/>
      <c r="AN192" s="380"/>
      <c r="AO192" s="380"/>
      <c r="AP192" s="380"/>
      <c r="AQ192" s="404"/>
      <c r="AR192" s="380"/>
      <c r="AS192" s="380"/>
      <c r="AT192" s="380"/>
      <c r="AU192" s="380"/>
      <c r="AV192" s="380"/>
      <c r="AW192" s="380"/>
      <c r="AX192" s="380"/>
      <c r="AY192" s="403"/>
      <c r="AZ192" s="380"/>
      <c r="BA192" s="380"/>
      <c r="BB192" s="380"/>
      <c r="BC192" s="380"/>
      <c r="BD192" s="380"/>
      <c r="BE192" s="404"/>
      <c r="BF192" s="380"/>
      <c r="BG192" s="380"/>
      <c r="BH192" s="380"/>
      <c r="BI192" s="380"/>
      <c r="BJ192" s="380"/>
      <c r="BK192" s="380"/>
      <c r="BL192" s="380"/>
      <c r="BM192" s="403"/>
      <c r="BS192" s="83"/>
      <c r="CA192" s="405"/>
      <c r="CG192" s="83"/>
      <c r="CO192" s="405"/>
      <c r="CU192" s="83"/>
      <c r="DC192" s="405"/>
      <c r="DI192" s="83"/>
      <c r="DQ192" s="405"/>
      <c r="DW192" s="83"/>
      <c r="EE192" s="405"/>
      <c r="EK192" s="83"/>
      <c r="ES192" s="405"/>
      <c r="EY192" s="83"/>
      <c r="FG192" s="405"/>
      <c r="FM192" s="83"/>
      <c r="FU192" s="405"/>
      <c r="GA192" s="83"/>
      <c r="GI192" s="405"/>
      <c r="GO192" s="83"/>
      <c r="GW192" s="405"/>
      <c r="HC192" s="83"/>
      <c r="HK192" s="405"/>
      <c r="HQ192" s="83"/>
      <c r="HY192" s="405"/>
      <c r="IE192" s="83"/>
      <c r="IM192" s="405"/>
      <c r="IS192" s="83"/>
      <c r="JA192" s="405"/>
      <c r="JG192" s="83"/>
      <c r="JO192" s="405"/>
      <c r="JU192" s="83"/>
      <c r="KC192" s="405"/>
      <c r="KI192" s="83"/>
      <c r="KQ192" s="405"/>
      <c r="KW192" s="83"/>
      <c r="LE192" s="405"/>
      <c r="LK192" s="83"/>
      <c r="LS192" s="405"/>
      <c r="LY192" s="83"/>
      <c r="MG192" s="405"/>
      <c r="MM192" s="83"/>
      <c r="MU192" s="405"/>
      <c r="NA192" s="83"/>
    </row>
    <row r="193">
      <c r="A193" s="483"/>
      <c r="B193" s="380"/>
      <c r="C193" s="380"/>
      <c r="D193" s="380"/>
      <c r="E193" s="380"/>
      <c r="F193" s="380"/>
      <c r="G193" s="380"/>
      <c r="H193" s="380"/>
      <c r="I193" s="403"/>
      <c r="J193" s="380"/>
      <c r="K193" s="380"/>
      <c r="L193" s="380"/>
      <c r="M193" s="380"/>
      <c r="N193" s="380"/>
      <c r="O193" s="404"/>
      <c r="P193" s="380"/>
      <c r="Q193" s="380"/>
      <c r="R193" s="380"/>
      <c r="S193" s="380"/>
      <c r="T193" s="380"/>
      <c r="U193" s="380"/>
      <c r="V193" s="380"/>
      <c r="W193" s="403"/>
      <c r="X193" s="380"/>
      <c r="Y193" s="380"/>
      <c r="Z193" s="380"/>
      <c r="AA193" s="380"/>
      <c r="AB193" s="380"/>
      <c r="AC193" s="404"/>
      <c r="AD193" s="380"/>
      <c r="AE193" s="380"/>
      <c r="AF193" s="380"/>
      <c r="AG193" s="380"/>
      <c r="AH193" s="380"/>
      <c r="AI193" s="380"/>
      <c r="AJ193" s="380"/>
      <c r="AK193" s="403"/>
      <c r="AL193" s="380"/>
      <c r="AM193" s="380"/>
      <c r="AN193" s="380"/>
      <c r="AO193" s="380"/>
      <c r="AP193" s="380"/>
      <c r="AQ193" s="404"/>
      <c r="AR193" s="380"/>
      <c r="AS193" s="380"/>
      <c r="AT193" s="380"/>
      <c r="AU193" s="380"/>
      <c r="AV193" s="380"/>
      <c r="AW193" s="380"/>
      <c r="AX193" s="380"/>
      <c r="AY193" s="403"/>
      <c r="AZ193" s="380"/>
      <c r="BA193" s="380"/>
      <c r="BB193" s="380"/>
      <c r="BC193" s="380"/>
      <c r="BD193" s="380"/>
      <c r="BE193" s="404"/>
      <c r="BF193" s="380"/>
      <c r="BG193" s="380"/>
      <c r="BH193" s="380"/>
      <c r="BI193" s="380"/>
      <c r="BJ193" s="380"/>
      <c r="BK193" s="380"/>
      <c r="BL193" s="380"/>
      <c r="BM193" s="403"/>
      <c r="BS193" s="83"/>
      <c r="CA193" s="405"/>
      <c r="CG193" s="83"/>
      <c r="CO193" s="405"/>
      <c r="CU193" s="83"/>
      <c r="DC193" s="405"/>
      <c r="DI193" s="83"/>
      <c r="DQ193" s="405"/>
      <c r="DW193" s="83"/>
      <c r="EE193" s="405"/>
      <c r="EK193" s="83"/>
      <c r="ES193" s="405"/>
      <c r="EY193" s="83"/>
      <c r="FG193" s="405"/>
      <c r="FM193" s="83"/>
      <c r="FU193" s="405"/>
      <c r="GA193" s="83"/>
      <c r="GI193" s="405"/>
      <c r="GO193" s="83"/>
      <c r="GW193" s="405"/>
      <c r="HC193" s="83"/>
      <c r="HK193" s="405"/>
      <c r="HQ193" s="83"/>
      <c r="HY193" s="405"/>
      <c r="IE193" s="83"/>
      <c r="IM193" s="405"/>
      <c r="IS193" s="83"/>
      <c r="JA193" s="405"/>
      <c r="JG193" s="83"/>
      <c r="JO193" s="405"/>
      <c r="JU193" s="83"/>
      <c r="KC193" s="405"/>
      <c r="KI193" s="83"/>
      <c r="KQ193" s="405"/>
      <c r="KW193" s="83"/>
      <c r="LE193" s="405"/>
      <c r="LK193" s="83"/>
      <c r="LS193" s="405"/>
      <c r="LY193" s="83"/>
      <c r="MG193" s="405"/>
      <c r="MM193" s="83"/>
      <c r="MU193" s="405"/>
      <c r="NA193" s="83"/>
    </row>
    <row r="194">
      <c r="A194" s="483"/>
      <c r="B194" s="380"/>
      <c r="C194" s="380"/>
      <c r="D194" s="380"/>
      <c r="E194" s="380"/>
      <c r="F194" s="380"/>
      <c r="G194" s="380"/>
      <c r="H194" s="380"/>
      <c r="I194" s="403"/>
      <c r="J194" s="380"/>
      <c r="K194" s="380"/>
      <c r="L194" s="380"/>
      <c r="M194" s="380"/>
      <c r="N194" s="380"/>
      <c r="O194" s="404"/>
      <c r="P194" s="380"/>
      <c r="Q194" s="380"/>
      <c r="R194" s="380"/>
      <c r="S194" s="380"/>
      <c r="T194" s="380"/>
      <c r="U194" s="380"/>
      <c r="V194" s="380"/>
      <c r="W194" s="403"/>
      <c r="X194" s="380"/>
      <c r="Y194" s="380"/>
      <c r="Z194" s="380"/>
      <c r="AA194" s="380"/>
      <c r="AB194" s="380"/>
      <c r="AC194" s="404"/>
      <c r="AD194" s="380"/>
      <c r="AE194" s="380"/>
      <c r="AF194" s="380"/>
      <c r="AG194" s="380"/>
      <c r="AH194" s="380"/>
      <c r="AI194" s="380"/>
      <c r="AJ194" s="380"/>
      <c r="AK194" s="403"/>
      <c r="AL194" s="380"/>
      <c r="AM194" s="380"/>
      <c r="AN194" s="380"/>
      <c r="AO194" s="380"/>
      <c r="AP194" s="380"/>
      <c r="AQ194" s="404"/>
      <c r="AR194" s="380"/>
      <c r="AS194" s="380"/>
      <c r="AT194" s="380"/>
      <c r="AU194" s="380"/>
      <c r="AV194" s="380"/>
      <c r="AW194" s="380"/>
      <c r="AX194" s="380"/>
      <c r="AY194" s="403"/>
      <c r="AZ194" s="380"/>
      <c r="BA194" s="380"/>
      <c r="BB194" s="380"/>
      <c r="BC194" s="380"/>
      <c r="BD194" s="380"/>
      <c r="BE194" s="404"/>
      <c r="BF194" s="380"/>
      <c r="BG194" s="380"/>
      <c r="BH194" s="380"/>
      <c r="BI194" s="380"/>
      <c r="BJ194" s="380"/>
      <c r="BK194" s="380"/>
      <c r="BL194" s="380"/>
      <c r="BM194" s="403"/>
      <c r="BS194" s="83"/>
      <c r="CA194" s="405"/>
      <c r="CG194" s="83"/>
      <c r="CO194" s="405"/>
      <c r="CU194" s="83"/>
      <c r="DC194" s="405"/>
      <c r="DI194" s="83"/>
      <c r="DQ194" s="405"/>
      <c r="DW194" s="83"/>
      <c r="EE194" s="405"/>
      <c r="EK194" s="83"/>
      <c r="ES194" s="405"/>
      <c r="EY194" s="83"/>
      <c r="FG194" s="405"/>
      <c r="FM194" s="83"/>
      <c r="FU194" s="405"/>
      <c r="GA194" s="83"/>
      <c r="GI194" s="405"/>
      <c r="GO194" s="83"/>
      <c r="GW194" s="405"/>
      <c r="HC194" s="83"/>
      <c r="HK194" s="405"/>
      <c r="HQ194" s="83"/>
      <c r="HY194" s="405"/>
      <c r="IE194" s="83"/>
      <c r="IM194" s="405"/>
      <c r="IS194" s="83"/>
      <c r="JA194" s="405"/>
      <c r="JG194" s="83"/>
      <c r="JO194" s="405"/>
      <c r="JU194" s="83"/>
      <c r="KC194" s="405"/>
      <c r="KI194" s="83"/>
      <c r="KQ194" s="405"/>
      <c r="KW194" s="83"/>
      <c r="LE194" s="405"/>
      <c r="LK194" s="83"/>
      <c r="LS194" s="405"/>
      <c r="LY194" s="83"/>
      <c r="MG194" s="405"/>
      <c r="MM194" s="83"/>
      <c r="MU194" s="405"/>
      <c r="NA194" s="83"/>
    </row>
    <row r="195">
      <c r="A195" s="483"/>
      <c r="B195" s="380"/>
      <c r="C195" s="380"/>
      <c r="D195" s="380"/>
      <c r="E195" s="380"/>
      <c r="F195" s="380"/>
      <c r="G195" s="380"/>
      <c r="H195" s="380"/>
      <c r="I195" s="403"/>
      <c r="J195" s="380"/>
      <c r="K195" s="380"/>
      <c r="L195" s="380"/>
      <c r="M195" s="380"/>
      <c r="N195" s="380"/>
      <c r="O195" s="404"/>
      <c r="P195" s="380"/>
      <c r="Q195" s="380"/>
      <c r="R195" s="380"/>
      <c r="S195" s="380"/>
      <c r="T195" s="380"/>
      <c r="U195" s="380"/>
      <c r="V195" s="380"/>
      <c r="W195" s="403"/>
      <c r="X195" s="380"/>
      <c r="Y195" s="380"/>
      <c r="Z195" s="380"/>
      <c r="AA195" s="380"/>
      <c r="AB195" s="380"/>
      <c r="AC195" s="404"/>
      <c r="AD195" s="380"/>
      <c r="AE195" s="380"/>
      <c r="AF195" s="380"/>
      <c r="AG195" s="380"/>
      <c r="AH195" s="380"/>
      <c r="AI195" s="380"/>
      <c r="AJ195" s="380"/>
      <c r="AK195" s="403"/>
      <c r="AL195" s="380"/>
      <c r="AM195" s="380"/>
      <c r="AN195" s="380"/>
      <c r="AO195" s="380"/>
      <c r="AP195" s="380"/>
      <c r="AQ195" s="404"/>
      <c r="AR195" s="380"/>
      <c r="AS195" s="380"/>
      <c r="AT195" s="380"/>
      <c r="AU195" s="380"/>
      <c r="AV195" s="380"/>
      <c r="AW195" s="380"/>
      <c r="AX195" s="380"/>
      <c r="AY195" s="403"/>
      <c r="AZ195" s="380"/>
      <c r="BA195" s="380"/>
      <c r="BB195" s="380"/>
      <c r="BC195" s="380"/>
      <c r="BD195" s="380"/>
      <c r="BE195" s="404"/>
      <c r="BF195" s="380"/>
      <c r="BG195" s="380"/>
      <c r="BH195" s="380"/>
      <c r="BI195" s="380"/>
      <c r="BJ195" s="380"/>
      <c r="BK195" s="380"/>
      <c r="BL195" s="380"/>
      <c r="BM195" s="403"/>
      <c r="BS195" s="83"/>
      <c r="CA195" s="405"/>
      <c r="CG195" s="83"/>
      <c r="CO195" s="405"/>
      <c r="CU195" s="83"/>
      <c r="DC195" s="405"/>
      <c r="DI195" s="83"/>
      <c r="DQ195" s="405"/>
      <c r="DW195" s="83"/>
      <c r="EE195" s="405"/>
      <c r="EK195" s="83"/>
      <c r="ES195" s="405"/>
      <c r="EY195" s="83"/>
      <c r="FG195" s="405"/>
      <c r="FM195" s="83"/>
      <c r="FU195" s="405"/>
      <c r="GA195" s="83"/>
      <c r="GI195" s="405"/>
      <c r="GO195" s="83"/>
      <c r="GW195" s="405"/>
      <c r="HC195" s="83"/>
      <c r="HK195" s="405"/>
      <c r="HQ195" s="83"/>
      <c r="HY195" s="405"/>
      <c r="IE195" s="83"/>
      <c r="IM195" s="405"/>
      <c r="IS195" s="83"/>
      <c r="JA195" s="405"/>
      <c r="JG195" s="83"/>
      <c r="JO195" s="405"/>
      <c r="JU195" s="83"/>
      <c r="KC195" s="405"/>
      <c r="KI195" s="83"/>
      <c r="KQ195" s="405"/>
      <c r="KW195" s="83"/>
      <c r="LE195" s="405"/>
      <c r="LK195" s="83"/>
      <c r="LS195" s="405"/>
      <c r="LY195" s="83"/>
      <c r="MG195" s="405"/>
      <c r="MM195" s="83"/>
      <c r="MU195" s="405"/>
      <c r="NA195" s="83"/>
    </row>
    <row r="196">
      <c r="A196" s="483"/>
      <c r="B196" s="380"/>
      <c r="C196" s="380"/>
      <c r="D196" s="380"/>
      <c r="E196" s="380"/>
      <c r="F196" s="380"/>
      <c r="G196" s="380"/>
      <c r="H196" s="380"/>
      <c r="I196" s="403"/>
      <c r="J196" s="380"/>
      <c r="K196" s="380"/>
      <c r="L196" s="380"/>
      <c r="M196" s="380"/>
      <c r="N196" s="380"/>
      <c r="O196" s="404"/>
      <c r="P196" s="380"/>
      <c r="Q196" s="380"/>
      <c r="R196" s="380"/>
      <c r="S196" s="380"/>
      <c r="T196" s="380"/>
      <c r="U196" s="380"/>
      <c r="V196" s="380"/>
      <c r="W196" s="403"/>
      <c r="X196" s="380"/>
      <c r="Y196" s="380"/>
      <c r="Z196" s="380"/>
      <c r="AA196" s="380"/>
      <c r="AB196" s="380"/>
      <c r="AC196" s="404"/>
      <c r="AD196" s="380"/>
      <c r="AE196" s="380"/>
      <c r="AF196" s="380"/>
      <c r="AG196" s="380"/>
      <c r="AH196" s="380"/>
      <c r="AI196" s="380"/>
      <c r="AJ196" s="380"/>
      <c r="AK196" s="403"/>
      <c r="AL196" s="380"/>
      <c r="AM196" s="380"/>
      <c r="AN196" s="380"/>
      <c r="AO196" s="380"/>
      <c r="AP196" s="380"/>
      <c r="AQ196" s="404"/>
      <c r="AR196" s="380"/>
      <c r="AS196" s="380"/>
      <c r="AT196" s="380"/>
      <c r="AU196" s="380"/>
      <c r="AV196" s="380"/>
      <c r="AW196" s="380"/>
      <c r="AX196" s="380"/>
      <c r="AY196" s="403"/>
      <c r="AZ196" s="380"/>
      <c r="BA196" s="380"/>
      <c r="BB196" s="380"/>
      <c r="BC196" s="380"/>
      <c r="BD196" s="380"/>
      <c r="BE196" s="404"/>
      <c r="BF196" s="380"/>
      <c r="BG196" s="380"/>
      <c r="BH196" s="380"/>
      <c r="BI196" s="380"/>
      <c r="BJ196" s="380"/>
      <c r="BK196" s="380"/>
      <c r="BL196" s="380"/>
      <c r="BM196" s="403"/>
      <c r="BS196" s="83"/>
      <c r="CA196" s="405"/>
      <c r="CG196" s="83"/>
      <c r="CO196" s="405"/>
      <c r="CU196" s="83"/>
      <c r="DC196" s="405"/>
      <c r="DI196" s="83"/>
      <c r="DQ196" s="405"/>
      <c r="DW196" s="83"/>
      <c r="EE196" s="405"/>
      <c r="EK196" s="83"/>
      <c r="ES196" s="405"/>
      <c r="EY196" s="83"/>
      <c r="FG196" s="405"/>
      <c r="FM196" s="83"/>
      <c r="FU196" s="405"/>
      <c r="GA196" s="83"/>
      <c r="GI196" s="405"/>
      <c r="GO196" s="83"/>
      <c r="GW196" s="405"/>
      <c r="HC196" s="83"/>
      <c r="HK196" s="405"/>
      <c r="HQ196" s="83"/>
      <c r="HY196" s="405"/>
      <c r="IE196" s="83"/>
      <c r="IM196" s="405"/>
      <c r="IS196" s="83"/>
      <c r="JA196" s="405"/>
      <c r="JG196" s="83"/>
      <c r="JO196" s="405"/>
      <c r="JU196" s="83"/>
      <c r="KC196" s="405"/>
      <c r="KI196" s="83"/>
      <c r="KQ196" s="405"/>
      <c r="KW196" s="83"/>
      <c r="LE196" s="405"/>
      <c r="LK196" s="83"/>
      <c r="LS196" s="405"/>
      <c r="LY196" s="83"/>
      <c r="MG196" s="405"/>
      <c r="MM196" s="83"/>
      <c r="MU196" s="405"/>
      <c r="NA196" s="83"/>
    </row>
    <row r="197">
      <c r="A197" s="483"/>
      <c r="B197" s="380"/>
      <c r="C197" s="380"/>
      <c r="D197" s="380"/>
      <c r="E197" s="380"/>
      <c r="F197" s="380"/>
      <c r="G197" s="380"/>
      <c r="H197" s="380"/>
      <c r="I197" s="403"/>
      <c r="J197" s="380"/>
      <c r="K197" s="380"/>
      <c r="L197" s="380"/>
      <c r="M197" s="380"/>
      <c r="N197" s="380"/>
      <c r="O197" s="404"/>
      <c r="P197" s="380"/>
      <c r="Q197" s="380"/>
      <c r="R197" s="380"/>
      <c r="S197" s="380"/>
      <c r="T197" s="380"/>
      <c r="U197" s="380"/>
      <c r="V197" s="380"/>
      <c r="W197" s="403"/>
      <c r="X197" s="380"/>
      <c r="Y197" s="380"/>
      <c r="Z197" s="380"/>
      <c r="AA197" s="380"/>
      <c r="AB197" s="380"/>
      <c r="AC197" s="404"/>
      <c r="AD197" s="380"/>
      <c r="AE197" s="380"/>
      <c r="AF197" s="380"/>
      <c r="AG197" s="380"/>
      <c r="AH197" s="380"/>
      <c r="AI197" s="380"/>
      <c r="AJ197" s="380"/>
      <c r="AK197" s="403"/>
      <c r="AL197" s="380"/>
      <c r="AM197" s="380"/>
      <c r="AN197" s="380"/>
      <c r="AO197" s="380"/>
      <c r="AP197" s="380"/>
      <c r="AQ197" s="404"/>
      <c r="AR197" s="380"/>
      <c r="AS197" s="380"/>
      <c r="AT197" s="380"/>
      <c r="AU197" s="380"/>
      <c r="AV197" s="380"/>
      <c r="AW197" s="380"/>
      <c r="AX197" s="380"/>
      <c r="AY197" s="403"/>
      <c r="AZ197" s="380"/>
      <c r="BA197" s="380"/>
      <c r="BB197" s="380"/>
      <c r="BC197" s="380"/>
      <c r="BD197" s="380"/>
      <c r="BE197" s="404"/>
      <c r="BF197" s="380"/>
      <c r="BG197" s="380"/>
      <c r="BH197" s="380"/>
      <c r="BI197" s="380"/>
      <c r="BJ197" s="380"/>
      <c r="BK197" s="380"/>
      <c r="BL197" s="380"/>
      <c r="BM197" s="403"/>
      <c r="BS197" s="83"/>
      <c r="CA197" s="405"/>
      <c r="CG197" s="83"/>
      <c r="CO197" s="405"/>
      <c r="CU197" s="83"/>
      <c r="DC197" s="405"/>
      <c r="DI197" s="83"/>
      <c r="DQ197" s="405"/>
      <c r="DW197" s="83"/>
      <c r="EE197" s="405"/>
      <c r="EK197" s="83"/>
      <c r="ES197" s="405"/>
      <c r="EY197" s="83"/>
      <c r="FG197" s="405"/>
      <c r="FM197" s="83"/>
      <c r="FU197" s="405"/>
      <c r="GA197" s="83"/>
      <c r="GI197" s="405"/>
      <c r="GO197" s="83"/>
      <c r="GW197" s="405"/>
      <c r="HC197" s="83"/>
      <c r="HK197" s="405"/>
      <c r="HQ197" s="83"/>
      <c r="HY197" s="405"/>
      <c r="IE197" s="83"/>
      <c r="IM197" s="405"/>
      <c r="IS197" s="83"/>
      <c r="JA197" s="405"/>
      <c r="JG197" s="83"/>
      <c r="JO197" s="405"/>
      <c r="JU197" s="83"/>
      <c r="KC197" s="405"/>
      <c r="KI197" s="83"/>
      <c r="KQ197" s="405"/>
      <c r="KW197" s="83"/>
      <c r="LE197" s="405"/>
      <c r="LK197" s="83"/>
      <c r="LS197" s="405"/>
      <c r="LY197" s="83"/>
      <c r="MG197" s="405"/>
      <c r="MM197" s="83"/>
      <c r="MU197" s="405"/>
      <c r="NA197" s="83"/>
    </row>
    <row r="198">
      <c r="A198" s="483"/>
      <c r="B198" s="380"/>
      <c r="C198" s="380"/>
      <c r="D198" s="380"/>
      <c r="E198" s="380"/>
      <c r="F198" s="380"/>
      <c r="G198" s="380"/>
      <c r="H198" s="380"/>
      <c r="I198" s="403"/>
      <c r="J198" s="380"/>
      <c r="K198" s="380"/>
      <c r="L198" s="380"/>
      <c r="M198" s="380"/>
      <c r="N198" s="380"/>
      <c r="O198" s="404"/>
      <c r="P198" s="380"/>
      <c r="Q198" s="380"/>
      <c r="R198" s="380"/>
      <c r="S198" s="380"/>
      <c r="T198" s="380"/>
      <c r="U198" s="380"/>
      <c r="V198" s="380"/>
      <c r="W198" s="403"/>
      <c r="X198" s="380"/>
      <c r="Y198" s="380"/>
      <c r="Z198" s="380"/>
      <c r="AA198" s="380"/>
      <c r="AB198" s="380"/>
      <c r="AC198" s="404"/>
      <c r="AD198" s="380"/>
      <c r="AE198" s="380"/>
      <c r="AF198" s="380"/>
      <c r="AG198" s="380"/>
      <c r="AH198" s="380"/>
      <c r="AI198" s="380"/>
      <c r="AJ198" s="380"/>
      <c r="AK198" s="403"/>
      <c r="AL198" s="380"/>
      <c r="AM198" s="380"/>
      <c r="AN198" s="380"/>
      <c r="AO198" s="380"/>
      <c r="AP198" s="380"/>
      <c r="AQ198" s="404"/>
      <c r="AR198" s="380"/>
      <c r="AS198" s="380"/>
      <c r="AT198" s="380"/>
      <c r="AU198" s="380"/>
      <c r="AV198" s="380"/>
      <c r="AW198" s="380"/>
      <c r="AX198" s="380"/>
      <c r="AY198" s="403"/>
      <c r="AZ198" s="380"/>
      <c r="BA198" s="380"/>
      <c r="BB198" s="380"/>
      <c r="BC198" s="380"/>
      <c r="BD198" s="380"/>
      <c r="BE198" s="404"/>
      <c r="BF198" s="380"/>
      <c r="BG198" s="380"/>
      <c r="BH198" s="380"/>
      <c r="BI198" s="380"/>
      <c r="BJ198" s="380"/>
      <c r="BK198" s="380"/>
      <c r="BL198" s="380"/>
      <c r="BM198" s="403"/>
      <c r="BS198" s="83"/>
      <c r="CA198" s="405"/>
      <c r="CG198" s="83"/>
      <c r="CO198" s="405"/>
      <c r="CU198" s="83"/>
      <c r="DC198" s="405"/>
      <c r="DI198" s="83"/>
      <c r="DQ198" s="405"/>
      <c r="DW198" s="83"/>
      <c r="EE198" s="405"/>
      <c r="EK198" s="83"/>
      <c r="ES198" s="405"/>
      <c r="EY198" s="83"/>
      <c r="FG198" s="405"/>
      <c r="FM198" s="83"/>
      <c r="FU198" s="405"/>
      <c r="GA198" s="83"/>
      <c r="GI198" s="405"/>
      <c r="GO198" s="83"/>
      <c r="GW198" s="405"/>
      <c r="HC198" s="83"/>
      <c r="HK198" s="405"/>
      <c r="HQ198" s="83"/>
      <c r="HY198" s="405"/>
      <c r="IE198" s="83"/>
      <c r="IM198" s="405"/>
      <c r="IS198" s="83"/>
      <c r="JA198" s="405"/>
      <c r="JG198" s="83"/>
      <c r="JO198" s="405"/>
      <c r="JU198" s="83"/>
      <c r="KC198" s="405"/>
      <c r="KI198" s="83"/>
      <c r="KQ198" s="405"/>
      <c r="KW198" s="83"/>
      <c r="LE198" s="405"/>
      <c r="LK198" s="83"/>
      <c r="LS198" s="405"/>
      <c r="LY198" s="83"/>
      <c r="MG198" s="405"/>
      <c r="MM198" s="83"/>
      <c r="MU198" s="405"/>
      <c r="NA198" s="83"/>
    </row>
    <row r="199">
      <c r="A199" s="483"/>
      <c r="B199" s="380"/>
      <c r="C199" s="380"/>
      <c r="D199" s="380"/>
      <c r="E199" s="380"/>
      <c r="F199" s="380"/>
      <c r="G199" s="380"/>
      <c r="H199" s="380"/>
      <c r="I199" s="403"/>
      <c r="J199" s="380"/>
      <c r="K199" s="380"/>
      <c r="L199" s="380"/>
      <c r="M199" s="380"/>
      <c r="N199" s="380"/>
      <c r="O199" s="404"/>
      <c r="P199" s="380"/>
      <c r="Q199" s="380"/>
      <c r="R199" s="380"/>
      <c r="S199" s="380"/>
      <c r="T199" s="380"/>
      <c r="U199" s="380"/>
      <c r="V199" s="380"/>
      <c r="W199" s="403"/>
      <c r="X199" s="380"/>
      <c r="Y199" s="380"/>
      <c r="Z199" s="380"/>
      <c r="AA199" s="380"/>
      <c r="AB199" s="380"/>
      <c r="AC199" s="404"/>
      <c r="AD199" s="380"/>
      <c r="AE199" s="380"/>
      <c r="AF199" s="380"/>
      <c r="AG199" s="380"/>
      <c r="AH199" s="380"/>
      <c r="AI199" s="380"/>
      <c r="AJ199" s="380"/>
      <c r="AK199" s="403"/>
      <c r="AL199" s="380"/>
      <c r="AM199" s="380"/>
      <c r="AN199" s="380"/>
      <c r="AO199" s="380"/>
      <c r="AP199" s="380"/>
      <c r="AQ199" s="404"/>
      <c r="AR199" s="380"/>
      <c r="AS199" s="380"/>
      <c r="AT199" s="380"/>
      <c r="AU199" s="380"/>
      <c r="AV199" s="380"/>
      <c r="AW199" s="380"/>
      <c r="AX199" s="380"/>
      <c r="AY199" s="403"/>
      <c r="AZ199" s="380"/>
      <c r="BA199" s="380"/>
      <c r="BB199" s="380"/>
      <c r="BC199" s="380"/>
      <c r="BD199" s="380"/>
      <c r="BE199" s="404"/>
      <c r="BF199" s="380"/>
      <c r="BG199" s="380"/>
      <c r="BH199" s="380"/>
      <c r="BI199" s="380"/>
      <c r="BJ199" s="380"/>
      <c r="BK199" s="380"/>
      <c r="BL199" s="380"/>
      <c r="BM199" s="403"/>
      <c r="BS199" s="83"/>
      <c r="CA199" s="405"/>
      <c r="CG199" s="83"/>
      <c r="CO199" s="405"/>
      <c r="CU199" s="83"/>
      <c r="DC199" s="405"/>
      <c r="DI199" s="83"/>
      <c r="DQ199" s="405"/>
      <c r="DW199" s="83"/>
      <c r="EE199" s="405"/>
      <c r="EK199" s="83"/>
      <c r="ES199" s="405"/>
      <c r="EY199" s="83"/>
      <c r="FG199" s="405"/>
      <c r="FM199" s="83"/>
      <c r="FU199" s="405"/>
      <c r="GA199" s="83"/>
      <c r="GI199" s="405"/>
      <c r="GO199" s="83"/>
      <c r="GW199" s="405"/>
      <c r="HC199" s="83"/>
      <c r="HK199" s="405"/>
      <c r="HQ199" s="83"/>
      <c r="HY199" s="405"/>
      <c r="IE199" s="83"/>
      <c r="IM199" s="405"/>
      <c r="IS199" s="83"/>
      <c r="JA199" s="405"/>
      <c r="JG199" s="83"/>
      <c r="JO199" s="405"/>
      <c r="JU199" s="83"/>
      <c r="KC199" s="405"/>
      <c r="KI199" s="83"/>
      <c r="KQ199" s="405"/>
      <c r="KW199" s="83"/>
      <c r="LE199" s="405"/>
      <c r="LK199" s="83"/>
      <c r="LS199" s="405"/>
      <c r="LY199" s="83"/>
      <c r="MG199" s="405"/>
      <c r="MM199" s="83"/>
      <c r="MU199" s="405"/>
      <c r="NA199" s="83"/>
    </row>
    <row r="200">
      <c r="A200" s="483"/>
      <c r="B200" s="380"/>
      <c r="C200" s="380"/>
      <c r="D200" s="380"/>
      <c r="E200" s="380"/>
      <c r="F200" s="380"/>
      <c r="G200" s="380"/>
      <c r="H200" s="380"/>
      <c r="I200" s="403"/>
      <c r="J200" s="380"/>
      <c r="K200" s="380"/>
      <c r="L200" s="380"/>
      <c r="M200" s="380"/>
      <c r="N200" s="380"/>
      <c r="O200" s="404"/>
      <c r="P200" s="380"/>
      <c r="Q200" s="380"/>
      <c r="R200" s="380"/>
      <c r="S200" s="380"/>
      <c r="T200" s="380"/>
      <c r="U200" s="380"/>
      <c r="V200" s="380"/>
      <c r="W200" s="403"/>
      <c r="X200" s="380"/>
      <c r="Y200" s="380"/>
      <c r="Z200" s="380"/>
      <c r="AA200" s="380"/>
      <c r="AB200" s="380"/>
      <c r="AC200" s="404"/>
      <c r="AD200" s="380"/>
      <c r="AE200" s="380"/>
      <c r="AF200" s="380"/>
      <c r="AG200" s="380"/>
      <c r="AH200" s="380"/>
      <c r="AI200" s="380"/>
      <c r="AJ200" s="380"/>
      <c r="AK200" s="403"/>
      <c r="AL200" s="380"/>
      <c r="AM200" s="380"/>
      <c r="AN200" s="380"/>
      <c r="AO200" s="380"/>
      <c r="AP200" s="380"/>
      <c r="AQ200" s="404"/>
      <c r="AR200" s="380"/>
      <c r="AS200" s="380"/>
      <c r="AT200" s="380"/>
      <c r="AU200" s="380"/>
      <c r="AV200" s="380"/>
      <c r="AW200" s="380"/>
      <c r="AX200" s="380"/>
      <c r="AY200" s="403"/>
      <c r="AZ200" s="380"/>
      <c r="BA200" s="380"/>
      <c r="BB200" s="380"/>
      <c r="BC200" s="380"/>
      <c r="BD200" s="380"/>
      <c r="BE200" s="404"/>
      <c r="BF200" s="380"/>
      <c r="BG200" s="380"/>
      <c r="BH200" s="380"/>
      <c r="BI200" s="380"/>
      <c r="BJ200" s="380"/>
      <c r="BK200" s="380"/>
      <c r="BL200" s="380"/>
      <c r="BM200" s="403"/>
      <c r="BS200" s="83"/>
      <c r="CA200" s="405"/>
      <c r="CG200" s="83"/>
      <c r="CO200" s="405"/>
      <c r="CU200" s="83"/>
      <c r="DC200" s="405"/>
      <c r="DI200" s="83"/>
      <c r="DQ200" s="405"/>
      <c r="DW200" s="83"/>
      <c r="EE200" s="405"/>
      <c r="EK200" s="83"/>
      <c r="ES200" s="405"/>
      <c r="EY200" s="83"/>
      <c r="FG200" s="405"/>
      <c r="FM200" s="83"/>
      <c r="FU200" s="405"/>
      <c r="GA200" s="83"/>
      <c r="GI200" s="405"/>
      <c r="GO200" s="83"/>
      <c r="GW200" s="405"/>
      <c r="HC200" s="83"/>
      <c r="HK200" s="405"/>
      <c r="HQ200" s="83"/>
      <c r="HY200" s="405"/>
      <c r="IE200" s="83"/>
      <c r="IM200" s="405"/>
      <c r="IS200" s="83"/>
      <c r="JA200" s="405"/>
      <c r="JG200" s="83"/>
      <c r="JO200" s="405"/>
      <c r="JU200" s="83"/>
      <c r="KC200" s="405"/>
      <c r="KI200" s="83"/>
      <c r="KQ200" s="405"/>
      <c r="KW200" s="83"/>
      <c r="LE200" s="405"/>
      <c r="LK200" s="83"/>
      <c r="LS200" s="405"/>
      <c r="LY200" s="83"/>
      <c r="MG200" s="405"/>
      <c r="MM200" s="83"/>
      <c r="MU200" s="405"/>
      <c r="NA200" s="83"/>
    </row>
    <row r="201">
      <c r="A201" s="483"/>
      <c r="B201" s="380"/>
      <c r="C201" s="380"/>
      <c r="D201" s="380"/>
      <c r="E201" s="380"/>
      <c r="F201" s="380"/>
      <c r="G201" s="380"/>
      <c r="H201" s="380"/>
      <c r="I201" s="403"/>
      <c r="J201" s="380"/>
      <c r="K201" s="380"/>
      <c r="L201" s="380"/>
      <c r="M201" s="380"/>
      <c r="N201" s="380"/>
      <c r="O201" s="404"/>
      <c r="P201" s="380"/>
      <c r="Q201" s="380"/>
      <c r="R201" s="380"/>
      <c r="S201" s="380"/>
      <c r="T201" s="380"/>
      <c r="U201" s="380"/>
      <c r="V201" s="380"/>
      <c r="W201" s="403"/>
      <c r="X201" s="380"/>
      <c r="Y201" s="380"/>
      <c r="Z201" s="380"/>
      <c r="AA201" s="380"/>
      <c r="AB201" s="380"/>
      <c r="AC201" s="404"/>
      <c r="AD201" s="380"/>
      <c r="AE201" s="380"/>
      <c r="AF201" s="380"/>
      <c r="AG201" s="380"/>
      <c r="AH201" s="380"/>
      <c r="AI201" s="380"/>
      <c r="AJ201" s="380"/>
      <c r="AK201" s="403"/>
      <c r="AL201" s="380"/>
      <c r="AM201" s="380"/>
      <c r="AN201" s="380"/>
      <c r="AO201" s="380"/>
      <c r="AP201" s="380"/>
      <c r="AQ201" s="404"/>
      <c r="AR201" s="380"/>
      <c r="AS201" s="380"/>
      <c r="AT201" s="380"/>
      <c r="AU201" s="380"/>
      <c r="AV201" s="380"/>
      <c r="AW201" s="380"/>
      <c r="AX201" s="380"/>
      <c r="AY201" s="403"/>
      <c r="AZ201" s="380"/>
      <c r="BA201" s="380"/>
      <c r="BB201" s="380"/>
      <c r="BC201" s="380"/>
      <c r="BD201" s="380"/>
      <c r="BE201" s="404"/>
      <c r="BF201" s="380"/>
      <c r="BG201" s="380"/>
      <c r="BH201" s="380"/>
      <c r="BI201" s="380"/>
      <c r="BJ201" s="380"/>
      <c r="BK201" s="380"/>
      <c r="BL201" s="380"/>
      <c r="BM201" s="403"/>
      <c r="BS201" s="83"/>
      <c r="CA201" s="405"/>
      <c r="CG201" s="83"/>
      <c r="CO201" s="405"/>
      <c r="CU201" s="83"/>
      <c r="DC201" s="405"/>
      <c r="DI201" s="83"/>
      <c r="DQ201" s="405"/>
      <c r="DW201" s="83"/>
      <c r="EE201" s="405"/>
      <c r="EK201" s="83"/>
      <c r="ES201" s="405"/>
      <c r="EY201" s="83"/>
      <c r="FG201" s="405"/>
      <c r="FM201" s="83"/>
      <c r="FU201" s="405"/>
      <c r="GA201" s="83"/>
      <c r="GI201" s="405"/>
      <c r="GO201" s="83"/>
      <c r="GW201" s="405"/>
      <c r="HC201" s="83"/>
      <c r="HK201" s="405"/>
      <c r="HQ201" s="83"/>
      <c r="HY201" s="405"/>
      <c r="IE201" s="83"/>
      <c r="IM201" s="405"/>
      <c r="IS201" s="83"/>
      <c r="JA201" s="405"/>
      <c r="JG201" s="83"/>
      <c r="JO201" s="405"/>
      <c r="JU201" s="83"/>
      <c r="KC201" s="405"/>
      <c r="KI201" s="83"/>
      <c r="KQ201" s="405"/>
      <c r="KW201" s="83"/>
      <c r="LE201" s="405"/>
      <c r="LK201" s="83"/>
      <c r="LS201" s="405"/>
      <c r="LY201" s="83"/>
      <c r="MG201" s="405"/>
      <c r="MM201" s="83"/>
      <c r="MU201" s="405"/>
      <c r="NA201" s="83"/>
    </row>
    <row r="202">
      <c r="A202" s="483"/>
      <c r="B202" s="380"/>
      <c r="C202" s="380"/>
      <c r="D202" s="380"/>
      <c r="E202" s="380"/>
      <c r="F202" s="380"/>
      <c r="G202" s="380"/>
      <c r="H202" s="380"/>
      <c r="I202" s="403"/>
      <c r="J202" s="380"/>
      <c r="K202" s="380"/>
      <c r="L202" s="380"/>
      <c r="M202" s="380"/>
      <c r="N202" s="380"/>
      <c r="O202" s="404"/>
      <c r="P202" s="380"/>
      <c r="Q202" s="380"/>
      <c r="R202" s="380"/>
      <c r="S202" s="380"/>
      <c r="T202" s="380"/>
      <c r="U202" s="380"/>
      <c r="V202" s="380"/>
      <c r="W202" s="403"/>
      <c r="X202" s="380"/>
      <c r="Y202" s="380"/>
      <c r="Z202" s="380"/>
      <c r="AA202" s="380"/>
      <c r="AB202" s="380"/>
      <c r="AC202" s="404"/>
      <c r="AD202" s="380"/>
      <c r="AE202" s="380"/>
      <c r="AF202" s="380"/>
      <c r="AG202" s="380"/>
      <c r="AH202" s="380"/>
      <c r="AI202" s="380"/>
      <c r="AJ202" s="380"/>
      <c r="AK202" s="403"/>
      <c r="AL202" s="380"/>
      <c r="AM202" s="380"/>
      <c r="AN202" s="380"/>
      <c r="AO202" s="380"/>
      <c r="AP202" s="380"/>
      <c r="AQ202" s="404"/>
      <c r="AR202" s="380"/>
      <c r="AS202" s="380"/>
      <c r="AT202" s="380"/>
      <c r="AU202" s="380"/>
      <c r="AV202" s="380"/>
      <c r="AW202" s="380"/>
      <c r="AX202" s="380"/>
      <c r="AY202" s="403"/>
      <c r="AZ202" s="380"/>
      <c r="BA202" s="380"/>
      <c r="BB202" s="380"/>
      <c r="BC202" s="380"/>
      <c r="BD202" s="380"/>
      <c r="BE202" s="404"/>
      <c r="BF202" s="380"/>
      <c r="BG202" s="380"/>
      <c r="BH202" s="380"/>
      <c r="BI202" s="380"/>
      <c r="BJ202" s="380"/>
      <c r="BK202" s="380"/>
      <c r="BL202" s="380"/>
      <c r="BM202" s="403"/>
      <c r="BS202" s="83"/>
      <c r="CA202" s="405"/>
      <c r="CG202" s="83"/>
      <c r="CO202" s="405"/>
      <c r="CU202" s="83"/>
      <c r="DC202" s="405"/>
      <c r="DI202" s="83"/>
      <c r="DQ202" s="405"/>
      <c r="DW202" s="83"/>
      <c r="EE202" s="405"/>
      <c r="EK202" s="83"/>
      <c r="ES202" s="405"/>
      <c r="EY202" s="83"/>
      <c r="FG202" s="405"/>
      <c r="FM202" s="83"/>
      <c r="FU202" s="405"/>
      <c r="GA202" s="83"/>
      <c r="GI202" s="405"/>
      <c r="GO202" s="83"/>
      <c r="GW202" s="405"/>
      <c r="HC202" s="83"/>
      <c r="HK202" s="405"/>
      <c r="HQ202" s="83"/>
      <c r="HY202" s="405"/>
      <c r="IE202" s="83"/>
      <c r="IM202" s="405"/>
      <c r="IS202" s="83"/>
      <c r="JA202" s="405"/>
      <c r="JG202" s="83"/>
      <c r="JO202" s="405"/>
      <c r="JU202" s="83"/>
      <c r="KC202" s="405"/>
      <c r="KI202" s="83"/>
      <c r="KQ202" s="405"/>
      <c r="KW202" s="83"/>
      <c r="LE202" s="405"/>
      <c r="LK202" s="83"/>
      <c r="LS202" s="405"/>
      <c r="LY202" s="83"/>
      <c r="MG202" s="405"/>
      <c r="MM202" s="83"/>
      <c r="MU202" s="405"/>
      <c r="NA202" s="83"/>
    </row>
    <row r="203">
      <c r="A203" s="483"/>
      <c r="B203" s="380"/>
      <c r="C203" s="380"/>
      <c r="D203" s="380"/>
      <c r="E203" s="380"/>
      <c r="F203" s="380"/>
      <c r="G203" s="380"/>
      <c r="H203" s="380"/>
      <c r="I203" s="403"/>
      <c r="J203" s="380"/>
      <c r="K203" s="380"/>
      <c r="L203" s="380"/>
      <c r="M203" s="380"/>
      <c r="N203" s="380"/>
      <c r="O203" s="404"/>
      <c r="P203" s="380"/>
      <c r="Q203" s="380"/>
      <c r="R203" s="380"/>
      <c r="S203" s="380"/>
      <c r="T203" s="380"/>
      <c r="U203" s="380"/>
      <c r="V203" s="380"/>
      <c r="W203" s="403"/>
      <c r="X203" s="380"/>
      <c r="Y203" s="380"/>
      <c r="Z203" s="380"/>
      <c r="AA203" s="380"/>
      <c r="AB203" s="380"/>
      <c r="AC203" s="404"/>
      <c r="AD203" s="380"/>
      <c r="AE203" s="380"/>
      <c r="AF203" s="380"/>
      <c r="AG203" s="380"/>
      <c r="AH203" s="380"/>
      <c r="AI203" s="380"/>
      <c r="AJ203" s="380"/>
      <c r="AK203" s="403"/>
      <c r="AL203" s="380"/>
      <c r="AM203" s="380"/>
      <c r="AN203" s="380"/>
      <c r="AO203" s="380"/>
      <c r="AP203" s="380"/>
      <c r="AQ203" s="404"/>
      <c r="AR203" s="380"/>
      <c r="AS203" s="380"/>
      <c r="AT203" s="380"/>
      <c r="AU203" s="380"/>
      <c r="AV203" s="380"/>
      <c r="AW203" s="380"/>
      <c r="AX203" s="380"/>
      <c r="AY203" s="403"/>
      <c r="AZ203" s="380"/>
      <c r="BA203" s="380"/>
      <c r="BB203" s="380"/>
      <c r="BC203" s="380"/>
      <c r="BD203" s="380"/>
      <c r="BE203" s="404"/>
      <c r="BF203" s="380"/>
      <c r="BG203" s="380"/>
      <c r="BH203" s="380"/>
      <c r="BI203" s="380"/>
      <c r="BJ203" s="380"/>
      <c r="BK203" s="380"/>
      <c r="BL203" s="380"/>
      <c r="BM203" s="403"/>
      <c r="BS203" s="83"/>
      <c r="CA203" s="405"/>
      <c r="CG203" s="83"/>
      <c r="CO203" s="405"/>
      <c r="CU203" s="83"/>
      <c r="DC203" s="405"/>
      <c r="DI203" s="83"/>
      <c r="DQ203" s="405"/>
      <c r="DW203" s="83"/>
      <c r="EE203" s="405"/>
      <c r="EK203" s="83"/>
      <c r="ES203" s="405"/>
      <c r="EY203" s="83"/>
      <c r="FG203" s="405"/>
      <c r="FM203" s="83"/>
      <c r="FU203" s="405"/>
      <c r="GA203" s="83"/>
      <c r="GI203" s="405"/>
      <c r="GO203" s="83"/>
      <c r="GW203" s="405"/>
      <c r="HC203" s="83"/>
      <c r="HK203" s="405"/>
      <c r="HQ203" s="83"/>
      <c r="HY203" s="405"/>
      <c r="IE203" s="83"/>
      <c r="IM203" s="405"/>
      <c r="IS203" s="83"/>
      <c r="JA203" s="405"/>
      <c r="JG203" s="83"/>
      <c r="JO203" s="405"/>
      <c r="JU203" s="83"/>
      <c r="KC203" s="405"/>
      <c r="KI203" s="83"/>
      <c r="KQ203" s="405"/>
      <c r="KW203" s="83"/>
      <c r="LE203" s="405"/>
      <c r="LK203" s="83"/>
      <c r="LS203" s="405"/>
      <c r="LY203" s="83"/>
      <c r="MG203" s="405"/>
      <c r="MM203" s="83"/>
      <c r="MU203" s="405"/>
      <c r="NA203" s="83"/>
    </row>
    <row r="204">
      <c r="A204" s="483"/>
      <c r="B204" s="380"/>
      <c r="C204" s="380"/>
      <c r="D204" s="380"/>
      <c r="E204" s="380"/>
      <c r="F204" s="380"/>
      <c r="G204" s="380"/>
      <c r="H204" s="380"/>
      <c r="I204" s="403"/>
      <c r="J204" s="380"/>
      <c r="K204" s="380"/>
      <c r="L204" s="380"/>
      <c r="M204" s="380"/>
      <c r="N204" s="380"/>
      <c r="O204" s="404"/>
      <c r="P204" s="380"/>
      <c r="Q204" s="380"/>
      <c r="R204" s="380"/>
      <c r="S204" s="380"/>
      <c r="T204" s="380"/>
      <c r="U204" s="380"/>
      <c r="V204" s="380"/>
      <c r="W204" s="403"/>
      <c r="X204" s="380"/>
      <c r="Y204" s="380"/>
      <c r="Z204" s="380"/>
      <c r="AA204" s="380"/>
      <c r="AB204" s="380"/>
      <c r="AC204" s="404"/>
      <c r="AD204" s="380"/>
      <c r="AE204" s="380"/>
      <c r="AF204" s="380"/>
      <c r="AG204" s="380"/>
      <c r="AH204" s="380"/>
      <c r="AI204" s="380"/>
      <c r="AJ204" s="380"/>
      <c r="AK204" s="403"/>
      <c r="AL204" s="380"/>
      <c r="AM204" s="380"/>
      <c r="AN204" s="380"/>
      <c r="AO204" s="380"/>
      <c r="AP204" s="380"/>
      <c r="AQ204" s="404"/>
      <c r="AR204" s="380"/>
      <c r="AS204" s="380"/>
      <c r="AT204" s="380"/>
      <c r="AU204" s="380"/>
      <c r="AV204" s="380"/>
      <c r="AW204" s="380"/>
      <c r="AX204" s="380"/>
      <c r="AY204" s="403"/>
      <c r="AZ204" s="380"/>
      <c r="BA204" s="380"/>
      <c r="BB204" s="380"/>
      <c r="BC204" s="380"/>
      <c r="BD204" s="380"/>
      <c r="BE204" s="404"/>
      <c r="BF204" s="380"/>
      <c r="BG204" s="380"/>
      <c r="BH204" s="380"/>
      <c r="BI204" s="380"/>
      <c r="BJ204" s="380"/>
      <c r="BK204" s="380"/>
      <c r="BL204" s="380"/>
      <c r="BM204" s="403"/>
      <c r="BS204" s="83"/>
      <c r="CA204" s="405"/>
      <c r="CG204" s="83"/>
      <c r="CO204" s="405"/>
      <c r="CU204" s="83"/>
      <c r="DC204" s="405"/>
      <c r="DI204" s="83"/>
      <c r="DQ204" s="405"/>
      <c r="DW204" s="83"/>
      <c r="EE204" s="405"/>
      <c r="EK204" s="83"/>
      <c r="ES204" s="405"/>
      <c r="EY204" s="83"/>
      <c r="FG204" s="405"/>
      <c r="FM204" s="83"/>
      <c r="FU204" s="405"/>
      <c r="GA204" s="83"/>
      <c r="GI204" s="405"/>
      <c r="GO204" s="83"/>
      <c r="GW204" s="405"/>
      <c r="HC204" s="83"/>
      <c r="HK204" s="405"/>
      <c r="HQ204" s="83"/>
      <c r="HY204" s="405"/>
      <c r="IE204" s="83"/>
      <c r="IM204" s="405"/>
      <c r="IS204" s="83"/>
      <c r="JA204" s="405"/>
      <c r="JG204" s="83"/>
      <c r="JO204" s="405"/>
      <c r="JU204" s="83"/>
      <c r="KC204" s="405"/>
      <c r="KI204" s="83"/>
      <c r="KQ204" s="405"/>
      <c r="KW204" s="83"/>
      <c r="LE204" s="405"/>
      <c r="LK204" s="83"/>
      <c r="LS204" s="405"/>
      <c r="LY204" s="83"/>
      <c r="MG204" s="405"/>
      <c r="MM204" s="83"/>
      <c r="MU204" s="405"/>
      <c r="NA204" s="83"/>
    </row>
    <row r="205">
      <c r="A205" s="483"/>
      <c r="B205" s="380"/>
      <c r="C205" s="380"/>
      <c r="D205" s="380"/>
      <c r="E205" s="380"/>
      <c r="F205" s="380"/>
      <c r="G205" s="380"/>
      <c r="H205" s="380"/>
      <c r="I205" s="403"/>
      <c r="J205" s="380"/>
      <c r="K205" s="380"/>
      <c r="L205" s="380"/>
      <c r="M205" s="380"/>
      <c r="N205" s="380"/>
      <c r="O205" s="404"/>
      <c r="P205" s="380"/>
      <c r="Q205" s="380"/>
      <c r="R205" s="380"/>
      <c r="S205" s="380"/>
      <c r="T205" s="380"/>
      <c r="U205" s="380"/>
      <c r="V205" s="380"/>
      <c r="W205" s="403"/>
      <c r="X205" s="380"/>
      <c r="Y205" s="380"/>
      <c r="Z205" s="380"/>
      <c r="AA205" s="380"/>
      <c r="AB205" s="380"/>
      <c r="AC205" s="404"/>
      <c r="AD205" s="380"/>
      <c r="AE205" s="380"/>
      <c r="AF205" s="380"/>
      <c r="AG205" s="380"/>
      <c r="AH205" s="380"/>
      <c r="AI205" s="380"/>
      <c r="AJ205" s="380"/>
      <c r="AK205" s="403"/>
      <c r="AL205" s="380"/>
      <c r="AM205" s="380"/>
      <c r="AN205" s="380"/>
      <c r="AO205" s="380"/>
      <c r="AP205" s="380"/>
      <c r="AQ205" s="404"/>
      <c r="AR205" s="380"/>
      <c r="AS205" s="380"/>
      <c r="AT205" s="380"/>
      <c r="AU205" s="380"/>
      <c r="AV205" s="380"/>
      <c r="AW205" s="380"/>
      <c r="AX205" s="380"/>
      <c r="AY205" s="403"/>
      <c r="AZ205" s="380"/>
      <c r="BA205" s="380"/>
      <c r="BB205" s="380"/>
      <c r="BC205" s="380"/>
      <c r="BD205" s="380"/>
      <c r="BE205" s="404"/>
      <c r="BF205" s="380"/>
      <c r="BG205" s="380"/>
      <c r="BH205" s="380"/>
      <c r="BI205" s="380"/>
      <c r="BJ205" s="380"/>
      <c r="BK205" s="380"/>
      <c r="BL205" s="380"/>
      <c r="BM205" s="403"/>
      <c r="BS205" s="83"/>
      <c r="CA205" s="405"/>
      <c r="CG205" s="83"/>
      <c r="CO205" s="405"/>
      <c r="CU205" s="83"/>
      <c r="DC205" s="405"/>
      <c r="DI205" s="83"/>
      <c r="DQ205" s="405"/>
      <c r="DW205" s="83"/>
      <c r="EE205" s="405"/>
      <c r="EK205" s="83"/>
      <c r="ES205" s="405"/>
      <c r="EY205" s="83"/>
      <c r="FG205" s="405"/>
      <c r="FM205" s="83"/>
      <c r="FU205" s="405"/>
      <c r="GA205" s="83"/>
      <c r="GI205" s="405"/>
      <c r="GO205" s="83"/>
      <c r="GW205" s="405"/>
      <c r="HC205" s="83"/>
      <c r="HK205" s="405"/>
      <c r="HQ205" s="83"/>
      <c r="HY205" s="405"/>
      <c r="IE205" s="83"/>
      <c r="IM205" s="405"/>
      <c r="IS205" s="83"/>
      <c r="JA205" s="405"/>
      <c r="JG205" s="83"/>
      <c r="JO205" s="405"/>
      <c r="JU205" s="83"/>
      <c r="KC205" s="405"/>
      <c r="KI205" s="83"/>
      <c r="KQ205" s="405"/>
      <c r="KW205" s="83"/>
      <c r="LE205" s="405"/>
      <c r="LK205" s="83"/>
      <c r="LS205" s="405"/>
      <c r="LY205" s="83"/>
      <c r="MG205" s="405"/>
      <c r="MM205" s="83"/>
      <c r="MU205" s="405"/>
      <c r="NA205" s="83"/>
    </row>
    <row r="206">
      <c r="A206" s="483"/>
      <c r="B206" s="380"/>
      <c r="C206" s="380"/>
      <c r="D206" s="380"/>
      <c r="E206" s="380"/>
      <c r="F206" s="380"/>
      <c r="G206" s="380"/>
      <c r="H206" s="380"/>
      <c r="I206" s="403"/>
      <c r="J206" s="380"/>
      <c r="K206" s="380"/>
      <c r="L206" s="380"/>
      <c r="M206" s="380"/>
      <c r="N206" s="380"/>
      <c r="O206" s="404"/>
      <c r="P206" s="380"/>
      <c r="Q206" s="380"/>
      <c r="R206" s="380"/>
      <c r="S206" s="380"/>
      <c r="T206" s="380"/>
      <c r="U206" s="380"/>
      <c r="V206" s="380"/>
      <c r="W206" s="403"/>
      <c r="X206" s="380"/>
      <c r="Y206" s="380"/>
      <c r="Z206" s="380"/>
      <c r="AA206" s="380"/>
      <c r="AB206" s="380"/>
      <c r="AC206" s="404"/>
      <c r="AD206" s="380"/>
      <c r="AE206" s="380"/>
      <c r="AF206" s="380"/>
      <c r="AG206" s="380"/>
      <c r="AH206" s="380"/>
      <c r="AI206" s="380"/>
      <c r="AJ206" s="380"/>
      <c r="AK206" s="403"/>
      <c r="AL206" s="380"/>
      <c r="AM206" s="380"/>
      <c r="AN206" s="380"/>
      <c r="AO206" s="380"/>
      <c r="AP206" s="380"/>
      <c r="AQ206" s="404"/>
      <c r="AR206" s="380"/>
      <c r="AS206" s="380"/>
      <c r="AT206" s="380"/>
      <c r="AU206" s="380"/>
      <c r="AV206" s="380"/>
      <c r="AW206" s="380"/>
      <c r="AX206" s="380"/>
      <c r="AY206" s="403"/>
      <c r="AZ206" s="380"/>
      <c r="BA206" s="380"/>
      <c r="BB206" s="380"/>
      <c r="BC206" s="380"/>
      <c r="BD206" s="380"/>
      <c r="BE206" s="404"/>
      <c r="BF206" s="380"/>
      <c r="BG206" s="380"/>
      <c r="BH206" s="380"/>
      <c r="BI206" s="380"/>
      <c r="BJ206" s="380"/>
      <c r="BK206" s="380"/>
      <c r="BL206" s="380"/>
      <c r="BM206" s="403"/>
      <c r="BS206" s="83"/>
      <c r="CA206" s="405"/>
      <c r="CG206" s="83"/>
      <c r="CO206" s="405"/>
      <c r="CU206" s="83"/>
      <c r="DC206" s="405"/>
      <c r="DI206" s="83"/>
      <c r="DQ206" s="405"/>
      <c r="DW206" s="83"/>
      <c r="EE206" s="405"/>
      <c r="EK206" s="83"/>
      <c r="ES206" s="405"/>
      <c r="EY206" s="83"/>
      <c r="FG206" s="405"/>
      <c r="FM206" s="83"/>
      <c r="FU206" s="405"/>
      <c r="GA206" s="83"/>
      <c r="GI206" s="405"/>
      <c r="GO206" s="83"/>
      <c r="GW206" s="405"/>
      <c r="HC206" s="83"/>
      <c r="HK206" s="405"/>
      <c r="HQ206" s="83"/>
      <c r="HY206" s="405"/>
      <c r="IE206" s="83"/>
      <c r="IM206" s="405"/>
      <c r="IS206" s="83"/>
      <c r="JA206" s="405"/>
      <c r="JG206" s="83"/>
      <c r="JO206" s="405"/>
      <c r="JU206" s="83"/>
      <c r="KC206" s="405"/>
      <c r="KI206" s="83"/>
      <c r="KQ206" s="405"/>
      <c r="KW206" s="83"/>
      <c r="LE206" s="405"/>
      <c r="LK206" s="83"/>
      <c r="LS206" s="405"/>
      <c r="LY206" s="83"/>
      <c r="MG206" s="405"/>
      <c r="MM206" s="83"/>
      <c r="MU206" s="405"/>
      <c r="NA206" s="83"/>
    </row>
    <row r="207">
      <c r="A207" s="483"/>
      <c r="B207" s="380"/>
      <c r="C207" s="380"/>
      <c r="D207" s="380"/>
      <c r="E207" s="380"/>
      <c r="F207" s="380"/>
      <c r="G207" s="380"/>
      <c r="H207" s="380"/>
      <c r="I207" s="403"/>
      <c r="J207" s="380"/>
      <c r="K207" s="380"/>
      <c r="L207" s="380"/>
      <c r="M207" s="380"/>
      <c r="N207" s="380"/>
      <c r="O207" s="404"/>
      <c r="P207" s="380"/>
      <c r="Q207" s="380"/>
      <c r="R207" s="380"/>
      <c r="S207" s="380"/>
      <c r="T207" s="380"/>
      <c r="U207" s="380"/>
      <c r="V207" s="380"/>
      <c r="W207" s="403"/>
      <c r="X207" s="380"/>
      <c r="Y207" s="380"/>
      <c r="Z207" s="380"/>
      <c r="AA207" s="380"/>
      <c r="AB207" s="380"/>
      <c r="AC207" s="404"/>
      <c r="AD207" s="380"/>
      <c r="AE207" s="380"/>
      <c r="AF207" s="380"/>
      <c r="AG207" s="380"/>
      <c r="AH207" s="380"/>
      <c r="AI207" s="380"/>
      <c r="AJ207" s="380"/>
      <c r="AK207" s="403"/>
      <c r="AL207" s="380"/>
      <c r="AM207" s="380"/>
      <c r="AN207" s="380"/>
      <c r="AO207" s="380"/>
      <c r="AP207" s="380"/>
      <c r="AQ207" s="404"/>
      <c r="AR207" s="380"/>
      <c r="AS207" s="380"/>
      <c r="AT207" s="380"/>
      <c r="AU207" s="380"/>
      <c r="AV207" s="380"/>
      <c r="AW207" s="380"/>
      <c r="AX207" s="380"/>
      <c r="AY207" s="403"/>
      <c r="AZ207" s="380"/>
      <c r="BA207" s="380"/>
      <c r="BB207" s="380"/>
      <c r="BC207" s="380"/>
      <c r="BD207" s="380"/>
      <c r="BE207" s="404"/>
      <c r="BF207" s="380"/>
      <c r="BG207" s="380"/>
      <c r="BH207" s="380"/>
      <c r="BI207" s="380"/>
      <c r="BJ207" s="380"/>
      <c r="BK207" s="380"/>
      <c r="BL207" s="380"/>
      <c r="BM207" s="403"/>
      <c r="BS207" s="83"/>
      <c r="CA207" s="405"/>
      <c r="CG207" s="83"/>
      <c r="CO207" s="405"/>
      <c r="CU207" s="83"/>
      <c r="DC207" s="405"/>
      <c r="DI207" s="83"/>
      <c r="DQ207" s="405"/>
      <c r="DW207" s="83"/>
      <c r="EE207" s="405"/>
      <c r="EK207" s="83"/>
      <c r="ES207" s="405"/>
      <c r="EY207" s="83"/>
      <c r="FG207" s="405"/>
      <c r="FM207" s="83"/>
      <c r="FU207" s="405"/>
      <c r="GA207" s="83"/>
      <c r="GI207" s="405"/>
      <c r="GO207" s="83"/>
      <c r="GW207" s="405"/>
      <c r="HC207" s="83"/>
      <c r="HK207" s="405"/>
      <c r="HQ207" s="83"/>
      <c r="HY207" s="405"/>
      <c r="IE207" s="83"/>
      <c r="IM207" s="405"/>
      <c r="IS207" s="83"/>
      <c r="JA207" s="405"/>
      <c r="JG207" s="83"/>
      <c r="JO207" s="405"/>
      <c r="JU207" s="83"/>
      <c r="KC207" s="405"/>
      <c r="KI207" s="83"/>
      <c r="KQ207" s="405"/>
      <c r="KW207" s="83"/>
      <c r="LE207" s="405"/>
      <c r="LK207" s="83"/>
      <c r="LS207" s="405"/>
      <c r="LY207" s="83"/>
      <c r="MG207" s="405"/>
      <c r="MM207" s="83"/>
      <c r="MU207" s="405"/>
      <c r="NA207" s="83"/>
    </row>
    <row r="208">
      <c r="A208" s="483"/>
      <c r="B208" s="380"/>
      <c r="C208" s="380"/>
      <c r="D208" s="380"/>
      <c r="E208" s="380"/>
      <c r="F208" s="380"/>
      <c r="G208" s="380"/>
      <c r="H208" s="380"/>
      <c r="I208" s="403"/>
      <c r="J208" s="380"/>
      <c r="K208" s="380"/>
      <c r="L208" s="380"/>
      <c r="M208" s="380"/>
      <c r="N208" s="380"/>
      <c r="O208" s="404"/>
      <c r="P208" s="380"/>
      <c r="Q208" s="380"/>
      <c r="R208" s="380"/>
      <c r="S208" s="380"/>
      <c r="T208" s="380"/>
      <c r="U208" s="380"/>
      <c r="V208" s="380"/>
      <c r="W208" s="403"/>
      <c r="X208" s="380"/>
      <c r="Y208" s="380"/>
      <c r="Z208" s="380"/>
      <c r="AA208" s="380"/>
      <c r="AB208" s="380"/>
      <c r="AC208" s="404"/>
      <c r="AD208" s="380"/>
      <c r="AE208" s="380"/>
      <c r="AF208" s="380"/>
      <c r="AG208" s="380"/>
      <c r="AH208" s="380"/>
      <c r="AI208" s="380"/>
      <c r="AJ208" s="380"/>
      <c r="AK208" s="403"/>
      <c r="AL208" s="380"/>
      <c r="AM208" s="380"/>
      <c r="AN208" s="380"/>
      <c r="AO208" s="380"/>
      <c r="AP208" s="380"/>
      <c r="AQ208" s="404"/>
      <c r="AR208" s="380"/>
      <c r="AS208" s="380"/>
      <c r="AT208" s="380"/>
      <c r="AU208" s="380"/>
      <c r="AV208" s="380"/>
      <c r="AW208" s="380"/>
      <c r="AX208" s="380"/>
      <c r="AY208" s="403"/>
      <c r="AZ208" s="380"/>
      <c r="BA208" s="380"/>
      <c r="BB208" s="380"/>
      <c r="BC208" s="380"/>
      <c r="BD208" s="380"/>
      <c r="BE208" s="404"/>
      <c r="BF208" s="380"/>
      <c r="BG208" s="380"/>
      <c r="BH208" s="380"/>
      <c r="BI208" s="380"/>
      <c r="BJ208" s="380"/>
      <c r="BK208" s="380"/>
      <c r="BL208" s="380"/>
      <c r="BM208" s="403"/>
      <c r="BS208" s="83"/>
      <c r="CA208" s="405"/>
      <c r="CG208" s="83"/>
      <c r="CO208" s="405"/>
      <c r="CU208" s="83"/>
      <c r="DC208" s="405"/>
      <c r="DI208" s="83"/>
      <c r="DQ208" s="405"/>
      <c r="DW208" s="83"/>
      <c r="EE208" s="405"/>
      <c r="EK208" s="83"/>
      <c r="ES208" s="405"/>
      <c r="EY208" s="83"/>
      <c r="FG208" s="405"/>
      <c r="FM208" s="83"/>
      <c r="FU208" s="405"/>
      <c r="GA208" s="83"/>
      <c r="GI208" s="405"/>
      <c r="GO208" s="83"/>
      <c r="GW208" s="405"/>
      <c r="HC208" s="83"/>
      <c r="HK208" s="405"/>
      <c r="HQ208" s="83"/>
      <c r="HY208" s="405"/>
      <c r="IE208" s="83"/>
      <c r="IM208" s="405"/>
      <c r="IS208" s="83"/>
      <c r="JA208" s="405"/>
      <c r="JG208" s="83"/>
      <c r="JO208" s="405"/>
      <c r="JU208" s="83"/>
      <c r="KC208" s="405"/>
      <c r="KI208" s="83"/>
      <c r="KQ208" s="405"/>
      <c r="KW208" s="83"/>
      <c r="LE208" s="405"/>
      <c r="LK208" s="83"/>
      <c r="LS208" s="405"/>
      <c r="LY208" s="83"/>
      <c r="MG208" s="405"/>
      <c r="MM208" s="83"/>
      <c r="MU208" s="405"/>
      <c r="NA208" s="83"/>
    </row>
    <row r="209">
      <c r="A209" s="483"/>
      <c r="B209" s="380"/>
      <c r="C209" s="380"/>
      <c r="D209" s="380"/>
      <c r="E209" s="380"/>
      <c r="F209" s="380"/>
      <c r="G209" s="380"/>
      <c r="H209" s="380"/>
      <c r="I209" s="403"/>
      <c r="J209" s="380"/>
      <c r="K209" s="380"/>
      <c r="L209" s="380"/>
      <c r="M209" s="380"/>
      <c r="N209" s="380"/>
      <c r="O209" s="404"/>
      <c r="P209" s="380"/>
      <c r="Q209" s="380"/>
      <c r="R209" s="380"/>
      <c r="S209" s="380"/>
      <c r="T209" s="380"/>
      <c r="U209" s="380"/>
      <c r="V209" s="380"/>
      <c r="W209" s="403"/>
      <c r="X209" s="380"/>
      <c r="Y209" s="380"/>
      <c r="Z209" s="380"/>
      <c r="AA209" s="380"/>
      <c r="AB209" s="380"/>
      <c r="AC209" s="404"/>
      <c r="AD209" s="380"/>
      <c r="AE209" s="380"/>
      <c r="AF209" s="380"/>
      <c r="AG209" s="380"/>
      <c r="AH209" s="380"/>
      <c r="AI209" s="380"/>
      <c r="AJ209" s="380"/>
      <c r="AK209" s="403"/>
      <c r="AL209" s="380"/>
      <c r="AM209" s="380"/>
      <c r="AN209" s="380"/>
      <c r="AO209" s="380"/>
      <c r="AP209" s="380"/>
      <c r="AQ209" s="404"/>
      <c r="AR209" s="380"/>
      <c r="AS209" s="380"/>
      <c r="AT209" s="380"/>
      <c r="AU209" s="380"/>
      <c r="AV209" s="380"/>
      <c r="AW209" s="380"/>
      <c r="AX209" s="380"/>
      <c r="AY209" s="403"/>
      <c r="AZ209" s="380"/>
      <c r="BA209" s="380"/>
      <c r="BB209" s="380"/>
      <c r="BC209" s="380"/>
      <c r="BD209" s="380"/>
      <c r="BE209" s="404"/>
      <c r="BF209" s="380"/>
      <c r="BG209" s="380"/>
      <c r="BH209" s="380"/>
      <c r="BI209" s="380"/>
      <c r="BJ209" s="380"/>
      <c r="BK209" s="380"/>
      <c r="BL209" s="380"/>
      <c r="BM209" s="403"/>
      <c r="BS209" s="83"/>
      <c r="CA209" s="405"/>
      <c r="CG209" s="83"/>
      <c r="CO209" s="405"/>
      <c r="CU209" s="83"/>
      <c r="DC209" s="405"/>
      <c r="DI209" s="83"/>
      <c r="DQ209" s="405"/>
      <c r="DW209" s="83"/>
      <c r="EE209" s="405"/>
      <c r="EK209" s="83"/>
      <c r="ES209" s="405"/>
      <c r="EY209" s="83"/>
      <c r="FG209" s="405"/>
      <c r="FM209" s="83"/>
      <c r="FU209" s="405"/>
      <c r="GA209" s="83"/>
      <c r="GI209" s="405"/>
      <c r="GO209" s="83"/>
      <c r="GW209" s="405"/>
      <c r="HC209" s="83"/>
      <c r="HK209" s="405"/>
      <c r="HQ209" s="83"/>
      <c r="HY209" s="405"/>
      <c r="IE209" s="83"/>
      <c r="IM209" s="405"/>
      <c r="IS209" s="83"/>
      <c r="JA209" s="405"/>
      <c r="JG209" s="83"/>
      <c r="JO209" s="405"/>
      <c r="JU209" s="83"/>
      <c r="KC209" s="405"/>
      <c r="KI209" s="83"/>
      <c r="KQ209" s="405"/>
      <c r="KW209" s="83"/>
      <c r="LE209" s="405"/>
      <c r="LK209" s="83"/>
      <c r="LS209" s="405"/>
      <c r="LY209" s="83"/>
      <c r="MG209" s="405"/>
      <c r="MM209" s="83"/>
      <c r="MU209" s="405"/>
      <c r="NA209" s="83"/>
    </row>
    <row r="210">
      <c r="A210" s="483"/>
      <c r="B210" s="380"/>
      <c r="C210" s="380"/>
      <c r="D210" s="380"/>
      <c r="E210" s="380"/>
      <c r="F210" s="380"/>
      <c r="G210" s="380"/>
      <c r="H210" s="380"/>
      <c r="I210" s="403"/>
      <c r="J210" s="380"/>
      <c r="K210" s="380"/>
      <c r="L210" s="380"/>
      <c r="M210" s="380"/>
      <c r="N210" s="380"/>
      <c r="O210" s="404"/>
      <c r="P210" s="380"/>
      <c r="Q210" s="380"/>
      <c r="R210" s="380"/>
      <c r="S210" s="380"/>
      <c r="T210" s="380"/>
      <c r="U210" s="380"/>
      <c r="V210" s="380"/>
      <c r="W210" s="403"/>
      <c r="X210" s="380"/>
      <c r="Y210" s="380"/>
      <c r="Z210" s="380"/>
      <c r="AA210" s="380"/>
      <c r="AB210" s="380"/>
      <c r="AC210" s="404"/>
      <c r="AD210" s="380"/>
      <c r="AE210" s="380"/>
      <c r="AF210" s="380"/>
      <c r="AG210" s="380"/>
      <c r="AH210" s="380"/>
      <c r="AI210" s="380"/>
      <c r="AJ210" s="380"/>
      <c r="AK210" s="403"/>
      <c r="AL210" s="380"/>
      <c r="AM210" s="380"/>
      <c r="AN210" s="380"/>
      <c r="AO210" s="380"/>
      <c r="AP210" s="380"/>
      <c r="AQ210" s="404"/>
      <c r="AR210" s="380"/>
      <c r="AS210" s="380"/>
      <c r="AT210" s="380"/>
      <c r="AU210" s="380"/>
      <c r="AV210" s="380"/>
      <c r="AW210" s="380"/>
      <c r="AX210" s="380"/>
      <c r="AY210" s="403"/>
      <c r="AZ210" s="380"/>
      <c r="BA210" s="380"/>
      <c r="BB210" s="380"/>
      <c r="BC210" s="380"/>
      <c r="BD210" s="380"/>
      <c r="BE210" s="404"/>
      <c r="BF210" s="380"/>
      <c r="BG210" s="380"/>
      <c r="BH210" s="380"/>
      <c r="BI210" s="380"/>
      <c r="BJ210" s="380"/>
      <c r="BK210" s="380"/>
      <c r="BL210" s="380"/>
      <c r="BM210" s="403"/>
      <c r="BS210" s="83"/>
      <c r="CA210" s="405"/>
      <c r="CG210" s="83"/>
      <c r="CO210" s="405"/>
      <c r="CU210" s="83"/>
      <c r="DC210" s="405"/>
      <c r="DI210" s="83"/>
      <c r="DQ210" s="405"/>
      <c r="DW210" s="83"/>
      <c r="EE210" s="405"/>
      <c r="EK210" s="83"/>
      <c r="ES210" s="405"/>
      <c r="EY210" s="83"/>
      <c r="FG210" s="405"/>
      <c r="FM210" s="83"/>
      <c r="FU210" s="405"/>
      <c r="GA210" s="83"/>
      <c r="GI210" s="405"/>
      <c r="GO210" s="83"/>
      <c r="GW210" s="405"/>
      <c r="HC210" s="83"/>
      <c r="HK210" s="405"/>
      <c r="HQ210" s="83"/>
      <c r="HY210" s="405"/>
      <c r="IE210" s="83"/>
      <c r="IM210" s="405"/>
      <c r="IS210" s="83"/>
      <c r="JA210" s="405"/>
      <c r="JG210" s="83"/>
      <c r="JO210" s="405"/>
      <c r="JU210" s="83"/>
      <c r="KC210" s="405"/>
      <c r="KI210" s="83"/>
      <c r="KQ210" s="405"/>
      <c r="KW210" s="83"/>
      <c r="LE210" s="405"/>
      <c r="LK210" s="83"/>
      <c r="LS210" s="405"/>
      <c r="LY210" s="83"/>
      <c r="MG210" s="405"/>
      <c r="MM210" s="83"/>
      <c r="MU210" s="405"/>
      <c r="NA210" s="83"/>
    </row>
    <row r="211">
      <c r="A211" s="483"/>
      <c r="B211" s="380"/>
      <c r="C211" s="380"/>
      <c r="D211" s="380"/>
      <c r="E211" s="380"/>
      <c r="F211" s="380"/>
      <c r="G211" s="380"/>
      <c r="H211" s="380"/>
      <c r="I211" s="403"/>
      <c r="J211" s="380"/>
      <c r="K211" s="380"/>
      <c r="L211" s="380"/>
      <c r="M211" s="380"/>
      <c r="N211" s="380"/>
      <c r="O211" s="404"/>
      <c r="P211" s="380"/>
      <c r="Q211" s="380"/>
      <c r="R211" s="380"/>
      <c r="S211" s="380"/>
      <c r="T211" s="380"/>
      <c r="U211" s="380"/>
      <c r="V211" s="380"/>
      <c r="W211" s="403"/>
      <c r="X211" s="380"/>
      <c r="Y211" s="380"/>
      <c r="Z211" s="380"/>
      <c r="AA211" s="380"/>
      <c r="AB211" s="380"/>
      <c r="AC211" s="404"/>
      <c r="AD211" s="380"/>
      <c r="AE211" s="380"/>
      <c r="AF211" s="380"/>
      <c r="AG211" s="380"/>
      <c r="AH211" s="380"/>
      <c r="AI211" s="380"/>
      <c r="AJ211" s="380"/>
      <c r="AK211" s="403"/>
      <c r="AL211" s="380"/>
      <c r="AM211" s="380"/>
      <c r="AN211" s="380"/>
      <c r="AO211" s="380"/>
      <c r="AP211" s="380"/>
      <c r="AQ211" s="404"/>
      <c r="AR211" s="380"/>
      <c r="AS211" s="380"/>
      <c r="AT211" s="380"/>
      <c r="AU211" s="380"/>
      <c r="AV211" s="380"/>
      <c r="AW211" s="380"/>
      <c r="AX211" s="380"/>
      <c r="AY211" s="403"/>
      <c r="AZ211" s="380"/>
      <c r="BA211" s="380"/>
      <c r="BB211" s="380"/>
      <c r="BC211" s="380"/>
      <c r="BD211" s="380"/>
      <c r="BE211" s="404"/>
      <c r="BF211" s="380"/>
      <c r="BG211" s="380"/>
      <c r="BH211" s="380"/>
      <c r="BI211" s="380"/>
      <c r="BJ211" s="380"/>
      <c r="BK211" s="380"/>
      <c r="BL211" s="380"/>
      <c r="BM211" s="403"/>
      <c r="BS211" s="83"/>
      <c r="CA211" s="405"/>
      <c r="CG211" s="83"/>
      <c r="CO211" s="405"/>
      <c r="CU211" s="83"/>
      <c r="DC211" s="405"/>
      <c r="DI211" s="83"/>
      <c r="DQ211" s="405"/>
      <c r="DW211" s="83"/>
      <c r="EE211" s="405"/>
      <c r="EK211" s="83"/>
      <c r="ES211" s="405"/>
      <c r="EY211" s="83"/>
      <c r="FG211" s="405"/>
      <c r="FM211" s="83"/>
      <c r="FU211" s="405"/>
      <c r="GA211" s="83"/>
      <c r="GI211" s="405"/>
      <c r="GO211" s="83"/>
      <c r="GW211" s="405"/>
      <c r="HC211" s="83"/>
      <c r="HK211" s="405"/>
      <c r="HQ211" s="83"/>
      <c r="HY211" s="405"/>
      <c r="IE211" s="83"/>
      <c r="IM211" s="405"/>
      <c r="IS211" s="83"/>
      <c r="JA211" s="405"/>
      <c r="JG211" s="83"/>
      <c r="JO211" s="405"/>
      <c r="JU211" s="83"/>
      <c r="KC211" s="405"/>
      <c r="KI211" s="83"/>
      <c r="KQ211" s="405"/>
      <c r="KW211" s="83"/>
      <c r="LE211" s="405"/>
      <c r="LK211" s="83"/>
      <c r="LS211" s="405"/>
      <c r="LY211" s="83"/>
      <c r="MG211" s="405"/>
      <c r="MM211" s="83"/>
      <c r="MU211" s="405"/>
      <c r="NA211" s="83"/>
    </row>
    <row r="212">
      <c r="A212" s="483"/>
      <c r="B212" s="380"/>
      <c r="C212" s="380"/>
      <c r="D212" s="380"/>
      <c r="E212" s="380"/>
      <c r="F212" s="380"/>
      <c r="G212" s="380"/>
      <c r="H212" s="380"/>
      <c r="I212" s="403"/>
      <c r="J212" s="380"/>
      <c r="K212" s="380"/>
      <c r="L212" s="380"/>
      <c r="M212" s="380"/>
      <c r="N212" s="380"/>
      <c r="O212" s="404"/>
      <c r="P212" s="380"/>
      <c r="Q212" s="380"/>
      <c r="R212" s="380"/>
      <c r="S212" s="380"/>
      <c r="T212" s="380"/>
      <c r="U212" s="380"/>
      <c r="V212" s="380"/>
      <c r="W212" s="403"/>
      <c r="X212" s="380"/>
      <c r="Y212" s="380"/>
      <c r="Z212" s="380"/>
      <c r="AA212" s="380"/>
      <c r="AB212" s="380"/>
      <c r="AC212" s="404"/>
      <c r="AD212" s="380"/>
      <c r="AE212" s="380"/>
      <c r="AF212" s="380"/>
      <c r="AG212" s="380"/>
      <c r="AH212" s="380"/>
      <c r="AI212" s="380"/>
      <c r="AJ212" s="380"/>
      <c r="AK212" s="403"/>
      <c r="AL212" s="380"/>
      <c r="AM212" s="380"/>
      <c r="AN212" s="380"/>
      <c r="AO212" s="380"/>
      <c r="AP212" s="380"/>
      <c r="AQ212" s="404"/>
      <c r="AR212" s="380"/>
      <c r="AS212" s="380"/>
      <c r="AT212" s="380"/>
      <c r="AU212" s="380"/>
      <c r="AV212" s="380"/>
      <c r="AW212" s="380"/>
      <c r="AX212" s="380"/>
      <c r="AY212" s="403"/>
      <c r="AZ212" s="380"/>
      <c r="BA212" s="380"/>
      <c r="BB212" s="380"/>
      <c r="BC212" s="380"/>
      <c r="BD212" s="380"/>
      <c r="BE212" s="404"/>
      <c r="BF212" s="380"/>
      <c r="BG212" s="380"/>
      <c r="BH212" s="380"/>
      <c r="BI212" s="380"/>
      <c r="BJ212" s="380"/>
      <c r="BK212" s="380"/>
      <c r="BL212" s="380"/>
      <c r="BM212" s="403"/>
      <c r="BS212" s="83"/>
      <c r="CA212" s="405"/>
      <c r="CG212" s="83"/>
      <c r="CO212" s="405"/>
      <c r="CU212" s="83"/>
      <c r="DC212" s="405"/>
      <c r="DI212" s="83"/>
      <c r="DQ212" s="405"/>
      <c r="DW212" s="83"/>
      <c r="EE212" s="405"/>
      <c r="EK212" s="83"/>
      <c r="ES212" s="405"/>
      <c r="EY212" s="83"/>
      <c r="FG212" s="405"/>
      <c r="FM212" s="83"/>
      <c r="FU212" s="405"/>
      <c r="GA212" s="83"/>
      <c r="GI212" s="405"/>
      <c r="GO212" s="83"/>
      <c r="GW212" s="405"/>
      <c r="HC212" s="83"/>
      <c r="HK212" s="405"/>
      <c r="HQ212" s="83"/>
      <c r="HY212" s="405"/>
      <c r="IE212" s="83"/>
      <c r="IM212" s="405"/>
      <c r="IS212" s="83"/>
      <c r="JA212" s="405"/>
      <c r="JG212" s="83"/>
      <c r="JO212" s="405"/>
      <c r="JU212" s="83"/>
      <c r="KC212" s="405"/>
      <c r="KI212" s="83"/>
      <c r="KQ212" s="405"/>
      <c r="KW212" s="83"/>
      <c r="LE212" s="405"/>
      <c r="LK212" s="83"/>
      <c r="LS212" s="405"/>
      <c r="LY212" s="83"/>
      <c r="MG212" s="405"/>
      <c r="MM212" s="83"/>
      <c r="MU212" s="405"/>
      <c r="NA212" s="83"/>
    </row>
    <row r="213">
      <c r="A213" s="483"/>
      <c r="B213" s="380"/>
      <c r="C213" s="380"/>
      <c r="D213" s="380"/>
      <c r="E213" s="380"/>
      <c r="F213" s="380"/>
      <c r="G213" s="380"/>
      <c r="H213" s="380"/>
      <c r="I213" s="403"/>
      <c r="J213" s="380"/>
      <c r="K213" s="380"/>
      <c r="L213" s="380"/>
      <c r="M213" s="380"/>
      <c r="N213" s="380"/>
      <c r="O213" s="404"/>
      <c r="P213" s="380"/>
      <c r="Q213" s="380"/>
      <c r="R213" s="380"/>
      <c r="S213" s="380"/>
      <c r="T213" s="380"/>
      <c r="U213" s="380"/>
      <c r="V213" s="380"/>
      <c r="W213" s="403"/>
      <c r="X213" s="380"/>
      <c r="Y213" s="380"/>
      <c r="Z213" s="380"/>
      <c r="AA213" s="380"/>
      <c r="AB213" s="380"/>
      <c r="AC213" s="404"/>
      <c r="AD213" s="380"/>
      <c r="AE213" s="380"/>
      <c r="AF213" s="380"/>
      <c r="AG213" s="380"/>
      <c r="AH213" s="380"/>
      <c r="AI213" s="380"/>
      <c r="AJ213" s="380"/>
      <c r="AK213" s="403"/>
      <c r="AL213" s="380"/>
      <c r="AM213" s="380"/>
      <c r="AN213" s="380"/>
      <c r="AO213" s="380"/>
      <c r="AP213" s="380"/>
      <c r="AQ213" s="404"/>
      <c r="AR213" s="380"/>
      <c r="AS213" s="380"/>
      <c r="AT213" s="380"/>
      <c r="AU213" s="380"/>
      <c r="AV213" s="380"/>
      <c r="AW213" s="380"/>
      <c r="AX213" s="380"/>
      <c r="AY213" s="403"/>
      <c r="AZ213" s="380"/>
      <c r="BA213" s="380"/>
      <c r="BB213" s="380"/>
      <c r="BC213" s="380"/>
      <c r="BD213" s="380"/>
      <c r="BE213" s="404"/>
      <c r="BF213" s="380"/>
      <c r="BG213" s="380"/>
      <c r="BH213" s="380"/>
      <c r="BI213" s="380"/>
      <c r="BJ213" s="380"/>
      <c r="BK213" s="380"/>
      <c r="BL213" s="380"/>
      <c r="BM213" s="403"/>
      <c r="BS213" s="83"/>
      <c r="CA213" s="405"/>
      <c r="CG213" s="83"/>
      <c r="CO213" s="405"/>
      <c r="CU213" s="83"/>
      <c r="DC213" s="405"/>
      <c r="DI213" s="83"/>
      <c r="DQ213" s="405"/>
      <c r="DW213" s="83"/>
      <c r="EE213" s="405"/>
      <c r="EK213" s="83"/>
      <c r="ES213" s="405"/>
      <c r="EY213" s="83"/>
      <c r="FG213" s="405"/>
      <c r="FM213" s="83"/>
      <c r="FU213" s="405"/>
      <c r="GA213" s="83"/>
      <c r="GI213" s="405"/>
      <c r="GO213" s="83"/>
      <c r="GW213" s="405"/>
      <c r="HC213" s="83"/>
      <c r="HK213" s="405"/>
      <c r="HQ213" s="83"/>
      <c r="HY213" s="405"/>
      <c r="IE213" s="83"/>
      <c r="IM213" s="405"/>
      <c r="IS213" s="83"/>
      <c r="JA213" s="405"/>
      <c r="JG213" s="83"/>
      <c r="JO213" s="405"/>
      <c r="JU213" s="83"/>
      <c r="KC213" s="405"/>
      <c r="KI213" s="83"/>
      <c r="KQ213" s="405"/>
      <c r="KW213" s="83"/>
      <c r="LE213" s="405"/>
      <c r="LK213" s="83"/>
      <c r="LS213" s="405"/>
      <c r="LY213" s="83"/>
      <c r="MG213" s="405"/>
      <c r="MM213" s="83"/>
      <c r="MU213" s="405"/>
      <c r="NA213" s="83"/>
    </row>
    <row r="214">
      <c r="A214" s="483"/>
      <c r="B214" s="380"/>
      <c r="C214" s="380"/>
      <c r="D214" s="380"/>
      <c r="E214" s="380"/>
      <c r="F214" s="380"/>
      <c r="G214" s="380"/>
      <c r="H214" s="380"/>
      <c r="I214" s="403"/>
      <c r="J214" s="380"/>
      <c r="K214" s="380"/>
      <c r="L214" s="380"/>
      <c r="M214" s="380"/>
      <c r="N214" s="380"/>
      <c r="O214" s="404"/>
      <c r="P214" s="380"/>
      <c r="Q214" s="380"/>
      <c r="R214" s="380"/>
      <c r="S214" s="380"/>
      <c r="T214" s="380"/>
      <c r="U214" s="380"/>
      <c r="V214" s="380"/>
      <c r="W214" s="403"/>
      <c r="X214" s="380"/>
      <c r="Y214" s="380"/>
      <c r="Z214" s="380"/>
      <c r="AA214" s="380"/>
      <c r="AB214" s="380"/>
      <c r="AC214" s="404"/>
      <c r="AD214" s="380"/>
      <c r="AE214" s="380"/>
      <c r="AF214" s="380"/>
      <c r="AG214" s="380"/>
      <c r="AH214" s="380"/>
      <c r="AI214" s="380"/>
      <c r="AJ214" s="380"/>
      <c r="AK214" s="403"/>
      <c r="AL214" s="380"/>
      <c r="AM214" s="380"/>
      <c r="AN214" s="380"/>
      <c r="AO214" s="380"/>
      <c r="AP214" s="380"/>
      <c r="AQ214" s="404"/>
      <c r="AR214" s="380"/>
      <c r="AS214" s="380"/>
      <c r="AT214" s="380"/>
      <c r="AU214" s="380"/>
      <c r="AV214" s="380"/>
      <c r="AW214" s="380"/>
      <c r="AX214" s="380"/>
      <c r="AY214" s="403"/>
      <c r="AZ214" s="380"/>
      <c r="BA214" s="380"/>
      <c r="BB214" s="380"/>
      <c r="BC214" s="380"/>
      <c r="BD214" s="380"/>
      <c r="BE214" s="404"/>
      <c r="BF214" s="380"/>
      <c r="BG214" s="380"/>
      <c r="BH214" s="380"/>
      <c r="BI214" s="380"/>
      <c r="BJ214" s="380"/>
      <c r="BK214" s="380"/>
      <c r="BL214" s="380"/>
      <c r="BM214" s="403"/>
      <c r="BS214" s="83"/>
      <c r="CA214" s="405"/>
      <c r="CG214" s="83"/>
      <c r="CO214" s="405"/>
      <c r="CU214" s="83"/>
      <c r="DC214" s="405"/>
      <c r="DI214" s="83"/>
      <c r="DQ214" s="405"/>
      <c r="DW214" s="83"/>
      <c r="EE214" s="405"/>
      <c r="EK214" s="83"/>
      <c r="ES214" s="405"/>
      <c r="EY214" s="83"/>
      <c r="FG214" s="405"/>
      <c r="FM214" s="83"/>
      <c r="FU214" s="405"/>
      <c r="GA214" s="83"/>
      <c r="GI214" s="405"/>
      <c r="GO214" s="83"/>
      <c r="GW214" s="405"/>
      <c r="HC214" s="83"/>
      <c r="HK214" s="405"/>
      <c r="HQ214" s="83"/>
      <c r="HY214" s="405"/>
      <c r="IE214" s="83"/>
      <c r="IM214" s="405"/>
      <c r="IS214" s="83"/>
      <c r="JA214" s="405"/>
      <c r="JG214" s="83"/>
      <c r="JO214" s="405"/>
      <c r="JU214" s="83"/>
      <c r="KC214" s="405"/>
      <c r="KI214" s="83"/>
      <c r="KQ214" s="405"/>
      <c r="KW214" s="83"/>
      <c r="LE214" s="405"/>
      <c r="LK214" s="83"/>
      <c r="LS214" s="405"/>
      <c r="LY214" s="83"/>
      <c r="MG214" s="405"/>
      <c r="MM214" s="83"/>
      <c r="MU214" s="405"/>
      <c r="NA214" s="83"/>
    </row>
    <row r="215">
      <c r="A215" s="483"/>
      <c r="B215" s="380"/>
      <c r="C215" s="380"/>
      <c r="D215" s="380"/>
      <c r="E215" s="380"/>
      <c r="F215" s="380"/>
      <c r="G215" s="380"/>
      <c r="H215" s="380"/>
      <c r="I215" s="403"/>
      <c r="J215" s="380"/>
      <c r="K215" s="380"/>
      <c r="L215" s="380"/>
      <c r="M215" s="380"/>
      <c r="N215" s="380"/>
      <c r="O215" s="404"/>
      <c r="P215" s="380"/>
      <c r="Q215" s="380"/>
      <c r="R215" s="380"/>
      <c r="S215" s="380"/>
      <c r="T215" s="380"/>
      <c r="U215" s="380"/>
      <c r="V215" s="380"/>
      <c r="W215" s="403"/>
      <c r="X215" s="380"/>
      <c r="Y215" s="380"/>
      <c r="Z215" s="380"/>
      <c r="AA215" s="380"/>
      <c r="AB215" s="380"/>
      <c r="AC215" s="404"/>
      <c r="AD215" s="380"/>
      <c r="AE215" s="380"/>
      <c r="AF215" s="380"/>
      <c r="AG215" s="380"/>
      <c r="AH215" s="380"/>
      <c r="AI215" s="380"/>
      <c r="AJ215" s="380"/>
      <c r="AK215" s="403"/>
      <c r="AL215" s="380"/>
      <c r="AM215" s="380"/>
      <c r="AN215" s="380"/>
      <c r="AO215" s="380"/>
      <c r="AP215" s="380"/>
      <c r="AQ215" s="404"/>
      <c r="AR215" s="380"/>
      <c r="AS215" s="380"/>
      <c r="AT215" s="380"/>
      <c r="AU215" s="380"/>
      <c r="AV215" s="380"/>
      <c r="AW215" s="380"/>
      <c r="AX215" s="380"/>
      <c r="AY215" s="403"/>
      <c r="AZ215" s="380"/>
      <c r="BA215" s="380"/>
      <c r="BB215" s="380"/>
      <c r="BC215" s="380"/>
      <c r="BD215" s="380"/>
      <c r="BE215" s="404"/>
      <c r="BF215" s="380"/>
      <c r="BG215" s="380"/>
      <c r="BH215" s="380"/>
      <c r="BI215" s="380"/>
      <c r="BJ215" s="380"/>
      <c r="BK215" s="380"/>
      <c r="BL215" s="380"/>
      <c r="BM215" s="403"/>
      <c r="BS215" s="83"/>
      <c r="CA215" s="405"/>
      <c r="CG215" s="83"/>
      <c r="CO215" s="405"/>
      <c r="CU215" s="83"/>
      <c r="DC215" s="405"/>
      <c r="DI215" s="83"/>
      <c r="DQ215" s="405"/>
      <c r="DW215" s="83"/>
      <c r="EE215" s="405"/>
      <c r="EK215" s="83"/>
      <c r="ES215" s="405"/>
      <c r="EY215" s="83"/>
      <c r="FG215" s="405"/>
      <c r="FM215" s="83"/>
      <c r="FU215" s="405"/>
      <c r="GA215" s="83"/>
      <c r="GI215" s="405"/>
      <c r="GO215" s="83"/>
      <c r="GW215" s="405"/>
      <c r="HC215" s="83"/>
      <c r="HK215" s="405"/>
      <c r="HQ215" s="83"/>
      <c r="HY215" s="405"/>
      <c r="IE215" s="83"/>
      <c r="IM215" s="405"/>
      <c r="IS215" s="83"/>
      <c r="JA215" s="405"/>
      <c r="JG215" s="83"/>
      <c r="JO215" s="405"/>
      <c r="JU215" s="83"/>
      <c r="KC215" s="405"/>
      <c r="KI215" s="83"/>
      <c r="KQ215" s="405"/>
      <c r="KW215" s="83"/>
      <c r="LE215" s="405"/>
      <c r="LK215" s="83"/>
      <c r="LS215" s="405"/>
      <c r="LY215" s="83"/>
      <c r="MG215" s="405"/>
      <c r="MM215" s="83"/>
      <c r="MU215" s="405"/>
      <c r="NA215" s="83"/>
    </row>
    <row r="216">
      <c r="A216" s="483"/>
      <c r="B216" s="380"/>
      <c r="C216" s="380"/>
      <c r="D216" s="380"/>
      <c r="E216" s="380"/>
      <c r="F216" s="380"/>
      <c r="G216" s="380"/>
      <c r="H216" s="380"/>
      <c r="I216" s="403"/>
      <c r="J216" s="380"/>
      <c r="K216" s="380"/>
      <c r="L216" s="380"/>
      <c r="M216" s="380"/>
      <c r="N216" s="380"/>
      <c r="O216" s="404"/>
      <c r="P216" s="380"/>
      <c r="Q216" s="380"/>
      <c r="R216" s="380"/>
      <c r="S216" s="380"/>
      <c r="T216" s="380"/>
      <c r="U216" s="380"/>
      <c r="V216" s="380"/>
      <c r="W216" s="403"/>
      <c r="X216" s="380"/>
      <c r="Y216" s="380"/>
      <c r="Z216" s="380"/>
      <c r="AA216" s="380"/>
      <c r="AB216" s="380"/>
      <c r="AC216" s="404"/>
      <c r="AD216" s="380"/>
      <c r="AE216" s="380"/>
      <c r="AF216" s="380"/>
      <c r="AG216" s="380"/>
      <c r="AH216" s="380"/>
      <c r="AI216" s="380"/>
      <c r="AJ216" s="380"/>
      <c r="AK216" s="403"/>
      <c r="AL216" s="380"/>
      <c r="AM216" s="380"/>
      <c r="AN216" s="380"/>
      <c r="AO216" s="380"/>
      <c r="AP216" s="380"/>
      <c r="AQ216" s="404"/>
      <c r="AR216" s="380"/>
      <c r="AS216" s="380"/>
      <c r="AT216" s="380"/>
      <c r="AU216" s="380"/>
      <c r="AV216" s="380"/>
      <c r="AW216" s="380"/>
      <c r="AX216" s="380"/>
      <c r="AY216" s="403"/>
      <c r="AZ216" s="380"/>
      <c r="BA216" s="380"/>
      <c r="BB216" s="380"/>
      <c r="BC216" s="380"/>
      <c r="BD216" s="380"/>
      <c r="BE216" s="404"/>
      <c r="BF216" s="380"/>
      <c r="BG216" s="380"/>
      <c r="BH216" s="380"/>
      <c r="BI216" s="380"/>
      <c r="BJ216" s="380"/>
      <c r="BK216" s="380"/>
      <c r="BL216" s="380"/>
      <c r="BM216" s="403"/>
      <c r="BS216" s="83"/>
      <c r="CA216" s="405"/>
      <c r="CG216" s="83"/>
      <c r="CO216" s="405"/>
      <c r="CU216" s="83"/>
      <c r="DC216" s="405"/>
      <c r="DI216" s="83"/>
      <c r="DQ216" s="405"/>
      <c r="DW216" s="83"/>
      <c r="EE216" s="405"/>
      <c r="EK216" s="83"/>
      <c r="ES216" s="405"/>
      <c r="EY216" s="83"/>
      <c r="FG216" s="405"/>
      <c r="FM216" s="83"/>
      <c r="FU216" s="405"/>
      <c r="GA216" s="83"/>
      <c r="GI216" s="405"/>
      <c r="GO216" s="83"/>
      <c r="GW216" s="405"/>
      <c r="HC216" s="83"/>
      <c r="HK216" s="405"/>
      <c r="HQ216" s="83"/>
      <c r="HY216" s="405"/>
      <c r="IE216" s="83"/>
      <c r="IM216" s="405"/>
      <c r="IS216" s="83"/>
      <c r="JA216" s="405"/>
      <c r="JG216" s="83"/>
      <c r="JO216" s="405"/>
      <c r="JU216" s="83"/>
      <c r="KC216" s="405"/>
      <c r="KI216" s="83"/>
      <c r="KQ216" s="405"/>
      <c r="KW216" s="83"/>
      <c r="LE216" s="405"/>
      <c r="LK216" s="83"/>
      <c r="LS216" s="405"/>
      <c r="LY216" s="83"/>
      <c r="MG216" s="405"/>
      <c r="MM216" s="83"/>
      <c r="MU216" s="405"/>
      <c r="NA216" s="83"/>
    </row>
    <row r="217">
      <c r="A217" s="483"/>
      <c r="B217" s="380"/>
      <c r="C217" s="380"/>
      <c r="D217" s="380"/>
      <c r="E217" s="380"/>
      <c r="F217" s="380"/>
      <c r="G217" s="380"/>
      <c r="H217" s="380"/>
      <c r="I217" s="403"/>
      <c r="J217" s="380"/>
      <c r="K217" s="380"/>
      <c r="L217" s="380"/>
      <c r="M217" s="380"/>
      <c r="N217" s="380"/>
      <c r="O217" s="404"/>
      <c r="P217" s="380"/>
      <c r="Q217" s="380"/>
      <c r="R217" s="380"/>
      <c r="S217" s="380"/>
      <c r="T217" s="380"/>
      <c r="U217" s="380"/>
      <c r="V217" s="380"/>
      <c r="W217" s="403"/>
      <c r="X217" s="380"/>
      <c r="Y217" s="380"/>
      <c r="Z217" s="380"/>
      <c r="AA217" s="380"/>
      <c r="AB217" s="380"/>
      <c r="AC217" s="404"/>
      <c r="AD217" s="380"/>
      <c r="AE217" s="380"/>
      <c r="AF217" s="380"/>
      <c r="AG217" s="380"/>
      <c r="AH217" s="380"/>
      <c r="AI217" s="380"/>
      <c r="AJ217" s="380"/>
      <c r="AK217" s="403"/>
      <c r="AL217" s="380"/>
      <c r="AM217" s="380"/>
      <c r="AN217" s="380"/>
      <c r="AO217" s="380"/>
      <c r="AP217" s="380"/>
      <c r="AQ217" s="404"/>
      <c r="AR217" s="380"/>
      <c r="AS217" s="380"/>
      <c r="AT217" s="380"/>
      <c r="AU217" s="380"/>
      <c r="AV217" s="380"/>
      <c r="AW217" s="380"/>
      <c r="AX217" s="380"/>
      <c r="AY217" s="403"/>
      <c r="AZ217" s="380"/>
      <c r="BA217" s="380"/>
      <c r="BB217" s="380"/>
      <c r="BC217" s="380"/>
      <c r="BD217" s="380"/>
      <c r="BE217" s="404"/>
      <c r="BF217" s="380"/>
      <c r="BG217" s="380"/>
      <c r="BH217" s="380"/>
      <c r="BI217" s="380"/>
      <c r="BJ217" s="380"/>
      <c r="BK217" s="380"/>
      <c r="BL217" s="380"/>
      <c r="BM217" s="403"/>
      <c r="BS217" s="83"/>
      <c r="CA217" s="405"/>
      <c r="CG217" s="83"/>
      <c r="CO217" s="405"/>
      <c r="CU217" s="83"/>
      <c r="DC217" s="405"/>
      <c r="DI217" s="83"/>
      <c r="DQ217" s="405"/>
      <c r="DW217" s="83"/>
      <c r="EE217" s="405"/>
      <c r="EK217" s="83"/>
      <c r="ES217" s="405"/>
      <c r="EY217" s="83"/>
      <c r="FG217" s="405"/>
      <c r="FM217" s="83"/>
      <c r="FU217" s="405"/>
      <c r="GA217" s="83"/>
      <c r="GI217" s="405"/>
      <c r="GO217" s="83"/>
      <c r="GW217" s="405"/>
      <c r="HC217" s="83"/>
      <c r="HK217" s="405"/>
      <c r="HQ217" s="83"/>
      <c r="HY217" s="405"/>
      <c r="IE217" s="83"/>
      <c r="IM217" s="405"/>
      <c r="IS217" s="83"/>
      <c r="JA217" s="405"/>
      <c r="JG217" s="83"/>
      <c r="JO217" s="405"/>
      <c r="JU217" s="83"/>
      <c r="KC217" s="405"/>
      <c r="KI217" s="83"/>
      <c r="KQ217" s="405"/>
      <c r="KW217" s="83"/>
      <c r="LE217" s="405"/>
      <c r="LK217" s="83"/>
      <c r="LS217" s="405"/>
      <c r="LY217" s="83"/>
      <c r="MG217" s="405"/>
      <c r="MM217" s="83"/>
      <c r="MU217" s="405"/>
      <c r="NA217" s="83"/>
    </row>
    <row r="218">
      <c r="A218" s="483"/>
      <c r="B218" s="380"/>
      <c r="C218" s="380"/>
      <c r="D218" s="380"/>
      <c r="E218" s="380"/>
      <c r="F218" s="380"/>
      <c r="G218" s="380"/>
      <c r="H218" s="380"/>
      <c r="I218" s="403"/>
      <c r="J218" s="380"/>
      <c r="K218" s="380"/>
      <c r="L218" s="380"/>
      <c r="M218" s="380"/>
      <c r="N218" s="380"/>
      <c r="O218" s="404"/>
      <c r="P218" s="380"/>
      <c r="Q218" s="380"/>
      <c r="R218" s="380"/>
      <c r="S218" s="380"/>
      <c r="T218" s="380"/>
      <c r="U218" s="380"/>
      <c r="V218" s="380"/>
      <c r="W218" s="403"/>
      <c r="X218" s="380"/>
      <c r="Y218" s="380"/>
      <c r="Z218" s="380"/>
      <c r="AA218" s="380"/>
      <c r="AB218" s="380"/>
      <c r="AC218" s="404"/>
      <c r="AD218" s="380"/>
      <c r="AE218" s="380"/>
      <c r="AF218" s="380"/>
      <c r="AG218" s="380"/>
      <c r="AH218" s="380"/>
      <c r="AI218" s="380"/>
      <c r="AJ218" s="380"/>
      <c r="AK218" s="403"/>
      <c r="AL218" s="380"/>
      <c r="AM218" s="380"/>
      <c r="AN218" s="380"/>
      <c r="AO218" s="380"/>
      <c r="AP218" s="380"/>
      <c r="AQ218" s="404"/>
      <c r="AR218" s="380"/>
      <c r="AS218" s="380"/>
      <c r="AT218" s="380"/>
      <c r="AU218" s="380"/>
      <c r="AV218" s="380"/>
      <c r="AW218" s="380"/>
      <c r="AX218" s="380"/>
      <c r="AY218" s="403"/>
      <c r="AZ218" s="380"/>
      <c r="BA218" s="380"/>
      <c r="BB218" s="380"/>
      <c r="BC218" s="380"/>
      <c r="BD218" s="380"/>
      <c r="BE218" s="404"/>
      <c r="BF218" s="380"/>
      <c r="BG218" s="380"/>
      <c r="BH218" s="380"/>
      <c r="BI218" s="380"/>
      <c r="BJ218" s="380"/>
      <c r="BK218" s="380"/>
      <c r="BL218" s="380"/>
      <c r="BM218" s="403"/>
      <c r="BS218" s="83"/>
      <c r="CA218" s="405"/>
      <c r="CG218" s="83"/>
      <c r="CO218" s="405"/>
      <c r="CU218" s="83"/>
      <c r="DC218" s="405"/>
      <c r="DI218" s="83"/>
      <c r="DQ218" s="405"/>
      <c r="DW218" s="83"/>
      <c r="EE218" s="405"/>
      <c r="EK218" s="83"/>
      <c r="ES218" s="405"/>
      <c r="EY218" s="83"/>
      <c r="FG218" s="405"/>
      <c r="FM218" s="83"/>
      <c r="FU218" s="405"/>
      <c r="GA218" s="83"/>
      <c r="GI218" s="405"/>
      <c r="GO218" s="83"/>
      <c r="GW218" s="405"/>
      <c r="HC218" s="83"/>
      <c r="HK218" s="405"/>
      <c r="HQ218" s="83"/>
      <c r="HY218" s="405"/>
      <c r="IE218" s="83"/>
      <c r="IM218" s="405"/>
      <c r="IS218" s="83"/>
      <c r="JA218" s="405"/>
      <c r="JG218" s="83"/>
      <c r="JO218" s="405"/>
      <c r="JU218" s="83"/>
      <c r="KC218" s="405"/>
      <c r="KI218" s="83"/>
      <c r="KQ218" s="405"/>
      <c r="KW218" s="83"/>
      <c r="LE218" s="405"/>
      <c r="LK218" s="83"/>
      <c r="LS218" s="405"/>
      <c r="LY218" s="83"/>
      <c r="MG218" s="405"/>
      <c r="MM218" s="83"/>
      <c r="MU218" s="405"/>
      <c r="NA218" s="83"/>
    </row>
    <row r="219">
      <c r="A219" s="483"/>
      <c r="B219" s="380"/>
      <c r="C219" s="380"/>
      <c r="D219" s="380"/>
      <c r="E219" s="380"/>
      <c r="F219" s="380"/>
      <c r="G219" s="380"/>
      <c r="H219" s="380"/>
      <c r="I219" s="403"/>
      <c r="J219" s="380"/>
      <c r="K219" s="380"/>
      <c r="L219" s="380"/>
      <c r="M219" s="380"/>
      <c r="N219" s="380"/>
      <c r="O219" s="404"/>
      <c r="P219" s="380"/>
      <c r="Q219" s="380"/>
      <c r="R219" s="380"/>
      <c r="S219" s="380"/>
      <c r="T219" s="380"/>
      <c r="U219" s="380"/>
      <c r="V219" s="380"/>
      <c r="W219" s="403"/>
      <c r="X219" s="380"/>
      <c r="Y219" s="380"/>
      <c r="Z219" s="380"/>
      <c r="AA219" s="380"/>
      <c r="AB219" s="380"/>
      <c r="AC219" s="404"/>
      <c r="AD219" s="380"/>
      <c r="AE219" s="380"/>
      <c r="AF219" s="380"/>
      <c r="AG219" s="380"/>
      <c r="AH219" s="380"/>
      <c r="AI219" s="380"/>
      <c r="AJ219" s="380"/>
      <c r="AK219" s="403"/>
      <c r="AL219" s="380"/>
      <c r="AM219" s="380"/>
      <c r="AN219" s="380"/>
      <c r="AO219" s="380"/>
      <c r="AP219" s="380"/>
      <c r="AQ219" s="404"/>
      <c r="AR219" s="380"/>
      <c r="AS219" s="380"/>
      <c r="AT219" s="380"/>
      <c r="AU219" s="380"/>
      <c r="AV219" s="380"/>
      <c r="AW219" s="380"/>
      <c r="AX219" s="380"/>
      <c r="AY219" s="403"/>
      <c r="AZ219" s="380"/>
      <c r="BA219" s="380"/>
      <c r="BB219" s="380"/>
      <c r="BC219" s="380"/>
      <c r="BD219" s="380"/>
      <c r="BE219" s="404"/>
      <c r="BF219" s="380"/>
      <c r="BG219" s="380"/>
      <c r="BH219" s="380"/>
      <c r="BI219" s="380"/>
      <c r="BJ219" s="380"/>
      <c r="BK219" s="380"/>
      <c r="BL219" s="380"/>
      <c r="BM219" s="403"/>
      <c r="BS219" s="83"/>
      <c r="CA219" s="405"/>
      <c r="CG219" s="83"/>
      <c r="CO219" s="405"/>
      <c r="CU219" s="83"/>
      <c r="DC219" s="405"/>
      <c r="DI219" s="83"/>
      <c r="DQ219" s="405"/>
      <c r="DW219" s="83"/>
      <c r="EE219" s="405"/>
      <c r="EK219" s="83"/>
      <c r="ES219" s="405"/>
      <c r="EY219" s="83"/>
      <c r="FG219" s="405"/>
      <c r="FM219" s="83"/>
      <c r="FU219" s="405"/>
      <c r="GA219" s="83"/>
      <c r="GI219" s="405"/>
      <c r="GO219" s="83"/>
      <c r="GW219" s="405"/>
      <c r="HC219" s="83"/>
      <c r="HK219" s="405"/>
      <c r="HQ219" s="83"/>
      <c r="HY219" s="405"/>
      <c r="IE219" s="83"/>
      <c r="IM219" s="405"/>
      <c r="IS219" s="83"/>
      <c r="JA219" s="405"/>
      <c r="JG219" s="83"/>
      <c r="JO219" s="405"/>
      <c r="JU219" s="83"/>
      <c r="KC219" s="405"/>
      <c r="KI219" s="83"/>
      <c r="KQ219" s="405"/>
      <c r="KW219" s="83"/>
      <c r="LE219" s="405"/>
      <c r="LK219" s="83"/>
      <c r="LS219" s="405"/>
      <c r="LY219" s="83"/>
      <c r="MG219" s="405"/>
      <c r="MM219" s="83"/>
      <c r="MU219" s="405"/>
      <c r="NA219" s="83"/>
    </row>
    <row r="220">
      <c r="A220" s="483"/>
      <c r="B220" s="380"/>
      <c r="C220" s="380"/>
      <c r="D220" s="380"/>
      <c r="E220" s="380"/>
      <c r="F220" s="380"/>
      <c r="G220" s="380"/>
      <c r="H220" s="380"/>
      <c r="I220" s="403"/>
      <c r="J220" s="380"/>
      <c r="K220" s="380"/>
      <c r="L220" s="380"/>
      <c r="M220" s="380"/>
      <c r="N220" s="380"/>
      <c r="O220" s="404"/>
      <c r="P220" s="380"/>
      <c r="Q220" s="380"/>
      <c r="R220" s="380"/>
      <c r="S220" s="380"/>
      <c r="T220" s="380"/>
      <c r="U220" s="380"/>
      <c r="V220" s="380"/>
      <c r="W220" s="403"/>
      <c r="X220" s="380"/>
      <c r="Y220" s="380"/>
      <c r="Z220" s="380"/>
      <c r="AA220" s="380"/>
      <c r="AB220" s="380"/>
      <c r="AC220" s="404"/>
      <c r="AD220" s="380"/>
      <c r="AE220" s="380"/>
      <c r="AF220" s="380"/>
      <c r="AG220" s="380"/>
      <c r="AH220" s="380"/>
      <c r="AI220" s="380"/>
      <c r="AJ220" s="380"/>
      <c r="AK220" s="403"/>
      <c r="AL220" s="380"/>
      <c r="AM220" s="380"/>
      <c r="AN220" s="380"/>
      <c r="AO220" s="380"/>
      <c r="AP220" s="380"/>
      <c r="AQ220" s="404"/>
      <c r="AR220" s="380"/>
      <c r="AS220" s="380"/>
      <c r="AT220" s="380"/>
      <c r="AU220" s="380"/>
      <c r="AV220" s="380"/>
      <c r="AW220" s="380"/>
      <c r="AX220" s="380"/>
      <c r="AY220" s="403"/>
      <c r="AZ220" s="380"/>
      <c r="BA220" s="380"/>
      <c r="BB220" s="380"/>
      <c r="BC220" s="380"/>
      <c r="BD220" s="380"/>
      <c r="BE220" s="404"/>
      <c r="BF220" s="380"/>
      <c r="BG220" s="380"/>
      <c r="BH220" s="380"/>
      <c r="BI220" s="380"/>
      <c r="BJ220" s="380"/>
      <c r="BK220" s="380"/>
      <c r="BL220" s="380"/>
      <c r="BM220" s="403"/>
      <c r="BS220" s="83"/>
      <c r="CA220" s="405"/>
      <c r="CG220" s="83"/>
      <c r="CO220" s="405"/>
      <c r="CU220" s="83"/>
      <c r="DC220" s="405"/>
      <c r="DI220" s="83"/>
      <c r="DQ220" s="405"/>
      <c r="DW220" s="83"/>
      <c r="EE220" s="405"/>
      <c r="EK220" s="83"/>
      <c r="ES220" s="405"/>
      <c r="EY220" s="83"/>
      <c r="FG220" s="405"/>
      <c r="FM220" s="83"/>
      <c r="FU220" s="405"/>
      <c r="GA220" s="83"/>
      <c r="GI220" s="405"/>
      <c r="GO220" s="83"/>
      <c r="GW220" s="405"/>
      <c r="HC220" s="83"/>
      <c r="HK220" s="405"/>
      <c r="HQ220" s="83"/>
      <c r="HY220" s="405"/>
      <c r="IE220" s="83"/>
      <c r="IM220" s="405"/>
      <c r="IS220" s="83"/>
      <c r="JA220" s="405"/>
      <c r="JG220" s="83"/>
      <c r="JO220" s="405"/>
      <c r="JU220" s="83"/>
      <c r="KC220" s="405"/>
      <c r="KI220" s="83"/>
      <c r="KQ220" s="405"/>
      <c r="KW220" s="83"/>
      <c r="LE220" s="405"/>
      <c r="LK220" s="83"/>
      <c r="LS220" s="405"/>
      <c r="LY220" s="83"/>
      <c r="MG220" s="405"/>
      <c r="MM220" s="83"/>
      <c r="MU220" s="405"/>
      <c r="NA220" s="83"/>
    </row>
    <row r="221">
      <c r="A221" s="483"/>
      <c r="B221" s="380"/>
      <c r="C221" s="380"/>
      <c r="D221" s="380"/>
      <c r="E221" s="380"/>
      <c r="F221" s="380"/>
      <c r="G221" s="380"/>
      <c r="H221" s="380"/>
      <c r="I221" s="403"/>
      <c r="J221" s="380"/>
      <c r="K221" s="380"/>
      <c r="L221" s="380"/>
      <c r="M221" s="380"/>
      <c r="N221" s="380"/>
      <c r="O221" s="404"/>
      <c r="P221" s="380"/>
      <c r="Q221" s="380"/>
      <c r="R221" s="380"/>
      <c r="S221" s="380"/>
      <c r="T221" s="380"/>
      <c r="U221" s="380"/>
      <c r="V221" s="380"/>
      <c r="W221" s="403"/>
      <c r="X221" s="380"/>
      <c r="Y221" s="380"/>
      <c r="Z221" s="380"/>
      <c r="AA221" s="380"/>
      <c r="AB221" s="380"/>
      <c r="AC221" s="404"/>
      <c r="AD221" s="380"/>
      <c r="AE221" s="380"/>
      <c r="AF221" s="380"/>
      <c r="AG221" s="380"/>
      <c r="AH221" s="380"/>
      <c r="AI221" s="380"/>
      <c r="AJ221" s="380"/>
      <c r="AK221" s="403"/>
      <c r="AL221" s="380"/>
      <c r="AM221" s="380"/>
      <c r="AN221" s="380"/>
      <c r="AO221" s="380"/>
      <c r="AP221" s="380"/>
      <c r="AQ221" s="404"/>
      <c r="AR221" s="380"/>
      <c r="AS221" s="380"/>
      <c r="AT221" s="380"/>
      <c r="AU221" s="380"/>
      <c r="AV221" s="380"/>
      <c r="AW221" s="380"/>
      <c r="AX221" s="380"/>
      <c r="AY221" s="403"/>
      <c r="AZ221" s="380"/>
      <c r="BA221" s="380"/>
      <c r="BB221" s="380"/>
      <c r="BC221" s="380"/>
      <c r="BD221" s="380"/>
      <c r="BE221" s="404"/>
      <c r="BF221" s="380"/>
      <c r="BG221" s="380"/>
      <c r="BH221" s="380"/>
      <c r="BI221" s="380"/>
      <c r="BJ221" s="380"/>
      <c r="BK221" s="380"/>
      <c r="BL221" s="380"/>
      <c r="BM221" s="403"/>
      <c r="BS221" s="83"/>
      <c r="CA221" s="405"/>
      <c r="CG221" s="83"/>
      <c r="CO221" s="405"/>
      <c r="CU221" s="83"/>
      <c r="DC221" s="405"/>
      <c r="DI221" s="83"/>
      <c r="DQ221" s="405"/>
      <c r="DW221" s="83"/>
      <c r="EE221" s="405"/>
      <c r="EK221" s="83"/>
      <c r="ES221" s="405"/>
      <c r="EY221" s="83"/>
      <c r="FG221" s="405"/>
      <c r="FM221" s="83"/>
      <c r="FU221" s="405"/>
      <c r="GA221" s="83"/>
      <c r="GI221" s="405"/>
      <c r="GO221" s="83"/>
      <c r="GW221" s="405"/>
      <c r="HC221" s="83"/>
      <c r="HK221" s="405"/>
      <c r="HQ221" s="83"/>
      <c r="HY221" s="405"/>
      <c r="IE221" s="83"/>
      <c r="IM221" s="405"/>
      <c r="IS221" s="83"/>
      <c r="JA221" s="405"/>
      <c r="JG221" s="83"/>
      <c r="JO221" s="405"/>
      <c r="JU221" s="83"/>
      <c r="KC221" s="405"/>
      <c r="KI221" s="83"/>
      <c r="KQ221" s="405"/>
      <c r="KW221" s="83"/>
      <c r="LE221" s="405"/>
      <c r="LK221" s="83"/>
      <c r="LS221" s="405"/>
      <c r="LY221" s="83"/>
      <c r="MG221" s="405"/>
      <c r="MM221" s="83"/>
      <c r="MU221" s="405"/>
      <c r="NA221" s="83"/>
    </row>
    <row r="222">
      <c r="A222" s="483"/>
      <c r="B222" s="380"/>
      <c r="C222" s="380"/>
      <c r="D222" s="380"/>
      <c r="E222" s="380"/>
      <c r="F222" s="380"/>
      <c r="G222" s="380"/>
      <c r="H222" s="380"/>
      <c r="I222" s="403"/>
      <c r="J222" s="380"/>
      <c r="K222" s="380"/>
      <c r="L222" s="380"/>
      <c r="M222" s="380"/>
      <c r="N222" s="380"/>
      <c r="O222" s="404"/>
      <c r="P222" s="380"/>
      <c r="Q222" s="380"/>
      <c r="R222" s="380"/>
      <c r="S222" s="380"/>
      <c r="T222" s="380"/>
      <c r="U222" s="380"/>
      <c r="V222" s="380"/>
      <c r="W222" s="403"/>
      <c r="X222" s="380"/>
      <c r="Y222" s="380"/>
      <c r="Z222" s="380"/>
      <c r="AA222" s="380"/>
      <c r="AB222" s="380"/>
      <c r="AC222" s="404"/>
      <c r="AD222" s="380"/>
      <c r="AE222" s="380"/>
      <c r="AF222" s="380"/>
      <c r="AG222" s="380"/>
      <c r="AH222" s="380"/>
      <c r="AI222" s="380"/>
      <c r="AJ222" s="380"/>
      <c r="AK222" s="403"/>
      <c r="AL222" s="380"/>
      <c r="AM222" s="380"/>
      <c r="AN222" s="380"/>
      <c r="AO222" s="380"/>
      <c r="AP222" s="380"/>
      <c r="AQ222" s="404"/>
      <c r="AR222" s="380"/>
      <c r="AS222" s="380"/>
      <c r="AT222" s="380"/>
      <c r="AU222" s="380"/>
      <c r="AV222" s="380"/>
      <c r="AW222" s="380"/>
      <c r="AX222" s="380"/>
      <c r="AY222" s="403"/>
      <c r="AZ222" s="380"/>
      <c r="BA222" s="380"/>
      <c r="BB222" s="380"/>
      <c r="BC222" s="380"/>
      <c r="BD222" s="380"/>
      <c r="BE222" s="404"/>
      <c r="BF222" s="380"/>
      <c r="BG222" s="380"/>
      <c r="BH222" s="380"/>
      <c r="BI222" s="380"/>
      <c r="BJ222" s="380"/>
      <c r="BK222" s="380"/>
      <c r="BL222" s="380"/>
      <c r="BM222" s="403"/>
      <c r="BS222" s="83"/>
      <c r="CA222" s="405"/>
      <c r="CG222" s="83"/>
      <c r="CO222" s="405"/>
      <c r="CU222" s="83"/>
      <c r="DC222" s="405"/>
      <c r="DI222" s="83"/>
      <c r="DQ222" s="405"/>
      <c r="DW222" s="83"/>
      <c r="EE222" s="405"/>
      <c r="EK222" s="83"/>
      <c r="ES222" s="405"/>
      <c r="EY222" s="83"/>
      <c r="FG222" s="405"/>
      <c r="FM222" s="83"/>
      <c r="FU222" s="405"/>
      <c r="GA222" s="83"/>
      <c r="GI222" s="405"/>
      <c r="GO222" s="83"/>
      <c r="GW222" s="405"/>
      <c r="HC222" s="83"/>
      <c r="HK222" s="405"/>
      <c r="HQ222" s="83"/>
      <c r="HY222" s="405"/>
      <c r="IE222" s="83"/>
      <c r="IM222" s="405"/>
      <c r="IS222" s="83"/>
      <c r="JA222" s="405"/>
      <c r="JG222" s="83"/>
      <c r="JO222" s="405"/>
      <c r="JU222" s="83"/>
      <c r="KC222" s="405"/>
      <c r="KI222" s="83"/>
      <c r="KQ222" s="405"/>
      <c r="KW222" s="83"/>
      <c r="LE222" s="405"/>
      <c r="LK222" s="83"/>
      <c r="LS222" s="405"/>
      <c r="LY222" s="83"/>
      <c r="MG222" s="405"/>
      <c r="MM222" s="83"/>
      <c r="MU222" s="405"/>
      <c r="NA222" s="83"/>
    </row>
    <row r="223">
      <c r="A223" s="483"/>
      <c r="B223" s="380"/>
      <c r="C223" s="380"/>
      <c r="D223" s="380"/>
      <c r="E223" s="380"/>
      <c r="F223" s="380"/>
      <c r="G223" s="380"/>
      <c r="H223" s="380"/>
      <c r="I223" s="403"/>
      <c r="J223" s="380"/>
      <c r="K223" s="380"/>
      <c r="L223" s="380"/>
      <c r="M223" s="380"/>
      <c r="N223" s="380"/>
      <c r="O223" s="404"/>
      <c r="P223" s="380"/>
      <c r="Q223" s="380"/>
      <c r="R223" s="380"/>
      <c r="S223" s="380"/>
      <c r="T223" s="380"/>
      <c r="U223" s="380"/>
      <c r="V223" s="380"/>
      <c r="W223" s="403"/>
      <c r="X223" s="380"/>
      <c r="Y223" s="380"/>
      <c r="Z223" s="380"/>
      <c r="AA223" s="380"/>
      <c r="AB223" s="380"/>
      <c r="AC223" s="404"/>
      <c r="AD223" s="380"/>
      <c r="AE223" s="380"/>
      <c r="AF223" s="380"/>
      <c r="AG223" s="380"/>
      <c r="AH223" s="380"/>
      <c r="AI223" s="380"/>
      <c r="AJ223" s="380"/>
      <c r="AK223" s="403"/>
      <c r="AL223" s="380"/>
      <c r="AM223" s="380"/>
      <c r="AN223" s="380"/>
      <c r="AO223" s="380"/>
      <c r="AP223" s="380"/>
      <c r="AQ223" s="404"/>
      <c r="AR223" s="380"/>
      <c r="AS223" s="380"/>
      <c r="AT223" s="380"/>
      <c r="AU223" s="380"/>
      <c r="AV223" s="380"/>
      <c r="AW223" s="380"/>
      <c r="AX223" s="380"/>
      <c r="AY223" s="403"/>
      <c r="AZ223" s="380"/>
      <c r="BA223" s="380"/>
      <c r="BB223" s="380"/>
      <c r="BC223" s="380"/>
      <c r="BD223" s="380"/>
      <c r="BE223" s="404"/>
      <c r="BF223" s="380"/>
      <c r="BG223" s="380"/>
      <c r="BH223" s="380"/>
      <c r="BI223" s="380"/>
      <c r="BJ223" s="380"/>
      <c r="BK223" s="380"/>
      <c r="BL223" s="380"/>
      <c r="BM223" s="403"/>
      <c r="BS223" s="83"/>
      <c r="CA223" s="405"/>
      <c r="CG223" s="83"/>
      <c r="CO223" s="405"/>
      <c r="CU223" s="83"/>
      <c r="DC223" s="405"/>
      <c r="DI223" s="83"/>
      <c r="DQ223" s="405"/>
      <c r="DW223" s="83"/>
      <c r="EE223" s="405"/>
      <c r="EK223" s="83"/>
      <c r="ES223" s="405"/>
      <c r="EY223" s="83"/>
      <c r="FG223" s="405"/>
      <c r="FM223" s="83"/>
      <c r="FU223" s="405"/>
      <c r="GA223" s="83"/>
      <c r="GI223" s="405"/>
      <c r="GO223" s="83"/>
      <c r="GW223" s="405"/>
      <c r="HC223" s="83"/>
      <c r="HK223" s="405"/>
      <c r="HQ223" s="83"/>
      <c r="HY223" s="405"/>
      <c r="IE223" s="83"/>
      <c r="IM223" s="405"/>
      <c r="IS223" s="83"/>
      <c r="JA223" s="405"/>
      <c r="JG223" s="83"/>
      <c r="JO223" s="405"/>
      <c r="JU223" s="83"/>
      <c r="KC223" s="405"/>
      <c r="KI223" s="83"/>
      <c r="KQ223" s="405"/>
      <c r="KW223" s="83"/>
      <c r="LE223" s="405"/>
      <c r="LK223" s="83"/>
      <c r="LS223" s="405"/>
      <c r="LY223" s="83"/>
      <c r="MG223" s="405"/>
      <c r="MM223" s="83"/>
      <c r="MU223" s="405"/>
      <c r="NA223" s="83"/>
    </row>
    <row r="224">
      <c r="A224" s="483"/>
      <c r="B224" s="380"/>
      <c r="C224" s="380"/>
      <c r="D224" s="380"/>
      <c r="E224" s="380"/>
      <c r="F224" s="380"/>
      <c r="G224" s="380"/>
      <c r="H224" s="380"/>
      <c r="I224" s="403"/>
      <c r="J224" s="380"/>
      <c r="K224" s="380"/>
      <c r="L224" s="380"/>
      <c r="M224" s="380"/>
      <c r="N224" s="380"/>
      <c r="O224" s="404"/>
      <c r="P224" s="380"/>
      <c r="Q224" s="380"/>
      <c r="R224" s="380"/>
      <c r="S224" s="380"/>
      <c r="T224" s="380"/>
      <c r="U224" s="380"/>
      <c r="V224" s="380"/>
      <c r="W224" s="403"/>
      <c r="X224" s="380"/>
      <c r="Y224" s="380"/>
      <c r="Z224" s="380"/>
      <c r="AA224" s="380"/>
      <c r="AB224" s="380"/>
      <c r="AC224" s="404"/>
      <c r="AD224" s="380"/>
      <c r="AE224" s="380"/>
      <c r="AF224" s="380"/>
      <c r="AG224" s="380"/>
      <c r="AH224" s="380"/>
      <c r="AI224" s="380"/>
      <c r="AJ224" s="380"/>
      <c r="AK224" s="403"/>
      <c r="AL224" s="380"/>
      <c r="AM224" s="380"/>
      <c r="AN224" s="380"/>
      <c r="AO224" s="380"/>
      <c r="AP224" s="380"/>
      <c r="AQ224" s="404"/>
      <c r="AR224" s="380"/>
      <c r="AS224" s="380"/>
      <c r="AT224" s="380"/>
      <c r="AU224" s="380"/>
      <c r="AV224" s="380"/>
      <c r="AW224" s="380"/>
      <c r="AX224" s="380"/>
      <c r="AY224" s="403"/>
      <c r="AZ224" s="380"/>
      <c r="BA224" s="380"/>
      <c r="BB224" s="380"/>
      <c r="BC224" s="380"/>
      <c r="BD224" s="380"/>
      <c r="BE224" s="404"/>
      <c r="BF224" s="380"/>
      <c r="BG224" s="380"/>
      <c r="BH224" s="380"/>
      <c r="BI224" s="380"/>
      <c r="BJ224" s="380"/>
      <c r="BK224" s="380"/>
      <c r="BL224" s="380"/>
      <c r="BM224" s="403"/>
      <c r="BS224" s="83"/>
      <c r="CA224" s="405"/>
      <c r="CG224" s="83"/>
      <c r="CO224" s="405"/>
      <c r="CU224" s="83"/>
      <c r="DC224" s="405"/>
      <c r="DI224" s="83"/>
      <c r="DQ224" s="405"/>
      <c r="DW224" s="83"/>
      <c r="EE224" s="405"/>
      <c r="EK224" s="83"/>
      <c r="ES224" s="405"/>
      <c r="EY224" s="83"/>
      <c r="FG224" s="405"/>
      <c r="FM224" s="83"/>
      <c r="FU224" s="405"/>
      <c r="GA224" s="83"/>
      <c r="GI224" s="405"/>
      <c r="GO224" s="83"/>
      <c r="GW224" s="405"/>
      <c r="HC224" s="83"/>
      <c r="HK224" s="405"/>
      <c r="HQ224" s="83"/>
      <c r="HY224" s="405"/>
      <c r="IE224" s="83"/>
      <c r="IM224" s="405"/>
      <c r="IS224" s="83"/>
      <c r="JA224" s="405"/>
      <c r="JG224" s="83"/>
      <c r="JO224" s="405"/>
      <c r="JU224" s="83"/>
      <c r="KC224" s="405"/>
      <c r="KI224" s="83"/>
      <c r="KQ224" s="405"/>
      <c r="KW224" s="83"/>
      <c r="LE224" s="405"/>
      <c r="LK224" s="83"/>
      <c r="LS224" s="405"/>
      <c r="LY224" s="83"/>
      <c r="MG224" s="405"/>
      <c r="MM224" s="83"/>
      <c r="MU224" s="405"/>
      <c r="NA224" s="83"/>
    </row>
    <row r="225">
      <c r="A225" s="483"/>
      <c r="B225" s="380"/>
      <c r="C225" s="380"/>
      <c r="D225" s="380"/>
      <c r="E225" s="380"/>
      <c r="F225" s="380"/>
      <c r="G225" s="380"/>
      <c r="H225" s="380"/>
      <c r="I225" s="403"/>
      <c r="J225" s="380"/>
      <c r="K225" s="380"/>
      <c r="L225" s="380"/>
      <c r="M225" s="380"/>
      <c r="N225" s="380"/>
      <c r="O225" s="404"/>
      <c r="P225" s="380"/>
      <c r="Q225" s="380"/>
      <c r="R225" s="380"/>
      <c r="S225" s="380"/>
      <c r="T225" s="380"/>
      <c r="U225" s="380"/>
      <c r="V225" s="380"/>
      <c r="W225" s="403"/>
      <c r="X225" s="380"/>
      <c r="Y225" s="380"/>
      <c r="Z225" s="380"/>
      <c r="AA225" s="380"/>
      <c r="AB225" s="380"/>
      <c r="AC225" s="404"/>
      <c r="AD225" s="380"/>
      <c r="AE225" s="380"/>
      <c r="AF225" s="380"/>
      <c r="AG225" s="380"/>
      <c r="AH225" s="380"/>
      <c r="AI225" s="380"/>
      <c r="AJ225" s="380"/>
      <c r="AK225" s="403"/>
      <c r="AL225" s="380"/>
      <c r="AM225" s="380"/>
      <c r="AN225" s="380"/>
      <c r="AO225" s="380"/>
      <c r="AP225" s="380"/>
      <c r="AQ225" s="404"/>
      <c r="AR225" s="380"/>
      <c r="AS225" s="380"/>
      <c r="AT225" s="380"/>
      <c r="AU225" s="380"/>
      <c r="AV225" s="380"/>
      <c r="AW225" s="380"/>
      <c r="AX225" s="380"/>
      <c r="AY225" s="403"/>
      <c r="AZ225" s="380"/>
      <c r="BA225" s="380"/>
      <c r="BB225" s="380"/>
      <c r="BC225" s="380"/>
      <c r="BD225" s="380"/>
      <c r="BE225" s="404"/>
      <c r="BF225" s="380"/>
      <c r="BG225" s="380"/>
      <c r="BH225" s="380"/>
      <c r="BI225" s="380"/>
      <c r="BJ225" s="380"/>
      <c r="BK225" s="380"/>
      <c r="BL225" s="380"/>
      <c r="BM225" s="403"/>
      <c r="BS225" s="83"/>
      <c r="CA225" s="405"/>
      <c r="CG225" s="83"/>
      <c r="CO225" s="405"/>
      <c r="CU225" s="83"/>
      <c r="DC225" s="405"/>
      <c r="DI225" s="83"/>
      <c r="DQ225" s="405"/>
      <c r="DW225" s="83"/>
      <c r="EE225" s="405"/>
      <c r="EK225" s="83"/>
      <c r="ES225" s="405"/>
      <c r="EY225" s="83"/>
      <c r="FG225" s="405"/>
      <c r="FM225" s="83"/>
      <c r="FU225" s="405"/>
      <c r="GA225" s="83"/>
      <c r="GI225" s="405"/>
      <c r="GO225" s="83"/>
      <c r="GW225" s="405"/>
      <c r="HC225" s="83"/>
      <c r="HK225" s="405"/>
      <c r="HQ225" s="83"/>
      <c r="HY225" s="405"/>
      <c r="IE225" s="83"/>
      <c r="IM225" s="405"/>
      <c r="IS225" s="83"/>
      <c r="JA225" s="405"/>
      <c r="JG225" s="83"/>
      <c r="JO225" s="405"/>
      <c r="JU225" s="83"/>
      <c r="KC225" s="405"/>
      <c r="KI225" s="83"/>
      <c r="KQ225" s="405"/>
      <c r="KW225" s="83"/>
      <c r="LE225" s="405"/>
      <c r="LK225" s="83"/>
      <c r="LS225" s="405"/>
      <c r="LY225" s="83"/>
      <c r="MG225" s="405"/>
      <c r="MM225" s="83"/>
      <c r="MU225" s="405"/>
      <c r="NA225" s="83"/>
    </row>
    <row r="226">
      <c r="A226" s="483"/>
      <c r="B226" s="380"/>
      <c r="C226" s="380"/>
      <c r="D226" s="380"/>
      <c r="E226" s="380"/>
      <c r="F226" s="380"/>
      <c r="G226" s="380"/>
      <c r="H226" s="380"/>
      <c r="I226" s="403"/>
      <c r="J226" s="380"/>
      <c r="K226" s="380"/>
      <c r="L226" s="380"/>
      <c r="M226" s="380"/>
      <c r="N226" s="380"/>
      <c r="O226" s="404"/>
      <c r="P226" s="380"/>
      <c r="Q226" s="380"/>
      <c r="R226" s="380"/>
      <c r="S226" s="380"/>
      <c r="T226" s="380"/>
      <c r="U226" s="380"/>
      <c r="V226" s="380"/>
      <c r="W226" s="403"/>
      <c r="X226" s="380"/>
      <c r="Y226" s="380"/>
      <c r="Z226" s="380"/>
      <c r="AA226" s="380"/>
      <c r="AB226" s="380"/>
      <c r="AC226" s="404"/>
      <c r="AD226" s="380"/>
      <c r="AE226" s="380"/>
      <c r="AF226" s="380"/>
      <c r="AG226" s="380"/>
      <c r="AH226" s="380"/>
      <c r="AI226" s="380"/>
      <c r="AJ226" s="380"/>
      <c r="AK226" s="403"/>
      <c r="AL226" s="380"/>
      <c r="AM226" s="380"/>
      <c r="AN226" s="380"/>
      <c r="AO226" s="380"/>
      <c r="AP226" s="380"/>
      <c r="AQ226" s="404"/>
      <c r="AR226" s="380"/>
      <c r="AS226" s="380"/>
      <c r="AT226" s="380"/>
      <c r="AU226" s="380"/>
      <c r="AV226" s="380"/>
      <c r="AW226" s="380"/>
      <c r="AX226" s="380"/>
      <c r="AY226" s="403"/>
      <c r="AZ226" s="380"/>
      <c r="BA226" s="380"/>
      <c r="BB226" s="380"/>
      <c r="BC226" s="380"/>
      <c r="BD226" s="380"/>
      <c r="BE226" s="404"/>
      <c r="BF226" s="380"/>
      <c r="BG226" s="380"/>
      <c r="BH226" s="380"/>
      <c r="BI226" s="380"/>
      <c r="BJ226" s="380"/>
      <c r="BK226" s="380"/>
      <c r="BL226" s="380"/>
      <c r="BM226" s="403"/>
      <c r="BS226" s="83"/>
      <c r="CA226" s="405"/>
      <c r="CG226" s="83"/>
      <c r="CO226" s="405"/>
      <c r="CU226" s="83"/>
      <c r="DC226" s="405"/>
      <c r="DI226" s="83"/>
      <c r="DQ226" s="405"/>
      <c r="DW226" s="83"/>
      <c r="EE226" s="405"/>
      <c r="EK226" s="83"/>
      <c r="ES226" s="405"/>
      <c r="EY226" s="83"/>
      <c r="FG226" s="405"/>
      <c r="FM226" s="83"/>
      <c r="FU226" s="405"/>
      <c r="GA226" s="83"/>
      <c r="GI226" s="405"/>
      <c r="GO226" s="83"/>
      <c r="GW226" s="405"/>
      <c r="HC226" s="83"/>
      <c r="HK226" s="405"/>
      <c r="HQ226" s="83"/>
      <c r="HY226" s="405"/>
      <c r="IE226" s="83"/>
      <c r="IM226" s="405"/>
      <c r="IS226" s="83"/>
      <c r="JA226" s="405"/>
      <c r="JG226" s="83"/>
      <c r="JO226" s="405"/>
      <c r="JU226" s="83"/>
      <c r="KC226" s="405"/>
      <c r="KI226" s="83"/>
      <c r="KQ226" s="405"/>
      <c r="KW226" s="83"/>
      <c r="LE226" s="405"/>
      <c r="LK226" s="83"/>
      <c r="LS226" s="405"/>
      <c r="LY226" s="83"/>
      <c r="MG226" s="405"/>
      <c r="MM226" s="83"/>
      <c r="MU226" s="405"/>
      <c r="NA226" s="83"/>
    </row>
    <row r="227">
      <c r="A227" s="483"/>
      <c r="B227" s="380"/>
      <c r="C227" s="380"/>
      <c r="D227" s="380"/>
      <c r="E227" s="380"/>
      <c r="F227" s="380"/>
      <c r="G227" s="380"/>
      <c r="H227" s="380"/>
      <c r="I227" s="403"/>
      <c r="J227" s="380"/>
      <c r="K227" s="380"/>
      <c r="L227" s="380"/>
      <c r="M227" s="380"/>
      <c r="N227" s="380"/>
      <c r="O227" s="404"/>
      <c r="P227" s="380"/>
      <c r="Q227" s="380"/>
      <c r="R227" s="380"/>
      <c r="S227" s="380"/>
      <c r="T227" s="380"/>
      <c r="U227" s="380"/>
      <c r="V227" s="380"/>
      <c r="W227" s="403"/>
      <c r="X227" s="380"/>
      <c r="Y227" s="380"/>
      <c r="Z227" s="380"/>
      <c r="AA227" s="380"/>
      <c r="AB227" s="380"/>
      <c r="AC227" s="404"/>
      <c r="AD227" s="380"/>
      <c r="AE227" s="380"/>
      <c r="AF227" s="380"/>
      <c r="AG227" s="380"/>
      <c r="AH227" s="380"/>
      <c r="AI227" s="380"/>
      <c r="AJ227" s="380"/>
      <c r="AK227" s="403"/>
      <c r="AL227" s="380"/>
      <c r="AM227" s="380"/>
      <c r="AN227" s="380"/>
      <c r="AO227" s="380"/>
      <c r="AP227" s="380"/>
      <c r="AQ227" s="404"/>
      <c r="AR227" s="380"/>
      <c r="AS227" s="380"/>
      <c r="AT227" s="380"/>
      <c r="AU227" s="380"/>
      <c r="AV227" s="380"/>
      <c r="AW227" s="380"/>
      <c r="AX227" s="380"/>
      <c r="AY227" s="403"/>
      <c r="AZ227" s="380"/>
      <c r="BA227" s="380"/>
      <c r="BB227" s="380"/>
      <c r="BC227" s="380"/>
      <c r="BD227" s="380"/>
      <c r="BE227" s="404"/>
      <c r="BF227" s="380"/>
      <c r="BG227" s="380"/>
      <c r="BH227" s="380"/>
      <c r="BI227" s="380"/>
      <c r="BJ227" s="380"/>
      <c r="BK227" s="380"/>
      <c r="BL227" s="380"/>
      <c r="BM227" s="403"/>
      <c r="BS227" s="83"/>
      <c r="CA227" s="405"/>
      <c r="CG227" s="83"/>
      <c r="CO227" s="405"/>
      <c r="CU227" s="83"/>
      <c r="DC227" s="405"/>
      <c r="DI227" s="83"/>
      <c r="DQ227" s="405"/>
      <c r="DW227" s="83"/>
      <c r="EE227" s="405"/>
      <c r="EK227" s="83"/>
      <c r="ES227" s="405"/>
      <c r="EY227" s="83"/>
      <c r="FG227" s="405"/>
      <c r="FM227" s="83"/>
      <c r="FU227" s="405"/>
      <c r="GA227" s="83"/>
      <c r="GI227" s="405"/>
      <c r="GO227" s="83"/>
      <c r="GW227" s="405"/>
      <c r="HC227" s="83"/>
      <c r="HK227" s="405"/>
      <c r="HQ227" s="83"/>
      <c r="HY227" s="405"/>
      <c r="IE227" s="83"/>
      <c r="IM227" s="405"/>
      <c r="IS227" s="83"/>
      <c r="JA227" s="405"/>
      <c r="JG227" s="83"/>
      <c r="JO227" s="405"/>
      <c r="JU227" s="83"/>
      <c r="KC227" s="405"/>
      <c r="KI227" s="83"/>
      <c r="KQ227" s="405"/>
      <c r="KW227" s="83"/>
      <c r="LE227" s="405"/>
      <c r="LK227" s="83"/>
      <c r="LS227" s="405"/>
      <c r="LY227" s="83"/>
      <c r="MG227" s="405"/>
      <c r="MM227" s="83"/>
      <c r="MU227" s="405"/>
      <c r="NA227" s="83"/>
    </row>
    <row r="228">
      <c r="A228" s="483"/>
      <c r="B228" s="380"/>
      <c r="C228" s="380"/>
      <c r="D228" s="380"/>
      <c r="E228" s="380"/>
      <c r="F228" s="380"/>
      <c r="G228" s="380"/>
      <c r="H228" s="380"/>
      <c r="I228" s="403"/>
      <c r="J228" s="380"/>
      <c r="K228" s="380"/>
      <c r="L228" s="380"/>
      <c r="M228" s="380"/>
      <c r="N228" s="380"/>
      <c r="O228" s="404"/>
      <c r="P228" s="380"/>
      <c r="Q228" s="380"/>
      <c r="R228" s="380"/>
      <c r="S228" s="380"/>
      <c r="T228" s="380"/>
      <c r="U228" s="380"/>
      <c r="V228" s="380"/>
      <c r="W228" s="403"/>
      <c r="X228" s="380"/>
      <c r="Y228" s="380"/>
      <c r="Z228" s="380"/>
      <c r="AA228" s="380"/>
      <c r="AB228" s="380"/>
      <c r="AC228" s="404"/>
      <c r="AD228" s="380"/>
      <c r="AE228" s="380"/>
      <c r="AF228" s="380"/>
      <c r="AG228" s="380"/>
      <c r="AH228" s="380"/>
      <c r="AI228" s="380"/>
      <c r="AJ228" s="380"/>
      <c r="AK228" s="403"/>
      <c r="AL228" s="380"/>
      <c r="AM228" s="380"/>
      <c r="AN228" s="380"/>
      <c r="AO228" s="380"/>
      <c r="AP228" s="380"/>
      <c r="AQ228" s="404"/>
      <c r="AR228" s="380"/>
      <c r="AS228" s="380"/>
      <c r="AT228" s="380"/>
      <c r="AU228" s="380"/>
      <c r="AV228" s="380"/>
      <c r="AW228" s="380"/>
      <c r="AX228" s="380"/>
      <c r="AY228" s="403"/>
      <c r="AZ228" s="380"/>
      <c r="BA228" s="380"/>
      <c r="BB228" s="380"/>
      <c r="BC228" s="380"/>
      <c r="BD228" s="380"/>
      <c r="BE228" s="404"/>
      <c r="BF228" s="380"/>
      <c r="BG228" s="380"/>
      <c r="BH228" s="380"/>
      <c r="BI228" s="380"/>
      <c r="BJ228" s="380"/>
      <c r="BK228" s="380"/>
      <c r="BL228" s="380"/>
      <c r="BM228" s="403"/>
      <c r="BS228" s="83"/>
      <c r="CA228" s="405"/>
      <c r="CG228" s="83"/>
      <c r="CO228" s="405"/>
      <c r="CU228" s="83"/>
      <c r="DC228" s="405"/>
      <c r="DI228" s="83"/>
      <c r="DQ228" s="405"/>
      <c r="DW228" s="83"/>
      <c r="EE228" s="405"/>
      <c r="EK228" s="83"/>
      <c r="ES228" s="405"/>
      <c r="EY228" s="83"/>
      <c r="FG228" s="405"/>
      <c r="FM228" s="83"/>
      <c r="FU228" s="405"/>
      <c r="GA228" s="83"/>
      <c r="GI228" s="405"/>
      <c r="GO228" s="83"/>
      <c r="GW228" s="405"/>
      <c r="HC228" s="83"/>
      <c r="HK228" s="405"/>
      <c r="HQ228" s="83"/>
      <c r="HY228" s="405"/>
      <c r="IE228" s="83"/>
      <c r="IM228" s="405"/>
      <c r="IS228" s="83"/>
      <c r="JA228" s="405"/>
      <c r="JG228" s="83"/>
      <c r="JO228" s="405"/>
      <c r="JU228" s="83"/>
      <c r="KC228" s="405"/>
      <c r="KI228" s="83"/>
      <c r="KQ228" s="405"/>
      <c r="KW228" s="83"/>
      <c r="LE228" s="405"/>
      <c r="LK228" s="83"/>
      <c r="LS228" s="405"/>
      <c r="LY228" s="83"/>
      <c r="MG228" s="405"/>
      <c r="MM228" s="83"/>
      <c r="MU228" s="405"/>
      <c r="NA228" s="83"/>
    </row>
    <row r="229">
      <c r="A229" s="483"/>
      <c r="B229" s="380"/>
      <c r="C229" s="380"/>
      <c r="D229" s="380"/>
      <c r="E229" s="380"/>
      <c r="F229" s="380"/>
      <c r="G229" s="380"/>
      <c r="H229" s="380"/>
      <c r="I229" s="403"/>
      <c r="J229" s="380"/>
      <c r="K229" s="380"/>
      <c r="L229" s="380"/>
      <c r="M229" s="380"/>
      <c r="N229" s="380"/>
      <c r="O229" s="404"/>
      <c r="P229" s="380"/>
      <c r="Q229" s="380"/>
      <c r="R229" s="380"/>
      <c r="S229" s="380"/>
      <c r="T229" s="380"/>
      <c r="U229" s="380"/>
      <c r="V229" s="380"/>
      <c r="W229" s="403"/>
      <c r="X229" s="380"/>
      <c r="Y229" s="380"/>
      <c r="Z229" s="380"/>
      <c r="AA229" s="380"/>
      <c r="AB229" s="380"/>
      <c r="AC229" s="404"/>
      <c r="AD229" s="380"/>
      <c r="AE229" s="380"/>
      <c r="AF229" s="380"/>
      <c r="AG229" s="380"/>
      <c r="AH229" s="380"/>
      <c r="AI229" s="380"/>
      <c r="AJ229" s="380"/>
      <c r="AK229" s="403"/>
      <c r="AL229" s="380"/>
      <c r="AM229" s="380"/>
      <c r="AN229" s="380"/>
      <c r="AO229" s="380"/>
      <c r="AP229" s="380"/>
      <c r="AQ229" s="404"/>
      <c r="AR229" s="380"/>
      <c r="AS229" s="380"/>
      <c r="AT229" s="380"/>
      <c r="AU229" s="380"/>
      <c r="AV229" s="380"/>
      <c r="AW229" s="380"/>
      <c r="AX229" s="380"/>
      <c r="AY229" s="403"/>
      <c r="AZ229" s="380"/>
      <c r="BA229" s="380"/>
      <c r="BB229" s="380"/>
      <c r="BC229" s="380"/>
      <c r="BD229" s="380"/>
      <c r="BE229" s="404"/>
      <c r="BF229" s="380"/>
      <c r="BG229" s="380"/>
      <c r="BH229" s="380"/>
      <c r="BI229" s="380"/>
      <c r="BJ229" s="380"/>
      <c r="BK229" s="380"/>
      <c r="BL229" s="380"/>
      <c r="BM229" s="403"/>
      <c r="BS229" s="83"/>
      <c r="CA229" s="405"/>
      <c r="CG229" s="83"/>
      <c r="CO229" s="405"/>
      <c r="CU229" s="83"/>
      <c r="DC229" s="405"/>
      <c r="DI229" s="83"/>
      <c r="DQ229" s="405"/>
      <c r="DW229" s="83"/>
      <c r="EE229" s="405"/>
      <c r="EK229" s="83"/>
      <c r="ES229" s="405"/>
      <c r="EY229" s="83"/>
      <c r="FG229" s="405"/>
      <c r="FM229" s="83"/>
      <c r="FU229" s="405"/>
      <c r="GA229" s="83"/>
      <c r="GI229" s="405"/>
      <c r="GO229" s="83"/>
      <c r="GW229" s="405"/>
      <c r="HC229" s="83"/>
      <c r="HK229" s="405"/>
      <c r="HQ229" s="83"/>
      <c r="HY229" s="405"/>
      <c r="IE229" s="83"/>
      <c r="IM229" s="405"/>
      <c r="IS229" s="83"/>
      <c r="JA229" s="405"/>
      <c r="JG229" s="83"/>
      <c r="JO229" s="405"/>
      <c r="JU229" s="83"/>
      <c r="KC229" s="405"/>
      <c r="KI229" s="83"/>
      <c r="KQ229" s="405"/>
      <c r="KW229" s="83"/>
      <c r="LE229" s="405"/>
      <c r="LK229" s="83"/>
      <c r="LS229" s="405"/>
      <c r="LY229" s="83"/>
      <c r="MG229" s="405"/>
      <c r="MM229" s="83"/>
      <c r="MU229" s="405"/>
      <c r="NA229" s="83"/>
    </row>
    <row r="230">
      <c r="A230" s="483"/>
      <c r="B230" s="380"/>
      <c r="C230" s="380"/>
      <c r="D230" s="380"/>
      <c r="E230" s="380"/>
      <c r="F230" s="380"/>
      <c r="G230" s="380"/>
      <c r="H230" s="380"/>
      <c r="I230" s="403"/>
      <c r="J230" s="380"/>
      <c r="K230" s="380"/>
      <c r="L230" s="380"/>
      <c r="M230" s="380"/>
      <c r="N230" s="380"/>
      <c r="O230" s="404"/>
      <c r="P230" s="380"/>
      <c r="Q230" s="380"/>
      <c r="R230" s="380"/>
      <c r="S230" s="380"/>
      <c r="T230" s="380"/>
      <c r="U230" s="380"/>
      <c r="V230" s="380"/>
      <c r="W230" s="403"/>
      <c r="X230" s="380"/>
      <c r="Y230" s="380"/>
      <c r="Z230" s="380"/>
      <c r="AA230" s="380"/>
      <c r="AB230" s="380"/>
      <c r="AC230" s="404"/>
      <c r="AD230" s="380"/>
      <c r="AE230" s="380"/>
      <c r="AF230" s="380"/>
      <c r="AG230" s="380"/>
      <c r="AH230" s="380"/>
      <c r="AI230" s="380"/>
      <c r="AJ230" s="380"/>
      <c r="AK230" s="403"/>
      <c r="AL230" s="380"/>
      <c r="AM230" s="380"/>
      <c r="AN230" s="380"/>
      <c r="AO230" s="380"/>
      <c r="AP230" s="380"/>
      <c r="AQ230" s="404"/>
      <c r="AR230" s="380"/>
      <c r="AS230" s="380"/>
      <c r="AT230" s="380"/>
      <c r="AU230" s="380"/>
      <c r="AV230" s="380"/>
      <c r="AW230" s="380"/>
      <c r="AX230" s="380"/>
      <c r="AY230" s="403"/>
      <c r="AZ230" s="380"/>
      <c r="BA230" s="380"/>
      <c r="BB230" s="380"/>
      <c r="BC230" s="380"/>
      <c r="BD230" s="380"/>
      <c r="BE230" s="404"/>
      <c r="BF230" s="380"/>
      <c r="BG230" s="380"/>
      <c r="BH230" s="380"/>
      <c r="BI230" s="380"/>
      <c r="BJ230" s="380"/>
      <c r="BK230" s="380"/>
      <c r="BL230" s="380"/>
      <c r="BM230" s="403"/>
      <c r="BS230" s="83"/>
      <c r="CA230" s="405"/>
      <c r="CG230" s="83"/>
      <c r="CO230" s="405"/>
      <c r="CU230" s="83"/>
      <c r="DC230" s="405"/>
      <c r="DI230" s="83"/>
      <c r="DQ230" s="405"/>
      <c r="DW230" s="83"/>
      <c r="EE230" s="405"/>
      <c r="EK230" s="83"/>
      <c r="ES230" s="405"/>
      <c r="EY230" s="83"/>
      <c r="FG230" s="405"/>
      <c r="FM230" s="83"/>
      <c r="FU230" s="405"/>
      <c r="GA230" s="83"/>
      <c r="GI230" s="405"/>
      <c r="GO230" s="83"/>
      <c r="GW230" s="405"/>
      <c r="HC230" s="83"/>
      <c r="HK230" s="405"/>
      <c r="HQ230" s="83"/>
      <c r="HY230" s="405"/>
      <c r="IE230" s="83"/>
      <c r="IM230" s="405"/>
      <c r="IS230" s="83"/>
      <c r="JA230" s="405"/>
      <c r="JG230" s="83"/>
      <c r="JO230" s="405"/>
      <c r="JU230" s="83"/>
      <c r="KC230" s="405"/>
      <c r="KI230" s="83"/>
      <c r="KQ230" s="405"/>
      <c r="KW230" s="83"/>
      <c r="LE230" s="405"/>
      <c r="LK230" s="83"/>
      <c r="LS230" s="405"/>
      <c r="LY230" s="83"/>
      <c r="MG230" s="405"/>
      <c r="MM230" s="83"/>
      <c r="MU230" s="405"/>
      <c r="NA230" s="83"/>
    </row>
    <row r="231">
      <c r="A231" s="483"/>
      <c r="B231" s="380"/>
      <c r="C231" s="380"/>
      <c r="D231" s="380"/>
      <c r="E231" s="380"/>
      <c r="F231" s="380"/>
      <c r="G231" s="380"/>
      <c r="H231" s="380"/>
      <c r="I231" s="403"/>
      <c r="J231" s="380"/>
      <c r="K231" s="380"/>
      <c r="L231" s="380"/>
      <c r="M231" s="380"/>
      <c r="N231" s="380"/>
      <c r="O231" s="404"/>
      <c r="P231" s="380"/>
      <c r="Q231" s="380"/>
      <c r="R231" s="380"/>
      <c r="S231" s="380"/>
      <c r="T231" s="380"/>
      <c r="U231" s="380"/>
      <c r="V231" s="380"/>
      <c r="W231" s="403"/>
      <c r="X231" s="380"/>
      <c r="Y231" s="380"/>
      <c r="Z231" s="380"/>
      <c r="AA231" s="380"/>
      <c r="AB231" s="380"/>
      <c r="AC231" s="404"/>
      <c r="AD231" s="380"/>
      <c r="AE231" s="380"/>
      <c r="AF231" s="380"/>
      <c r="AG231" s="380"/>
      <c r="AH231" s="380"/>
      <c r="AI231" s="380"/>
      <c r="AJ231" s="380"/>
      <c r="AK231" s="403"/>
      <c r="AL231" s="380"/>
      <c r="AM231" s="380"/>
      <c r="AN231" s="380"/>
      <c r="AO231" s="380"/>
      <c r="AP231" s="380"/>
      <c r="AQ231" s="404"/>
      <c r="AR231" s="380"/>
      <c r="AS231" s="380"/>
      <c r="AT231" s="380"/>
      <c r="AU231" s="380"/>
      <c r="AV231" s="380"/>
      <c r="AW231" s="380"/>
      <c r="AX231" s="380"/>
      <c r="AY231" s="403"/>
      <c r="AZ231" s="380"/>
      <c r="BA231" s="380"/>
      <c r="BB231" s="380"/>
      <c r="BC231" s="380"/>
      <c r="BD231" s="380"/>
      <c r="BE231" s="404"/>
      <c r="BF231" s="380"/>
      <c r="BG231" s="380"/>
      <c r="BH231" s="380"/>
      <c r="BI231" s="380"/>
      <c r="BJ231" s="380"/>
      <c r="BK231" s="380"/>
      <c r="BL231" s="380"/>
      <c r="BM231" s="403"/>
      <c r="BS231" s="83"/>
      <c r="CA231" s="405"/>
      <c r="CG231" s="83"/>
      <c r="CO231" s="405"/>
      <c r="CU231" s="83"/>
      <c r="DC231" s="405"/>
      <c r="DI231" s="83"/>
      <c r="DQ231" s="405"/>
      <c r="DW231" s="83"/>
      <c r="EE231" s="405"/>
      <c r="EK231" s="83"/>
      <c r="ES231" s="405"/>
      <c r="EY231" s="83"/>
      <c r="FG231" s="405"/>
      <c r="FM231" s="83"/>
      <c r="FU231" s="405"/>
      <c r="GA231" s="83"/>
      <c r="GI231" s="405"/>
      <c r="GO231" s="83"/>
      <c r="GW231" s="405"/>
      <c r="HC231" s="83"/>
      <c r="HK231" s="405"/>
      <c r="HQ231" s="83"/>
      <c r="HY231" s="405"/>
      <c r="IE231" s="83"/>
      <c r="IM231" s="405"/>
      <c r="IS231" s="83"/>
      <c r="JA231" s="405"/>
      <c r="JG231" s="83"/>
      <c r="JO231" s="405"/>
      <c r="JU231" s="83"/>
      <c r="KC231" s="405"/>
      <c r="KI231" s="83"/>
      <c r="KQ231" s="405"/>
      <c r="KW231" s="83"/>
      <c r="LE231" s="405"/>
      <c r="LK231" s="83"/>
      <c r="LS231" s="405"/>
      <c r="LY231" s="83"/>
      <c r="MG231" s="405"/>
      <c r="MM231" s="83"/>
      <c r="MU231" s="405"/>
      <c r="NA231" s="83"/>
    </row>
    <row r="232">
      <c r="A232" s="483"/>
      <c r="B232" s="380"/>
      <c r="C232" s="380"/>
      <c r="D232" s="380"/>
      <c r="E232" s="380"/>
      <c r="F232" s="380"/>
      <c r="G232" s="380"/>
      <c r="H232" s="380"/>
      <c r="I232" s="403"/>
      <c r="J232" s="380"/>
      <c r="K232" s="380"/>
      <c r="L232" s="380"/>
      <c r="M232" s="380"/>
      <c r="N232" s="380"/>
      <c r="O232" s="404"/>
      <c r="P232" s="380"/>
      <c r="Q232" s="380"/>
      <c r="R232" s="380"/>
      <c r="S232" s="380"/>
      <c r="T232" s="380"/>
      <c r="U232" s="380"/>
      <c r="V232" s="380"/>
      <c r="W232" s="403"/>
      <c r="X232" s="380"/>
      <c r="Y232" s="380"/>
      <c r="Z232" s="380"/>
      <c r="AA232" s="380"/>
      <c r="AB232" s="380"/>
      <c r="AC232" s="404"/>
      <c r="AD232" s="380"/>
      <c r="AE232" s="380"/>
      <c r="AF232" s="380"/>
      <c r="AG232" s="380"/>
      <c r="AH232" s="380"/>
      <c r="AI232" s="380"/>
      <c r="AJ232" s="380"/>
      <c r="AK232" s="403"/>
      <c r="AL232" s="380"/>
      <c r="AM232" s="380"/>
      <c r="AN232" s="380"/>
      <c r="AO232" s="380"/>
      <c r="AP232" s="380"/>
      <c r="AQ232" s="404"/>
      <c r="AR232" s="380"/>
      <c r="AS232" s="380"/>
      <c r="AT232" s="380"/>
      <c r="AU232" s="380"/>
      <c r="AV232" s="380"/>
      <c r="AW232" s="380"/>
      <c r="AX232" s="380"/>
      <c r="AY232" s="403"/>
      <c r="AZ232" s="380"/>
      <c r="BA232" s="380"/>
      <c r="BB232" s="380"/>
      <c r="BC232" s="380"/>
      <c r="BD232" s="380"/>
      <c r="BE232" s="404"/>
      <c r="BF232" s="380"/>
      <c r="BG232" s="380"/>
      <c r="BH232" s="380"/>
      <c r="BI232" s="380"/>
      <c r="BJ232" s="380"/>
      <c r="BK232" s="380"/>
      <c r="BL232" s="380"/>
      <c r="BM232" s="403"/>
      <c r="BS232" s="83"/>
      <c r="CA232" s="405"/>
      <c r="CG232" s="83"/>
      <c r="CO232" s="405"/>
      <c r="CU232" s="83"/>
      <c r="DC232" s="405"/>
      <c r="DI232" s="83"/>
      <c r="DQ232" s="405"/>
      <c r="DW232" s="83"/>
      <c r="EE232" s="405"/>
      <c r="EK232" s="83"/>
      <c r="ES232" s="405"/>
      <c r="EY232" s="83"/>
      <c r="FG232" s="405"/>
      <c r="FM232" s="83"/>
      <c r="FU232" s="405"/>
      <c r="GA232" s="83"/>
      <c r="GI232" s="405"/>
      <c r="GO232" s="83"/>
      <c r="GW232" s="405"/>
      <c r="HC232" s="83"/>
      <c r="HK232" s="405"/>
      <c r="HQ232" s="83"/>
      <c r="HY232" s="405"/>
      <c r="IE232" s="83"/>
      <c r="IM232" s="405"/>
      <c r="IS232" s="83"/>
      <c r="JA232" s="405"/>
      <c r="JG232" s="83"/>
      <c r="JO232" s="405"/>
      <c r="JU232" s="83"/>
      <c r="KC232" s="405"/>
      <c r="KI232" s="83"/>
      <c r="KQ232" s="405"/>
      <c r="KW232" s="83"/>
      <c r="LE232" s="405"/>
      <c r="LK232" s="83"/>
      <c r="LS232" s="405"/>
      <c r="LY232" s="83"/>
      <c r="MG232" s="405"/>
      <c r="MM232" s="83"/>
      <c r="MU232" s="405"/>
      <c r="NA232" s="83"/>
    </row>
    <row r="233">
      <c r="A233" s="483"/>
      <c r="B233" s="380"/>
      <c r="C233" s="380"/>
      <c r="D233" s="380"/>
      <c r="E233" s="380"/>
      <c r="F233" s="380"/>
      <c r="G233" s="380"/>
      <c r="H233" s="380"/>
      <c r="I233" s="403"/>
      <c r="J233" s="380"/>
      <c r="K233" s="380"/>
      <c r="L233" s="380"/>
      <c r="M233" s="380"/>
      <c r="N233" s="380"/>
      <c r="O233" s="404"/>
      <c r="P233" s="380"/>
      <c r="Q233" s="380"/>
      <c r="R233" s="380"/>
      <c r="S233" s="380"/>
      <c r="T233" s="380"/>
      <c r="U233" s="380"/>
      <c r="V233" s="380"/>
      <c r="W233" s="403"/>
      <c r="X233" s="380"/>
      <c r="Y233" s="380"/>
      <c r="Z233" s="380"/>
      <c r="AA233" s="380"/>
      <c r="AB233" s="380"/>
      <c r="AC233" s="404"/>
      <c r="AD233" s="380"/>
      <c r="AE233" s="380"/>
      <c r="AF233" s="380"/>
      <c r="AG233" s="380"/>
      <c r="AH233" s="380"/>
      <c r="AI233" s="380"/>
      <c r="AJ233" s="380"/>
      <c r="AK233" s="403"/>
      <c r="AL233" s="380"/>
      <c r="AM233" s="380"/>
      <c r="AN233" s="380"/>
      <c r="AO233" s="380"/>
      <c r="AP233" s="380"/>
      <c r="AQ233" s="404"/>
      <c r="AR233" s="380"/>
      <c r="AS233" s="380"/>
      <c r="AT233" s="380"/>
      <c r="AU233" s="380"/>
      <c r="AV233" s="380"/>
      <c r="AW233" s="380"/>
      <c r="AX233" s="380"/>
      <c r="AY233" s="403"/>
      <c r="AZ233" s="380"/>
      <c r="BA233" s="380"/>
      <c r="BB233" s="380"/>
      <c r="BC233" s="380"/>
      <c r="BD233" s="380"/>
      <c r="BE233" s="404"/>
      <c r="BF233" s="380"/>
      <c r="BG233" s="380"/>
      <c r="BH233" s="380"/>
      <c r="BI233" s="380"/>
      <c r="BJ233" s="380"/>
      <c r="BK233" s="380"/>
      <c r="BL233" s="380"/>
      <c r="BM233" s="403"/>
      <c r="BS233" s="83"/>
      <c r="CA233" s="405"/>
      <c r="CG233" s="83"/>
      <c r="CO233" s="405"/>
      <c r="CU233" s="83"/>
      <c r="DC233" s="405"/>
      <c r="DI233" s="83"/>
      <c r="DQ233" s="405"/>
      <c r="DW233" s="83"/>
      <c r="EE233" s="405"/>
      <c r="EK233" s="83"/>
      <c r="ES233" s="405"/>
      <c r="EY233" s="83"/>
      <c r="FG233" s="405"/>
      <c r="FM233" s="83"/>
      <c r="FU233" s="405"/>
      <c r="GA233" s="83"/>
      <c r="GI233" s="405"/>
      <c r="GO233" s="83"/>
      <c r="GW233" s="405"/>
      <c r="HC233" s="83"/>
      <c r="HK233" s="405"/>
      <c r="HQ233" s="83"/>
      <c r="HY233" s="405"/>
      <c r="IE233" s="83"/>
      <c r="IM233" s="405"/>
      <c r="IS233" s="83"/>
      <c r="JA233" s="405"/>
      <c r="JG233" s="83"/>
      <c r="JO233" s="405"/>
      <c r="JU233" s="83"/>
      <c r="KC233" s="405"/>
      <c r="KI233" s="83"/>
      <c r="KQ233" s="405"/>
      <c r="KW233" s="83"/>
      <c r="LE233" s="405"/>
      <c r="LK233" s="83"/>
      <c r="LS233" s="405"/>
      <c r="LY233" s="83"/>
      <c r="MG233" s="405"/>
      <c r="MM233" s="83"/>
      <c r="MU233" s="405"/>
      <c r="NA233" s="83"/>
    </row>
    <row r="234">
      <c r="A234" s="483"/>
      <c r="B234" s="380"/>
      <c r="C234" s="380"/>
      <c r="D234" s="380"/>
      <c r="E234" s="380"/>
      <c r="F234" s="380"/>
      <c r="G234" s="380"/>
      <c r="H234" s="380"/>
      <c r="I234" s="403"/>
      <c r="J234" s="380"/>
      <c r="K234" s="380"/>
      <c r="L234" s="380"/>
      <c r="M234" s="380"/>
      <c r="N234" s="380"/>
      <c r="O234" s="404"/>
      <c r="P234" s="380"/>
      <c r="Q234" s="380"/>
      <c r="R234" s="380"/>
      <c r="S234" s="380"/>
      <c r="T234" s="380"/>
      <c r="U234" s="380"/>
      <c r="V234" s="380"/>
      <c r="W234" s="403"/>
      <c r="X234" s="380"/>
      <c r="Y234" s="380"/>
      <c r="Z234" s="380"/>
      <c r="AA234" s="380"/>
      <c r="AB234" s="380"/>
      <c r="AC234" s="404"/>
      <c r="AD234" s="380"/>
      <c r="AE234" s="380"/>
      <c r="AF234" s="380"/>
      <c r="AG234" s="380"/>
      <c r="AH234" s="380"/>
      <c r="AI234" s="380"/>
      <c r="AJ234" s="380"/>
      <c r="AK234" s="403"/>
      <c r="AL234" s="380"/>
      <c r="AM234" s="380"/>
      <c r="AN234" s="380"/>
      <c r="AO234" s="380"/>
      <c r="AP234" s="380"/>
      <c r="AQ234" s="404"/>
      <c r="AR234" s="380"/>
      <c r="AS234" s="380"/>
      <c r="AT234" s="380"/>
      <c r="AU234" s="380"/>
      <c r="AV234" s="380"/>
      <c r="AW234" s="380"/>
      <c r="AX234" s="380"/>
      <c r="AY234" s="403"/>
      <c r="AZ234" s="380"/>
      <c r="BA234" s="380"/>
      <c r="BB234" s="380"/>
      <c r="BC234" s="380"/>
      <c r="BD234" s="380"/>
      <c r="BE234" s="404"/>
      <c r="BF234" s="380"/>
      <c r="BG234" s="380"/>
      <c r="BH234" s="380"/>
      <c r="BI234" s="380"/>
      <c r="BJ234" s="380"/>
      <c r="BK234" s="380"/>
      <c r="BL234" s="380"/>
      <c r="BM234" s="403"/>
      <c r="BS234" s="83"/>
      <c r="CA234" s="405"/>
      <c r="CG234" s="83"/>
      <c r="CO234" s="405"/>
      <c r="CU234" s="83"/>
      <c r="DC234" s="405"/>
      <c r="DI234" s="83"/>
      <c r="DQ234" s="405"/>
      <c r="DW234" s="83"/>
      <c r="EE234" s="405"/>
      <c r="EK234" s="83"/>
      <c r="ES234" s="405"/>
      <c r="EY234" s="83"/>
      <c r="FG234" s="405"/>
      <c r="FM234" s="83"/>
      <c r="FU234" s="405"/>
      <c r="GA234" s="83"/>
      <c r="GI234" s="405"/>
      <c r="GO234" s="83"/>
      <c r="GW234" s="405"/>
      <c r="HC234" s="83"/>
      <c r="HK234" s="405"/>
      <c r="HQ234" s="83"/>
      <c r="HY234" s="405"/>
      <c r="IE234" s="83"/>
      <c r="IM234" s="405"/>
      <c r="IS234" s="83"/>
      <c r="JA234" s="405"/>
      <c r="JG234" s="83"/>
      <c r="JO234" s="405"/>
      <c r="JU234" s="83"/>
      <c r="KC234" s="405"/>
      <c r="KI234" s="83"/>
      <c r="KQ234" s="405"/>
      <c r="KW234" s="83"/>
      <c r="LE234" s="405"/>
      <c r="LK234" s="83"/>
      <c r="LS234" s="405"/>
      <c r="LY234" s="83"/>
      <c r="MG234" s="405"/>
      <c r="MM234" s="83"/>
      <c r="MU234" s="405"/>
      <c r="NA234" s="83"/>
    </row>
    <row r="235">
      <c r="A235" s="483"/>
      <c r="B235" s="380"/>
      <c r="C235" s="380"/>
      <c r="D235" s="380"/>
      <c r="E235" s="380"/>
      <c r="F235" s="380"/>
      <c r="G235" s="380"/>
      <c r="H235" s="380"/>
      <c r="I235" s="403"/>
      <c r="J235" s="380"/>
      <c r="K235" s="380"/>
      <c r="L235" s="380"/>
      <c r="M235" s="380"/>
      <c r="N235" s="380"/>
      <c r="O235" s="404"/>
      <c r="P235" s="380"/>
      <c r="Q235" s="380"/>
      <c r="R235" s="380"/>
      <c r="S235" s="380"/>
      <c r="T235" s="380"/>
      <c r="U235" s="380"/>
      <c r="V235" s="380"/>
      <c r="W235" s="403"/>
      <c r="X235" s="380"/>
      <c r="Y235" s="380"/>
      <c r="Z235" s="380"/>
      <c r="AA235" s="380"/>
      <c r="AB235" s="380"/>
      <c r="AC235" s="404"/>
      <c r="AD235" s="380"/>
      <c r="AE235" s="380"/>
      <c r="AF235" s="380"/>
      <c r="AG235" s="380"/>
      <c r="AH235" s="380"/>
      <c r="AI235" s="380"/>
      <c r="AJ235" s="380"/>
      <c r="AK235" s="403"/>
      <c r="AL235" s="380"/>
      <c r="AM235" s="380"/>
      <c r="AN235" s="380"/>
      <c r="AO235" s="380"/>
      <c r="AP235" s="380"/>
      <c r="AQ235" s="404"/>
      <c r="AR235" s="380"/>
      <c r="AS235" s="380"/>
      <c r="AT235" s="380"/>
      <c r="AU235" s="380"/>
      <c r="AV235" s="380"/>
      <c r="AW235" s="380"/>
      <c r="AX235" s="380"/>
      <c r="AY235" s="403"/>
      <c r="AZ235" s="380"/>
      <c r="BA235" s="380"/>
      <c r="BB235" s="380"/>
      <c r="BC235" s="380"/>
      <c r="BD235" s="380"/>
      <c r="BE235" s="404"/>
      <c r="BF235" s="380"/>
      <c r="BG235" s="380"/>
      <c r="BH235" s="380"/>
      <c r="BI235" s="380"/>
      <c r="BJ235" s="380"/>
      <c r="BK235" s="380"/>
      <c r="BL235" s="380"/>
      <c r="BM235" s="403"/>
      <c r="BS235" s="83"/>
      <c r="CA235" s="405"/>
      <c r="CG235" s="83"/>
      <c r="CO235" s="405"/>
      <c r="CU235" s="83"/>
      <c r="DC235" s="405"/>
      <c r="DI235" s="83"/>
      <c r="DQ235" s="405"/>
      <c r="DW235" s="83"/>
      <c r="EE235" s="405"/>
      <c r="EK235" s="83"/>
      <c r="ES235" s="405"/>
      <c r="EY235" s="83"/>
      <c r="FG235" s="405"/>
      <c r="FM235" s="83"/>
      <c r="FU235" s="405"/>
      <c r="GA235" s="83"/>
      <c r="GI235" s="405"/>
      <c r="GO235" s="83"/>
      <c r="GW235" s="405"/>
      <c r="HC235" s="83"/>
      <c r="HK235" s="405"/>
      <c r="HQ235" s="83"/>
      <c r="HY235" s="405"/>
      <c r="IE235" s="83"/>
      <c r="IM235" s="405"/>
      <c r="IS235" s="83"/>
      <c r="JA235" s="405"/>
      <c r="JG235" s="83"/>
      <c r="JO235" s="405"/>
      <c r="JU235" s="83"/>
      <c r="KC235" s="405"/>
      <c r="KI235" s="83"/>
      <c r="KQ235" s="405"/>
      <c r="KW235" s="83"/>
      <c r="LE235" s="405"/>
      <c r="LK235" s="83"/>
      <c r="LS235" s="405"/>
      <c r="LY235" s="83"/>
      <c r="MG235" s="405"/>
      <c r="MM235" s="83"/>
      <c r="MU235" s="405"/>
      <c r="NA235" s="83"/>
    </row>
    <row r="236">
      <c r="A236" s="483"/>
      <c r="B236" s="380"/>
      <c r="C236" s="380"/>
      <c r="D236" s="380"/>
      <c r="E236" s="380"/>
      <c r="F236" s="380"/>
      <c r="G236" s="380"/>
      <c r="H236" s="380"/>
      <c r="I236" s="403"/>
      <c r="J236" s="380"/>
      <c r="K236" s="380"/>
      <c r="L236" s="380"/>
      <c r="M236" s="380"/>
      <c r="N236" s="380"/>
      <c r="O236" s="404"/>
      <c r="P236" s="380"/>
      <c r="Q236" s="380"/>
      <c r="R236" s="380"/>
      <c r="S236" s="380"/>
      <c r="T236" s="380"/>
      <c r="U236" s="380"/>
      <c r="V236" s="380"/>
      <c r="W236" s="403"/>
      <c r="X236" s="380"/>
      <c r="Y236" s="380"/>
      <c r="Z236" s="380"/>
      <c r="AA236" s="380"/>
      <c r="AB236" s="380"/>
      <c r="AC236" s="404"/>
      <c r="AD236" s="380"/>
      <c r="AE236" s="380"/>
      <c r="AF236" s="380"/>
      <c r="AG236" s="380"/>
      <c r="AH236" s="380"/>
      <c r="AI236" s="380"/>
      <c r="AJ236" s="380"/>
      <c r="AK236" s="403"/>
      <c r="AL236" s="380"/>
      <c r="AM236" s="380"/>
      <c r="AN236" s="380"/>
      <c r="AO236" s="380"/>
      <c r="AP236" s="380"/>
      <c r="AQ236" s="404"/>
      <c r="AR236" s="380"/>
      <c r="AS236" s="380"/>
      <c r="AT236" s="380"/>
      <c r="AU236" s="380"/>
      <c r="AV236" s="380"/>
      <c r="AW236" s="380"/>
      <c r="AX236" s="380"/>
      <c r="AY236" s="403"/>
      <c r="AZ236" s="380"/>
      <c r="BA236" s="380"/>
      <c r="BB236" s="380"/>
      <c r="BC236" s="380"/>
      <c r="BD236" s="380"/>
      <c r="BE236" s="404"/>
      <c r="BF236" s="380"/>
      <c r="BG236" s="380"/>
      <c r="BH236" s="380"/>
      <c r="BI236" s="380"/>
      <c r="BJ236" s="380"/>
      <c r="BK236" s="380"/>
      <c r="BL236" s="380"/>
      <c r="BM236" s="403"/>
      <c r="BS236" s="83"/>
      <c r="CA236" s="405"/>
      <c r="CG236" s="83"/>
      <c r="CO236" s="405"/>
      <c r="CU236" s="83"/>
      <c r="DC236" s="405"/>
      <c r="DI236" s="83"/>
      <c r="DQ236" s="405"/>
      <c r="DW236" s="83"/>
      <c r="EE236" s="405"/>
      <c r="EK236" s="83"/>
      <c r="ES236" s="405"/>
      <c r="EY236" s="83"/>
      <c r="FG236" s="405"/>
      <c r="FM236" s="83"/>
      <c r="FU236" s="405"/>
      <c r="GA236" s="83"/>
      <c r="GI236" s="405"/>
      <c r="GO236" s="83"/>
      <c r="GW236" s="405"/>
      <c r="HC236" s="83"/>
      <c r="HK236" s="405"/>
      <c r="HQ236" s="83"/>
      <c r="HY236" s="405"/>
      <c r="IE236" s="83"/>
      <c r="IM236" s="405"/>
      <c r="IS236" s="83"/>
      <c r="JA236" s="405"/>
      <c r="JG236" s="83"/>
      <c r="JO236" s="405"/>
      <c r="JU236" s="83"/>
      <c r="KC236" s="405"/>
      <c r="KI236" s="83"/>
      <c r="KQ236" s="405"/>
      <c r="KW236" s="83"/>
      <c r="LE236" s="405"/>
      <c r="LK236" s="83"/>
      <c r="LS236" s="405"/>
      <c r="LY236" s="83"/>
      <c r="MG236" s="405"/>
      <c r="MM236" s="83"/>
      <c r="MU236" s="405"/>
      <c r="NA236" s="83"/>
    </row>
    <row r="237">
      <c r="A237" s="483"/>
      <c r="B237" s="380"/>
      <c r="C237" s="380"/>
      <c r="D237" s="380"/>
      <c r="E237" s="380"/>
      <c r="F237" s="380"/>
      <c r="G237" s="380"/>
      <c r="H237" s="380"/>
      <c r="I237" s="403"/>
      <c r="J237" s="380"/>
      <c r="K237" s="380"/>
      <c r="L237" s="380"/>
      <c r="M237" s="380"/>
      <c r="N237" s="380"/>
      <c r="O237" s="404"/>
      <c r="P237" s="380"/>
      <c r="Q237" s="380"/>
      <c r="R237" s="380"/>
      <c r="S237" s="380"/>
      <c r="T237" s="380"/>
      <c r="U237" s="380"/>
      <c r="V237" s="380"/>
      <c r="W237" s="403"/>
      <c r="X237" s="380"/>
      <c r="Y237" s="380"/>
      <c r="Z237" s="380"/>
      <c r="AA237" s="380"/>
      <c r="AB237" s="380"/>
      <c r="AC237" s="404"/>
      <c r="AD237" s="380"/>
      <c r="AE237" s="380"/>
      <c r="AF237" s="380"/>
      <c r="AG237" s="380"/>
      <c r="AH237" s="380"/>
      <c r="AI237" s="380"/>
      <c r="AJ237" s="380"/>
      <c r="AK237" s="403"/>
      <c r="AL237" s="380"/>
      <c r="AM237" s="380"/>
      <c r="AN237" s="380"/>
      <c r="AO237" s="380"/>
      <c r="AP237" s="380"/>
      <c r="AQ237" s="404"/>
      <c r="AR237" s="380"/>
      <c r="AS237" s="380"/>
      <c r="AT237" s="380"/>
      <c r="AU237" s="380"/>
      <c r="AV237" s="380"/>
      <c r="AW237" s="380"/>
      <c r="AX237" s="380"/>
      <c r="AY237" s="403"/>
      <c r="AZ237" s="380"/>
      <c r="BA237" s="380"/>
      <c r="BB237" s="380"/>
      <c r="BC237" s="380"/>
      <c r="BD237" s="380"/>
      <c r="BE237" s="404"/>
      <c r="BF237" s="380"/>
      <c r="BG237" s="380"/>
      <c r="BH237" s="380"/>
      <c r="BI237" s="380"/>
      <c r="BJ237" s="380"/>
      <c r="BK237" s="380"/>
      <c r="BL237" s="380"/>
      <c r="BM237" s="403"/>
      <c r="BS237" s="83"/>
      <c r="CA237" s="405"/>
      <c r="CG237" s="83"/>
      <c r="CO237" s="405"/>
      <c r="CU237" s="83"/>
      <c r="DC237" s="405"/>
      <c r="DI237" s="83"/>
      <c r="DQ237" s="405"/>
      <c r="DW237" s="83"/>
      <c r="EE237" s="405"/>
      <c r="EK237" s="83"/>
      <c r="ES237" s="405"/>
      <c r="EY237" s="83"/>
      <c r="FG237" s="405"/>
      <c r="FM237" s="83"/>
      <c r="FU237" s="405"/>
      <c r="GA237" s="83"/>
      <c r="GI237" s="405"/>
      <c r="GO237" s="83"/>
      <c r="GW237" s="405"/>
      <c r="HC237" s="83"/>
      <c r="HK237" s="405"/>
      <c r="HQ237" s="83"/>
      <c r="HY237" s="405"/>
      <c r="IE237" s="83"/>
      <c r="IM237" s="405"/>
      <c r="IS237" s="83"/>
      <c r="JA237" s="405"/>
      <c r="JG237" s="83"/>
      <c r="JO237" s="405"/>
      <c r="JU237" s="83"/>
      <c r="KC237" s="405"/>
      <c r="KI237" s="83"/>
      <c r="KQ237" s="405"/>
      <c r="KW237" s="83"/>
      <c r="LE237" s="405"/>
      <c r="LK237" s="83"/>
      <c r="LS237" s="405"/>
      <c r="LY237" s="83"/>
      <c r="MG237" s="405"/>
      <c r="MM237" s="83"/>
      <c r="MU237" s="405"/>
      <c r="NA237" s="83"/>
    </row>
    <row r="238">
      <c r="A238" s="483"/>
      <c r="B238" s="380"/>
      <c r="C238" s="380"/>
      <c r="D238" s="380"/>
      <c r="E238" s="380"/>
      <c r="F238" s="380"/>
      <c r="G238" s="380"/>
      <c r="H238" s="380"/>
      <c r="I238" s="403"/>
      <c r="J238" s="380"/>
      <c r="K238" s="380"/>
      <c r="L238" s="380"/>
      <c r="M238" s="380"/>
      <c r="N238" s="380"/>
      <c r="O238" s="404"/>
      <c r="P238" s="380"/>
      <c r="Q238" s="380"/>
      <c r="R238" s="380"/>
      <c r="S238" s="380"/>
      <c r="T238" s="380"/>
      <c r="U238" s="380"/>
      <c r="V238" s="380"/>
      <c r="W238" s="403"/>
      <c r="X238" s="380"/>
      <c r="Y238" s="380"/>
      <c r="Z238" s="380"/>
      <c r="AA238" s="380"/>
      <c r="AB238" s="380"/>
      <c r="AC238" s="404"/>
      <c r="AD238" s="380"/>
      <c r="AE238" s="380"/>
      <c r="AF238" s="380"/>
      <c r="AG238" s="380"/>
      <c r="AH238" s="380"/>
      <c r="AI238" s="380"/>
      <c r="AJ238" s="380"/>
      <c r="AK238" s="403"/>
      <c r="AL238" s="380"/>
      <c r="AM238" s="380"/>
      <c r="AN238" s="380"/>
      <c r="AO238" s="380"/>
      <c r="AP238" s="380"/>
      <c r="AQ238" s="404"/>
      <c r="AR238" s="380"/>
      <c r="AS238" s="380"/>
      <c r="AT238" s="380"/>
      <c r="AU238" s="380"/>
      <c r="AV238" s="380"/>
      <c r="AW238" s="380"/>
      <c r="AX238" s="380"/>
      <c r="AY238" s="403"/>
      <c r="AZ238" s="380"/>
      <c r="BA238" s="380"/>
      <c r="BB238" s="380"/>
      <c r="BC238" s="380"/>
      <c r="BD238" s="380"/>
      <c r="BE238" s="404"/>
      <c r="BF238" s="380"/>
      <c r="BG238" s="380"/>
      <c r="BH238" s="380"/>
      <c r="BI238" s="380"/>
      <c r="BJ238" s="380"/>
      <c r="BK238" s="380"/>
      <c r="BL238" s="380"/>
      <c r="BM238" s="403"/>
      <c r="BS238" s="83"/>
      <c r="CA238" s="405"/>
      <c r="CG238" s="83"/>
      <c r="CO238" s="405"/>
      <c r="CU238" s="83"/>
      <c r="DC238" s="405"/>
      <c r="DI238" s="83"/>
      <c r="DQ238" s="405"/>
      <c r="DW238" s="83"/>
      <c r="EE238" s="405"/>
      <c r="EK238" s="83"/>
      <c r="ES238" s="405"/>
      <c r="EY238" s="83"/>
      <c r="FG238" s="405"/>
      <c r="FM238" s="83"/>
      <c r="FU238" s="405"/>
      <c r="GA238" s="83"/>
      <c r="GI238" s="405"/>
      <c r="GO238" s="83"/>
      <c r="GW238" s="405"/>
      <c r="HC238" s="83"/>
      <c r="HK238" s="405"/>
      <c r="HQ238" s="83"/>
      <c r="HY238" s="405"/>
      <c r="IE238" s="83"/>
      <c r="IM238" s="405"/>
      <c r="IS238" s="83"/>
      <c r="JA238" s="405"/>
      <c r="JG238" s="83"/>
      <c r="JO238" s="405"/>
      <c r="JU238" s="83"/>
      <c r="KC238" s="405"/>
      <c r="KI238" s="83"/>
      <c r="KQ238" s="405"/>
      <c r="KW238" s="83"/>
      <c r="LE238" s="405"/>
      <c r="LK238" s="83"/>
      <c r="LS238" s="405"/>
      <c r="LY238" s="83"/>
      <c r="MG238" s="405"/>
      <c r="MM238" s="83"/>
      <c r="MU238" s="405"/>
      <c r="NA238" s="83"/>
    </row>
    <row r="239">
      <c r="A239" s="483"/>
      <c r="B239" s="380"/>
      <c r="C239" s="380"/>
      <c r="D239" s="380"/>
      <c r="E239" s="380"/>
      <c r="F239" s="380"/>
      <c r="G239" s="380"/>
      <c r="H239" s="380"/>
      <c r="I239" s="403"/>
      <c r="J239" s="380"/>
      <c r="K239" s="380"/>
      <c r="L239" s="380"/>
      <c r="M239" s="380"/>
      <c r="N239" s="380"/>
      <c r="O239" s="404"/>
      <c r="P239" s="380"/>
      <c r="Q239" s="380"/>
      <c r="R239" s="380"/>
      <c r="S239" s="380"/>
      <c r="T239" s="380"/>
      <c r="U239" s="380"/>
      <c r="V239" s="380"/>
      <c r="W239" s="403"/>
      <c r="X239" s="380"/>
      <c r="Y239" s="380"/>
      <c r="Z239" s="380"/>
      <c r="AA239" s="380"/>
      <c r="AB239" s="380"/>
      <c r="AC239" s="404"/>
      <c r="AD239" s="380"/>
      <c r="AE239" s="380"/>
      <c r="AF239" s="380"/>
      <c r="AG239" s="380"/>
      <c r="AH239" s="380"/>
      <c r="AI239" s="380"/>
      <c r="AJ239" s="380"/>
      <c r="AK239" s="403"/>
      <c r="AL239" s="380"/>
      <c r="AM239" s="380"/>
      <c r="AN239" s="380"/>
      <c r="AO239" s="380"/>
      <c r="AP239" s="380"/>
      <c r="AQ239" s="404"/>
      <c r="AR239" s="380"/>
      <c r="AS239" s="380"/>
      <c r="AT239" s="380"/>
      <c r="AU239" s="380"/>
      <c r="AV239" s="380"/>
      <c r="AW239" s="380"/>
      <c r="AX239" s="380"/>
      <c r="AY239" s="403"/>
      <c r="AZ239" s="380"/>
      <c r="BA239" s="380"/>
      <c r="BB239" s="380"/>
      <c r="BC239" s="380"/>
      <c r="BD239" s="380"/>
      <c r="BE239" s="404"/>
      <c r="BF239" s="380"/>
      <c r="BG239" s="380"/>
      <c r="BH239" s="380"/>
      <c r="BI239" s="380"/>
      <c r="BJ239" s="380"/>
      <c r="BK239" s="380"/>
      <c r="BL239" s="380"/>
      <c r="BM239" s="403"/>
      <c r="BS239" s="83"/>
      <c r="CA239" s="405"/>
      <c r="CG239" s="83"/>
      <c r="CO239" s="405"/>
      <c r="CU239" s="83"/>
      <c r="DC239" s="405"/>
      <c r="DI239" s="83"/>
      <c r="DQ239" s="405"/>
      <c r="DW239" s="83"/>
      <c r="EE239" s="405"/>
      <c r="EK239" s="83"/>
      <c r="ES239" s="405"/>
      <c r="EY239" s="83"/>
      <c r="FG239" s="405"/>
      <c r="FM239" s="83"/>
      <c r="FU239" s="405"/>
      <c r="GA239" s="83"/>
      <c r="GI239" s="405"/>
      <c r="GO239" s="83"/>
      <c r="GW239" s="405"/>
      <c r="HC239" s="83"/>
      <c r="HK239" s="405"/>
      <c r="HQ239" s="83"/>
      <c r="HY239" s="405"/>
      <c r="IE239" s="83"/>
      <c r="IM239" s="405"/>
      <c r="IS239" s="83"/>
      <c r="JA239" s="405"/>
      <c r="JG239" s="83"/>
      <c r="JO239" s="405"/>
      <c r="JU239" s="83"/>
      <c r="KC239" s="405"/>
      <c r="KI239" s="83"/>
      <c r="KQ239" s="405"/>
      <c r="KW239" s="83"/>
      <c r="LE239" s="405"/>
      <c r="LK239" s="83"/>
      <c r="LS239" s="405"/>
      <c r="LY239" s="83"/>
      <c r="MG239" s="405"/>
      <c r="MM239" s="83"/>
      <c r="MU239" s="405"/>
      <c r="NA239" s="83"/>
    </row>
    <row r="240">
      <c r="A240" s="483"/>
      <c r="B240" s="380"/>
      <c r="C240" s="380"/>
      <c r="D240" s="380"/>
      <c r="E240" s="380"/>
      <c r="F240" s="380"/>
      <c r="G240" s="380"/>
      <c r="H240" s="380"/>
      <c r="I240" s="403"/>
      <c r="J240" s="380"/>
      <c r="K240" s="380"/>
      <c r="L240" s="380"/>
      <c r="M240" s="380"/>
      <c r="N240" s="380"/>
      <c r="O240" s="404"/>
      <c r="P240" s="380"/>
      <c r="Q240" s="380"/>
      <c r="R240" s="380"/>
      <c r="S240" s="380"/>
      <c r="T240" s="380"/>
      <c r="U240" s="380"/>
      <c r="V240" s="380"/>
      <c r="W240" s="403"/>
      <c r="X240" s="380"/>
      <c r="Y240" s="380"/>
      <c r="Z240" s="380"/>
      <c r="AA240" s="380"/>
      <c r="AB240" s="380"/>
      <c r="AC240" s="404"/>
      <c r="AD240" s="380"/>
      <c r="AE240" s="380"/>
      <c r="AF240" s="380"/>
      <c r="AG240" s="380"/>
      <c r="AH240" s="380"/>
      <c r="AI240" s="380"/>
      <c r="AJ240" s="380"/>
      <c r="AK240" s="403"/>
      <c r="AL240" s="380"/>
      <c r="AM240" s="380"/>
      <c r="AN240" s="380"/>
      <c r="AO240" s="380"/>
      <c r="AP240" s="380"/>
      <c r="AQ240" s="404"/>
      <c r="AR240" s="380"/>
      <c r="AS240" s="380"/>
      <c r="AT240" s="380"/>
      <c r="AU240" s="380"/>
      <c r="AV240" s="380"/>
      <c r="AW240" s="380"/>
      <c r="AX240" s="380"/>
      <c r="AY240" s="403"/>
      <c r="AZ240" s="380"/>
      <c r="BA240" s="380"/>
      <c r="BB240" s="380"/>
      <c r="BC240" s="380"/>
      <c r="BD240" s="380"/>
      <c r="BE240" s="404"/>
      <c r="BF240" s="380"/>
      <c r="BG240" s="380"/>
      <c r="BH240" s="380"/>
      <c r="BI240" s="380"/>
      <c r="BJ240" s="380"/>
      <c r="BK240" s="380"/>
      <c r="BL240" s="380"/>
      <c r="BM240" s="403"/>
      <c r="BS240" s="83"/>
      <c r="CA240" s="405"/>
      <c r="CG240" s="83"/>
      <c r="CO240" s="405"/>
      <c r="CU240" s="83"/>
      <c r="DC240" s="405"/>
      <c r="DI240" s="83"/>
      <c r="DQ240" s="405"/>
      <c r="DW240" s="83"/>
      <c r="EE240" s="405"/>
      <c r="EK240" s="83"/>
      <c r="ES240" s="405"/>
      <c r="EY240" s="83"/>
      <c r="FG240" s="405"/>
      <c r="FM240" s="83"/>
      <c r="FU240" s="405"/>
      <c r="GA240" s="83"/>
      <c r="GI240" s="405"/>
      <c r="GO240" s="83"/>
      <c r="GW240" s="405"/>
      <c r="HC240" s="83"/>
      <c r="HK240" s="405"/>
      <c r="HQ240" s="83"/>
      <c r="HY240" s="405"/>
      <c r="IE240" s="83"/>
      <c r="IM240" s="405"/>
      <c r="IS240" s="83"/>
      <c r="JA240" s="405"/>
      <c r="JG240" s="83"/>
      <c r="JO240" s="405"/>
      <c r="JU240" s="83"/>
      <c r="KC240" s="405"/>
      <c r="KI240" s="83"/>
      <c r="KQ240" s="405"/>
      <c r="KW240" s="83"/>
      <c r="LE240" s="405"/>
      <c r="LK240" s="83"/>
      <c r="LS240" s="405"/>
      <c r="LY240" s="83"/>
      <c r="MG240" s="405"/>
      <c r="MM240" s="83"/>
      <c r="MU240" s="405"/>
      <c r="NA240" s="83"/>
    </row>
    <row r="241">
      <c r="A241" s="483"/>
      <c r="B241" s="380"/>
      <c r="C241" s="380"/>
      <c r="D241" s="380"/>
      <c r="E241" s="380"/>
      <c r="F241" s="380"/>
      <c r="G241" s="380"/>
      <c r="H241" s="380"/>
      <c r="I241" s="403"/>
      <c r="J241" s="380"/>
      <c r="K241" s="380"/>
      <c r="L241" s="380"/>
      <c r="M241" s="380"/>
      <c r="N241" s="380"/>
      <c r="O241" s="404"/>
      <c r="P241" s="380"/>
      <c r="Q241" s="380"/>
      <c r="R241" s="380"/>
      <c r="S241" s="380"/>
      <c r="T241" s="380"/>
      <c r="U241" s="380"/>
      <c r="V241" s="380"/>
      <c r="W241" s="403"/>
      <c r="X241" s="380"/>
      <c r="Y241" s="380"/>
      <c r="Z241" s="380"/>
      <c r="AA241" s="380"/>
      <c r="AB241" s="380"/>
      <c r="AC241" s="404"/>
      <c r="AD241" s="380"/>
      <c r="AE241" s="380"/>
      <c r="AF241" s="380"/>
      <c r="AG241" s="380"/>
      <c r="AH241" s="380"/>
      <c r="AI241" s="380"/>
      <c r="AJ241" s="380"/>
      <c r="AK241" s="403"/>
      <c r="AL241" s="380"/>
      <c r="AM241" s="380"/>
      <c r="AN241" s="380"/>
      <c r="AO241" s="380"/>
      <c r="AP241" s="380"/>
      <c r="AQ241" s="404"/>
      <c r="AR241" s="380"/>
      <c r="AS241" s="380"/>
      <c r="AT241" s="380"/>
      <c r="AU241" s="380"/>
      <c r="AV241" s="380"/>
      <c r="AW241" s="380"/>
      <c r="AX241" s="380"/>
      <c r="AY241" s="403"/>
      <c r="AZ241" s="380"/>
      <c r="BA241" s="380"/>
      <c r="BB241" s="380"/>
      <c r="BC241" s="380"/>
      <c r="BD241" s="380"/>
      <c r="BE241" s="404"/>
      <c r="BF241" s="380"/>
      <c r="BG241" s="380"/>
      <c r="BH241" s="380"/>
      <c r="BI241" s="380"/>
      <c r="BJ241" s="380"/>
      <c r="BK241" s="380"/>
      <c r="BL241" s="380"/>
      <c r="BM241" s="403"/>
      <c r="BS241" s="83"/>
      <c r="CA241" s="405"/>
      <c r="CG241" s="83"/>
      <c r="CO241" s="405"/>
      <c r="CU241" s="83"/>
      <c r="DC241" s="405"/>
      <c r="DI241" s="83"/>
      <c r="DQ241" s="405"/>
      <c r="DW241" s="83"/>
      <c r="EE241" s="405"/>
      <c r="EK241" s="83"/>
      <c r="ES241" s="405"/>
      <c r="EY241" s="83"/>
      <c r="FG241" s="405"/>
      <c r="FM241" s="83"/>
      <c r="FU241" s="405"/>
      <c r="GA241" s="83"/>
      <c r="GI241" s="405"/>
      <c r="GO241" s="83"/>
      <c r="GW241" s="405"/>
      <c r="HC241" s="83"/>
      <c r="HK241" s="405"/>
      <c r="HQ241" s="83"/>
      <c r="HY241" s="405"/>
      <c r="IE241" s="83"/>
      <c r="IM241" s="405"/>
      <c r="IS241" s="83"/>
      <c r="JA241" s="405"/>
      <c r="JG241" s="83"/>
      <c r="JO241" s="405"/>
      <c r="JU241" s="83"/>
      <c r="KC241" s="405"/>
      <c r="KI241" s="83"/>
      <c r="KQ241" s="405"/>
      <c r="KW241" s="83"/>
      <c r="LE241" s="405"/>
      <c r="LK241" s="83"/>
      <c r="LS241" s="405"/>
      <c r="LY241" s="83"/>
      <c r="MG241" s="405"/>
      <c r="MM241" s="83"/>
      <c r="MU241" s="405"/>
      <c r="NA241" s="83"/>
    </row>
    <row r="242">
      <c r="A242" s="483"/>
      <c r="B242" s="380"/>
      <c r="C242" s="380"/>
      <c r="D242" s="380"/>
      <c r="E242" s="380"/>
      <c r="F242" s="380"/>
      <c r="G242" s="380"/>
      <c r="H242" s="380"/>
      <c r="I242" s="403"/>
      <c r="J242" s="380"/>
      <c r="K242" s="380"/>
      <c r="L242" s="380"/>
      <c r="M242" s="380"/>
      <c r="N242" s="380"/>
      <c r="O242" s="404"/>
      <c r="P242" s="380"/>
      <c r="Q242" s="380"/>
      <c r="R242" s="380"/>
      <c r="S242" s="380"/>
      <c r="T242" s="380"/>
      <c r="U242" s="380"/>
      <c r="V242" s="380"/>
      <c r="W242" s="403"/>
      <c r="X242" s="380"/>
      <c r="Y242" s="380"/>
      <c r="Z242" s="380"/>
      <c r="AA242" s="380"/>
      <c r="AB242" s="380"/>
      <c r="AC242" s="404"/>
      <c r="AD242" s="380"/>
      <c r="AE242" s="380"/>
      <c r="AF242" s="380"/>
      <c r="AG242" s="380"/>
      <c r="AH242" s="380"/>
      <c r="AI242" s="380"/>
      <c r="AJ242" s="380"/>
      <c r="AK242" s="403"/>
      <c r="AL242" s="380"/>
      <c r="AM242" s="380"/>
      <c r="AN242" s="380"/>
      <c r="AO242" s="380"/>
      <c r="AP242" s="380"/>
      <c r="AQ242" s="404"/>
      <c r="AR242" s="380"/>
      <c r="AS242" s="380"/>
      <c r="AT242" s="380"/>
      <c r="AU242" s="380"/>
      <c r="AV242" s="380"/>
      <c r="AW242" s="380"/>
      <c r="AX242" s="380"/>
      <c r="AY242" s="403"/>
      <c r="AZ242" s="380"/>
      <c r="BA242" s="380"/>
      <c r="BB242" s="380"/>
      <c r="BC242" s="380"/>
      <c r="BD242" s="380"/>
      <c r="BE242" s="404"/>
      <c r="BF242" s="380"/>
      <c r="BG242" s="380"/>
      <c r="BH242" s="380"/>
      <c r="BI242" s="380"/>
      <c r="BJ242" s="380"/>
      <c r="BK242" s="380"/>
      <c r="BL242" s="380"/>
      <c r="BM242" s="403"/>
      <c r="BS242" s="83"/>
      <c r="CA242" s="405"/>
      <c r="CG242" s="83"/>
      <c r="CO242" s="405"/>
      <c r="CU242" s="83"/>
      <c r="DC242" s="405"/>
      <c r="DI242" s="83"/>
      <c r="DQ242" s="405"/>
      <c r="DW242" s="83"/>
      <c r="EE242" s="405"/>
      <c r="EK242" s="83"/>
      <c r="ES242" s="405"/>
      <c r="EY242" s="83"/>
      <c r="FG242" s="405"/>
      <c r="FM242" s="83"/>
      <c r="FU242" s="405"/>
      <c r="GA242" s="83"/>
      <c r="GI242" s="405"/>
      <c r="GO242" s="83"/>
      <c r="GW242" s="405"/>
      <c r="HC242" s="83"/>
      <c r="HK242" s="405"/>
      <c r="HQ242" s="83"/>
      <c r="HY242" s="405"/>
      <c r="IE242" s="83"/>
      <c r="IM242" s="405"/>
      <c r="IS242" s="83"/>
      <c r="JA242" s="405"/>
      <c r="JG242" s="83"/>
      <c r="JO242" s="405"/>
      <c r="JU242" s="83"/>
      <c r="KC242" s="405"/>
      <c r="KI242" s="83"/>
      <c r="KQ242" s="405"/>
      <c r="KW242" s="83"/>
      <c r="LE242" s="405"/>
      <c r="LK242" s="83"/>
      <c r="LS242" s="405"/>
      <c r="LY242" s="83"/>
      <c r="MG242" s="405"/>
      <c r="MM242" s="83"/>
      <c r="MU242" s="405"/>
      <c r="NA242" s="83"/>
    </row>
    <row r="243">
      <c r="A243" s="483"/>
      <c r="B243" s="380"/>
      <c r="C243" s="380"/>
      <c r="D243" s="380"/>
      <c r="E243" s="380"/>
      <c r="F243" s="380"/>
      <c r="G243" s="380"/>
      <c r="H243" s="380"/>
      <c r="I243" s="403"/>
      <c r="J243" s="380"/>
      <c r="K243" s="380"/>
      <c r="L243" s="380"/>
      <c r="M243" s="380"/>
      <c r="N243" s="380"/>
      <c r="O243" s="404"/>
      <c r="P243" s="380"/>
      <c r="Q243" s="380"/>
      <c r="R243" s="380"/>
      <c r="S243" s="380"/>
      <c r="T243" s="380"/>
      <c r="U243" s="380"/>
      <c r="V243" s="380"/>
      <c r="W243" s="403"/>
      <c r="X243" s="380"/>
      <c r="Y243" s="380"/>
      <c r="Z243" s="380"/>
      <c r="AA243" s="380"/>
      <c r="AB243" s="380"/>
      <c r="AC243" s="404"/>
      <c r="AD243" s="380"/>
      <c r="AE243" s="380"/>
      <c r="AF243" s="380"/>
      <c r="AG243" s="380"/>
      <c r="AH243" s="380"/>
      <c r="AI243" s="380"/>
      <c r="AJ243" s="380"/>
      <c r="AK243" s="403"/>
      <c r="AL243" s="380"/>
      <c r="AM243" s="380"/>
      <c r="AN243" s="380"/>
      <c r="AO243" s="380"/>
      <c r="AP243" s="380"/>
      <c r="AQ243" s="404"/>
      <c r="AR243" s="380"/>
      <c r="AS243" s="380"/>
      <c r="AT243" s="380"/>
      <c r="AU243" s="380"/>
      <c r="AV243" s="380"/>
      <c r="AW243" s="380"/>
      <c r="AX243" s="380"/>
      <c r="AY243" s="403"/>
      <c r="AZ243" s="380"/>
      <c r="BA243" s="380"/>
      <c r="BB243" s="380"/>
      <c r="BC243" s="380"/>
      <c r="BD243" s="380"/>
      <c r="BE243" s="404"/>
      <c r="BF243" s="380"/>
      <c r="BG243" s="380"/>
      <c r="BH243" s="380"/>
      <c r="BI243" s="380"/>
      <c r="BJ243" s="380"/>
      <c r="BK243" s="380"/>
      <c r="BL243" s="380"/>
      <c r="BM243" s="403"/>
      <c r="BS243" s="83"/>
      <c r="CA243" s="405"/>
      <c r="CG243" s="83"/>
      <c r="CO243" s="405"/>
      <c r="CU243" s="83"/>
      <c r="DC243" s="405"/>
      <c r="DI243" s="83"/>
      <c r="DQ243" s="405"/>
      <c r="DW243" s="83"/>
      <c r="EE243" s="405"/>
      <c r="EK243" s="83"/>
      <c r="ES243" s="405"/>
      <c r="EY243" s="83"/>
      <c r="FG243" s="405"/>
      <c r="FM243" s="83"/>
      <c r="FU243" s="405"/>
      <c r="GA243" s="83"/>
      <c r="GI243" s="405"/>
      <c r="GO243" s="83"/>
      <c r="GW243" s="405"/>
      <c r="HC243" s="83"/>
      <c r="HK243" s="405"/>
      <c r="HQ243" s="83"/>
      <c r="HY243" s="405"/>
      <c r="IE243" s="83"/>
      <c r="IM243" s="405"/>
      <c r="IS243" s="83"/>
      <c r="JA243" s="405"/>
      <c r="JG243" s="83"/>
      <c r="JO243" s="405"/>
      <c r="JU243" s="83"/>
      <c r="KC243" s="405"/>
      <c r="KI243" s="83"/>
      <c r="KQ243" s="405"/>
      <c r="KW243" s="83"/>
      <c r="LE243" s="405"/>
      <c r="LK243" s="83"/>
      <c r="LS243" s="405"/>
      <c r="LY243" s="83"/>
      <c r="MG243" s="405"/>
      <c r="MM243" s="83"/>
      <c r="MU243" s="405"/>
      <c r="NA243" s="83"/>
    </row>
    <row r="244">
      <c r="A244" s="483"/>
      <c r="B244" s="380"/>
      <c r="C244" s="380"/>
      <c r="D244" s="380"/>
      <c r="E244" s="380"/>
      <c r="F244" s="380"/>
      <c r="G244" s="380"/>
      <c r="H244" s="380"/>
      <c r="I244" s="403"/>
      <c r="J244" s="380"/>
      <c r="K244" s="380"/>
      <c r="L244" s="380"/>
      <c r="M244" s="380"/>
      <c r="N244" s="380"/>
      <c r="O244" s="404"/>
      <c r="P244" s="380"/>
      <c r="Q244" s="380"/>
      <c r="R244" s="380"/>
      <c r="S244" s="380"/>
      <c r="T244" s="380"/>
      <c r="U244" s="380"/>
      <c r="V244" s="380"/>
      <c r="W244" s="403"/>
      <c r="X244" s="380"/>
      <c r="Y244" s="380"/>
      <c r="Z244" s="380"/>
      <c r="AA244" s="380"/>
      <c r="AB244" s="380"/>
      <c r="AC244" s="404"/>
      <c r="AD244" s="380"/>
      <c r="AE244" s="380"/>
      <c r="AF244" s="380"/>
      <c r="AG244" s="380"/>
      <c r="AH244" s="380"/>
      <c r="AI244" s="380"/>
      <c r="AJ244" s="380"/>
      <c r="AK244" s="403"/>
      <c r="AL244" s="380"/>
      <c r="AM244" s="380"/>
      <c r="AN244" s="380"/>
      <c r="AO244" s="380"/>
      <c r="AP244" s="380"/>
      <c r="AQ244" s="404"/>
      <c r="AR244" s="380"/>
      <c r="AS244" s="380"/>
      <c r="AT244" s="380"/>
      <c r="AU244" s="380"/>
      <c r="AV244" s="380"/>
      <c r="AW244" s="380"/>
      <c r="AX244" s="380"/>
      <c r="AY244" s="403"/>
      <c r="AZ244" s="380"/>
      <c r="BA244" s="380"/>
      <c r="BB244" s="380"/>
      <c r="BC244" s="380"/>
      <c r="BD244" s="380"/>
      <c r="BE244" s="404"/>
      <c r="BF244" s="380"/>
      <c r="BG244" s="380"/>
      <c r="BH244" s="380"/>
      <c r="BI244" s="380"/>
      <c r="BJ244" s="380"/>
      <c r="BK244" s="380"/>
      <c r="BL244" s="380"/>
      <c r="BM244" s="403"/>
      <c r="BS244" s="83"/>
      <c r="CA244" s="405"/>
      <c r="CG244" s="83"/>
      <c r="CO244" s="405"/>
      <c r="CU244" s="83"/>
      <c r="DC244" s="405"/>
      <c r="DI244" s="83"/>
      <c r="DQ244" s="405"/>
      <c r="DW244" s="83"/>
      <c r="EE244" s="405"/>
      <c r="EK244" s="83"/>
      <c r="ES244" s="405"/>
      <c r="EY244" s="83"/>
      <c r="FG244" s="405"/>
      <c r="FM244" s="83"/>
      <c r="FU244" s="405"/>
      <c r="GA244" s="83"/>
      <c r="GI244" s="405"/>
      <c r="GO244" s="83"/>
      <c r="GW244" s="405"/>
      <c r="HC244" s="83"/>
      <c r="HK244" s="405"/>
      <c r="HQ244" s="83"/>
      <c r="HY244" s="405"/>
      <c r="IE244" s="83"/>
      <c r="IM244" s="405"/>
      <c r="IS244" s="83"/>
      <c r="JA244" s="405"/>
      <c r="JG244" s="83"/>
      <c r="JO244" s="405"/>
      <c r="JU244" s="83"/>
      <c r="KC244" s="405"/>
      <c r="KI244" s="83"/>
      <c r="KQ244" s="405"/>
      <c r="KW244" s="83"/>
      <c r="LE244" s="405"/>
      <c r="LK244" s="83"/>
      <c r="LS244" s="405"/>
      <c r="LY244" s="83"/>
      <c r="MG244" s="405"/>
      <c r="MM244" s="83"/>
      <c r="MU244" s="405"/>
      <c r="NA244" s="83"/>
    </row>
    <row r="245">
      <c r="A245" s="483"/>
      <c r="B245" s="380"/>
      <c r="C245" s="380"/>
      <c r="D245" s="380"/>
      <c r="E245" s="380"/>
      <c r="F245" s="380"/>
      <c r="G245" s="380"/>
      <c r="H245" s="380"/>
      <c r="I245" s="403"/>
      <c r="J245" s="380"/>
      <c r="K245" s="380"/>
      <c r="L245" s="380"/>
      <c r="M245" s="380"/>
      <c r="N245" s="380"/>
      <c r="O245" s="404"/>
      <c r="P245" s="380"/>
      <c r="Q245" s="380"/>
      <c r="R245" s="380"/>
      <c r="S245" s="380"/>
      <c r="T245" s="380"/>
      <c r="U245" s="380"/>
      <c r="V245" s="380"/>
      <c r="W245" s="403"/>
      <c r="X245" s="380"/>
      <c r="Y245" s="380"/>
      <c r="Z245" s="380"/>
      <c r="AA245" s="380"/>
      <c r="AB245" s="380"/>
      <c r="AC245" s="404"/>
      <c r="AD245" s="380"/>
      <c r="AE245" s="380"/>
      <c r="AF245" s="380"/>
      <c r="AG245" s="380"/>
      <c r="AH245" s="380"/>
      <c r="AI245" s="380"/>
      <c r="AJ245" s="380"/>
      <c r="AK245" s="403"/>
      <c r="AL245" s="380"/>
      <c r="AM245" s="380"/>
      <c r="AN245" s="380"/>
      <c r="AO245" s="380"/>
      <c r="AP245" s="380"/>
      <c r="AQ245" s="404"/>
      <c r="AR245" s="380"/>
      <c r="AS245" s="380"/>
      <c r="AT245" s="380"/>
      <c r="AU245" s="380"/>
      <c r="AV245" s="380"/>
      <c r="AW245" s="380"/>
      <c r="AX245" s="380"/>
      <c r="AY245" s="403"/>
      <c r="AZ245" s="380"/>
      <c r="BA245" s="380"/>
      <c r="BB245" s="380"/>
      <c r="BC245" s="380"/>
      <c r="BD245" s="380"/>
      <c r="BE245" s="404"/>
      <c r="BF245" s="380"/>
      <c r="BG245" s="380"/>
      <c r="BH245" s="380"/>
      <c r="BI245" s="380"/>
      <c r="BJ245" s="380"/>
      <c r="BK245" s="380"/>
      <c r="BL245" s="380"/>
      <c r="BM245" s="403"/>
      <c r="BS245" s="83"/>
      <c r="CA245" s="405"/>
      <c r="CG245" s="83"/>
      <c r="CO245" s="405"/>
      <c r="CU245" s="83"/>
      <c r="DC245" s="405"/>
      <c r="DI245" s="83"/>
      <c r="DQ245" s="405"/>
      <c r="DW245" s="83"/>
      <c r="EE245" s="405"/>
      <c r="EK245" s="83"/>
      <c r="ES245" s="405"/>
      <c r="EY245" s="83"/>
      <c r="FG245" s="405"/>
      <c r="FM245" s="83"/>
      <c r="FU245" s="405"/>
      <c r="GA245" s="83"/>
      <c r="GI245" s="405"/>
      <c r="GO245" s="83"/>
      <c r="GW245" s="405"/>
      <c r="HC245" s="83"/>
      <c r="HK245" s="405"/>
      <c r="HQ245" s="83"/>
      <c r="HY245" s="405"/>
      <c r="IE245" s="83"/>
      <c r="IM245" s="405"/>
      <c r="IS245" s="83"/>
      <c r="JA245" s="405"/>
      <c r="JG245" s="83"/>
      <c r="JO245" s="405"/>
      <c r="JU245" s="83"/>
      <c r="KC245" s="405"/>
      <c r="KI245" s="83"/>
      <c r="KQ245" s="405"/>
      <c r="KW245" s="83"/>
      <c r="LE245" s="405"/>
      <c r="LK245" s="83"/>
      <c r="LS245" s="405"/>
      <c r="LY245" s="83"/>
      <c r="MG245" s="405"/>
      <c r="MM245" s="83"/>
      <c r="MU245" s="405"/>
      <c r="NA245" s="83"/>
    </row>
    <row r="246">
      <c r="A246" s="483"/>
      <c r="B246" s="380"/>
      <c r="C246" s="380"/>
      <c r="D246" s="380"/>
      <c r="E246" s="380"/>
      <c r="F246" s="380"/>
      <c r="G246" s="380"/>
      <c r="H246" s="380"/>
      <c r="I246" s="403"/>
      <c r="J246" s="380"/>
      <c r="K246" s="380"/>
      <c r="L246" s="380"/>
      <c r="M246" s="380"/>
      <c r="N246" s="380"/>
      <c r="O246" s="404"/>
      <c r="P246" s="380"/>
      <c r="Q246" s="380"/>
      <c r="R246" s="380"/>
      <c r="S246" s="380"/>
      <c r="T246" s="380"/>
      <c r="U246" s="380"/>
      <c r="V246" s="380"/>
      <c r="W246" s="403"/>
      <c r="X246" s="380"/>
      <c r="Y246" s="380"/>
      <c r="Z246" s="380"/>
      <c r="AA246" s="380"/>
      <c r="AB246" s="380"/>
      <c r="AC246" s="404"/>
      <c r="AD246" s="380"/>
      <c r="AE246" s="380"/>
      <c r="AF246" s="380"/>
      <c r="AG246" s="380"/>
      <c r="AH246" s="380"/>
      <c r="AI246" s="380"/>
      <c r="AJ246" s="380"/>
      <c r="AK246" s="403"/>
      <c r="AL246" s="380"/>
      <c r="AM246" s="380"/>
      <c r="AN246" s="380"/>
      <c r="AO246" s="380"/>
      <c r="AP246" s="380"/>
      <c r="AQ246" s="404"/>
      <c r="AR246" s="380"/>
      <c r="AS246" s="380"/>
      <c r="AT246" s="380"/>
      <c r="AU246" s="380"/>
      <c r="AV246" s="380"/>
      <c r="AW246" s="380"/>
      <c r="AX246" s="380"/>
      <c r="AY246" s="403"/>
      <c r="AZ246" s="380"/>
      <c r="BA246" s="380"/>
      <c r="BB246" s="380"/>
      <c r="BC246" s="380"/>
      <c r="BD246" s="380"/>
      <c r="BE246" s="404"/>
      <c r="BF246" s="380"/>
      <c r="BG246" s="380"/>
      <c r="BH246" s="380"/>
      <c r="BI246" s="380"/>
      <c r="BJ246" s="380"/>
      <c r="BK246" s="380"/>
      <c r="BL246" s="380"/>
      <c r="BM246" s="403"/>
      <c r="BS246" s="83"/>
      <c r="CA246" s="405"/>
      <c r="CG246" s="83"/>
      <c r="CO246" s="405"/>
      <c r="CU246" s="83"/>
      <c r="DC246" s="405"/>
      <c r="DI246" s="83"/>
      <c r="DQ246" s="405"/>
      <c r="DW246" s="83"/>
      <c r="EE246" s="405"/>
      <c r="EK246" s="83"/>
      <c r="ES246" s="405"/>
      <c r="EY246" s="83"/>
      <c r="FG246" s="405"/>
      <c r="FM246" s="83"/>
      <c r="FU246" s="405"/>
      <c r="GA246" s="83"/>
      <c r="GI246" s="405"/>
      <c r="GO246" s="83"/>
      <c r="GW246" s="405"/>
      <c r="HC246" s="83"/>
      <c r="HK246" s="405"/>
      <c r="HQ246" s="83"/>
      <c r="HY246" s="405"/>
      <c r="IE246" s="83"/>
      <c r="IM246" s="405"/>
      <c r="IS246" s="83"/>
      <c r="JA246" s="405"/>
      <c r="JG246" s="83"/>
      <c r="JO246" s="405"/>
      <c r="JU246" s="83"/>
      <c r="KC246" s="405"/>
      <c r="KI246" s="83"/>
      <c r="KQ246" s="405"/>
      <c r="KW246" s="83"/>
      <c r="LE246" s="405"/>
      <c r="LK246" s="83"/>
      <c r="LS246" s="405"/>
      <c r="LY246" s="83"/>
      <c r="MG246" s="405"/>
      <c r="MM246" s="83"/>
      <c r="MU246" s="405"/>
      <c r="NA246" s="83"/>
    </row>
    <row r="247">
      <c r="A247" s="483"/>
      <c r="B247" s="380"/>
      <c r="C247" s="380"/>
      <c r="D247" s="380"/>
      <c r="E247" s="380"/>
      <c r="F247" s="380"/>
      <c r="G247" s="380"/>
      <c r="H247" s="380"/>
      <c r="I247" s="403"/>
      <c r="J247" s="380"/>
      <c r="K247" s="380"/>
      <c r="L247" s="380"/>
      <c r="M247" s="380"/>
      <c r="N247" s="380"/>
      <c r="O247" s="404"/>
      <c r="P247" s="380"/>
      <c r="Q247" s="380"/>
      <c r="R247" s="380"/>
      <c r="S247" s="380"/>
      <c r="T247" s="380"/>
      <c r="U247" s="380"/>
      <c r="V247" s="380"/>
      <c r="W247" s="403"/>
      <c r="X247" s="380"/>
      <c r="Y247" s="380"/>
      <c r="Z247" s="380"/>
      <c r="AA247" s="380"/>
      <c r="AB247" s="380"/>
      <c r="AC247" s="404"/>
      <c r="AD247" s="380"/>
      <c r="AE247" s="380"/>
      <c r="AF247" s="380"/>
      <c r="AG247" s="380"/>
      <c r="AH247" s="380"/>
      <c r="AI247" s="380"/>
      <c r="AJ247" s="380"/>
      <c r="AK247" s="403"/>
      <c r="AL247" s="380"/>
      <c r="AM247" s="380"/>
      <c r="AN247" s="380"/>
      <c r="AO247" s="380"/>
      <c r="AP247" s="380"/>
      <c r="AQ247" s="404"/>
      <c r="AR247" s="380"/>
      <c r="AS247" s="380"/>
      <c r="AT247" s="380"/>
      <c r="AU247" s="380"/>
      <c r="AV247" s="380"/>
      <c r="AW247" s="380"/>
      <c r="AX247" s="380"/>
      <c r="AY247" s="403"/>
      <c r="AZ247" s="380"/>
      <c r="BA247" s="380"/>
      <c r="BB247" s="380"/>
      <c r="BC247" s="380"/>
      <c r="BD247" s="380"/>
      <c r="BE247" s="404"/>
      <c r="BF247" s="380"/>
      <c r="BG247" s="380"/>
      <c r="BH247" s="380"/>
      <c r="BI247" s="380"/>
      <c r="BJ247" s="380"/>
      <c r="BK247" s="380"/>
      <c r="BL247" s="380"/>
      <c r="BM247" s="403"/>
      <c r="BS247" s="83"/>
      <c r="CA247" s="405"/>
      <c r="CG247" s="83"/>
      <c r="CO247" s="405"/>
      <c r="CU247" s="83"/>
      <c r="DC247" s="405"/>
      <c r="DI247" s="83"/>
      <c r="DQ247" s="405"/>
      <c r="DW247" s="83"/>
      <c r="EE247" s="405"/>
      <c r="EK247" s="83"/>
      <c r="ES247" s="405"/>
      <c r="EY247" s="83"/>
      <c r="FG247" s="405"/>
      <c r="FM247" s="83"/>
      <c r="FU247" s="405"/>
      <c r="GA247" s="83"/>
      <c r="GI247" s="405"/>
      <c r="GO247" s="83"/>
      <c r="GW247" s="405"/>
      <c r="HC247" s="83"/>
      <c r="HK247" s="405"/>
      <c r="HQ247" s="83"/>
      <c r="HY247" s="405"/>
      <c r="IE247" s="83"/>
      <c r="IM247" s="405"/>
      <c r="IS247" s="83"/>
      <c r="JA247" s="405"/>
      <c r="JG247" s="83"/>
      <c r="JO247" s="405"/>
      <c r="JU247" s="83"/>
      <c r="KC247" s="405"/>
      <c r="KI247" s="83"/>
      <c r="KQ247" s="405"/>
      <c r="KW247" s="83"/>
      <c r="LE247" s="405"/>
      <c r="LK247" s="83"/>
      <c r="LS247" s="405"/>
      <c r="LY247" s="83"/>
      <c r="MG247" s="405"/>
      <c r="MM247" s="83"/>
      <c r="MU247" s="405"/>
      <c r="NA247" s="83"/>
    </row>
    <row r="248">
      <c r="A248" s="483"/>
      <c r="B248" s="380"/>
      <c r="C248" s="380"/>
      <c r="D248" s="380"/>
      <c r="E248" s="380"/>
      <c r="F248" s="380"/>
      <c r="G248" s="380"/>
      <c r="H248" s="380"/>
      <c r="I248" s="403"/>
      <c r="J248" s="380"/>
      <c r="K248" s="380"/>
      <c r="L248" s="380"/>
      <c r="M248" s="380"/>
      <c r="N248" s="380"/>
      <c r="O248" s="404"/>
      <c r="P248" s="380"/>
      <c r="Q248" s="380"/>
      <c r="R248" s="380"/>
      <c r="S248" s="380"/>
      <c r="T248" s="380"/>
      <c r="U248" s="380"/>
      <c r="V248" s="380"/>
      <c r="W248" s="403"/>
      <c r="X248" s="380"/>
      <c r="Y248" s="380"/>
      <c r="Z248" s="380"/>
      <c r="AA248" s="380"/>
      <c r="AB248" s="380"/>
      <c r="AC248" s="404"/>
      <c r="AD248" s="380"/>
      <c r="AE248" s="380"/>
      <c r="AF248" s="380"/>
      <c r="AG248" s="380"/>
      <c r="AH248" s="380"/>
      <c r="AI248" s="380"/>
      <c r="AJ248" s="380"/>
      <c r="AK248" s="403"/>
      <c r="AL248" s="380"/>
      <c r="AM248" s="380"/>
      <c r="AN248" s="380"/>
      <c r="AO248" s="380"/>
      <c r="AP248" s="380"/>
      <c r="AQ248" s="404"/>
      <c r="AR248" s="380"/>
      <c r="AS248" s="380"/>
      <c r="AT248" s="380"/>
      <c r="AU248" s="380"/>
      <c r="AV248" s="380"/>
      <c r="AW248" s="380"/>
      <c r="AX248" s="380"/>
      <c r="AY248" s="403"/>
      <c r="AZ248" s="380"/>
      <c r="BA248" s="380"/>
      <c r="BB248" s="380"/>
      <c r="BC248" s="380"/>
      <c r="BD248" s="380"/>
      <c r="BE248" s="404"/>
      <c r="BF248" s="380"/>
      <c r="BG248" s="380"/>
      <c r="BH248" s="380"/>
      <c r="BI248" s="380"/>
      <c r="BJ248" s="380"/>
      <c r="BK248" s="380"/>
      <c r="BL248" s="380"/>
      <c r="BM248" s="403"/>
      <c r="BS248" s="83"/>
      <c r="CA248" s="405"/>
      <c r="CG248" s="83"/>
      <c r="CO248" s="405"/>
      <c r="CU248" s="83"/>
      <c r="DC248" s="405"/>
      <c r="DI248" s="83"/>
      <c r="DQ248" s="405"/>
      <c r="DW248" s="83"/>
      <c r="EE248" s="405"/>
      <c r="EK248" s="83"/>
      <c r="ES248" s="405"/>
      <c r="EY248" s="83"/>
      <c r="FG248" s="405"/>
      <c r="FM248" s="83"/>
      <c r="FU248" s="405"/>
      <c r="GA248" s="83"/>
      <c r="GI248" s="405"/>
      <c r="GO248" s="83"/>
      <c r="GW248" s="405"/>
      <c r="HC248" s="83"/>
      <c r="HK248" s="405"/>
      <c r="HQ248" s="83"/>
      <c r="HY248" s="405"/>
      <c r="IE248" s="83"/>
      <c r="IM248" s="405"/>
      <c r="IS248" s="83"/>
      <c r="JA248" s="405"/>
      <c r="JG248" s="83"/>
      <c r="JO248" s="405"/>
      <c r="JU248" s="83"/>
      <c r="KC248" s="405"/>
      <c r="KI248" s="83"/>
      <c r="KQ248" s="405"/>
      <c r="KW248" s="83"/>
      <c r="LE248" s="405"/>
      <c r="LK248" s="83"/>
      <c r="LS248" s="405"/>
      <c r="LY248" s="83"/>
      <c r="MG248" s="405"/>
      <c r="MM248" s="83"/>
      <c r="MU248" s="405"/>
      <c r="NA248" s="83"/>
    </row>
    <row r="249">
      <c r="A249" s="483"/>
      <c r="B249" s="380"/>
      <c r="C249" s="380"/>
      <c r="D249" s="380"/>
      <c r="E249" s="380"/>
      <c r="F249" s="380"/>
      <c r="G249" s="380"/>
      <c r="H249" s="380"/>
      <c r="I249" s="403"/>
      <c r="J249" s="380"/>
      <c r="K249" s="380"/>
      <c r="L249" s="380"/>
      <c r="M249" s="380"/>
      <c r="N249" s="380"/>
      <c r="O249" s="404"/>
      <c r="P249" s="380"/>
      <c r="Q249" s="380"/>
      <c r="R249" s="380"/>
      <c r="S249" s="380"/>
      <c r="T249" s="380"/>
      <c r="U249" s="380"/>
      <c r="V249" s="380"/>
      <c r="W249" s="403"/>
      <c r="X249" s="380"/>
      <c r="Y249" s="380"/>
      <c r="Z249" s="380"/>
      <c r="AA249" s="380"/>
      <c r="AB249" s="380"/>
      <c r="AC249" s="404"/>
      <c r="AD249" s="380"/>
      <c r="AE249" s="380"/>
      <c r="AF249" s="380"/>
      <c r="AG249" s="380"/>
      <c r="AH249" s="380"/>
      <c r="AI249" s="380"/>
      <c r="AJ249" s="380"/>
      <c r="AK249" s="403"/>
      <c r="AL249" s="380"/>
      <c r="AM249" s="380"/>
      <c r="AN249" s="380"/>
      <c r="AO249" s="380"/>
      <c r="AP249" s="380"/>
      <c r="AQ249" s="404"/>
      <c r="AR249" s="380"/>
      <c r="AS249" s="380"/>
      <c r="AT249" s="380"/>
      <c r="AU249" s="380"/>
      <c r="AV249" s="380"/>
      <c r="AW249" s="380"/>
      <c r="AX249" s="380"/>
      <c r="AY249" s="403"/>
      <c r="AZ249" s="380"/>
      <c r="BA249" s="380"/>
      <c r="BB249" s="380"/>
      <c r="BC249" s="380"/>
      <c r="BD249" s="380"/>
      <c r="BE249" s="404"/>
      <c r="BF249" s="380"/>
      <c r="BG249" s="380"/>
      <c r="BH249" s="380"/>
      <c r="BI249" s="380"/>
      <c r="BJ249" s="380"/>
      <c r="BK249" s="380"/>
      <c r="BL249" s="380"/>
      <c r="BM249" s="403"/>
      <c r="BS249" s="83"/>
      <c r="CA249" s="405"/>
      <c r="CG249" s="83"/>
      <c r="CO249" s="405"/>
      <c r="CU249" s="83"/>
      <c r="DC249" s="405"/>
      <c r="DI249" s="83"/>
      <c r="DQ249" s="405"/>
      <c r="DW249" s="83"/>
      <c r="EE249" s="405"/>
      <c r="EK249" s="83"/>
      <c r="ES249" s="405"/>
      <c r="EY249" s="83"/>
      <c r="FG249" s="405"/>
      <c r="FM249" s="83"/>
      <c r="FU249" s="405"/>
      <c r="GA249" s="83"/>
      <c r="GI249" s="405"/>
      <c r="GO249" s="83"/>
      <c r="GW249" s="405"/>
      <c r="HC249" s="83"/>
      <c r="HK249" s="405"/>
      <c r="HQ249" s="83"/>
      <c r="HY249" s="405"/>
      <c r="IE249" s="83"/>
      <c r="IM249" s="405"/>
      <c r="IS249" s="83"/>
      <c r="JA249" s="405"/>
      <c r="JG249" s="83"/>
      <c r="JO249" s="405"/>
      <c r="JU249" s="83"/>
      <c r="KC249" s="405"/>
      <c r="KI249" s="83"/>
      <c r="KQ249" s="405"/>
      <c r="KW249" s="83"/>
      <c r="LE249" s="405"/>
      <c r="LK249" s="83"/>
      <c r="LS249" s="405"/>
      <c r="LY249" s="83"/>
      <c r="MG249" s="405"/>
      <c r="MM249" s="83"/>
      <c r="MU249" s="405"/>
      <c r="NA249" s="83"/>
    </row>
    <row r="250">
      <c r="A250" s="483"/>
      <c r="B250" s="380"/>
      <c r="C250" s="380"/>
      <c r="D250" s="380"/>
      <c r="E250" s="380"/>
      <c r="F250" s="380"/>
      <c r="G250" s="380"/>
      <c r="H250" s="380"/>
      <c r="I250" s="403"/>
      <c r="J250" s="380"/>
      <c r="K250" s="380"/>
      <c r="L250" s="380"/>
      <c r="M250" s="380"/>
      <c r="N250" s="380"/>
      <c r="O250" s="404"/>
      <c r="P250" s="380"/>
      <c r="Q250" s="380"/>
      <c r="R250" s="380"/>
      <c r="S250" s="380"/>
      <c r="T250" s="380"/>
      <c r="U250" s="380"/>
      <c r="V250" s="380"/>
      <c r="W250" s="403"/>
      <c r="X250" s="380"/>
      <c r="Y250" s="380"/>
      <c r="Z250" s="380"/>
      <c r="AA250" s="380"/>
      <c r="AB250" s="380"/>
      <c r="AC250" s="404"/>
      <c r="AD250" s="380"/>
      <c r="AE250" s="380"/>
      <c r="AF250" s="380"/>
      <c r="AG250" s="380"/>
      <c r="AH250" s="380"/>
      <c r="AI250" s="380"/>
      <c r="AJ250" s="380"/>
      <c r="AK250" s="403"/>
      <c r="AL250" s="380"/>
      <c r="AM250" s="380"/>
      <c r="AN250" s="380"/>
      <c r="AO250" s="380"/>
      <c r="AP250" s="380"/>
      <c r="AQ250" s="404"/>
      <c r="AR250" s="380"/>
      <c r="AS250" s="380"/>
      <c r="AT250" s="380"/>
      <c r="AU250" s="380"/>
      <c r="AV250" s="380"/>
      <c r="AW250" s="380"/>
      <c r="AX250" s="380"/>
      <c r="AY250" s="403"/>
      <c r="AZ250" s="380"/>
      <c r="BA250" s="380"/>
      <c r="BB250" s="380"/>
      <c r="BC250" s="380"/>
      <c r="BD250" s="380"/>
      <c r="BE250" s="404"/>
      <c r="BF250" s="380"/>
      <c r="BG250" s="380"/>
      <c r="BH250" s="380"/>
      <c r="BI250" s="380"/>
      <c r="BJ250" s="380"/>
      <c r="BK250" s="380"/>
      <c r="BL250" s="380"/>
      <c r="BM250" s="403"/>
      <c r="BS250" s="83"/>
      <c r="CA250" s="405"/>
      <c r="CG250" s="83"/>
      <c r="CO250" s="405"/>
      <c r="CU250" s="83"/>
      <c r="DC250" s="405"/>
      <c r="DI250" s="83"/>
      <c r="DQ250" s="405"/>
      <c r="DW250" s="83"/>
      <c r="EE250" s="405"/>
      <c r="EK250" s="83"/>
      <c r="ES250" s="405"/>
      <c r="EY250" s="83"/>
      <c r="FG250" s="405"/>
      <c r="FM250" s="83"/>
      <c r="FU250" s="405"/>
      <c r="GA250" s="83"/>
      <c r="GI250" s="405"/>
      <c r="GO250" s="83"/>
      <c r="GW250" s="405"/>
      <c r="HC250" s="83"/>
      <c r="HK250" s="405"/>
      <c r="HQ250" s="83"/>
      <c r="HY250" s="405"/>
      <c r="IE250" s="83"/>
      <c r="IM250" s="405"/>
      <c r="IS250" s="83"/>
      <c r="JA250" s="405"/>
      <c r="JG250" s="83"/>
      <c r="JO250" s="405"/>
      <c r="JU250" s="83"/>
      <c r="KC250" s="405"/>
      <c r="KI250" s="83"/>
      <c r="KQ250" s="405"/>
      <c r="KW250" s="83"/>
      <c r="LE250" s="405"/>
      <c r="LK250" s="83"/>
      <c r="LS250" s="405"/>
      <c r="LY250" s="83"/>
      <c r="MG250" s="405"/>
      <c r="MM250" s="83"/>
      <c r="MU250" s="405"/>
      <c r="NA250" s="83"/>
    </row>
    <row r="251">
      <c r="A251" s="483"/>
      <c r="B251" s="380"/>
      <c r="C251" s="380"/>
      <c r="D251" s="380"/>
      <c r="E251" s="380"/>
      <c r="F251" s="380"/>
      <c r="G251" s="380"/>
      <c r="H251" s="380"/>
      <c r="I251" s="403"/>
      <c r="J251" s="380"/>
      <c r="K251" s="380"/>
      <c r="L251" s="380"/>
      <c r="M251" s="380"/>
      <c r="N251" s="380"/>
      <c r="O251" s="404"/>
      <c r="P251" s="380"/>
      <c r="Q251" s="380"/>
      <c r="R251" s="380"/>
      <c r="S251" s="380"/>
      <c r="T251" s="380"/>
      <c r="U251" s="380"/>
      <c r="V251" s="380"/>
      <c r="W251" s="403"/>
      <c r="X251" s="380"/>
      <c r="Y251" s="380"/>
      <c r="Z251" s="380"/>
      <c r="AA251" s="380"/>
      <c r="AB251" s="380"/>
      <c r="AC251" s="404"/>
      <c r="AD251" s="380"/>
      <c r="AE251" s="380"/>
      <c r="AF251" s="380"/>
      <c r="AG251" s="380"/>
      <c r="AH251" s="380"/>
      <c r="AI251" s="380"/>
      <c r="AJ251" s="380"/>
      <c r="AK251" s="403"/>
      <c r="AL251" s="380"/>
      <c r="AM251" s="380"/>
      <c r="AN251" s="380"/>
      <c r="AO251" s="380"/>
      <c r="AP251" s="380"/>
      <c r="AQ251" s="404"/>
      <c r="AR251" s="380"/>
      <c r="AS251" s="380"/>
      <c r="AT251" s="380"/>
      <c r="AU251" s="380"/>
      <c r="AV251" s="380"/>
      <c r="AW251" s="380"/>
      <c r="AX251" s="380"/>
      <c r="AY251" s="403"/>
      <c r="AZ251" s="380"/>
      <c r="BA251" s="380"/>
      <c r="BB251" s="380"/>
      <c r="BC251" s="380"/>
      <c r="BD251" s="380"/>
      <c r="BE251" s="404"/>
      <c r="BF251" s="380"/>
      <c r="BG251" s="380"/>
      <c r="BH251" s="380"/>
      <c r="BI251" s="380"/>
      <c r="BJ251" s="380"/>
      <c r="BK251" s="380"/>
      <c r="BL251" s="380"/>
      <c r="BM251" s="403"/>
      <c r="BS251" s="83"/>
      <c r="CA251" s="405"/>
      <c r="CG251" s="83"/>
      <c r="CO251" s="405"/>
      <c r="CU251" s="83"/>
      <c r="DC251" s="405"/>
      <c r="DI251" s="83"/>
      <c r="DQ251" s="405"/>
      <c r="DW251" s="83"/>
      <c r="EE251" s="405"/>
      <c r="EK251" s="83"/>
      <c r="ES251" s="405"/>
      <c r="EY251" s="83"/>
      <c r="FG251" s="405"/>
      <c r="FM251" s="83"/>
      <c r="FU251" s="405"/>
      <c r="GA251" s="83"/>
      <c r="GI251" s="405"/>
      <c r="GO251" s="83"/>
      <c r="GW251" s="405"/>
      <c r="HC251" s="83"/>
      <c r="HK251" s="405"/>
      <c r="HQ251" s="83"/>
      <c r="HY251" s="405"/>
      <c r="IE251" s="83"/>
      <c r="IM251" s="405"/>
      <c r="IS251" s="83"/>
      <c r="JA251" s="405"/>
      <c r="JG251" s="83"/>
      <c r="JO251" s="405"/>
      <c r="JU251" s="83"/>
      <c r="KC251" s="405"/>
      <c r="KI251" s="83"/>
      <c r="KQ251" s="405"/>
      <c r="KW251" s="83"/>
      <c r="LE251" s="405"/>
      <c r="LK251" s="83"/>
      <c r="LS251" s="405"/>
      <c r="LY251" s="83"/>
      <c r="MG251" s="405"/>
      <c r="MM251" s="83"/>
      <c r="MU251" s="405"/>
      <c r="NA251" s="83"/>
    </row>
    <row r="252">
      <c r="A252" s="483"/>
      <c r="B252" s="380"/>
      <c r="C252" s="380"/>
      <c r="D252" s="380"/>
      <c r="E252" s="380"/>
      <c r="F252" s="380"/>
      <c r="G252" s="380"/>
      <c r="H252" s="380"/>
      <c r="I252" s="403"/>
      <c r="J252" s="380"/>
      <c r="K252" s="380"/>
      <c r="L252" s="380"/>
      <c r="M252" s="380"/>
      <c r="N252" s="380"/>
      <c r="O252" s="404"/>
      <c r="P252" s="380"/>
      <c r="Q252" s="380"/>
      <c r="R252" s="380"/>
      <c r="S252" s="380"/>
      <c r="T252" s="380"/>
      <c r="U252" s="380"/>
      <c r="V252" s="380"/>
      <c r="W252" s="403"/>
      <c r="X252" s="380"/>
      <c r="Y252" s="380"/>
      <c r="Z252" s="380"/>
      <c r="AA252" s="380"/>
      <c r="AB252" s="380"/>
      <c r="AC252" s="404"/>
      <c r="AD252" s="380"/>
      <c r="AE252" s="380"/>
      <c r="AF252" s="380"/>
      <c r="AG252" s="380"/>
      <c r="AH252" s="380"/>
      <c r="AI252" s="380"/>
      <c r="AJ252" s="380"/>
      <c r="AK252" s="403"/>
      <c r="AL252" s="380"/>
      <c r="AM252" s="380"/>
      <c r="AN252" s="380"/>
      <c r="AO252" s="380"/>
      <c r="AP252" s="380"/>
      <c r="AQ252" s="404"/>
      <c r="AR252" s="380"/>
      <c r="AS252" s="380"/>
      <c r="AT252" s="380"/>
      <c r="AU252" s="380"/>
      <c r="AV252" s="380"/>
      <c r="AW252" s="380"/>
      <c r="AX252" s="380"/>
      <c r="AY252" s="403"/>
      <c r="AZ252" s="380"/>
      <c r="BA252" s="380"/>
      <c r="BB252" s="380"/>
      <c r="BC252" s="380"/>
      <c r="BD252" s="380"/>
      <c r="BE252" s="404"/>
      <c r="BF252" s="380"/>
      <c r="BG252" s="380"/>
      <c r="BH252" s="380"/>
      <c r="BI252" s="380"/>
      <c r="BJ252" s="380"/>
      <c r="BK252" s="380"/>
      <c r="BL252" s="380"/>
      <c r="BM252" s="403"/>
      <c r="BS252" s="83"/>
      <c r="CA252" s="405"/>
      <c r="CG252" s="83"/>
      <c r="CO252" s="405"/>
      <c r="CU252" s="83"/>
      <c r="DC252" s="405"/>
      <c r="DI252" s="83"/>
      <c r="DQ252" s="405"/>
      <c r="DW252" s="83"/>
      <c r="EE252" s="405"/>
      <c r="EK252" s="83"/>
      <c r="ES252" s="405"/>
      <c r="EY252" s="83"/>
      <c r="FG252" s="405"/>
      <c r="FM252" s="83"/>
      <c r="FU252" s="405"/>
      <c r="GA252" s="83"/>
      <c r="GI252" s="405"/>
      <c r="GO252" s="83"/>
      <c r="GW252" s="405"/>
      <c r="HC252" s="83"/>
      <c r="HK252" s="405"/>
      <c r="HQ252" s="83"/>
      <c r="HY252" s="405"/>
      <c r="IE252" s="83"/>
      <c r="IM252" s="405"/>
      <c r="IS252" s="83"/>
      <c r="JA252" s="405"/>
      <c r="JG252" s="83"/>
      <c r="JO252" s="405"/>
      <c r="JU252" s="83"/>
      <c r="KC252" s="405"/>
      <c r="KI252" s="83"/>
      <c r="KQ252" s="405"/>
      <c r="KW252" s="83"/>
      <c r="LE252" s="405"/>
      <c r="LK252" s="83"/>
      <c r="LS252" s="405"/>
      <c r="LY252" s="83"/>
      <c r="MG252" s="405"/>
      <c r="MM252" s="83"/>
      <c r="MU252" s="405"/>
      <c r="NA252" s="83"/>
    </row>
    <row r="253">
      <c r="A253" s="483"/>
      <c r="B253" s="380"/>
      <c r="C253" s="380"/>
      <c r="D253" s="380"/>
      <c r="E253" s="380"/>
      <c r="F253" s="380"/>
      <c r="G253" s="380"/>
      <c r="H253" s="380"/>
      <c r="I253" s="403"/>
      <c r="J253" s="380"/>
      <c r="K253" s="380"/>
      <c r="L253" s="380"/>
      <c r="M253" s="380"/>
      <c r="N253" s="380"/>
      <c r="O253" s="404"/>
      <c r="P253" s="380"/>
      <c r="Q253" s="380"/>
      <c r="R253" s="380"/>
      <c r="S253" s="380"/>
      <c r="T253" s="380"/>
      <c r="U253" s="380"/>
      <c r="V253" s="380"/>
      <c r="W253" s="403"/>
      <c r="X253" s="380"/>
      <c r="Y253" s="380"/>
      <c r="Z253" s="380"/>
      <c r="AA253" s="380"/>
      <c r="AB253" s="380"/>
      <c r="AC253" s="404"/>
      <c r="AD253" s="380"/>
      <c r="AE253" s="380"/>
      <c r="AF253" s="380"/>
      <c r="AG253" s="380"/>
      <c r="AH253" s="380"/>
      <c r="AI253" s="380"/>
      <c r="AJ253" s="380"/>
      <c r="AK253" s="403"/>
      <c r="AL253" s="380"/>
      <c r="AM253" s="380"/>
      <c r="AN253" s="380"/>
      <c r="AO253" s="380"/>
      <c r="AP253" s="380"/>
      <c r="AQ253" s="404"/>
      <c r="AR253" s="380"/>
      <c r="AS253" s="380"/>
      <c r="AT253" s="380"/>
      <c r="AU253" s="380"/>
      <c r="AV253" s="380"/>
      <c r="AW253" s="380"/>
      <c r="AX253" s="380"/>
      <c r="AY253" s="403"/>
      <c r="AZ253" s="380"/>
      <c r="BA253" s="380"/>
      <c r="BB253" s="380"/>
      <c r="BC253" s="380"/>
      <c r="BD253" s="380"/>
      <c r="BE253" s="404"/>
      <c r="BF253" s="380"/>
      <c r="BG253" s="380"/>
      <c r="BH253" s="380"/>
      <c r="BI253" s="380"/>
      <c r="BJ253" s="380"/>
      <c r="BK253" s="380"/>
      <c r="BL253" s="380"/>
      <c r="BM253" s="403"/>
      <c r="BS253" s="83"/>
      <c r="CA253" s="405"/>
      <c r="CG253" s="83"/>
      <c r="CO253" s="405"/>
      <c r="CU253" s="83"/>
      <c r="DC253" s="405"/>
      <c r="DI253" s="83"/>
      <c r="DQ253" s="405"/>
      <c r="DW253" s="83"/>
      <c r="EE253" s="405"/>
      <c r="EK253" s="83"/>
      <c r="ES253" s="405"/>
      <c r="EY253" s="83"/>
      <c r="FG253" s="405"/>
      <c r="FM253" s="83"/>
      <c r="FU253" s="405"/>
      <c r="GA253" s="83"/>
      <c r="GI253" s="405"/>
      <c r="GO253" s="83"/>
      <c r="GW253" s="405"/>
      <c r="HC253" s="83"/>
      <c r="HK253" s="405"/>
      <c r="HQ253" s="83"/>
      <c r="HY253" s="405"/>
      <c r="IE253" s="83"/>
      <c r="IM253" s="405"/>
      <c r="IS253" s="83"/>
      <c r="JA253" s="405"/>
      <c r="JG253" s="83"/>
      <c r="JO253" s="405"/>
      <c r="JU253" s="83"/>
      <c r="KC253" s="405"/>
      <c r="KI253" s="83"/>
      <c r="KQ253" s="405"/>
      <c r="KW253" s="83"/>
      <c r="LE253" s="405"/>
      <c r="LK253" s="83"/>
      <c r="LS253" s="405"/>
      <c r="LY253" s="83"/>
      <c r="MG253" s="405"/>
      <c r="MM253" s="83"/>
      <c r="MU253" s="405"/>
      <c r="NA253" s="83"/>
    </row>
    <row r="254">
      <c r="A254" s="483"/>
      <c r="B254" s="380"/>
      <c r="C254" s="380"/>
      <c r="D254" s="380"/>
      <c r="E254" s="380"/>
      <c r="F254" s="380"/>
      <c r="G254" s="380"/>
      <c r="H254" s="380"/>
      <c r="I254" s="403"/>
      <c r="J254" s="380"/>
      <c r="K254" s="380"/>
      <c r="L254" s="380"/>
      <c r="M254" s="380"/>
      <c r="N254" s="380"/>
      <c r="O254" s="404"/>
      <c r="P254" s="380"/>
      <c r="Q254" s="380"/>
      <c r="R254" s="380"/>
      <c r="S254" s="380"/>
      <c r="T254" s="380"/>
      <c r="U254" s="380"/>
      <c r="V254" s="380"/>
      <c r="W254" s="403"/>
      <c r="X254" s="380"/>
      <c r="Y254" s="380"/>
      <c r="Z254" s="380"/>
      <c r="AA254" s="380"/>
      <c r="AB254" s="380"/>
      <c r="AC254" s="404"/>
      <c r="AD254" s="380"/>
      <c r="AE254" s="380"/>
      <c r="AF254" s="380"/>
      <c r="AG254" s="380"/>
      <c r="AH254" s="380"/>
      <c r="AI254" s="380"/>
      <c r="AJ254" s="380"/>
      <c r="AK254" s="403"/>
      <c r="AL254" s="380"/>
      <c r="AM254" s="380"/>
      <c r="AN254" s="380"/>
      <c r="AO254" s="380"/>
      <c r="AP254" s="380"/>
      <c r="AQ254" s="404"/>
      <c r="AR254" s="380"/>
      <c r="AS254" s="380"/>
      <c r="AT254" s="380"/>
      <c r="AU254" s="380"/>
      <c r="AV254" s="380"/>
      <c r="AW254" s="380"/>
      <c r="AX254" s="380"/>
      <c r="AY254" s="403"/>
      <c r="AZ254" s="380"/>
      <c r="BA254" s="380"/>
      <c r="BB254" s="380"/>
      <c r="BC254" s="380"/>
      <c r="BD254" s="380"/>
      <c r="BE254" s="404"/>
      <c r="BF254" s="380"/>
      <c r="BG254" s="380"/>
      <c r="BH254" s="380"/>
      <c r="BI254" s="380"/>
      <c r="BJ254" s="380"/>
      <c r="BK254" s="380"/>
      <c r="BL254" s="380"/>
      <c r="BM254" s="403"/>
      <c r="BS254" s="83"/>
      <c r="CA254" s="405"/>
      <c r="CG254" s="83"/>
      <c r="CO254" s="405"/>
      <c r="CU254" s="83"/>
      <c r="DC254" s="405"/>
      <c r="DI254" s="83"/>
      <c r="DQ254" s="405"/>
      <c r="DW254" s="83"/>
      <c r="EE254" s="405"/>
      <c r="EK254" s="83"/>
      <c r="ES254" s="405"/>
      <c r="EY254" s="83"/>
      <c r="FG254" s="405"/>
      <c r="FM254" s="83"/>
      <c r="FU254" s="405"/>
      <c r="GA254" s="83"/>
      <c r="GI254" s="405"/>
      <c r="GO254" s="83"/>
      <c r="GW254" s="405"/>
      <c r="HC254" s="83"/>
      <c r="HK254" s="405"/>
      <c r="HQ254" s="83"/>
      <c r="HY254" s="405"/>
      <c r="IE254" s="83"/>
      <c r="IM254" s="405"/>
      <c r="IS254" s="83"/>
      <c r="JA254" s="405"/>
      <c r="JG254" s="83"/>
      <c r="JO254" s="405"/>
      <c r="JU254" s="83"/>
      <c r="KC254" s="405"/>
      <c r="KI254" s="83"/>
      <c r="KQ254" s="405"/>
      <c r="KW254" s="83"/>
      <c r="LE254" s="405"/>
      <c r="LK254" s="83"/>
      <c r="LS254" s="405"/>
      <c r="LY254" s="83"/>
      <c r="MG254" s="405"/>
      <c r="MM254" s="83"/>
      <c r="MU254" s="405"/>
      <c r="NA254" s="83"/>
    </row>
    <row r="255">
      <c r="A255" s="483"/>
      <c r="B255" s="380"/>
      <c r="C255" s="380"/>
      <c r="D255" s="380"/>
      <c r="E255" s="380"/>
      <c r="F255" s="380"/>
      <c r="G255" s="380"/>
      <c r="H255" s="380"/>
      <c r="I255" s="403"/>
      <c r="J255" s="380"/>
      <c r="K255" s="380"/>
      <c r="L255" s="380"/>
      <c r="M255" s="380"/>
      <c r="N255" s="380"/>
      <c r="O255" s="404"/>
      <c r="P255" s="380"/>
      <c r="Q255" s="380"/>
      <c r="R255" s="380"/>
      <c r="S255" s="380"/>
      <c r="T255" s="380"/>
      <c r="U255" s="380"/>
      <c r="V255" s="380"/>
      <c r="W255" s="403"/>
      <c r="X255" s="380"/>
      <c r="Y255" s="380"/>
      <c r="Z255" s="380"/>
      <c r="AA255" s="380"/>
      <c r="AB255" s="380"/>
      <c r="AC255" s="404"/>
      <c r="AD255" s="380"/>
      <c r="AE255" s="380"/>
      <c r="AF255" s="380"/>
      <c r="AG255" s="380"/>
      <c r="AH255" s="380"/>
      <c r="AI255" s="380"/>
      <c r="AJ255" s="380"/>
      <c r="AK255" s="403"/>
      <c r="AL255" s="380"/>
      <c r="AM255" s="380"/>
      <c r="AN255" s="380"/>
      <c r="AO255" s="380"/>
      <c r="AP255" s="380"/>
      <c r="AQ255" s="404"/>
      <c r="AR255" s="380"/>
      <c r="AS255" s="380"/>
      <c r="AT255" s="380"/>
      <c r="AU255" s="380"/>
      <c r="AV255" s="380"/>
      <c r="AW255" s="380"/>
      <c r="AX255" s="380"/>
      <c r="AY255" s="403"/>
      <c r="AZ255" s="380"/>
      <c r="BA255" s="380"/>
      <c r="BB255" s="380"/>
      <c r="BC255" s="380"/>
      <c r="BD255" s="380"/>
      <c r="BE255" s="404"/>
      <c r="BF255" s="380"/>
      <c r="BG255" s="380"/>
      <c r="BH255" s="380"/>
      <c r="BI255" s="380"/>
      <c r="BJ255" s="380"/>
      <c r="BK255" s="380"/>
      <c r="BL255" s="380"/>
      <c r="BM255" s="403"/>
      <c r="BS255" s="83"/>
      <c r="CA255" s="405"/>
      <c r="CG255" s="83"/>
      <c r="CO255" s="405"/>
      <c r="CU255" s="83"/>
      <c r="DC255" s="405"/>
      <c r="DI255" s="83"/>
      <c r="DQ255" s="405"/>
      <c r="DW255" s="83"/>
      <c r="EE255" s="405"/>
      <c r="EK255" s="83"/>
      <c r="ES255" s="405"/>
      <c r="EY255" s="83"/>
      <c r="FG255" s="405"/>
      <c r="FM255" s="83"/>
      <c r="FU255" s="405"/>
      <c r="GA255" s="83"/>
      <c r="GI255" s="405"/>
      <c r="GO255" s="83"/>
      <c r="GW255" s="405"/>
      <c r="HC255" s="83"/>
      <c r="HK255" s="405"/>
      <c r="HQ255" s="83"/>
      <c r="HY255" s="405"/>
      <c r="IE255" s="83"/>
      <c r="IM255" s="405"/>
      <c r="IS255" s="83"/>
      <c r="JA255" s="405"/>
      <c r="JG255" s="83"/>
      <c r="JO255" s="405"/>
      <c r="JU255" s="83"/>
      <c r="KC255" s="405"/>
      <c r="KI255" s="83"/>
      <c r="KQ255" s="405"/>
      <c r="KW255" s="83"/>
      <c r="LE255" s="405"/>
      <c r="LK255" s="83"/>
      <c r="LS255" s="405"/>
      <c r="LY255" s="83"/>
      <c r="MG255" s="405"/>
      <c r="MM255" s="83"/>
      <c r="MU255" s="405"/>
      <c r="NA255" s="83"/>
    </row>
    <row r="256">
      <c r="A256" s="483"/>
      <c r="B256" s="380"/>
      <c r="C256" s="380"/>
      <c r="D256" s="380"/>
      <c r="E256" s="380"/>
      <c r="F256" s="380"/>
      <c r="G256" s="380"/>
      <c r="H256" s="380"/>
      <c r="I256" s="403"/>
      <c r="J256" s="380"/>
      <c r="K256" s="380"/>
      <c r="L256" s="380"/>
      <c r="M256" s="380"/>
      <c r="N256" s="380"/>
      <c r="O256" s="404"/>
      <c r="P256" s="380"/>
      <c r="Q256" s="380"/>
      <c r="R256" s="380"/>
      <c r="S256" s="380"/>
      <c r="T256" s="380"/>
      <c r="U256" s="380"/>
      <c r="V256" s="380"/>
      <c r="W256" s="403"/>
      <c r="X256" s="380"/>
      <c r="Y256" s="380"/>
      <c r="Z256" s="380"/>
      <c r="AA256" s="380"/>
      <c r="AB256" s="380"/>
      <c r="AC256" s="404"/>
      <c r="AD256" s="380"/>
      <c r="AE256" s="380"/>
      <c r="AF256" s="380"/>
      <c r="AG256" s="380"/>
      <c r="AH256" s="380"/>
      <c r="AI256" s="380"/>
      <c r="AJ256" s="380"/>
      <c r="AK256" s="403"/>
      <c r="AL256" s="380"/>
      <c r="AM256" s="380"/>
      <c r="AN256" s="380"/>
      <c r="AO256" s="380"/>
      <c r="AP256" s="380"/>
      <c r="AQ256" s="404"/>
      <c r="AR256" s="380"/>
      <c r="AS256" s="380"/>
      <c r="AT256" s="380"/>
      <c r="AU256" s="380"/>
      <c r="AV256" s="380"/>
      <c r="AW256" s="380"/>
      <c r="AX256" s="380"/>
      <c r="AY256" s="403"/>
      <c r="AZ256" s="380"/>
      <c r="BA256" s="380"/>
      <c r="BB256" s="380"/>
      <c r="BC256" s="380"/>
      <c r="BD256" s="380"/>
      <c r="BE256" s="404"/>
      <c r="BF256" s="380"/>
      <c r="BG256" s="380"/>
      <c r="BH256" s="380"/>
      <c r="BI256" s="380"/>
      <c r="BJ256" s="380"/>
      <c r="BK256" s="380"/>
      <c r="BL256" s="380"/>
      <c r="BM256" s="403"/>
      <c r="BS256" s="83"/>
      <c r="CA256" s="405"/>
      <c r="CG256" s="83"/>
      <c r="CO256" s="405"/>
      <c r="CU256" s="83"/>
      <c r="DC256" s="405"/>
      <c r="DI256" s="83"/>
      <c r="DQ256" s="405"/>
      <c r="DW256" s="83"/>
      <c r="EE256" s="405"/>
      <c r="EK256" s="83"/>
      <c r="ES256" s="405"/>
      <c r="EY256" s="83"/>
      <c r="FG256" s="405"/>
      <c r="FM256" s="83"/>
      <c r="FU256" s="405"/>
      <c r="GA256" s="83"/>
      <c r="GI256" s="405"/>
      <c r="GO256" s="83"/>
      <c r="GW256" s="405"/>
      <c r="HC256" s="83"/>
      <c r="HK256" s="405"/>
      <c r="HQ256" s="83"/>
      <c r="HY256" s="405"/>
      <c r="IE256" s="83"/>
      <c r="IM256" s="405"/>
      <c r="IS256" s="83"/>
      <c r="JA256" s="405"/>
      <c r="JG256" s="83"/>
      <c r="JO256" s="405"/>
      <c r="JU256" s="83"/>
      <c r="KC256" s="405"/>
      <c r="KI256" s="83"/>
      <c r="KQ256" s="405"/>
      <c r="KW256" s="83"/>
      <c r="LE256" s="405"/>
      <c r="LK256" s="83"/>
      <c r="LS256" s="405"/>
      <c r="LY256" s="83"/>
      <c r="MG256" s="405"/>
      <c r="MM256" s="83"/>
      <c r="MU256" s="405"/>
      <c r="NA256" s="83"/>
    </row>
    <row r="257">
      <c r="A257" s="483"/>
      <c r="B257" s="380"/>
      <c r="C257" s="380"/>
      <c r="D257" s="380"/>
      <c r="E257" s="380"/>
      <c r="F257" s="380"/>
      <c r="G257" s="380"/>
      <c r="H257" s="380"/>
      <c r="I257" s="403"/>
      <c r="J257" s="380"/>
      <c r="K257" s="380"/>
      <c r="L257" s="380"/>
      <c r="M257" s="380"/>
      <c r="N257" s="380"/>
      <c r="O257" s="404"/>
      <c r="P257" s="380"/>
      <c r="Q257" s="380"/>
      <c r="R257" s="380"/>
      <c r="S257" s="380"/>
      <c r="T257" s="380"/>
      <c r="U257" s="380"/>
      <c r="V257" s="380"/>
      <c r="W257" s="403"/>
      <c r="X257" s="380"/>
      <c r="Y257" s="380"/>
      <c r="Z257" s="380"/>
      <c r="AA257" s="380"/>
      <c r="AB257" s="380"/>
      <c r="AC257" s="404"/>
      <c r="AD257" s="380"/>
      <c r="AE257" s="380"/>
      <c r="AF257" s="380"/>
      <c r="AG257" s="380"/>
      <c r="AH257" s="380"/>
      <c r="AI257" s="380"/>
      <c r="AJ257" s="380"/>
      <c r="AK257" s="403"/>
      <c r="AL257" s="380"/>
      <c r="AM257" s="380"/>
      <c r="AN257" s="380"/>
      <c r="AO257" s="380"/>
      <c r="AP257" s="380"/>
      <c r="AQ257" s="404"/>
      <c r="AR257" s="380"/>
      <c r="AS257" s="380"/>
      <c r="AT257" s="380"/>
      <c r="AU257" s="380"/>
      <c r="AV257" s="380"/>
      <c r="AW257" s="380"/>
      <c r="AX257" s="380"/>
      <c r="AY257" s="403"/>
      <c r="AZ257" s="380"/>
      <c r="BA257" s="380"/>
      <c r="BB257" s="380"/>
      <c r="BC257" s="380"/>
      <c r="BD257" s="380"/>
      <c r="BE257" s="404"/>
      <c r="BF257" s="380"/>
      <c r="BG257" s="380"/>
      <c r="BH257" s="380"/>
      <c r="BI257" s="380"/>
      <c r="BJ257" s="380"/>
      <c r="BK257" s="380"/>
      <c r="BL257" s="380"/>
      <c r="BM257" s="403"/>
      <c r="BS257" s="83"/>
      <c r="CA257" s="405"/>
      <c r="CG257" s="83"/>
      <c r="CO257" s="405"/>
      <c r="CU257" s="83"/>
      <c r="DC257" s="405"/>
      <c r="DI257" s="83"/>
      <c r="DQ257" s="405"/>
      <c r="DW257" s="83"/>
      <c r="EE257" s="405"/>
      <c r="EK257" s="83"/>
      <c r="ES257" s="405"/>
      <c r="EY257" s="83"/>
      <c r="FG257" s="405"/>
      <c r="FM257" s="83"/>
      <c r="FU257" s="405"/>
      <c r="GA257" s="83"/>
      <c r="GI257" s="405"/>
      <c r="GO257" s="83"/>
      <c r="GW257" s="405"/>
      <c r="HC257" s="83"/>
      <c r="HK257" s="405"/>
      <c r="HQ257" s="83"/>
      <c r="HY257" s="405"/>
      <c r="IE257" s="83"/>
      <c r="IM257" s="405"/>
      <c r="IS257" s="83"/>
      <c r="JA257" s="405"/>
      <c r="JG257" s="83"/>
      <c r="JO257" s="405"/>
      <c r="JU257" s="83"/>
      <c r="KC257" s="405"/>
      <c r="KI257" s="83"/>
      <c r="KQ257" s="405"/>
      <c r="KW257" s="83"/>
      <c r="LE257" s="405"/>
      <c r="LK257" s="83"/>
      <c r="LS257" s="405"/>
      <c r="LY257" s="83"/>
      <c r="MG257" s="405"/>
      <c r="MM257" s="83"/>
      <c r="MU257" s="405"/>
      <c r="NA257" s="83"/>
    </row>
    <row r="258">
      <c r="A258" s="483"/>
      <c r="B258" s="380"/>
      <c r="C258" s="380"/>
      <c r="D258" s="380"/>
      <c r="E258" s="380"/>
      <c r="F258" s="380"/>
      <c r="G258" s="380"/>
      <c r="H258" s="380"/>
      <c r="I258" s="403"/>
      <c r="J258" s="380"/>
      <c r="K258" s="380"/>
      <c r="L258" s="380"/>
      <c r="M258" s="380"/>
      <c r="N258" s="380"/>
      <c r="O258" s="404"/>
      <c r="P258" s="380"/>
      <c r="Q258" s="380"/>
      <c r="R258" s="380"/>
      <c r="S258" s="380"/>
      <c r="T258" s="380"/>
      <c r="U258" s="380"/>
      <c r="V258" s="380"/>
      <c r="W258" s="403"/>
      <c r="X258" s="380"/>
      <c r="Y258" s="380"/>
      <c r="Z258" s="380"/>
      <c r="AA258" s="380"/>
      <c r="AB258" s="380"/>
      <c r="AC258" s="404"/>
      <c r="AD258" s="380"/>
      <c r="AE258" s="380"/>
      <c r="AF258" s="380"/>
      <c r="AG258" s="380"/>
      <c r="AH258" s="380"/>
      <c r="AI258" s="380"/>
      <c r="AJ258" s="380"/>
      <c r="AK258" s="403"/>
      <c r="AL258" s="380"/>
      <c r="AM258" s="380"/>
      <c r="AN258" s="380"/>
      <c r="AO258" s="380"/>
      <c r="AP258" s="380"/>
      <c r="AQ258" s="404"/>
      <c r="AR258" s="380"/>
      <c r="AS258" s="380"/>
      <c r="AT258" s="380"/>
      <c r="AU258" s="380"/>
      <c r="AV258" s="380"/>
      <c r="AW258" s="380"/>
      <c r="AX258" s="380"/>
      <c r="AY258" s="403"/>
      <c r="AZ258" s="380"/>
      <c r="BA258" s="380"/>
      <c r="BB258" s="380"/>
      <c r="BC258" s="380"/>
      <c r="BD258" s="380"/>
      <c r="BE258" s="404"/>
      <c r="BF258" s="380"/>
      <c r="BG258" s="380"/>
      <c r="BH258" s="380"/>
      <c r="BI258" s="380"/>
      <c r="BJ258" s="380"/>
      <c r="BK258" s="380"/>
      <c r="BL258" s="380"/>
      <c r="BM258" s="403"/>
      <c r="BS258" s="83"/>
      <c r="CA258" s="405"/>
      <c r="CG258" s="83"/>
      <c r="CO258" s="405"/>
      <c r="CU258" s="83"/>
      <c r="DC258" s="405"/>
      <c r="DI258" s="83"/>
      <c r="DQ258" s="405"/>
      <c r="DW258" s="83"/>
      <c r="EE258" s="405"/>
      <c r="EK258" s="83"/>
      <c r="ES258" s="405"/>
      <c r="EY258" s="83"/>
      <c r="FG258" s="405"/>
      <c r="FM258" s="83"/>
      <c r="FU258" s="405"/>
      <c r="GA258" s="83"/>
      <c r="GI258" s="405"/>
      <c r="GO258" s="83"/>
      <c r="GW258" s="405"/>
      <c r="HC258" s="83"/>
      <c r="HK258" s="405"/>
      <c r="HQ258" s="83"/>
      <c r="HY258" s="405"/>
      <c r="IE258" s="83"/>
      <c r="IM258" s="405"/>
      <c r="IS258" s="83"/>
      <c r="JA258" s="405"/>
      <c r="JG258" s="83"/>
      <c r="JO258" s="405"/>
      <c r="JU258" s="83"/>
      <c r="KC258" s="405"/>
      <c r="KI258" s="83"/>
      <c r="KQ258" s="405"/>
      <c r="KW258" s="83"/>
      <c r="LE258" s="405"/>
      <c r="LK258" s="83"/>
      <c r="LS258" s="405"/>
      <c r="LY258" s="83"/>
      <c r="MG258" s="405"/>
      <c r="MM258" s="83"/>
      <c r="MU258" s="405"/>
      <c r="NA258" s="83"/>
    </row>
    <row r="259">
      <c r="A259" s="483"/>
      <c r="B259" s="380"/>
      <c r="C259" s="380"/>
      <c r="D259" s="380"/>
      <c r="E259" s="380"/>
      <c r="F259" s="380"/>
      <c r="G259" s="380"/>
      <c r="H259" s="380"/>
      <c r="I259" s="403"/>
      <c r="J259" s="380"/>
      <c r="K259" s="380"/>
      <c r="L259" s="380"/>
      <c r="M259" s="380"/>
      <c r="N259" s="380"/>
      <c r="O259" s="404"/>
      <c r="P259" s="380"/>
      <c r="Q259" s="380"/>
      <c r="R259" s="380"/>
      <c r="S259" s="380"/>
      <c r="T259" s="380"/>
      <c r="U259" s="380"/>
      <c r="V259" s="380"/>
      <c r="W259" s="403"/>
      <c r="X259" s="380"/>
      <c r="Y259" s="380"/>
      <c r="Z259" s="380"/>
      <c r="AA259" s="380"/>
      <c r="AB259" s="380"/>
      <c r="AC259" s="404"/>
      <c r="AD259" s="380"/>
      <c r="AE259" s="380"/>
      <c r="AF259" s="380"/>
      <c r="AG259" s="380"/>
      <c r="AH259" s="380"/>
      <c r="AI259" s="380"/>
      <c r="AJ259" s="380"/>
      <c r="AK259" s="403"/>
      <c r="AL259" s="380"/>
      <c r="AM259" s="380"/>
      <c r="AN259" s="380"/>
      <c r="AO259" s="380"/>
      <c r="AP259" s="380"/>
      <c r="AQ259" s="404"/>
      <c r="AR259" s="380"/>
      <c r="AS259" s="380"/>
      <c r="AT259" s="380"/>
      <c r="AU259" s="380"/>
      <c r="AV259" s="380"/>
      <c r="AW259" s="380"/>
      <c r="AX259" s="380"/>
      <c r="AY259" s="403"/>
      <c r="AZ259" s="380"/>
      <c r="BA259" s="380"/>
      <c r="BB259" s="380"/>
      <c r="BC259" s="380"/>
      <c r="BD259" s="380"/>
      <c r="BE259" s="404"/>
      <c r="BF259" s="380"/>
      <c r="BG259" s="380"/>
      <c r="BH259" s="380"/>
      <c r="BI259" s="380"/>
      <c r="BJ259" s="380"/>
      <c r="BK259" s="380"/>
      <c r="BL259" s="380"/>
      <c r="BM259" s="403"/>
      <c r="BS259" s="83"/>
      <c r="CA259" s="405"/>
      <c r="CG259" s="83"/>
      <c r="CO259" s="405"/>
      <c r="CU259" s="83"/>
      <c r="DC259" s="405"/>
      <c r="DI259" s="83"/>
      <c r="DQ259" s="405"/>
      <c r="DW259" s="83"/>
      <c r="EE259" s="405"/>
      <c r="EK259" s="83"/>
      <c r="ES259" s="405"/>
      <c r="EY259" s="83"/>
      <c r="FG259" s="405"/>
      <c r="FM259" s="83"/>
      <c r="FU259" s="405"/>
      <c r="GA259" s="83"/>
      <c r="GI259" s="405"/>
      <c r="GO259" s="83"/>
      <c r="GW259" s="405"/>
      <c r="HC259" s="83"/>
      <c r="HK259" s="405"/>
      <c r="HQ259" s="83"/>
      <c r="HY259" s="405"/>
      <c r="IE259" s="83"/>
      <c r="IM259" s="405"/>
      <c r="IS259" s="83"/>
      <c r="JA259" s="405"/>
      <c r="JG259" s="83"/>
      <c r="JO259" s="405"/>
      <c r="JU259" s="83"/>
      <c r="KC259" s="405"/>
      <c r="KI259" s="83"/>
      <c r="KQ259" s="405"/>
      <c r="KW259" s="83"/>
      <c r="LE259" s="405"/>
      <c r="LK259" s="83"/>
      <c r="LS259" s="405"/>
      <c r="LY259" s="83"/>
      <c r="MG259" s="405"/>
      <c r="MM259" s="83"/>
      <c r="MU259" s="405"/>
      <c r="NA259" s="83"/>
    </row>
    <row r="260">
      <c r="A260" s="483"/>
      <c r="B260" s="380"/>
      <c r="C260" s="380"/>
      <c r="D260" s="380"/>
      <c r="E260" s="380"/>
      <c r="F260" s="380"/>
      <c r="G260" s="380"/>
      <c r="H260" s="380"/>
      <c r="I260" s="403"/>
      <c r="J260" s="380"/>
      <c r="K260" s="380"/>
      <c r="L260" s="380"/>
      <c r="M260" s="380"/>
      <c r="N260" s="380"/>
      <c r="O260" s="404"/>
      <c r="P260" s="380"/>
      <c r="Q260" s="380"/>
      <c r="R260" s="380"/>
      <c r="S260" s="380"/>
      <c r="T260" s="380"/>
      <c r="U260" s="380"/>
      <c r="V260" s="380"/>
      <c r="W260" s="403"/>
      <c r="X260" s="380"/>
      <c r="Y260" s="380"/>
      <c r="Z260" s="380"/>
      <c r="AA260" s="380"/>
      <c r="AB260" s="380"/>
      <c r="AC260" s="404"/>
      <c r="AD260" s="380"/>
      <c r="AE260" s="380"/>
      <c r="AF260" s="380"/>
      <c r="AG260" s="380"/>
      <c r="AH260" s="380"/>
      <c r="AI260" s="380"/>
      <c r="AJ260" s="380"/>
      <c r="AK260" s="403"/>
      <c r="AL260" s="380"/>
      <c r="AM260" s="380"/>
      <c r="AN260" s="380"/>
      <c r="AO260" s="380"/>
      <c r="AP260" s="380"/>
      <c r="AQ260" s="404"/>
      <c r="AR260" s="380"/>
      <c r="AS260" s="380"/>
      <c r="AT260" s="380"/>
      <c r="AU260" s="380"/>
      <c r="AV260" s="380"/>
      <c r="AW260" s="380"/>
      <c r="AX260" s="380"/>
      <c r="AY260" s="403"/>
      <c r="AZ260" s="380"/>
      <c r="BA260" s="380"/>
      <c r="BB260" s="380"/>
      <c r="BC260" s="380"/>
      <c r="BD260" s="380"/>
      <c r="BE260" s="404"/>
      <c r="BF260" s="380"/>
      <c r="BG260" s="380"/>
      <c r="BH260" s="380"/>
      <c r="BI260" s="380"/>
      <c r="BJ260" s="380"/>
      <c r="BK260" s="380"/>
      <c r="BL260" s="380"/>
      <c r="BM260" s="403"/>
      <c r="BS260" s="83"/>
      <c r="CA260" s="405"/>
      <c r="CG260" s="83"/>
      <c r="CO260" s="405"/>
      <c r="CU260" s="83"/>
      <c r="DC260" s="405"/>
      <c r="DI260" s="83"/>
      <c r="DQ260" s="405"/>
      <c r="DW260" s="83"/>
      <c r="EE260" s="405"/>
      <c r="EK260" s="83"/>
      <c r="ES260" s="405"/>
      <c r="EY260" s="83"/>
      <c r="FG260" s="405"/>
      <c r="FM260" s="83"/>
      <c r="FU260" s="405"/>
      <c r="GA260" s="83"/>
      <c r="GI260" s="405"/>
      <c r="GO260" s="83"/>
      <c r="GW260" s="405"/>
      <c r="HC260" s="83"/>
      <c r="HK260" s="405"/>
      <c r="HQ260" s="83"/>
      <c r="HY260" s="405"/>
      <c r="IE260" s="83"/>
      <c r="IM260" s="405"/>
      <c r="IS260" s="83"/>
      <c r="JA260" s="405"/>
      <c r="JG260" s="83"/>
      <c r="JO260" s="405"/>
      <c r="JU260" s="83"/>
      <c r="KC260" s="405"/>
      <c r="KI260" s="83"/>
      <c r="KQ260" s="405"/>
      <c r="KW260" s="83"/>
      <c r="LE260" s="405"/>
      <c r="LK260" s="83"/>
      <c r="LS260" s="405"/>
      <c r="LY260" s="83"/>
      <c r="MG260" s="405"/>
      <c r="MM260" s="83"/>
      <c r="MU260" s="405"/>
      <c r="NA260" s="83"/>
    </row>
    <row r="261">
      <c r="A261" s="483"/>
      <c r="B261" s="380"/>
      <c r="C261" s="380"/>
      <c r="D261" s="380"/>
      <c r="E261" s="380"/>
      <c r="F261" s="380"/>
      <c r="G261" s="380"/>
      <c r="H261" s="380"/>
      <c r="I261" s="403"/>
      <c r="J261" s="380"/>
      <c r="K261" s="380"/>
      <c r="L261" s="380"/>
      <c r="M261" s="380"/>
      <c r="N261" s="380"/>
      <c r="O261" s="404"/>
      <c r="P261" s="380"/>
      <c r="Q261" s="380"/>
      <c r="R261" s="380"/>
      <c r="S261" s="380"/>
      <c r="T261" s="380"/>
      <c r="U261" s="380"/>
      <c r="V261" s="380"/>
      <c r="W261" s="403"/>
      <c r="X261" s="380"/>
      <c r="Y261" s="380"/>
      <c r="Z261" s="380"/>
      <c r="AA261" s="380"/>
      <c r="AB261" s="380"/>
      <c r="AC261" s="404"/>
      <c r="AD261" s="380"/>
      <c r="AE261" s="380"/>
      <c r="AF261" s="380"/>
      <c r="AG261" s="380"/>
      <c r="AH261" s="380"/>
      <c r="AI261" s="380"/>
      <c r="AJ261" s="380"/>
      <c r="AK261" s="403"/>
      <c r="AL261" s="380"/>
      <c r="AM261" s="380"/>
      <c r="AN261" s="380"/>
      <c r="AO261" s="380"/>
      <c r="AP261" s="380"/>
      <c r="AQ261" s="404"/>
      <c r="AR261" s="380"/>
      <c r="AS261" s="380"/>
      <c r="AT261" s="380"/>
      <c r="AU261" s="380"/>
      <c r="AV261" s="380"/>
      <c r="AW261" s="380"/>
      <c r="AX261" s="380"/>
      <c r="AY261" s="403"/>
      <c r="AZ261" s="380"/>
      <c r="BA261" s="380"/>
      <c r="BB261" s="380"/>
      <c r="BC261" s="380"/>
      <c r="BD261" s="380"/>
      <c r="BE261" s="404"/>
      <c r="BF261" s="380"/>
      <c r="BG261" s="380"/>
      <c r="BH261" s="380"/>
      <c r="BI261" s="380"/>
      <c r="BJ261" s="380"/>
      <c r="BK261" s="380"/>
      <c r="BL261" s="380"/>
      <c r="BM261" s="403"/>
      <c r="BS261" s="83"/>
      <c r="CA261" s="405"/>
      <c r="CG261" s="83"/>
      <c r="CO261" s="405"/>
      <c r="CU261" s="83"/>
      <c r="DC261" s="405"/>
      <c r="DI261" s="83"/>
      <c r="DQ261" s="405"/>
      <c r="DW261" s="83"/>
      <c r="EE261" s="405"/>
      <c r="EK261" s="83"/>
      <c r="ES261" s="405"/>
      <c r="EY261" s="83"/>
      <c r="FG261" s="405"/>
      <c r="FM261" s="83"/>
      <c r="FU261" s="405"/>
      <c r="GA261" s="83"/>
      <c r="GI261" s="405"/>
      <c r="GO261" s="83"/>
      <c r="GW261" s="405"/>
      <c r="HC261" s="83"/>
      <c r="HK261" s="405"/>
      <c r="HQ261" s="83"/>
      <c r="HY261" s="405"/>
      <c r="IE261" s="83"/>
      <c r="IM261" s="405"/>
      <c r="IS261" s="83"/>
      <c r="JA261" s="405"/>
      <c r="JG261" s="83"/>
      <c r="JO261" s="405"/>
      <c r="JU261" s="83"/>
      <c r="KC261" s="405"/>
      <c r="KI261" s="83"/>
      <c r="KQ261" s="405"/>
      <c r="KW261" s="83"/>
      <c r="LE261" s="405"/>
      <c r="LK261" s="83"/>
      <c r="LS261" s="405"/>
      <c r="LY261" s="83"/>
      <c r="MG261" s="405"/>
      <c r="MM261" s="83"/>
      <c r="MU261" s="405"/>
      <c r="NA261" s="83"/>
    </row>
    <row r="262">
      <c r="A262" s="483"/>
      <c r="B262" s="380"/>
      <c r="C262" s="380"/>
      <c r="D262" s="380"/>
      <c r="E262" s="380"/>
      <c r="F262" s="380"/>
      <c r="G262" s="380"/>
      <c r="H262" s="380"/>
      <c r="I262" s="403"/>
      <c r="J262" s="380"/>
      <c r="K262" s="380"/>
      <c r="L262" s="380"/>
      <c r="M262" s="380"/>
      <c r="N262" s="380"/>
      <c r="O262" s="404"/>
      <c r="P262" s="380"/>
      <c r="Q262" s="380"/>
      <c r="R262" s="380"/>
      <c r="S262" s="380"/>
      <c r="T262" s="380"/>
      <c r="U262" s="380"/>
      <c r="V262" s="380"/>
      <c r="W262" s="403"/>
      <c r="X262" s="380"/>
      <c r="Y262" s="380"/>
      <c r="Z262" s="380"/>
      <c r="AA262" s="380"/>
      <c r="AB262" s="380"/>
      <c r="AC262" s="404"/>
      <c r="AD262" s="380"/>
      <c r="AE262" s="380"/>
      <c r="AF262" s="380"/>
      <c r="AG262" s="380"/>
      <c r="AH262" s="380"/>
      <c r="AI262" s="380"/>
      <c r="AJ262" s="380"/>
      <c r="AK262" s="403"/>
      <c r="AL262" s="380"/>
      <c r="AM262" s="380"/>
      <c r="AN262" s="380"/>
      <c r="AO262" s="380"/>
      <c r="AP262" s="380"/>
      <c r="AQ262" s="404"/>
      <c r="AR262" s="380"/>
      <c r="AS262" s="380"/>
      <c r="AT262" s="380"/>
      <c r="AU262" s="380"/>
      <c r="AV262" s="380"/>
      <c r="AW262" s="380"/>
      <c r="AX262" s="380"/>
      <c r="AY262" s="403"/>
      <c r="AZ262" s="380"/>
      <c r="BA262" s="380"/>
      <c r="BB262" s="380"/>
      <c r="BC262" s="380"/>
      <c r="BD262" s="380"/>
      <c r="BE262" s="404"/>
      <c r="BF262" s="380"/>
      <c r="BG262" s="380"/>
      <c r="BH262" s="380"/>
      <c r="BI262" s="380"/>
      <c r="BJ262" s="380"/>
      <c r="BK262" s="380"/>
      <c r="BL262" s="380"/>
      <c r="BM262" s="403"/>
      <c r="BS262" s="83"/>
      <c r="CA262" s="405"/>
      <c r="CG262" s="83"/>
      <c r="CO262" s="405"/>
      <c r="CU262" s="83"/>
      <c r="DC262" s="405"/>
      <c r="DI262" s="83"/>
      <c r="DQ262" s="405"/>
      <c r="DW262" s="83"/>
      <c r="EE262" s="405"/>
      <c r="EK262" s="83"/>
      <c r="ES262" s="405"/>
      <c r="EY262" s="83"/>
      <c r="FG262" s="405"/>
      <c r="FM262" s="83"/>
      <c r="FU262" s="405"/>
      <c r="GA262" s="83"/>
      <c r="GI262" s="405"/>
      <c r="GO262" s="83"/>
      <c r="GW262" s="405"/>
      <c r="HC262" s="83"/>
      <c r="HK262" s="405"/>
      <c r="HQ262" s="83"/>
      <c r="HY262" s="405"/>
      <c r="IE262" s="83"/>
      <c r="IM262" s="405"/>
      <c r="IS262" s="83"/>
      <c r="JA262" s="405"/>
      <c r="JG262" s="83"/>
      <c r="JO262" s="405"/>
      <c r="JU262" s="83"/>
      <c r="KC262" s="405"/>
      <c r="KI262" s="83"/>
      <c r="KQ262" s="405"/>
      <c r="KW262" s="83"/>
      <c r="LE262" s="405"/>
      <c r="LK262" s="83"/>
      <c r="LS262" s="405"/>
      <c r="LY262" s="83"/>
      <c r="MG262" s="405"/>
      <c r="MM262" s="83"/>
      <c r="MU262" s="405"/>
      <c r="NA262" s="83"/>
    </row>
    <row r="263">
      <c r="A263" s="483"/>
      <c r="B263" s="380"/>
      <c r="C263" s="380"/>
      <c r="D263" s="380"/>
      <c r="E263" s="380"/>
      <c r="F263" s="380"/>
      <c r="G263" s="380"/>
      <c r="H263" s="380"/>
      <c r="I263" s="403"/>
      <c r="J263" s="380"/>
      <c r="K263" s="380"/>
      <c r="L263" s="380"/>
      <c r="M263" s="380"/>
      <c r="N263" s="380"/>
      <c r="O263" s="404"/>
      <c r="P263" s="380"/>
      <c r="Q263" s="380"/>
      <c r="R263" s="380"/>
      <c r="S263" s="380"/>
      <c r="T263" s="380"/>
      <c r="U263" s="380"/>
      <c r="V263" s="380"/>
      <c r="W263" s="403"/>
      <c r="X263" s="380"/>
      <c r="Y263" s="380"/>
      <c r="Z263" s="380"/>
      <c r="AA263" s="380"/>
      <c r="AB263" s="380"/>
      <c r="AC263" s="404"/>
      <c r="AD263" s="380"/>
      <c r="AE263" s="380"/>
      <c r="AF263" s="380"/>
      <c r="AG263" s="380"/>
      <c r="AH263" s="380"/>
      <c r="AI263" s="380"/>
      <c r="AJ263" s="380"/>
      <c r="AK263" s="403"/>
      <c r="AL263" s="380"/>
      <c r="AM263" s="380"/>
      <c r="AN263" s="380"/>
      <c r="AO263" s="380"/>
      <c r="AP263" s="380"/>
      <c r="AQ263" s="404"/>
      <c r="AR263" s="380"/>
      <c r="AS263" s="380"/>
      <c r="AT263" s="380"/>
      <c r="AU263" s="380"/>
      <c r="AV263" s="380"/>
      <c r="AW263" s="380"/>
      <c r="AX263" s="380"/>
      <c r="AY263" s="403"/>
      <c r="AZ263" s="380"/>
      <c r="BA263" s="380"/>
      <c r="BB263" s="380"/>
      <c r="BC263" s="380"/>
      <c r="BD263" s="380"/>
      <c r="BE263" s="404"/>
      <c r="BF263" s="380"/>
      <c r="BG263" s="380"/>
      <c r="BH263" s="380"/>
      <c r="BI263" s="380"/>
      <c r="BJ263" s="380"/>
      <c r="BK263" s="380"/>
      <c r="BL263" s="380"/>
      <c r="BM263" s="403"/>
      <c r="BS263" s="83"/>
      <c r="CA263" s="405"/>
      <c r="CG263" s="83"/>
      <c r="CO263" s="405"/>
      <c r="CU263" s="83"/>
      <c r="DC263" s="405"/>
      <c r="DI263" s="83"/>
      <c r="DQ263" s="405"/>
      <c r="DW263" s="83"/>
      <c r="EE263" s="405"/>
      <c r="EK263" s="83"/>
      <c r="ES263" s="405"/>
      <c r="EY263" s="83"/>
      <c r="FG263" s="405"/>
      <c r="FM263" s="83"/>
      <c r="FU263" s="405"/>
      <c r="GA263" s="83"/>
      <c r="GI263" s="405"/>
      <c r="GO263" s="83"/>
      <c r="GW263" s="405"/>
      <c r="HC263" s="83"/>
      <c r="HK263" s="405"/>
      <c r="HQ263" s="83"/>
      <c r="HY263" s="405"/>
      <c r="IE263" s="83"/>
      <c r="IM263" s="405"/>
      <c r="IS263" s="83"/>
      <c r="JA263" s="405"/>
      <c r="JG263" s="83"/>
      <c r="JO263" s="405"/>
      <c r="JU263" s="83"/>
      <c r="KC263" s="405"/>
      <c r="KI263" s="83"/>
      <c r="KQ263" s="405"/>
      <c r="KW263" s="83"/>
      <c r="LE263" s="405"/>
      <c r="LK263" s="83"/>
      <c r="LS263" s="405"/>
      <c r="LY263" s="83"/>
      <c r="MG263" s="405"/>
      <c r="MM263" s="83"/>
      <c r="MU263" s="405"/>
      <c r="NA263" s="83"/>
    </row>
    <row r="264">
      <c r="A264" s="483"/>
      <c r="B264" s="380"/>
      <c r="C264" s="380"/>
      <c r="D264" s="380"/>
      <c r="E264" s="380"/>
      <c r="F264" s="380"/>
      <c r="G264" s="380"/>
      <c r="H264" s="380"/>
      <c r="I264" s="403"/>
      <c r="J264" s="380"/>
      <c r="K264" s="380"/>
      <c r="L264" s="380"/>
      <c r="M264" s="380"/>
      <c r="N264" s="380"/>
      <c r="O264" s="404"/>
      <c r="P264" s="380"/>
      <c r="Q264" s="380"/>
      <c r="R264" s="380"/>
      <c r="S264" s="380"/>
      <c r="T264" s="380"/>
      <c r="U264" s="380"/>
      <c r="V264" s="380"/>
      <c r="W264" s="403"/>
      <c r="X264" s="380"/>
      <c r="Y264" s="380"/>
      <c r="Z264" s="380"/>
      <c r="AA264" s="380"/>
      <c r="AB264" s="380"/>
      <c r="AC264" s="404"/>
      <c r="AD264" s="380"/>
      <c r="AE264" s="380"/>
      <c r="AF264" s="380"/>
      <c r="AG264" s="380"/>
      <c r="AH264" s="380"/>
      <c r="AI264" s="380"/>
      <c r="AJ264" s="380"/>
      <c r="AK264" s="403"/>
      <c r="AL264" s="380"/>
      <c r="AM264" s="380"/>
      <c r="AN264" s="380"/>
      <c r="AO264" s="380"/>
      <c r="AP264" s="380"/>
      <c r="AQ264" s="404"/>
      <c r="AR264" s="380"/>
      <c r="AS264" s="380"/>
      <c r="AT264" s="380"/>
      <c r="AU264" s="380"/>
      <c r="AV264" s="380"/>
      <c r="AW264" s="380"/>
      <c r="AX264" s="380"/>
      <c r="AY264" s="403"/>
      <c r="AZ264" s="380"/>
      <c r="BA264" s="380"/>
      <c r="BB264" s="380"/>
      <c r="BC264" s="380"/>
      <c r="BD264" s="380"/>
      <c r="BE264" s="404"/>
      <c r="BF264" s="380"/>
      <c r="BG264" s="380"/>
      <c r="BH264" s="380"/>
      <c r="BI264" s="380"/>
      <c r="BJ264" s="380"/>
      <c r="BK264" s="380"/>
      <c r="BL264" s="380"/>
      <c r="BM264" s="403"/>
      <c r="BS264" s="83"/>
      <c r="CA264" s="405"/>
      <c r="CG264" s="83"/>
      <c r="CO264" s="405"/>
      <c r="CU264" s="83"/>
      <c r="DC264" s="405"/>
      <c r="DI264" s="83"/>
      <c r="DQ264" s="405"/>
      <c r="DW264" s="83"/>
      <c r="EE264" s="405"/>
      <c r="EK264" s="83"/>
      <c r="ES264" s="405"/>
      <c r="EY264" s="83"/>
      <c r="FG264" s="405"/>
      <c r="FM264" s="83"/>
      <c r="FU264" s="405"/>
      <c r="GA264" s="83"/>
      <c r="GI264" s="405"/>
      <c r="GO264" s="83"/>
      <c r="GW264" s="405"/>
      <c r="HC264" s="83"/>
      <c r="HK264" s="405"/>
      <c r="HQ264" s="83"/>
      <c r="HY264" s="405"/>
      <c r="IE264" s="83"/>
      <c r="IM264" s="405"/>
      <c r="IS264" s="83"/>
      <c r="JA264" s="405"/>
      <c r="JG264" s="83"/>
      <c r="JO264" s="405"/>
      <c r="JU264" s="83"/>
      <c r="KC264" s="405"/>
      <c r="KI264" s="83"/>
      <c r="KQ264" s="405"/>
      <c r="KW264" s="83"/>
      <c r="LE264" s="405"/>
      <c r="LK264" s="83"/>
      <c r="LS264" s="405"/>
      <c r="LY264" s="83"/>
      <c r="MG264" s="405"/>
      <c r="MM264" s="83"/>
      <c r="MU264" s="405"/>
      <c r="NA264" s="83"/>
    </row>
    <row r="265">
      <c r="A265" s="483"/>
      <c r="B265" s="380"/>
      <c r="C265" s="380"/>
      <c r="D265" s="380"/>
      <c r="E265" s="380"/>
      <c r="F265" s="380"/>
      <c r="G265" s="380"/>
      <c r="H265" s="380"/>
      <c r="I265" s="403"/>
      <c r="J265" s="380"/>
      <c r="K265" s="380"/>
      <c r="L265" s="380"/>
      <c r="M265" s="380"/>
      <c r="N265" s="380"/>
      <c r="O265" s="404"/>
      <c r="P265" s="380"/>
      <c r="Q265" s="380"/>
      <c r="R265" s="380"/>
      <c r="S265" s="380"/>
      <c r="T265" s="380"/>
      <c r="U265" s="380"/>
      <c r="V265" s="380"/>
      <c r="W265" s="403"/>
      <c r="X265" s="380"/>
      <c r="Y265" s="380"/>
      <c r="Z265" s="380"/>
      <c r="AA265" s="380"/>
      <c r="AB265" s="380"/>
      <c r="AC265" s="404"/>
      <c r="AD265" s="380"/>
      <c r="AE265" s="380"/>
      <c r="AF265" s="380"/>
      <c r="AG265" s="380"/>
      <c r="AH265" s="380"/>
      <c r="AI265" s="380"/>
      <c r="AJ265" s="380"/>
      <c r="AK265" s="403"/>
      <c r="AL265" s="380"/>
      <c r="AM265" s="380"/>
      <c r="AN265" s="380"/>
      <c r="AO265" s="380"/>
      <c r="AP265" s="380"/>
      <c r="AQ265" s="404"/>
      <c r="AR265" s="380"/>
      <c r="AS265" s="380"/>
      <c r="AT265" s="380"/>
      <c r="AU265" s="380"/>
      <c r="AV265" s="380"/>
      <c r="AW265" s="380"/>
      <c r="AX265" s="380"/>
      <c r="AY265" s="403"/>
      <c r="AZ265" s="380"/>
      <c r="BA265" s="380"/>
      <c r="BB265" s="380"/>
      <c r="BC265" s="380"/>
      <c r="BD265" s="380"/>
      <c r="BE265" s="404"/>
      <c r="BF265" s="380"/>
      <c r="BG265" s="380"/>
      <c r="BH265" s="380"/>
      <c r="BI265" s="380"/>
      <c r="BJ265" s="380"/>
      <c r="BK265" s="380"/>
      <c r="BL265" s="380"/>
      <c r="BM265" s="403"/>
      <c r="BS265" s="83"/>
      <c r="CA265" s="405"/>
      <c r="CG265" s="83"/>
      <c r="CO265" s="405"/>
      <c r="CU265" s="83"/>
      <c r="DC265" s="405"/>
      <c r="DI265" s="83"/>
      <c r="DQ265" s="405"/>
      <c r="DW265" s="83"/>
      <c r="EE265" s="405"/>
      <c r="EK265" s="83"/>
      <c r="ES265" s="405"/>
      <c r="EY265" s="83"/>
      <c r="FG265" s="405"/>
      <c r="FM265" s="83"/>
      <c r="FU265" s="405"/>
      <c r="GA265" s="83"/>
      <c r="GI265" s="405"/>
      <c r="GO265" s="83"/>
      <c r="GW265" s="405"/>
      <c r="HC265" s="83"/>
      <c r="HK265" s="405"/>
      <c r="HQ265" s="83"/>
      <c r="HY265" s="405"/>
      <c r="IE265" s="83"/>
      <c r="IM265" s="405"/>
      <c r="IS265" s="83"/>
      <c r="JA265" s="405"/>
      <c r="JG265" s="83"/>
      <c r="JO265" s="405"/>
      <c r="JU265" s="83"/>
      <c r="KC265" s="405"/>
      <c r="KI265" s="83"/>
      <c r="KQ265" s="405"/>
      <c r="KW265" s="83"/>
      <c r="LE265" s="405"/>
      <c r="LK265" s="83"/>
      <c r="LS265" s="405"/>
      <c r="LY265" s="83"/>
      <c r="MG265" s="405"/>
      <c r="MM265" s="83"/>
      <c r="MU265" s="405"/>
      <c r="NA265" s="83"/>
    </row>
    <row r="266">
      <c r="A266" s="483"/>
      <c r="B266" s="380"/>
      <c r="C266" s="380"/>
      <c r="D266" s="380"/>
      <c r="E266" s="380"/>
      <c r="F266" s="380"/>
      <c r="G266" s="380"/>
      <c r="H266" s="380"/>
      <c r="I266" s="403"/>
      <c r="J266" s="380"/>
      <c r="K266" s="380"/>
      <c r="L266" s="380"/>
      <c r="M266" s="380"/>
      <c r="N266" s="380"/>
      <c r="O266" s="404"/>
      <c r="P266" s="380"/>
      <c r="Q266" s="380"/>
      <c r="R266" s="380"/>
      <c r="S266" s="380"/>
      <c r="T266" s="380"/>
      <c r="U266" s="380"/>
      <c r="V266" s="380"/>
      <c r="W266" s="403"/>
      <c r="X266" s="380"/>
      <c r="Y266" s="380"/>
      <c r="Z266" s="380"/>
      <c r="AA266" s="380"/>
      <c r="AB266" s="380"/>
      <c r="AC266" s="404"/>
      <c r="AD266" s="380"/>
      <c r="AE266" s="380"/>
      <c r="AF266" s="380"/>
      <c r="AG266" s="380"/>
      <c r="AH266" s="380"/>
      <c r="AI266" s="380"/>
      <c r="AJ266" s="380"/>
      <c r="AK266" s="403"/>
      <c r="AL266" s="380"/>
      <c r="AM266" s="380"/>
      <c r="AN266" s="380"/>
      <c r="AO266" s="380"/>
      <c r="AP266" s="380"/>
      <c r="AQ266" s="404"/>
      <c r="AR266" s="380"/>
      <c r="AS266" s="380"/>
      <c r="AT266" s="380"/>
      <c r="AU266" s="380"/>
      <c r="AV266" s="380"/>
      <c r="AW266" s="380"/>
      <c r="AX266" s="380"/>
      <c r="AY266" s="403"/>
      <c r="AZ266" s="380"/>
      <c r="BA266" s="380"/>
      <c r="BB266" s="380"/>
      <c r="BC266" s="380"/>
      <c r="BD266" s="380"/>
      <c r="BE266" s="404"/>
      <c r="BF266" s="380"/>
      <c r="BG266" s="380"/>
      <c r="BH266" s="380"/>
      <c r="BI266" s="380"/>
      <c r="BJ266" s="380"/>
      <c r="BK266" s="380"/>
      <c r="BL266" s="380"/>
      <c r="BM266" s="403"/>
      <c r="BS266" s="83"/>
      <c r="CA266" s="405"/>
      <c r="CG266" s="83"/>
      <c r="CO266" s="405"/>
      <c r="CU266" s="83"/>
      <c r="DC266" s="405"/>
      <c r="DI266" s="83"/>
      <c r="DQ266" s="405"/>
      <c r="DW266" s="83"/>
      <c r="EE266" s="405"/>
      <c r="EK266" s="83"/>
      <c r="ES266" s="405"/>
      <c r="EY266" s="83"/>
      <c r="FG266" s="405"/>
      <c r="FM266" s="83"/>
      <c r="FU266" s="405"/>
      <c r="GA266" s="83"/>
      <c r="GI266" s="405"/>
      <c r="GO266" s="83"/>
      <c r="GW266" s="405"/>
      <c r="HC266" s="83"/>
      <c r="HK266" s="405"/>
      <c r="HQ266" s="83"/>
      <c r="HY266" s="405"/>
      <c r="IE266" s="83"/>
      <c r="IM266" s="405"/>
      <c r="IS266" s="83"/>
      <c r="JA266" s="405"/>
      <c r="JG266" s="83"/>
      <c r="JO266" s="405"/>
      <c r="JU266" s="83"/>
      <c r="KC266" s="405"/>
      <c r="KI266" s="83"/>
      <c r="KQ266" s="405"/>
      <c r="KW266" s="83"/>
      <c r="LE266" s="405"/>
      <c r="LK266" s="83"/>
      <c r="LS266" s="405"/>
      <c r="LY266" s="83"/>
      <c r="MG266" s="405"/>
      <c r="MM266" s="83"/>
      <c r="MU266" s="405"/>
      <c r="NA266" s="83"/>
    </row>
    <row r="267">
      <c r="A267" s="483"/>
      <c r="B267" s="380"/>
      <c r="C267" s="380"/>
      <c r="D267" s="380"/>
      <c r="E267" s="380"/>
      <c r="F267" s="380"/>
      <c r="G267" s="380"/>
      <c r="H267" s="380"/>
      <c r="I267" s="403"/>
      <c r="J267" s="380"/>
      <c r="K267" s="380"/>
      <c r="L267" s="380"/>
      <c r="M267" s="380"/>
      <c r="N267" s="380"/>
      <c r="O267" s="404"/>
      <c r="P267" s="380"/>
      <c r="Q267" s="380"/>
      <c r="R267" s="380"/>
      <c r="S267" s="380"/>
      <c r="T267" s="380"/>
      <c r="U267" s="380"/>
      <c r="V267" s="380"/>
      <c r="W267" s="403"/>
      <c r="X267" s="380"/>
      <c r="Y267" s="380"/>
      <c r="Z267" s="380"/>
      <c r="AA267" s="380"/>
      <c r="AB267" s="380"/>
      <c r="AC267" s="404"/>
      <c r="AD267" s="380"/>
      <c r="AE267" s="380"/>
      <c r="AF267" s="380"/>
      <c r="AG267" s="380"/>
      <c r="AH267" s="380"/>
      <c r="AI267" s="380"/>
      <c r="AJ267" s="380"/>
      <c r="AK267" s="403"/>
      <c r="AL267" s="380"/>
      <c r="AM267" s="380"/>
      <c r="AN267" s="380"/>
      <c r="AO267" s="380"/>
      <c r="AP267" s="380"/>
      <c r="AQ267" s="404"/>
      <c r="AR267" s="380"/>
      <c r="AS267" s="380"/>
      <c r="AT267" s="380"/>
      <c r="AU267" s="380"/>
      <c r="AV267" s="380"/>
      <c r="AW267" s="380"/>
      <c r="AX267" s="380"/>
      <c r="AY267" s="403"/>
      <c r="AZ267" s="380"/>
      <c r="BA267" s="380"/>
      <c r="BB267" s="380"/>
      <c r="BC267" s="380"/>
      <c r="BD267" s="380"/>
      <c r="BE267" s="404"/>
      <c r="BF267" s="380"/>
      <c r="BG267" s="380"/>
      <c r="BH267" s="380"/>
      <c r="BI267" s="380"/>
      <c r="BJ267" s="380"/>
      <c r="BK267" s="380"/>
      <c r="BL267" s="380"/>
      <c r="BM267" s="403"/>
      <c r="BS267" s="83"/>
      <c r="CA267" s="405"/>
      <c r="CG267" s="83"/>
      <c r="CO267" s="405"/>
      <c r="CU267" s="83"/>
      <c r="DC267" s="405"/>
      <c r="DI267" s="83"/>
      <c r="DQ267" s="405"/>
      <c r="DW267" s="83"/>
      <c r="EE267" s="405"/>
      <c r="EK267" s="83"/>
      <c r="ES267" s="405"/>
      <c r="EY267" s="83"/>
      <c r="FG267" s="405"/>
      <c r="FM267" s="83"/>
      <c r="FU267" s="405"/>
      <c r="GA267" s="83"/>
      <c r="GI267" s="405"/>
      <c r="GO267" s="83"/>
      <c r="GW267" s="405"/>
      <c r="HC267" s="83"/>
      <c r="HK267" s="405"/>
      <c r="HQ267" s="83"/>
      <c r="HY267" s="405"/>
      <c r="IE267" s="83"/>
      <c r="IM267" s="405"/>
      <c r="IS267" s="83"/>
      <c r="JA267" s="405"/>
      <c r="JG267" s="83"/>
      <c r="JO267" s="405"/>
      <c r="JU267" s="83"/>
      <c r="KC267" s="405"/>
      <c r="KI267" s="83"/>
      <c r="KQ267" s="405"/>
      <c r="KW267" s="83"/>
      <c r="LE267" s="405"/>
      <c r="LK267" s="83"/>
      <c r="LS267" s="405"/>
      <c r="LY267" s="83"/>
      <c r="MG267" s="405"/>
      <c r="MM267" s="83"/>
      <c r="MU267" s="405"/>
      <c r="NA267" s="83"/>
    </row>
    <row r="268">
      <c r="A268" s="483"/>
      <c r="B268" s="380"/>
      <c r="C268" s="380"/>
      <c r="D268" s="380"/>
      <c r="E268" s="380"/>
      <c r="F268" s="380"/>
      <c r="G268" s="380"/>
      <c r="H268" s="380"/>
      <c r="I268" s="403"/>
      <c r="J268" s="380"/>
      <c r="K268" s="380"/>
      <c r="L268" s="380"/>
      <c r="M268" s="380"/>
      <c r="N268" s="380"/>
      <c r="O268" s="404"/>
      <c r="P268" s="380"/>
      <c r="Q268" s="380"/>
      <c r="R268" s="380"/>
      <c r="S268" s="380"/>
      <c r="T268" s="380"/>
      <c r="U268" s="380"/>
      <c r="V268" s="380"/>
      <c r="W268" s="403"/>
      <c r="X268" s="380"/>
      <c r="Y268" s="380"/>
      <c r="Z268" s="380"/>
      <c r="AA268" s="380"/>
      <c r="AB268" s="380"/>
      <c r="AC268" s="404"/>
      <c r="AD268" s="380"/>
      <c r="AE268" s="380"/>
      <c r="AF268" s="380"/>
      <c r="AG268" s="380"/>
      <c r="AH268" s="380"/>
      <c r="AI268" s="380"/>
      <c r="AJ268" s="380"/>
      <c r="AK268" s="403"/>
      <c r="AL268" s="380"/>
      <c r="AM268" s="380"/>
      <c r="AN268" s="380"/>
      <c r="AO268" s="380"/>
      <c r="AP268" s="380"/>
      <c r="AQ268" s="404"/>
      <c r="AR268" s="380"/>
      <c r="AS268" s="380"/>
      <c r="AT268" s="380"/>
      <c r="AU268" s="380"/>
      <c r="AV268" s="380"/>
      <c r="AW268" s="380"/>
      <c r="AX268" s="380"/>
      <c r="AY268" s="403"/>
      <c r="AZ268" s="380"/>
      <c r="BA268" s="380"/>
      <c r="BB268" s="380"/>
      <c r="BC268" s="380"/>
      <c r="BD268" s="380"/>
      <c r="BE268" s="404"/>
      <c r="BF268" s="380"/>
      <c r="BG268" s="380"/>
      <c r="BH268" s="380"/>
      <c r="BI268" s="380"/>
      <c r="BJ268" s="380"/>
      <c r="BK268" s="380"/>
      <c r="BL268" s="380"/>
      <c r="BM268" s="403"/>
      <c r="BS268" s="83"/>
      <c r="CA268" s="405"/>
      <c r="CG268" s="83"/>
      <c r="CO268" s="405"/>
      <c r="CU268" s="83"/>
      <c r="DC268" s="405"/>
      <c r="DI268" s="83"/>
      <c r="DQ268" s="405"/>
      <c r="DW268" s="83"/>
      <c r="EE268" s="405"/>
      <c r="EK268" s="83"/>
      <c r="ES268" s="405"/>
      <c r="EY268" s="83"/>
      <c r="FG268" s="405"/>
      <c r="FM268" s="83"/>
      <c r="FU268" s="405"/>
      <c r="GA268" s="83"/>
      <c r="GI268" s="405"/>
      <c r="GO268" s="83"/>
      <c r="GW268" s="405"/>
      <c r="HC268" s="83"/>
      <c r="HK268" s="405"/>
      <c r="HQ268" s="83"/>
      <c r="HY268" s="405"/>
      <c r="IE268" s="83"/>
      <c r="IM268" s="405"/>
      <c r="IS268" s="83"/>
      <c r="JA268" s="405"/>
      <c r="JG268" s="83"/>
      <c r="JO268" s="405"/>
      <c r="JU268" s="83"/>
      <c r="KC268" s="405"/>
      <c r="KI268" s="83"/>
      <c r="KQ268" s="405"/>
      <c r="KW268" s="83"/>
      <c r="LE268" s="405"/>
      <c r="LK268" s="83"/>
      <c r="LS268" s="405"/>
      <c r="LY268" s="83"/>
      <c r="MG268" s="405"/>
      <c r="MM268" s="83"/>
      <c r="MU268" s="405"/>
      <c r="NA268" s="83"/>
    </row>
    <row r="269">
      <c r="A269" s="483"/>
      <c r="B269" s="380"/>
      <c r="C269" s="380"/>
      <c r="D269" s="380"/>
      <c r="E269" s="380"/>
      <c r="F269" s="380"/>
      <c r="G269" s="380"/>
      <c r="H269" s="380"/>
      <c r="I269" s="403"/>
      <c r="J269" s="380"/>
      <c r="K269" s="380"/>
      <c r="L269" s="380"/>
      <c r="M269" s="380"/>
      <c r="N269" s="380"/>
      <c r="O269" s="404"/>
      <c r="P269" s="380"/>
      <c r="Q269" s="380"/>
      <c r="R269" s="380"/>
      <c r="S269" s="380"/>
      <c r="T269" s="380"/>
      <c r="U269" s="380"/>
      <c r="V269" s="380"/>
      <c r="W269" s="403"/>
      <c r="X269" s="380"/>
      <c r="Y269" s="380"/>
      <c r="Z269" s="380"/>
      <c r="AA269" s="380"/>
      <c r="AB269" s="380"/>
      <c r="AC269" s="404"/>
      <c r="AD269" s="380"/>
      <c r="AE269" s="380"/>
      <c r="AF269" s="380"/>
      <c r="AG269" s="380"/>
      <c r="AH269" s="380"/>
      <c r="AI269" s="380"/>
      <c r="AJ269" s="380"/>
      <c r="AK269" s="403"/>
      <c r="AL269" s="380"/>
      <c r="AM269" s="380"/>
      <c r="AN269" s="380"/>
      <c r="AO269" s="380"/>
      <c r="AP269" s="380"/>
      <c r="AQ269" s="404"/>
      <c r="AR269" s="380"/>
      <c r="AS269" s="380"/>
      <c r="AT269" s="380"/>
      <c r="AU269" s="380"/>
      <c r="AV269" s="380"/>
      <c r="AW269" s="380"/>
      <c r="AX269" s="380"/>
      <c r="AY269" s="403"/>
      <c r="AZ269" s="380"/>
      <c r="BA269" s="380"/>
      <c r="BB269" s="380"/>
      <c r="BC269" s="380"/>
      <c r="BD269" s="380"/>
      <c r="BE269" s="404"/>
      <c r="BF269" s="380"/>
      <c r="BG269" s="380"/>
      <c r="BH269" s="380"/>
      <c r="BI269" s="380"/>
      <c r="BJ269" s="380"/>
      <c r="BK269" s="380"/>
      <c r="BL269" s="380"/>
      <c r="BM269" s="403"/>
      <c r="BS269" s="83"/>
      <c r="CA269" s="405"/>
      <c r="CG269" s="83"/>
      <c r="CO269" s="405"/>
      <c r="CU269" s="83"/>
      <c r="DC269" s="405"/>
      <c r="DI269" s="83"/>
      <c r="DQ269" s="405"/>
      <c r="DW269" s="83"/>
      <c r="EE269" s="405"/>
      <c r="EK269" s="83"/>
      <c r="ES269" s="405"/>
      <c r="EY269" s="83"/>
      <c r="FG269" s="405"/>
      <c r="FM269" s="83"/>
      <c r="FU269" s="405"/>
      <c r="GA269" s="83"/>
      <c r="GI269" s="405"/>
      <c r="GO269" s="83"/>
      <c r="GW269" s="405"/>
      <c r="HC269" s="83"/>
      <c r="HK269" s="405"/>
      <c r="HQ269" s="83"/>
      <c r="HY269" s="405"/>
      <c r="IE269" s="83"/>
      <c r="IM269" s="405"/>
      <c r="IS269" s="83"/>
      <c r="JA269" s="405"/>
      <c r="JG269" s="83"/>
      <c r="JO269" s="405"/>
      <c r="JU269" s="83"/>
      <c r="KC269" s="405"/>
      <c r="KI269" s="83"/>
      <c r="KQ269" s="405"/>
      <c r="KW269" s="83"/>
      <c r="LE269" s="405"/>
      <c r="LK269" s="83"/>
      <c r="LS269" s="405"/>
      <c r="LY269" s="83"/>
      <c r="MG269" s="405"/>
      <c r="MM269" s="83"/>
      <c r="MU269" s="405"/>
      <c r="NA269" s="83"/>
    </row>
    <row r="270">
      <c r="A270" s="483"/>
      <c r="B270" s="380"/>
      <c r="C270" s="380"/>
      <c r="D270" s="380"/>
      <c r="E270" s="380"/>
      <c r="F270" s="380"/>
      <c r="G270" s="380"/>
      <c r="H270" s="380"/>
      <c r="I270" s="403"/>
      <c r="J270" s="380"/>
      <c r="K270" s="380"/>
      <c r="L270" s="380"/>
      <c r="M270" s="380"/>
      <c r="N270" s="380"/>
      <c r="O270" s="404"/>
      <c r="P270" s="380"/>
      <c r="Q270" s="380"/>
      <c r="R270" s="380"/>
      <c r="S270" s="380"/>
      <c r="T270" s="380"/>
      <c r="U270" s="380"/>
      <c r="V270" s="380"/>
      <c r="W270" s="403"/>
      <c r="X270" s="380"/>
      <c r="Y270" s="380"/>
      <c r="Z270" s="380"/>
      <c r="AA270" s="380"/>
      <c r="AB270" s="380"/>
      <c r="AC270" s="404"/>
      <c r="AD270" s="380"/>
      <c r="AE270" s="380"/>
      <c r="AF270" s="380"/>
      <c r="AG270" s="380"/>
      <c r="AH270" s="380"/>
      <c r="AI270" s="380"/>
      <c r="AJ270" s="380"/>
      <c r="AK270" s="403"/>
      <c r="AL270" s="380"/>
      <c r="AM270" s="380"/>
      <c r="AN270" s="380"/>
      <c r="AO270" s="380"/>
      <c r="AP270" s="380"/>
      <c r="AQ270" s="404"/>
      <c r="AR270" s="380"/>
      <c r="AS270" s="380"/>
      <c r="AT270" s="380"/>
      <c r="AU270" s="380"/>
      <c r="AV270" s="380"/>
      <c r="AW270" s="380"/>
      <c r="AX270" s="380"/>
      <c r="AY270" s="403"/>
      <c r="AZ270" s="380"/>
      <c r="BA270" s="380"/>
      <c r="BB270" s="380"/>
      <c r="BC270" s="380"/>
      <c r="BD270" s="380"/>
      <c r="BE270" s="404"/>
      <c r="BF270" s="380"/>
      <c r="BG270" s="380"/>
      <c r="BH270" s="380"/>
      <c r="BI270" s="380"/>
      <c r="BJ270" s="380"/>
      <c r="BK270" s="380"/>
      <c r="BL270" s="380"/>
      <c r="BM270" s="403"/>
      <c r="BS270" s="83"/>
      <c r="CA270" s="405"/>
      <c r="CG270" s="83"/>
      <c r="CO270" s="405"/>
      <c r="CU270" s="83"/>
      <c r="DC270" s="405"/>
      <c r="DI270" s="83"/>
      <c r="DQ270" s="405"/>
      <c r="DW270" s="83"/>
      <c r="EE270" s="405"/>
      <c r="EK270" s="83"/>
      <c r="ES270" s="405"/>
      <c r="EY270" s="83"/>
      <c r="FG270" s="405"/>
      <c r="FM270" s="83"/>
      <c r="FU270" s="405"/>
      <c r="GA270" s="83"/>
      <c r="GI270" s="405"/>
      <c r="GO270" s="83"/>
      <c r="GW270" s="405"/>
      <c r="HC270" s="83"/>
      <c r="HK270" s="405"/>
      <c r="HQ270" s="83"/>
      <c r="HY270" s="405"/>
      <c r="IE270" s="83"/>
      <c r="IM270" s="405"/>
      <c r="IS270" s="83"/>
      <c r="JA270" s="405"/>
      <c r="JG270" s="83"/>
      <c r="JO270" s="405"/>
      <c r="JU270" s="83"/>
      <c r="KC270" s="405"/>
      <c r="KI270" s="83"/>
      <c r="KQ270" s="405"/>
      <c r="KW270" s="83"/>
      <c r="LE270" s="405"/>
      <c r="LK270" s="83"/>
      <c r="LS270" s="405"/>
      <c r="LY270" s="83"/>
      <c r="MG270" s="405"/>
      <c r="MM270" s="83"/>
      <c r="MU270" s="405"/>
      <c r="NA270" s="83"/>
    </row>
    <row r="271">
      <c r="A271" s="483"/>
      <c r="B271" s="380"/>
      <c r="C271" s="380"/>
      <c r="D271" s="380"/>
      <c r="E271" s="380"/>
      <c r="F271" s="380"/>
      <c r="G271" s="380"/>
      <c r="H271" s="380"/>
      <c r="I271" s="403"/>
      <c r="J271" s="380"/>
      <c r="K271" s="380"/>
      <c r="L271" s="380"/>
      <c r="M271" s="380"/>
      <c r="N271" s="380"/>
      <c r="O271" s="404"/>
      <c r="P271" s="380"/>
      <c r="Q271" s="380"/>
      <c r="R271" s="380"/>
      <c r="S271" s="380"/>
      <c r="T271" s="380"/>
      <c r="U271" s="380"/>
      <c r="V271" s="380"/>
      <c r="W271" s="403"/>
      <c r="X271" s="380"/>
      <c r="Y271" s="380"/>
      <c r="Z271" s="380"/>
      <c r="AA271" s="380"/>
      <c r="AB271" s="380"/>
      <c r="AC271" s="404"/>
      <c r="AD271" s="380"/>
      <c r="AE271" s="380"/>
      <c r="AF271" s="380"/>
      <c r="AG271" s="380"/>
      <c r="AH271" s="380"/>
      <c r="AI271" s="380"/>
      <c r="AJ271" s="380"/>
      <c r="AK271" s="403"/>
      <c r="AL271" s="380"/>
      <c r="AM271" s="380"/>
      <c r="AN271" s="380"/>
      <c r="AO271" s="380"/>
      <c r="AP271" s="380"/>
      <c r="AQ271" s="404"/>
      <c r="AR271" s="380"/>
      <c r="AS271" s="380"/>
      <c r="AT271" s="380"/>
      <c r="AU271" s="380"/>
      <c r="AV271" s="380"/>
      <c r="AW271" s="380"/>
      <c r="AX271" s="380"/>
      <c r="AY271" s="403"/>
      <c r="AZ271" s="380"/>
      <c r="BA271" s="380"/>
      <c r="BB271" s="380"/>
      <c r="BC271" s="380"/>
      <c r="BD271" s="380"/>
      <c r="BE271" s="404"/>
      <c r="BF271" s="380"/>
      <c r="BG271" s="380"/>
      <c r="BH271" s="380"/>
      <c r="BI271" s="380"/>
      <c r="BJ271" s="380"/>
      <c r="BK271" s="380"/>
      <c r="BL271" s="380"/>
      <c r="BM271" s="403"/>
      <c r="BS271" s="83"/>
      <c r="CA271" s="405"/>
      <c r="CG271" s="83"/>
      <c r="CO271" s="405"/>
      <c r="CU271" s="83"/>
      <c r="DC271" s="405"/>
      <c r="DI271" s="83"/>
      <c r="DQ271" s="405"/>
      <c r="DW271" s="83"/>
      <c r="EE271" s="405"/>
      <c r="EK271" s="83"/>
      <c r="ES271" s="405"/>
      <c r="EY271" s="83"/>
      <c r="FG271" s="405"/>
      <c r="FM271" s="83"/>
      <c r="FU271" s="405"/>
      <c r="GA271" s="83"/>
      <c r="GI271" s="405"/>
      <c r="GO271" s="83"/>
      <c r="GW271" s="405"/>
      <c r="HC271" s="83"/>
      <c r="HK271" s="405"/>
      <c r="HQ271" s="83"/>
      <c r="HY271" s="405"/>
      <c r="IE271" s="83"/>
      <c r="IM271" s="405"/>
      <c r="IS271" s="83"/>
      <c r="JA271" s="405"/>
      <c r="JG271" s="83"/>
      <c r="JO271" s="405"/>
      <c r="JU271" s="83"/>
      <c r="KC271" s="405"/>
      <c r="KI271" s="83"/>
      <c r="KQ271" s="405"/>
      <c r="KW271" s="83"/>
      <c r="LE271" s="405"/>
      <c r="LK271" s="83"/>
      <c r="LS271" s="405"/>
      <c r="LY271" s="83"/>
      <c r="MG271" s="405"/>
      <c r="MM271" s="83"/>
      <c r="MU271" s="405"/>
      <c r="NA271" s="83"/>
    </row>
    <row r="272">
      <c r="A272" s="483"/>
      <c r="B272" s="380"/>
      <c r="C272" s="380"/>
      <c r="D272" s="380"/>
      <c r="E272" s="380"/>
      <c r="F272" s="380"/>
      <c r="G272" s="380"/>
      <c r="H272" s="380"/>
      <c r="I272" s="403"/>
      <c r="J272" s="380"/>
      <c r="K272" s="380"/>
      <c r="L272" s="380"/>
      <c r="M272" s="380"/>
      <c r="N272" s="380"/>
      <c r="O272" s="404"/>
      <c r="P272" s="380"/>
      <c r="Q272" s="380"/>
      <c r="R272" s="380"/>
      <c r="S272" s="380"/>
      <c r="T272" s="380"/>
      <c r="U272" s="380"/>
      <c r="V272" s="380"/>
      <c r="W272" s="403"/>
      <c r="X272" s="380"/>
      <c r="Y272" s="380"/>
      <c r="Z272" s="380"/>
      <c r="AA272" s="380"/>
      <c r="AB272" s="380"/>
      <c r="AC272" s="404"/>
      <c r="AD272" s="380"/>
      <c r="AE272" s="380"/>
      <c r="AF272" s="380"/>
      <c r="AG272" s="380"/>
      <c r="AH272" s="380"/>
      <c r="AI272" s="380"/>
      <c r="AJ272" s="380"/>
      <c r="AK272" s="403"/>
      <c r="AL272" s="380"/>
      <c r="AM272" s="380"/>
      <c r="AN272" s="380"/>
      <c r="AO272" s="380"/>
      <c r="AP272" s="380"/>
      <c r="AQ272" s="404"/>
      <c r="AR272" s="380"/>
      <c r="AS272" s="380"/>
      <c r="AT272" s="380"/>
      <c r="AU272" s="380"/>
      <c r="AV272" s="380"/>
      <c r="AW272" s="380"/>
      <c r="AX272" s="380"/>
      <c r="AY272" s="403"/>
      <c r="AZ272" s="380"/>
      <c r="BA272" s="380"/>
      <c r="BB272" s="380"/>
      <c r="BC272" s="380"/>
      <c r="BD272" s="380"/>
      <c r="BE272" s="404"/>
      <c r="BF272" s="380"/>
      <c r="BG272" s="380"/>
      <c r="BH272" s="380"/>
      <c r="BI272" s="380"/>
      <c r="BJ272" s="380"/>
      <c r="BK272" s="380"/>
      <c r="BL272" s="380"/>
      <c r="BM272" s="403"/>
      <c r="BS272" s="83"/>
      <c r="CA272" s="405"/>
      <c r="CG272" s="83"/>
      <c r="CO272" s="405"/>
      <c r="CU272" s="83"/>
      <c r="DC272" s="405"/>
      <c r="DI272" s="83"/>
      <c r="DQ272" s="405"/>
      <c r="DW272" s="83"/>
      <c r="EE272" s="405"/>
      <c r="EK272" s="83"/>
      <c r="ES272" s="405"/>
      <c r="EY272" s="83"/>
      <c r="FG272" s="405"/>
      <c r="FM272" s="83"/>
      <c r="FU272" s="405"/>
      <c r="GA272" s="83"/>
      <c r="GI272" s="405"/>
      <c r="GO272" s="83"/>
      <c r="GW272" s="405"/>
      <c r="HC272" s="83"/>
      <c r="HK272" s="405"/>
      <c r="HQ272" s="83"/>
      <c r="HY272" s="405"/>
      <c r="IE272" s="83"/>
      <c r="IM272" s="405"/>
      <c r="IS272" s="83"/>
      <c r="JA272" s="405"/>
      <c r="JG272" s="83"/>
      <c r="JO272" s="405"/>
      <c r="JU272" s="83"/>
      <c r="KC272" s="405"/>
      <c r="KI272" s="83"/>
      <c r="KQ272" s="405"/>
      <c r="KW272" s="83"/>
      <c r="LE272" s="405"/>
      <c r="LK272" s="83"/>
      <c r="LS272" s="405"/>
      <c r="LY272" s="83"/>
      <c r="MG272" s="405"/>
      <c r="MM272" s="83"/>
      <c r="MU272" s="405"/>
      <c r="NA272" s="83"/>
    </row>
    <row r="273">
      <c r="A273" s="483"/>
      <c r="B273" s="380"/>
      <c r="C273" s="380"/>
      <c r="D273" s="380"/>
      <c r="E273" s="380"/>
      <c r="F273" s="380"/>
      <c r="G273" s="380"/>
      <c r="H273" s="380"/>
      <c r="I273" s="403"/>
      <c r="J273" s="380"/>
      <c r="K273" s="380"/>
      <c r="L273" s="380"/>
      <c r="M273" s="380"/>
      <c r="N273" s="380"/>
      <c r="O273" s="404"/>
      <c r="P273" s="380"/>
      <c r="Q273" s="380"/>
      <c r="R273" s="380"/>
      <c r="S273" s="380"/>
      <c r="T273" s="380"/>
      <c r="U273" s="380"/>
      <c r="V273" s="380"/>
      <c r="W273" s="403"/>
      <c r="X273" s="380"/>
      <c r="Y273" s="380"/>
      <c r="Z273" s="380"/>
      <c r="AA273" s="380"/>
      <c r="AB273" s="380"/>
      <c r="AC273" s="404"/>
      <c r="AD273" s="380"/>
      <c r="AE273" s="380"/>
      <c r="AF273" s="380"/>
      <c r="AG273" s="380"/>
      <c r="AH273" s="380"/>
      <c r="AI273" s="380"/>
      <c r="AJ273" s="380"/>
      <c r="AK273" s="403"/>
      <c r="AL273" s="380"/>
      <c r="AM273" s="380"/>
      <c r="AN273" s="380"/>
      <c r="AO273" s="380"/>
      <c r="AP273" s="380"/>
      <c r="AQ273" s="404"/>
      <c r="AR273" s="380"/>
      <c r="AS273" s="380"/>
      <c r="AT273" s="380"/>
      <c r="AU273" s="380"/>
      <c r="AV273" s="380"/>
      <c r="AW273" s="380"/>
      <c r="AX273" s="380"/>
      <c r="AY273" s="403"/>
      <c r="AZ273" s="380"/>
      <c r="BA273" s="380"/>
      <c r="BB273" s="380"/>
      <c r="BC273" s="380"/>
      <c r="BD273" s="380"/>
      <c r="BE273" s="404"/>
      <c r="BF273" s="380"/>
      <c r="BG273" s="380"/>
      <c r="BH273" s="380"/>
      <c r="BI273" s="380"/>
      <c r="BJ273" s="380"/>
      <c r="BK273" s="380"/>
      <c r="BL273" s="380"/>
      <c r="BM273" s="403"/>
      <c r="BS273" s="83"/>
      <c r="CA273" s="405"/>
      <c r="CG273" s="83"/>
      <c r="CO273" s="405"/>
      <c r="CU273" s="83"/>
      <c r="DC273" s="405"/>
      <c r="DI273" s="83"/>
      <c r="DQ273" s="405"/>
      <c r="DW273" s="83"/>
      <c r="EE273" s="405"/>
      <c r="EK273" s="83"/>
      <c r="ES273" s="405"/>
      <c r="EY273" s="83"/>
      <c r="FG273" s="405"/>
      <c r="FM273" s="83"/>
      <c r="FU273" s="405"/>
      <c r="GA273" s="83"/>
      <c r="GI273" s="405"/>
      <c r="GO273" s="83"/>
      <c r="GW273" s="405"/>
      <c r="HC273" s="83"/>
      <c r="HK273" s="405"/>
      <c r="HQ273" s="83"/>
      <c r="HY273" s="405"/>
      <c r="IE273" s="83"/>
      <c r="IM273" s="405"/>
      <c r="IS273" s="83"/>
      <c r="JA273" s="405"/>
      <c r="JG273" s="83"/>
      <c r="JO273" s="405"/>
      <c r="JU273" s="83"/>
      <c r="KC273" s="405"/>
      <c r="KI273" s="83"/>
      <c r="KQ273" s="405"/>
      <c r="KW273" s="83"/>
      <c r="LE273" s="405"/>
      <c r="LK273" s="83"/>
      <c r="LS273" s="405"/>
      <c r="LY273" s="83"/>
      <c r="MG273" s="405"/>
      <c r="MM273" s="83"/>
      <c r="MU273" s="405"/>
      <c r="NA273" s="83"/>
    </row>
    <row r="274">
      <c r="A274" s="483"/>
      <c r="B274" s="380"/>
      <c r="C274" s="380"/>
      <c r="D274" s="380"/>
      <c r="E274" s="380"/>
      <c r="F274" s="380"/>
      <c r="G274" s="380"/>
      <c r="H274" s="380"/>
      <c r="I274" s="403"/>
      <c r="J274" s="380"/>
      <c r="K274" s="380"/>
      <c r="L274" s="380"/>
      <c r="M274" s="380"/>
      <c r="N274" s="380"/>
      <c r="O274" s="404"/>
      <c r="P274" s="380"/>
      <c r="Q274" s="380"/>
      <c r="R274" s="380"/>
      <c r="S274" s="380"/>
      <c r="T274" s="380"/>
      <c r="U274" s="380"/>
      <c r="V274" s="380"/>
      <c r="W274" s="403"/>
      <c r="X274" s="380"/>
      <c r="Y274" s="380"/>
      <c r="Z274" s="380"/>
      <c r="AA274" s="380"/>
      <c r="AB274" s="380"/>
      <c r="AC274" s="404"/>
      <c r="AD274" s="380"/>
      <c r="AE274" s="380"/>
      <c r="AF274" s="380"/>
      <c r="AG274" s="380"/>
      <c r="AH274" s="380"/>
      <c r="AI274" s="380"/>
      <c r="AJ274" s="380"/>
      <c r="AK274" s="403"/>
      <c r="AL274" s="380"/>
      <c r="AM274" s="380"/>
      <c r="AN274" s="380"/>
      <c r="AO274" s="380"/>
      <c r="AP274" s="380"/>
      <c r="AQ274" s="404"/>
      <c r="AR274" s="380"/>
      <c r="AS274" s="380"/>
      <c r="AT274" s="380"/>
      <c r="AU274" s="380"/>
      <c r="AV274" s="380"/>
      <c r="AW274" s="380"/>
      <c r="AX274" s="380"/>
      <c r="AY274" s="403"/>
      <c r="AZ274" s="380"/>
      <c r="BA274" s="380"/>
      <c r="BB274" s="380"/>
      <c r="BC274" s="380"/>
      <c r="BD274" s="380"/>
      <c r="BE274" s="404"/>
      <c r="BF274" s="380"/>
      <c r="BG274" s="380"/>
      <c r="BH274" s="380"/>
      <c r="BI274" s="380"/>
      <c r="BJ274" s="380"/>
      <c r="BK274" s="380"/>
      <c r="BL274" s="380"/>
      <c r="BM274" s="403"/>
      <c r="BS274" s="83"/>
      <c r="CA274" s="405"/>
      <c r="CG274" s="83"/>
      <c r="CO274" s="405"/>
      <c r="CU274" s="83"/>
      <c r="DC274" s="405"/>
      <c r="DI274" s="83"/>
      <c r="DQ274" s="405"/>
      <c r="DW274" s="83"/>
      <c r="EE274" s="405"/>
      <c r="EK274" s="83"/>
      <c r="ES274" s="405"/>
      <c r="EY274" s="83"/>
      <c r="FG274" s="405"/>
      <c r="FM274" s="83"/>
      <c r="FU274" s="405"/>
      <c r="GA274" s="83"/>
      <c r="GI274" s="405"/>
      <c r="GO274" s="83"/>
      <c r="GW274" s="405"/>
      <c r="HC274" s="83"/>
      <c r="HK274" s="405"/>
      <c r="HQ274" s="83"/>
      <c r="HY274" s="405"/>
      <c r="IE274" s="83"/>
      <c r="IM274" s="405"/>
      <c r="IS274" s="83"/>
      <c r="JA274" s="405"/>
      <c r="JG274" s="83"/>
      <c r="JO274" s="405"/>
      <c r="JU274" s="83"/>
      <c r="KC274" s="405"/>
      <c r="KI274" s="83"/>
      <c r="KQ274" s="405"/>
      <c r="KW274" s="83"/>
      <c r="LE274" s="405"/>
      <c r="LK274" s="83"/>
      <c r="LS274" s="405"/>
      <c r="LY274" s="83"/>
      <c r="MG274" s="405"/>
      <c r="MM274" s="83"/>
      <c r="MU274" s="405"/>
      <c r="NA274" s="83"/>
    </row>
    <row r="275">
      <c r="A275" s="483"/>
      <c r="B275" s="380"/>
      <c r="C275" s="380"/>
      <c r="D275" s="380"/>
      <c r="E275" s="380"/>
      <c r="F275" s="380"/>
      <c r="G275" s="380"/>
      <c r="H275" s="380"/>
      <c r="I275" s="403"/>
      <c r="J275" s="380"/>
      <c r="K275" s="380"/>
      <c r="L275" s="380"/>
      <c r="M275" s="380"/>
      <c r="N275" s="380"/>
      <c r="O275" s="404"/>
      <c r="P275" s="380"/>
      <c r="Q275" s="380"/>
      <c r="R275" s="380"/>
      <c r="S275" s="380"/>
      <c r="T275" s="380"/>
      <c r="U275" s="380"/>
      <c r="V275" s="380"/>
      <c r="W275" s="403"/>
      <c r="X275" s="380"/>
      <c r="Y275" s="380"/>
      <c r="Z275" s="380"/>
      <c r="AA275" s="380"/>
      <c r="AB275" s="380"/>
      <c r="AC275" s="404"/>
      <c r="AD275" s="380"/>
      <c r="AE275" s="380"/>
      <c r="AF275" s="380"/>
      <c r="AG275" s="380"/>
      <c r="AH275" s="380"/>
      <c r="AI275" s="380"/>
      <c r="AJ275" s="380"/>
      <c r="AK275" s="403"/>
      <c r="AL275" s="380"/>
      <c r="AM275" s="380"/>
      <c r="AN275" s="380"/>
      <c r="AO275" s="380"/>
      <c r="AP275" s="380"/>
      <c r="AQ275" s="404"/>
      <c r="AR275" s="380"/>
      <c r="AS275" s="380"/>
      <c r="AT275" s="380"/>
      <c r="AU275" s="380"/>
      <c r="AV275" s="380"/>
      <c r="AW275" s="380"/>
      <c r="AX275" s="380"/>
      <c r="AY275" s="403"/>
      <c r="AZ275" s="380"/>
      <c r="BA275" s="380"/>
      <c r="BB275" s="380"/>
      <c r="BC275" s="380"/>
      <c r="BD275" s="380"/>
      <c r="BE275" s="404"/>
      <c r="BF275" s="380"/>
      <c r="BG275" s="380"/>
      <c r="BH275" s="380"/>
      <c r="BI275" s="380"/>
      <c r="BJ275" s="380"/>
      <c r="BK275" s="380"/>
      <c r="BL275" s="380"/>
      <c r="BM275" s="403"/>
      <c r="BS275" s="83"/>
      <c r="CA275" s="405"/>
      <c r="CG275" s="83"/>
      <c r="CO275" s="405"/>
      <c r="CU275" s="83"/>
      <c r="DC275" s="405"/>
      <c r="DI275" s="83"/>
      <c r="DQ275" s="405"/>
      <c r="DW275" s="83"/>
      <c r="EE275" s="405"/>
      <c r="EK275" s="83"/>
      <c r="ES275" s="405"/>
      <c r="EY275" s="83"/>
      <c r="FG275" s="405"/>
      <c r="FM275" s="83"/>
      <c r="FU275" s="405"/>
      <c r="GA275" s="83"/>
      <c r="GI275" s="405"/>
      <c r="GO275" s="83"/>
      <c r="GW275" s="405"/>
      <c r="HC275" s="83"/>
      <c r="HK275" s="405"/>
      <c r="HQ275" s="83"/>
      <c r="HY275" s="405"/>
      <c r="IE275" s="83"/>
      <c r="IM275" s="405"/>
      <c r="IS275" s="83"/>
      <c r="JA275" s="405"/>
      <c r="JG275" s="83"/>
      <c r="JO275" s="405"/>
      <c r="JU275" s="83"/>
      <c r="KC275" s="405"/>
      <c r="KI275" s="83"/>
      <c r="KQ275" s="405"/>
      <c r="KW275" s="83"/>
      <c r="LE275" s="405"/>
      <c r="LK275" s="83"/>
      <c r="LS275" s="405"/>
      <c r="LY275" s="83"/>
      <c r="MG275" s="405"/>
      <c r="MM275" s="83"/>
      <c r="MU275" s="405"/>
      <c r="NA275" s="83"/>
    </row>
    <row r="276">
      <c r="A276" s="483"/>
      <c r="B276" s="380"/>
      <c r="C276" s="380"/>
      <c r="D276" s="380"/>
      <c r="E276" s="380"/>
      <c r="F276" s="380"/>
      <c r="G276" s="380"/>
      <c r="H276" s="380"/>
      <c r="I276" s="403"/>
      <c r="J276" s="380"/>
      <c r="K276" s="380"/>
      <c r="L276" s="380"/>
      <c r="M276" s="380"/>
      <c r="N276" s="380"/>
      <c r="O276" s="404"/>
      <c r="P276" s="380"/>
      <c r="Q276" s="380"/>
      <c r="R276" s="380"/>
      <c r="S276" s="380"/>
      <c r="T276" s="380"/>
      <c r="U276" s="380"/>
      <c r="V276" s="380"/>
      <c r="W276" s="403"/>
      <c r="X276" s="380"/>
      <c r="Y276" s="380"/>
      <c r="Z276" s="380"/>
      <c r="AA276" s="380"/>
      <c r="AB276" s="380"/>
      <c r="AC276" s="404"/>
      <c r="AD276" s="380"/>
      <c r="AE276" s="380"/>
      <c r="AF276" s="380"/>
      <c r="AG276" s="380"/>
      <c r="AH276" s="380"/>
      <c r="AI276" s="380"/>
      <c r="AJ276" s="380"/>
      <c r="AK276" s="403"/>
      <c r="AL276" s="380"/>
      <c r="AM276" s="380"/>
      <c r="AN276" s="380"/>
      <c r="AO276" s="380"/>
      <c r="AP276" s="380"/>
      <c r="AQ276" s="404"/>
      <c r="AR276" s="380"/>
      <c r="AS276" s="380"/>
      <c r="AT276" s="380"/>
      <c r="AU276" s="380"/>
      <c r="AV276" s="380"/>
      <c r="AW276" s="380"/>
      <c r="AX276" s="380"/>
      <c r="AY276" s="403"/>
      <c r="AZ276" s="380"/>
      <c r="BA276" s="380"/>
      <c r="BB276" s="380"/>
      <c r="BC276" s="380"/>
      <c r="BD276" s="380"/>
      <c r="BE276" s="404"/>
      <c r="BF276" s="380"/>
      <c r="BG276" s="380"/>
      <c r="BH276" s="380"/>
      <c r="BI276" s="380"/>
      <c r="BJ276" s="380"/>
      <c r="BK276" s="380"/>
      <c r="BL276" s="380"/>
      <c r="BM276" s="403"/>
      <c r="BS276" s="83"/>
      <c r="CA276" s="405"/>
      <c r="CG276" s="83"/>
      <c r="CO276" s="405"/>
      <c r="CU276" s="83"/>
      <c r="DC276" s="405"/>
      <c r="DI276" s="83"/>
      <c r="DQ276" s="405"/>
      <c r="DW276" s="83"/>
      <c r="EE276" s="405"/>
      <c r="EK276" s="83"/>
      <c r="ES276" s="405"/>
      <c r="EY276" s="83"/>
      <c r="FG276" s="405"/>
      <c r="FM276" s="83"/>
      <c r="FU276" s="405"/>
      <c r="GA276" s="83"/>
      <c r="GI276" s="405"/>
      <c r="GO276" s="83"/>
      <c r="GW276" s="405"/>
      <c r="HC276" s="83"/>
      <c r="HK276" s="405"/>
      <c r="HQ276" s="83"/>
      <c r="HY276" s="405"/>
      <c r="IE276" s="83"/>
      <c r="IM276" s="405"/>
      <c r="IS276" s="83"/>
      <c r="JA276" s="405"/>
      <c r="JG276" s="83"/>
      <c r="JO276" s="405"/>
      <c r="JU276" s="83"/>
      <c r="KC276" s="405"/>
      <c r="KI276" s="83"/>
      <c r="KQ276" s="405"/>
      <c r="KW276" s="83"/>
      <c r="LE276" s="405"/>
      <c r="LK276" s="83"/>
      <c r="LS276" s="405"/>
      <c r="LY276" s="83"/>
      <c r="MG276" s="405"/>
      <c r="MM276" s="83"/>
      <c r="MU276" s="405"/>
      <c r="NA276" s="83"/>
    </row>
    <row r="277">
      <c r="A277" s="483"/>
      <c r="B277" s="380"/>
      <c r="C277" s="380"/>
      <c r="D277" s="380"/>
      <c r="E277" s="380"/>
      <c r="F277" s="380"/>
      <c r="G277" s="380"/>
      <c r="H277" s="380"/>
      <c r="I277" s="403"/>
      <c r="J277" s="380"/>
      <c r="K277" s="380"/>
      <c r="L277" s="380"/>
      <c r="M277" s="380"/>
      <c r="N277" s="380"/>
      <c r="O277" s="404"/>
      <c r="P277" s="380"/>
      <c r="Q277" s="380"/>
      <c r="R277" s="380"/>
      <c r="S277" s="380"/>
      <c r="T277" s="380"/>
      <c r="U277" s="380"/>
      <c r="V277" s="380"/>
      <c r="W277" s="403"/>
      <c r="X277" s="380"/>
      <c r="Y277" s="380"/>
      <c r="Z277" s="380"/>
      <c r="AA277" s="380"/>
      <c r="AB277" s="380"/>
      <c r="AC277" s="404"/>
      <c r="AD277" s="380"/>
      <c r="AE277" s="380"/>
      <c r="AF277" s="380"/>
      <c r="AG277" s="380"/>
      <c r="AH277" s="380"/>
      <c r="AI277" s="380"/>
      <c r="AJ277" s="380"/>
      <c r="AK277" s="403"/>
      <c r="AL277" s="380"/>
      <c r="AM277" s="380"/>
      <c r="AN277" s="380"/>
      <c r="AO277" s="380"/>
      <c r="AP277" s="380"/>
      <c r="AQ277" s="404"/>
      <c r="AR277" s="380"/>
      <c r="AS277" s="380"/>
      <c r="AT277" s="380"/>
      <c r="AU277" s="380"/>
      <c r="AV277" s="380"/>
      <c r="AW277" s="380"/>
      <c r="AX277" s="380"/>
      <c r="AY277" s="403"/>
      <c r="AZ277" s="380"/>
      <c r="BA277" s="380"/>
      <c r="BB277" s="380"/>
      <c r="BC277" s="380"/>
      <c r="BD277" s="380"/>
      <c r="BE277" s="404"/>
      <c r="BF277" s="380"/>
      <c r="BG277" s="380"/>
      <c r="BH277" s="380"/>
      <c r="BI277" s="380"/>
      <c r="BJ277" s="380"/>
      <c r="BK277" s="380"/>
      <c r="BL277" s="380"/>
      <c r="BM277" s="403"/>
      <c r="BS277" s="83"/>
      <c r="CA277" s="405"/>
      <c r="CG277" s="83"/>
      <c r="CO277" s="405"/>
      <c r="CU277" s="83"/>
      <c r="DC277" s="405"/>
      <c r="DI277" s="83"/>
      <c r="DQ277" s="405"/>
      <c r="DW277" s="83"/>
      <c r="EE277" s="405"/>
      <c r="EK277" s="83"/>
      <c r="ES277" s="405"/>
      <c r="EY277" s="83"/>
      <c r="FG277" s="405"/>
      <c r="FM277" s="83"/>
      <c r="FU277" s="405"/>
      <c r="GA277" s="83"/>
      <c r="GI277" s="405"/>
      <c r="GO277" s="83"/>
      <c r="GW277" s="405"/>
      <c r="HC277" s="83"/>
      <c r="HK277" s="405"/>
      <c r="HQ277" s="83"/>
      <c r="HY277" s="405"/>
      <c r="IE277" s="83"/>
      <c r="IM277" s="405"/>
      <c r="IS277" s="83"/>
      <c r="JA277" s="405"/>
      <c r="JG277" s="83"/>
      <c r="JO277" s="405"/>
      <c r="JU277" s="83"/>
      <c r="KC277" s="405"/>
      <c r="KI277" s="83"/>
      <c r="KQ277" s="405"/>
      <c r="KW277" s="83"/>
      <c r="LE277" s="405"/>
      <c r="LK277" s="83"/>
      <c r="LS277" s="405"/>
      <c r="LY277" s="83"/>
      <c r="MG277" s="405"/>
      <c r="MM277" s="83"/>
      <c r="MU277" s="405"/>
      <c r="NA277" s="83"/>
    </row>
    <row r="278">
      <c r="A278" s="483"/>
      <c r="B278" s="380"/>
      <c r="C278" s="380"/>
      <c r="D278" s="380"/>
      <c r="E278" s="380"/>
      <c r="F278" s="380"/>
      <c r="G278" s="380"/>
      <c r="H278" s="380"/>
      <c r="I278" s="403"/>
      <c r="J278" s="380"/>
      <c r="K278" s="380"/>
      <c r="L278" s="380"/>
      <c r="M278" s="380"/>
      <c r="N278" s="380"/>
      <c r="O278" s="404"/>
      <c r="P278" s="380"/>
      <c r="Q278" s="380"/>
      <c r="R278" s="380"/>
      <c r="S278" s="380"/>
      <c r="T278" s="380"/>
      <c r="U278" s="380"/>
      <c r="V278" s="380"/>
      <c r="W278" s="403"/>
      <c r="X278" s="380"/>
      <c r="Y278" s="380"/>
      <c r="Z278" s="380"/>
      <c r="AA278" s="380"/>
      <c r="AB278" s="380"/>
      <c r="AC278" s="404"/>
      <c r="AD278" s="380"/>
      <c r="AE278" s="380"/>
      <c r="AF278" s="380"/>
      <c r="AG278" s="380"/>
      <c r="AH278" s="380"/>
      <c r="AI278" s="380"/>
      <c r="AJ278" s="380"/>
      <c r="AK278" s="403"/>
      <c r="AL278" s="380"/>
      <c r="AM278" s="380"/>
      <c r="AN278" s="380"/>
      <c r="AO278" s="380"/>
      <c r="AP278" s="380"/>
      <c r="AQ278" s="404"/>
      <c r="AR278" s="380"/>
      <c r="AS278" s="380"/>
      <c r="AT278" s="380"/>
      <c r="AU278" s="380"/>
      <c r="AV278" s="380"/>
      <c r="AW278" s="380"/>
      <c r="AX278" s="380"/>
      <c r="AY278" s="403"/>
      <c r="AZ278" s="380"/>
      <c r="BA278" s="380"/>
      <c r="BB278" s="380"/>
      <c r="BC278" s="380"/>
      <c r="BD278" s="380"/>
      <c r="BE278" s="404"/>
      <c r="BF278" s="380"/>
      <c r="BG278" s="380"/>
      <c r="BH278" s="380"/>
      <c r="BI278" s="380"/>
      <c r="BJ278" s="380"/>
      <c r="BK278" s="380"/>
      <c r="BL278" s="380"/>
      <c r="BM278" s="403"/>
      <c r="BS278" s="83"/>
      <c r="CA278" s="405"/>
      <c r="CG278" s="83"/>
      <c r="CO278" s="405"/>
      <c r="CU278" s="83"/>
      <c r="DC278" s="405"/>
      <c r="DI278" s="83"/>
      <c r="DQ278" s="405"/>
      <c r="DW278" s="83"/>
      <c r="EE278" s="405"/>
      <c r="EK278" s="83"/>
      <c r="ES278" s="405"/>
      <c r="EY278" s="83"/>
      <c r="FG278" s="405"/>
      <c r="FM278" s="83"/>
      <c r="FU278" s="405"/>
      <c r="GA278" s="83"/>
      <c r="GI278" s="405"/>
      <c r="GO278" s="83"/>
      <c r="GW278" s="405"/>
      <c r="HC278" s="83"/>
      <c r="HK278" s="405"/>
      <c r="HQ278" s="83"/>
      <c r="HY278" s="405"/>
      <c r="IE278" s="83"/>
      <c r="IM278" s="405"/>
      <c r="IS278" s="83"/>
      <c r="JA278" s="405"/>
      <c r="JG278" s="83"/>
      <c r="JO278" s="405"/>
      <c r="JU278" s="83"/>
      <c r="KC278" s="405"/>
      <c r="KI278" s="83"/>
      <c r="KQ278" s="405"/>
      <c r="KW278" s="83"/>
      <c r="LE278" s="405"/>
      <c r="LK278" s="83"/>
      <c r="LS278" s="405"/>
      <c r="LY278" s="83"/>
      <c r="MG278" s="405"/>
      <c r="MM278" s="83"/>
      <c r="MU278" s="405"/>
      <c r="NA278" s="83"/>
    </row>
    <row r="279">
      <c r="A279" s="483"/>
      <c r="B279" s="380"/>
      <c r="C279" s="380"/>
      <c r="D279" s="380"/>
      <c r="E279" s="380"/>
      <c r="F279" s="380"/>
      <c r="G279" s="380"/>
      <c r="H279" s="380"/>
      <c r="I279" s="403"/>
      <c r="J279" s="380"/>
      <c r="K279" s="380"/>
      <c r="L279" s="380"/>
      <c r="M279" s="380"/>
      <c r="N279" s="380"/>
      <c r="O279" s="404"/>
      <c r="P279" s="380"/>
      <c r="Q279" s="380"/>
      <c r="R279" s="380"/>
      <c r="S279" s="380"/>
      <c r="T279" s="380"/>
      <c r="U279" s="380"/>
      <c r="V279" s="380"/>
      <c r="W279" s="403"/>
      <c r="X279" s="380"/>
      <c r="Y279" s="380"/>
      <c r="Z279" s="380"/>
      <c r="AA279" s="380"/>
      <c r="AB279" s="380"/>
      <c r="AC279" s="404"/>
      <c r="AD279" s="380"/>
      <c r="AE279" s="380"/>
      <c r="AF279" s="380"/>
      <c r="AG279" s="380"/>
      <c r="AH279" s="380"/>
      <c r="AI279" s="380"/>
      <c r="AJ279" s="380"/>
      <c r="AK279" s="403"/>
      <c r="AL279" s="380"/>
      <c r="AM279" s="380"/>
      <c r="AN279" s="380"/>
      <c r="AO279" s="380"/>
      <c r="AP279" s="380"/>
      <c r="AQ279" s="404"/>
      <c r="AR279" s="380"/>
      <c r="AS279" s="380"/>
      <c r="AT279" s="380"/>
      <c r="AU279" s="380"/>
      <c r="AV279" s="380"/>
      <c r="AW279" s="380"/>
      <c r="AX279" s="380"/>
      <c r="AY279" s="403"/>
      <c r="AZ279" s="380"/>
      <c r="BA279" s="380"/>
      <c r="BB279" s="380"/>
      <c r="BC279" s="380"/>
      <c r="BD279" s="380"/>
      <c r="BE279" s="404"/>
      <c r="BF279" s="380"/>
      <c r="BG279" s="380"/>
      <c r="BH279" s="380"/>
      <c r="BI279" s="380"/>
      <c r="BJ279" s="380"/>
      <c r="BK279" s="380"/>
      <c r="BL279" s="380"/>
      <c r="BM279" s="403"/>
      <c r="BS279" s="83"/>
      <c r="CA279" s="405"/>
      <c r="CG279" s="83"/>
      <c r="CO279" s="405"/>
      <c r="CU279" s="83"/>
      <c r="DC279" s="405"/>
      <c r="DI279" s="83"/>
      <c r="DQ279" s="405"/>
      <c r="DW279" s="83"/>
      <c r="EE279" s="405"/>
      <c r="EK279" s="83"/>
      <c r="ES279" s="405"/>
      <c r="EY279" s="83"/>
      <c r="FG279" s="405"/>
      <c r="FM279" s="83"/>
      <c r="FU279" s="405"/>
      <c r="GA279" s="83"/>
      <c r="GI279" s="405"/>
      <c r="GO279" s="83"/>
      <c r="GW279" s="405"/>
      <c r="HC279" s="83"/>
      <c r="HK279" s="405"/>
      <c r="HQ279" s="83"/>
      <c r="HY279" s="405"/>
      <c r="IE279" s="83"/>
      <c r="IM279" s="405"/>
      <c r="IS279" s="83"/>
      <c r="JA279" s="405"/>
      <c r="JG279" s="83"/>
      <c r="JO279" s="405"/>
      <c r="JU279" s="83"/>
      <c r="KC279" s="405"/>
      <c r="KI279" s="83"/>
      <c r="KQ279" s="405"/>
      <c r="KW279" s="83"/>
      <c r="LE279" s="405"/>
      <c r="LK279" s="83"/>
      <c r="LS279" s="405"/>
      <c r="LY279" s="83"/>
      <c r="MG279" s="405"/>
      <c r="MM279" s="83"/>
      <c r="MU279" s="405"/>
      <c r="NA279" s="83"/>
    </row>
    <row r="280">
      <c r="A280" s="483"/>
      <c r="B280" s="380"/>
      <c r="C280" s="380"/>
      <c r="D280" s="380"/>
      <c r="E280" s="380"/>
      <c r="F280" s="380"/>
      <c r="G280" s="380"/>
      <c r="H280" s="380"/>
      <c r="I280" s="403"/>
      <c r="J280" s="380"/>
      <c r="K280" s="380"/>
      <c r="L280" s="380"/>
      <c r="M280" s="380"/>
      <c r="N280" s="380"/>
      <c r="O280" s="404"/>
      <c r="P280" s="380"/>
      <c r="Q280" s="380"/>
      <c r="R280" s="380"/>
      <c r="S280" s="380"/>
      <c r="T280" s="380"/>
      <c r="U280" s="380"/>
      <c r="V280" s="380"/>
      <c r="W280" s="403"/>
      <c r="X280" s="380"/>
      <c r="Y280" s="380"/>
      <c r="Z280" s="380"/>
      <c r="AA280" s="380"/>
      <c r="AB280" s="380"/>
      <c r="AC280" s="404"/>
      <c r="AD280" s="380"/>
      <c r="AE280" s="380"/>
      <c r="AF280" s="380"/>
      <c r="AG280" s="380"/>
      <c r="AH280" s="380"/>
      <c r="AI280" s="380"/>
      <c r="AJ280" s="380"/>
      <c r="AK280" s="403"/>
      <c r="AL280" s="380"/>
      <c r="AM280" s="380"/>
      <c r="AN280" s="380"/>
      <c r="AO280" s="380"/>
      <c r="AP280" s="380"/>
      <c r="AQ280" s="404"/>
      <c r="AR280" s="380"/>
      <c r="AS280" s="380"/>
      <c r="AT280" s="380"/>
      <c r="AU280" s="380"/>
      <c r="AV280" s="380"/>
      <c r="AW280" s="380"/>
      <c r="AX280" s="380"/>
      <c r="AY280" s="403"/>
      <c r="AZ280" s="380"/>
      <c r="BA280" s="380"/>
      <c r="BB280" s="380"/>
      <c r="BC280" s="380"/>
      <c r="BD280" s="380"/>
      <c r="BE280" s="404"/>
      <c r="BF280" s="380"/>
      <c r="BG280" s="380"/>
      <c r="BH280" s="380"/>
      <c r="BI280" s="380"/>
      <c r="BJ280" s="380"/>
      <c r="BK280" s="380"/>
      <c r="BL280" s="380"/>
      <c r="BM280" s="403"/>
      <c r="BS280" s="83"/>
      <c r="CA280" s="405"/>
      <c r="CG280" s="83"/>
      <c r="CO280" s="405"/>
      <c r="CU280" s="83"/>
      <c r="DC280" s="405"/>
      <c r="DI280" s="83"/>
      <c r="DQ280" s="405"/>
      <c r="DW280" s="83"/>
      <c r="EE280" s="405"/>
      <c r="EK280" s="83"/>
      <c r="ES280" s="405"/>
      <c r="EY280" s="83"/>
      <c r="FG280" s="405"/>
      <c r="FM280" s="83"/>
      <c r="FU280" s="405"/>
      <c r="GA280" s="83"/>
      <c r="GI280" s="405"/>
      <c r="GO280" s="83"/>
      <c r="GW280" s="405"/>
      <c r="HC280" s="83"/>
      <c r="HK280" s="405"/>
      <c r="HQ280" s="83"/>
      <c r="HY280" s="405"/>
      <c r="IE280" s="83"/>
      <c r="IM280" s="405"/>
      <c r="IS280" s="83"/>
      <c r="JA280" s="405"/>
      <c r="JG280" s="83"/>
      <c r="JO280" s="405"/>
      <c r="JU280" s="83"/>
      <c r="KC280" s="405"/>
      <c r="KI280" s="83"/>
      <c r="KQ280" s="405"/>
      <c r="KW280" s="83"/>
      <c r="LE280" s="405"/>
      <c r="LK280" s="83"/>
      <c r="LS280" s="405"/>
      <c r="LY280" s="83"/>
      <c r="MG280" s="405"/>
      <c r="MM280" s="83"/>
      <c r="MU280" s="405"/>
      <c r="NA280" s="83"/>
    </row>
    <row r="281">
      <c r="A281" s="483"/>
      <c r="B281" s="380"/>
      <c r="C281" s="380"/>
      <c r="D281" s="380"/>
      <c r="E281" s="380"/>
      <c r="F281" s="380"/>
      <c r="G281" s="380"/>
      <c r="H281" s="380"/>
      <c r="I281" s="403"/>
      <c r="J281" s="380"/>
      <c r="K281" s="380"/>
      <c r="L281" s="380"/>
      <c r="M281" s="380"/>
      <c r="N281" s="380"/>
      <c r="O281" s="404"/>
      <c r="P281" s="380"/>
      <c r="Q281" s="380"/>
      <c r="R281" s="380"/>
      <c r="S281" s="380"/>
      <c r="T281" s="380"/>
      <c r="U281" s="380"/>
      <c r="V281" s="380"/>
      <c r="W281" s="403"/>
      <c r="X281" s="380"/>
      <c r="Y281" s="380"/>
      <c r="Z281" s="380"/>
      <c r="AA281" s="380"/>
      <c r="AB281" s="380"/>
      <c r="AC281" s="404"/>
      <c r="AD281" s="380"/>
      <c r="AE281" s="380"/>
      <c r="AF281" s="380"/>
      <c r="AG281" s="380"/>
      <c r="AH281" s="380"/>
      <c r="AI281" s="380"/>
      <c r="AJ281" s="380"/>
      <c r="AK281" s="403"/>
      <c r="AL281" s="380"/>
      <c r="AM281" s="380"/>
      <c r="AN281" s="380"/>
      <c r="AO281" s="380"/>
      <c r="AP281" s="380"/>
      <c r="AQ281" s="404"/>
      <c r="AR281" s="380"/>
      <c r="AS281" s="380"/>
      <c r="AT281" s="380"/>
      <c r="AU281" s="380"/>
      <c r="AV281" s="380"/>
      <c r="AW281" s="380"/>
      <c r="AX281" s="380"/>
      <c r="AY281" s="403"/>
      <c r="AZ281" s="380"/>
      <c r="BA281" s="380"/>
      <c r="BB281" s="380"/>
      <c r="BC281" s="380"/>
      <c r="BD281" s="380"/>
      <c r="BE281" s="404"/>
      <c r="BF281" s="380"/>
      <c r="BG281" s="380"/>
      <c r="BH281" s="380"/>
      <c r="BI281" s="380"/>
      <c r="BJ281" s="380"/>
      <c r="BK281" s="380"/>
      <c r="BL281" s="380"/>
      <c r="BM281" s="403"/>
      <c r="BS281" s="83"/>
      <c r="CA281" s="405"/>
      <c r="CG281" s="83"/>
      <c r="CO281" s="405"/>
      <c r="CU281" s="83"/>
      <c r="DC281" s="405"/>
      <c r="DI281" s="83"/>
      <c r="DQ281" s="405"/>
      <c r="DW281" s="83"/>
      <c r="EE281" s="405"/>
      <c r="EK281" s="83"/>
      <c r="ES281" s="405"/>
      <c r="EY281" s="83"/>
      <c r="FG281" s="405"/>
      <c r="FM281" s="83"/>
      <c r="FU281" s="405"/>
      <c r="GA281" s="83"/>
      <c r="GI281" s="405"/>
      <c r="GO281" s="83"/>
      <c r="GW281" s="405"/>
      <c r="HC281" s="83"/>
      <c r="HK281" s="405"/>
      <c r="HQ281" s="83"/>
      <c r="HY281" s="405"/>
      <c r="IE281" s="83"/>
      <c r="IM281" s="405"/>
      <c r="IS281" s="83"/>
      <c r="JA281" s="405"/>
      <c r="JG281" s="83"/>
      <c r="JO281" s="405"/>
      <c r="JU281" s="83"/>
      <c r="KC281" s="405"/>
      <c r="KI281" s="83"/>
      <c r="KQ281" s="405"/>
      <c r="KW281" s="83"/>
      <c r="LE281" s="405"/>
      <c r="LK281" s="83"/>
      <c r="LS281" s="405"/>
      <c r="LY281" s="83"/>
      <c r="MG281" s="405"/>
      <c r="MM281" s="83"/>
      <c r="MU281" s="405"/>
      <c r="NA281" s="83"/>
    </row>
    <row r="282">
      <c r="A282" s="483"/>
      <c r="B282" s="380"/>
      <c r="C282" s="380"/>
      <c r="D282" s="380"/>
      <c r="E282" s="380"/>
      <c r="F282" s="380"/>
      <c r="G282" s="380"/>
      <c r="H282" s="380"/>
      <c r="I282" s="403"/>
      <c r="J282" s="380"/>
      <c r="K282" s="380"/>
      <c r="L282" s="380"/>
      <c r="M282" s="380"/>
      <c r="N282" s="380"/>
      <c r="O282" s="404"/>
      <c r="P282" s="380"/>
      <c r="Q282" s="380"/>
      <c r="R282" s="380"/>
      <c r="S282" s="380"/>
      <c r="T282" s="380"/>
      <c r="U282" s="380"/>
      <c r="V282" s="380"/>
      <c r="W282" s="403"/>
      <c r="X282" s="380"/>
      <c r="Y282" s="380"/>
      <c r="Z282" s="380"/>
      <c r="AA282" s="380"/>
      <c r="AB282" s="380"/>
      <c r="AC282" s="404"/>
      <c r="AD282" s="380"/>
      <c r="AE282" s="380"/>
      <c r="AF282" s="380"/>
      <c r="AG282" s="380"/>
      <c r="AH282" s="380"/>
      <c r="AI282" s="380"/>
      <c r="AJ282" s="380"/>
      <c r="AK282" s="403"/>
      <c r="AL282" s="380"/>
      <c r="AM282" s="380"/>
      <c r="AN282" s="380"/>
      <c r="AO282" s="380"/>
      <c r="AP282" s="380"/>
      <c r="AQ282" s="404"/>
      <c r="AR282" s="380"/>
      <c r="AS282" s="380"/>
      <c r="AT282" s="380"/>
      <c r="AU282" s="380"/>
      <c r="AV282" s="380"/>
      <c r="AW282" s="380"/>
      <c r="AX282" s="380"/>
      <c r="AY282" s="403"/>
      <c r="AZ282" s="380"/>
      <c r="BA282" s="380"/>
      <c r="BB282" s="380"/>
      <c r="BC282" s="380"/>
      <c r="BD282" s="380"/>
      <c r="BE282" s="404"/>
      <c r="BF282" s="380"/>
      <c r="BG282" s="380"/>
      <c r="BH282" s="380"/>
      <c r="BI282" s="380"/>
      <c r="BJ282" s="380"/>
      <c r="BK282" s="380"/>
      <c r="BL282" s="380"/>
      <c r="BM282" s="403"/>
      <c r="BS282" s="83"/>
      <c r="CA282" s="405"/>
      <c r="CG282" s="83"/>
      <c r="CO282" s="405"/>
      <c r="CU282" s="83"/>
      <c r="DC282" s="405"/>
      <c r="DI282" s="83"/>
      <c r="DQ282" s="405"/>
      <c r="DW282" s="83"/>
      <c r="EE282" s="405"/>
      <c r="EK282" s="83"/>
      <c r="ES282" s="405"/>
      <c r="EY282" s="83"/>
      <c r="FG282" s="405"/>
      <c r="FM282" s="83"/>
      <c r="FU282" s="405"/>
      <c r="GA282" s="83"/>
      <c r="GI282" s="405"/>
      <c r="GO282" s="83"/>
      <c r="GW282" s="405"/>
      <c r="HC282" s="83"/>
      <c r="HK282" s="405"/>
      <c r="HQ282" s="83"/>
      <c r="HY282" s="405"/>
      <c r="IE282" s="83"/>
      <c r="IM282" s="405"/>
      <c r="IS282" s="83"/>
      <c r="JA282" s="405"/>
      <c r="JG282" s="83"/>
      <c r="JO282" s="405"/>
      <c r="JU282" s="83"/>
      <c r="KC282" s="405"/>
      <c r="KI282" s="83"/>
      <c r="KQ282" s="405"/>
      <c r="KW282" s="83"/>
      <c r="LE282" s="405"/>
      <c r="LK282" s="83"/>
      <c r="LS282" s="405"/>
      <c r="LY282" s="83"/>
      <c r="MG282" s="405"/>
      <c r="MM282" s="83"/>
      <c r="MU282" s="405"/>
      <c r="NA282" s="83"/>
    </row>
    <row r="283">
      <c r="A283" s="483"/>
      <c r="B283" s="380"/>
      <c r="C283" s="380"/>
      <c r="D283" s="380"/>
      <c r="E283" s="380"/>
      <c r="F283" s="380"/>
      <c r="G283" s="380"/>
      <c r="H283" s="380"/>
      <c r="I283" s="403"/>
      <c r="J283" s="380"/>
      <c r="K283" s="380"/>
      <c r="L283" s="380"/>
      <c r="M283" s="380"/>
      <c r="N283" s="380"/>
      <c r="O283" s="404"/>
      <c r="P283" s="380"/>
      <c r="Q283" s="380"/>
      <c r="R283" s="380"/>
      <c r="S283" s="380"/>
      <c r="T283" s="380"/>
      <c r="U283" s="380"/>
      <c r="V283" s="380"/>
      <c r="W283" s="403"/>
      <c r="X283" s="380"/>
      <c r="Y283" s="380"/>
      <c r="Z283" s="380"/>
      <c r="AA283" s="380"/>
      <c r="AB283" s="380"/>
      <c r="AC283" s="404"/>
      <c r="AD283" s="380"/>
      <c r="AE283" s="380"/>
      <c r="AF283" s="380"/>
      <c r="AG283" s="380"/>
      <c r="AH283" s="380"/>
      <c r="AI283" s="380"/>
      <c r="AJ283" s="380"/>
      <c r="AK283" s="403"/>
      <c r="AL283" s="380"/>
      <c r="AM283" s="380"/>
      <c r="AN283" s="380"/>
      <c r="AO283" s="380"/>
      <c r="AP283" s="380"/>
      <c r="AQ283" s="404"/>
      <c r="AR283" s="380"/>
      <c r="AS283" s="380"/>
      <c r="AT283" s="380"/>
      <c r="AU283" s="380"/>
      <c r="AV283" s="380"/>
      <c r="AW283" s="380"/>
      <c r="AX283" s="380"/>
      <c r="AY283" s="403"/>
      <c r="AZ283" s="380"/>
      <c r="BA283" s="380"/>
      <c r="BB283" s="380"/>
      <c r="BC283" s="380"/>
      <c r="BD283" s="380"/>
      <c r="BE283" s="404"/>
      <c r="BF283" s="380"/>
      <c r="BG283" s="380"/>
      <c r="BH283" s="380"/>
      <c r="BI283" s="380"/>
      <c r="BJ283" s="380"/>
      <c r="BK283" s="380"/>
      <c r="BL283" s="380"/>
      <c r="BM283" s="403"/>
      <c r="BS283" s="83"/>
      <c r="CA283" s="405"/>
      <c r="CG283" s="83"/>
      <c r="CO283" s="405"/>
      <c r="CU283" s="83"/>
      <c r="DC283" s="405"/>
      <c r="DI283" s="83"/>
      <c r="DQ283" s="405"/>
      <c r="DW283" s="83"/>
      <c r="EE283" s="405"/>
      <c r="EK283" s="83"/>
      <c r="ES283" s="405"/>
      <c r="EY283" s="83"/>
      <c r="FG283" s="405"/>
      <c r="FM283" s="83"/>
      <c r="FU283" s="405"/>
      <c r="GA283" s="83"/>
      <c r="GI283" s="405"/>
      <c r="GO283" s="83"/>
      <c r="GW283" s="405"/>
      <c r="HC283" s="83"/>
      <c r="HK283" s="405"/>
      <c r="HQ283" s="83"/>
      <c r="HY283" s="405"/>
      <c r="IE283" s="83"/>
      <c r="IM283" s="405"/>
      <c r="IS283" s="83"/>
      <c r="JA283" s="405"/>
      <c r="JG283" s="83"/>
      <c r="JO283" s="405"/>
      <c r="JU283" s="83"/>
      <c r="KC283" s="405"/>
      <c r="KI283" s="83"/>
      <c r="KQ283" s="405"/>
      <c r="KW283" s="83"/>
      <c r="LE283" s="405"/>
      <c r="LK283" s="83"/>
      <c r="LS283" s="405"/>
      <c r="LY283" s="83"/>
      <c r="MG283" s="405"/>
      <c r="MM283" s="83"/>
      <c r="MU283" s="405"/>
      <c r="NA283" s="83"/>
    </row>
    <row r="284">
      <c r="A284" s="483"/>
      <c r="B284" s="380"/>
      <c r="C284" s="380"/>
      <c r="D284" s="380"/>
      <c r="E284" s="380"/>
      <c r="F284" s="380"/>
      <c r="G284" s="380"/>
      <c r="H284" s="380"/>
      <c r="I284" s="403"/>
      <c r="J284" s="380"/>
      <c r="K284" s="380"/>
      <c r="L284" s="380"/>
      <c r="M284" s="380"/>
      <c r="N284" s="380"/>
      <c r="O284" s="404"/>
      <c r="P284" s="380"/>
      <c r="Q284" s="380"/>
      <c r="R284" s="380"/>
      <c r="S284" s="380"/>
      <c r="T284" s="380"/>
      <c r="U284" s="380"/>
      <c r="V284" s="380"/>
      <c r="W284" s="403"/>
      <c r="X284" s="380"/>
      <c r="Y284" s="380"/>
      <c r="Z284" s="380"/>
      <c r="AA284" s="380"/>
      <c r="AB284" s="380"/>
      <c r="AC284" s="404"/>
      <c r="AD284" s="380"/>
      <c r="AE284" s="380"/>
      <c r="AF284" s="380"/>
      <c r="AG284" s="380"/>
      <c r="AH284" s="380"/>
      <c r="AI284" s="380"/>
      <c r="AJ284" s="380"/>
      <c r="AK284" s="403"/>
      <c r="AL284" s="380"/>
      <c r="AM284" s="380"/>
      <c r="AN284" s="380"/>
      <c r="AO284" s="380"/>
      <c r="AP284" s="380"/>
      <c r="AQ284" s="404"/>
      <c r="AR284" s="380"/>
      <c r="AS284" s="380"/>
      <c r="AT284" s="380"/>
      <c r="AU284" s="380"/>
      <c r="AV284" s="380"/>
      <c r="AW284" s="380"/>
      <c r="AX284" s="380"/>
      <c r="AY284" s="403"/>
      <c r="AZ284" s="380"/>
      <c r="BA284" s="380"/>
      <c r="BB284" s="380"/>
      <c r="BC284" s="380"/>
      <c r="BD284" s="380"/>
      <c r="BE284" s="404"/>
      <c r="BF284" s="380"/>
      <c r="BG284" s="380"/>
      <c r="BH284" s="380"/>
      <c r="BI284" s="380"/>
      <c r="BJ284" s="380"/>
      <c r="BK284" s="380"/>
      <c r="BL284" s="380"/>
      <c r="BM284" s="403"/>
      <c r="BS284" s="83"/>
      <c r="CA284" s="405"/>
      <c r="CG284" s="83"/>
      <c r="CO284" s="405"/>
      <c r="CU284" s="83"/>
      <c r="DC284" s="405"/>
      <c r="DI284" s="83"/>
      <c r="DQ284" s="405"/>
      <c r="DW284" s="83"/>
      <c r="EE284" s="405"/>
      <c r="EK284" s="83"/>
      <c r="ES284" s="405"/>
      <c r="EY284" s="83"/>
      <c r="FG284" s="405"/>
      <c r="FM284" s="83"/>
      <c r="FU284" s="405"/>
      <c r="GA284" s="83"/>
      <c r="GI284" s="405"/>
      <c r="GO284" s="83"/>
      <c r="GW284" s="405"/>
      <c r="HC284" s="83"/>
      <c r="HK284" s="405"/>
      <c r="HQ284" s="83"/>
      <c r="HY284" s="405"/>
      <c r="IE284" s="83"/>
      <c r="IM284" s="405"/>
      <c r="IS284" s="83"/>
      <c r="JA284" s="405"/>
      <c r="JG284" s="83"/>
      <c r="JO284" s="405"/>
      <c r="JU284" s="83"/>
      <c r="KC284" s="405"/>
      <c r="KI284" s="83"/>
      <c r="KQ284" s="405"/>
      <c r="KW284" s="83"/>
      <c r="LE284" s="405"/>
      <c r="LK284" s="83"/>
      <c r="LS284" s="405"/>
      <c r="LY284" s="83"/>
      <c r="MG284" s="405"/>
      <c r="MM284" s="83"/>
      <c r="MU284" s="405"/>
      <c r="NA284" s="83"/>
    </row>
    <row r="285">
      <c r="A285" s="483"/>
      <c r="B285" s="380"/>
      <c r="C285" s="380"/>
      <c r="D285" s="380"/>
      <c r="E285" s="380"/>
      <c r="F285" s="380"/>
      <c r="G285" s="380"/>
      <c r="H285" s="380"/>
      <c r="I285" s="403"/>
      <c r="J285" s="380"/>
      <c r="K285" s="380"/>
      <c r="L285" s="380"/>
      <c r="M285" s="380"/>
      <c r="N285" s="380"/>
      <c r="O285" s="404"/>
      <c r="P285" s="380"/>
      <c r="Q285" s="380"/>
      <c r="R285" s="380"/>
      <c r="S285" s="380"/>
      <c r="T285" s="380"/>
      <c r="U285" s="380"/>
      <c r="V285" s="380"/>
      <c r="W285" s="403"/>
      <c r="X285" s="380"/>
      <c r="Y285" s="380"/>
      <c r="Z285" s="380"/>
      <c r="AA285" s="380"/>
      <c r="AB285" s="380"/>
      <c r="AC285" s="404"/>
      <c r="AD285" s="380"/>
      <c r="AE285" s="380"/>
      <c r="AF285" s="380"/>
      <c r="AG285" s="380"/>
      <c r="AH285" s="380"/>
      <c r="AI285" s="380"/>
      <c r="AJ285" s="380"/>
      <c r="AK285" s="403"/>
      <c r="AL285" s="380"/>
      <c r="AM285" s="380"/>
      <c r="AN285" s="380"/>
      <c r="AO285" s="380"/>
      <c r="AP285" s="380"/>
      <c r="AQ285" s="404"/>
      <c r="AR285" s="380"/>
      <c r="AS285" s="380"/>
      <c r="AT285" s="380"/>
      <c r="AU285" s="380"/>
      <c r="AV285" s="380"/>
      <c r="AW285" s="380"/>
      <c r="AX285" s="380"/>
      <c r="AY285" s="403"/>
      <c r="AZ285" s="380"/>
      <c r="BA285" s="380"/>
      <c r="BB285" s="380"/>
      <c r="BC285" s="380"/>
      <c r="BD285" s="380"/>
      <c r="BE285" s="404"/>
      <c r="BF285" s="380"/>
      <c r="BG285" s="380"/>
      <c r="BH285" s="380"/>
      <c r="BI285" s="380"/>
      <c r="BJ285" s="380"/>
      <c r="BK285" s="380"/>
      <c r="BL285" s="380"/>
      <c r="BM285" s="403"/>
      <c r="BS285" s="83"/>
      <c r="CA285" s="405"/>
      <c r="CG285" s="83"/>
      <c r="CO285" s="405"/>
      <c r="CU285" s="83"/>
      <c r="DC285" s="405"/>
      <c r="DI285" s="83"/>
      <c r="DQ285" s="405"/>
      <c r="DW285" s="83"/>
      <c r="EE285" s="405"/>
      <c r="EK285" s="83"/>
      <c r="ES285" s="405"/>
      <c r="EY285" s="83"/>
      <c r="FG285" s="405"/>
      <c r="FM285" s="83"/>
      <c r="FU285" s="405"/>
      <c r="GA285" s="83"/>
      <c r="GI285" s="405"/>
      <c r="GO285" s="83"/>
      <c r="GW285" s="405"/>
      <c r="HC285" s="83"/>
      <c r="HK285" s="405"/>
      <c r="HQ285" s="83"/>
      <c r="HY285" s="405"/>
      <c r="IE285" s="83"/>
      <c r="IM285" s="405"/>
      <c r="IS285" s="83"/>
      <c r="JA285" s="405"/>
      <c r="JG285" s="83"/>
      <c r="JO285" s="405"/>
      <c r="JU285" s="83"/>
      <c r="KC285" s="405"/>
      <c r="KI285" s="83"/>
      <c r="KQ285" s="405"/>
      <c r="KW285" s="83"/>
      <c r="LE285" s="405"/>
      <c r="LK285" s="83"/>
      <c r="LS285" s="405"/>
      <c r="LY285" s="83"/>
      <c r="MG285" s="405"/>
      <c r="MM285" s="83"/>
      <c r="MU285" s="405"/>
      <c r="NA285" s="83"/>
    </row>
    <row r="286">
      <c r="A286" s="483"/>
      <c r="B286" s="380"/>
      <c r="C286" s="380"/>
      <c r="D286" s="380"/>
      <c r="E286" s="380"/>
      <c r="F286" s="380"/>
      <c r="G286" s="380"/>
      <c r="H286" s="380"/>
      <c r="I286" s="403"/>
      <c r="J286" s="380"/>
      <c r="K286" s="380"/>
      <c r="L286" s="380"/>
      <c r="M286" s="380"/>
      <c r="N286" s="380"/>
      <c r="O286" s="404"/>
      <c r="P286" s="380"/>
      <c r="Q286" s="380"/>
      <c r="R286" s="380"/>
      <c r="S286" s="380"/>
      <c r="T286" s="380"/>
      <c r="U286" s="380"/>
      <c r="V286" s="380"/>
      <c r="W286" s="403"/>
      <c r="X286" s="380"/>
      <c r="Y286" s="380"/>
      <c r="Z286" s="380"/>
      <c r="AA286" s="380"/>
      <c r="AB286" s="380"/>
      <c r="AC286" s="404"/>
      <c r="AD286" s="380"/>
      <c r="AE286" s="380"/>
      <c r="AF286" s="380"/>
      <c r="AG286" s="380"/>
      <c r="AH286" s="380"/>
      <c r="AI286" s="380"/>
      <c r="AJ286" s="380"/>
      <c r="AK286" s="403"/>
      <c r="AL286" s="380"/>
      <c r="AM286" s="380"/>
      <c r="AN286" s="380"/>
      <c r="AO286" s="380"/>
      <c r="AP286" s="380"/>
      <c r="AQ286" s="404"/>
      <c r="AR286" s="380"/>
      <c r="AS286" s="380"/>
      <c r="AT286" s="380"/>
      <c r="AU286" s="380"/>
      <c r="AV286" s="380"/>
      <c r="AW286" s="380"/>
      <c r="AX286" s="380"/>
      <c r="AY286" s="403"/>
      <c r="AZ286" s="380"/>
      <c r="BA286" s="380"/>
      <c r="BB286" s="380"/>
      <c r="BC286" s="380"/>
      <c r="BD286" s="380"/>
      <c r="BE286" s="404"/>
      <c r="BF286" s="380"/>
      <c r="BG286" s="380"/>
      <c r="BH286" s="380"/>
      <c r="BI286" s="380"/>
      <c r="BJ286" s="380"/>
      <c r="BK286" s="380"/>
      <c r="BL286" s="380"/>
      <c r="BM286" s="403"/>
      <c r="BS286" s="83"/>
      <c r="CA286" s="405"/>
      <c r="CG286" s="83"/>
      <c r="CO286" s="405"/>
      <c r="CU286" s="83"/>
      <c r="DC286" s="405"/>
      <c r="DI286" s="83"/>
      <c r="DQ286" s="405"/>
      <c r="DW286" s="83"/>
      <c r="EE286" s="405"/>
      <c r="EK286" s="83"/>
      <c r="ES286" s="405"/>
      <c r="EY286" s="83"/>
      <c r="FG286" s="405"/>
      <c r="FM286" s="83"/>
      <c r="FU286" s="405"/>
      <c r="GA286" s="83"/>
      <c r="GI286" s="405"/>
      <c r="GO286" s="83"/>
      <c r="GW286" s="405"/>
      <c r="HC286" s="83"/>
      <c r="HK286" s="405"/>
      <c r="HQ286" s="83"/>
      <c r="HY286" s="405"/>
      <c r="IE286" s="83"/>
      <c r="IM286" s="405"/>
      <c r="IS286" s="83"/>
      <c r="JA286" s="405"/>
      <c r="JG286" s="83"/>
      <c r="JO286" s="405"/>
      <c r="JU286" s="83"/>
      <c r="KC286" s="405"/>
      <c r="KI286" s="83"/>
      <c r="KQ286" s="405"/>
      <c r="KW286" s="83"/>
      <c r="LE286" s="405"/>
      <c r="LK286" s="83"/>
      <c r="LS286" s="405"/>
      <c r="LY286" s="83"/>
      <c r="MG286" s="405"/>
      <c r="MM286" s="83"/>
      <c r="MU286" s="405"/>
      <c r="NA286" s="83"/>
    </row>
    <row r="287">
      <c r="A287" s="483"/>
      <c r="B287" s="380"/>
      <c r="C287" s="380"/>
      <c r="D287" s="380"/>
      <c r="E287" s="380"/>
      <c r="F287" s="380"/>
      <c r="G287" s="380"/>
      <c r="H287" s="380"/>
      <c r="I287" s="403"/>
      <c r="J287" s="380"/>
      <c r="K287" s="380"/>
      <c r="L287" s="380"/>
      <c r="M287" s="380"/>
      <c r="N287" s="380"/>
      <c r="O287" s="404"/>
      <c r="P287" s="380"/>
      <c r="Q287" s="380"/>
      <c r="R287" s="380"/>
      <c r="S287" s="380"/>
      <c r="T287" s="380"/>
      <c r="U287" s="380"/>
      <c r="V287" s="380"/>
      <c r="W287" s="403"/>
      <c r="X287" s="380"/>
      <c r="Y287" s="380"/>
      <c r="Z287" s="380"/>
      <c r="AA287" s="380"/>
      <c r="AB287" s="380"/>
      <c r="AC287" s="404"/>
      <c r="AD287" s="380"/>
      <c r="AE287" s="380"/>
      <c r="AF287" s="380"/>
      <c r="AG287" s="380"/>
      <c r="AH287" s="380"/>
      <c r="AI287" s="380"/>
      <c r="AJ287" s="380"/>
      <c r="AK287" s="403"/>
      <c r="AL287" s="380"/>
      <c r="AM287" s="380"/>
      <c r="AN287" s="380"/>
      <c r="AO287" s="380"/>
      <c r="AP287" s="380"/>
      <c r="AQ287" s="404"/>
      <c r="AR287" s="380"/>
      <c r="AS287" s="380"/>
      <c r="AT287" s="380"/>
      <c r="AU287" s="380"/>
      <c r="AV287" s="380"/>
      <c r="AW287" s="380"/>
      <c r="AX287" s="380"/>
      <c r="AY287" s="403"/>
      <c r="AZ287" s="380"/>
      <c r="BA287" s="380"/>
      <c r="BB287" s="380"/>
      <c r="BC287" s="380"/>
      <c r="BD287" s="380"/>
      <c r="BE287" s="404"/>
      <c r="BF287" s="380"/>
      <c r="BG287" s="380"/>
      <c r="BH287" s="380"/>
      <c r="BI287" s="380"/>
      <c r="BJ287" s="380"/>
      <c r="BK287" s="380"/>
      <c r="BL287" s="380"/>
      <c r="BM287" s="403"/>
      <c r="BS287" s="83"/>
      <c r="CA287" s="405"/>
      <c r="CG287" s="83"/>
      <c r="CO287" s="405"/>
      <c r="CU287" s="83"/>
      <c r="DC287" s="405"/>
      <c r="DI287" s="83"/>
      <c r="DQ287" s="405"/>
      <c r="DW287" s="83"/>
      <c r="EE287" s="405"/>
      <c r="EK287" s="83"/>
      <c r="ES287" s="405"/>
      <c r="EY287" s="83"/>
      <c r="FG287" s="405"/>
      <c r="FM287" s="83"/>
      <c r="FU287" s="405"/>
      <c r="GA287" s="83"/>
      <c r="GI287" s="405"/>
      <c r="GO287" s="83"/>
      <c r="GW287" s="405"/>
      <c r="HC287" s="83"/>
      <c r="HK287" s="405"/>
      <c r="HQ287" s="83"/>
      <c r="HY287" s="405"/>
      <c r="IE287" s="83"/>
      <c r="IM287" s="405"/>
      <c r="IS287" s="83"/>
      <c r="JA287" s="405"/>
      <c r="JG287" s="83"/>
      <c r="JO287" s="405"/>
      <c r="JU287" s="83"/>
      <c r="KC287" s="405"/>
      <c r="KI287" s="83"/>
      <c r="KQ287" s="405"/>
      <c r="KW287" s="83"/>
      <c r="LE287" s="405"/>
      <c r="LK287" s="83"/>
      <c r="LS287" s="405"/>
      <c r="LY287" s="83"/>
      <c r="MG287" s="405"/>
      <c r="MM287" s="83"/>
      <c r="MU287" s="405"/>
      <c r="NA287" s="83"/>
    </row>
    <row r="288">
      <c r="A288" s="483"/>
      <c r="B288" s="380"/>
      <c r="C288" s="380"/>
      <c r="D288" s="380"/>
      <c r="E288" s="380"/>
      <c r="F288" s="380"/>
      <c r="G288" s="380"/>
      <c r="H288" s="380"/>
      <c r="I288" s="403"/>
      <c r="J288" s="380"/>
      <c r="K288" s="380"/>
      <c r="L288" s="380"/>
      <c r="M288" s="380"/>
      <c r="N288" s="380"/>
      <c r="O288" s="404"/>
      <c r="P288" s="380"/>
      <c r="Q288" s="380"/>
      <c r="R288" s="380"/>
      <c r="S288" s="380"/>
      <c r="T288" s="380"/>
      <c r="U288" s="380"/>
      <c r="V288" s="380"/>
      <c r="W288" s="403"/>
      <c r="X288" s="380"/>
      <c r="Y288" s="380"/>
      <c r="Z288" s="380"/>
      <c r="AA288" s="380"/>
      <c r="AB288" s="380"/>
      <c r="AC288" s="404"/>
      <c r="AD288" s="380"/>
      <c r="AE288" s="380"/>
      <c r="AF288" s="380"/>
      <c r="AG288" s="380"/>
      <c r="AH288" s="380"/>
      <c r="AI288" s="380"/>
      <c r="AJ288" s="380"/>
      <c r="AK288" s="403"/>
      <c r="AL288" s="380"/>
      <c r="AM288" s="380"/>
      <c r="AN288" s="380"/>
      <c r="AO288" s="380"/>
      <c r="AP288" s="380"/>
      <c r="AQ288" s="404"/>
      <c r="AR288" s="380"/>
      <c r="AS288" s="380"/>
      <c r="AT288" s="380"/>
      <c r="AU288" s="380"/>
      <c r="AV288" s="380"/>
      <c r="AW288" s="380"/>
      <c r="AX288" s="380"/>
      <c r="AY288" s="403"/>
      <c r="AZ288" s="380"/>
      <c r="BA288" s="380"/>
      <c r="BB288" s="380"/>
      <c r="BC288" s="380"/>
      <c r="BD288" s="380"/>
      <c r="BE288" s="404"/>
      <c r="BF288" s="380"/>
      <c r="BG288" s="380"/>
      <c r="BH288" s="380"/>
      <c r="BI288" s="380"/>
      <c r="BJ288" s="380"/>
      <c r="BK288" s="380"/>
      <c r="BL288" s="380"/>
      <c r="BM288" s="403"/>
      <c r="BS288" s="83"/>
      <c r="CA288" s="405"/>
      <c r="CG288" s="83"/>
      <c r="CO288" s="405"/>
      <c r="CU288" s="83"/>
      <c r="DC288" s="405"/>
      <c r="DI288" s="83"/>
      <c r="DQ288" s="405"/>
      <c r="DW288" s="83"/>
      <c r="EE288" s="405"/>
      <c r="EK288" s="83"/>
      <c r="ES288" s="405"/>
      <c r="EY288" s="83"/>
      <c r="FG288" s="405"/>
      <c r="FM288" s="83"/>
      <c r="FU288" s="405"/>
      <c r="GA288" s="83"/>
      <c r="GI288" s="405"/>
      <c r="GO288" s="83"/>
      <c r="GW288" s="405"/>
      <c r="HC288" s="83"/>
      <c r="HK288" s="405"/>
      <c r="HQ288" s="83"/>
      <c r="HY288" s="405"/>
      <c r="IE288" s="83"/>
      <c r="IM288" s="405"/>
      <c r="IS288" s="83"/>
      <c r="JA288" s="405"/>
      <c r="JG288" s="83"/>
      <c r="JO288" s="405"/>
      <c r="JU288" s="83"/>
      <c r="KC288" s="405"/>
      <c r="KI288" s="83"/>
      <c r="KQ288" s="405"/>
      <c r="KW288" s="83"/>
      <c r="LE288" s="405"/>
      <c r="LK288" s="83"/>
      <c r="LS288" s="405"/>
      <c r="LY288" s="83"/>
      <c r="MG288" s="405"/>
      <c r="MM288" s="83"/>
      <c r="MU288" s="405"/>
      <c r="NA288" s="83"/>
    </row>
    <row r="289">
      <c r="A289" s="483"/>
      <c r="B289" s="380"/>
      <c r="C289" s="380"/>
      <c r="D289" s="380"/>
      <c r="E289" s="380"/>
      <c r="F289" s="380"/>
      <c r="G289" s="380"/>
      <c r="H289" s="380"/>
      <c r="I289" s="403"/>
      <c r="J289" s="380"/>
      <c r="K289" s="380"/>
      <c r="L289" s="380"/>
      <c r="M289" s="380"/>
      <c r="N289" s="380"/>
      <c r="O289" s="404"/>
      <c r="P289" s="380"/>
      <c r="Q289" s="380"/>
      <c r="R289" s="380"/>
      <c r="S289" s="380"/>
      <c r="T289" s="380"/>
      <c r="U289" s="380"/>
      <c r="V289" s="380"/>
      <c r="W289" s="403"/>
      <c r="X289" s="380"/>
      <c r="Y289" s="380"/>
      <c r="Z289" s="380"/>
      <c r="AA289" s="380"/>
      <c r="AB289" s="380"/>
      <c r="AC289" s="404"/>
      <c r="AD289" s="380"/>
      <c r="AE289" s="380"/>
      <c r="AF289" s="380"/>
      <c r="AG289" s="380"/>
      <c r="AH289" s="380"/>
      <c r="AI289" s="380"/>
      <c r="AJ289" s="380"/>
      <c r="AK289" s="403"/>
      <c r="AL289" s="380"/>
      <c r="AM289" s="380"/>
      <c r="AN289" s="380"/>
      <c r="AO289" s="380"/>
      <c r="AP289" s="380"/>
      <c r="AQ289" s="404"/>
      <c r="AR289" s="380"/>
      <c r="AS289" s="380"/>
      <c r="AT289" s="380"/>
      <c r="AU289" s="380"/>
      <c r="AV289" s="380"/>
      <c r="AW289" s="380"/>
      <c r="AX289" s="380"/>
      <c r="AY289" s="403"/>
      <c r="AZ289" s="380"/>
      <c r="BA289" s="380"/>
      <c r="BB289" s="380"/>
      <c r="BC289" s="380"/>
      <c r="BD289" s="380"/>
      <c r="BE289" s="404"/>
      <c r="BF289" s="380"/>
      <c r="BG289" s="380"/>
      <c r="BH289" s="380"/>
      <c r="BI289" s="380"/>
      <c r="BJ289" s="380"/>
      <c r="BK289" s="380"/>
      <c r="BL289" s="380"/>
      <c r="BM289" s="403"/>
      <c r="BS289" s="83"/>
      <c r="CA289" s="405"/>
      <c r="CG289" s="83"/>
      <c r="CO289" s="405"/>
      <c r="CU289" s="83"/>
      <c r="DC289" s="405"/>
      <c r="DI289" s="83"/>
      <c r="DQ289" s="405"/>
      <c r="DW289" s="83"/>
      <c r="EE289" s="405"/>
      <c r="EK289" s="83"/>
      <c r="ES289" s="405"/>
      <c r="EY289" s="83"/>
      <c r="FG289" s="405"/>
      <c r="FM289" s="83"/>
      <c r="FU289" s="405"/>
      <c r="GA289" s="83"/>
      <c r="GI289" s="405"/>
      <c r="GO289" s="83"/>
      <c r="GW289" s="405"/>
      <c r="HC289" s="83"/>
      <c r="HK289" s="405"/>
      <c r="HQ289" s="83"/>
      <c r="HY289" s="405"/>
      <c r="IE289" s="83"/>
      <c r="IM289" s="405"/>
      <c r="IS289" s="83"/>
      <c r="JA289" s="405"/>
      <c r="JG289" s="83"/>
      <c r="JO289" s="405"/>
      <c r="JU289" s="83"/>
      <c r="KC289" s="405"/>
      <c r="KI289" s="83"/>
      <c r="KQ289" s="405"/>
      <c r="KW289" s="83"/>
      <c r="LE289" s="405"/>
      <c r="LK289" s="83"/>
      <c r="LS289" s="405"/>
      <c r="LY289" s="83"/>
      <c r="MG289" s="405"/>
      <c r="MM289" s="83"/>
      <c r="MU289" s="405"/>
      <c r="NA289" s="83"/>
    </row>
    <row r="290">
      <c r="A290" s="483"/>
      <c r="B290" s="380"/>
      <c r="C290" s="380"/>
      <c r="D290" s="380"/>
      <c r="E290" s="380"/>
      <c r="F290" s="380"/>
      <c r="G290" s="380"/>
      <c r="H290" s="380"/>
      <c r="I290" s="403"/>
      <c r="J290" s="380"/>
      <c r="K290" s="380"/>
      <c r="L290" s="380"/>
      <c r="M290" s="380"/>
      <c r="N290" s="380"/>
      <c r="O290" s="404"/>
      <c r="P290" s="380"/>
      <c r="Q290" s="380"/>
      <c r="R290" s="380"/>
      <c r="S290" s="380"/>
      <c r="T290" s="380"/>
      <c r="U290" s="380"/>
      <c r="V290" s="380"/>
      <c r="W290" s="403"/>
      <c r="X290" s="380"/>
      <c r="Y290" s="380"/>
      <c r="Z290" s="380"/>
      <c r="AA290" s="380"/>
      <c r="AB290" s="380"/>
      <c r="AC290" s="404"/>
      <c r="AD290" s="380"/>
      <c r="AE290" s="380"/>
      <c r="AF290" s="380"/>
      <c r="AG290" s="380"/>
      <c r="AH290" s="380"/>
      <c r="AI290" s="380"/>
      <c r="AJ290" s="380"/>
      <c r="AK290" s="403"/>
      <c r="AL290" s="380"/>
      <c r="AM290" s="380"/>
      <c r="AN290" s="380"/>
      <c r="AO290" s="380"/>
      <c r="AP290" s="380"/>
      <c r="AQ290" s="404"/>
      <c r="AR290" s="380"/>
      <c r="AS290" s="380"/>
      <c r="AT290" s="380"/>
      <c r="AU290" s="380"/>
      <c r="AV290" s="380"/>
      <c r="AW290" s="380"/>
      <c r="AX290" s="380"/>
      <c r="AY290" s="403"/>
      <c r="AZ290" s="380"/>
      <c r="BA290" s="380"/>
      <c r="BB290" s="380"/>
      <c r="BC290" s="380"/>
      <c r="BD290" s="380"/>
      <c r="BE290" s="404"/>
      <c r="BF290" s="380"/>
      <c r="BG290" s="380"/>
      <c r="BH290" s="380"/>
      <c r="BI290" s="380"/>
      <c r="BJ290" s="380"/>
      <c r="BK290" s="380"/>
      <c r="BL290" s="380"/>
      <c r="BM290" s="403"/>
      <c r="BS290" s="83"/>
      <c r="CA290" s="405"/>
      <c r="CG290" s="83"/>
      <c r="CO290" s="405"/>
      <c r="CU290" s="83"/>
      <c r="DC290" s="405"/>
      <c r="DI290" s="83"/>
      <c r="DQ290" s="405"/>
      <c r="DW290" s="83"/>
      <c r="EE290" s="405"/>
      <c r="EK290" s="83"/>
      <c r="ES290" s="405"/>
      <c r="EY290" s="83"/>
      <c r="FG290" s="405"/>
      <c r="FM290" s="83"/>
      <c r="FU290" s="405"/>
      <c r="GA290" s="83"/>
      <c r="GI290" s="405"/>
      <c r="GO290" s="83"/>
      <c r="GW290" s="405"/>
      <c r="HC290" s="83"/>
      <c r="HK290" s="405"/>
      <c r="HQ290" s="83"/>
      <c r="HY290" s="405"/>
      <c r="IE290" s="83"/>
      <c r="IM290" s="405"/>
      <c r="IS290" s="83"/>
      <c r="JA290" s="405"/>
      <c r="JG290" s="83"/>
      <c r="JO290" s="405"/>
      <c r="JU290" s="83"/>
      <c r="KC290" s="405"/>
      <c r="KI290" s="83"/>
      <c r="KQ290" s="405"/>
      <c r="KW290" s="83"/>
      <c r="LE290" s="405"/>
      <c r="LK290" s="83"/>
      <c r="LS290" s="405"/>
      <c r="LY290" s="83"/>
      <c r="MG290" s="405"/>
      <c r="MM290" s="83"/>
      <c r="MU290" s="405"/>
      <c r="NA290" s="83"/>
    </row>
    <row r="291">
      <c r="A291" s="483"/>
      <c r="B291" s="380"/>
      <c r="C291" s="380"/>
      <c r="D291" s="380"/>
      <c r="E291" s="380"/>
      <c r="F291" s="380"/>
      <c r="G291" s="380"/>
      <c r="H291" s="380"/>
      <c r="I291" s="403"/>
      <c r="J291" s="380"/>
      <c r="K291" s="380"/>
      <c r="L291" s="380"/>
      <c r="M291" s="380"/>
      <c r="N291" s="380"/>
      <c r="O291" s="404"/>
      <c r="P291" s="380"/>
      <c r="Q291" s="380"/>
      <c r="R291" s="380"/>
      <c r="S291" s="380"/>
      <c r="T291" s="380"/>
      <c r="U291" s="380"/>
      <c r="V291" s="380"/>
      <c r="W291" s="403"/>
      <c r="X291" s="380"/>
      <c r="Y291" s="380"/>
      <c r="Z291" s="380"/>
      <c r="AA291" s="380"/>
      <c r="AB291" s="380"/>
      <c r="AC291" s="404"/>
      <c r="AD291" s="380"/>
      <c r="AE291" s="380"/>
      <c r="AF291" s="380"/>
      <c r="AG291" s="380"/>
      <c r="AH291" s="380"/>
      <c r="AI291" s="380"/>
      <c r="AJ291" s="380"/>
      <c r="AK291" s="403"/>
      <c r="AL291" s="380"/>
      <c r="AM291" s="380"/>
      <c r="AN291" s="380"/>
      <c r="AO291" s="380"/>
      <c r="AP291" s="380"/>
      <c r="AQ291" s="404"/>
      <c r="AR291" s="380"/>
      <c r="AS291" s="380"/>
      <c r="AT291" s="380"/>
      <c r="AU291" s="380"/>
      <c r="AV291" s="380"/>
      <c r="AW291" s="380"/>
      <c r="AX291" s="380"/>
      <c r="AY291" s="403"/>
      <c r="AZ291" s="380"/>
      <c r="BA291" s="380"/>
      <c r="BB291" s="380"/>
      <c r="BC291" s="380"/>
      <c r="BD291" s="380"/>
      <c r="BE291" s="404"/>
      <c r="BF291" s="380"/>
      <c r="BG291" s="380"/>
      <c r="BH291" s="380"/>
      <c r="BI291" s="380"/>
      <c r="BJ291" s="380"/>
      <c r="BK291" s="380"/>
      <c r="BL291" s="380"/>
      <c r="BM291" s="403"/>
      <c r="BS291" s="83"/>
      <c r="CA291" s="405"/>
      <c r="CG291" s="83"/>
      <c r="CO291" s="405"/>
      <c r="CU291" s="83"/>
      <c r="DC291" s="405"/>
      <c r="DI291" s="83"/>
      <c r="DQ291" s="405"/>
      <c r="DW291" s="83"/>
      <c r="EE291" s="405"/>
      <c r="EK291" s="83"/>
      <c r="ES291" s="405"/>
      <c r="EY291" s="83"/>
      <c r="FG291" s="405"/>
      <c r="FM291" s="83"/>
      <c r="FU291" s="405"/>
      <c r="GA291" s="83"/>
      <c r="GI291" s="405"/>
      <c r="GO291" s="83"/>
      <c r="GW291" s="405"/>
      <c r="HC291" s="83"/>
      <c r="HK291" s="405"/>
      <c r="HQ291" s="83"/>
      <c r="HY291" s="405"/>
      <c r="IE291" s="83"/>
      <c r="IM291" s="405"/>
      <c r="IS291" s="83"/>
      <c r="JA291" s="405"/>
      <c r="JG291" s="83"/>
      <c r="JO291" s="405"/>
      <c r="JU291" s="83"/>
      <c r="KC291" s="405"/>
      <c r="KI291" s="83"/>
      <c r="KQ291" s="405"/>
      <c r="KW291" s="83"/>
      <c r="LE291" s="405"/>
      <c r="LK291" s="83"/>
      <c r="LS291" s="405"/>
      <c r="LY291" s="83"/>
      <c r="MG291" s="405"/>
      <c r="MM291" s="83"/>
      <c r="MU291" s="405"/>
      <c r="NA291" s="83"/>
    </row>
    <row r="292">
      <c r="A292" s="483"/>
      <c r="B292" s="380"/>
      <c r="C292" s="380"/>
      <c r="D292" s="380"/>
      <c r="E292" s="380"/>
      <c r="F292" s="380"/>
      <c r="G292" s="380"/>
      <c r="H292" s="380"/>
      <c r="I292" s="403"/>
      <c r="J292" s="380"/>
      <c r="K292" s="380"/>
      <c r="L292" s="380"/>
      <c r="M292" s="380"/>
      <c r="N292" s="380"/>
      <c r="O292" s="404"/>
      <c r="P292" s="380"/>
      <c r="Q292" s="380"/>
      <c r="R292" s="380"/>
      <c r="S292" s="380"/>
      <c r="T292" s="380"/>
      <c r="U292" s="380"/>
      <c r="V292" s="380"/>
      <c r="W292" s="403"/>
      <c r="X292" s="380"/>
      <c r="Y292" s="380"/>
      <c r="Z292" s="380"/>
      <c r="AA292" s="380"/>
      <c r="AB292" s="380"/>
      <c r="AC292" s="404"/>
      <c r="AD292" s="380"/>
      <c r="AE292" s="380"/>
      <c r="AF292" s="380"/>
      <c r="AG292" s="380"/>
      <c r="AH292" s="380"/>
      <c r="AI292" s="380"/>
      <c r="AJ292" s="380"/>
      <c r="AK292" s="403"/>
      <c r="AL292" s="380"/>
      <c r="AM292" s="380"/>
      <c r="AN292" s="380"/>
      <c r="AO292" s="380"/>
      <c r="AP292" s="380"/>
      <c r="AQ292" s="404"/>
      <c r="AR292" s="380"/>
      <c r="AS292" s="380"/>
      <c r="AT292" s="380"/>
      <c r="AU292" s="380"/>
      <c r="AV292" s="380"/>
      <c r="AW292" s="380"/>
      <c r="AX292" s="380"/>
      <c r="AY292" s="403"/>
      <c r="AZ292" s="380"/>
      <c r="BA292" s="380"/>
      <c r="BB292" s="380"/>
      <c r="BC292" s="380"/>
      <c r="BD292" s="380"/>
      <c r="BE292" s="404"/>
      <c r="BF292" s="380"/>
      <c r="BG292" s="380"/>
      <c r="BH292" s="380"/>
      <c r="BI292" s="380"/>
      <c r="BJ292" s="380"/>
      <c r="BK292" s="380"/>
      <c r="BL292" s="380"/>
      <c r="BM292" s="403"/>
      <c r="BS292" s="83"/>
      <c r="CA292" s="405"/>
      <c r="CG292" s="83"/>
      <c r="CO292" s="405"/>
      <c r="CU292" s="83"/>
      <c r="DC292" s="405"/>
      <c r="DI292" s="83"/>
      <c r="DQ292" s="405"/>
      <c r="DW292" s="83"/>
      <c r="EE292" s="405"/>
      <c r="EK292" s="83"/>
      <c r="ES292" s="405"/>
      <c r="EY292" s="83"/>
      <c r="FG292" s="405"/>
      <c r="FM292" s="83"/>
      <c r="FU292" s="405"/>
      <c r="GA292" s="83"/>
      <c r="GI292" s="405"/>
      <c r="GO292" s="83"/>
      <c r="GW292" s="405"/>
      <c r="HC292" s="83"/>
      <c r="HK292" s="405"/>
      <c r="HQ292" s="83"/>
      <c r="HY292" s="405"/>
      <c r="IE292" s="83"/>
      <c r="IM292" s="405"/>
      <c r="IS292" s="83"/>
      <c r="JA292" s="405"/>
      <c r="JG292" s="83"/>
      <c r="JO292" s="405"/>
      <c r="JU292" s="83"/>
      <c r="KC292" s="405"/>
      <c r="KI292" s="83"/>
      <c r="KQ292" s="405"/>
      <c r="KW292" s="83"/>
      <c r="LE292" s="405"/>
      <c r="LK292" s="83"/>
      <c r="LS292" s="405"/>
      <c r="LY292" s="83"/>
      <c r="MG292" s="405"/>
      <c r="MM292" s="83"/>
      <c r="MU292" s="405"/>
      <c r="NA292" s="83"/>
    </row>
    <row r="293">
      <c r="A293" s="483"/>
      <c r="B293" s="380"/>
      <c r="C293" s="380"/>
      <c r="D293" s="380"/>
      <c r="E293" s="380"/>
      <c r="F293" s="380"/>
      <c r="G293" s="380"/>
      <c r="H293" s="380"/>
      <c r="I293" s="403"/>
      <c r="J293" s="380"/>
      <c r="K293" s="380"/>
      <c r="L293" s="380"/>
      <c r="M293" s="380"/>
      <c r="N293" s="380"/>
      <c r="O293" s="404"/>
      <c r="P293" s="380"/>
      <c r="Q293" s="380"/>
      <c r="R293" s="380"/>
      <c r="S293" s="380"/>
      <c r="T293" s="380"/>
      <c r="U293" s="380"/>
      <c r="V293" s="380"/>
      <c r="W293" s="403"/>
      <c r="X293" s="380"/>
      <c r="Y293" s="380"/>
      <c r="Z293" s="380"/>
      <c r="AA293" s="380"/>
      <c r="AB293" s="380"/>
      <c r="AC293" s="404"/>
      <c r="AD293" s="380"/>
      <c r="AE293" s="380"/>
      <c r="AF293" s="380"/>
      <c r="AG293" s="380"/>
      <c r="AH293" s="380"/>
      <c r="AI293" s="380"/>
      <c r="AJ293" s="380"/>
      <c r="AK293" s="403"/>
      <c r="AL293" s="380"/>
      <c r="AM293" s="380"/>
      <c r="AN293" s="380"/>
      <c r="AO293" s="380"/>
      <c r="AP293" s="380"/>
      <c r="AQ293" s="404"/>
      <c r="AR293" s="380"/>
      <c r="AS293" s="380"/>
      <c r="AT293" s="380"/>
      <c r="AU293" s="380"/>
      <c r="AV293" s="380"/>
      <c r="AW293" s="380"/>
      <c r="AX293" s="380"/>
      <c r="AY293" s="403"/>
      <c r="AZ293" s="380"/>
      <c r="BA293" s="380"/>
      <c r="BB293" s="380"/>
      <c r="BC293" s="380"/>
      <c r="BD293" s="380"/>
      <c r="BE293" s="404"/>
      <c r="BF293" s="380"/>
      <c r="BG293" s="380"/>
      <c r="BH293" s="380"/>
      <c r="BI293" s="380"/>
      <c r="BJ293" s="380"/>
      <c r="BK293" s="380"/>
      <c r="BL293" s="380"/>
      <c r="BM293" s="403"/>
      <c r="BS293" s="83"/>
      <c r="CA293" s="405"/>
      <c r="CG293" s="83"/>
      <c r="CO293" s="405"/>
      <c r="CU293" s="83"/>
      <c r="DC293" s="405"/>
      <c r="DI293" s="83"/>
      <c r="DQ293" s="405"/>
      <c r="DW293" s="83"/>
      <c r="EE293" s="405"/>
      <c r="EK293" s="83"/>
      <c r="ES293" s="405"/>
      <c r="EY293" s="83"/>
      <c r="FG293" s="405"/>
      <c r="FM293" s="83"/>
      <c r="FU293" s="405"/>
      <c r="GA293" s="83"/>
      <c r="GI293" s="405"/>
      <c r="GO293" s="83"/>
      <c r="GW293" s="405"/>
      <c r="HC293" s="83"/>
      <c r="HK293" s="405"/>
      <c r="HQ293" s="83"/>
      <c r="HY293" s="405"/>
      <c r="IE293" s="83"/>
      <c r="IM293" s="405"/>
      <c r="IS293" s="83"/>
      <c r="JA293" s="405"/>
      <c r="JG293" s="83"/>
      <c r="JO293" s="405"/>
      <c r="JU293" s="83"/>
      <c r="KC293" s="405"/>
      <c r="KI293" s="83"/>
      <c r="KQ293" s="405"/>
      <c r="KW293" s="83"/>
      <c r="LE293" s="405"/>
      <c r="LK293" s="83"/>
      <c r="LS293" s="405"/>
      <c r="LY293" s="83"/>
      <c r="MG293" s="405"/>
      <c r="MM293" s="83"/>
      <c r="MU293" s="405"/>
      <c r="NA293" s="83"/>
    </row>
    <row r="294">
      <c r="A294" s="483"/>
      <c r="B294" s="380"/>
      <c r="C294" s="380"/>
      <c r="D294" s="380"/>
      <c r="E294" s="380"/>
      <c r="F294" s="380"/>
      <c r="G294" s="380"/>
      <c r="H294" s="380"/>
      <c r="I294" s="403"/>
      <c r="J294" s="380"/>
      <c r="K294" s="380"/>
      <c r="L294" s="380"/>
      <c r="M294" s="380"/>
      <c r="N294" s="380"/>
      <c r="O294" s="404"/>
      <c r="P294" s="380"/>
      <c r="Q294" s="380"/>
      <c r="R294" s="380"/>
      <c r="S294" s="380"/>
      <c r="T294" s="380"/>
      <c r="U294" s="380"/>
      <c r="V294" s="380"/>
      <c r="W294" s="403"/>
      <c r="X294" s="380"/>
      <c r="Y294" s="380"/>
      <c r="Z294" s="380"/>
      <c r="AA294" s="380"/>
      <c r="AB294" s="380"/>
      <c r="AC294" s="404"/>
      <c r="AD294" s="380"/>
      <c r="AE294" s="380"/>
      <c r="AF294" s="380"/>
      <c r="AG294" s="380"/>
      <c r="AH294" s="380"/>
      <c r="AI294" s="380"/>
      <c r="AJ294" s="380"/>
      <c r="AK294" s="403"/>
      <c r="AL294" s="380"/>
      <c r="AM294" s="380"/>
      <c r="AN294" s="380"/>
      <c r="AO294" s="380"/>
      <c r="AP294" s="380"/>
      <c r="AQ294" s="404"/>
      <c r="AR294" s="380"/>
      <c r="AS294" s="380"/>
      <c r="AT294" s="380"/>
      <c r="AU294" s="380"/>
      <c r="AV294" s="380"/>
      <c r="AW294" s="380"/>
      <c r="AX294" s="380"/>
      <c r="AY294" s="403"/>
      <c r="AZ294" s="380"/>
      <c r="BA294" s="380"/>
      <c r="BB294" s="380"/>
      <c r="BC294" s="380"/>
      <c r="BD294" s="380"/>
      <c r="BE294" s="404"/>
      <c r="BF294" s="380"/>
      <c r="BG294" s="380"/>
      <c r="BH294" s="380"/>
      <c r="BI294" s="380"/>
      <c r="BJ294" s="380"/>
      <c r="BK294" s="380"/>
      <c r="BL294" s="380"/>
      <c r="BM294" s="403"/>
      <c r="BS294" s="83"/>
      <c r="CA294" s="405"/>
      <c r="CG294" s="83"/>
      <c r="CO294" s="405"/>
      <c r="CU294" s="83"/>
      <c r="DC294" s="405"/>
      <c r="DI294" s="83"/>
      <c r="DQ294" s="405"/>
      <c r="DW294" s="83"/>
      <c r="EE294" s="405"/>
      <c r="EK294" s="83"/>
      <c r="ES294" s="405"/>
      <c r="EY294" s="83"/>
      <c r="FG294" s="405"/>
      <c r="FM294" s="83"/>
      <c r="FU294" s="405"/>
      <c r="GA294" s="83"/>
      <c r="GI294" s="405"/>
      <c r="GO294" s="83"/>
      <c r="GW294" s="405"/>
      <c r="HC294" s="83"/>
      <c r="HK294" s="405"/>
      <c r="HQ294" s="83"/>
      <c r="HY294" s="405"/>
      <c r="IE294" s="83"/>
      <c r="IM294" s="405"/>
      <c r="IS294" s="83"/>
      <c r="JA294" s="405"/>
      <c r="JG294" s="83"/>
      <c r="JO294" s="405"/>
      <c r="JU294" s="83"/>
      <c r="KC294" s="405"/>
      <c r="KI294" s="83"/>
      <c r="KQ294" s="405"/>
      <c r="KW294" s="83"/>
      <c r="LE294" s="405"/>
      <c r="LK294" s="83"/>
      <c r="LS294" s="405"/>
      <c r="LY294" s="83"/>
      <c r="MG294" s="405"/>
      <c r="MM294" s="83"/>
      <c r="MU294" s="405"/>
      <c r="NA294" s="83"/>
    </row>
    <row r="295">
      <c r="A295" s="483"/>
      <c r="B295" s="380"/>
      <c r="C295" s="380"/>
      <c r="D295" s="380"/>
      <c r="E295" s="380"/>
      <c r="F295" s="380"/>
      <c r="G295" s="380"/>
      <c r="H295" s="380"/>
      <c r="I295" s="403"/>
      <c r="J295" s="380"/>
      <c r="K295" s="380"/>
      <c r="L295" s="380"/>
      <c r="M295" s="380"/>
      <c r="N295" s="380"/>
      <c r="O295" s="404"/>
      <c r="P295" s="380"/>
      <c r="Q295" s="380"/>
      <c r="R295" s="380"/>
      <c r="S295" s="380"/>
      <c r="T295" s="380"/>
      <c r="U295" s="380"/>
      <c r="V295" s="380"/>
      <c r="W295" s="403"/>
      <c r="X295" s="380"/>
      <c r="Y295" s="380"/>
      <c r="Z295" s="380"/>
      <c r="AA295" s="380"/>
      <c r="AB295" s="380"/>
      <c r="AC295" s="404"/>
      <c r="AD295" s="380"/>
      <c r="AE295" s="380"/>
      <c r="AF295" s="380"/>
      <c r="AG295" s="380"/>
      <c r="AH295" s="380"/>
      <c r="AI295" s="380"/>
      <c r="AJ295" s="380"/>
      <c r="AK295" s="403"/>
      <c r="AL295" s="380"/>
      <c r="AM295" s="380"/>
      <c r="AN295" s="380"/>
      <c r="AO295" s="380"/>
      <c r="AP295" s="380"/>
      <c r="AQ295" s="404"/>
      <c r="AR295" s="380"/>
      <c r="AS295" s="380"/>
      <c r="AT295" s="380"/>
      <c r="AU295" s="380"/>
      <c r="AV295" s="380"/>
      <c r="AW295" s="380"/>
      <c r="AX295" s="380"/>
      <c r="AY295" s="403"/>
      <c r="AZ295" s="380"/>
      <c r="BA295" s="380"/>
      <c r="BB295" s="380"/>
      <c r="BC295" s="380"/>
      <c r="BD295" s="380"/>
      <c r="BE295" s="404"/>
      <c r="BF295" s="380"/>
      <c r="BG295" s="380"/>
      <c r="BH295" s="380"/>
      <c r="BI295" s="380"/>
      <c r="BJ295" s="380"/>
      <c r="BK295" s="380"/>
      <c r="BL295" s="380"/>
      <c r="BM295" s="403"/>
      <c r="BS295" s="83"/>
      <c r="CA295" s="405"/>
      <c r="CG295" s="83"/>
      <c r="CO295" s="405"/>
      <c r="CU295" s="83"/>
      <c r="DC295" s="405"/>
      <c r="DI295" s="83"/>
      <c r="DQ295" s="405"/>
      <c r="DW295" s="83"/>
      <c r="EE295" s="405"/>
      <c r="EK295" s="83"/>
      <c r="ES295" s="405"/>
      <c r="EY295" s="83"/>
      <c r="FG295" s="405"/>
      <c r="FM295" s="83"/>
      <c r="FU295" s="405"/>
      <c r="GA295" s="83"/>
      <c r="GI295" s="405"/>
      <c r="GO295" s="83"/>
      <c r="GW295" s="405"/>
      <c r="HC295" s="83"/>
      <c r="HK295" s="405"/>
      <c r="HQ295" s="83"/>
      <c r="HY295" s="405"/>
      <c r="IE295" s="83"/>
      <c r="IM295" s="405"/>
      <c r="IS295" s="83"/>
      <c r="JA295" s="405"/>
      <c r="JG295" s="83"/>
      <c r="JO295" s="405"/>
      <c r="JU295" s="83"/>
      <c r="KC295" s="405"/>
      <c r="KI295" s="83"/>
      <c r="KQ295" s="405"/>
      <c r="KW295" s="83"/>
      <c r="LE295" s="405"/>
      <c r="LK295" s="83"/>
      <c r="LS295" s="405"/>
      <c r="LY295" s="83"/>
      <c r="MG295" s="405"/>
      <c r="MM295" s="83"/>
      <c r="MU295" s="405"/>
      <c r="NA295" s="83"/>
    </row>
    <row r="296">
      <c r="A296" s="483"/>
      <c r="B296" s="380"/>
      <c r="C296" s="380"/>
      <c r="D296" s="380"/>
      <c r="E296" s="380"/>
      <c r="F296" s="380"/>
      <c r="G296" s="380"/>
      <c r="H296" s="380"/>
      <c r="I296" s="403"/>
      <c r="J296" s="380"/>
      <c r="K296" s="380"/>
      <c r="L296" s="380"/>
      <c r="M296" s="380"/>
      <c r="N296" s="380"/>
      <c r="O296" s="404"/>
      <c r="P296" s="380"/>
      <c r="Q296" s="380"/>
      <c r="R296" s="380"/>
      <c r="S296" s="380"/>
      <c r="T296" s="380"/>
      <c r="U296" s="380"/>
      <c r="V296" s="380"/>
      <c r="W296" s="403"/>
      <c r="X296" s="380"/>
      <c r="Y296" s="380"/>
      <c r="Z296" s="380"/>
      <c r="AA296" s="380"/>
      <c r="AB296" s="380"/>
      <c r="AC296" s="404"/>
      <c r="AD296" s="380"/>
      <c r="AE296" s="380"/>
      <c r="AF296" s="380"/>
      <c r="AG296" s="380"/>
      <c r="AH296" s="380"/>
      <c r="AI296" s="380"/>
      <c r="AJ296" s="380"/>
      <c r="AK296" s="403"/>
      <c r="AL296" s="380"/>
      <c r="AM296" s="380"/>
      <c r="AN296" s="380"/>
      <c r="AO296" s="380"/>
      <c r="AP296" s="380"/>
      <c r="AQ296" s="404"/>
      <c r="AR296" s="380"/>
      <c r="AS296" s="380"/>
      <c r="AT296" s="380"/>
      <c r="AU296" s="380"/>
      <c r="AV296" s="380"/>
      <c r="AW296" s="380"/>
      <c r="AX296" s="380"/>
      <c r="AY296" s="403"/>
      <c r="AZ296" s="380"/>
      <c r="BA296" s="380"/>
      <c r="BB296" s="380"/>
      <c r="BC296" s="380"/>
      <c r="BD296" s="380"/>
      <c r="BE296" s="404"/>
      <c r="BF296" s="380"/>
      <c r="BG296" s="380"/>
      <c r="BH296" s="380"/>
      <c r="BI296" s="380"/>
      <c r="BJ296" s="380"/>
      <c r="BK296" s="380"/>
      <c r="BL296" s="380"/>
      <c r="BM296" s="403"/>
      <c r="BS296" s="83"/>
      <c r="CA296" s="405"/>
      <c r="CG296" s="83"/>
      <c r="CO296" s="405"/>
      <c r="CU296" s="83"/>
      <c r="DC296" s="405"/>
      <c r="DI296" s="83"/>
      <c r="DQ296" s="405"/>
      <c r="DW296" s="83"/>
      <c r="EE296" s="405"/>
      <c r="EK296" s="83"/>
      <c r="ES296" s="405"/>
      <c r="EY296" s="83"/>
      <c r="FG296" s="405"/>
      <c r="FM296" s="83"/>
      <c r="FU296" s="405"/>
      <c r="GA296" s="83"/>
      <c r="GI296" s="405"/>
      <c r="GO296" s="83"/>
      <c r="GW296" s="405"/>
      <c r="HC296" s="83"/>
      <c r="HK296" s="405"/>
      <c r="HQ296" s="83"/>
      <c r="HY296" s="405"/>
      <c r="IE296" s="83"/>
      <c r="IM296" s="405"/>
      <c r="IS296" s="83"/>
      <c r="JA296" s="405"/>
      <c r="JG296" s="83"/>
      <c r="JO296" s="405"/>
      <c r="JU296" s="83"/>
      <c r="KC296" s="405"/>
      <c r="KI296" s="83"/>
      <c r="KQ296" s="405"/>
      <c r="KW296" s="83"/>
      <c r="LE296" s="405"/>
      <c r="LK296" s="83"/>
      <c r="LS296" s="405"/>
      <c r="LY296" s="83"/>
      <c r="MG296" s="405"/>
      <c r="MM296" s="83"/>
      <c r="MU296" s="405"/>
      <c r="NA296" s="83"/>
    </row>
    <row r="297">
      <c r="A297" s="483"/>
      <c r="B297" s="380"/>
      <c r="C297" s="380"/>
      <c r="D297" s="380"/>
      <c r="E297" s="380"/>
      <c r="F297" s="380"/>
      <c r="G297" s="380"/>
      <c r="H297" s="380"/>
      <c r="I297" s="403"/>
      <c r="J297" s="380"/>
      <c r="K297" s="380"/>
      <c r="L297" s="380"/>
      <c r="M297" s="380"/>
      <c r="N297" s="380"/>
      <c r="O297" s="404"/>
      <c r="P297" s="380"/>
      <c r="Q297" s="380"/>
      <c r="R297" s="380"/>
      <c r="S297" s="380"/>
      <c r="T297" s="380"/>
      <c r="U297" s="380"/>
      <c r="V297" s="380"/>
      <c r="W297" s="403"/>
      <c r="X297" s="380"/>
      <c r="Y297" s="380"/>
      <c r="Z297" s="380"/>
      <c r="AA297" s="380"/>
      <c r="AB297" s="380"/>
      <c r="AC297" s="404"/>
      <c r="AD297" s="380"/>
      <c r="AE297" s="380"/>
      <c r="AF297" s="380"/>
      <c r="AG297" s="380"/>
      <c r="AH297" s="380"/>
      <c r="AI297" s="380"/>
      <c r="AJ297" s="380"/>
      <c r="AK297" s="403"/>
      <c r="AL297" s="380"/>
      <c r="AM297" s="380"/>
      <c r="AN297" s="380"/>
      <c r="AO297" s="380"/>
      <c r="AP297" s="380"/>
      <c r="AQ297" s="404"/>
      <c r="AR297" s="380"/>
      <c r="AS297" s="380"/>
      <c r="AT297" s="380"/>
      <c r="AU297" s="380"/>
      <c r="AV297" s="380"/>
      <c r="AW297" s="380"/>
      <c r="AX297" s="380"/>
      <c r="AY297" s="403"/>
      <c r="AZ297" s="380"/>
      <c r="BA297" s="380"/>
      <c r="BB297" s="380"/>
      <c r="BC297" s="380"/>
      <c r="BD297" s="380"/>
      <c r="BE297" s="404"/>
      <c r="BF297" s="380"/>
      <c r="BG297" s="380"/>
      <c r="BH297" s="380"/>
      <c r="BI297" s="380"/>
      <c r="BJ297" s="380"/>
      <c r="BK297" s="380"/>
      <c r="BL297" s="380"/>
      <c r="BM297" s="403"/>
      <c r="BS297" s="83"/>
      <c r="CA297" s="405"/>
      <c r="CG297" s="83"/>
      <c r="CO297" s="405"/>
      <c r="CU297" s="83"/>
      <c r="DC297" s="405"/>
      <c r="DI297" s="83"/>
      <c r="DQ297" s="405"/>
      <c r="DW297" s="83"/>
      <c r="EE297" s="405"/>
      <c r="EK297" s="83"/>
      <c r="ES297" s="405"/>
      <c r="EY297" s="83"/>
      <c r="FG297" s="405"/>
      <c r="FM297" s="83"/>
      <c r="FU297" s="405"/>
      <c r="GA297" s="83"/>
      <c r="GI297" s="405"/>
      <c r="GO297" s="83"/>
      <c r="GW297" s="405"/>
      <c r="HC297" s="83"/>
      <c r="HK297" s="405"/>
      <c r="HQ297" s="83"/>
      <c r="HY297" s="405"/>
      <c r="IE297" s="83"/>
      <c r="IM297" s="405"/>
      <c r="IS297" s="83"/>
      <c r="JA297" s="405"/>
      <c r="JG297" s="83"/>
      <c r="JO297" s="405"/>
      <c r="JU297" s="83"/>
      <c r="KC297" s="405"/>
      <c r="KI297" s="83"/>
      <c r="KQ297" s="405"/>
      <c r="KW297" s="83"/>
      <c r="LE297" s="405"/>
      <c r="LK297" s="83"/>
      <c r="LS297" s="405"/>
      <c r="LY297" s="83"/>
      <c r="MG297" s="405"/>
      <c r="MM297" s="83"/>
      <c r="MU297" s="405"/>
      <c r="NA297" s="83"/>
    </row>
    <row r="298">
      <c r="A298" s="483"/>
      <c r="B298" s="380"/>
      <c r="C298" s="380"/>
      <c r="D298" s="380"/>
      <c r="E298" s="380"/>
      <c r="F298" s="380"/>
      <c r="G298" s="380"/>
      <c r="H298" s="380"/>
      <c r="I298" s="403"/>
      <c r="J298" s="380"/>
      <c r="K298" s="380"/>
      <c r="L298" s="380"/>
      <c r="M298" s="380"/>
      <c r="N298" s="380"/>
      <c r="O298" s="404"/>
      <c r="P298" s="380"/>
      <c r="Q298" s="380"/>
      <c r="R298" s="380"/>
      <c r="S298" s="380"/>
      <c r="T298" s="380"/>
      <c r="U298" s="380"/>
      <c r="V298" s="380"/>
      <c r="W298" s="403"/>
      <c r="X298" s="380"/>
      <c r="Y298" s="380"/>
      <c r="Z298" s="380"/>
      <c r="AA298" s="380"/>
      <c r="AB298" s="380"/>
      <c r="AC298" s="404"/>
      <c r="AD298" s="380"/>
      <c r="AE298" s="380"/>
      <c r="AF298" s="380"/>
      <c r="AG298" s="380"/>
      <c r="AH298" s="380"/>
      <c r="AI298" s="380"/>
      <c r="AJ298" s="380"/>
      <c r="AK298" s="403"/>
      <c r="AL298" s="380"/>
      <c r="AM298" s="380"/>
      <c r="AN298" s="380"/>
      <c r="AO298" s="380"/>
      <c r="AP298" s="380"/>
      <c r="AQ298" s="404"/>
      <c r="AR298" s="380"/>
      <c r="AS298" s="380"/>
      <c r="AT298" s="380"/>
      <c r="AU298" s="380"/>
      <c r="AV298" s="380"/>
      <c r="AW298" s="380"/>
      <c r="AX298" s="380"/>
      <c r="AY298" s="403"/>
      <c r="AZ298" s="380"/>
      <c r="BA298" s="380"/>
      <c r="BB298" s="380"/>
      <c r="BC298" s="380"/>
      <c r="BD298" s="380"/>
      <c r="BE298" s="404"/>
      <c r="BF298" s="380"/>
      <c r="BG298" s="380"/>
      <c r="BH298" s="380"/>
      <c r="BI298" s="380"/>
      <c r="BJ298" s="380"/>
      <c r="BK298" s="380"/>
      <c r="BL298" s="380"/>
      <c r="BM298" s="403"/>
      <c r="BS298" s="83"/>
      <c r="CA298" s="405"/>
      <c r="CG298" s="83"/>
      <c r="CO298" s="405"/>
      <c r="CU298" s="83"/>
      <c r="DC298" s="405"/>
      <c r="DI298" s="83"/>
      <c r="DQ298" s="405"/>
      <c r="DW298" s="83"/>
      <c r="EE298" s="405"/>
      <c r="EK298" s="83"/>
      <c r="ES298" s="405"/>
      <c r="EY298" s="83"/>
      <c r="FG298" s="405"/>
      <c r="FM298" s="83"/>
      <c r="FU298" s="405"/>
      <c r="GA298" s="83"/>
      <c r="GI298" s="405"/>
      <c r="GO298" s="83"/>
      <c r="GW298" s="405"/>
      <c r="HC298" s="83"/>
      <c r="HK298" s="405"/>
      <c r="HQ298" s="83"/>
      <c r="HY298" s="405"/>
      <c r="IE298" s="83"/>
      <c r="IM298" s="405"/>
      <c r="IS298" s="83"/>
      <c r="JA298" s="405"/>
      <c r="JG298" s="83"/>
      <c r="JO298" s="405"/>
      <c r="JU298" s="83"/>
      <c r="KC298" s="405"/>
      <c r="KI298" s="83"/>
      <c r="KQ298" s="405"/>
      <c r="KW298" s="83"/>
      <c r="LE298" s="405"/>
      <c r="LK298" s="83"/>
      <c r="LS298" s="405"/>
      <c r="LY298" s="83"/>
      <c r="MG298" s="405"/>
      <c r="MM298" s="83"/>
      <c r="MU298" s="405"/>
      <c r="NA298" s="83"/>
    </row>
    <row r="299">
      <c r="A299" s="483"/>
      <c r="B299" s="380"/>
      <c r="C299" s="380"/>
      <c r="D299" s="380"/>
      <c r="E299" s="380"/>
      <c r="F299" s="380"/>
      <c r="G299" s="380"/>
      <c r="H299" s="380"/>
      <c r="I299" s="403"/>
      <c r="J299" s="380"/>
      <c r="K299" s="380"/>
      <c r="L299" s="380"/>
      <c r="M299" s="380"/>
      <c r="N299" s="380"/>
      <c r="O299" s="404"/>
      <c r="P299" s="380"/>
      <c r="Q299" s="380"/>
      <c r="R299" s="380"/>
      <c r="S299" s="380"/>
      <c r="T299" s="380"/>
      <c r="U299" s="380"/>
      <c r="V299" s="380"/>
      <c r="W299" s="403"/>
      <c r="X299" s="380"/>
      <c r="Y299" s="380"/>
      <c r="Z299" s="380"/>
      <c r="AA299" s="380"/>
      <c r="AB299" s="380"/>
      <c r="AC299" s="404"/>
      <c r="AD299" s="380"/>
      <c r="AE299" s="380"/>
      <c r="AF299" s="380"/>
      <c r="AG299" s="380"/>
      <c r="AH299" s="380"/>
      <c r="AI299" s="380"/>
      <c r="AJ299" s="380"/>
      <c r="AK299" s="403"/>
      <c r="AL299" s="380"/>
      <c r="AM299" s="380"/>
      <c r="AN299" s="380"/>
      <c r="AO299" s="380"/>
      <c r="AP299" s="380"/>
      <c r="AQ299" s="404"/>
      <c r="AR299" s="380"/>
      <c r="AS299" s="380"/>
      <c r="AT299" s="380"/>
      <c r="AU299" s="380"/>
      <c r="AV299" s="380"/>
      <c r="AW299" s="380"/>
      <c r="AX299" s="380"/>
      <c r="AY299" s="403"/>
      <c r="AZ299" s="380"/>
      <c r="BA299" s="380"/>
      <c r="BB299" s="380"/>
      <c r="BC299" s="380"/>
      <c r="BD299" s="380"/>
      <c r="BE299" s="404"/>
      <c r="BF299" s="380"/>
      <c r="BG299" s="380"/>
      <c r="BH299" s="380"/>
      <c r="BI299" s="380"/>
      <c r="BJ299" s="380"/>
      <c r="BK299" s="380"/>
      <c r="BL299" s="380"/>
      <c r="BM299" s="403"/>
      <c r="BS299" s="83"/>
      <c r="CA299" s="405"/>
      <c r="CG299" s="83"/>
      <c r="CO299" s="405"/>
      <c r="CU299" s="83"/>
      <c r="DC299" s="405"/>
      <c r="DI299" s="83"/>
      <c r="DQ299" s="405"/>
      <c r="DW299" s="83"/>
      <c r="EE299" s="405"/>
      <c r="EK299" s="83"/>
      <c r="ES299" s="405"/>
      <c r="EY299" s="83"/>
      <c r="FG299" s="405"/>
      <c r="FM299" s="83"/>
      <c r="FU299" s="405"/>
      <c r="GA299" s="83"/>
      <c r="GI299" s="405"/>
      <c r="GO299" s="83"/>
      <c r="GW299" s="405"/>
      <c r="HC299" s="83"/>
      <c r="HK299" s="405"/>
      <c r="HQ299" s="83"/>
      <c r="HY299" s="405"/>
      <c r="IE299" s="83"/>
      <c r="IM299" s="405"/>
      <c r="IS299" s="83"/>
      <c r="JA299" s="405"/>
      <c r="JG299" s="83"/>
      <c r="JO299" s="405"/>
      <c r="JU299" s="83"/>
      <c r="KC299" s="405"/>
      <c r="KI299" s="83"/>
      <c r="KQ299" s="405"/>
      <c r="KW299" s="83"/>
      <c r="LE299" s="405"/>
      <c r="LK299" s="83"/>
      <c r="LS299" s="405"/>
      <c r="LY299" s="83"/>
      <c r="MG299" s="405"/>
      <c r="MM299" s="83"/>
      <c r="MU299" s="405"/>
      <c r="NA299" s="83"/>
    </row>
    <row r="300">
      <c r="A300" s="483"/>
      <c r="B300" s="380"/>
      <c r="C300" s="380"/>
      <c r="D300" s="380"/>
      <c r="E300" s="380"/>
      <c r="F300" s="380"/>
      <c r="G300" s="380"/>
      <c r="H300" s="380"/>
      <c r="I300" s="403"/>
      <c r="J300" s="380"/>
      <c r="K300" s="380"/>
      <c r="L300" s="380"/>
      <c r="M300" s="380"/>
      <c r="N300" s="380"/>
      <c r="O300" s="404"/>
      <c r="P300" s="380"/>
      <c r="Q300" s="380"/>
      <c r="R300" s="380"/>
      <c r="S300" s="380"/>
      <c r="T300" s="380"/>
      <c r="U300" s="380"/>
      <c r="V300" s="380"/>
      <c r="W300" s="403"/>
      <c r="X300" s="380"/>
      <c r="Y300" s="380"/>
      <c r="Z300" s="380"/>
      <c r="AA300" s="380"/>
      <c r="AB300" s="380"/>
      <c r="AC300" s="404"/>
      <c r="AD300" s="380"/>
      <c r="AE300" s="380"/>
      <c r="AF300" s="380"/>
      <c r="AG300" s="380"/>
      <c r="AH300" s="380"/>
      <c r="AI300" s="380"/>
      <c r="AJ300" s="380"/>
      <c r="AK300" s="403"/>
      <c r="AL300" s="380"/>
      <c r="AM300" s="380"/>
      <c r="AN300" s="380"/>
      <c r="AO300" s="380"/>
      <c r="AP300" s="380"/>
      <c r="AQ300" s="404"/>
      <c r="AR300" s="380"/>
      <c r="AS300" s="380"/>
      <c r="AT300" s="380"/>
      <c r="AU300" s="380"/>
      <c r="AV300" s="380"/>
      <c r="AW300" s="380"/>
      <c r="AX300" s="380"/>
      <c r="AY300" s="403"/>
      <c r="AZ300" s="380"/>
      <c r="BA300" s="380"/>
      <c r="BB300" s="380"/>
      <c r="BC300" s="380"/>
      <c r="BD300" s="380"/>
      <c r="BE300" s="404"/>
      <c r="BF300" s="380"/>
      <c r="BG300" s="380"/>
      <c r="BH300" s="380"/>
      <c r="BI300" s="380"/>
      <c r="BJ300" s="380"/>
      <c r="BK300" s="380"/>
      <c r="BL300" s="380"/>
      <c r="BM300" s="403"/>
      <c r="BS300" s="83"/>
      <c r="CA300" s="405"/>
      <c r="CG300" s="83"/>
      <c r="CO300" s="405"/>
      <c r="CU300" s="83"/>
      <c r="DC300" s="405"/>
      <c r="DI300" s="83"/>
      <c r="DQ300" s="405"/>
      <c r="DW300" s="83"/>
      <c r="EE300" s="405"/>
      <c r="EK300" s="83"/>
      <c r="ES300" s="405"/>
      <c r="EY300" s="83"/>
      <c r="FG300" s="405"/>
      <c r="FM300" s="83"/>
      <c r="FU300" s="405"/>
      <c r="GA300" s="83"/>
      <c r="GI300" s="405"/>
      <c r="GO300" s="83"/>
      <c r="GW300" s="405"/>
      <c r="HC300" s="83"/>
      <c r="HK300" s="405"/>
      <c r="HQ300" s="83"/>
      <c r="HY300" s="405"/>
      <c r="IE300" s="83"/>
      <c r="IM300" s="405"/>
      <c r="IS300" s="83"/>
      <c r="JA300" s="405"/>
      <c r="JG300" s="83"/>
      <c r="JO300" s="405"/>
      <c r="JU300" s="83"/>
      <c r="KC300" s="405"/>
      <c r="KI300" s="83"/>
      <c r="KQ300" s="405"/>
      <c r="KW300" s="83"/>
      <c r="LE300" s="405"/>
      <c r="LK300" s="83"/>
      <c r="LS300" s="405"/>
      <c r="LY300" s="83"/>
      <c r="MG300" s="405"/>
      <c r="MM300" s="83"/>
      <c r="MU300" s="405"/>
      <c r="NA300" s="83"/>
    </row>
    <row r="301">
      <c r="A301" s="483"/>
      <c r="B301" s="380"/>
      <c r="C301" s="380"/>
      <c r="D301" s="380"/>
      <c r="E301" s="380"/>
      <c r="F301" s="380"/>
      <c r="G301" s="380"/>
      <c r="H301" s="380"/>
      <c r="I301" s="403"/>
      <c r="J301" s="380"/>
      <c r="K301" s="380"/>
      <c r="L301" s="380"/>
      <c r="M301" s="380"/>
      <c r="N301" s="380"/>
      <c r="O301" s="404"/>
      <c r="P301" s="380"/>
      <c r="Q301" s="380"/>
      <c r="R301" s="380"/>
      <c r="S301" s="380"/>
      <c r="T301" s="380"/>
      <c r="U301" s="380"/>
      <c r="V301" s="380"/>
      <c r="W301" s="403"/>
      <c r="X301" s="380"/>
      <c r="Y301" s="380"/>
      <c r="Z301" s="380"/>
      <c r="AA301" s="380"/>
      <c r="AB301" s="380"/>
      <c r="AC301" s="404"/>
      <c r="AD301" s="380"/>
      <c r="AE301" s="380"/>
      <c r="AF301" s="380"/>
      <c r="AG301" s="380"/>
      <c r="AH301" s="380"/>
      <c r="AI301" s="380"/>
      <c r="AJ301" s="380"/>
      <c r="AK301" s="403"/>
      <c r="AL301" s="380"/>
      <c r="AM301" s="380"/>
      <c r="AN301" s="380"/>
      <c r="AO301" s="380"/>
      <c r="AP301" s="380"/>
      <c r="AQ301" s="404"/>
      <c r="AR301" s="380"/>
      <c r="AS301" s="380"/>
      <c r="AT301" s="380"/>
      <c r="AU301" s="380"/>
      <c r="AV301" s="380"/>
      <c r="AW301" s="380"/>
      <c r="AX301" s="380"/>
      <c r="AY301" s="403"/>
      <c r="AZ301" s="380"/>
      <c r="BA301" s="380"/>
      <c r="BB301" s="380"/>
      <c r="BC301" s="380"/>
      <c r="BD301" s="380"/>
      <c r="BE301" s="404"/>
      <c r="BF301" s="380"/>
      <c r="BG301" s="380"/>
      <c r="BH301" s="380"/>
      <c r="BI301" s="380"/>
      <c r="BJ301" s="380"/>
      <c r="BK301" s="380"/>
      <c r="BL301" s="380"/>
      <c r="BM301" s="403"/>
      <c r="BS301" s="83"/>
      <c r="CA301" s="405"/>
      <c r="CG301" s="83"/>
      <c r="CO301" s="405"/>
      <c r="CU301" s="83"/>
      <c r="DC301" s="405"/>
      <c r="DI301" s="83"/>
      <c r="DQ301" s="405"/>
      <c r="DW301" s="83"/>
      <c r="EE301" s="405"/>
      <c r="EK301" s="83"/>
      <c r="ES301" s="405"/>
      <c r="EY301" s="83"/>
      <c r="FG301" s="405"/>
      <c r="FM301" s="83"/>
      <c r="FU301" s="405"/>
      <c r="GA301" s="83"/>
      <c r="GI301" s="405"/>
      <c r="GO301" s="83"/>
      <c r="GW301" s="405"/>
      <c r="HC301" s="83"/>
      <c r="HK301" s="405"/>
      <c r="HQ301" s="83"/>
      <c r="HY301" s="405"/>
      <c r="IE301" s="83"/>
      <c r="IM301" s="405"/>
      <c r="IS301" s="83"/>
      <c r="JA301" s="405"/>
      <c r="JG301" s="83"/>
      <c r="JO301" s="405"/>
      <c r="JU301" s="83"/>
      <c r="KC301" s="405"/>
      <c r="KI301" s="83"/>
      <c r="KQ301" s="405"/>
      <c r="KW301" s="83"/>
      <c r="LE301" s="405"/>
      <c r="LK301" s="83"/>
      <c r="LS301" s="405"/>
      <c r="LY301" s="83"/>
      <c r="MG301" s="405"/>
      <c r="MM301" s="83"/>
      <c r="MU301" s="405"/>
      <c r="NA301" s="83"/>
    </row>
    <row r="302">
      <c r="A302" s="483"/>
      <c r="B302" s="380"/>
      <c r="C302" s="380"/>
      <c r="D302" s="380"/>
      <c r="E302" s="380"/>
      <c r="F302" s="380"/>
      <c r="G302" s="380"/>
      <c r="H302" s="380"/>
      <c r="I302" s="403"/>
      <c r="J302" s="380"/>
      <c r="K302" s="380"/>
      <c r="L302" s="380"/>
      <c r="M302" s="380"/>
      <c r="N302" s="380"/>
      <c r="O302" s="404"/>
      <c r="P302" s="380"/>
      <c r="Q302" s="380"/>
      <c r="R302" s="380"/>
      <c r="S302" s="380"/>
      <c r="T302" s="380"/>
      <c r="U302" s="380"/>
      <c r="V302" s="380"/>
      <c r="W302" s="403"/>
      <c r="X302" s="380"/>
      <c r="Y302" s="380"/>
      <c r="Z302" s="380"/>
      <c r="AA302" s="380"/>
      <c r="AB302" s="380"/>
      <c r="AC302" s="404"/>
      <c r="AD302" s="380"/>
      <c r="AE302" s="380"/>
      <c r="AF302" s="380"/>
      <c r="AG302" s="380"/>
      <c r="AH302" s="380"/>
      <c r="AI302" s="380"/>
      <c r="AJ302" s="380"/>
      <c r="AK302" s="403"/>
      <c r="AL302" s="380"/>
      <c r="AM302" s="380"/>
      <c r="AN302" s="380"/>
      <c r="AO302" s="380"/>
      <c r="AP302" s="380"/>
      <c r="AQ302" s="404"/>
      <c r="AR302" s="380"/>
      <c r="AS302" s="380"/>
      <c r="AT302" s="380"/>
      <c r="AU302" s="380"/>
      <c r="AV302" s="380"/>
      <c r="AW302" s="380"/>
      <c r="AX302" s="380"/>
      <c r="AY302" s="403"/>
      <c r="AZ302" s="380"/>
      <c r="BA302" s="380"/>
      <c r="BB302" s="380"/>
      <c r="BC302" s="380"/>
      <c r="BD302" s="380"/>
      <c r="BE302" s="404"/>
      <c r="BF302" s="380"/>
      <c r="BG302" s="380"/>
      <c r="BH302" s="380"/>
      <c r="BI302" s="380"/>
      <c r="BJ302" s="380"/>
      <c r="BK302" s="380"/>
      <c r="BL302" s="380"/>
      <c r="BM302" s="403"/>
      <c r="BS302" s="83"/>
      <c r="CA302" s="405"/>
      <c r="CG302" s="83"/>
      <c r="CO302" s="405"/>
      <c r="CU302" s="83"/>
      <c r="DC302" s="405"/>
      <c r="DI302" s="83"/>
      <c r="DQ302" s="405"/>
      <c r="DW302" s="83"/>
      <c r="EE302" s="405"/>
      <c r="EK302" s="83"/>
      <c r="ES302" s="405"/>
      <c r="EY302" s="83"/>
      <c r="FG302" s="405"/>
      <c r="FM302" s="83"/>
      <c r="FU302" s="405"/>
      <c r="GA302" s="83"/>
      <c r="GI302" s="405"/>
      <c r="GO302" s="83"/>
      <c r="GW302" s="405"/>
      <c r="HC302" s="83"/>
      <c r="HK302" s="405"/>
      <c r="HQ302" s="83"/>
      <c r="HY302" s="405"/>
      <c r="IE302" s="83"/>
      <c r="IM302" s="405"/>
      <c r="IS302" s="83"/>
      <c r="JA302" s="405"/>
      <c r="JG302" s="83"/>
      <c r="JO302" s="405"/>
      <c r="JU302" s="83"/>
      <c r="KC302" s="405"/>
      <c r="KI302" s="83"/>
      <c r="KQ302" s="405"/>
      <c r="KW302" s="83"/>
      <c r="LE302" s="405"/>
      <c r="LK302" s="83"/>
      <c r="LS302" s="405"/>
      <c r="LY302" s="83"/>
      <c r="MG302" s="405"/>
      <c r="MM302" s="83"/>
      <c r="MU302" s="405"/>
      <c r="NA302" s="83"/>
    </row>
    <row r="303">
      <c r="A303" s="483"/>
      <c r="B303" s="380"/>
      <c r="C303" s="380"/>
      <c r="D303" s="380"/>
      <c r="E303" s="380"/>
      <c r="F303" s="380"/>
      <c r="G303" s="380"/>
      <c r="H303" s="380"/>
      <c r="I303" s="403"/>
      <c r="J303" s="380"/>
      <c r="K303" s="380"/>
      <c r="L303" s="380"/>
      <c r="M303" s="380"/>
      <c r="N303" s="380"/>
      <c r="O303" s="404"/>
      <c r="P303" s="380"/>
      <c r="Q303" s="380"/>
      <c r="R303" s="380"/>
      <c r="S303" s="380"/>
      <c r="T303" s="380"/>
      <c r="U303" s="380"/>
      <c r="V303" s="380"/>
      <c r="W303" s="403"/>
      <c r="X303" s="380"/>
      <c r="Y303" s="380"/>
      <c r="Z303" s="380"/>
      <c r="AA303" s="380"/>
      <c r="AB303" s="380"/>
      <c r="AC303" s="404"/>
      <c r="AD303" s="380"/>
      <c r="AE303" s="380"/>
      <c r="AF303" s="380"/>
      <c r="AG303" s="380"/>
      <c r="AH303" s="380"/>
      <c r="AI303" s="380"/>
      <c r="AJ303" s="380"/>
      <c r="AK303" s="403"/>
      <c r="AL303" s="380"/>
      <c r="AM303" s="380"/>
      <c r="AN303" s="380"/>
      <c r="AO303" s="380"/>
      <c r="AP303" s="380"/>
      <c r="AQ303" s="404"/>
      <c r="AR303" s="380"/>
      <c r="AS303" s="380"/>
      <c r="AT303" s="380"/>
      <c r="AU303" s="380"/>
      <c r="AV303" s="380"/>
      <c r="AW303" s="380"/>
      <c r="AX303" s="380"/>
      <c r="AY303" s="403"/>
      <c r="AZ303" s="380"/>
      <c r="BA303" s="380"/>
      <c r="BB303" s="380"/>
      <c r="BC303" s="380"/>
      <c r="BD303" s="380"/>
      <c r="BE303" s="404"/>
      <c r="BF303" s="380"/>
      <c r="BG303" s="380"/>
      <c r="BH303" s="380"/>
      <c r="BI303" s="380"/>
      <c r="BJ303" s="380"/>
      <c r="BK303" s="380"/>
      <c r="BL303" s="380"/>
      <c r="BM303" s="403"/>
      <c r="BS303" s="83"/>
      <c r="CA303" s="405"/>
      <c r="CG303" s="83"/>
      <c r="CO303" s="405"/>
      <c r="CU303" s="83"/>
      <c r="DC303" s="405"/>
      <c r="DI303" s="83"/>
      <c r="DQ303" s="405"/>
      <c r="DW303" s="83"/>
      <c r="EE303" s="405"/>
      <c r="EK303" s="83"/>
      <c r="ES303" s="405"/>
      <c r="EY303" s="83"/>
      <c r="FG303" s="405"/>
      <c r="FM303" s="83"/>
      <c r="FU303" s="405"/>
      <c r="GA303" s="83"/>
      <c r="GI303" s="405"/>
      <c r="GO303" s="83"/>
      <c r="GW303" s="405"/>
      <c r="HC303" s="83"/>
      <c r="HK303" s="405"/>
      <c r="HQ303" s="83"/>
      <c r="HY303" s="405"/>
      <c r="IE303" s="83"/>
      <c r="IM303" s="405"/>
      <c r="IS303" s="83"/>
      <c r="JA303" s="405"/>
      <c r="JG303" s="83"/>
      <c r="JO303" s="405"/>
      <c r="JU303" s="83"/>
      <c r="KC303" s="405"/>
      <c r="KI303" s="83"/>
      <c r="KQ303" s="405"/>
      <c r="KW303" s="83"/>
      <c r="LE303" s="405"/>
      <c r="LK303" s="83"/>
      <c r="LS303" s="405"/>
      <c r="LY303" s="83"/>
      <c r="MG303" s="405"/>
      <c r="MM303" s="83"/>
      <c r="MU303" s="405"/>
      <c r="NA303" s="83"/>
    </row>
    <row r="304">
      <c r="A304" s="483"/>
      <c r="B304" s="380"/>
      <c r="C304" s="380"/>
      <c r="D304" s="380"/>
      <c r="E304" s="380"/>
      <c r="F304" s="380"/>
      <c r="G304" s="380"/>
      <c r="H304" s="380"/>
      <c r="I304" s="403"/>
      <c r="J304" s="380"/>
      <c r="K304" s="380"/>
      <c r="L304" s="380"/>
      <c r="M304" s="380"/>
      <c r="N304" s="380"/>
      <c r="O304" s="404"/>
      <c r="P304" s="380"/>
      <c r="Q304" s="380"/>
      <c r="R304" s="380"/>
      <c r="S304" s="380"/>
      <c r="T304" s="380"/>
      <c r="U304" s="380"/>
      <c r="V304" s="380"/>
      <c r="W304" s="403"/>
      <c r="X304" s="380"/>
      <c r="Y304" s="380"/>
      <c r="Z304" s="380"/>
      <c r="AA304" s="380"/>
      <c r="AB304" s="380"/>
      <c r="AC304" s="404"/>
      <c r="AD304" s="380"/>
      <c r="AE304" s="380"/>
      <c r="AF304" s="380"/>
      <c r="AG304" s="380"/>
      <c r="AH304" s="380"/>
      <c r="AI304" s="380"/>
      <c r="AJ304" s="380"/>
      <c r="AK304" s="403"/>
      <c r="AL304" s="380"/>
      <c r="AM304" s="380"/>
      <c r="AN304" s="380"/>
      <c r="AO304" s="380"/>
      <c r="AP304" s="380"/>
      <c r="AQ304" s="404"/>
      <c r="AR304" s="380"/>
      <c r="AS304" s="380"/>
      <c r="AT304" s="380"/>
      <c r="AU304" s="380"/>
      <c r="AV304" s="380"/>
      <c r="AW304" s="380"/>
      <c r="AX304" s="380"/>
      <c r="AY304" s="403"/>
      <c r="AZ304" s="380"/>
      <c r="BA304" s="380"/>
      <c r="BB304" s="380"/>
      <c r="BC304" s="380"/>
      <c r="BD304" s="380"/>
      <c r="BE304" s="404"/>
      <c r="BF304" s="380"/>
      <c r="BG304" s="380"/>
      <c r="BH304" s="380"/>
      <c r="BI304" s="380"/>
      <c r="BJ304" s="380"/>
      <c r="BK304" s="380"/>
      <c r="BL304" s="380"/>
      <c r="BM304" s="403"/>
      <c r="BS304" s="83"/>
      <c r="CA304" s="405"/>
      <c r="CG304" s="83"/>
      <c r="CO304" s="405"/>
      <c r="CU304" s="83"/>
      <c r="DC304" s="405"/>
      <c r="DI304" s="83"/>
      <c r="DQ304" s="405"/>
      <c r="DW304" s="83"/>
      <c r="EE304" s="405"/>
      <c r="EK304" s="83"/>
      <c r="ES304" s="405"/>
      <c r="EY304" s="83"/>
      <c r="FG304" s="405"/>
      <c r="FM304" s="83"/>
      <c r="FU304" s="405"/>
      <c r="GA304" s="83"/>
      <c r="GI304" s="405"/>
      <c r="GO304" s="83"/>
      <c r="GW304" s="405"/>
      <c r="HC304" s="83"/>
      <c r="HK304" s="405"/>
      <c r="HQ304" s="83"/>
      <c r="HY304" s="405"/>
      <c r="IE304" s="83"/>
      <c r="IM304" s="405"/>
      <c r="IS304" s="83"/>
      <c r="JA304" s="405"/>
      <c r="JG304" s="83"/>
      <c r="JO304" s="405"/>
      <c r="JU304" s="83"/>
      <c r="KC304" s="405"/>
      <c r="KI304" s="83"/>
      <c r="KQ304" s="405"/>
      <c r="KW304" s="83"/>
      <c r="LE304" s="405"/>
      <c r="LK304" s="83"/>
      <c r="LS304" s="405"/>
      <c r="LY304" s="83"/>
      <c r="MG304" s="405"/>
      <c r="MM304" s="83"/>
      <c r="MU304" s="405"/>
      <c r="NA304" s="83"/>
    </row>
    <row r="305">
      <c r="A305" s="483"/>
      <c r="B305" s="380"/>
      <c r="C305" s="380"/>
      <c r="D305" s="380"/>
      <c r="E305" s="380"/>
      <c r="F305" s="380"/>
      <c r="G305" s="380"/>
      <c r="H305" s="380"/>
      <c r="I305" s="403"/>
      <c r="J305" s="380"/>
      <c r="K305" s="380"/>
      <c r="L305" s="380"/>
      <c r="M305" s="380"/>
      <c r="N305" s="380"/>
      <c r="O305" s="404"/>
      <c r="P305" s="380"/>
      <c r="Q305" s="380"/>
      <c r="R305" s="380"/>
      <c r="S305" s="380"/>
      <c r="T305" s="380"/>
      <c r="U305" s="380"/>
      <c r="V305" s="380"/>
      <c r="W305" s="403"/>
      <c r="X305" s="380"/>
      <c r="Y305" s="380"/>
      <c r="Z305" s="380"/>
      <c r="AA305" s="380"/>
      <c r="AB305" s="380"/>
      <c r="AC305" s="404"/>
      <c r="AD305" s="380"/>
      <c r="AE305" s="380"/>
      <c r="AF305" s="380"/>
      <c r="AG305" s="380"/>
      <c r="AH305" s="380"/>
      <c r="AI305" s="380"/>
      <c r="AJ305" s="380"/>
      <c r="AK305" s="403"/>
      <c r="AL305" s="380"/>
      <c r="AM305" s="380"/>
      <c r="AN305" s="380"/>
      <c r="AO305" s="380"/>
      <c r="AP305" s="380"/>
      <c r="AQ305" s="404"/>
      <c r="AR305" s="380"/>
      <c r="AS305" s="380"/>
      <c r="AT305" s="380"/>
      <c r="AU305" s="380"/>
      <c r="AV305" s="380"/>
      <c r="AW305" s="380"/>
      <c r="AX305" s="380"/>
      <c r="AY305" s="403"/>
      <c r="AZ305" s="380"/>
      <c r="BA305" s="380"/>
      <c r="BB305" s="380"/>
      <c r="BC305" s="380"/>
      <c r="BD305" s="380"/>
      <c r="BE305" s="404"/>
      <c r="BF305" s="380"/>
      <c r="BG305" s="380"/>
      <c r="BH305" s="380"/>
      <c r="BI305" s="380"/>
      <c r="BJ305" s="380"/>
      <c r="BK305" s="380"/>
      <c r="BL305" s="380"/>
      <c r="BM305" s="403"/>
      <c r="BS305" s="83"/>
      <c r="CA305" s="405"/>
      <c r="CG305" s="83"/>
      <c r="CO305" s="405"/>
      <c r="CU305" s="83"/>
      <c r="DC305" s="405"/>
      <c r="DI305" s="83"/>
      <c r="DQ305" s="405"/>
      <c r="DW305" s="83"/>
      <c r="EE305" s="405"/>
      <c r="EK305" s="83"/>
      <c r="ES305" s="405"/>
      <c r="EY305" s="83"/>
      <c r="FG305" s="405"/>
      <c r="FM305" s="83"/>
      <c r="FU305" s="405"/>
      <c r="GA305" s="83"/>
      <c r="GI305" s="405"/>
      <c r="GO305" s="83"/>
      <c r="GW305" s="405"/>
      <c r="HC305" s="83"/>
      <c r="HK305" s="405"/>
      <c r="HQ305" s="83"/>
      <c r="HY305" s="405"/>
      <c r="IE305" s="83"/>
      <c r="IM305" s="405"/>
      <c r="IS305" s="83"/>
      <c r="JA305" s="405"/>
      <c r="JG305" s="83"/>
      <c r="JO305" s="405"/>
      <c r="JU305" s="83"/>
      <c r="KC305" s="405"/>
      <c r="KI305" s="83"/>
      <c r="KQ305" s="405"/>
      <c r="KW305" s="83"/>
      <c r="LE305" s="405"/>
      <c r="LK305" s="83"/>
      <c r="LS305" s="405"/>
      <c r="LY305" s="83"/>
      <c r="MG305" s="405"/>
      <c r="MM305" s="83"/>
      <c r="MU305" s="405"/>
      <c r="NA305" s="83"/>
    </row>
    <row r="306">
      <c r="A306" s="483"/>
      <c r="B306" s="380"/>
      <c r="C306" s="380"/>
      <c r="D306" s="380"/>
      <c r="E306" s="380"/>
      <c r="F306" s="380"/>
      <c r="G306" s="380"/>
      <c r="H306" s="380"/>
      <c r="I306" s="403"/>
      <c r="J306" s="380"/>
      <c r="K306" s="380"/>
      <c r="L306" s="380"/>
      <c r="M306" s="380"/>
      <c r="N306" s="380"/>
      <c r="O306" s="404"/>
      <c r="P306" s="380"/>
      <c r="Q306" s="380"/>
      <c r="R306" s="380"/>
      <c r="S306" s="380"/>
      <c r="T306" s="380"/>
      <c r="U306" s="380"/>
      <c r="V306" s="380"/>
      <c r="W306" s="403"/>
      <c r="X306" s="380"/>
      <c r="Y306" s="380"/>
      <c r="Z306" s="380"/>
      <c r="AA306" s="380"/>
      <c r="AB306" s="380"/>
      <c r="AC306" s="404"/>
      <c r="AD306" s="380"/>
      <c r="AE306" s="380"/>
      <c r="AF306" s="380"/>
      <c r="AG306" s="380"/>
      <c r="AH306" s="380"/>
      <c r="AI306" s="380"/>
      <c r="AJ306" s="380"/>
      <c r="AK306" s="403"/>
      <c r="AL306" s="380"/>
      <c r="AM306" s="380"/>
      <c r="AN306" s="380"/>
      <c r="AO306" s="380"/>
      <c r="AP306" s="380"/>
      <c r="AQ306" s="404"/>
      <c r="AR306" s="380"/>
      <c r="AS306" s="380"/>
      <c r="AT306" s="380"/>
      <c r="AU306" s="380"/>
      <c r="AV306" s="380"/>
      <c r="AW306" s="380"/>
      <c r="AX306" s="380"/>
      <c r="AY306" s="403"/>
      <c r="AZ306" s="380"/>
      <c r="BA306" s="380"/>
      <c r="BB306" s="380"/>
      <c r="BC306" s="380"/>
      <c r="BD306" s="380"/>
      <c r="BE306" s="404"/>
      <c r="BF306" s="380"/>
      <c r="BG306" s="380"/>
      <c r="BH306" s="380"/>
      <c r="BI306" s="380"/>
      <c r="BJ306" s="380"/>
      <c r="BK306" s="380"/>
      <c r="BL306" s="380"/>
      <c r="BM306" s="403"/>
      <c r="BS306" s="83"/>
      <c r="CA306" s="405"/>
      <c r="CG306" s="83"/>
      <c r="CO306" s="405"/>
      <c r="CU306" s="83"/>
      <c r="DC306" s="405"/>
      <c r="DI306" s="83"/>
      <c r="DQ306" s="405"/>
      <c r="DW306" s="83"/>
      <c r="EE306" s="405"/>
      <c r="EK306" s="83"/>
      <c r="ES306" s="405"/>
      <c r="EY306" s="83"/>
      <c r="FG306" s="405"/>
      <c r="FM306" s="83"/>
      <c r="FU306" s="405"/>
      <c r="GA306" s="83"/>
      <c r="GI306" s="405"/>
      <c r="GO306" s="83"/>
      <c r="GW306" s="405"/>
      <c r="HC306" s="83"/>
      <c r="HK306" s="405"/>
      <c r="HQ306" s="83"/>
      <c r="HY306" s="405"/>
      <c r="IE306" s="83"/>
      <c r="IM306" s="405"/>
      <c r="IS306" s="83"/>
      <c r="JA306" s="405"/>
      <c r="JG306" s="83"/>
      <c r="JO306" s="405"/>
      <c r="JU306" s="83"/>
      <c r="KC306" s="405"/>
      <c r="KI306" s="83"/>
      <c r="KQ306" s="405"/>
      <c r="KW306" s="83"/>
      <c r="LE306" s="405"/>
      <c r="LK306" s="83"/>
      <c r="LS306" s="405"/>
      <c r="LY306" s="83"/>
      <c r="MG306" s="405"/>
      <c r="MM306" s="83"/>
      <c r="MU306" s="405"/>
      <c r="NA306" s="83"/>
    </row>
    <row r="307">
      <c r="A307" s="483"/>
      <c r="B307" s="380"/>
      <c r="C307" s="380"/>
      <c r="D307" s="380"/>
      <c r="E307" s="380"/>
      <c r="F307" s="380"/>
      <c r="G307" s="380"/>
      <c r="H307" s="380"/>
      <c r="I307" s="403"/>
      <c r="J307" s="380"/>
      <c r="K307" s="380"/>
      <c r="L307" s="380"/>
      <c r="M307" s="380"/>
      <c r="N307" s="380"/>
      <c r="O307" s="404"/>
      <c r="P307" s="380"/>
      <c r="Q307" s="380"/>
      <c r="R307" s="380"/>
      <c r="S307" s="380"/>
      <c r="T307" s="380"/>
      <c r="U307" s="380"/>
      <c r="V307" s="380"/>
      <c r="W307" s="403"/>
      <c r="X307" s="380"/>
      <c r="Y307" s="380"/>
      <c r="Z307" s="380"/>
      <c r="AA307" s="380"/>
      <c r="AB307" s="380"/>
      <c r="AC307" s="404"/>
      <c r="AD307" s="380"/>
      <c r="AE307" s="380"/>
      <c r="AF307" s="380"/>
      <c r="AG307" s="380"/>
      <c r="AH307" s="380"/>
      <c r="AI307" s="380"/>
      <c r="AJ307" s="380"/>
      <c r="AK307" s="403"/>
      <c r="AL307" s="380"/>
      <c r="AM307" s="380"/>
      <c r="AN307" s="380"/>
      <c r="AO307" s="380"/>
      <c r="AP307" s="380"/>
      <c r="AQ307" s="404"/>
      <c r="AR307" s="380"/>
      <c r="AS307" s="380"/>
      <c r="AT307" s="380"/>
      <c r="AU307" s="380"/>
      <c r="AV307" s="380"/>
      <c r="AW307" s="380"/>
      <c r="AX307" s="380"/>
      <c r="AY307" s="403"/>
      <c r="AZ307" s="380"/>
      <c r="BA307" s="380"/>
      <c r="BB307" s="380"/>
      <c r="BC307" s="380"/>
      <c r="BD307" s="380"/>
      <c r="BE307" s="404"/>
      <c r="BF307" s="380"/>
      <c r="BG307" s="380"/>
      <c r="BH307" s="380"/>
      <c r="BI307" s="380"/>
      <c r="BJ307" s="380"/>
      <c r="BK307" s="380"/>
      <c r="BL307" s="380"/>
      <c r="BM307" s="403"/>
      <c r="BS307" s="83"/>
      <c r="CA307" s="405"/>
      <c r="CG307" s="83"/>
      <c r="CO307" s="405"/>
      <c r="CU307" s="83"/>
      <c r="DC307" s="405"/>
      <c r="DI307" s="83"/>
      <c r="DQ307" s="405"/>
      <c r="DW307" s="83"/>
      <c r="EE307" s="405"/>
      <c r="EK307" s="83"/>
      <c r="ES307" s="405"/>
      <c r="EY307" s="83"/>
      <c r="FG307" s="405"/>
      <c r="FM307" s="83"/>
      <c r="FU307" s="405"/>
      <c r="GA307" s="83"/>
      <c r="GI307" s="405"/>
      <c r="GO307" s="83"/>
      <c r="GW307" s="405"/>
      <c r="HC307" s="83"/>
      <c r="HK307" s="405"/>
      <c r="HQ307" s="83"/>
      <c r="HY307" s="405"/>
      <c r="IE307" s="83"/>
      <c r="IM307" s="405"/>
      <c r="IS307" s="83"/>
      <c r="JA307" s="405"/>
      <c r="JG307" s="83"/>
      <c r="JO307" s="405"/>
      <c r="JU307" s="83"/>
      <c r="KC307" s="405"/>
      <c r="KI307" s="83"/>
      <c r="KQ307" s="405"/>
      <c r="KW307" s="83"/>
      <c r="LE307" s="405"/>
      <c r="LK307" s="83"/>
      <c r="LS307" s="405"/>
      <c r="LY307" s="83"/>
      <c r="MG307" s="405"/>
      <c r="MM307" s="83"/>
      <c r="MU307" s="405"/>
      <c r="NA307" s="83"/>
    </row>
    <row r="308">
      <c r="A308" s="483"/>
      <c r="B308" s="380"/>
      <c r="C308" s="380"/>
      <c r="D308" s="380"/>
      <c r="E308" s="380"/>
      <c r="F308" s="380"/>
      <c r="G308" s="380"/>
      <c r="H308" s="380"/>
      <c r="I308" s="403"/>
      <c r="J308" s="380"/>
      <c r="K308" s="380"/>
      <c r="L308" s="380"/>
      <c r="M308" s="380"/>
      <c r="N308" s="380"/>
      <c r="O308" s="404"/>
      <c r="P308" s="380"/>
      <c r="Q308" s="380"/>
      <c r="R308" s="380"/>
      <c r="S308" s="380"/>
      <c r="T308" s="380"/>
      <c r="U308" s="380"/>
      <c r="V308" s="380"/>
      <c r="W308" s="403"/>
      <c r="X308" s="380"/>
      <c r="Y308" s="380"/>
      <c r="Z308" s="380"/>
      <c r="AA308" s="380"/>
      <c r="AB308" s="380"/>
      <c r="AC308" s="404"/>
      <c r="AD308" s="380"/>
      <c r="AE308" s="380"/>
      <c r="AF308" s="380"/>
      <c r="AG308" s="380"/>
      <c r="AH308" s="380"/>
      <c r="AI308" s="380"/>
      <c r="AJ308" s="380"/>
      <c r="AK308" s="403"/>
      <c r="AL308" s="380"/>
      <c r="AM308" s="380"/>
      <c r="AN308" s="380"/>
      <c r="AO308" s="380"/>
      <c r="AP308" s="380"/>
      <c r="AQ308" s="404"/>
      <c r="AR308" s="380"/>
      <c r="AS308" s="380"/>
      <c r="AT308" s="380"/>
      <c r="AU308" s="380"/>
      <c r="AV308" s="380"/>
      <c r="AW308" s="380"/>
      <c r="AX308" s="380"/>
      <c r="AY308" s="403"/>
      <c r="AZ308" s="380"/>
      <c r="BA308" s="380"/>
      <c r="BB308" s="380"/>
      <c r="BC308" s="380"/>
      <c r="BD308" s="380"/>
      <c r="BE308" s="404"/>
      <c r="BF308" s="380"/>
      <c r="BG308" s="380"/>
      <c r="BH308" s="380"/>
      <c r="BI308" s="380"/>
      <c r="BJ308" s="380"/>
      <c r="BK308" s="380"/>
      <c r="BL308" s="380"/>
      <c r="BM308" s="403"/>
      <c r="BS308" s="83"/>
      <c r="CA308" s="405"/>
      <c r="CG308" s="83"/>
      <c r="CO308" s="405"/>
      <c r="CU308" s="83"/>
      <c r="DC308" s="405"/>
      <c r="DI308" s="83"/>
      <c r="DQ308" s="405"/>
      <c r="DW308" s="83"/>
      <c r="EE308" s="405"/>
      <c r="EK308" s="83"/>
      <c r="ES308" s="405"/>
      <c r="EY308" s="83"/>
      <c r="FG308" s="405"/>
      <c r="FM308" s="83"/>
      <c r="FU308" s="405"/>
      <c r="GA308" s="83"/>
      <c r="GI308" s="405"/>
      <c r="GO308" s="83"/>
      <c r="GW308" s="405"/>
      <c r="HC308" s="83"/>
      <c r="HK308" s="405"/>
      <c r="HQ308" s="83"/>
      <c r="HY308" s="405"/>
      <c r="IE308" s="83"/>
      <c r="IM308" s="405"/>
      <c r="IS308" s="83"/>
      <c r="JA308" s="405"/>
      <c r="JG308" s="83"/>
      <c r="JO308" s="405"/>
      <c r="JU308" s="83"/>
      <c r="KC308" s="405"/>
      <c r="KI308" s="83"/>
      <c r="KQ308" s="405"/>
      <c r="KW308" s="83"/>
      <c r="LE308" s="405"/>
      <c r="LK308" s="83"/>
      <c r="LS308" s="405"/>
      <c r="LY308" s="83"/>
      <c r="MG308" s="405"/>
      <c r="MM308" s="83"/>
      <c r="MU308" s="405"/>
      <c r="NA308" s="83"/>
    </row>
    <row r="309">
      <c r="A309" s="483"/>
      <c r="B309" s="380"/>
      <c r="C309" s="380"/>
      <c r="D309" s="380"/>
      <c r="E309" s="380"/>
      <c r="F309" s="380"/>
      <c r="G309" s="380"/>
      <c r="H309" s="380"/>
      <c r="I309" s="403"/>
      <c r="J309" s="380"/>
      <c r="K309" s="380"/>
      <c r="L309" s="380"/>
      <c r="M309" s="380"/>
      <c r="N309" s="380"/>
      <c r="O309" s="404"/>
      <c r="P309" s="380"/>
      <c r="Q309" s="380"/>
      <c r="R309" s="380"/>
      <c r="S309" s="380"/>
      <c r="T309" s="380"/>
      <c r="U309" s="380"/>
      <c r="V309" s="380"/>
      <c r="W309" s="403"/>
      <c r="X309" s="380"/>
      <c r="Y309" s="380"/>
      <c r="Z309" s="380"/>
      <c r="AA309" s="380"/>
      <c r="AB309" s="380"/>
      <c r="AC309" s="404"/>
      <c r="AD309" s="380"/>
      <c r="AE309" s="380"/>
      <c r="AF309" s="380"/>
      <c r="AG309" s="380"/>
      <c r="AH309" s="380"/>
      <c r="AI309" s="380"/>
      <c r="AJ309" s="380"/>
      <c r="AK309" s="403"/>
      <c r="AL309" s="380"/>
      <c r="AM309" s="380"/>
      <c r="AN309" s="380"/>
      <c r="AO309" s="380"/>
      <c r="AP309" s="380"/>
      <c r="AQ309" s="404"/>
      <c r="AR309" s="380"/>
      <c r="AS309" s="380"/>
      <c r="AT309" s="380"/>
      <c r="AU309" s="380"/>
      <c r="AV309" s="380"/>
      <c r="AW309" s="380"/>
      <c r="AX309" s="380"/>
      <c r="AY309" s="403"/>
      <c r="AZ309" s="380"/>
      <c r="BA309" s="380"/>
      <c r="BB309" s="380"/>
      <c r="BC309" s="380"/>
      <c r="BD309" s="380"/>
      <c r="BE309" s="404"/>
      <c r="BF309" s="380"/>
      <c r="BG309" s="380"/>
      <c r="BH309" s="380"/>
      <c r="BI309" s="380"/>
      <c r="BJ309" s="380"/>
      <c r="BK309" s="380"/>
      <c r="BL309" s="380"/>
      <c r="BM309" s="403"/>
      <c r="BS309" s="83"/>
      <c r="CA309" s="405"/>
      <c r="CG309" s="83"/>
      <c r="CO309" s="405"/>
      <c r="CU309" s="83"/>
      <c r="DC309" s="405"/>
      <c r="DI309" s="83"/>
      <c r="DQ309" s="405"/>
      <c r="DW309" s="83"/>
      <c r="EE309" s="405"/>
      <c r="EK309" s="83"/>
      <c r="ES309" s="405"/>
      <c r="EY309" s="83"/>
      <c r="FG309" s="405"/>
      <c r="FM309" s="83"/>
      <c r="FU309" s="405"/>
      <c r="GA309" s="83"/>
      <c r="GI309" s="405"/>
      <c r="GO309" s="83"/>
      <c r="GW309" s="405"/>
      <c r="HC309" s="83"/>
      <c r="HK309" s="405"/>
      <c r="HQ309" s="83"/>
      <c r="HY309" s="405"/>
      <c r="IE309" s="83"/>
      <c r="IM309" s="405"/>
      <c r="IS309" s="83"/>
      <c r="JA309" s="405"/>
      <c r="JG309" s="83"/>
      <c r="JO309" s="405"/>
      <c r="JU309" s="83"/>
      <c r="KC309" s="405"/>
      <c r="KI309" s="83"/>
      <c r="KQ309" s="405"/>
      <c r="KW309" s="83"/>
      <c r="LE309" s="405"/>
      <c r="LK309" s="83"/>
      <c r="LS309" s="405"/>
      <c r="LY309" s="83"/>
      <c r="MG309" s="405"/>
      <c r="MM309" s="83"/>
      <c r="MU309" s="405"/>
      <c r="NA309" s="83"/>
    </row>
    <row r="310">
      <c r="A310" s="483"/>
      <c r="B310" s="380"/>
      <c r="C310" s="380"/>
      <c r="D310" s="380"/>
      <c r="E310" s="380"/>
      <c r="F310" s="380"/>
      <c r="G310" s="380"/>
      <c r="H310" s="380"/>
      <c r="I310" s="403"/>
      <c r="J310" s="380"/>
      <c r="K310" s="380"/>
      <c r="L310" s="380"/>
      <c r="M310" s="380"/>
      <c r="N310" s="380"/>
      <c r="O310" s="404"/>
      <c r="P310" s="380"/>
      <c r="Q310" s="380"/>
      <c r="R310" s="380"/>
      <c r="S310" s="380"/>
      <c r="T310" s="380"/>
      <c r="U310" s="380"/>
      <c r="V310" s="380"/>
      <c r="W310" s="403"/>
      <c r="X310" s="380"/>
      <c r="Y310" s="380"/>
      <c r="Z310" s="380"/>
      <c r="AA310" s="380"/>
      <c r="AB310" s="380"/>
      <c r="AC310" s="404"/>
      <c r="AD310" s="380"/>
      <c r="AE310" s="380"/>
      <c r="AF310" s="380"/>
      <c r="AG310" s="380"/>
      <c r="AH310" s="380"/>
      <c r="AI310" s="380"/>
      <c r="AJ310" s="380"/>
      <c r="AK310" s="403"/>
      <c r="AL310" s="380"/>
      <c r="AM310" s="380"/>
      <c r="AN310" s="380"/>
      <c r="AO310" s="380"/>
      <c r="AP310" s="380"/>
      <c r="AQ310" s="404"/>
      <c r="AR310" s="380"/>
      <c r="AS310" s="380"/>
      <c r="AT310" s="380"/>
      <c r="AU310" s="380"/>
      <c r="AV310" s="380"/>
      <c r="AW310" s="380"/>
      <c r="AX310" s="380"/>
      <c r="AY310" s="403"/>
      <c r="AZ310" s="380"/>
      <c r="BA310" s="380"/>
      <c r="BB310" s="380"/>
      <c r="BC310" s="380"/>
      <c r="BD310" s="380"/>
      <c r="BE310" s="404"/>
      <c r="BF310" s="380"/>
      <c r="BG310" s="380"/>
      <c r="BH310" s="380"/>
      <c r="BI310" s="380"/>
      <c r="BJ310" s="380"/>
      <c r="BK310" s="380"/>
      <c r="BL310" s="380"/>
      <c r="BM310" s="403"/>
      <c r="BS310" s="83"/>
      <c r="CA310" s="405"/>
      <c r="CG310" s="83"/>
      <c r="CO310" s="405"/>
      <c r="CU310" s="83"/>
      <c r="DC310" s="405"/>
      <c r="DI310" s="83"/>
      <c r="DQ310" s="405"/>
      <c r="DW310" s="83"/>
      <c r="EE310" s="405"/>
      <c r="EK310" s="83"/>
      <c r="ES310" s="405"/>
      <c r="EY310" s="83"/>
      <c r="FG310" s="405"/>
      <c r="FM310" s="83"/>
      <c r="FU310" s="405"/>
      <c r="GA310" s="83"/>
      <c r="GI310" s="405"/>
      <c r="GO310" s="83"/>
      <c r="GW310" s="405"/>
      <c r="HC310" s="83"/>
      <c r="HK310" s="405"/>
      <c r="HQ310" s="83"/>
      <c r="HY310" s="405"/>
      <c r="IE310" s="83"/>
      <c r="IM310" s="405"/>
      <c r="IS310" s="83"/>
      <c r="JA310" s="405"/>
      <c r="JG310" s="83"/>
      <c r="JO310" s="405"/>
      <c r="JU310" s="83"/>
      <c r="KC310" s="405"/>
      <c r="KI310" s="83"/>
      <c r="KQ310" s="405"/>
      <c r="KW310" s="83"/>
      <c r="LE310" s="405"/>
      <c r="LK310" s="83"/>
      <c r="LS310" s="405"/>
      <c r="LY310" s="83"/>
      <c r="MG310" s="405"/>
      <c r="MM310" s="83"/>
      <c r="MU310" s="405"/>
      <c r="NA310" s="83"/>
    </row>
    <row r="311">
      <c r="A311" s="483"/>
      <c r="B311" s="380"/>
      <c r="C311" s="380"/>
      <c r="D311" s="380"/>
      <c r="E311" s="380"/>
      <c r="F311" s="380"/>
      <c r="G311" s="380"/>
      <c r="H311" s="380"/>
      <c r="I311" s="403"/>
      <c r="J311" s="380"/>
      <c r="K311" s="380"/>
      <c r="L311" s="380"/>
      <c r="M311" s="380"/>
      <c r="N311" s="380"/>
      <c r="O311" s="404"/>
      <c r="P311" s="380"/>
      <c r="Q311" s="380"/>
      <c r="R311" s="380"/>
      <c r="S311" s="380"/>
      <c r="T311" s="380"/>
      <c r="U311" s="380"/>
      <c r="V311" s="380"/>
      <c r="W311" s="403"/>
      <c r="X311" s="380"/>
      <c r="Y311" s="380"/>
      <c r="Z311" s="380"/>
      <c r="AA311" s="380"/>
      <c r="AB311" s="380"/>
      <c r="AC311" s="404"/>
      <c r="AD311" s="380"/>
      <c r="AE311" s="380"/>
      <c r="AF311" s="380"/>
      <c r="AG311" s="380"/>
      <c r="AH311" s="380"/>
      <c r="AI311" s="380"/>
      <c r="AJ311" s="380"/>
      <c r="AK311" s="403"/>
      <c r="AL311" s="380"/>
      <c r="AM311" s="380"/>
      <c r="AN311" s="380"/>
      <c r="AO311" s="380"/>
      <c r="AP311" s="380"/>
      <c r="AQ311" s="404"/>
      <c r="AR311" s="380"/>
      <c r="AS311" s="380"/>
      <c r="AT311" s="380"/>
      <c r="AU311" s="380"/>
      <c r="AV311" s="380"/>
      <c r="AW311" s="380"/>
      <c r="AX311" s="380"/>
      <c r="AY311" s="403"/>
      <c r="AZ311" s="380"/>
      <c r="BA311" s="380"/>
      <c r="BB311" s="380"/>
      <c r="BC311" s="380"/>
      <c r="BD311" s="380"/>
      <c r="BE311" s="404"/>
      <c r="BF311" s="380"/>
      <c r="BG311" s="380"/>
      <c r="BH311" s="380"/>
      <c r="BI311" s="380"/>
      <c r="BJ311" s="380"/>
      <c r="BK311" s="380"/>
      <c r="BL311" s="380"/>
      <c r="BM311" s="403"/>
      <c r="BS311" s="83"/>
      <c r="CA311" s="405"/>
      <c r="CG311" s="83"/>
      <c r="CO311" s="405"/>
      <c r="CU311" s="83"/>
      <c r="DC311" s="405"/>
      <c r="DI311" s="83"/>
      <c r="DQ311" s="405"/>
      <c r="DW311" s="83"/>
      <c r="EE311" s="405"/>
      <c r="EK311" s="83"/>
      <c r="ES311" s="405"/>
      <c r="EY311" s="83"/>
      <c r="FG311" s="405"/>
      <c r="FM311" s="83"/>
      <c r="FU311" s="405"/>
      <c r="GA311" s="83"/>
      <c r="GI311" s="405"/>
      <c r="GO311" s="83"/>
      <c r="GW311" s="405"/>
      <c r="HC311" s="83"/>
      <c r="HK311" s="405"/>
      <c r="HQ311" s="83"/>
      <c r="HY311" s="405"/>
      <c r="IE311" s="83"/>
      <c r="IM311" s="405"/>
      <c r="IS311" s="83"/>
      <c r="JA311" s="405"/>
      <c r="JG311" s="83"/>
      <c r="JO311" s="405"/>
      <c r="JU311" s="83"/>
      <c r="KC311" s="405"/>
      <c r="KI311" s="83"/>
      <c r="KQ311" s="405"/>
      <c r="KW311" s="83"/>
      <c r="LE311" s="405"/>
      <c r="LK311" s="83"/>
      <c r="LS311" s="405"/>
      <c r="LY311" s="83"/>
      <c r="MG311" s="405"/>
      <c r="MM311" s="83"/>
      <c r="MU311" s="405"/>
      <c r="NA311" s="83"/>
    </row>
    <row r="312">
      <c r="A312" s="483"/>
      <c r="B312" s="380"/>
      <c r="C312" s="380"/>
      <c r="D312" s="380"/>
      <c r="E312" s="380"/>
      <c r="F312" s="380"/>
      <c r="G312" s="380"/>
      <c r="H312" s="380"/>
      <c r="I312" s="403"/>
      <c r="J312" s="380"/>
      <c r="K312" s="380"/>
      <c r="L312" s="380"/>
      <c r="M312" s="380"/>
      <c r="N312" s="380"/>
      <c r="O312" s="404"/>
      <c r="P312" s="380"/>
      <c r="Q312" s="380"/>
      <c r="R312" s="380"/>
      <c r="S312" s="380"/>
      <c r="T312" s="380"/>
      <c r="U312" s="380"/>
      <c r="V312" s="380"/>
      <c r="W312" s="403"/>
      <c r="X312" s="380"/>
      <c r="Y312" s="380"/>
      <c r="Z312" s="380"/>
      <c r="AA312" s="380"/>
      <c r="AB312" s="380"/>
      <c r="AC312" s="404"/>
      <c r="AD312" s="380"/>
      <c r="AE312" s="380"/>
      <c r="AF312" s="380"/>
      <c r="AG312" s="380"/>
      <c r="AH312" s="380"/>
      <c r="AI312" s="380"/>
      <c r="AJ312" s="380"/>
      <c r="AK312" s="403"/>
      <c r="AL312" s="380"/>
      <c r="AM312" s="380"/>
      <c r="AN312" s="380"/>
      <c r="AO312" s="380"/>
      <c r="AP312" s="380"/>
      <c r="AQ312" s="404"/>
      <c r="AR312" s="380"/>
      <c r="AS312" s="380"/>
      <c r="AT312" s="380"/>
      <c r="AU312" s="380"/>
      <c r="AV312" s="380"/>
      <c r="AW312" s="380"/>
      <c r="AX312" s="380"/>
      <c r="AY312" s="403"/>
      <c r="AZ312" s="380"/>
      <c r="BA312" s="380"/>
      <c r="BB312" s="380"/>
      <c r="BC312" s="380"/>
      <c r="BD312" s="380"/>
      <c r="BE312" s="404"/>
      <c r="BF312" s="380"/>
      <c r="BG312" s="380"/>
      <c r="BH312" s="380"/>
      <c r="BI312" s="380"/>
      <c r="BJ312" s="380"/>
      <c r="BK312" s="380"/>
      <c r="BL312" s="380"/>
      <c r="BM312" s="403"/>
      <c r="BS312" s="83"/>
      <c r="CA312" s="405"/>
      <c r="CG312" s="83"/>
      <c r="CO312" s="405"/>
      <c r="CU312" s="83"/>
      <c r="DC312" s="405"/>
      <c r="DI312" s="83"/>
      <c r="DQ312" s="405"/>
      <c r="DW312" s="83"/>
      <c r="EE312" s="405"/>
      <c r="EK312" s="83"/>
      <c r="ES312" s="405"/>
      <c r="EY312" s="83"/>
      <c r="FG312" s="405"/>
      <c r="FM312" s="83"/>
      <c r="FU312" s="405"/>
      <c r="GA312" s="83"/>
      <c r="GI312" s="405"/>
      <c r="GO312" s="83"/>
      <c r="GW312" s="405"/>
      <c r="HC312" s="83"/>
      <c r="HK312" s="405"/>
      <c r="HQ312" s="83"/>
      <c r="HY312" s="405"/>
      <c r="IE312" s="83"/>
      <c r="IM312" s="405"/>
      <c r="IS312" s="83"/>
      <c r="JA312" s="405"/>
      <c r="JG312" s="83"/>
      <c r="JO312" s="405"/>
      <c r="JU312" s="83"/>
      <c r="KC312" s="405"/>
      <c r="KI312" s="83"/>
      <c r="KQ312" s="405"/>
      <c r="KW312" s="83"/>
      <c r="LE312" s="405"/>
      <c r="LK312" s="83"/>
      <c r="LS312" s="405"/>
      <c r="LY312" s="83"/>
      <c r="MG312" s="405"/>
      <c r="MM312" s="83"/>
      <c r="MU312" s="405"/>
      <c r="NA312" s="83"/>
    </row>
    <row r="313">
      <c r="A313" s="483"/>
      <c r="B313" s="380"/>
      <c r="C313" s="380"/>
      <c r="D313" s="380"/>
      <c r="E313" s="380"/>
      <c r="F313" s="380"/>
      <c r="G313" s="380"/>
      <c r="H313" s="380"/>
      <c r="I313" s="403"/>
      <c r="J313" s="380"/>
      <c r="K313" s="380"/>
      <c r="L313" s="380"/>
      <c r="M313" s="380"/>
      <c r="N313" s="380"/>
      <c r="O313" s="404"/>
      <c r="P313" s="380"/>
      <c r="Q313" s="380"/>
      <c r="R313" s="380"/>
      <c r="S313" s="380"/>
      <c r="T313" s="380"/>
      <c r="U313" s="380"/>
      <c r="V313" s="380"/>
      <c r="W313" s="403"/>
      <c r="X313" s="380"/>
      <c r="Y313" s="380"/>
      <c r="Z313" s="380"/>
      <c r="AA313" s="380"/>
      <c r="AB313" s="380"/>
      <c r="AC313" s="404"/>
      <c r="AD313" s="380"/>
      <c r="AE313" s="380"/>
      <c r="AF313" s="380"/>
      <c r="AG313" s="380"/>
      <c r="AH313" s="380"/>
      <c r="AI313" s="380"/>
      <c r="AJ313" s="380"/>
      <c r="AK313" s="403"/>
      <c r="AL313" s="380"/>
      <c r="AM313" s="380"/>
      <c r="AN313" s="380"/>
      <c r="AO313" s="380"/>
      <c r="AP313" s="380"/>
      <c r="AQ313" s="404"/>
      <c r="AR313" s="380"/>
      <c r="AS313" s="380"/>
      <c r="AT313" s="380"/>
      <c r="AU313" s="380"/>
      <c r="AV313" s="380"/>
      <c r="AW313" s="380"/>
      <c r="AX313" s="380"/>
      <c r="AY313" s="403"/>
      <c r="AZ313" s="380"/>
      <c r="BA313" s="380"/>
      <c r="BB313" s="380"/>
      <c r="BC313" s="380"/>
      <c r="BD313" s="380"/>
      <c r="BE313" s="404"/>
      <c r="BF313" s="380"/>
      <c r="BG313" s="380"/>
      <c r="BH313" s="380"/>
      <c r="BI313" s="380"/>
      <c r="BJ313" s="380"/>
      <c r="BK313" s="380"/>
      <c r="BL313" s="380"/>
      <c r="BM313" s="403"/>
      <c r="BS313" s="83"/>
      <c r="CA313" s="405"/>
      <c r="CG313" s="83"/>
      <c r="CO313" s="405"/>
      <c r="CU313" s="83"/>
      <c r="DC313" s="405"/>
      <c r="DI313" s="83"/>
      <c r="DQ313" s="405"/>
      <c r="DW313" s="83"/>
      <c r="EE313" s="405"/>
      <c r="EK313" s="83"/>
      <c r="ES313" s="405"/>
      <c r="EY313" s="83"/>
      <c r="FG313" s="405"/>
      <c r="FM313" s="83"/>
      <c r="FU313" s="405"/>
      <c r="GA313" s="83"/>
      <c r="GI313" s="405"/>
      <c r="GO313" s="83"/>
      <c r="GW313" s="405"/>
      <c r="HC313" s="83"/>
      <c r="HK313" s="405"/>
      <c r="HQ313" s="83"/>
      <c r="HY313" s="405"/>
      <c r="IE313" s="83"/>
      <c r="IM313" s="405"/>
      <c r="IS313" s="83"/>
      <c r="JA313" s="405"/>
      <c r="JG313" s="83"/>
      <c r="JO313" s="405"/>
      <c r="JU313" s="83"/>
      <c r="KC313" s="405"/>
      <c r="KI313" s="83"/>
      <c r="KQ313" s="405"/>
      <c r="KW313" s="83"/>
      <c r="LE313" s="405"/>
      <c r="LK313" s="83"/>
      <c r="LS313" s="405"/>
      <c r="LY313" s="83"/>
      <c r="MG313" s="405"/>
      <c r="MM313" s="83"/>
      <c r="MU313" s="405"/>
      <c r="NA313" s="83"/>
    </row>
    <row r="314">
      <c r="A314" s="483"/>
      <c r="B314" s="380"/>
      <c r="C314" s="380"/>
      <c r="D314" s="380"/>
      <c r="E314" s="380"/>
      <c r="F314" s="380"/>
      <c r="G314" s="380"/>
      <c r="H314" s="380"/>
      <c r="I314" s="403"/>
      <c r="J314" s="380"/>
      <c r="K314" s="380"/>
      <c r="L314" s="380"/>
      <c r="M314" s="380"/>
      <c r="N314" s="380"/>
      <c r="O314" s="404"/>
      <c r="P314" s="380"/>
      <c r="Q314" s="380"/>
      <c r="R314" s="380"/>
      <c r="S314" s="380"/>
      <c r="T314" s="380"/>
      <c r="U314" s="380"/>
      <c r="V314" s="380"/>
      <c r="W314" s="403"/>
      <c r="X314" s="380"/>
      <c r="Y314" s="380"/>
      <c r="Z314" s="380"/>
      <c r="AA314" s="380"/>
      <c r="AB314" s="380"/>
      <c r="AC314" s="404"/>
      <c r="AD314" s="380"/>
      <c r="AE314" s="380"/>
      <c r="AF314" s="380"/>
      <c r="AG314" s="380"/>
      <c r="AH314" s="380"/>
      <c r="AI314" s="380"/>
      <c r="AJ314" s="380"/>
      <c r="AK314" s="403"/>
      <c r="AL314" s="380"/>
      <c r="AM314" s="380"/>
      <c r="AN314" s="380"/>
      <c r="AO314" s="380"/>
      <c r="AP314" s="380"/>
      <c r="AQ314" s="404"/>
      <c r="AR314" s="380"/>
      <c r="AS314" s="380"/>
      <c r="AT314" s="380"/>
      <c r="AU314" s="380"/>
      <c r="AV314" s="380"/>
      <c r="AW314" s="380"/>
      <c r="AX314" s="380"/>
      <c r="AY314" s="403"/>
      <c r="AZ314" s="380"/>
      <c r="BA314" s="380"/>
      <c r="BB314" s="380"/>
      <c r="BC314" s="380"/>
      <c r="BD314" s="380"/>
      <c r="BE314" s="404"/>
      <c r="BF314" s="380"/>
      <c r="BG314" s="380"/>
      <c r="BH314" s="380"/>
      <c r="BI314" s="380"/>
      <c r="BJ314" s="380"/>
      <c r="BK314" s="380"/>
      <c r="BL314" s="380"/>
      <c r="BM314" s="403"/>
      <c r="BS314" s="83"/>
      <c r="CA314" s="405"/>
      <c r="CG314" s="83"/>
      <c r="CO314" s="405"/>
      <c r="CU314" s="83"/>
      <c r="DC314" s="405"/>
      <c r="DI314" s="83"/>
      <c r="DQ314" s="405"/>
      <c r="DW314" s="83"/>
      <c r="EE314" s="405"/>
      <c r="EK314" s="83"/>
      <c r="ES314" s="405"/>
      <c r="EY314" s="83"/>
      <c r="FG314" s="405"/>
      <c r="FM314" s="83"/>
      <c r="FU314" s="405"/>
      <c r="GA314" s="83"/>
      <c r="GI314" s="405"/>
      <c r="GO314" s="83"/>
      <c r="GW314" s="405"/>
      <c r="HC314" s="83"/>
      <c r="HK314" s="405"/>
      <c r="HQ314" s="83"/>
      <c r="HY314" s="405"/>
      <c r="IE314" s="83"/>
      <c r="IM314" s="405"/>
      <c r="IS314" s="83"/>
      <c r="JA314" s="405"/>
      <c r="JG314" s="83"/>
      <c r="JO314" s="405"/>
      <c r="JU314" s="83"/>
      <c r="KC314" s="405"/>
      <c r="KI314" s="83"/>
      <c r="KQ314" s="405"/>
      <c r="KW314" s="83"/>
      <c r="LE314" s="405"/>
      <c r="LK314" s="83"/>
      <c r="LS314" s="405"/>
      <c r="LY314" s="83"/>
      <c r="MG314" s="405"/>
      <c r="MM314" s="83"/>
      <c r="MU314" s="405"/>
      <c r="NA314" s="83"/>
    </row>
    <row r="315">
      <c r="A315" s="483"/>
      <c r="B315" s="380"/>
      <c r="C315" s="380"/>
      <c r="D315" s="380"/>
      <c r="E315" s="380"/>
      <c r="F315" s="380"/>
      <c r="G315" s="380"/>
      <c r="H315" s="380"/>
      <c r="I315" s="403"/>
      <c r="J315" s="380"/>
      <c r="K315" s="380"/>
      <c r="L315" s="380"/>
      <c r="M315" s="380"/>
      <c r="N315" s="380"/>
      <c r="O315" s="404"/>
      <c r="P315" s="380"/>
      <c r="Q315" s="380"/>
      <c r="R315" s="380"/>
      <c r="S315" s="380"/>
      <c r="T315" s="380"/>
      <c r="U315" s="380"/>
      <c r="V315" s="380"/>
      <c r="W315" s="403"/>
      <c r="X315" s="380"/>
      <c r="Y315" s="380"/>
      <c r="Z315" s="380"/>
      <c r="AA315" s="380"/>
      <c r="AB315" s="380"/>
      <c r="AC315" s="404"/>
      <c r="AD315" s="380"/>
      <c r="AE315" s="380"/>
      <c r="AF315" s="380"/>
      <c r="AG315" s="380"/>
      <c r="AH315" s="380"/>
      <c r="AI315" s="380"/>
      <c r="AJ315" s="380"/>
      <c r="AK315" s="403"/>
      <c r="AL315" s="380"/>
      <c r="AM315" s="380"/>
      <c r="AN315" s="380"/>
      <c r="AO315" s="380"/>
      <c r="AP315" s="380"/>
      <c r="AQ315" s="404"/>
      <c r="AR315" s="380"/>
      <c r="AS315" s="380"/>
      <c r="AT315" s="380"/>
      <c r="AU315" s="380"/>
      <c r="AV315" s="380"/>
      <c r="AW315" s="380"/>
      <c r="AX315" s="380"/>
      <c r="AY315" s="403"/>
      <c r="AZ315" s="380"/>
      <c r="BA315" s="380"/>
      <c r="BB315" s="380"/>
      <c r="BC315" s="380"/>
      <c r="BD315" s="380"/>
      <c r="BE315" s="404"/>
      <c r="BF315" s="380"/>
      <c r="BG315" s="380"/>
      <c r="BH315" s="380"/>
      <c r="BI315" s="380"/>
      <c r="BJ315" s="380"/>
      <c r="BK315" s="380"/>
      <c r="BL315" s="380"/>
      <c r="BM315" s="403"/>
      <c r="BS315" s="83"/>
      <c r="CA315" s="405"/>
      <c r="CG315" s="83"/>
      <c r="CO315" s="405"/>
      <c r="CU315" s="83"/>
      <c r="DC315" s="405"/>
      <c r="DI315" s="83"/>
      <c r="DQ315" s="405"/>
      <c r="DW315" s="83"/>
      <c r="EE315" s="405"/>
      <c r="EK315" s="83"/>
      <c r="ES315" s="405"/>
      <c r="EY315" s="83"/>
      <c r="FG315" s="405"/>
      <c r="FM315" s="83"/>
      <c r="FU315" s="405"/>
      <c r="GA315" s="83"/>
      <c r="GI315" s="405"/>
      <c r="GO315" s="83"/>
      <c r="GW315" s="405"/>
      <c r="HC315" s="83"/>
      <c r="HK315" s="405"/>
      <c r="HQ315" s="83"/>
      <c r="HY315" s="405"/>
      <c r="IE315" s="83"/>
      <c r="IM315" s="405"/>
      <c r="IS315" s="83"/>
      <c r="JA315" s="405"/>
      <c r="JG315" s="83"/>
      <c r="JO315" s="405"/>
      <c r="JU315" s="83"/>
      <c r="KC315" s="405"/>
      <c r="KI315" s="83"/>
      <c r="KQ315" s="405"/>
      <c r="KW315" s="83"/>
      <c r="LE315" s="405"/>
      <c r="LK315" s="83"/>
      <c r="LS315" s="405"/>
      <c r="LY315" s="83"/>
      <c r="MG315" s="405"/>
      <c r="MM315" s="83"/>
      <c r="MU315" s="405"/>
      <c r="NA315" s="83"/>
    </row>
    <row r="316">
      <c r="A316" s="483"/>
      <c r="B316" s="380"/>
      <c r="C316" s="380"/>
      <c r="D316" s="380"/>
      <c r="E316" s="380"/>
      <c r="F316" s="380"/>
      <c r="G316" s="380"/>
      <c r="H316" s="380"/>
      <c r="I316" s="403"/>
      <c r="J316" s="380"/>
      <c r="K316" s="380"/>
      <c r="L316" s="380"/>
      <c r="M316" s="380"/>
      <c r="N316" s="380"/>
      <c r="O316" s="404"/>
      <c r="P316" s="380"/>
      <c r="Q316" s="380"/>
      <c r="R316" s="380"/>
      <c r="S316" s="380"/>
      <c r="T316" s="380"/>
      <c r="U316" s="380"/>
      <c r="V316" s="380"/>
      <c r="W316" s="403"/>
      <c r="X316" s="380"/>
      <c r="Y316" s="380"/>
      <c r="Z316" s="380"/>
      <c r="AA316" s="380"/>
      <c r="AB316" s="380"/>
      <c r="AC316" s="404"/>
      <c r="AD316" s="380"/>
      <c r="AE316" s="380"/>
      <c r="AF316" s="380"/>
      <c r="AG316" s="380"/>
      <c r="AH316" s="380"/>
      <c r="AI316" s="380"/>
      <c r="AJ316" s="380"/>
      <c r="AK316" s="403"/>
      <c r="AL316" s="380"/>
      <c r="AM316" s="380"/>
      <c r="AN316" s="380"/>
      <c r="AO316" s="380"/>
      <c r="AP316" s="380"/>
      <c r="AQ316" s="404"/>
      <c r="AR316" s="380"/>
      <c r="AS316" s="380"/>
      <c r="AT316" s="380"/>
      <c r="AU316" s="380"/>
      <c r="AV316" s="380"/>
      <c r="AW316" s="380"/>
      <c r="AX316" s="380"/>
      <c r="AY316" s="403"/>
      <c r="AZ316" s="380"/>
      <c r="BA316" s="380"/>
      <c r="BB316" s="380"/>
      <c r="BC316" s="380"/>
      <c r="BD316" s="380"/>
      <c r="BE316" s="404"/>
      <c r="BF316" s="380"/>
      <c r="BG316" s="380"/>
      <c r="BH316" s="380"/>
      <c r="BI316" s="380"/>
      <c r="BJ316" s="380"/>
      <c r="BK316" s="380"/>
      <c r="BL316" s="380"/>
      <c r="BM316" s="403"/>
      <c r="BS316" s="83"/>
      <c r="CA316" s="405"/>
      <c r="CG316" s="83"/>
      <c r="CO316" s="405"/>
      <c r="CU316" s="83"/>
      <c r="DC316" s="405"/>
      <c r="DI316" s="83"/>
      <c r="DQ316" s="405"/>
      <c r="DW316" s="83"/>
      <c r="EE316" s="405"/>
      <c r="EK316" s="83"/>
      <c r="ES316" s="405"/>
      <c r="EY316" s="83"/>
      <c r="FG316" s="405"/>
      <c r="FM316" s="83"/>
      <c r="FU316" s="405"/>
      <c r="GA316" s="83"/>
      <c r="GI316" s="405"/>
      <c r="GO316" s="83"/>
      <c r="GW316" s="405"/>
      <c r="HC316" s="83"/>
      <c r="HK316" s="405"/>
      <c r="HQ316" s="83"/>
      <c r="HY316" s="405"/>
      <c r="IE316" s="83"/>
      <c r="IM316" s="405"/>
      <c r="IS316" s="83"/>
      <c r="JA316" s="405"/>
      <c r="JG316" s="83"/>
      <c r="JO316" s="405"/>
      <c r="JU316" s="83"/>
      <c r="KC316" s="405"/>
      <c r="KI316" s="83"/>
      <c r="KQ316" s="405"/>
      <c r="KW316" s="83"/>
      <c r="LE316" s="405"/>
      <c r="LK316" s="83"/>
      <c r="LS316" s="405"/>
      <c r="LY316" s="83"/>
      <c r="MG316" s="405"/>
      <c r="MM316" s="83"/>
      <c r="MU316" s="405"/>
      <c r="NA316" s="83"/>
    </row>
    <row r="317">
      <c r="A317" s="483"/>
      <c r="B317" s="380"/>
      <c r="C317" s="380"/>
      <c r="D317" s="380"/>
      <c r="E317" s="380"/>
      <c r="F317" s="380"/>
      <c r="G317" s="380"/>
      <c r="H317" s="380"/>
      <c r="I317" s="403"/>
      <c r="J317" s="380"/>
      <c r="K317" s="380"/>
      <c r="L317" s="380"/>
      <c r="M317" s="380"/>
      <c r="N317" s="380"/>
      <c r="O317" s="404"/>
      <c r="P317" s="380"/>
      <c r="Q317" s="380"/>
      <c r="R317" s="380"/>
      <c r="S317" s="380"/>
      <c r="T317" s="380"/>
      <c r="U317" s="380"/>
      <c r="V317" s="380"/>
      <c r="W317" s="403"/>
      <c r="X317" s="380"/>
      <c r="Y317" s="380"/>
      <c r="Z317" s="380"/>
      <c r="AA317" s="380"/>
      <c r="AB317" s="380"/>
      <c r="AC317" s="404"/>
      <c r="AD317" s="380"/>
      <c r="AE317" s="380"/>
      <c r="AF317" s="380"/>
      <c r="AG317" s="380"/>
      <c r="AH317" s="380"/>
      <c r="AI317" s="380"/>
      <c r="AJ317" s="380"/>
      <c r="AK317" s="403"/>
      <c r="AL317" s="380"/>
      <c r="AM317" s="380"/>
      <c r="AN317" s="380"/>
      <c r="AO317" s="380"/>
      <c r="AP317" s="380"/>
      <c r="AQ317" s="404"/>
      <c r="AR317" s="380"/>
      <c r="AS317" s="380"/>
      <c r="AT317" s="380"/>
      <c r="AU317" s="380"/>
      <c r="AV317" s="380"/>
      <c r="AW317" s="380"/>
      <c r="AX317" s="380"/>
      <c r="AY317" s="403"/>
      <c r="AZ317" s="380"/>
      <c r="BA317" s="380"/>
      <c r="BB317" s="380"/>
      <c r="BC317" s="380"/>
      <c r="BD317" s="380"/>
      <c r="BE317" s="404"/>
      <c r="BF317" s="380"/>
      <c r="BG317" s="380"/>
      <c r="BH317" s="380"/>
      <c r="BI317" s="380"/>
      <c r="BJ317" s="380"/>
      <c r="BK317" s="380"/>
      <c r="BL317" s="380"/>
      <c r="BM317" s="403"/>
      <c r="BS317" s="83"/>
      <c r="CA317" s="405"/>
      <c r="CG317" s="83"/>
      <c r="CO317" s="405"/>
      <c r="CU317" s="83"/>
      <c r="DC317" s="405"/>
      <c r="DI317" s="83"/>
      <c r="DQ317" s="405"/>
      <c r="DW317" s="83"/>
      <c r="EE317" s="405"/>
      <c r="EK317" s="83"/>
      <c r="ES317" s="405"/>
      <c r="EY317" s="83"/>
      <c r="FG317" s="405"/>
      <c r="FM317" s="83"/>
      <c r="FU317" s="405"/>
      <c r="GA317" s="83"/>
      <c r="GI317" s="405"/>
      <c r="GO317" s="83"/>
      <c r="GW317" s="405"/>
      <c r="HC317" s="83"/>
      <c r="HK317" s="405"/>
      <c r="HQ317" s="83"/>
      <c r="HY317" s="405"/>
      <c r="IE317" s="83"/>
      <c r="IM317" s="405"/>
      <c r="IS317" s="83"/>
      <c r="JA317" s="405"/>
      <c r="JG317" s="83"/>
      <c r="JO317" s="405"/>
      <c r="JU317" s="83"/>
      <c r="KC317" s="405"/>
      <c r="KI317" s="83"/>
      <c r="KQ317" s="405"/>
      <c r="KW317" s="83"/>
      <c r="LE317" s="405"/>
      <c r="LK317" s="83"/>
      <c r="LS317" s="405"/>
      <c r="LY317" s="83"/>
      <c r="MG317" s="405"/>
      <c r="MM317" s="83"/>
      <c r="MU317" s="405"/>
      <c r="NA317" s="83"/>
    </row>
    <row r="318">
      <c r="A318" s="483"/>
      <c r="B318" s="380"/>
      <c r="C318" s="380"/>
      <c r="D318" s="380"/>
      <c r="E318" s="380"/>
      <c r="F318" s="380"/>
      <c r="G318" s="380"/>
      <c r="H318" s="380"/>
      <c r="I318" s="403"/>
      <c r="J318" s="380"/>
      <c r="K318" s="380"/>
      <c r="L318" s="380"/>
      <c r="M318" s="380"/>
      <c r="N318" s="380"/>
      <c r="O318" s="404"/>
      <c r="P318" s="380"/>
      <c r="Q318" s="380"/>
      <c r="R318" s="380"/>
      <c r="S318" s="380"/>
      <c r="T318" s="380"/>
      <c r="U318" s="380"/>
      <c r="V318" s="380"/>
      <c r="W318" s="403"/>
      <c r="X318" s="380"/>
      <c r="Y318" s="380"/>
      <c r="Z318" s="380"/>
      <c r="AA318" s="380"/>
      <c r="AB318" s="380"/>
      <c r="AC318" s="404"/>
      <c r="AD318" s="380"/>
      <c r="AE318" s="380"/>
      <c r="AF318" s="380"/>
      <c r="AG318" s="380"/>
      <c r="AH318" s="380"/>
      <c r="AI318" s="380"/>
      <c r="AJ318" s="380"/>
      <c r="AK318" s="403"/>
      <c r="AL318" s="380"/>
      <c r="AM318" s="380"/>
      <c r="AN318" s="380"/>
      <c r="AO318" s="380"/>
      <c r="AP318" s="380"/>
      <c r="AQ318" s="404"/>
      <c r="AR318" s="380"/>
      <c r="AS318" s="380"/>
      <c r="AT318" s="380"/>
      <c r="AU318" s="380"/>
      <c r="AV318" s="380"/>
      <c r="AW318" s="380"/>
      <c r="AX318" s="380"/>
      <c r="AY318" s="403"/>
      <c r="AZ318" s="380"/>
      <c r="BA318" s="380"/>
      <c r="BB318" s="380"/>
      <c r="BC318" s="380"/>
      <c r="BD318" s="380"/>
      <c r="BE318" s="404"/>
      <c r="BF318" s="380"/>
      <c r="BG318" s="380"/>
      <c r="BH318" s="380"/>
      <c r="BI318" s="380"/>
      <c r="BJ318" s="380"/>
      <c r="BK318" s="380"/>
      <c r="BL318" s="380"/>
      <c r="BM318" s="403"/>
      <c r="BS318" s="83"/>
      <c r="CA318" s="405"/>
      <c r="CG318" s="83"/>
      <c r="CO318" s="405"/>
      <c r="CU318" s="83"/>
      <c r="DC318" s="405"/>
      <c r="DI318" s="83"/>
      <c r="DQ318" s="405"/>
      <c r="DW318" s="83"/>
      <c r="EE318" s="405"/>
      <c r="EK318" s="83"/>
      <c r="ES318" s="405"/>
      <c r="EY318" s="83"/>
      <c r="FG318" s="405"/>
      <c r="FM318" s="83"/>
      <c r="FU318" s="405"/>
      <c r="GA318" s="83"/>
      <c r="GI318" s="405"/>
      <c r="GO318" s="83"/>
      <c r="GW318" s="405"/>
      <c r="HC318" s="83"/>
      <c r="HK318" s="405"/>
      <c r="HQ318" s="83"/>
      <c r="HY318" s="405"/>
      <c r="IE318" s="83"/>
      <c r="IM318" s="405"/>
      <c r="IS318" s="83"/>
      <c r="JA318" s="405"/>
      <c r="JG318" s="83"/>
      <c r="JO318" s="405"/>
      <c r="JU318" s="83"/>
      <c r="KC318" s="405"/>
      <c r="KI318" s="83"/>
      <c r="KQ318" s="405"/>
      <c r="KW318" s="83"/>
      <c r="LE318" s="405"/>
      <c r="LK318" s="83"/>
      <c r="LS318" s="405"/>
      <c r="LY318" s="83"/>
      <c r="MG318" s="405"/>
      <c r="MM318" s="83"/>
      <c r="MU318" s="405"/>
      <c r="NA318" s="83"/>
    </row>
    <row r="319">
      <c r="A319" s="483"/>
      <c r="B319" s="380"/>
      <c r="C319" s="380"/>
      <c r="D319" s="380"/>
      <c r="E319" s="380"/>
      <c r="F319" s="380"/>
      <c r="G319" s="380"/>
      <c r="H319" s="380"/>
      <c r="I319" s="403"/>
      <c r="J319" s="380"/>
      <c r="K319" s="380"/>
      <c r="L319" s="380"/>
      <c r="M319" s="380"/>
      <c r="N319" s="380"/>
      <c r="O319" s="404"/>
      <c r="P319" s="380"/>
      <c r="Q319" s="380"/>
      <c r="R319" s="380"/>
      <c r="S319" s="380"/>
      <c r="T319" s="380"/>
      <c r="U319" s="380"/>
      <c r="V319" s="380"/>
      <c r="W319" s="403"/>
      <c r="X319" s="380"/>
      <c r="Y319" s="380"/>
      <c r="Z319" s="380"/>
      <c r="AA319" s="380"/>
      <c r="AB319" s="380"/>
      <c r="AC319" s="404"/>
      <c r="AD319" s="380"/>
      <c r="AE319" s="380"/>
      <c r="AF319" s="380"/>
      <c r="AG319" s="380"/>
      <c r="AH319" s="380"/>
      <c r="AI319" s="380"/>
      <c r="AJ319" s="380"/>
      <c r="AK319" s="403"/>
      <c r="AL319" s="380"/>
      <c r="AM319" s="380"/>
      <c r="AN319" s="380"/>
      <c r="AO319" s="380"/>
      <c r="AP319" s="380"/>
      <c r="AQ319" s="404"/>
      <c r="AR319" s="380"/>
      <c r="AS319" s="380"/>
      <c r="AT319" s="380"/>
      <c r="AU319" s="380"/>
      <c r="AV319" s="380"/>
      <c r="AW319" s="380"/>
      <c r="AX319" s="380"/>
      <c r="AY319" s="403"/>
      <c r="AZ319" s="380"/>
      <c r="BA319" s="380"/>
      <c r="BB319" s="380"/>
      <c r="BC319" s="380"/>
      <c r="BD319" s="380"/>
      <c r="BE319" s="404"/>
      <c r="BF319" s="380"/>
      <c r="BG319" s="380"/>
      <c r="BH319" s="380"/>
      <c r="BI319" s="380"/>
      <c r="BJ319" s="380"/>
      <c r="BK319" s="380"/>
      <c r="BL319" s="380"/>
      <c r="BM319" s="403"/>
      <c r="BS319" s="83"/>
      <c r="CA319" s="405"/>
      <c r="CG319" s="83"/>
      <c r="CO319" s="405"/>
      <c r="CU319" s="83"/>
      <c r="DC319" s="405"/>
      <c r="DI319" s="83"/>
      <c r="DQ319" s="405"/>
      <c r="DW319" s="83"/>
      <c r="EE319" s="405"/>
      <c r="EK319" s="83"/>
      <c r="ES319" s="405"/>
      <c r="EY319" s="83"/>
      <c r="FG319" s="405"/>
      <c r="FM319" s="83"/>
      <c r="FU319" s="405"/>
      <c r="GA319" s="83"/>
      <c r="GI319" s="405"/>
      <c r="GO319" s="83"/>
      <c r="GW319" s="405"/>
      <c r="HC319" s="83"/>
      <c r="HK319" s="405"/>
      <c r="HQ319" s="83"/>
      <c r="HY319" s="405"/>
      <c r="IE319" s="83"/>
      <c r="IM319" s="405"/>
      <c r="IS319" s="83"/>
      <c r="JA319" s="405"/>
      <c r="JG319" s="83"/>
      <c r="JO319" s="405"/>
      <c r="JU319" s="83"/>
      <c r="KC319" s="405"/>
      <c r="KI319" s="83"/>
      <c r="KQ319" s="405"/>
      <c r="KW319" s="83"/>
      <c r="LE319" s="405"/>
      <c r="LK319" s="83"/>
      <c r="LS319" s="405"/>
      <c r="LY319" s="83"/>
      <c r="MG319" s="405"/>
      <c r="MM319" s="83"/>
      <c r="MU319" s="405"/>
      <c r="NA319" s="83"/>
    </row>
    <row r="320">
      <c r="A320" s="483"/>
      <c r="B320" s="380"/>
      <c r="C320" s="380"/>
      <c r="D320" s="380"/>
      <c r="E320" s="380"/>
      <c r="F320" s="380"/>
      <c r="G320" s="380"/>
      <c r="H320" s="380"/>
      <c r="I320" s="403"/>
      <c r="J320" s="380"/>
      <c r="K320" s="380"/>
      <c r="L320" s="380"/>
      <c r="M320" s="380"/>
      <c r="N320" s="380"/>
      <c r="O320" s="404"/>
      <c r="P320" s="380"/>
      <c r="Q320" s="380"/>
      <c r="R320" s="380"/>
      <c r="S320" s="380"/>
      <c r="T320" s="380"/>
      <c r="U320" s="380"/>
      <c r="V320" s="380"/>
      <c r="W320" s="403"/>
      <c r="X320" s="380"/>
      <c r="Y320" s="380"/>
      <c r="Z320" s="380"/>
      <c r="AA320" s="380"/>
      <c r="AB320" s="380"/>
      <c r="AC320" s="404"/>
      <c r="AD320" s="380"/>
      <c r="AE320" s="380"/>
      <c r="AF320" s="380"/>
      <c r="AG320" s="380"/>
      <c r="AH320" s="380"/>
      <c r="AI320" s="380"/>
      <c r="AJ320" s="380"/>
      <c r="AK320" s="403"/>
      <c r="AL320" s="380"/>
      <c r="AM320" s="380"/>
      <c r="AN320" s="380"/>
      <c r="AO320" s="380"/>
      <c r="AP320" s="380"/>
      <c r="AQ320" s="404"/>
      <c r="AR320" s="380"/>
      <c r="AS320" s="380"/>
      <c r="AT320" s="380"/>
      <c r="AU320" s="380"/>
      <c r="AV320" s="380"/>
      <c r="AW320" s="380"/>
      <c r="AX320" s="380"/>
      <c r="AY320" s="403"/>
      <c r="AZ320" s="380"/>
      <c r="BA320" s="380"/>
      <c r="BB320" s="380"/>
      <c r="BC320" s="380"/>
      <c r="BD320" s="380"/>
      <c r="BE320" s="404"/>
      <c r="BF320" s="380"/>
      <c r="BG320" s="380"/>
      <c r="BH320" s="380"/>
      <c r="BI320" s="380"/>
      <c r="BJ320" s="380"/>
      <c r="BK320" s="380"/>
      <c r="BL320" s="380"/>
      <c r="BM320" s="403"/>
      <c r="BS320" s="83"/>
      <c r="CA320" s="405"/>
      <c r="CG320" s="83"/>
      <c r="CO320" s="405"/>
      <c r="CU320" s="83"/>
      <c r="DC320" s="405"/>
      <c r="DI320" s="83"/>
      <c r="DQ320" s="405"/>
      <c r="DW320" s="83"/>
      <c r="EE320" s="405"/>
      <c r="EK320" s="83"/>
      <c r="ES320" s="405"/>
      <c r="EY320" s="83"/>
      <c r="FG320" s="405"/>
      <c r="FM320" s="83"/>
      <c r="FU320" s="405"/>
      <c r="GA320" s="83"/>
      <c r="GI320" s="405"/>
      <c r="GO320" s="83"/>
      <c r="GW320" s="405"/>
      <c r="HC320" s="83"/>
      <c r="HK320" s="405"/>
      <c r="HQ320" s="83"/>
      <c r="HY320" s="405"/>
      <c r="IE320" s="83"/>
      <c r="IM320" s="405"/>
      <c r="IS320" s="83"/>
      <c r="JA320" s="405"/>
      <c r="JG320" s="83"/>
      <c r="JO320" s="405"/>
      <c r="JU320" s="83"/>
      <c r="KC320" s="405"/>
      <c r="KI320" s="83"/>
      <c r="KQ320" s="405"/>
      <c r="KW320" s="83"/>
      <c r="LE320" s="405"/>
      <c r="LK320" s="83"/>
      <c r="LS320" s="405"/>
      <c r="LY320" s="83"/>
      <c r="MG320" s="405"/>
      <c r="MM320" s="83"/>
      <c r="MU320" s="405"/>
      <c r="NA320" s="83"/>
    </row>
    <row r="321">
      <c r="A321" s="483"/>
      <c r="B321" s="380"/>
      <c r="C321" s="380"/>
      <c r="D321" s="380"/>
      <c r="E321" s="380"/>
      <c r="F321" s="380"/>
      <c r="G321" s="380"/>
      <c r="H321" s="380"/>
      <c r="I321" s="403"/>
      <c r="J321" s="380"/>
      <c r="K321" s="380"/>
      <c r="L321" s="380"/>
      <c r="M321" s="380"/>
      <c r="N321" s="380"/>
      <c r="O321" s="404"/>
      <c r="P321" s="380"/>
      <c r="Q321" s="380"/>
      <c r="R321" s="380"/>
      <c r="S321" s="380"/>
      <c r="T321" s="380"/>
      <c r="U321" s="380"/>
      <c r="V321" s="380"/>
      <c r="W321" s="403"/>
      <c r="X321" s="380"/>
      <c r="Y321" s="380"/>
      <c r="Z321" s="380"/>
      <c r="AA321" s="380"/>
      <c r="AB321" s="380"/>
      <c r="AC321" s="404"/>
      <c r="AD321" s="380"/>
      <c r="AE321" s="380"/>
      <c r="AF321" s="380"/>
      <c r="AG321" s="380"/>
      <c r="AH321" s="380"/>
      <c r="AI321" s="380"/>
      <c r="AJ321" s="380"/>
      <c r="AK321" s="403"/>
      <c r="AL321" s="380"/>
      <c r="AM321" s="380"/>
      <c r="AN321" s="380"/>
      <c r="AO321" s="380"/>
      <c r="AP321" s="380"/>
      <c r="AQ321" s="404"/>
      <c r="AR321" s="380"/>
      <c r="AS321" s="380"/>
      <c r="AT321" s="380"/>
      <c r="AU321" s="380"/>
      <c r="AV321" s="380"/>
      <c r="AW321" s="380"/>
      <c r="AX321" s="380"/>
      <c r="AY321" s="403"/>
      <c r="AZ321" s="380"/>
      <c r="BA321" s="380"/>
      <c r="BB321" s="380"/>
      <c r="BC321" s="380"/>
      <c r="BD321" s="380"/>
      <c r="BE321" s="404"/>
      <c r="BF321" s="380"/>
      <c r="BG321" s="380"/>
      <c r="BH321" s="380"/>
      <c r="BI321" s="380"/>
      <c r="BJ321" s="380"/>
      <c r="BK321" s="380"/>
      <c r="BL321" s="380"/>
      <c r="BM321" s="403"/>
      <c r="BS321" s="83"/>
      <c r="CA321" s="405"/>
      <c r="CG321" s="83"/>
      <c r="CO321" s="405"/>
      <c r="CU321" s="83"/>
      <c r="DC321" s="405"/>
      <c r="DI321" s="83"/>
      <c r="DQ321" s="405"/>
      <c r="DW321" s="83"/>
      <c r="EE321" s="405"/>
      <c r="EK321" s="83"/>
      <c r="ES321" s="405"/>
      <c r="EY321" s="83"/>
      <c r="FG321" s="405"/>
      <c r="FM321" s="83"/>
      <c r="FU321" s="405"/>
      <c r="GA321" s="83"/>
      <c r="GI321" s="405"/>
      <c r="GO321" s="83"/>
      <c r="GW321" s="405"/>
      <c r="HC321" s="83"/>
      <c r="HK321" s="405"/>
      <c r="HQ321" s="83"/>
      <c r="HY321" s="405"/>
      <c r="IE321" s="83"/>
      <c r="IM321" s="405"/>
      <c r="IS321" s="83"/>
      <c r="JA321" s="405"/>
      <c r="JG321" s="83"/>
      <c r="JO321" s="405"/>
      <c r="JU321" s="83"/>
      <c r="KC321" s="405"/>
      <c r="KI321" s="83"/>
      <c r="KQ321" s="405"/>
      <c r="KW321" s="83"/>
      <c r="LE321" s="405"/>
      <c r="LK321" s="83"/>
      <c r="LS321" s="405"/>
      <c r="LY321" s="83"/>
      <c r="MG321" s="405"/>
      <c r="MM321" s="83"/>
      <c r="MU321" s="405"/>
      <c r="NA321" s="83"/>
    </row>
    <row r="322">
      <c r="A322" s="483"/>
      <c r="B322" s="380"/>
      <c r="C322" s="380"/>
      <c r="D322" s="380"/>
      <c r="E322" s="380"/>
      <c r="F322" s="380"/>
      <c r="G322" s="380"/>
      <c r="H322" s="380"/>
      <c r="I322" s="403"/>
      <c r="J322" s="380"/>
      <c r="K322" s="380"/>
      <c r="L322" s="380"/>
      <c r="M322" s="380"/>
      <c r="N322" s="380"/>
      <c r="O322" s="404"/>
      <c r="P322" s="380"/>
      <c r="Q322" s="380"/>
      <c r="R322" s="380"/>
      <c r="S322" s="380"/>
      <c r="T322" s="380"/>
      <c r="U322" s="380"/>
      <c r="V322" s="380"/>
      <c r="W322" s="403"/>
      <c r="X322" s="380"/>
      <c r="Y322" s="380"/>
      <c r="Z322" s="380"/>
      <c r="AA322" s="380"/>
      <c r="AB322" s="380"/>
      <c r="AC322" s="404"/>
      <c r="AD322" s="380"/>
      <c r="AE322" s="380"/>
      <c r="AF322" s="380"/>
      <c r="AG322" s="380"/>
      <c r="AH322" s="380"/>
      <c r="AI322" s="380"/>
      <c r="AJ322" s="380"/>
      <c r="AK322" s="403"/>
      <c r="AL322" s="380"/>
      <c r="AM322" s="380"/>
      <c r="AN322" s="380"/>
      <c r="AO322" s="380"/>
      <c r="AP322" s="380"/>
      <c r="AQ322" s="404"/>
      <c r="AR322" s="380"/>
      <c r="AS322" s="380"/>
      <c r="AT322" s="380"/>
      <c r="AU322" s="380"/>
      <c r="AV322" s="380"/>
      <c r="AW322" s="380"/>
      <c r="AX322" s="380"/>
      <c r="AY322" s="403"/>
      <c r="AZ322" s="380"/>
      <c r="BA322" s="380"/>
      <c r="BB322" s="380"/>
      <c r="BC322" s="380"/>
      <c r="BD322" s="380"/>
      <c r="BE322" s="404"/>
      <c r="BF322" s="380"/>
      <c r="BG322" s="380"/>
      <c r="BH322" s="380"/>
      <c r="BI322" s="380"/>
      <c r="BJ322" s="380"/>
      <c r="BK322" s="380"/>
      <c r="BL322" s="380"/>
      <c r="BM322" s="403"/>
      <c r="BS322" s="83"/>
      <c r="CA322" s="405"/>
      <c r="CG322" s="83"/>
      <c r="CO322" s="405"/>
      <c r="CU322" s="83"/>
      <c r="DC322" s="405"/>
      <c r="DI322" s="83"/>
      <c r="DQ322" s="405"/>
      <c r="DW322" s="83"/>
      <c r="EE322" s="405"/>
      <c r="EK322" s="83"/>
      <c r="ES322" s="405"/>
      <c r="EY322" s="83"/>
      <c r="FG322" s="405"/>
      <c r="FM322" s="83"/>
      <c r="FU322" s="405"/>
      <c r="GA322" s="83"/>
      <c r="GI322" s="405"/>
      <c r="GO322" s="83"/>
      <c r="GW322" s="405"/>
      <c r="HC322" s="83"/>
      <c r="HK322" s="405"/>
      <c r="HQ322" s="83"/>
      <c r="HY322" s="405"/>
      <c r="IE322" s="83"/>
      <c r="IM322" s="405"/>
      <c r="IS322" s="83"/>
      <c r="JA322" s="405"/>
      <c r="JG322" s="83"/>
      <c r="JO322" s="405"/>
      <c r="JU322" s="83"/>
      <c r="KC322" s="405"/>
      <c r="KI322" s="83"/>
      <c r="KQ322" s="405"/>
      <c r="KW322" s="83"/>
      <c r="LE322" s="405"/>
      <c r="LK322" s="83"/>
      <c r="LS322" s="405"/>
      <c r="LY322" s="83"/>
      <c r="MG322" s="405"/>
      <c r="MM322" s="83"/>
      <c r="MU322" s="405"/>
      <c r="NA322" s="83"/>
    </row>
    <row r="323">
      <c r="A323" s="483"/>
      <c r="B323" s="380"/>
      <c r="C323" s="380"/>
      <c r="D323" s="380"/>
      <c r="E323" s="380"/>
      <c r="F323" s="380"/>
      <c r="G323" s="380"/>
      <c r="H323" s="380"/>
      <c r="I323" s="403"/>
      <c r="J323" s="380"/>
      <c r="K323" s="380"/>
      <c r="L323" s="380"/>
      <c r="M323" s="380"/>
      <c r="N323" s="380"/>
      <c r="O323" s="404"/>
      <c r="P323" s="380"/>
      <c r="Q323" s="380"/>
      <c r="R323" s="380"/>
      <c r="S323" s="380"/>
      <c r="T323" s="380"/>
      <c r="U323" s="380"/>
      <c r="V323" s="380"/>
      <c r="W323" s="403"/>
      <c r="X323" s="380"/>
      <c r="Y323" s="380"/>
      <c r="Z323" s="380"/>
      <c r="AA323" s="380"/>
      <c r="AB323" s="380"/>
      <c r="AC323" s="404"/>
      <c r="AD323" s="380"/>
      <c r="AE323" s="380"/>
      <c r="AF323" s="380"/>
      <c r="AG323" s="380"/>
      <c r="AH323" s="380"/>
      <c r="AI323" s="380"/>
      <c r="AJ323" s="380"/>
      <c r="AK323" s="403"/>
      <c r="AL323" s="380"/>
      <c r="AM323" s="380"/>
      <c r="AN323" s="380"/>
      <c r="AO323" s="380"/>
      <c r="AP323" s="380"/>
      <c r="AQ323" s="404"/>
      <c r="AR323" s="380"/>
      <c r="AS323" s="380"/>
      <c r="AT323" s="380"/>
      <c r="AU323" s="380"/>
      <c r="AV323" s="380"/>
      <c r="AW323" s="380"/>
      <c r="AX323" s="380"/>
      <c r="AY323" s="403"/>
      <c r="AZ323" s="380"/>
      <c r="BA323" s="380"/>
      <c r="BB323" s="380"/>
      <c r="BC323" s="380"/>
      <c r="BD323" s="380"/>
      <c r="BE323" s="404"/>
      <c r="BF323" s="380"/>
      <c r="BG323" s="380"/>
      <c r="BH323" s="380"/>
      <c r="BI323" s="380"/>
      <c r="BJ323" s="380"/>
      <c r="BK323" s="380"/>
      <c r="BL323" s="380"/>
      <c r="BM323" s="403"/>
      <c r="BS323" s="83"/>
      <c r="CA323" s="405"/>
      <c r="CG323" s="83"/>
      <c r="CO323" s="405"/>
      <c r="CU323" s="83"/>
      <c r="DC323" s="405"/>
      <c r="DI323" s="83"/>
      <c r="DQ323" s="405"/>
      <c r="DW323" s="83"/>
      <c r="EE323" s="405"/>
      <c r="EK323" s="83"/>
      <c r="ES323" s="405"/>
      <c r="EY323" s="83"/>
      <c r="FG323" s="405"/>
      <c r="FM323" s="83"/>
      <c r="FU323" s="405"/>
      <c r="GA323" s="83"/>
      <c r="GI323" s="405"/>
      <c r="GO323" s="83"/>
      <c r="GW323" s="405"/>
      <c r="HC323" s="83"/>
      <c r="HK323" s="405"/>
      <c r="HQ323" s="83"/>
      <c r="HY323" s="405"/>
      <c r="IE323" s="83"/>
      <c r="IM323" s="405"/>
      <c r="IS323" s="83"/>
      <c r="JA323" s="405"/>
      <c r="JG323" s="83"/>
      <c r="JO323" s="405"/>
      <c r="JU323" s="83"/>
      <c r="KC323" s="405"/>
      <c r="KI323" s="83"/>
      <c r="KQ323" s="405"/>
      <c r="KW323" s="83"/>
      <c r="LE323" s="405"/>
      <c r="LK323" s="83"/>
      <c r="LS323" s="405"/>
      <c r="LY323" s="83"/>
      <c r="MG323" s="405"/>
      <c r="MM323" s="83"/>
      <c r="MU323" s="405"/>
      <c r="NA323" s="83"/>
    </row>
    <row r="324">
      <c r="A324" s="483"/>
      <c r="B324" s="380"/>
      <c r="C324" s="380"/>
      <c r="D324" s="380"/>
      <c r="E324" s="380"/>
      <c r="F324" s="380"/>
      <c r="G324" s="380"/>
      <c r="H324" s="380"/>
      <c r="I324" s="403"/>
      <c r="J324" s="380"/>
      <c r="K324" s="380"/>
      <c r="L324" s="380"/>
      <c r="M324" s="380"/>
      <c r="N324" s="380"/>
      <c r="O324" s="404"/>
      <c r="P324" s="380"/>
      <c r="Q324" s="380"/>
      <c r="R324" s="380"/>
      <c r="S324" s="380"/>
      <c r="T324" s="380"/>
      <c r="U324" s="380"/>
      <c r="V324" s="380"/>
      <c r="W324" s="403"/>
      <c r="X324" s="380"/>
      <c r="Y324" s="380"/>
      <c r="Z324" s="380"/>
      <c r="AA324" s="380"/>
      <c r="AB324" s="380"/>
      <c r="AC324" s="404"/>
      <c r="AD324" s="380"/>
      <c r="AE324" s="380"/>
      <c r="AF324" s="380"/>
      <c r="AG324" s="380"/>
      <c r="AH324" s="380"/>
      <c r="AI324" s="380"/>
      <c r="AJ324" s="380"/>
      <c r="AK324" s="403"/>
      <c r="AL324" s="380"/>
      <c r="AM324" s="380"/>
      <c r="AN324" s="380"/>
      <c r="AO324" s="380"/>
      <c r="AP324" s="380"/>
      <c r="AQ324" s="404"/>
      <c r="AR324" s="380"/>
      <c r="AS324" s="380"/>
      <c r="AT324" s="380"/>
      <c r="AU324" s="380"/>
      <c r="AV324" s="380"/>
      <c r="AW324" s="380"/>
      <c r="AX324" s="380"/>
      <c r="AY324" s="403"/>
      <c r="AZ324" s="380"/>
      <c r="BA324" s="380"/>
      <c r="BB324" s="380"/>
      <c r="BC324" s="380"/>
      <c r="BD324" s="380"/>
      <c r="BE324" s="404"/>
      <c r="BF324" s="380"/>
      <c r="BG324" s="380"/>
      <c r="BH324" s="380"/>
      <c r="BI324" s="380"/>
      <c r="BJ324" s="380"/>
      <c r="BK324" s="380"/>
      <c r="BL324" s="380"/>
      <c r="BM324" s="403"/>
      <c r="BS324" s="83"/>
      <c r="CA324" s="405"/>
      <c r="CG324" s="83"/>
      <c r="CO324" s="405"/>
      <c r="CU324" s="83"/>
      <c r="DC324" s="405"/>
      <c r="DI324" s="83"/>
      <c r="DQ324" s="405"/>
      <c r="DW324" s="83"/>
      <c r="EE324" s="405"/>
      <c r="EK324" s="83"/>
      <c r="ES324" s="405"/>
      <c r="EY324" s="83"/>
      <c r="FG324" s="405"/>
      <c r="FM324" s="83"/>
      <c r="FU324" s="405"/>
      <c r="GA324" s="83"/>
      <c r="GI324" s="405"/>
      <c r="GO324" s="83"/>
      <c r="GW324" s="405"/>
      <c r="HC324" s="83"/>
      <c r="HK324" s="405"/>
      <c r="HQ324" s="83"/>
      <c r="HY324" s="405"/>
      <c r="IE324" s="83"/>
      <c r="IM324" s="405"/>
      <c r="IS324" s="83"/>
      <c r="JA324" s="405"/>
      <c r="JG324" s="83"/>
      <c r="JO324" s="405"/>
      <c r="JU324" s="83"/>
      <c r="KC324" s="405"/>
      <c r="KI324" s="83"/>
      <c r="KQ324" s="405"/>
      <c r="KW324" s="83"/>
      <c r="LE324" s="405"/>
      <c r="LK324" s="83"/>
      <c r="LS324" s="405"/>
      <c r="LY324" s="83"/>
      <c r="MG324" s="405"/>
      <c r="MM324" s="83"/>
      <c r="MU324" s="405"/>
      <c r="NA324" s="83"/>
    </row>
    <row r="325">
      <c r="A325" s="483"/>
      <c r="B325" s="380"/>
      <c r="C325" s="380"/>
      <c r="D325" s="380"/>
      <c r="E325" s="380"/>
      <c r="F325" s="380"/>
      <c r="G325" s="380"/>
      <c r="H325" s="380"/>
      <c r="I325" s="403"/>
      <c r="J325" s="380"/>
      <c r="K325" s="380"/>
      <c r="L325" s="380"/>
      <c r="M325" s="380"/>
      <c r="N325" s="380"/>
      <c r="O325" s="404"/>
      <c r="P325" s="380"/>
      <c r="Q325" s="380"/>
      <c r="R325" s="380"/>
      <c r="S325" s="380"/>
      <c r="T325" s="380"/>
      <c r="U325" s="380"/>
      <c r="V325" s="380"/>
      <c r="W325" s="403"/>
      <c r="X325" s="380"/>
      <c r="Y325" s="380"/>
      <c r="Z325" s="380"/>
      <c r="AA325" s="380"/>
      <c r="AB325" s="380"/>
      <c r="AC325" s="404"/>
      <c r="AD325" s="380"/>
      <c r="AE325" s="380"/>
      <c r="AF325" s="380"/>
      <c r="AG325" s="380"/>
      <c r="AH325" s="380"/>
      <c r="AI325" s="380"/>
      <c r="AJ325" s="380"/>
      <c r="AK325" s="403"/>
      <c r="AL325" s="380"/>
      <c r="AM325" s="380"/>
      <c r="AN325" s="380"/>
      <c r="AO325" s="380"/>
      <c r="AP325" s="380"/>
      <c r="AQ325" s="404"/>
      <c r="AR325" s="380"/>
      <c r="AS325" s="380"/>
      <c r="AT325" s="380"/>
      <c r="AU325" s="380"/>
      <c r="AV325" s="380"/>
      <c r="AW325" s="380"/>
      <c r="AX325" s="380"/>
      <c r="AY325" s="403"/>
      <c r="AZ325" s="380"/>
      <c r="BA325" s="380"/>
      <c r="BB325" s="380"/>
      <c r="BC325" s="380"/>
      <c r="BD325" s="380"/>
      <c r="BE325" s="404"/>
      <c r="BF325" s="380"/>
      <c r="BG325" s="380"/>
      <c r="BH325" s="380"/>
      <c r="BI325" s="380"/>
      <c r="BJ325" s="380"/>
      <c r="BK325" s="380"/>
      <c r="BL325" s="380"/>
      <c r="BM325" s="403"/>
      <c r="BS325" s="83"/>
      <c r="CA325" s="405"/>
      <c r="CG325" s="83"/>
      <c r="CO325" s="405"/>
      <c r="CU325" s="83"/>
      <c r="DC325" s="405"/>
      <c r="DI325" s="83"/>
      <c r="DQ325" s="405"/>
      <c r="DW325" s="83"/>
      <c r="EE325" s="405"/>
      <c r="EK325" s="83"/>
      <c r="ES325" s="405"/>
      <c r="EY325" s="83"/>
      <c r="FG325" s="405"/>
      <c r="FM325" s="83"/>
      <c r="FU325" s="405"/>
      <c r="GA325" s="83"/>
      <c r="GI325" s="405"/>
      <c r="GO325" s="83"/>
      <c r="GW325" s="405"/>
      <c r="HC325" s="83"/>
      <c r="HK325" s="405"/>
      <c r="HQ325" s="83"/>
      <c r="HY325" s="405"/>
      <c r="IE325" s="83"/>
      <c r="IM325" s="405"/>
      <c r="IS325" s="83"/>
      <c r="JA325" s="405"/>
      <c r="JG325" s="83"/>
      <c r="JO325" s="405"/>
      <c r="JU325" s="83"/>
      <c r="KC325" s="405"/>
      <c r="KI325" s="83"/>
      <c r="KQ325" s="405"/>
      <c r="KW325" s="83"/>
      <c r="LE325" s="405"/>
      <c r="LK325" s="83"/>
      <c r="LS325" s="405"/>
      <c r="LY325" s="83"/>
      <c r="MG325" s="405"/>
      <c r="MM325" s="83"/>
      <c r="MU325" s="405"/>
      <c r="NA325" s="83"/>
    </row>
    <row r="326">
      <c r="A326" s="483"/>
      <c r="B326" s="380"/>
      <c r="C326" s="380"/>
      <c r="D326" s="380"/>
      <c r="E326" s="380"/>
      <c r="F326" s="380"/>
      <c r="G326" s="380"/>
      <c r="H326" s="380"/>
      <c r="I326" s="403"/>
      <c r="J326" s="380"/>
      <c r="K326" s="380"/>
      <c r="L326" s="380"/>
      <c r="M326" s="380"/>
      <c r="N326" s="380"/>
      <c r="O326" s="404"/>
      <c r="P326" s="380"/>
      <c r="Q326" s="380"/>
      <c r="R326" s="380"/>
      <c r="S326" s="380"/>
      <c r="T326" s="380"/>
      <c r="U326" s="380"/>
      <c r="V326" s="380"/>
      <c r="W326" s="403"/>
      <c r="X326" s="380"/>
      <c r="Y326" s="380"/>
      <c r="Z326" s="380"/>
      <c r="AA326" s="380"/>
      <c r="AB326" s="380"/>
      <c r="AC326" s="404"/>
      <c r="AD326" s="380"/>
      <c r="AE326" s="380"/>
      <c r="AF326" s="380"/>
      <c r="AG326" s="380"/>
      <c r="AH326" s="380"/>
      <c r="AI326" s="380"/>
      <c r="AJ326" s="380"/>
      <c r="AK326" s="403"/>
      <c r="AL326" s="380"/>
      <c r="AM326" s="380"/>
      <c r="AN326" s="380"/>
      <c r="AO326" s="380"/>
      <c r="AP326" s="380"/>
      <c r="AQ326" s="404"/>
      <c r="AR326" s="380"/>
      <c r="AS326" s="380"/>
      <c r="AT326" s="380"/>
      <c r="AU326" s="380"/>
      <c r="AV326" s="380"/>
      <c r="AW326" s="380"/>
      <c r="AX326" s="380"/>
      <c r="AY326" s="403"/>
      <c r="AZ326" s="380"/>
      <c r="BA326" s="380"/>
      <c r="BB326" s="380"/>
      <c r="BC326" s="380"/>
      <c r="BD326" s="380"/>
      <c r="BE326" s="404"/>
      <c r="BF326" s="380"/>
      <c r="BG326" s="380"/>
      <c r="BH326" s="380"/>
      <c r="BI326" s="380"/>
      <c r="BJ326" s="380"/>
      <c r="BK326" s="380"/>
      <c r="BL326" s="380"/>
      <c r="BM326" s="403"/>
      <c r="BS326" s="83"/>
      <c r="CA326" s="405"/>
      <c r="CG326" s="83"/>
      <c r="CO326" s="405"/>
      <c r="CU326" s="83"/>
      <c r="DC326" s="405"/>
      <c r="DI326" s="83"/>
      <c r="DQ326" s="405"/>
      <c r="DW326" s="83"/>
      <c r="EE326" s="405"/>
      <c r="EK326" s="83"/>
      <c r="ES326" s="405"/>
      <c r="EY326" s="83"/>
      <c r="FG326" s="405"/>
      <c r="FM326" s="83"/>
      <c r="FU326" s="405"/>
      <c r="GA326" s="83"/>
      <c r="GI326" s="405"/>
      <c r="GO326" s="83"/>
      <c r="GW326" s="405"/>
      <c r="HC326" s="83"/>
      <c r="HK326" s="405"/>
      <c r="HQ326" s="83"/>
      <c r="HY326" s="405"/>
      <c r="IE326" s="83"/>
      <c r="IM326" s="405"/>
      <c r="IS326" s="83"/>
      <c r="JA326" s="405"/>
      <c r="JG326" s="83"/>
      <c r="JO326" s="405"/>
      <c r="JU326" s="83"/>
      <c r="KC326" s="405"/>
      <c r="KI326" s="83"/>
      <c r="KQ326" s="405"/>
      <c r="KW326" s="83"/>
      <c r="LE326" s="405"/>
      <c r="LK326" s="83"/>
      <c r="LS326" s="405"/>
      <c r="LY326" s="83"/>
      <c r="MG326" s="405"/>
      <c r="MM326" s="83"/>
      <c r="MU326" s="405"/>
      <c r="NA326" s="83"/>
    </row>
    <row r="327">
      <c r="A327" s="483"/>
      <c r="B327" s="380"/>
      <c r="C327" s="380"/>
      <c r="D327" s="380"/>
      <c r="E327" s="380"/>
      <c r="F327" s="380"/>
      <c r="G327" s="380"/>
      <c r="H327" s="380"/>
      <c r="I327" s="403"/>
      <c r="J327" s="380"/>
      <c r="K327" s="380"/>
      <c r="L327" s="380"/>
      <c r="M327" s="380"/>
      <c r="N327" s="380"/>
      <c r="O327" s="404"/>
      <c r="P327" s="380"/>
      <c r="Q327" s="380"/>
      <c r="R327" s="380"/>
      <c r="S327" s="380"/>
      <c r="T327" s="380"/>
      <c r="U327" s="380"/>
      <c r="V327" s="380"/>
      <c r="W327" s="403"/>
      <c r="X327" s="380"/>
      <c r="Y327" s="380"/>
      <c r="Z327" s="380"/>
      <c r="AA327" s="380"/>
      <c r="AB327" s="380"/>
      <c r="AC327" s="404"/>
      <c r="AD327" s="380"/>
      <c r="AE327" s="380"/>
      <c r="AF327" s="380"/>
      <c r="AG327" s="380"/>
      <c r="AH327" s="380"/>
      <c r="AI327" s="380"/>
      <c r="AJ327" s="380"/>
      <c r="AK327" s="403"/>
      <c r="AL327" s="380"/>
      <c r="AM327" s="380"/>
      <c r="AN327" s="380"/>
      <c r="AO327" s="380"/>
      <c r="AP327" s="380"/>
      <c r="AQ327" s="404"/>
      <c r="AR327" s="380"/>
      <c r="AS327" s="380"/>
      <c r="AT327" s="380"/>
      <c r="AU327" s="380"/>
      <c r="AV327" s="380"/>
      <c r="AW327" s="380"/>
      <c r="AX327" s="380"/>
      <c r="AY327" s="403"/>
      <c r="AZ327" s="380"/>
      <c r="BA327" s="380"/>
      <c r="BB327" s="380"/>
      <c r="BC327" s="380"/>
      <c r="BD327" s="380"/>
      <c r="BE327" s="404"/>
      <c r="BF327" s="380"/>
      <c r="BG327" s="380"/>
      <c r="BH327" s="380"/>
      <c r="BI327" s="380"/>
      <c r="BJ327" s="380"/>
      <c r="BK327" s="380"/>
      <c r="BL327" s="380"/>
      <c r="BM327" s="403"/>
      <c r="BS327" s="83"/>
      <c r="CA327" s="405"/>
      <c r="CG327" s="83"/>
      <c r="CO327" s="405"/>
      <c r="CU327" s="83"/>
      <c r="DC327" s="405"/>
      <c r="DI327" s="83"/>
      <c r="DQ327" s="405"/>
      <c r="DW327" s="83"/>
      <c r="EE327" s="405"/>
      <c r="EK327" s="83"/>
      <c r="ES327" s="405"/>
      <c r="EY327" s="83"/>
      <c r="FG327" s="405"/>
      <c r="FM327" s="83"/>
      <c r="FU327" s="405"/>
      <c r="GA327" s="83"/>
      <c r="GI327" s="405"/>
      <c r="GO327" s="83"/>
      <c r="GW327" s="405"/>
      <c r="HC327" s="83"/>
      <c r="HK327" s="405"/>
      <c r="HQ327" s="83"/>
      <c r="HY327" s="405"/>
      <c r="IE327" s="83"/>
      <c r="IM327" s="405"/>
      <c r="IS327" s="83"/>
      <c r="JA327" s="405"/>
      <c r="JG327" s="83"/>
      <c r="JO327" s="405"/>
      <c r="JU327" s="83"/>
      <c r="KC327" s="405"/>
      <c r="KI327" s="83"/>
      <c r="KQ327" s="405"/>
      <c r="KW327" s="83"/>
      <c r="LE327" s="405"/>
      <c r="LK327" s="83"/>
      <c r="LS327" s="405"/>
      <c r="LY327" s="83"/>
      <c r="MG327" s="405"/>
      <c r="MM327" s="83"/>
      <c r="MU327" s="405"/>
      <c r="NA327" s="83"/>
    </row>
    <row r="328">
      <c r="A328" s="483"/>
      <c r="B328" s="380"/>
      <c r="C328" s="380"/>
      <c r="D328" s="380"/>
      <c r="E328" s="380"/>
      <c r="F328" s="380"/>
      <c r="G328" s="380"/>
      <c r="H328" s="380"/>
      <c r="I328" s="403"/>
      <c r="J328" s="380"/>
      <c r="K328" s="380"/>
      <c r="L328" s="380"/>
      <c r="M328" s="380"/>
      <c r="N328" s="380"/>
      <c r="O328" s="404"/>
      <c r="P328" s="380"/>
      <c r="Q328" s="380"/>
      <c r="R328" s="380"/>
      <c r="S328" s="380"/>
      <c r="T328" s="380"/>
      <c r="U328" s="380"/>
      <c r="V328" s="380"/>
      <c r="W328" s="403"/>
      <c r="X328" s="380"/>
      <c r="Y328" s="380"/>
      <c r="Z328" s="380"/>
      <c r="AA328" s="380"/>
      <c r="AB328" s="380"/>
      <c r="AC328" s="404"/>
      <c r="AD328" s="380"/>
      <c r="AE328" s="380"/>
      <c r="AF328" s="380"/>
      <c r="AG328" s="380"/>
      <c r="AH328" s="380"/>
      <c r="AI328" s="380"/>
      <c r="AJ328" s="380"/>
      <c r="AK328" s="403"/>
      <c r="AL328" s="380"/>
      <c r="AM328" s="380"/>
      <c r="AN328" s="380"/>
      <c r="AO328" s="380"/>
      <c r="AP328" s="380"/>
      <c r="AQ328" s="404"/>
      <c r="AR328" s="380"/>
      <c r="AS328" s="380"/>
      <c r="AT328" s="380"/>
      <c r="AU328" s="380"/>
      <c r="AV328" s="380"/>
      <c r="AW328" s="380"/>
      <c r="AX328" s="380"/>
      <c r="AY328" s="403"/>
      <c r="AZ328" s="380"/>
      <c r="BA328" s="380"/>
      <c r="BB328" s="380"/>
      <c r="BC328" s="380"/>
      <c r="BD328" s="380"/>
      <c r="BE328" s="404"/>
      <c r="BF328" s="380"/>
      <c r="BG328" s="380"/>
      <c r="BH328" s="380"/>
      <c r="BI328" s="380"/>
      <c r="BJ328" s="380"/>
      <c r="BK328" s="380"/>
      <c r="BL328" s="380"/>
      <c r="BM328" s="403"/>
      <c r="BS328" s="83"/>
      <c r="CA328" s="405"/>
      <c r="CG328" s="83"/>
      <c r="CO328" s="405"/>
      <c r="CU328" s="83"/>
      <c r="DC328" s="405"/>
      <c r="DI328" s="83"/>
      <c r="DQ328" s="405"/>
      <c r="DW328" s="83"/>
      <c r="EE328" s="405"/>
      <c r="EK328" s="83"/>
      <c r="ES328" s="405"/>
      <c r="EY328" s="83"/>
      <c r="FG328" s="405"/>
      <c r="FM328" s="83"/>
      <c r="FU328" s="405"/>
      <c r="GA328" s="83"/>
      <c r="GI328" s="405"/>
      <c r="GO328" s="83"/>
      <c r="GW328" s="405"/>
      <c r="HC328" s="83"/>
      <c r="HK328" s="405"/>
      <c r="HQ328" s="83"/>
      <c r="HY328" s="405"/>
      <c r="IE328" s="83"/>
      <c r="IM328" s="405"/>
      <c r="IS328" s="83"/>
      <c r="JA328" s="405"/>
      <c r="JG328" s="83"/>
      <c r="JO328" s="405"/>
      <c r="JU328" s="83"/>
      <c r="KC328" s="405"/>
      <c r="KI328" s="83"/>
      <c r="KQ328" s="405"/>
      <c r="KW328" s="83"/>
      <c r="LE328" s="405"/>
      <c r="LK328" s="83"/>
      <c r="LS328" s="405"/>
      <c r="LY328" s="83"/>
      <c r="MG328" s="405"/>
      <c r="MM328" s="83"/>
      <c r="MU328" s="405"/>
      <c r="NA328" s="83"/>
    </row>
    <row r="329">
      <c r="A329" s="483"/>
      <c r="B329" s="380"/>
      <c r="C329" s="380"/>
      <c r="D329" s="380"/>
      <c r="E329" s="380"/>
      <c r="F329" s="380"/>
      <c r="G329" s="380"/>
      <c r="H329" s="380"/>
      <c r="I329" s="403"/>
      <c r="J329" s="380"/>
      <c r="K329" s="380"/>
      <c r="L329" s="380"/>
      <c r="M329" s="380"/>
      <c r="N329" s="380"/>
      <c r="O329" s="404"/>
      <c r="P329" s="380"/>
      <c r="Q329" s="380"/>
      <c r="R329" s="380"/>
      <c r="S329" s="380"/>
      <c r="T329" s="380"/>
      <c r="U329" s="380"/>
      <c r="V329" s="380"/>
      <c r="W329" s="403"/>
      <c r="X329" s="380"/>
      <c r="Y329" s="380"/>
      <c r="Z329" s="380"/>
      <c r="AA329" s="380"/>
      <c r="AB329" s="380"/>
      <c r="AC329" s="404"/>
      <c r="AD329" s="380"/>
      <c r="AE329" s="380"/>
      <c r="AF329" s="380"/>
      <c r="AG329" s="380"/>
      <c r="AH329" s="380"/>
      <c r="AI329" s="380"/>
      <c r="AJ329" s="380"/>
      <c r="AK329" s="403"/>
      <c r="AL329" s="380"/>
      <c r="AM329" s="380"/>
      <c r="AN329" s="380"/>
      <c r="AO329" s="380"/>
      <c r="AP329" s="380"/>
      <c r="AQ329" s="404"/>
      <c r="AR329" s="380"/>
      <c r="AS329" s="380"/>
      <c r="AT329" s="380"/>
      <c r="AU329" s="380"/>
      <c r="AV329" s="380"/>
      <c r="AW329" s="380"/>
      <c r="AX329" s="380"/>
      <c r="AY329" s="403"/>
      <c r="AZ329" s="380"/>
      <c r="BA329" s="380"/>
      <c r="BB329" s="380"/>
      <c r="BC329" s="380"/>
      <c r="BD329" s="380"/>
      <c r="BE329" s="404"/>
      <c r="BF329" s="380"/>
      <c r="BG329" s="380"/>
      <c r="BH329" s="380"/>
      <c r="BI329" s="380"/>
      <c r="BJ329" s="380"/>
      <c r="BK329" s="380"/>
      <c r="BL329" s="380"/>
      <c r="BM329" s="403"/>
      <c r="BS329" s="83"/>
      <c r="CA329" s="405"/>
      <c r="CG329" s="83"/>
      <c r="CO329" s="405"/>
      <c r="CU329" s="83"/>
      <c r="DC329" s="405"/>
      <c r="DI329" s="83"/>
      <c r="DQ329" s="405"/>
      <c r="DW329" s="83"/>
      <c r="EE329" s="405"/>
      <c r="EK329" s="83"/>
      <c r="ES329" s="405"/>
      <c r="EY329" s="83"/>
      <c r="FG329" s="405"/>
      <c r="FM329" s="83"/>
      <c r="FU329" s="405"/>
      <c r="GA329" s="83"/>
      <c r="GI329" s="405"/>
      <c r="GO329" s="83"/>
      <c r="GW329" s="405"/>
      <c r="HC329" s="83"/>
      <c r="HK329" s="405"/>
      <c r="HQ329" s="83"/>
      <c r="HY329" s="405"/>
      <c r="IE329" s="83"/>
      <c r="IM329" s="405"/>
      <c r="IS329" s="83"/>
      <c r="JA329" s="405"/>
      <c r="JG329" s="83"/>
      <c r="JO329" s="405"/>
      <c r="JU329" s="83"/>
      <c r="KC329" s="405"/>
      <c r="KI329" s="83"/>
      <c r="KQ329" s="405"/>
      <c r="KW329" s="83"/>
      <c r="LE329" s="405"/>
      <c r="LK329" s="83"/>
      <c r="LS329" s="405"/>
      <c r="LY329" s="83"/>
      <c r="MG329" s="405"/>
      <c r="MM329" s="83"/>
      <c r="MU329" s="405"/>
      <c r="NA329" s="83"/>
    </row>
    <row r="330">
      <c r="A330" s="483"/>
      <c r="B330" s="380"/>
      <c r="C330" s="380"/>
      <c r="D330" s="380"/>
      <c r="E330" s="380"/>
      <c r="F330" s="380"/>
      <c r="G330" s="380"/>
      <c r="H330" s="380"/>
      <c r="I330" s="403"/>
      <c r="J330" s="380"/>
      <c r="K330" s="380"/>
      <c r="L330" s="380"/>
      <c r="M330" s="380"/>
      <c r="N330" s="380"/>
      <c r="O330" s="404"/>
      <c r="P330" s="380"/>
      <c r="Q330" s="380"/>
      <c r="R330" s="380"/>
      <c r="S330" s="380"/>
      <c r="T330" s="380"/>
      <c r="U330" s="380"/>
      <c r="V330" s="380"/>
      <c r="W330" s="403"/>
      <c r="X330" s="380"/>
      <c r="Y330" s="380"/>
      <c r="Z330" s="380"/>
      <c r="AA330" s="380"/>
      <c r="AB330" s="380"/>
      <c r="AC330" s="404"/>
      <c r="AD330" s="380"/>
      <c r="AE330" s="380"/>
      <c r="AF330" s="380"/>
      <c r="AG330" s="380"/>
      <c r="AH330" s="380"/>
      <c r="AI330" s="380"/>
      <c r="AJ330" s="380"/>
      <c r="AK330" s="403"/>
      <c r="AL330" s="380"/>
      <c r="AM330" s="380"/>
      <c r="AN330" s="380"/>
      <c r="AO330" s="380"/>
      <c r="AP330" s="380"/>
      <c r="AQ330" s="404"/>
      <c r="AR330" s="380"/>
      <c r="AS330" s="380"/>
      <c r="AT330" s="380"/>
      <c r="AU330" s="380"/>
      <c r="AV330" s="380"/>
      <c r="AW330" s="380"/>
      <c r="AX330" s="380"/>
      <c r="AY330" s="403"/>
      <c r="AZ330" s="380"/>
      <c r="BA330" s="380"/>
      <c r="BB330" s="380"/>
      <c r="BC330" s="380"/>
      <c r="BD330" s="380"/>
      <c r="BE330" s="404"/>
      <c r="BF330" s="380"/>
      <c r="BG330" s="380"/>
      <c r="BH330" s="380"/>
      <c r="BI330" s="380"/>
      <c r="BJ330" s="380"/>
      <c r="BK330" s="380"/>
      <c r="BL330" s="380"/>
      <c r="BM330" s="403"/>
      <c r="BS330" s="83"/>
      <c r="CA330" s="405"/>
      <c r="CG330" s="83"/>
      <c r="CO330" s="405"/>
      <c r="CU330" s="83"/>
      <c r="DC330" s="405"/>
      <c r="DI330" s="83"/>
      <c r="DQ330" s="405"/>
      <c r="DW330" s="83"/>
      <c r="EE330" s="405"/>
      <c r="EK330" s="83"/>
      <c r="ES330" s="405"/>
      <c r="EY330" s="83"/>
      <c r="FG330" s="405"/>
      <c r="FM330" s="83"/>
      <c r="FU330" s="405"/>
      <c r="GA330" s="83"/>
      <c r="GI330" s="405"/>
      <c r="GO330" s="83"/>
      <c r="GW330" s="405"/>
      <c r="HC330" s="83"/>
      <c r="HK330" s="405"/>
      <c r="HQ330" s="83"/>
      <c r="HY330" s="405"/>
      <c r="IE330" s="83"/>
      <c r="IM330" s="405"/>
      <c r="IS330" s="83"/>
      <c r="JA330" s="405"/>
      <c r="JG330" s="83"/>
      <c r="JO330" s="405"/>
      <c r="JU330" s="83"/>
      <c r="KC330" s="405"/>
      <c r="KI330" s="83"/>
      <c r="KQ330" s="405"/>
      <c r="KW330" s="83"/>
      <c r="LE330" s="405"/>
      <c r="LK330" s="83"/>
      <c r="LS330" s="405"/>
      <c r="LY330" s="83"/>
      <c r="MG330" s="405"/>
      <c r="MM330" s="83"/>
      <c r="MU330" s="405"/>
      <c r="NA330" s="83"/>
    </row>
    <row r="331">
      <c r="A331" s="483"/>
      <c r="B331" s="380"/>
      <c r="C331" s="380"/>
      <c r="D331" s="380"/>
      <c r="E331" s="380"/>
      <c r="F331" s="380"/>
      <c r="G331" s="380"/>
      <c r="H331" s="380"/>
      <c r="I331" s="403"/>
      <c r="J331" s="380"/>
      <c r="K331" s="380"/>
      <c r="L331" s="380"/>
      <c r="M331" s="380"/>
      <c r="N331" s="380"/>
      <c r="O331" s="404"/>
      <c r="P331" s="380"/>
      <c r="Q331" s="380"/>
      <c r="R331" s="380"/>
      <c r="S331" s="380"/>
      <c r="T331" s="380"/>
      <c r="U331" s="380"/>
      <c r="V331" s="380"/>
      <c r="W331" s="403"/>
      <c r="X331" s="380"/>
      <c r="Y331" s="380"/>
      <c r="Z331" s="380"/>
      <c r="AA331" s="380"/>
      <c r="AB331" s="380"/>
      <c r="AC331" s="404"/>
      <c r="AD331" s="380"/>
      <c r="AE331" s="380"/>
      <c r="AF331" s="380"/>
      <c r="AG331" s="380"/>
      <c r="AH331" s="380"/>
      <c r="AI331" s="380"/>
      <c r="AJ331" s="380"/>
      <c r="AK331" s="403"/>
      <c r="AL331" s="380"/>
      <c r="AM331" s="380"/>
      <c r="AN331" s="380"/>
      <c r="AO331" s="380"/>
      <c r="AP331" s="380"/>
      <c r="AQ331" s="404"/>
      <c r="AR331" s="380"/>
      <c r="AS331" s="380"/>
      <c r="AT331" s="380"/>
      <c r="AU331" s="380"/>
      <c r="AV331" s="380"/>
      <c r="AW331" s="380"/>
      <c r="AX331" s="380"/>
      <c r="AY331" s="403"/>
      <c r="AZ331" s="380"/>
      <c r="BA331" s="380"/>
      <c r="BB331" s="380"/>
      <c r="BC331" s="380"/>
      <c r="BD331" s="380"/>
      <c r="BE331" s="404"/>
      <c r="BF331" s="380"/>
      <c r="BG331" s="380"/>
      <c r="BH331" s="380"/>
      <c r="BI331" s="380"/>
      <c r="BJ331" s="380"/>
      <c r="BK331" s="380"/>
      <c r="BL331" s="380"/>
      <c r="BM331" s="403"/>
      <c r="BS331" s="83"/>
      <c r="CA331" s="405"/>
      <c r="CG331" s="83"/>
      <c r="CO331" s="405"/>
      <c r="CU331" s="83"/>
      <c r="DC331" s="405"/>
      <c r="DI331" s="83"/>
      <c r="DQ331" s="405"/>
      <c r="DW331" s="83"/>
      <c r="EE331" s="405"/>
      <c r="EK331" s="83"/>
      <c r="ES331" s="405"/>
      <c r="EY331" s="83"/>
      <c r="FG331" s="405"/>
      <c r="FM331" s="83"/>
      <c r="FU331" s="405"/>
      <c r="GA331" s="83"/>
      <c r="GI331" s="405"/>
      <c r="GO331" s="83"/>
      <c r="GW331" s="405"/>
      <c r="HC331" s="83"/>
      <c r="HK331" s="405"/>
      <c r="HQ331" s="83"/>
      <c r="HY331" s="405"/>
      <c r="IE331" s="83"/>
      <c r="IM331" s="405"/>
      <c r="IS331" s="83"/>
      <c r="JA331" s="405"/>
      <c r="JG331" s="83"/>
      <c r="JO331" s="405"/>
      <c r="JU331" s="83"/>
      <c r="KC331" s="405"/>
      <c r="KI331" s="83"/>
      <c r="KQ331" s="405"/>
      <c r="KW331" s="83"/>
      <c r="LE331" s="405"/>
      <c r="LK331" s="83"/>
      <c r="LS331" s="405"/>
      <c r="LY331" s="83"/>
      <c r="MG331" s="405"/>
      <c r="MM331" s="83"/>
      <c r="MU331" s="405"/>
      <c r="NA331" s="83"/>
    </row>
    <row r="332">
      <c r="A332" s="483"/>
      <c r="B332" s="380"/>
      <c r="C332" s="380"/>
      <c r="D332" s="380"/>
      <c r="E332" s="380"/>
      <c r="F332" s="380"/>
      <c r="G332" s="380"/>
      <c r="H332" s="380"/>
      <c r="I332" s="403"/>
      <c r="J332" s="380"/>
      <c r="K332" s="380"/>
      <c r="L332" s="380"/>
      <c r="M332" s="380"/>
      <c r="N332" s="380"/>
      <c r="O332" s="404"/>
      <c r="P332" s="380"/>
      <c r="Q332" s="380"/>
      <c r="R332" s="380"/>
      <c r="S332" s="380"/>
      <c r="T332" s="380"/>
      <c r="U332" s="380"/>
      <c r="V332" s="380"/>
      <c r="W332" s="403"/>
      <c r="X332" s="380"/>
      <c r="Y332" s="380"/>
      <c r="Z332" s="380"/>
      <c r="AA332" s="380"/>
      <c r="AB332" s="380"/>
      <c r="AC332" s="404"/>
      <c r="AD332" s="380"/>
      <c r="AE332" s="380"/>
      <c r="AF332" s="380"/>
      <c r="AG332" s="380"/>
      <c r="AH332" s="380"/>
      <c r="AI332" s="380"/>
      <c r="AJ332" s="380"/>
      <c r="AK332" s="403"/>
      <c r="AL332" s="380"/>
      <c r="AM332" s="380"/>
      <c r="AN332" s="380"/>
      <c r="AO332" s="380"/>
      <c r="AP332" s="380"/>
      <c r="AQ332" s="404"/>
      <c r="AR332" s="380"/>
      <c r="AS332" s="380"/>
      <c r="AT332" s="380"/>
      <c r="AU332" s="380"/>
      <c r="AV332" s="380"/>
      <c r="AW332" s="380"/>
      <c r="AX332" s="380"/>
      <c r="AY332" s="403"/>
      <c r="AZ332" s="380"/>
      <c r="BA332" s="380"/>
      <c r="BB332" s="380"/>
      <c r="BC332" s="380"/>
      <c r="BD332" s="380"/>
      <c r="BE332" s="404"/>
      <c r="BF332" s="380"/>
      <c r="BG332" s="380"/>
      <c r="BH332" s="380"/>
      <c r="BI332" s="380"/>
      <c r="BJ332" s="380"/>
      <c r="BK332" s="380"/>
      <c r="BL332" s="380"/>
      <c r="BM332" s="403"/>
      <c r="BS332" s="83"/>
      <c r="CA332" s="405"/>
      <c r="CG332" s="83"/>
      <c r="CO332" s="405"/>
      <c r="CU332" s="83"/>
      <c r="DC332" s="405"/>
      <c r="DI332" s="83"/>
      <c r="DQ332" s="405"/>
      <c r="DW332" s="83"/>
      <c r="EE332" s="405"/>
      <c r="EK332" s="83"/>
      <c r="ES332" s="405"/>
      <c r="EY332" s="83"/>
      <c r="FG332" s="405"/>
      <c r="FM332" s="83"/>
      <c r="FU332" s="405"/>
      <c r="GA332" s="83"/>
      <c r="GI332" s="405"/>
      <c r="GO332" s="83"/>
      <c r="GW332" s="405"/>
      <c r="HC332" s="83"/>
      <c r="HK332" s="405"/>
      <c r="HQ332" s="83"/>
      <c r="HY332" s="405"/>
      <c r="IE332" s="83"/>
      <c r="IM332" s="405"/>
      <c r="IS332" s="83"/>
      <c r="JA332" s="405"/>
      <c r="JG332" s="83"/>
      <c r="JO332" s="405"/>
      <c r="JU332" s="83"/>
      <c r="KC332" s="405"/>
      <c r="KI332" s="83"/>
      <c r="KQ332" s="405"/>
      <c r="KW332" s="83"/>
      <c r="LE332" s="405"/>
      <c r="LK332" s="83"/>
      <c r="LS332" s="405"/>
      <c r="LY332" s="83"/>
      <c r="MG332" s="405"/>
      <c r="MM332" s="83"/>
      <c r="MU332" s="405"/>
      <c r="NA332" s="83"/>
    </row>
    <row r="333">
      <c r="A333" s="483"/>
      <c r="B333" s="380"/>
      <c r="C333" s="380"/>
      <c r="D333" s="380"/>
      <c r="E333" s="380"/>
      <c r="F333" s="380"/>
      <c r="G333" s="380"/>
      <c r="H333" s="380"/>
      <c r="I333" s="403"/>
      <c r="J333" s="380"/>
      <c r="K333" s="380"/>
      <c r="L333" s="380"/>
      <c r="M333" s="380"/>
      <c r="N333" s="380"/>
      <c r="O333" s="404"/>
      <c r="P333" s="380"/>
      <c r="Q333" s="380"/>
      <c r="R333" s="380"/>
      <c r="S333" s="380"/>
      <c r="T333" s="380"/>
      <c r="U333" s="380"/>
      <c r="V333" s="380"/>
      <c r="W333" s="403"/>
      <c r="X333" s="380"/>
      <c r="Y333" s="380"/>
      <c r="Z333" s="380"/>
      <c r="AA333" s="380"/>
      <c r="AB333" s="380"/>
      <c r="AC333" s="404"/>
      <c r="AD333" s="380"/>
      <c r="AE333" s="380"/>
      <c r="AF333" s="380"/>
      <c r="AG333" s="380"/>
      <c r="AH333" s="380"/>
      <c r="AI333" s="380"/>
      <c r="AJ333" s="380"/>
      <c r="AK333" s="403"/>
      <c r="AL333" s="380"/>
      <c r="AM333" s="380"/>
      <c r="AN333" s="380"/>
      <c r="AO333" s="380"/>
      <c r="AP333" s="380"/>
      <c r="AQ333" s="404"/>
      <c r="AR333" s="380"/>
      <c r="AS333" s="380"/>
      <c r="AT333" s="380"/>
      <c r="AU333" s="380"/>
      <c r="AV333" s="380"/>
      <c r="AW333" s="380"/>
      <c r="AX333" s="380"/>
      <c r="AY333" s="403"/>
      <c r="AZ333" s="380"/>
      <c r="BA333" s="380"/>
      <c r="BB333" s="380"/>
      <c r="BC333" s="380"/>
      <c r="BD333" s="380"/>
      <c r="BE333" s="404"/>
      <c r="BF333" s="380"/>
      <c r="BG333" s="380"/>
      <c r="BH333" s="380"/>
      <c r="BI333" s="380"/>
      <c r="BJ333" s="380"/>
      <c r="BK333" s="380"/>
      <c r="BL333" s="380"/>
      <c r="BM333" s="403"/>
      <c r="BS333" s="83"/>
      <c r="CA333" s="405"/>
      <c r="CG333" s="83"/>
      <c r="CO333" s="405"/>
      <c r="CU333" s="83"/>
      <c r="DC333" s="405"/>
      <c r="DI333" s="83"/>
      <c r="DQ333" s="405"/>
      <c r="DW333" s="83"/>
      <c r="EE333" s="405"/>
      <c r="EK333" s="83"/>
      <c r="ES333" s="405"/>
      <c r="EY333" s="83"/>
      <c r="FG333" s="405"/>
      <c r="FM333" s="83"/>
      <c r="FU333" s="405"/>
      <c r="GA333" s="83"/>
      <c r="GI333" s="405"/>
      <c r="GO333" s="83"/>
      <c r="GW333" s="405"/>
      <c r="HC333" s="83"/>
      <c r="HK333" s="405"/>
      <c r="HQ333" s="83"/>
      <c r="HY333" s="405"/>
      <c r="IE333" s="83"/>
      <c r="IM333" s="405"/>
      <c r="IS333" s="83"/>
      <c r="JA333" s="405"/>
      <c r="JG333" s="83"/>
      <c r="JO333" s="405"/>
      <c r="JU333" s="83"/>
      <c r="KC333" s="405"/>
      <c r="KI333" s="83"/>
      <c r="KQ333" s="405"/>
      <c r="KW333" s="83"/>
      <c r="LE333" s="405"/>
      <c r="LK333" s="83"/>
      <c r="LS333" s="405"/>
      <c r="LY333" s="83"/>
      <c r="MG333" s="405"/>
      <c r="MM333" s="83"/>
      <c r="MU333" s="405"/>
      <c r="NA333" s="83"/>
    </row>
    <row r="334">
      <c r="A334" s="483"/>
      <c r="B334" s="380"/>
      <c r="C334" s="380"/>
      <c r="D334" s="380"/>
      <c r="E334" s="380"/>
      <c r="F334" s="380"/>
      <c r="G334" s="380"/>
      <c r="H334" s="380"/>
      <c r="I334" s="403"/>
      <c r="J334" s="380"/>
      <c r="K334" s="380"/>
      <c r="L334" s="380"/>
      <c r="M334" s="380"/>
      <c r="N334" s="380"/>
      <c r="O334" s="404"/>
      <c r="P334" s="380"/>
      <c r="Q334" s="380"/>
      <c r="R334" s="380"/>
      <c r="S334" s="380"/>
      <c r="T334" s="380"/>
      <c r="U334" s="380"/>
      <c r="V334" s="380"/>
      <c r="W334" s="403"/>
      <c r="X334" s="380"/>
      <c r="Y334" s="380"/>
      <c r="Z334" s="380"/>
      <c r="AA334" s="380"/>
      <c r="AB334" s="380"/>
      <c r="AC334" s="404"/>
      <c r="AD334" s="380"/>
      <c r="AE334" s="380"/>
      <c r="AF334" s="380"/>
      <c r="AG334" s="380"/>
      <c r="AH334" s="380"/>
      <c r="AI334" s="380"/>
      <c r="AJ334" s="380"/>
      <c r="AK334" s="403"/>
      <c r="AL334" s="380"/>
      <c r="AM334" s="380"/>
      <c r="AN334" s="380"/>
      <c r="AO334" s="380"/>
      <c r="AP334" s="380"/>
      <c r="AQ334" s="404"/>
      <c r="AR334" s="380"/>
      <c r="AS334" s="380"/>
      <c r="AT334" s="380"/>
      <c r="AU334" s="380"/>
      <c r="AV334" s="380"/>
      <c r="AW334" s="380"/>
      <c r="AX334" s="380"/>
      <c r="AY334" s="403"/>
      <c r="AZ334" s="380"/>
      <c r="BA334" s="380"/>
      <c r="BB334" s="380"/>
      <c r="BC334" s="380"/>
      <c r="BD334" s="380"/>
      <c r="BE334" s="404"/>
      <c r="BF334" s="380"/>
      <c r="BG334" s="380"/>
      <c r="BH334" s="380"/>
      <c r="BI334" s="380"/>
      <c r="BJ334" s="380"/>
      <c r="BK334" s="380"/>
      <c r="BL334" s="380"/>
      <c r="BM334" s="403"/>
      <c r="BS334" s="83"/>
      <c r="CA334" s="405"/>
      <c r="CG334" s="83"/>
      <c r="CO334" s="405"/>
      <c r="CU334" s="83"/>
      <c r="DC334" s="405"/>
      <c r="DI334" s="83"/>
      <c r="DQ334" s="405"/>
      <c r="DW334" s="83"/>
      <c r="EE334" s="405"/>
      <c r="EK334" s="83"/>
      <c r="ES334" s="405"/>
      <c r="EY334" s="83"/>
      <c r="FG334" s="405"/>
      <c r="FM334" s="83"/>
      <c r="FU334" s="405"/>
      <c r="GA334" s="83"/>
      <c r="GI334" s="405"/>
      <c r="GO334" s="83"/>
      <c r="GW334" s="405"/>
      <c r="HC334" s="83"/>
      <c r="HK334" s="405"/>
      <c r="HQ334" s="83"/>
      <c r="HY334" s="405"/>
      <c r="IE334" s="83"/>
      <c r="IM334" s="405"/>
      <c r="IS334" s="83"/>
      <c r="JA334" s="405"/>
      <c r="JG334" s="83"/>
      <c r="JO334" s="405"/>
      <c r="JU334" s="83"/>
      <c r="KC334" s="405"/>
      <c r="KI334" s="83"/>
      <c r="KQ334" s="405"/>
      <c r="KW334" s="83"/>
      <c r="LE334" s="405"/>
      <c r="LK334" s="83"/>
      <c r="LS334" s="405"/>
      <c r="LY334" s="83"/>
      <c r="MG334" s="405"/>
      <c r="MM334" s="83"/>
      <c r="MU334" s="405"/>
      <c r="NA334" s="83"/>
    </row>
    <row r="335">
      <c r="A335" s="483"/>
      <c r="B335" s="380"/>
      <c r="C335" s="380"/>
      <c r="D335" s="380"/>
      <c r="E335" s="380"/>
      <c r="F335" s="380"/>
      <c r="G335" s="380"/>
      <c r="H335" s="380"/>
      <c r="I335" s="403"/>
      <c r="J335" s="380"/>
      <c r="K335" s="380"/>
      <c r="L335" s="380"/>
      <c r="M335" s="380"/>
      <c r="N335" s="380"/>
      <c r="O335" s="404"/>
      <c r="P335" s="380"/>
      <c r="Q335" s="380"/>
      <c r="R335" s="380"/>
      <c r="S335" s="380"/>
      <c r="T335" s="380"/>
      <c r="U335" s="380"/>
      <c r="V335" s="380"/>
      <c r="W335" s="403"/>
      <c r="X335" s="380"/>
      <c r="Y335" s="380"/>
      <c r="Z335" s="380"/>
      <c r="AA335" s="380"/>
      <c r="AB335" s="380"/>
      <c r="AC335" s="404"/>
      <c r="AD335" s="380"/>
      <c r="AE335" s="380"/>
      <c r="AF335" s="380"/>
      <c r="AG335" s="380"/>
      <c r="AH335" s="380"/>
      <c r="AI335" s="380"/>
      <c r="AJ335" s="380"/>
      <c r="AK335" s="403"/>
      <c r="AL335" s="380"/>
      <c r="AM335" s="380"/>
      <c r="AN335" s="380"/>
      <c r="AO335" s="380"/>
      <c r="AP335" s="380"/>
      <c r="AQ335" s="404"/>
      <c r="AR335" s="380"/>
      <c r="AS335" s="380"/>
      <c r="AT335" s="380"/>
      <c r="AU335" s="380"/>
      <c r="AV335" s="380"/>
      <c r="AW335" s="380"/>
      <c r="AX335" s="380"/>
      <c r="AY335" s="403"/>
      <c r="AZ335" s="380"/>
      <c r="BA335" s="380"/>
      <c r="BB335" s="380"/>
      <c r="BC335" s="380"/>
      <c r="BD335" s="380"/>
      <c r="BE335" s="404"/>
      <c r="BF335" s="380"/>
      <c r="BG335" s="380"/>
      <c r="BH335" s="380"/>
      <c r="BI335" s="380"/>
      <c r="BJ335" s="380"/>
      <c r="BK335" s="380"/>
      <c r="BL335" s="380"/>
      <c r="BM335" s="403"/>
      <c r="BS335" s="83"/>
      <c r="CA335" s="405"/>
      <c r="CG335" s="83"/>
      <c r="CO335" s="405"/>
      <c r="CU335" s="83"/>
      <c r="DC335" s="405"/>
      <c r="DI335" s="83"/>
      <c r="DQ335" s="405"/>
      <c r="DW335" s="83"/>
      <c r="EE335" s="405"/>
      <c r="EK335" s="83"/>
      <c r="ES335" s="405"/>
      <c r="EY335" s="83"/>
      <c r="FG335" s="405"/>
      <c r="FM335" s="83"/>
      <c r="FU335" s="405"/>
      <c r="GA335" s="83"/>
      <c r="GI335" s="405"/>
      <c r="GO335" s="83"/>
      <c r="GW335" s="405"/>
      <c r="HC335" s="83"/>
      <c r="HK335" s="405"/>
      <c r="HQ335" s="83"/>
      <c r="HY335" s="405"/>
      <c r="IE335" s="83"/>
      <c r="IM335" s="405"/>
      <c r="IS335" s="83"/>
      <c r="JA335" s="405"/>
      <c r="JG335" s="83"/>
      <c r="JO335" s="405"/>
      <c r="JU335" s="83"/>
      <c r="KC335" s="405"/>
      <c r="KI335" s="83"/>
      <c r="KQ335" s="405"/>
      <c r="KW335" s="83"/>
      <c r="LE335" s="405"/>
      <c r="LK335" s="83"/>
      <c r="LS335" s="405"/>
      <c r="LY335" s="83"/>
      <c r="MG335" s="405"/>
      <c r="MM335" s="83"/>
      <c r="MU335" s="405"/>
      <c r="NA335" s="83"/>
    </row>
    <row r="336">
      <c r="A336" s="483"/>
      <c r="B336" s="380"/>
      <c r="C336" s="380"/>
      <c r="D336" s="380"/>
      <c r="E336" s="380"/>
      <c r="F336" s="380"/>
      <c r="G336" s="380"/>
      <c r="H336" s="380"/>
      <c r="I336" s="403"/>
      <c r="J336" s="380"/>
      <c r="K336" s="380"/>
      <c r="L336" s="380"/>
      <c r="M336" s="380"/>
      <c r="N336" s="380"/>
      <c r="O336" s="404"/>
      <c r="P336" s="380"/>
      <c r="Q336" s="380"/>
      <c r="R336" s="380"/>
      <c r="S336" s="380"/>
      <c r="T336" s="380"/>
      <c r="U336" s="380"/>
      <c r="V336" s="380"/>
      <c r="W336" s="403"/>
      <c r="X336" s="380"/>
      <c r="Y336" s="380"/>
      <c r="Z336" s="380"/>
      <c r="AA336" s="380"/>
      <c r="AB336" s="380"/>
      <c r="AC336" s="404"/>
      <c r="AD336" s="380"/>
      <c r="AE336" s="380"/>
      <c r="AF336" s="380"/>
      <c r="AG336" s="380"/>
      <c r="AH336" s="380"/>
      <c r="AI336" s="380"/>
      <c r="AJ336" s="380"/>
      <c r="AK336" s="403"/>
      <c r="AL336" s="380"/>
      <c r="AM336" s="380"/>
      <c r="AN336" s="380"/>
      <c r="AO336" s="380"/>
      <c r="AP336" s="380"/>
      <c r="AQ336" s="404"/>
      <c r="AR336" s="380"/>
      <c r="AS336" s="380"/>
      <c r="AT336" s="380"/>
      <c r="AU336" s="380"/>
      <c r="AV336" s="380"/>
      <c r="AW336" s="380"/>
      <c r="AX336" s="380"/>
      <c r="AY336" s="403"/>
      <c r="AZ336" s="380"/>
      <c r="BA336" s="380"/>
      <c r="BB336" s="380"/>
      <c r="BC336" s="380"/>
      <c r="BD336" s="380"/>
      <c r="BE336" s="404"/>
      <c r="BF336" s="380"/>
      <c r="BG336" s="380"/>
      <c r="BH336" s="380"/>
      <c r="BI336" s="380"/>
      <c r="BJ336" s="380"/>
      <c r="BK336" s="380"/>
      <c r="BL336" s="380"/>
      <c r="BM336" s="403"/>
      <c r="BS336" s="83"/>
      <c r="CA336" s="405"/>
      <c r="CG336" s="83"/>
      <c r="CO336" s="405"/>
      <c r="CU336" s="83"/>
      <c r="DC336" s="405"/>
      <c r="DI336" s="83"/>
      <c r="DQ336" s="405"/>
      <c r="DW336" s="83"/>
      <c r="EE336" s="405"/>
      <c r="EK336" s="83"/>
      <c r="ES336" s="405"/>
      <c r="EY336" s="83"/>
      <c r="FG336" s="405"/>
      <c r="FM336" s="83"/>
      <c r="FU336" s="405"/>
      <c r="GA336" s="83"/>
      <c r="GI336" s="405"/>
      <c r="GO336" s="83"/>
      <c r="GW336" s="405"/>
      <c r="HC336" s="83"/>
      <c r="HK336" s="405"/>
      <c r="HQ336" s="83"/>
      <c r="HY336" s="405"/>
      <c r="IE336" s="83"/>
      <c r="IM336" s="405"/>
      <c r="IS336" s="83"/>
      <c r="JA336" s="405"/>
      <c r="JG336" s="83"/>
      <c r="JO336" s="405"/>
      <c r="JU336" s="83"/>
      <c r="KC336" s="405"/>
      <c r="KI336" s="83"/>
      <c r="KQ336" s="405"/>
      <c r="KW336" s="83"/>
      <c r="LE336" s="405"/>
      <c r="LK336" s="83"/>
      <c r="LS336" s="405"/>
      <c r="LY336" s="83"/>
      <c r="MG336" s="405"/>
      <c r="MM336" s="83"/>
      <c r="MU336" s="405"/>
      <c r="NA336" s="83"/>
    </row>
    <row r="337">
      <c r="A337" s="483"/>
      <c r="B337" s="380"/>
      <c r="C337" s="380"/>
      <c r="D337" s="380"/>
      <c r="E337" s="380"/>
      <c r="F337" s="380"/>
      <c r="G337" s="380"/>
      <c r="H337" s="380"/>
      <c r="I337" s="403"/>
      <c r="J337" s="380"/>
      <c r="K337" s="380"/>
      <c r="L337" s="380"/>
      <c r="M337" s="380"/>
      <c r="N337" s="380"/>
      <c r="O337" s="404"/>
      <c r="P337" s="380"/>
      <c r="Q337" s="380"/>
      <c r="R337" s="380"/>
      <c r="S337" s="380"/>
      <c r="T337" s="380"/>
      <c r="U337" s="380"/>
      <c r="V337" s="380"/>
      <c r="W337" s="403"/>
      <c r="X337" s="380"/>
      <c r="Y337" s="380"/>
      <c r="Z337" s="380"/>
      <c r="AA337" s="380"/>
      <c r="AB337" s="380"/>
      <c r="AC337" s="404"/>
      <c r="AD337" s="380"/>
      <c r="AE337" s="380"/>
      <c r="AF337" s="380"/>
      <c r="AG337" s="380"/>
      <c r="AH337" s="380"/>
      <c r="AI337" s="380"/>
      <c r="AJ337" s="380"/>
      <c r="AK337" s="403"/>
      <c r="AL337" s="380"/>
      <c r="AM337" s="380"/>
      <c r="AN337" s="380"/>
      <c r="AO337" s="380"/>
      <c r="AP337" s="380"/>
      <c r="AQ337" s="404"/>
      <c r="AR337" s="380"/>
      <c r="AS337" s="380"/>
      <c r="AT337" s="380"/>
      <c r="AU337" s="380"/>
      <c r="AV337" s="380"/>
      <c r="AW337" s="380"/>
      <c r="AX337" s="380"/>
      <c r="AY337" s="403"/>
      <c r="AZ337" s="380"/>
      <c r="BA337" s="380"/>
      <c r="BB337" s="380"/>
      <c r="BC337" s="380"/>
      <c r="BD337" s="380"/>
      <c r="BE337" s="404"/>
      <c r="BF337" s="380"/>
      <c r="BG337" s="380"/>
      <c r="BH337" s="380"/>
      <c r="BI337" s="380"/>
      <c r="BJ337" s="380"/>
      <c r="BK337" s="380"/>
      <c r="BL337" s="380"/>
      <c r="BM337" s="403"/>
      <c r="BS337" s="83"/>
      <c r="CA337" s="405"/>
      <c r="CG337" s="83"/>
      <c r="CO337" s="405"/>
      <c r="CU337" s="83"/>
      <c r="DC337" s="405"/>
      <c r="DI337" s="83"/>
      <c r="DQ337" s="405"/>
      <c r="DW337" s="83"/>
      <c r="EE337" s="405"/>
      <c r="EK337" s="83"/>
      <c r="ES337" s="405"/>
      <c r="EY337" s="83"/>
      <c r="FG337" s="405"/>
      <c r="FM337" s="83"/>
      <c r="FU337" s="405"/>
      <c r="GA337" s="83"/>
      <c r="GI337" s="405"/>
      <c r="GO337" s="83"/>
      <c r="GW337" s="405"/>
      <c r="HC337" s="83"/>
      <c r="HK337" s="405"/>
      <c r="HQ337" s="83"/>
      <c r="HY337" s="405"/>
      <c r="IE337" s="83"/>
      <c r="IM337" s="405"/>
      <c r="IS337" s="83"/>
      <c r="JA337" s="405"/>
      <c r="JG337" s="83"/>
      <c r="JO337" s="405"/>
      <c r="JU337" s="83"/>
      <c r="KC337" s="405"/>
      <c r="KI337" s="83"/>
      <c r="KQ337" s="405"/>
      <c r="KW337" s="83"/>
      <c r="LE337" s="405"/>
      <c r="LK337" s="83"/>
      <c r="LS337" s="405"/>
      <c r="LY337" s="83"/>
      <c r="MG337" s="405"/>
      <c r="MM337" s="83"/>
      <c r="MU337" s="405"/>
      <c r="NA337" s="83"/>
    </row>
    <row r="338">
      <c r="A338" s="483"/>
      <c r="B338" s="380"/>
      <c r="C338" s="380"/>
      <c r="D338" s="380"/>
      <c r="E338" s="380"/>
      <c r="F338" s="380"/>
      <c r="G338" s="380"/>
      <c r="H338" s="380"/>
      <c r="I338" s="403"/>
      <c r="J338" s="380"/>
      <c r="K338" s="380"/>
      <c r="L338" s="380"/>
      <c r="M338" s="380"/>
      <c r="N338" s="380"/>
      <c r="O338" s="404"/>
      <c r="P338" s="380"/>
      <c r="Q338" s="380"/>
      <c r="R338" s="380"/>
      <c r="S338" s="380"/>
      <c r="T338" s="380"/>
      <c r="U338" s="380"/>
      <c r="V338" s="380"/>
      <c r="W338" s="403"/>
      <c r="X338" s="380"/>
      <c r="Y338" s="380"/>
      <c r="Z338" s="380"/>
      <c r="AA338" s="380"/>
      <c r="AB338" s="380"/>
      <c r="AC338" s="404"/>
      <c r="AD338" s="380"/>
      <c r="AE338" s="380"/>
      <c r="AF338" s="380"/>
      <c r="AG338" s="380"/>
      <c r="AH338" s="380"/>
      <c r="AI338" s="380"/>
      <c r="AJ338" s="380"/>
      <c r="AK338" s="403"/>
      <c r="AL338" s="380"/>
      <c r="AM338" s="380"/>
      <c r="AN338" s="380"/>
      <c r="AO338" s="380"/>
      <c r="AP338" s="380"/>
      <c r="AQ338" s="404"/>
      <c r="AR338" s="380"/>
      <c r="AS338" s="380"/>
      <c r="AT338" s="380"/>
      <c r="AU338" s="380"/>
      <c r="AV338" s="380"/>
      <c r="AW338" s="380"/>
      <c r="AX338" s="380"/>
      <c r="AY338" s="403"/>
      <c r="AZ338" s="380"/>
      <c r="BA338" s="380"/>
      <c r="BB338" s="380"/>
      <c r="BC338" s="380"/>
      <c r="BD338" s="380"/>
      <c r="BE338" s="404"/>
      <c r="BF338" s="380"/>
      <c r="BG338" s="380"/>
      <c r="BH338" s="380"/>
      <c r="BI338" s="380"/>
      <c r="BJ338" s="380"/>
      <c r="BK338" s="380"/>
      <c r="BL338" s="380"/>
      <c r="BM338" s="403"/>
      <c r="BS338" s="83"/>
      <c r="CA338" s="405"/>
      <c r="CG338" s="83"/>
      <c r="CO338" s="405"/>
      <c r="CU338" s="83"/>
      <c r="DC338" s="405"/>
      <c r="DI338" s="83"/>
      <c r="DQ338" s="405"/>
      <c r="DW338" s="83"/>
      <c r="EE338" s="405"/>
      <c r="EK338" s="83"/>
      <c r="ES338" s="405"/>
      <c r="EY338" s="83"/>
      <c r="FG338" s="405"/>
      <c r="FM338" s="83"/>
      <c r="FU338" s="405"/>
      <c r="GA338" s="83"/>
      <c r="GI338" s="405"/>
      <c r="GO338" s="83"/>
      <c r="GW338" s="405"/>
      <c r="HC338" s="83"/>
      <c r="HK338" s="405"/>
      <c r="HQ338" s="83"/>
      <c r="HY338" s="405"/>
      <c r="IE338" s="83"/>
      <c r="IM338" s="405"/>
      <c r="IS338" s="83"/>
      <c r="JA338" s="405"/>
      <c r="JG338" s="83"/>
      <c r="JO338" s="405"/>
      <c r="JU338" s="83"/>
      <c r="KC338" s="405"/>
      <c r="KI338" s="83"/>
      <c r="KQ338" s="405"/>
      <c r="KW338" s="83"/>
      <c r="LE338" s="405"/>
      <c r="LK338" s="83"/>
      <c r="LS338" s="405"/>
      <c r="LY338" s="83"/>
      <c r="MG338" s="405"/>
      <c r="MM338" s="83"/>
      <c r="MU338" s="405"/>
      <c r="NA338" s="83"/>
    </row>
    <row r="339">
      <c r="A339" s="483"/>
      <c r="B339" s="380"/>
      <c r="C339" s="380"/>
      <c r="D339" s="380"/>
      <c r="E339" s="380"/>
      <c r="F339" s="380"/>
      <c r="G339" s="380"/>
      <c r="H339" s="380"/>
      <c r="I339" s="403"/>
      <c r="J339" s="380"/>
      <c r="K339" s="380"/>
      <c r="L339" s="380"/>
      <c r="M339" s="380"/>
      <c r="N339" s="380"/>
      <c r="O339" s="404"/>
      <c r="P339" s="380"/>
      <c r="Q339" s="380"/>
      <c r="R339" s="380"/>
      <c r="S339" s="380"/>
      <c r="T339" s="380"/>
      <c r="U339" s="380"/>
      <c r="V339" s="380"/>
      <c r="W339" s="403"/>
      <c r="X339" s="380"/>
      <c r="Y339" s="380"/>
      <c r="Z339" s="380"/>
      <c r="AA339" s="380"/>
      <c r="AB339" s="380"/>
      <c r="AC339" s="404"/>
      <c r="AD339" s="380"/>
      <c r="AE339" s="380"/>
      <c r="AF339" s="380"/>
      <c r="AG339" s="380"/>
      <c r="AH339" s="380"/>
      <c r="AI339" s="380"/>
      <c r="AJ339" s="380"/>
      <c r="AK339" s="403"/>
      <c r="AL339" s="380"/>
      <c r="AM339" s="380"/>
      <c r="AN339" s="380"/>
      <c r="AO339" s="380"/>
      <c r="AP339" s="380"/>
      <c r="AQ339" s="404"/>
      <c r="AR339" s="380"/>
      <c r="AS339" s="380"/>
      <c r="AT339" s="380"/>
      <c r="AU339" s="380"/>
      <c r="AV339" s="380"/>
      <c r="AW339" s="380"/>
      <c r="AX339" s="380"/>
      <c r="AY339" s="403"/>
      <c r="AZ339" s="380"/>
      <c r="BA339" s="380"/>
      <c r="BB339" s="380"/>
      <c r="BC339" s="380"/>
      <c r="BD339" s="380"/>
      <c r="BE339" s="404"/>
      <c r="BF339" s="380"/>
      <c r="BG339" s="380"/>
      <c r="BH339" s="380"/>
      <c r="BI339" s="380"/>
      <c r="BJ339" s="380"/>
      <c r="BK339" s="380"/>
      <c r="BL339" s="380"/>
      <c r="BM339" s="403"/>
      <c r="BS339" s="83"/>
      <c r="CA339" s="405"/>
      <c r="CG339" s="83"/>
      <c r="CO339" s="405"/>
      <c r="CU339" s="83"/>
      <c r="DC339" s="405"/>
      <c r="DI339" s="83"/>
      <c r="DQ339" s="405"/>
      <c r="DW339" s="83"/>
      <c r="EE339" s="405"/>
      <c r="EK339" s="83"/>
      <c r="ES339" s="405"/>
      <c r="EY339" s="83"/>
      <c r="FG339" s="405"/>
      <c r="FM339" s="83"/>
      <c r="FU339" s="405"/>
      <c r="GA339" s="83"/>
      <c r="GI339" s="405"/>
      <c r="GO339" s="83"/>
      <c r="GW339" s="405"/>
      <c r="HC339" s="83"/>
      <c r="HK339" s="405"/>
      <c r="HQ339" s="83"/>
      <c r="HY339" s="405"/>
      <c r="IE339" s="83"/>
      <c r="IM339" s="405"/>
      <c r="IS339" s="83"/>
      <c r="JA339" s="405"/>
      <c r="JG339" s="83"/>
      <c r="JO339" s="405"/>
      <c r="JU339" s="83"/>
      <c r="KC339" s="405"/>
      <c r="KI339" s="83"/>
      <c r="KQ339" s="405"/>
      <c r="KW339" s="83"/>
      <c r="LE339" s="405"/>
      <c r="LK339" s="83"/>
      <c r="LS339" s="405"/>
      <c r="LY339" s="83"/>
      <c r="MG339" s="405"/>
      <c r="MM339" s="83"/>
      <c r="MU339" s="405"/>
      <c r="NA339" s="83"/>
    </row>
    <row r="340">
      <c r="A340" s="483"/>
      <c r="B340" s="380"/>
      <c r="C340" s="380"/>
      <c r="D340" s="380"/>
      <c r="E340" s="380"/>
      <c r="F340" s="380"/>
      <c r="G340" s="380"/>
      <c r="H340" s="380"/>
      <c r="I340" s="403"/>
      <c r="J340" s="380"/>
      <c r="K340" s="380"/>
      <c r="L340" s="380"/>
      <c r="M340" s="380"/>
      <c r="N340" s="380"/>
      <c r="O340" s="404"/>
      <c r="P340" s="380"/>
      <c r="Q340" s="380"/>
      <c r="R340" s="380"/>
      <c r="S340" s="380"/>
      <c r="T340" s="380"/>
      <c r="U340" s="380"/>
      <c r="V340" s="380"/>
      <c r="W340" s="403"/>
      <c r="X340" s="380"/>
      <c r="Y340" s="380"/>
      <c r="Z340" s="380"/>
      <c r="AA340" s="380"/>
      <c r="AB340" s="380"/>
      <c r="AC340" s="404"/>
      <c r="AD340" s="380"/>
      <c r="AE340" s="380"/>
      <c r="AF340" s="380"/>
      <c r="AG340" s="380"/>
      <c r="AH340" s="380"/>
      <c r="AI340" s="380"/>
      <c r="AJ340" s="380"/>
      <c r="AK340" s="403"/>
      <c r="AL340" s="380"/>
      <c r="AM340" s="380"/>
      <c r="AN340" s="380"/>
      <c r="AO340" s="380"/>
      <c r="AP340" s="380"/>
      <c r="AQ340" s="404"/>
      <c r="AR340" s="380"/>
      <c r="AS340" s="380"/>
      <c r="AT340" s="380"/>
      <c r="AU340" s="380"/>
      <c r="AV340" s="380"/>
      <c r="AW340" s="380"/>
      <c r="AX340" s="380"/>
      <c r="AY340" s="403"/>
      <c r="AZ340" s="380"/>
      <c r="BA340" s="380"/>
      <c r="BB340" s="380"/>
      <c r="BC340" s="380"/>
      <c r="BD340" s="380"/>
      <c r="BE340" s="404"/>
      <c r="BF340" s="380"/>
      <c r="BG340" s="380"/>
      <c r="BH340" s="380"/>
      <c r="BI340" s="380"/>
      <c r="BJ340" s="380"/>
      <c r="BK340" s="380"/>
      <c r="BL340" s="380"/>
      <c r="BM340" s="403"/>
      <c r="BS340" s="83"/>
      <c r="CA340" s="405"/>
      <c r="CG340" s="83"/>
      <c r="CO340" s="405"/>
      <c r="CU340" s="83"/>
      <c r="DC340" s="405"/>
      <c r="DI340" s="83"/>
      <c r="DQ340" s="405"/>
      <c r="DW340" s="83"/>
      <c r="EE340" s="405"/>
      <c r="EK340" s="83"/>
      <c r="ES340" s="405"/>
      <c r="EY340" s="83"/>
      <c r="FG340" s="405"/>
      <c r="FM340" s="83"/>
      <c r="FU340" s="405"/>
      <c r="GA340" s="83"/>
      <c r="GI340" s="405"/>
      <c r="GO340" s="83"/>
      <c r="GW340" s="405"/>
      <c r="HC340" s="83"/>
      <c r="HK340" s="405"/>
      <c r="HQ340" s="83"/>
      <c r="HY340" s="405"/>
      <c r="IE340" s="83"/>
      <c r="IM340" s="405"/>
      <c r="IS340" s="83"/>
      <c r="JA340" s="405"/>
      <c r="JG340" s="83"/>
      <c r="JO340" s="405"/>
      <c r="JU340" s="83"/>
      <c r="KC340" s="405"/>
      <c r="KI340" s="83"/>
      <c r="KQ340" s="405"/>
      <c r="KW340" s="83"/>
      <c r="LE340" s="405"/>
      <c r="LK340" s="83"/>
      <c r="LS340" s="405"/>
      <c r="LY340" s="83"/>
      <c r="MG340" s="405"/>
      <c r="MM340" s="83"/>
      <c r="MU340" s="405"/>
      <c r="NA340" s="83"/>
    </row>
    <row r="341">
      <c r="A341" s="483"/>
      <c r="B341" s="380"/>
      <c r="C341" s="380"/>
      <c r="D341" s="380"/>
      <c r="E341" s="380"/>
      <c r="F341" s="380"/>
      <c r="G341" s="380"/>
      <c r="H341" s="380"/>
      <c r="I341" s="403"/>
      <c r="J341" s="380"/>
      <c r="K341" s="380"/>
      <c r="L341" s="380"/>
      <c r="M341" s="380"/>
      <c r="N341" s="380"/>
      <c r="O341" s="404"/>
      <c r="P341" s="380"/>
      <c r="Q341" s="380"/>
      <c r="R341" s="380"/>
      <c r="S341" s="380"/>
      <c r="T341" s="380"/>
      <c r="U341" s="380"/>
      <c r="V341" s="380"/>
      <c r="W341" s="403"/>
      <c r="X341" s="380"/>
      <c r="Y341" s="380"/>
      <c r="Z341" s="380"/>
      <c r="AA341" s="380"/>
      <c r="AB341" s="380"/>
      <c r="AC341" s="404"/>
      <c r="AD341" s="380"/>
      <c r="AE341" s="380"/>
      <c r="AF341" s="380"/>
      <c r="AG341" s="380"/>
      <c r="AH341" s="380"/>
      <c r="AI341" s="380"/>
      <c r="AJ341" s="380"/>
      <c r="AK341" s="403"/>
      <c r="AL341" s="380"/>
      <c r="AM341" s="380"/>
      <c r="AN341" s="380"/>
      <c r="AO341" s="380"/>
      <c r="AP341" s="380"/>
      <c r="AQ341" s="404"/>
      <c r="AR341" s="380"/>
      <c r="AS341" s="380"/>
      <c r="AT341" s="380"/>
      <c r="AU341" s="380"/>
      <c r="AV341" s="380"/>
      <c r="AW341" s="380"/>
      <c r="AX341" s="380"/>
      <c r="AY341" s="403"/>
      <c r="AZ341" s="380"/>
      <c r="BA341" s="380"/>
      <c r="BB341" s="380"/>
      <c r="BC341" s="380"/>
      <c r="BD341" s="380"/>
      <c r="BE341" s="404"/>
      <c r="BF341" s="380"/>
      <c r="BG341" s="380"/>
      <c r="BH341" s="380"/>
      <c r="BI341" s="380"/>
      <c r="BJ341" s="380"/>
      <c r="BK341" s="380"/>
      <c r="BL341" s="380"/>
      <c r="BM341" s="403"/>
      <c r="BS341" s="83"/>
      <c r="CA341" s="405"/>
      <c r="CG341" s="83"/>
      <c r="CO341" s="405"/>
      <c r="CU341" s="83"/>
      <c r="DC341" s="405"/>
      <c r="DI341" s="83"/>
      <c r="DQ341" s="405"/>
      <c r="DW341" s="83"/>
      <c r="EE341" s="405"/>
      <c r="EK341" s="83"/>
      <c r="ES341" s="405"/>
      <c r="EY341" s="83"/>
      <c r="FG341" s="405"/>
      <c r="FM341" s="83"/>
      <c r="FU341" s="405"/>
      <c r="GA341" s="83"/>
      <c r="GI341" s="405"/>
      <c r="GO341" s="83"/>
      <c r="GW341" s="405"/>
      <c r="HC341" s="83"/>
      <c r="HK341" s="405"/>
      <c r="HQ341" s="83"/>
      <c r="HY341" s="405"/>
      <c r="IE341" s="83"/>
      <c r="IM341" s="405"/>
      <c r="IS341" s="83"/>
      <c r="JA341" s="405"/>
      <c r="JG341" s="83"/>
      <c r="JO341" s="405"/>
      <c r="JU341" s="83"/>
      <c r="KC341" s="405"/>
      <c r="KI341" s="83"/>
      <c r="KQ341" s="405"/>
      <c r="KW341" s="83"/>
      <c r="LE341" s="405"/>
      <c r="LK341" s="83"/>
      <c r="LS341" s="405"/>
      <c r="LY341" s="83"/>
      <c r="MG341" s="405"/>
      <c r="MM341" s="83"/>
      <c r="MU341" s="405"/>
      <c r="NA341" s="83"/>
    </row>
    <row r="342">
      <c r="A342" s="483"/>
      <c r="B342" s="380"/>
      <c r="C342" s="380"/>
      <c r="D342" s="380"/>
      <c r="E342" s="380"/>
      <c r="F342" s="380"/>
      <c r="G342" s="380"/>
      <c r="H342" s="380"/>
      <c r="I342" s="403"/>
      <c r="J342" s="380"/>
      <c r="K342" s="380"/>
      <c r="L342" s="380"/>
      <c r="M342" s="380"/>
      <c r="N342" s="380"/>
      <c r="O342" s="404"/>
      <c r="P342" s="380"/>
      <c r="Q342" s="380"/>
      <c r="R342" s="380"/>
      <c r="S342" s="380"/>
      <c r="T342" s="380"/>
      <c r="U342" s="380"/>
      <c r="V342" s="380"/>
      <c r="W342" s="403"/>
      <c r="X342" s="380"/>
      <c r="Y342" s="380"/>
      <c r="Z342" s="380"/>
      <c r="AA342" s="380"/>
      <c r="AB342" s="380"/>
      <c r="AC342" s="404"/>
      <c r="AD342" s="380"/>
      <c r="AE342" s="380"/>
      <c r="AF342" s="380"/>
      <c r="AG342" s="380"/>
      <c r="AH342" s="380"/>
      <c r="AI342" s="380"/>
      <c r="AJ342" s="380"/>
      <c r="AK342" s="403"/>
      <c r="AL342" s="380"/>
      <c r="AM342" s="380"/>
      <c r="AN342" s="380"/>
      <c r="AO342" s="380"/>
      <c r="AP342" s="380"/>
      <c r="AQ342" s="404"/>
      <c r="AR342" s="380"/>
      <c r="AS342" s="380"/>
      <c r="AT342" s="380"/>
      <c r="AU342" s="380"/>
      <c r="AV342" s="380"/>
      <c r="AW342" s="380"/>
      <c r="AX342" s="380"/>
      <c r="AY342" s="403"/>
      <c r="AZ342" s="380"/>
      <c r="BA342" s="380"/>
      <c r="BB342" s="380"/>
      <c r="BC342" s="380"/>
      <c r="BD342" s="380"/>
      <c r="BE342" s="404"/>
      <c r="BF342" s="380"/>
      <c r="BG342" s="380"/>
      <c r="BH342" s="380"/>
      <c r="BI342" s="380"/>
      <c r="BJ342" s="380"/>
      <c r="BK342" s="380"/>
      <c r="BL342" s="380"/>
      <c r="BM342" s="403"/>
      <c r="BS342" s="83"/>
      <c r="CA342" s="405"/>
      <c r="CG342" s="83"/>
      <c r="CO342" s="405"/>
      <c r="CU342" s="83"/>
      <c r="DC342" s="405"/>
      <c r="DI342" s="83"/>
      <c r="DQ342" s="405"/>
      <c r="DW342" s="83"/>
      <c r="EE342" s="405"/>
      <c r="EK342" s="83"/>
      <c r="ES342" s="405"/>
      <c r="EY342" s="83"/>
      <c r="FG342" s="405"/>
      <c r="FM342" s="83"/>
      <c r="FU342" s="405"/>
      <c r="GA342" s="83"/>
      <c r="GI342" s="405"/>
      <c r="GO342" s="83"/>
      <c r="GW342" s="405"/>
      <c r="HC342" s="83"/>
      <c r="HK342" s="405"/>
      <c r="HQ342" s="83"/>
      <c r="HY342" s="405"/>
      <c r="IE342" s="83"/>
      <c r="IM342" s="405"/>
      <c r="IS342" s="83"/>
      <c r="JA342" s="405"/>
      <c r="JG342" s="83"/>
      <c r="JO342" s="405"/>
      <c r="JU342" s="83"/>
      <c r="KC342" s="405"/>
      <c r="KI342" s="83"/>
      <c r="KQ342" s="405"/>
      <c r="KW342" s="83"/>
      <c r="LE342" s="405"/>
      <c r="LK342" s="83"/>
      <c r="LS342" s="405"/>
      <c r="LY342" s="83"/>
      <c r="MG342" s="405"/>
      <c r="MM342" s="83"/>
      <c r="MU342" s="405"/>
      <c r="NA342" s="83"/>
    </row>
    <row r="343">
      <c r="A343" s="483"/>
      <c r="B343" s="380"/>
      <c r="C343" s="380"/>
      <c r="D343" s="380"/>
      <c r="E343" s="380"/>
      <c r="F343" s="380"/>
      <c r="G343" s="380"/>
      <c r="H343" s="380"/>
      <c r="I343" s="403"/>
      <c r="J343" s="380"/>
      <c r="K343" s="380"/>
      <c r="L343" s="380"/>
      <c r="M343" s="380"/>
      <c r="N343" s="380"/>
      <c r="O343" s="404"/>
      <c r="P343" s="380"/>
      <c r="Q343" s="380"/>
      <c r="R343" s="380"/>
      <c r="S343" s="380"/>
      <c r="T343" s="380"/>
      <c r="U343" s="380"/>
      <c r="V343" s="380"/>
      <c r="W343" s="403"/>
      <c r="X343" s="380"/>
      <c r="Y343" s="380"/>
      <c r="Z343" s="380"/>
      <c r="AA343" s="380"/>
      <c r="AB343" s="380"/>
      <c r="AC343" s="404"/>
      <c r="AD343" s="380"/>
      <c r="AE343" s="380"/>
      <c r="AF343" s="380"/>
      <c r="AG343" s="380"/>
      <c r="AH343" s="380"/>
      <c r="AI343" s="380"/>
      <c r="AJ343" s="380"/>
      <c r="AK343" s="403"/>
      <c r="AL343" s="380"/>
      <c r="AM343" s="380"/>
      <c r="AN343" s="380"/>
      <c r="AO343" s="380"/>
      <c r="AP343" s="380"/>
      <c r="AQ343" s="404"/>
      <c r="AR343" s="380"/>
      <c r="AS343" s="380"/>
      <c r="AT343" s="380"/>
      <c r="AU343" s="380"/>
      <c r="AV343" s="380"/>
      <c r="AW343" s="380"/>
      <c r="AX343" s="380"/>
      <c r="AY343" s="403"/>
      <c r="AZ343" s="380"/>
      <c r="BA343" s="380"/>
      <c r="BB343" s="380"/>
      <c r="BC343" s="380"/>
      <c r="BD343" s="380"/>
      <c r="BE343" s="404"/>
      <c r="BF343" s="380"/>
      <c r="BG343" s="380"/>
      <c r="BH343" s="380"/>
      <c r="BI343" s="380"/>
      <c r="BJ343" s="380"/>
      <c r="BK343" s="380"/>
      <c r="BL343" s="380"/>
      <c r="BM343" s="403"/>
      <c r="BS343" s="83"/>
      <c r="CA343" s="405"/>
      <c r="CG343" s="83"/>
      <c r="CO343" s="405"/>
      <c r="CU343" s="83"/>
      <c r="DC343" s="405"/>
      <c r="DI343" s="83"/>
      <c r="DQ343" s="405"/>
      <c r="DW343" s="83"/>
      <c r="EE343" s="405"/>
      <c r="EK343" s="83"/>
      <c r="ES343" s="405"/>
      <c r="EY343" s="83"/>
      <c r="FG343" s="405"/>
      <c r="FM343" s="83"/>
      <c r="FU343" s="405"/>
      <c r="GA343" s="83"/>
      <c r="GI343" s="405"/>
      <c r="GO343" s="83"/>
      <c r="GW343" s="405"/>
      <c r="HC343" s="83"/>
      <c r="HK343" s="405"/>
      <c r="HQ343" s="83"/>
      <c r="HY343" s="405"/>
      <c r="IE343" s="83"/>
      <c r="IM343" s="405"/>
      <c r="IS343" s="83"/>
      <c r="JA343" s="405"/>
      <c r="JG343" s="83"/>
      <c r="JO343" s="405"/>
      <c r="JU343" s="83"/>
      <c r="KC343" s="405"/>
      <c r="KI343" s="83"/>
      <c r="KQ343" s="405"/>
      <c r="KW343" s="83"/>
      <c r="LE343" s="405"/>
      <c r="LK343" s="83"/>
      <c r="LS343" s="405"/>
      <c r="LY343" s="83"/>
      <c r="MG343" s="405"/>
      <c r="MM343" s="83"/>
      <c r="MU343" s="405"/>
      <c r="NA343" s="83"/>
    </row>
    <row r="344">
      <c r="A344" s="483"/>
      <c r="B344" s="380"/>
      <c r="C344" s="380"/>
      <c r="D344" s="380"/>
      <c r="E344" s="380"/>
      <c r="F344" s="380"/>
      <c r="G344" s="380"/>
      <c r="H344" s="380"/>
      <c r="I344" s="403"/>
      <c r="J344" s="380"/>
      <c r="K344" s="380"/>
      <c r="L344" s="380"/>
      <c r="M344" s="380"/>
      <c r="N344" s="380"/>
      <c r="O344" s="404"/>
      <c r="P344" s="380"/>
      <c r="Q344" s="380"/>
      <c r="R344" s="380"/>
      <c r="S344" s="380"/>
      <c r="T344" s="380"/>
      <c r="U344" s="380"/>
      <c r="V344" s="380"/>
      <c r="W344" s="403"/>
      <c r="X344" s="380"/>
      <c r="Y344" s="380"/>
      <c r="Z344" s="380"/>
      <c r="AA344" s="380"/>
      <c r="AB344" s="380"/>
      <c r="AC344" s="404"/>
      <c r="AD344" s="380"/>
      <c r="AE344" s="380"/>
      <c r="AF344" s="380"/>
      <c r="AG344" s="380"/>
      <c r="AH344" s="380"/>
      <c r="AI344" s="380"/>
      <c r="AJ344" s="380"/>
      <c r="AK344" s="403"/>
      <c r="AL344" s="380"/>
      <c r="AM344" s="380"/>
      <c r="AN344" s="380"/>
      <c r="AO344" s="380"/>
      <c r="AP344" s="380"/>
      <c r="AQ344" s="404"/>
      <c r="AR344" s="380"/>
      <c r="AS344" s="380"/>
      <c r="AT344" s="380"/>
      <c r="AU344" s="380"/>
      <c r="AV344" s="380"/>
      <c r="AW344" s="380"/>
      <c r="AX344" s="380"/>
      <c r="AY344" s="403"/>
      <c r="AZ344" s="380"/>
      <c r="BA344" s="380"/>
      <c r="BB344" s="380"/>
      <c r="BC344" s="380"/>
      <c r="BD344" s="380"/>
      <c r="BE344" s="404"/>
      <c r="BF344" s="380"/>
      <c r="BG344" s="380"/>
      <c r="BH344" s="380"/>
      <c r="BI344" s="380"/>
      <c r="BJ344" s="380"/>
      <c r="BK344" s="380"/>
      <c r="BL344" s="380"/>
      <c r="BM344" s="403"/>
      <c r="BS344" s="83"/>
      <c r="CA344" s="405"/>
      <c r="CG344" s="83"/>
      <c r="CO344" s="405"/>
      <c r="CU344" s="83"/>
      <c r="DC344" s="405"/>
      <c r="DI344" s="83"/>
      <c r="DQ344" s="405"/>
      <c r="DW344" s="83"/>
      <c r="EE344" s="405"/>
      <c r="EK344" s="83"/>
      <c r="ES344" s="405"/>
      <c r="EY344" s="83"/>
      <c r="FG344" s="405"/>
      <c r="FM344" s="83"/>
      <c r="FU344" s="405"/>
      <c r="GA344" s="83"/>
      <c r="GI344" s="405"/>
      <c r="GO344" s="83"/>
      <c r="GW344" s="405"/>
      <c r="HC344" s="83"/>
      <c r="HK344" s="405"/>
      <c r="HQ344" s="83"/>
      <c r="HY344" s="405"/>
      <c r="IE344" s="83"/>
      <c r="IM344" s="405"/>
      <c r="IS344" s="83"/>
      <c r="JA344" s="405"/>
      <c r="JG344" s="83"/>
      <c r="JO344" s="405"/>
      <c r="JU344" s="83"/>
      <c r="KC344" s="405"/>
      <c r="KI344" s="83"/>
      <c r="KQ344" s="405"/>
      <c r="KW344" s="83"/>
      <c r="LE344" s="405"/>
      <c r="LK344" s="83"/>
      <c r="LS344" s="405"/>
      <c r="LY344" s="83"/>
      <c r="MG344" s="405"/>
      <c r="MM344" s="83"/>
      <c r="MU344" s="405"/>
      <c r="NA344" s="83"/>
    </row>
    <row r="345">
      <c r="A345" s="483"/>
      <c r="B345" s="380"/>
      <c r="C345" s="380"/>
      <c r="D345" s="380"/>
      <c r="E345" s="380"/>
      <c r="F345" s="380"/>
      <c r="G345" s="380"/>
      <c r="H345" s="380"/>
      <c r="I345" s="403"/>
      <c r="J345" s="380"/>
      <c r="K345" s="380"/>
      <c r="L345" s="380"/>
      <c r="M345" s="380"/>
      <c r="N345" s="380"/>
      <c r="O345" s="404"/>
      <c r="P345" s="380"/>
      <c r="Q345" s="380"/>
      <c r="R345" s="380"/>
      <c r="S345" s="380"/>
      <c r="T345" s="380"/>
      <c r="U345" s="380"/>
      <c r="V345" s="380"/>
      <c r="W345" s="403"/>
      <c r="X345" s="380"/>
      <c r="Y345" s="380"/>
      <c r="Z345" s="380"/>
      <c r="AA345" s="380"/>
      <c r="AB345" s="380"/>
      <c r="AC345" s="404"/>
      <c r="AD345" s="380"/>
      <c r="AE345" s="380"/>
      <c r="AF345" s="380"/>
      <c r="AG345" s="380"/>
      <c r="AH345" s="380"/>
      <c r="AI345" s="380"/>
      <c r="AJ345" s="380"/>
      <c r="AK345" s="403"/>
      <c r="AL345" s="380"/>
      <c r="AM345" s="380"/>
      <c r="AN345" s="380"/>
      <c r="AO345" s="380"/>
      <c r="AP345" s="380"/>
      <c r="AQ345" s="404"/>
      <c r="AR345" s="380"/>
      <c r="AS345" s="380"/>
      <c r="AT345" s="380"/>
      <c r="AU345" s="380"/>
      <c r="AV345" s="380"/>
      <c r="AW345" s="380"/>
      <c r="AX345" s="380"/>
      <c r="AY345" s="403"/>
      <c r="AZ345" s="380"/>
      <c r="BA345" s="380"/>
      <c r="BB345" s="380"/>
      <c r="BC345" s="380"/>
      <c r="BD345" s="380"/>
      <c r="BE345" s="404"/>
      <c r="BF345" s="380"/>
      <c r="BG345" s="380"/>
      <c r="BH345" s="380"/>
      <c r="BI345" s="380"/>
      <c r="BJ345" s="380"/>
      <c r="BK345" s="380"/>
      <c r="BL345" s="380"/>
      <c r="BM345" s="403"/>
      <c r="BS345" s="83"/>
      <c r="CA345" s="405"/>
      <c r="CG345" s="83"/>
      <c r="CO345" s="405"/>
      <c r="CU345" s="83"/>
      <c r="DC345" s="405"/>
      <c r="DI345" s="83"/>
      <c r="DQ345" s="405"/>
      <c r="DW345" s="83"/>
      <c r="EE345" s="405"/>
      <c r="EK345" s="83"/>
      <c r="ES345" s="405"/>
      <c r="EY345" s="83"/>
      <c r="FG345" s="405"/>
      <c r="FM345" s="83"/>
      <c r="FU345" s="405"/>
      <c r="GA345" s="83"/>
      <c r="GI345" s="405"/>
      <c r="GO345" s="83"/>
      <c r="GW345" s="405"/>
      <c r="HC345" s="83"/>
      <c r="HK345" s="405"/>
      <c r="HQ345" s="83"/>
      <c r="HY345" s="405"/>
      <c r="IE345" s="83"/>
      <c r="IM345" s="405"/>
      <c r="IS345" s="83"/>
      <c r="JA345" s="405"/>
      <c r="JG345" s="83"/>
      <c r="JO345" s="405"/>
      <c r="JU345" s="83"/>
      <c r="KC345" s="405"/>
      <c r="KI345" s="83"/>
      <c r="KQ345" s="405"/>
      <c r="KW345" s="83"/>
      <c r="LE345" s="405"/>
      <c r="LK345" s="83"/>
      <c r="LS345" s="405"/>
      <c r="LY345" s="83"/>
      <c r="MG345" s="405"/>
      <c r="MM345" s="83"/>
      <c r="MU345" s="405"/>
      <c r="NA345" s="83"/>
    </row>
    <row r="346">
      <c r="A346" s="483"/>
      <c r="B346" s="380"/>
      <c r="C346" s="380"/>
      <c r="D346" s="380"/>
      <c r="E346" s="380"/>
      <c r="F346" s="380"/>
      <c r="G346" s="380"/>
      <c r="H346" s="380"/>
      <c r="I346" s="403"/>
      <c r="J346" s="380"/>
      <c r="K346" s="380"/>
      <c r="L346" s="380"/>
      <c r="M346" s="380"/>
      <c r="N346" s="380"/>
      <c r="O346" s="404"/>
      <c r="P346" s="380"/>
      <c r="Q346" s="380"/>
      <c r="R346" s="380"/>
      <c r="S346" s="380"/>
      <c r="T346" s="380"/>
      <c r="U346" s="380"/>
      <c r="V346" s="380"/>
      <c r="W346" s="403"/>
      <c r="X346" s="380"/>
      <c r="Y346" s="380"/>
      <c r="Z346" s="380"/>
      <c r="AA346" s="380"/>
      <c r="AB346" s="380"/>
      <c r="AC346" s="404"/>
      <c r="AD346" s="380"/>
      <c r="AE346" s="380"/>
      <c r="AF346" s="380"/>
      <c r="AG346" s="380"/>
      <c r="AH346" s="380"/>
      <c r="AI346" s="380"/>
      <c r="AJ346" s="380"/>
      <c r="AK346" s="403"/>
      <c r="AL346" s="380"/>
      <c r="AM346" s="380"/>
      <c r="AN346" s="380"/>
      <c r="AO346" s="380"/>
      <c r="AP346" s="380"/>
      <c r="AQ346" s="404"/>
      <c r="AR346" s="380"/>
      <c r="AS346" s="380"/>
      <c r="AT346" s="380"/>
      <c r="AU346" s="380"/>
      <c r="AV346" s="380"/>
      <c r="AW346" s="380"/>
      <c r="AX346" s="380"/>
      <c r="AY346" s="403"/>
      <c r="AZ346" s="380"/>
      <c r="BA346" s="380"/>
      <c r="BB346" s="380"/>
      <c r="BC346" s="380"/>
      <c r="BD346" s="380"/>
      <c r="BE346" s="404"/>
      <c r="BF346" s="380"/>
      <c r="BG346" s="380"/>
      <c r="BH346" s="380"/>
      <c r="BI346" s="380"/>
      <c r="BJ346" s="380"/>
      <c r="BK346" s="380"/>
      <c r="BL346" s="380"/>
      <c r="BM346" s="403"/>
      <c r="BS346" s="83"/>
      <c r="CA346" s="405"/>
      <c r="CG346" s="83"/>
      <c r="CO346" s="405"/>
      <c r="CU346" s="83"/>
      <c r="DC346" s="405"/>
      <c r="DI346" s="83"/>
      <c r="DQ346" s="405"/>
      <c r="DW346" s="83"/>
      <c r="EE346" s="405"/>
      <c r="EK346" s="83"/>
      <c r="ES346" s="405"/>
      <c r="EY346" s="83"/>
      <c r="FG346" s="405"/>
      <c r="FM346" s="83"/>
      <c r="FU346" s="405"/>
      <c r="GA346" s="83"/>
      <c r="GI346" s="405"/>
      <c r="GO346" s="83"/>
      <c r="GW346" s="405"/>
      <c r="HC346" s="83"/>
      <c r="HK346" s="405"/>
      <c r="HQ346" s="83"/>
      <c r="HY346" s="405"/>
      <c r="IE346" s="83"/>
      <c r="IM346" s="405"/>
      <c r="IS346" s="83"/>
      <c r="JA346" s="405"/>
      <c r="JG346" s="83"/>
      <c r="JO346" s="405"/>
      <c r="JU346" s="83"/>
      <c r="KC346" s="405"/>
      <c r="KI346" s="83"/>
      <c r="KQ346" s="405"/>
      <c r="KW346" s="83"/>
      <c r="LE346" s="405"/>
      <c r="LK346" s="83"/>
      <c r="LS346" s="405"/>
      <c r="LY346" s="83"/>
      <c r="MG346" s="405"/>
      <c r="MM346" s="83"/>
      <c r="MU346" s="405"/>
      <c r="NA346" s="83"/>
    </row>
    <row r="347">
      <c r="A347" s="483"/>
      <c r="B347" s="380"/>
      <c r="C347" s="380"/>
      <c r="D347" s="380"/>
      <c r="E347" s="380"/>
      <c r="F347" s="380"/>
      <c r="G347" s="380"/>
      <c r="H347" s="380"/>
      <c r="I347" s="403"/>
      <c r="J347" s="380"/>
      <c r="K347" s="380"/>
      <c r="L347" s="380"/>
      <c r="M347" s="380"/>
      <c r="N347" s="380"/>
      <c r="O347" s="404"/>
      <c r="P347" s="380"/>
      <c r="Q347" s="380"/>
      <c r="R347" s="380"/>
      <c r="S347" s="380"/>
      <c r="T347" s="380"/>
      <c r="U347" s="380"/>
      <c r="V347" s="380"/>
      <c r="W347" s="403"/>
      <c r="X347" s="380"/>
      <c r="Y347" s="380"/>
      <c r="Z347" s="380"/>
      <c r="AA347" s="380"/>
      <c r="AB347" s="380"/>
      <c r="AC347" s="404"/>
      <c r="AD347" s="380"/>
      <c r="AE347" s="380"/>
      <c r="AF347" s="380"/>
      <c r="AG347" s="380"/>
      <c r="AH347" s="380"/>
      <c r="AI347" s="380"/>
      <c r="AJ347" s="380"/>
      <c r="AK347" s="403"/>
      <c r="AL347" s="380"/>
      <c r="AM347" s="380"/>
      <c r="AN347" s="380"/>
      <c r="AO347" s="380"/>
      <c r="AP347" s="380"/>
      <c r="AQ347" s="404"/>
      <c r="AR347" s="380"/>
      <c r="AS347" s="380"/>
      <c r="AT347" s="380"/>
      <c r="AU347" s="380"/>
      <c r="AV347" s="380"/>
      <c r="AW347" s="380"/>
      <c r="AX347" s="380"/>
      <c r="AY347" s="403"/>
      <c r="AZ347" s="380"/>
      <c r="BA347" s="380"/>
      <c r="BB347" s="380"/>
      <c r="BC347" s="380"/>
      <c r="BD347" s="380"/>
      <c r="BE347" s="404"/>
      <c r="BF347" s="380"/>
      <c r="BG347" s="380"/>
      <c r="BH347" s="380"/>
      <c r="BI347" s="380"/>
      <c r="BJ347" s="380"/>
      <c r="BK347" s="380"/>
      <c r="BL347" s="380"/>
      <c r="BM347" s="403"/>
      <c r="BS347" s="83"/>
      <c r="CA347" s="405"/>
      <c r="CG347" s="83"/>
      <c r="CO347" s="405"/>
      <c r="CU347" s="83"/>
      <c r="DC347" s="405"/>
      <c r="DI347" s="83"/>
      <c r="DQ347" s="405"/>
      <c r="DW347" s="83"/>
      <c r="EE347" s="405"/>
      <c r="EK347" s="83"/>
      <c r="ES347" s="405"/>
      <c r="EY347" s="83"/>
      <c r="FG347" s="405"/>
      <c r="FM347" s="83"/>
      <c r="FU347" s="405"/>
      <c r="GA347" s="83"/>
      <c r="GI347" s="405"/>
      <c r="GO347" s="83"/>
      <c r="GW347" s="405"/>
      <c r="HC347" s="83"/>
      <c r="HK347" s="405"/>
      <c r="HQ347" s="83"/>
      <c r="HY347" s="405"/>
      <c r="IE347" s="83"/>
      <c r="IM347" s="405"/>
      <c r="IS347" s="83"/>
      <c r="JA347" s="405"/>
      <c r="JG347" s="83"/>
      <c r="JO347" s="405"/>
      <c r="JU347" s="83"/>
      <c r="KC347" s="405"/>
      <c r="KI347" s="83"/>
      <c r="KQ347" s="405"/>
      <c r="KW347" s="83"/>
      <c r="LE347" s="405"/>
      <c r="LK347" s="83"/>
      <c r="LS347" s="405"/>
      <c r="LY347" s="83"/>
      <c r="MG347" s="405"/>
      <c r="MM347" s="83"/>
      <c r="MU347" s="405"/>
      <c r="NA347" s="83"/>
    </row>
    <row r="348">
      <c r="A348" s="483"/>
      <c r="B348" s="380"/>
      <c r="C348" s="380"/>
      <c r="D348" s="380"/>
      <c r="E348" s="380"/>
      <c r="F348" s="380"/>
      <c r="G348" s="380"/>
      <c r="H348" s="380"/>
      <c r="I348" s="403"/>
      <c r="J348" s="380"/>
      <c r="K348" s="380"/>
      <c r="L348" s="380"/>
      <c r="M348" s="380"/>
      <c r="N348" s="380"/>
      <c r="O348" s="404"/>
      <c r="P348" s="380"/>
      <c r="Q348" s="380"/>
      <c r="R348" s="380"/>
      <c r="S348" s="380"/>
      <c r="T348" s="380"/>
      <c r="U348" s="380"/>
      <c r="V348" s="380"/>
      <c r="W348" s="403"/>
      <c r="X348" s="380"/>
      <c r="Y348" s="380"/>
      <c r="Z348" s="380"/>
      <c r="AA348" s="380"/>
      <c r="AB348" s="380"/>
      <c r="AC348" s="404"/>
      <c r="AD348" s="380"/>
      <c r="AE348" s="380"/>
      <c r="AF348" s="380"/>
      <c r="AG348" s="380"/>
      <c r="AH348" s="380"/>
      <c r="AI348" s="380"/>
      <c r="AJ348" s="380"/>
      <c r="AK348" s="403"/>
      <c r="AL348" s="380"/>
      <c r="AM348" s="380"/>
      <c r="AN348" s="380"/>
      <c r="AO348" s="380"/>
      <c r="AP348" s="380"/>
      <c r="AQ348" s="404"/>
      <c r="AR348" s="380"/>
      <c r="AS348" s="380"/>
      <c r="AT348" s="380"/>
      <c r="AU348" s="380"/>
      <c r="AV348" s="380"/>
      <c r="AW348" s="380"/>
      <c r="AX348" s="380"/>
      <c r="AY348" s="403"/>
      <c r="AZ348" s="380"/>
      <c r="BA348" s="380"/>
      <c r="BB348" s="380"/>
      <c r="BC348" s="380"/>
      <c r="BD348" s="380"/>
      <c r="BE348" s="404"/>
      <c r="BF348" s="380"/>
      <c r="BG348" s="380"/>
      <c r="BH348" s="380"/>
      <c r="BI348" s="380"/>
      <c r="BJ348" s="380"/>
      <c r="BK348" s="380"/>
      <c r="BL348" s="380"/>
      <c r="BM348" s="403"/>
      <c r="BS348" s="83"/>
      <c r="CA348" s="405"/>
      <c r="CG348" s="83"/>
      <c r="CO348" s="405"/>
      <c r="CU348" s="83"/>
      <c r="DC348" s="405"/>
      <c r="DI348" s="83"/>
      <c r="DQ348" s="405"/>
      <c r="DW348" s="83"/>
      <c r="EE348" s="405"/>
      <c r="EK348" s="83"/>
      <c r="ES348" s="405"/>
      <c r="EY348" s="83"/>
      <c r="FG348" s="405"/>
      <c r="FM348" s="83"/>
      <c r="FU348" s="405"/>
      <c r="GA348" s="83"/>
      <c r="GI348" s="405"/>
      <c r="GO348" s="83"/>
      <c r="GW348" s="405"/>
      <c r="HC348" s="83"/>
      <c r="HK348" s="405"/>
      <c r="HQ348" s="83"/>
      <c r="HY348" s="405"/>
      <c r="IE348" s="83"/>
      <c r="IM348" s="405"/>
      <c r="IS348" s="83"/>
      <c r="JA348" s="405"/>
      <c r="JG348" s="83"/>
      <c r="JO348" s="405"/>
      <c r="JU348" s="83"/>
      <c r="KC348" s="405"/>
      <c r="KI348" s="83"/>
      <c r="KQ348" s="405"/>
      <c r="KW348" s="83"/>
      <c r="LE348" s="405"/>
      <c r="LK348" s="83"/>
      <c r="LS348" s="405"/>
      <c r="LY348" s="83"/>
      <c r="MG348" s="405"/>
      <c r="MM348" s="83"/>
      <c r="MU348" s="405"/>
      <c r="NA348" s="83"/>
    </row>
    <row r="349">
      <c r="A349" s="483"/>
      <c r="B349" s="380"/>
      <c r="C349" s="380"/>
      <c r="D349" s="380"/>
      <c r="E349" s="380"/>
      <c r="F349" s="380"/>
      <c r="G349" s="380"/>
      <c r="H349" s="380"/>
      <c r="I349" s="403"/>
      <c r="J349" s="380"/>
      <c r="K349" s="380"/>
      <c r="L349" s="380"/>
      <c r="M349" s="380"/>
      <c r="N349" s="380"/>
      <c r="O349" s="404"/>
      <c r="P349" s="380"/>
      <c r="Q349" s="380"/>
      <c r="R349" s="380"/>
      <c r="S349" s="380"/>
      <c r="T349" s="380"/>
      <c r="U349" s="380"/>
      <c r="V349" s="380"/>
      <c r="W349" s="403"/>
      <c r="X349" s="380"/>
      <c r="Y349" s="380"/>
      <c r="Z349" s="380"/>
      <c r="AA349" s="380"/>
      <c r="AB349" s="380"/>
      <c r="AC349" s="404"/>
      <c r="AD349" s="380"/>
      <c r="AE349" s="380"/>
      <c r="AF349" s="380"/>
      <c r="AG349" s="380"/>
      <c r="AH349" s="380"/>
      <c r="AI349" s="380"/>
      <c r="AJ349" s="380"/>
      <c r="AK349" s="403"/>
      <c r="AL349" s="380"/>
      <c r="AM349" s="380"/>
      <c r="AN349" s="380"/>
      <c r="AO349" s="380"/>
      <c r="AP349" s="380"/>
      <c r="AQ349" s="404"/>
      <c r="AR349" s="380"/>
      <c r="AS349" s="380"/>
      <c r="AT349" s="380"/>
      <c r="AU349" s="380"/>
      <c r="AV349" s="380"/>
      <c r="AW349" s="380"/>
      <c r="AX349" s="380"/>
      <c r="AY349" s="403"/>
      <c r="AZ349" s="380"/>
      <c r="BA349" s="380"/>
      <c r="BB349" s="380"/>
      <c r="BC349" s="380"/>
      <c r="BD349" s="380"/>
      <c r="BE349" s="404"/>
      <c r="BF349" s="380"/>
      <c r="BG349" s="380"/>
      <c r="BH349" s="380"/>
      <c r="BI349" s="380"/>
      <c r="BJ349" s="380"/>
      <c r="BK349" s="380"/>
      <c r="BL349" s="380"/>
      <c r="BM349" s="403"/>
      <c r="BS349" s="83"/>
      <c r="CA349" s="405"/>
      <c r="CG349" s="83"/>
      <c r="CO349" s="405"/>
      <c r="CU349" s="83"/>
      <c r="DC349" s="405"/>
      <c r="DI349" s="83"/>
      <c r="DQ349" s="405"/>
      <c r="DW349" s="83"/>
      <c r="EE349" s="405"/>
      <c r="EK349" s="83"/>
      <c r="ES349" s="405"/>
      <c r="EY349" s="83"/>
      <c r="FG349" s="405"/>
      <c r="FM349" s="83"/>
      <c r="FU349" s="405"/>
      <c r="GA349" s="83"/>
      <c r="GI349" s="405"/>
      <c r="GO349" s="83"/>
      <c r="GW349" s="405"/>
      <c r="HC349" s="83"/>
      <c r="HK349" s="405"/>
      <c r="HQ349" s="83"/>
      <c r="HY349" s="405"/>
      <c r="IE349" s="83"/>
      <c r="IM349" s="405"/>
      <c r="IS349" s="83"/>
      <c r="JA349" s="405"/>
      <c r="JG349" s="83"/>
      <c r="JO349" s="405"/>
      <c r="JU349" s="83"/>
      <c r="KC349" s="405"/>
      <c r="KI349" s="83"/>
      <c r="KQ349" s="405"/>
      <c r="KW349" s="83"/>
      <c r="LE349" s="405"/>
      <c r="LK349" s="83"/>
      <c r="LS349" s="405"/>
      <c r="LY349" s="83"/>
      <c r="MG349" s="405"/>
      <c r="MM349" s="83"/>
      <c r="MU349" s="405"/>
      <c r="NA349" s="83"/>
    </row>
    <row r="350">
      <c r="A350" s="483"/>
      <c r="B350" s="380"/>
      <c r="C350" s="380"/>
      <c r="D350" s="380"/>
      <c r="E350" s="380"/>
      <c r="F350" s="380"/>
      <c r="G350" s="380"/>
      <c r="H350" s="380"/>
      <c r="I350" s="403"/>
      <c r="J350" s="380"/>
      <c r="K350" s="380"/>
      <c r="L350" s="380"/>
      <c r="M350" s="380"/>
      <c r="N350" s="380"/>
      <c r="O350" s="404"/>
      <c r="P350" s="380"/>
      <c r="Q350" s="380"/>
      <c r="R350" s="380"/>
      <c r="S350" s="380"/>
      <c r="T350" s="380"/>
      <c r="U350" s="380"/>
      <c r="V350" s="380"/>
      <c r="W350" s="403"/>
      <c r="X350" s="380"/>
      <c r="Y350" s="380"/>
      <c r="Z350" s="380"/>
      <c r="AA350" s="380"/>
      <c r="AB350" s="380"/>
      <c r="AC350" s="404"/>
      <c r="AD350" s="380"/>
      <c r="AE350" s="380"/>
      <c r="AF350" s="380"/>
      <c r="AG350" s="380"/>
      <c r="AH350" s="380"/>
      <c r="AI350" s="380"/>
      <c r="AJ350" s="380"/>
      <c r="AK350" s="403"/>
      <c r="AL350" s="380"/>
      <c r="AM350" s="380"/>
      <c r="AN350" s="380"/>
      <c r="AO350" s="380"/>
      <c r="AP350" s="380"/>
      <c r="AQ350" s="404"/>
      <c r="AR350" s="380"/>
      <c r="AS350" s="380"/>
      <c r="AT350" s="380"/>
      <c r="AU350" s="380"/>
      <c r="AV350" s="380"/>
      <c r="AW350" s="380"/>
      <c r="AX350" s="380"/>
      <c r="AY350" s="403"/>
      <c r="AZ350" s="380"/>
      <c r="BA350" s="380"/>
      <c r="BB350" s="380"/>
      <c r="BC350" s="380"/>
      <c r="BD350" s="380"/>
      <c r="BE350" s="404"/>
      <c r="BF350" s="380"/>
      <c r="BG350" s="380"/>
      <c r="BH350" s="380"/>
      <c r="BI350" s="380"/>
      <c r="BJ350" s="380"/>
      <c r="BK350" s="380"/>
      <c r="BL350" s="380"/>
      <c r="BM350" s="403"/>
      <c r="BS350" s="83"/>
      <c r="CA350" s="405"/>
      <c r="CG350" s="83"/>
      <c r="CO350" s="405"/>
      <c r="CU350" s="83"/>
      <c r="DC350" s="405"/>
      <c r="DI350" s="83"/>
      <c r="DQ350" s="405"/>
      <c r="DW350" s="83"/>
      <c r="EE350" s="405"/>
      <c r="EK350" s="83"/>
      <c r="ES350" s="405"/>
      <c r="EY350" s="83"/>
      <c r="FG350" s="405"/>
      <c r="FM350" s="83"/>
      <c r="FU350" s="405"/>
      <c r="GA350" s="83"/>
      <c r="GI350" s="405"/>
      <c r="GO350" s="83"/>
      <c r="GW350" s="405"/>
      <c r="HC350" s="83"/>
      <c r="HK350" s="405"/>
      <c r="HQ350" s="83"/>
      <c r="HY350" s="405"/>
      <c r="IE350" s="83"/>
      <c r="IM350" s="405"/>
      <c r="IS350" s="83"/>
      <c r="JA350" s="405"/>
      <c r="JG350" s="83"/>
      <c r="JO350" s="405"/>
      <c r="JU350" s="83"/>
      <c r="KC350" s="405"/>
      <c r="KI350" s="83"/>
      <c r="KQ350" s="405"/>
      <c r="KW350" s="83"/>
      <c r="LE350" s="405"/>
      <c r="LK350" s="83"/>
      <c r="LS350" s="405"/>
      <c r="LY350" s="83"/>
      <c r="MG350" s="405"/>
      <c r="MM350" s="83"/>
      <c r="MU350" s="405"/>
      <c r="NA350" s="83"/>
    </row>
    <row r="351">
      <c r="A351" s="483"/>
      <c r="B351" s="380"/>
      <c r="C351" s="380"/>
      <c r="D351" s="380"/>
      <c r="E351" s="380"/>
      <c r="F351" s="380"/>
      <c r="G351" s="380"/>
      <c r="H351" s="380"/>
      <c r="I351" s="403"/>
      <c r="J351" s="380"/>
      <c r="K351" s="380"/>
      <c r="L351" s="380"/>
      <c r="M351" s="380"/>
      <c r="N351" s="380"/>
      <c r="O351" s="404"/>
      <c r="P351" s="380"/>
      <c r="Q351" s="380"/>
      <c r="R351" s="380"/>
      <c r="S351" s="380"/>
      <c r="T351" s="380"/>
      <c r="U351" s="380"/>
      <c r="V351" s="380"/>
      <c r="W351" s="403"/>
      <c r="X351" s="380"/>
      <c r="Y351" s="380"/>
      <c r="Z351" s="380"/>
      <c r="AA351" s="380"/>
      <c r="AB351" s="380"/>
      <c r="AC351" s="404"/>
      <c r="AD351" s="380"/>
      <c r="AE351" s="380"/>
      <c r="AF351" s="380"/>
      <c r="AG351" s="380"/>
      <c r="AH351" s="380"/>
      <c r="AI351" s="380"/>
      <c r="AJ351" s="380"/>
      <c r="AK351" s="403"/>
      <c r="AL351" s="380"/>
      <c r="AM351" s="380"/>
      <c r="AN351" s="380"/>
      <c r="AO351" s="380"/>
      <c r="AP351" s="380"/>
      <c r="AQ351" s="404"/>
      <c r="AR351" s="380"/>
      <c r="AS351" s="380"/>
      <c r="AT351" s="380"/>
      <c r="AU351" s="380"/>
      <c r="AV351" s="380"/>
      <c r="AW351" s="380"/>
      <c r="AX351" s="380"/>
      <c r="AY351" s="403"/>
      <c r="AZ351" s="380"/>
      <c r="BA351" s="380"/>
      <c r="BB351" s="380"/>
      <c r="BC351" s="380"/>
      <c r="BD351" s="380"/>
      <c r="BE351" s="404"/>
      <c r="BF351" s="380"/>
      <c r="BG351" s="380"/>
      <c r="BH351" s="380"/>
      <c r="BI351" s="380"/>
      <c r="BJ351" s="380"/>
      <c r="BK351" s="380"/>
      <c r="BL351" s="380"/>
      <c r="BM351" s="403"/>
      <c r="BS351" s="83"/>
      <c r="CA351" s="405"/>
      <c r="CG351" s="83"/>
      <c r="CO351" s="405"/>
      <c r="CU351" s="83"/>
      <c r="DC351" s="405"/>
      <c r="DI351" s="83"/>
      <c r="DQ351" s="405"/>
      <c r="DW351" s="83"/>
      <c r="EE351" s="405"/>
      <c r="EK351" s="83"/>
      <c r="ES351" s="405"/>
      <c r="EY351" s="83"/>
      <c r="FG351" s="405"/>
      <c r="FM351" s="83"/>
      <c r="FU351" s="405"/>
      <c r="GA351" s="83"/>
      <c r="GI351" s="405"/>
      <c r="GO351" s="83"/>
      <c r="GW351" s="405"/>
      <c r="HC351" s="83"/>
      <c r="HK351" s="405"/>
      <c r="HQ351" s="83"/>
      <c r="HY351" s="405"/>
      <c r="IE351" s="83"/>
      <c r="IM351" s="405"/>
      <c r="IS351" s="83"/>
      <c r="JA351" s="405"/>
      <c r="JG351" s="83"/>
      <c r="JO351" s="405"/>
      <c r="JU351" s="83"/>
      <c r="KC351" s="405"/>
      <c r="KI351" s="83"/>
      <c r="KQ351" s="405"/>
      <c r="KW351" s="83"/>
      <c r="LE351" s="405"/>
      <c r="LK351" s="83"/>
      <c r="LS351" s="405"/>
      <c r="LY351" s="83"/>
      <c r="MG351" s="405"/>
      <c r="MM351" s="83"/>
      <c r="MU351" s="405"/>
      <c r="NA351" s="83"/>
    </row>
    <row r="352">
      <c r="A352" s="483"/>
      <c r="B352" s="380"/>
      <c r="C352" s="380"/>
      <c r="D352" s="380"/>
      <c r="E352" s="380"/>
      <c r="F352" s="380"/>
      <c r="G352" s="380"/>
      <c r="H352" s="380"/>
      <c r="I352" s="403"/>
      <c r="J352" s="380"/>
      <c r="K352" s="380"/>
      <c r="L352" s="380"/>
      <c r="M352" s="380"/>
      <c r="N352" s="380"/>
      <c r="O352" s="404"/>
      <c r="P352" s="380"/>
      <c r="Q352" s="380"/>
      <c r="R352" s="380"/>
      <c r="S352" s="380"/>
      <c r="T352" s="380"/>
      <c r="U352" s="380"/>
      <c r="V352" s="380"/>
      <c r="W352" s="403"/>
      <c r="X352" s="380"/>
      <c r="Y352" s="380"/>
      <c r="Z352" s="380"/>
      <c r="AA352" s="380"/>
      <c r="AB352" s="380"/>
      <c r="AC352" s="404"/>
      <c r="AD352" s="380"/>
      <c r="AE352" s="380"/>
      <c r="AF352" s="380"/>
      <c r="AG352" s="380"/>
      <c r="AH352" s="380"/>
      <c r="AI352" s="380"/>
      <c r="AJ352" s="380"/>
      <c r="AK352" s="403"/>
      <c r="AL352" s="380"/>
      <c r="AM352" s="380"/>
      <c r="AN352" s="380"/>
      <c r="AO352" s="380"/>
      <c r="AP352" s="380"/>
      <c r="AQ352" s="404"/>
      <c r="AR352" s="380"/>
      <c r="AS352" s="380"/>
      <c r="AT352" s="380"/>
      <c r="AU352" s="380"/>
      <c r="AV352" s="380"/>
      <c r="AW352" s="380"/>
      <c r="AX352" s="380"/>
      <c r="AY352" s="403"/>
      <c r="AZ352" s="380"/>
      <c r="BA352" s="380"/>
      <c r="BB352" s="380"/>
      <c r="BC352" s="380"/>
      <c r="BD352" s="380"/>
      <c r="BE352" s="404"/>
      <c r="BF352" s="380"/>
      <c r="BG352" s="380"/>
      <c r="BH352" s="380"/>
      <c r="BI352" s="380"/>
      <c r="BJ352" s="380"/>
      <c r="BK352" s="380"/>
      <c r="BL352" s="380"/>
      <c r="BM352" s="403"/>
      <c r="BS352" s="83"/>
      <c r="CA352" s="405"/>
      <c r="CG352" s="83"/>
      <c r="CO352" s="405"/>
      <c r="CU352" s="83"/>
      <c r="DC352" s="405"/>
      <c r="DI352" s="83"/>
      <c r="DQ352" s="405"/>
      <c r="DW352" s="83"/>
      <c r="EE352" s="405"/>
      <c r="EK352" s="83"/>
      <c r="ES352" s="405"/>
      <c r="EY352" s="83"/>
      <c r="FG352" s="405"/>
      <c r="FM352" s="83"/>
      <c r="FU352" s="405"/>
      <c r="GA352" s="83"/>
      <c r="GI352" s="405"/>
      <c r="GO352" s="83"/>
      <c r="GW352" s="405"/>
      <c r="HC352" s="83"/>
      <c r="HK352" s="405"/>
      <c r="HQ352" s="83"/>
      <c r="HY352" s="405"/>
      <c r="IE352" s="83"/>
      <c r="IM352" s="405"/>
      <c r="IS352" s="83"/>
      <c r="JA352" s="405"/>
      <c r="JG352" s="83"/>
      <c r="JO352" s="405"/>
      <c r="JU352" s="83"/>
      <c r="KC352" s="405"/>
      <c r="KI352" s="83"/>
      <c r="KQ352" s="405"/>
      <c r="KW352" s="83"/>
      <c r="LE352" s="405"/>
      <c r="LK352" s="83"/>
      <c r="LS352" s="405"/>
      <c r="LY352" s="83"/>
      <c r="MG352" s="405"/>
      <c r="MM352" s="83"/>
      <c r="MU352" s="405"/>
      <c r="NA352" s="83"/>
    </row>
    <row r="353">
      <c r="A353" s="483"/>
      <c r="B353" s="380"/>
      <c r="C353" s="380"/>
      <c r="D353" s="380"/>
      <c r="E353" s="380"/>
      <c r="F353" s="380"/>
      <c r="G353" s="380"/>
      <c r="H353" s="380"/>
      <c r="I353" s="403"/>
      <c r="J353" s="380"/>
      <c r="K353" s="380"/>
      <c r="L353" s="380"/>
      <c r="M353" s="380"/>
      <c r="N353" s="380"/>
      <c r="O353" s="404"/>
      <c r="P353" s="380"/>
      <c r="Q353" s="380"/>
      <c r="R353" s="380"/>
      <c r="S353" s="380"/>
      <c r="T353" s="380"/>
      <c r="U353" s="380"/>
      <c r="V353" s="380"/>
      <c r="W353" s="403"/>
      <c r="X353" s="380"/>
      <c r="Y353" s="380"/>
      <c r="Z353" s="380"/>
      <c r="AA353" s="380"/>
      <c r="AB353" s="380"/>
      <c r="AC353" s="404"/>
      <c r="AD353" s="380"/>
      <c r="AE353" s="380"/>
      <c r="AF353" s="380"/>
      <c r="AG353" s="380"/>
      <c r="AH353" s="380"/>
      <c r="AI353" s="380"/>
      <c r="AJ353" s="380"/>
      <c r="AK353" s="403"/>
      <c r="AL353" s="380"/>
      <c r="AM353" s="380"/>
      <c r="AN353" s="380"/>
      <c r="AO353" s="380"/>
      <c r="AP353" s="380"/>
      <c r="AQ353" s="404"/>
      <c r="AR353" s="380"/>
      <c r="AS353" s="380"/>
      <c r="AT353" s="380"/>
      <c r="AU353" s="380"/>
      <c r="AV353" s="380"/>
      <c r="AW353" s="380"/>
      <c r="AX353" s="380"/>
      <c r="AY353" s="403"/>
      <c r="AZ353" s="380"/>
      <c r="BA353" s="380"/>
      <c r="BB353" s="380"/>
      <c r="BC353" s="380"/>
      <c r="BD353" s="380"/>
      <c r="BE353" s="404"/>
      <c r="BF353" s="380"/>
      <c r="BG353" s="380"/>
      <c r="BH353" s="380"/>
      <c r="BI353" s="380"/>
      <c r="BJ353" s="380"/>
      <c r="BK353" s="380"/>
      <c r="BL353" s="380"/>
      <c r="BM353" s="403"/>
      <c r="BS353" s="83"/>
      <c r="CA353" s="405"/>
      <c r="CG353" s="83"/>
      <c r="CO353" s="405"/>
      <c r="CU353" s="83"/>
      <c r="DC353" s="405"/>
      <c r="DI353" s="83"/>
      <c r="DQ353" s="405"/>
      <c r="DW353" s="83"/>
      <c r="EE353" s="405"/>
      <c r="EK353" s="83"/>
      <c r="ES353" s="405"/>
      <c r="EY353" s="83"/>
      <c r="FG353" s="405"/>
      <c r="FM353" s="83"/>
      <c r="FU353" s="405"/>
      <c r="GA353" s="83"/>
      <c r="GI353" s="405"/>
      <c r="GO353" s="83"/>
      <c r="GW353" s="405"/>
      <c r="HC353" s="83"/>
      <c r="HK353" s="405"/>
      <c r="HQ353" s="83"/>
      <c r="HY353" s="405"/>
      <c r="IE353" s="83"/>
      <c r="IM353" s="405"/>
      <c r="IS353" s="83"/>
      <c r="JA353" s="405"/>
      <c r="JG353" s="83"/>
      <c r="JO353" s="405"/>
      <c r="JU353" s="83"/>
      <c r="KC353" s="405"/>
      <c r="KI353" s="83"/>
      <c r="KQ353" s="405"/>
      <c r="KW353" s="83"/>
      <c r="LE353" s="405"/>
      <c r="LK353" s="83"/>
      <c r="LS353" s="405"/>
      <c r="LY353" s="83"/>
      <c r="MG353" s="405"/>
      <c r="MM353" s="83"/>
      <c r="MU353" s="405"/>
      <c r="NA353" s="83"/>
    </row>
    <row r="354">
      <c r="A354" s="483"/>
      <c r="B354" s="380"/>
      <c r="C354" s="380"/>
      <c r="D354" s="380"/>
      <c r="E354" s="380"/>
      <c r="F354" s="380"/>
      <c r="G354" s="380"/>
      <c r="H354" s="380"/>
      <c r="I354" s="403"/>
      <c r="J354" s="380"/>
      <c r="K354" s="380"/>
      <c r="L354" s="380"/>
      <c r="M354" s="380"/>
      <c r="N354" s="380"/>
      <c r="O354" s="404"/>
      <c r="P354" s="380"/>
      <c r="Q354" s="380"/>
      <c r="R354" s="380"/>
      <c r="S354" s="380"/>
      <c r="T354" s="380"/>
      <c r="U354" s="380"/>
      <c r="V354" s="380"/>
      <c r="W354" s="403"/>
      <c r="X354" s="380"/>
      <c r="Y354" s="380"/>
      <c r="Z354" s="380"/>
      <c r="AA354" s="380"/>
      <c r="AB354" s="380"/>
      <c r="AC354" s="404"/>
      <c r="AD354" s="380"/>
      <c r="AE354" s="380"/>
      <c r="AF354" s="380"/>
      <c r="AG354" s="380"/>
      <c r="AH354" s="380"/>
      <c r="AI354" s="380"/>
      <c r="AJ354" s="380"/>
      <c r="AK354" s="403"/>
      <c r="AL354" s="380"/>
      <c r="AM354" s="380"/>
      <c r="AN354" s="380"/>
      <c r="AO354" s="380"/>
      <c r="AP354" s="380"/>
      <c r="AQ354" s="404"/>
      <c r="AR354" s="380"/>
      <c r="AS354" s="380"/>
      <c r="AT354" s="380"/>
      <c r="AU354" s="380"/>
      <c r="AV354" s="380"/>
      <c r="AW354" s="380"/>
      <c r="AX354" s="380"/>
      <c r="AY354" s="403"/>
      <c r="AZ354" s="380"/>
      <c r="BA354" s="380"/>
      <c r="BB354" s="380"/>
      <c r="BC354" s="380"/>
      <c r="BD354" s="380"/>
      <c r="BE354" s="404"/>
      <c r="BF354" s="380"/>
      <c r="BG354" s="380"/>
      <c r="BH354" s="380"/>
      <c r="BI354" s="380"/>
      <c r="BJ354" s="380"/>
      <c r="BK354" s="380"/>
      <c r="BL354" s="380"/>
      <c r="BM354" s="403"/>
      <c r="BS354" s="83"/>
      <c r="CA354" s="405"/>
      <c r="CG354" s="83"/>
      <c r="CO354" s="405"/>
      <c r="CU354" s="83"/>
      <c r="DC354" s="405"/>
      <c r="DI354" s="83"/>
      <c r="DQ354" s="405"/>
      <c r="DW354" s="83"/>
      <c r="EE354" s="405"/>
      <c r="EK354" s="83"/>
      <c r="ES354" s="405"/>
      <c r="EY354" s="83"/>
      <c r="FG354" s="405"/>
      <c r="FM354" s="83"/>
      <c r="FU354" s="405"/>
      <c r="GA354" s="83"/>
      <c r="GI354" s="405"/>
      <c r="GO354" s="83"/>
      <c r="GW354" s="405"/>
      <c r="HC354" s="83"/>
      <c r="HK354" s="405"/>
      <c r="HQ354" s="83"/>
      <c r="HY354" s="405"/>
      <c r="IE354" s="83"/>
      <c r="IM354" s="405"/>
      <c r="IS354" s="83"/>
      <c r="JA354" s="405"/>
      <c r="JG354" s="83"/>
      <c r="JO354" s="405"/>
      <c r="JU354" s="83"/>
      <c r="KC354" s="405"/>
      <c r="KI354" s="83"/>
      <c r="KQ354" s="405"/>
      <c r="KW354" s="83"/>
      <c r="LE354" s="405"/>
      <c r="LK354" s="83"/>
      <c r="LS354" s="405"/>
      <c r="LY354" s="83"/>
      <c r="MG354" s="405"/>
      <c r="MM354" s="83"/>
      <c r="MU354" s="405"/>
      <c r="NA354" s="83"/>
    </row>
    <row r="355">
      <c r="A355" s="483"/>
      <c r="B355" s="380"/>
      <c r="C355" s="380"/>
      <c r="D355" s="380"/>
      <c r="E355" s="380"/>
      <c r="F355" s="380"/>
      <c r="G355" s="380"/>
      <c r="H355" s="380"/>
      <c r="I355" s="403"/>
      <c r="J355" s="380"/>
      <c r="K355" s="380"/>
      <c r="L355" s="380"/>
      <c r="M355" s="380"/>
      <c r="N355" s="380"/>
      <c r="O355" s="404"/>
      <c r="P355" s="380"/>
      <c r="Q355" s="380"/>
      <c r="R355" s="380"/>
      <c r="S355" s="380"/>
      <c r="T355" s="380"/>
      <c r="U355" s="380"/>
      <c r="V355" s="380"/>
      <c r="W355" s="403"/>
      <c r="X355" s="380"/>
      <c r="Y355" s="380"/>
      <c r="Z355" s="380"/>
      <c r="AA355" s="380"/>
      <c r="AB355" s="380"/>
      <c r="AC355" s="404"/>
      <c r="AD355" s="380"/>
      <c r="AE355" s="380"/>
      <c r="AF355" s="380"/>
      <c r="AG355" s="380"/>
      <c r="AH355" s="380"/>
      <c r="AI355" s="380"/>
      <c r="AJ355" s="380"/>
      <c r="AK355" s="403"/>
      <c r="AL355" s="380"/>
      <c r="AM355" s="380"/>
      <c r="AN355" s="380"/>
      <c r="AO355" s="380"/>
      <c r="AP355" s="380"/>
      <c r="AQ355" s="404"/>
      <c r="AR355" s="380"/>
      <c r="AS355" s="380"/>
      <c r="AT355" s="380"/>
      <c r="AU355" s="380"/>
      <c r="AV355" s="380"/>
      <c r="AW355" s="380"/>
      <c r="AX355" s="380"/>
      <c r="AY355" s="403"/>
      <c r="AZ355" s="380"/>
      <c r="BA355" s="380"/>
      <c r="BB355" s="380"/>
      <c r="BC355" s="380"/>
      <c r="BD355" s="380"/>
      <c r="BE355" s="404"/>
      <c r="BF355" s="380"/>
      <c r="BG355" s="380"/>
      <c r="BH355" s="380"/>
      <c r="BI355" s="380"/>
      <c r="BJ355" s="380"/>
      <c r="BK355" s="380"/>
      <c r="BL355" s="380"/>
      <c r="BM355" s="403"/>
      <c r="BS355" s="83"/>
      <c r="CA355" s="405"/>
      <c r="CG355" s="83"/>
      <c r="CO355" s="405"/>
      <c r="CU355" s="83"/>
      <c r="DC355" s="405"/>
      <c r="DI355" s="83"/>
      <c r="DQ355" s="405"/>
      <c r="DW355" s="83"/>
      <c r="EE355" s="405"/>
      <c r="EK355" s="83"/>
      <c r="ES355" s="405"/>
      <c r="EY355" s="83"/>
      <c r="FG355" s="405"/>
      <c r="FM355" s="83"/>
      <c r="FU355" s="405"/>
      <c r="GA355" s="83"/>
      <c r="GI355" s="405"/>
      <c r="GO355" s="83"/>
      <c r="GW355" s="405"/>
      <c r="HC355" s="83"/>
      <c r="HK355" s="405"/>
      <c r="HQ355" s="83"/>
      <c r="HY355" s="405"/>
      <c r="IE355" s="83"/>
      <c r="IM355" s="405"/>
      <c r="IS355" s="83"/>
      <c r="JA355" s="405"/>
      <c r="JG355" s="83"/>
      <c r="JO355" s="405"/>
      <c r="JU355" s="83"/>
      <c r="KC355" s="405"/>
      <c r="KI355" s="83"/>
      <c r="KQ355" s="405"/>
      <c r="KW355" s="83"/>
      <c r="LE355" s="405"/>
      <c r="LK355" s="83"/>
      <c r="LS355" s="405"/>
      <c r="LY355" s="83"/>
      <c r="MG355" s="405"/>
      <c r="MM355" s="83"/>
      <c r="MU355" s="405"/>
      <c r="NA355" s="83"/>
    </row>
    <row r="356">
      <c r="A356" s="483"/>
      <c r="B356" s="380"/>
      <c r="C356" s="380"/>
      <c r="D356" s="380"/>
      <c r="E356" s="380"/>
      <c r="F356" s="380"/>
      <c r="G356" s="380"/>
      <c r="H356" s="380"/>
      <c r="I356" s="403"/>
      <c r="J356" s="380"/>
      <c r="K356" s="380"/>
      <c r="L356" s="380"/>
      <c r="M356" s="380"/>
      <c r="N356" s="380"/>
      <c r="O356" s="404"/>
      <c r="P356" s="380"/>
      <c r="Q356" s="380"/>
      <c r="R356" s="380"/>
      <c r="S356" s="380"/>
      <c r="T356" s="380"/>
      <c r="U356" s="380"/>
      <c r="V356" s="380"/>
      <c r="W356" s="403"/>
      <c r="X356" s="380"/>
      <c r="Y356" s="380"/>
      <c r="Z356" s="380"/>
      <c r="AA356" s="380"/>
      <c r="AB356" s="380"/>
      <c r="AC356" s="404"/>
      <c r="AD356" s="380"/>
      <c r="AE356" s="380"/>
      <c r="AF356" s="380"/>
      <c r="AG356" s="380"/>
      <c r="AH356" s="380"/>
      <c r="AI356" s="380"/>
      <c r="AJ356" s="380"/>
      <c r="AK356" s="403"/>
      <c r="AL356" s="380"/>
      <c r="AM356" s="380"/>
      <c r="AN356" s="380"/>
      <c r="AO356" s="380"/>
      <c r="AP356" s="380"/>
      <c r="AQ356" s="404"/>
      <c r="AR356" s="380"/>
      <c r="AS356" s="380"/>
      <c r="AT356" s="380"/>
      <c r="AU356" s="380"/>
      <c r="AV356" s="380"/>
      <c r="AW356" s="380"/>
      <c r="AX356" s="380"/>
      <c r="AY356" s="403"/>
      <c r="AZ356" s="380"/>
      <c r="BA356" s="380"/>
      <c r="BB356" s="380"/>
      <c r="BC356" s="380"/>
      <c r="BD356" s="380"/>
      <c r="BE356" s="404"/>
      <c r="BF356" s="380"/>
      <c r="BG356" s="380"/>
      <c r="BH356" s="380"/>
      <c r="BI356" s="380"/>
      <c r="BJ356" s="380"/>
      <c r="BK356" s="380"/>
      <c r="BL356" s="380"/>
      <c r="BM356" s="403"/>
      <c r="BS356" s="83"/>
      <c r="CA356" s="405"/>
      <c r="CG356" s="83"/>
      <c r="CO356" s="405"/>
      <c r="CU356" s="83"/>
      <c r="DC356" s="405"/>
      <c r="DI356" s="83"/>
      <c r="DQ356" s="405"/>
      <c r="DW356" s="83"/>
      <c r="EE356" s="405"/>
      <c r="EK356" s="83"/>
      <c r="ES356" s="405"/>
      <c r="EY356" s="83"/>
      <c r="FG356" s="405"/>
      <c r="FM356" s="83"/>
      <c r="FU356" s="405"/>
      <c r="GA356" s="83"/>
      <c r="GI356" s="405"/>
      <c r="GO356" s="83"/>
      <c r="GW356" s="405"/>
      <c r="HC356" s="83"/>
      <c r="HK356" s="405"/>
      <c r="HQ356" s="83"/>
      <c r="HY356" s="405"/>
      <c r="IE356" s="83"/>
      <c r="IM356" s="405"/>
      <c r="IS356" s="83"/>
      <c r="JA356" s="405"/>
      <c r="JG356" s="83"/>
      <c r="JO356" s="405"/>
      <c r="JU356" s="83"/>
      <c r="KC356" s="405"/>
      <c r="KI356" s="83"/>
      <c r="KQ356" s="405"/>
      <c r="KW356" s="83"/>
      <c r="LE356" s="405"/>
      <c r="LK356" s="83"/>
      <c r="LS356" s="405"/>
      <c r="LY356" s="83"/>
      <c r="MG356" s="405"/>
      <c r="MM356" s="83"/>
      <c r="MU356" s="405"/>
      <c r="NA356" s="83"/>
    </row>
    <row r="357">
      <c r="A357" s="483"/>
      <c r="B357" s="380"/>
      <c r="C357" s="380"/>
      <c r="D357" s="380"/>
      <c r="E357" s="380"/>
      <c r="F357" s="380"/>
      <c r="G357" s="380"/>
      <c r="H357" s="380"/>
      <c r="I357" s="403"/>
      <c r="J357" s="380"/>
      <c r="K357" s="380"/>
      <c r="L357" s="380"/>
      <c r="M357" s="380"/>
      <c r="N357" s="380"/>
      <c r="O357" s="404"/>
      <c r="P357" s="380"/>
      <c r="Q357" s="380"/>
      <c r="R357" s="380"/>
      <c r="S357" s="380"/>
      <c r="T357" s="380"/>
      <c r="U357" s="380"/>
      <c r="V357" s="380"/>
      <c r="W357" s="403"/>
      <c r="X357" s="380"/>
      <c r="Y357" s="380"/>
      <c r="Z357" s="380"/>
      <c r="AA357" s="380"/>
      <c r="AB357" s="380"/>
      <c r="AC357" s="404"/>
      <c r="AD357" s="380"/>
      <c r="AE357" s="380"/>
      <c r="AF357" s="380"/>
      <c r="AG357" s="380"/>
      <c r="AH357" s="380"/>
      <c r="AI357" s="380"/>
      <c r="AJ357" s="380"/>
      <c r="AK357" s="403"/>
      <c r="AL357" s="380"/>
      <c r="AM357" s="380"/>
      <c r="AN357" s="380"/>
      <c r="AO357" s="380"/>
      <c r="AP357" s="380"/>
      <c r="AQ357" s="404"/>
      <c r="AR357" s="380"/>
      <c r="AS357" s="380"/>
      <c r="AT357" s="380"/>
      <c r="AU357" s="380"/>
      <c r="AV357" s="380"/>
      <c r="AW357" s="380"/>
      <c r="AX357" s="380"/>
      <c r="AY357" s="403"/>
      <c r="AZ357" s="380"/>
      <c r="BA357" s="380"/>
      <c r="BB357" s="380"/>
      <c r="BC357" s="380"/>
      <c r="BD357" s="380"/>
      <c r="BE357" s="404"/>
      <c r="BF357" s="380"/>
      <c r="BG357" s="380"/>
      <c r="BH357" s="380"/>
      <c r="BI357" s="380"/>
      <c r="BJ357" s="380"/>
      <c r="BK357" s="380"/>
      <c r="BL357" s="380"/>
      <c r="BM357" s="403"/>
      <c r="BS357" s="83"/>
      <c r="CA357" s="405"/>
      <c r="CG357" s="83"/>
      <c r="CO357" s="405"/>
      <c r="CU357" s="83"/>
      <c r="DC357" s="405"/>
      <c r="DI357" s="83"/>
      <c r="DQ357" s="405"/>
      <c r="DW357" s="83"/>
      <c r="EE357" s="405"/>
      <c r="EK357" s="83"/>
      <c r="ES357" s="405"/>
      <c r="EY357" s="83"/>
      <c r="FG357" s="405"/>
      <c r="FM357" s="83"/>
      <c r="FU357" s="405"/>
      <c r="GA357" s="83"/>
      <c r="GI357" s="405"/>
      <c r="GO357" s="83"/>
      <c r="GW357" s="405"/>
      <c r="HC357" s="83"/>
      <c r="HK357" s="405"/>
      <c r="HQ357" s="83"/>
      <c r="HY357" s="405"/>
      <c r="IE357" s="83"/>
      <c r="IM357" s="405"/>
      <c r="IS357" s="83"/>
      <c r="JA357" s="405"/>
      <c r="JG357" s="83"/>
      <c r="JO357" s="405"/>
      <c r="JU357" s="83"/>
      <c r="KC357" s="405"/>
      <c r="KI357" s="83"/>
      <c r="KQ357" s="405"/>
      <c r="KW357" s="83"/>
      <c r="LE357" s="405"/>
      <c r="LK357" s="83"/>
      <c r="LS357" s="405"/>
      <c r="LY357" s="83"/>
      <c r="MG357" s="405"/>
      <c r="MM357" s="83"/>
      <c r="MU357" s="405"/>
      <c r="NA357" s="83"/>
    </row>
    <row r="358">
      <c r="A358" s="483"/>
      <c r="B358" s="380"/>
      <c r="C358" s="380"/>
      <c r="D358" s="380"/>
      <c r="E358" s="380"/>
      <c r="F358" s="380"/>
      <c r="G358" s="380"/>
      <c r="H358" s="380"/>
      <c r="I358" s="403"/>
      <c r="J358" s="380"/>
      <c r="K358" s="380"/>
      <c r="L358" s="380"/>
      <c r="M358" s="380"/>
      <c r="N358" s="380"/>
      <c r="O358" s="404"/>
      <c r="P358" s="380"/>
      <c r="Q358" s="380"/>
      <c r="R358" s="380"/>
      <c r="S358" s="380"/>
      <c r="T358" s="380"/>
      <c r="U358" s="380"/>
      <c r="V358" s="380"/>
      <c r="W358" s="403"/>
      <c r="X358" s="380"/>
      <c r="Y358" s="380"/>
      <c r="Z358" s="380"/>
      <c r="AA358" s="380"/>
      <c r="AB358" s="380"/>
      <c r="AC358" s="404"/>
      <c r="AD358" s="380"/>
      <c r="AE358" s="380"/>
      <c r="AF358" s="380"/>
      <c r="AG358" s="380"/>
      <c r="AH358" s="380"/>
      <c r="AI358" s="380"/>
      <c r="AJ358" s="380"/>
      <c r="AK358" s="403"/>
      <c r="AL358" s="380"/>
      <c r="AM358" s="380"/>
      <c r="AN358" s="380"/>
      <c r="AO358" s="380"/>
      <c r="AP358" s="380"/>
      <c r="AQ358" s="404"/>
      <c r="AR358" s="380"/>
      <c r="AS358" s="380"/>
      <c r="AT358" s="380"/>
      <c r="AU358" s="380"/>
      <c r="AV358" s="380"/>
      <c r="AW358" s="380"/>
      <c r="AX358" s="380"/>
      <c r="AY358" s="403"/>
      <c r="AZ358" s="380"/>
      <c r="BA358" s="380"/>
      <c r="BB358" s="380"/>
      <c r="BC358" s="380"/>
      <c r="BD358" s="380"/>
      <c r="BE358" s="404"/>
      <c r="BF358" s="380"/>
      <c r="BG358" s="380"/>
      <c r="BH358" s="380"/>
      <c r="BI358" s="380"/>
      <c r="BJ358" s="380"/>
      <c r="BK358" s="380"/>
      <c r="BL358" s="380"/>
      <c r="BM358" s="403"/>
      <c r="BS358" s="83"/>
      <c r="CA358" s="405"/>
      <c r="CG358" s="83"/>
      <c r="CO358" s="405"/>
      <c r="CU358" s="83"/>
      <c r="DC358" s="405"/>
      <c r="DI358" s="83"/>
      <c r="DQ358" s="405"/>
      <c r="DW358" s="83"/>
      <c r="EE358" s="405"/>
      <c r="EK358" s="83"/>
      <c r="ES358" s="405"/>
      <c r="EY358" s="83"/>
      <c r="FG358" s="405"/>
      <c r="FM358" s="83"/>
      <c r="FU358" s="405"/>
      <c r="GA358" s="83"/>
      <c r="GI358" s="405"/>
      <c r="GO358" s="83"/>
      <c r="GW358" s="405"/>
      <c r="HC358" s="83"/>
      <c r="HK358" s="405"/>
      <c r="HQ358" s="83"/>
      <c r="HY358" s="405"/>
      <c r="IE358" s="83"/>
      <c r="IM358" s="405"/>
      <c r="IS358" s="83"/>
      <c r="JA358" s="405"/>
      <c r="JG358" s="83"/>
      <c r="JO358" s="405"/>
      <c r="JU358" s="83"/>
      <c r="KC358" s="405"/>
      <c r="KI358" s="83"/>
      <c r="KQ358" s="405"/>
      <c r="KW358" s="83"/>
      <c r="LE358" s="405"/>
      <c r="LK358" s="83"/>
      <c r="LS358" s="405"/>
      <c r="LY358" s="83"/>
      <c r="MG358" s="405"/>
      <c r="MM358" s="83"/>
      <c r="MU358" s="405"/>
      <c r="NA358" s="83"/>
    </row>
    <row r="359">
      <c r="A359" s="483"/>
      <c r="B359" s="380"/>
      <c r="C359" s="380"/>
      <c r="D359" s="380"/>
      <c r="E359" s="380"/>
      <c r="F359" s="380"/>
      <c r="G359" s="380"/>
      <c r="H359" s="380"/>
      <c r="I359" s="403"/>
      <c r="J359" s="380"/>
      <c r="K359" s="380"/>
      <c r="L359" s="380"/>
      <c r="M359" s="380"/>
      <c r="N359" s="380"/>
      <c r="O359" s="404"/>
      <c r="P359" s="380"/>
      <c r="Q359" s="380"/>
      <c r="R359" s="380"/>
      <c r="S359" s="380"/>
      <c r="T359" s="380"/>
      <c r="U359" s="380"/>
      <c r="V359" s="380"/>
      <c r="W359" s="403"/>
      <c r="X359" s="380"/>
      <c r="Y359" s="380"/>
      <c r="Z359" s="380"/>
      <c r="AA359" s="380"/>
      <c r="AB359" s="380"/>
      <c r="AC359" s="404"/>
      <c r="AD359" s="380"/>
      <c r="AE359" s="380"/>
      <c r="AF359" s="380"/>
      <c r="AG359" s="380"/>
      <c r="AH359" s="380"/>
      <c r="AI359" s="380"/>
      <c r="AJ359" s="380"/>
      <c r="AK359" s="403"/>
      <c r="AL359" s="380"/>
      <c r="AM359" s="380"/>
      <c r="AN359" s="380"/>
      <c r="AO359" s="380"/>
      <c r="AP359" s="380"/>
      <c r="AQ359" s="404"/>
      <c r="AR359" s="380"/>
      <c r="AS359" s="380"/>
      <c r="AT359" s="380"/>
      <c r="AU359" s="380"/>
      <c r="AV359" s="380"/>
      <c r="AW359" s="380"/>
      <c r="AX359" s="380"/>
      <c r="AY359" s="403"/>
      <c r="AZ359" s="380"/>
      <c r="BA359" s="380"/>
      <c r="BB359" s="380"/>
      <c r="BC359" s="380"/>
      <c r="BD359" s="380"/>
      <c r="BE359" s="404"/>
      <c r="BF359" s="380"/>
      <c r="BG359" s="380"/>
      <c r="BH359" s="380"/>
      <c r="BI359" s="380"/>
      <c r="BJ359" s="380"/>
      <c r="BK359" s="380"/>
      <c r="BL359" s="380"/>
      <c r="BM359" s="403"/>
      <c r="BS359" s="83"/>
      <c r="CA359" s="405"/>
      <c r="CG359" s="83"/>
      <c r="CO359" s="405"/>
      <c r="CU359" s="83"/>
      <c r="DC359" s="405"/>
      <c r="DI359" s="83"/>
      <c r="DQ359" s="405"/>
      <c r="DW359" s="83"/>
      <c r="EE359" s="405"/>
      <c r="EK359" s="83"/>
      <c r="ES359" s="405"/>
      <c r="EY359" s="83"/>
      <c r="FG359" s="405"/>
      <c r="FM359" s="83"/>
      <c r="FU359" s="405"/>
      <c r="GA359" s="83"/>
      <c r="GI359" s="405"/>
      <c r="GO359" s="83"/>
      <c r="GW359" s="405"/>
      <c r="HC359" s="83"/>
      <c r="HK359" s="405"/>
      <c r="HQ359" s="83"/>
      <c r="HY359" s="405"/>
      <c r="IE359" s="83"/>
      <c r="IM359" s="405"/>
      <c r="IS359" s="83"/>
      <c r="JA359" s="405"/>
      <c r="JG359" s="83"/>
      <c r="JO359" s="405"/>
      <c r="JU359" s="83"/>
      <c r="KC359" s="405"/>
      <c r="KI359" s="83"/>
      <c r="KQ359" s="405"/>
      <c r="KW359" s="83"/>
      <c r="LE359" s="405"/>
      <c r="LK359" s="83"/>
      <c r="LS359" s="405"/>
      <c r="LY359" s="83"/>
      <c r="MG359" s="405"/>
      <c r="MM359" s="83"/>
      <c r="MU359" s="405"/>
      <c r="NA359" s="83"/>
    </row>
    <row r="360">
      <c r="A360" s="483"/>
      <c r="B360" s="380"/>
      <c r="C360" s="380"/>
      <c r="D360" s="380"/>
      <c r="E360" s="380"/>
      <c r="F360" s="380"/>
      <c r="G360" s="380"/>
      <c r="H360" s="380"/>
      <c r="I360" s="403"/>
      <c r="J360" s="380"/>
      <c r="K360" s="380"/>
      <c r="L360" s="380"/>
      <c r="M360" s="380"/>
      <c r="N360" s="380"/>
      <c r="O360" s="404"/>
      <c r="P360" s="380"/>
      <c r="Q360" s="380"/>
      <c r="R360" s="380"/>
      <c r="S360" s="380"/>
      <c r="T360" s="380"/>
      <c r="U360" s="380"/>
      <c r="V360" s="380"/>
      <c r="W360" s="403"/>
      <c r="X360" s="380"/>
      <c r="Y360" s="380"/>
      <c r="Z360" s="380"/>
      <c r="AA360" s="380"/>
      <c r="AB360" s="380"/>
      <c r="AC360" s="404"/>
      <c r="AD360" s="380"/>
      <c r="AE360" s="380"/>
      <c r="AF360" s="380"/>
      <c r="AG360" s="380"/>
      <c r="AH360" s="380"/>
      <c r="AI360" s="380"/>
      <c r="AJ360" s="380"/>
      <c r="AK360" s="403"/>
      <c r="AL360" s="380"/>
      <c r="AM360" s="380"/>
      <c r="AN360" s="380"/>
      <c r="AO360" s="380"/>
      <c r="AP360" s="380"/>
      <c r="AQ360" s="404"/>
      <c r="AR360" s="380"/>
      <c r="AS360" s="380"/>
      <c r="AT360" s="380"/>
      <c r="AU360" s="380"/>
      <c r="AV360" s="380"/>
      <c r="AW360" s="380"/>
      <c r="AX360" s="380"/>
      <c r="AY360" s="403"/>
      <c r="AZ360" s="380"/>
      <c r="BA360" s="380"/>
      <c r="BB360" s="380"/>
      <c r="BC360" s="380"/>
      <c r="BD360" s="380"/>
      <c r="BE360" s="404"/>
      <c r="BF360" s="380"/>
      <c r="BG360" s="380"/>
      <c r="BH360" s="380"/>
      <c r="BI360" s="380"/>
      <c r="BJ360" s="380"/>
      <c r="BK360" s="380"/>
      <c r="BL360" s="380"/>
      <c r="BM360" s="403"/>
      <c r="BS360" s="83"/>
      <c r="CA360" s="405"/>
      <c r="CG360" s="83"/>
      <c r="CO360" s="405"/>
      <c r="CU360" s="83"/>
      <c r="DC360" s="405"/>
      <c r="DI360" s="83"/>
      <c r="DQ360" s="405"/>
      <c r="DW360" s="83"/>
      <c r="EE360" s="405"/>
      <c r="EK360" s="83"/>
      <c r="ES360" s="405"/>
      <c r="EY360" s="83"/>
      <c r="FG360" s="405"/>
      <c r="FM360" s="83"/>
      <c r="FU360" s="405"/>
      <c r="GA360" s="83"/>
      <c r="GI360" s="405"/>
      <c r="GO360" s="83"/>
      <c r="GW360" s="405"/>
      <c r="HC360" s="83"/>
      <c r="HK360" s="405"/>
      <c r="HQ360" s="83"/>
      <c r="HY360" s="405"/>
      <c r="IE360" s="83"/>
      <c r="IM360" s="405"/>
      <c r="IS360" s="83"/>
      <c r="JA360" s="405"/>
      <c r="JG360" s="83"/>
      <c r="JO360" s="405"/>
      <c r="JU360" s="83"/>
      <c r="KC360" s="405"/>
      <c r="KI360" s="83"/>
      <c r="KQ360" s="405"/>
      <c r="KW360" s="83"/>
      <c r="LE360" s="405"/>
      <c r="LK360" s="83"/>
      <c r="LS360" s="405"/>
      <c r="LY360" s="83"/>
      <c r="MG360" s="405"/>
      <c r="MM360" s="83"/>
      <c r="MU360" s="405"/>
      <c r="NA360" s="83"/>
    </row>
    <row r="361">
      <c r="A361" s="483"/>
      <c r="B361" s="380"/>
      <c r="C361" s="380"/>
      <c r="D361" s="380"/>
      <c r="E361" s="380"/>
      <c r="F361" s="380"/>
      <c r="G361" s="380"/>
      <c r="H361" s="380"/>
      <c r="I361" s="403"/>
      <c r="J361" s="380"/>
      <c r="K361" s="380"/>
      <c r="L361" s="380"/>
      <c r="M361" s="380"/>
      <c r="N361" s="380"/>
      <c r="O361" s="404"/>
      <c r="P361" s="380"/>
      <c r="Q361" s="380"/>
      <c r="R361" s="380"/>
      <c r="S361" s="380"/>
      <c r="T361" s="380"/>
      <c r="U361" s="380"/>
      <c r="V361" s="380"/>
      <c r="W361" s="403"/>
      <c r="X361" s="380"/>
      <c r="Y361" s="380"/>
      <c r="Z361" s="380"/>
      <c r="AA361" s="380"/>
      <c r="AB361" s="380"/>
      <c r="AC361" s="404"/>
      <c r="AD361" s="380"/>
      <c r="AE361" s="380"/>
      <c r="AF361" s="380"/>
      <c r="AG361" s="380"/>
      <c r="AH361" s="380"/>
      <c r="AI361" s="380"/>
      <c r="AJ361" s="380"/>
      <c r="AK361" s="403"/>
      <c r="AL361" s="380"/>
      <c r="AM361" s="380"/>
      <c r="AN361" s="380"/>
      <c r="AO361" s="380"/>
      <c r="AP361" s="380"/>
      <c r="AQ361" s="404"/>
      <c r="AR361" s="380"/>
      <c r="AS361" s="380"/>
      <c r="AT361" s="380"/>
      <c r="AU361" s="380"/>
      <c r="AV361" s="380"/>
      <c r="AW361" s="380"/>
      <c r="AX361" s="380"/>
      <c r="AY361" s="403"/>
      <c r="AZ361" s="380"/>
      <c r="BA361" s="380"/>
      <c r="BB361" s="380"/>
      <c r="BC361" s="380"/>
      <c r="BD361" s="380"/>
      <c r="BE361" s="404"/>
      <c r="BF361" s="380"/>
      <c r="BG361" s="380"/>
      <c r="BH361" s="380"/>
      <c r="BI361" s="380"/>
      <c r="BJ361" s="380"/>
      <c r="BK361" s="380"/>
      <c r="BL361" s="380"/>
      <c r="BM361" s="403"/>
      <c r="BS361" s="83"/>
      <c r="CA361" s="405"/>
      <c r="CG361" s="83"/>
      <c r="CO361" s="405"/>
      <c r="CU361" s="83"/>
      <c r="DC361" s="405"/>
      <c r="DI361" s="83"/>
      <c r="DQ361" s="405"/>
      <c r="DW361" s="83"/>
      <c r="EE361" s="405"/>
      <c r="EK361" s="83"/>
      <c r="ES361" s="405"/>
      <c r="EY361" s="83"/>
      <c r="FG361" s="405"/>
      <c r="FM361" s="83"/>
      <c r="FU361" s="405"/>
      <c r="GA361" s="83"/>
      <c r="GI361" s="405"/>
      <c r="GO361" s="83"/>
      <c r="GW361" s="405"/>
      <c r="HC361" s="83"/>
      <c r="HK361" s="405"/>
      <c r="HQ361" s="83"/>
      <c r="HY361" s="405"/>
      <c r="IE361" s="83"/>
      <c r="IM361" s="405"/>
      <c r="IS361" s="83"/>
      <c r="JA361" s="405"/>
      <c r="JG361" s="83"/>
      <c r="JO361" s="405"/>
      <c r="JU361" s="83"/>
      <c r="KC361" s="405"/>
      <c r="KI361" s="83"/>
      <c r="KQ361" s="405"/>
      <c r="KW361" s="83"/>
      <c r="LE361" s="405"/>
      <c r="LK361" s="83"/>
      <c r="LS361" s="405"/>
      <c r="LY361" s="83"/>
      <c r="MG361" s="405"/>
      <c r="MM361" s="83"/>
      <c r="MU361" s="405"/>
      <c r="NA361" s="83"/>
    </row>
    <row r="362">
      <c r="A362" s="483"/>
      <c r="B362" s="380"/>
      <c r="C362" s="380"/>
      <c r="D362" s="380"/>
      <c r="E362" s="380"/>
      <c r="F362" s="380"/>
      <c r="G362" s="380"/>
      <c r="H362" s="380"/>
      <c r="I362" s="403"/>
      <c r="J362" s="380"/>
      <c r="K362" s="380"/>
      <c r="L362" s="380"/>
      <c r="M362" s="380"/>
      <c r="N362" s="380"/>
      <c r="O362" s="404"/>
      <c r="P362" s="380"/>
      <c r="Q362" s="380"/>
      <c r="R362" s="380"/>
      <c r="S362" s="380"/>
      <c r="T362" s="380"/>
      <c r="U362" s="380"/>
      <c r="V362" s="380"/>
      <c r="W362" s="403"/>
      <c r="X362" s="380"/>
      <c r="Y362" s="380"/>
      <c r="Z362" s="380"/>
      <c r="AA362" s="380"/>
      <c r="AB362" s="380"/>
      <c r="AC362" s="404"/>
      <c r="AD362" s="380"/>
      <c r="AE362" s="380"/>
      <c r="AF362" s="380"/>
      <c r="AG362" s="380"/>
      <c r="AH362" s="380"/>
      <c r="AI362" s="380"/>
      <c r="AJ362" s="380"/>
      <c r="AK362" s="403"/>
      <c r="AL362" s="380"/>
      <c r="AM362" s="380"/>
      <c r="AN362" s="380"/>
      <c r="AO362" s="380"/>
      <c r="AP362" s="380"/>
      <c r="AQ362" s="404"/>
      <c r="AR362" s="380"/>
      <c r="AS362" s="380"/>
      <c r="AT362" s="380"/>
      <c r="AU362" s="380"/>
      <c r="AV362" s="380"/>
      <c r="AW362" s="380"/>
      <c r="AX362" s="380"/>
      <c r="AY362" s="403"/>
      <c r="AZ362" s="380"/>
      <c r="BA362" s="380"/>
      <c r="BB362" s="380"/>
      <c r="BC362" s="380"/>
      <c r="BD362" s="380"/>
      <c r="BE362" s="404"/>
      <c r="BF362" s="380"/>
      <c r="BG362" s="380"/>
      <c r="BH362" s="380"/>
      <c r="BI362" s="380"/>
      <c r="BJ362" s="380"/>
      <c r="BK362" s="380"/>
      <c r="BL362" s="380"/>
      <c r="BM362" s="403"/>
      <c r="BS362" s="83"/>
      <c r="CA362" s="405"/>
      <c r="CG362" s="83"/>
      <c r="CO362" s="405"/>
      <c r="CU362" s="83"/>
      <c r="DC362" s="405"/>
      <c r="DI362" s="83"/>
      <c r="DQ362" s="405"/>
      <c r="DW362" s="83"/>
      <c r="EE362" s="405"/>
      <c r="EK362" s="83"/>
      <c r="ES362" s="405"/>
      <c r="EY362" s="83"/>
      <c r="FG362" s="405"/>
      <c r="FM362" s="83"/>
      <c r="FU362" s="405"/>
      <c r="GA362" s="83"/>
      <c r="GI362" s="405"/>
      <c r="GO362" s="83"/>
      <c r="GW362" s="405"/>
      <c r="HC362" s="83"/>
      <c r="HK362" s="405"/>
      <c r="HQ362" s="83"/>
      <c r="HY362" s="405"/>
      <c r="IE362" s="83"/>
      <c r="IM362" s="405"/>
      <c r="IS362" s="83"/>
      <c r="JA362" s="405"/>
      <c r="JG362" s="83"/>
      <c r="JO362" s="405"/>
      <c r="JU362" s="83"/>
      <c r="KC362" s="405"/>
      <c r="KI362" s="83"/>
      <c r="KQ362" s="405"/>
      <c r="KW362" s="83"/>
      <c r="LE362" s="405"/>
      <c r="LK362" s="83"/>
      <c r="LS362" s="405"/>
      <c r="LY362" s="83"/>
      <c r="MG362" s="405"/>
      <c r="MM362" s="83"/>
      <c r="MU362" s="405"/>
      <c r="NA362" s="83"/>
    </row>
    <row r="363">
      <c r="A363" s="483"/>
      <c r="B363" s="380"/>
      <c r="C363" s="380"/>
      <c r="D363" s="380"/>
      <c r="E363" s="380"/>
      <c r="F363" s="380"/>
      <c r="G363" s="380"/>
      <c r="H363" s="380"/>
      <c r="I363" s="403"/>
      <c r="J363" s="380"/>
      <c r="K363" s="380"/>
      <c r="L363" s="380"/>
      <c r="M363" s="380"/>
      <c r="N363" s="380"/>
      <c r="O363" s="404"/>
      <c r="P363" s="380"/>
      <c r="Q363" s="380"/>
      <c r="R363" s="380"/>
      <c r="S363" s="380"/>
      <c r="T363" s="380"/>
      <c r="U363" s="380"/>
      <c r="V363" s="380"/>
      <c r="W363" s="403"/>
      <c r="X363" s="380"/>
      <c r="Y363" s="380"/>
      <c r="Z363" s="380"/>
      <c r="AA363" s="380"/>
      <c r="AB363" s="380"/>
      <c r="AC363" s="404"/>
      <c r="AD363" s="380"/>
      <c r="AE363" s="380"/>
      <c r="AF363" s="380"/>
      <c r="AG363" s="380"/>
      <c r="AH363" s="380"/>
      <c r="AI363" s="380"/>
      <c r="AJ363" s="380"/>
      <c r="AK363" s="403"/>
      <c r="AL363" s="380"/>
      <c r="AM363" s="380"/>
      <c r="AN363" s="380"/>
      <c r="AO363" s="380"/>
      <c r="AP363" s="380"/>
      <c r="AQ363" s="404"/>
      <c r="AR363" s="380"/>
      <c r="AS363" s="380"/>
      <c r="AT363" s="380"/>
      <c r="AU363" s="380"/>
      <c r="AV363" s="380"/>
      <c r="AW363" s="380"/>
      <c r="AX363" s="380"/>
      <c r="AY363" s="403"/>
      <c r="AZ363" s="380"/>
      <c r="BA363" s="380"/>
      <c r="BB363" s="380"/>
      <c r="BC363" s="380"/>
      <c r="BD363" s="380"/>
      <c r="BE363" s="404"/>
      <c r="BF363" s="380"/>
      <c r="BG363" s="380"/>
      <c r="BH363" s="380"/>
      <c r="BI363" s="380"/>
      <c r="BJ363" s="380"/>
      <c r="BK363" s="380"/>
      <c r="BL363" s="380"/>
      <c r="BM363" s="403"/>
      <c r="BS363" s="83"/>
      <c r="CA363" s="405"/>
      <c r="CG363" s="83"/>
      <c r="CO363" s="405"/>
      <c r="CU363" s="83"/>
      <c r="DC363" s="405"/>
      <c r="DI363" s="83"/>
      <c r="DQ363" s="405"/>
      <c r="DW363" s="83"/>
      <c r="EE363" s="405"/>
      <c r="EK363" s="83"/>
      <c r="ES363" s="405"/>
      <c r="EY363" s="83"/>
      <c r="FG363" s="405"/>
      <c r="FM363" s="83"/>
      <c r="FU363" s="405"/>
      <c r="GA363" s="83"/>
      <c r="GI363" s="405"/>
      <c r="GO363" s="83"/>
      <c r="GW363" s="405"/>
      <c r="HC363" s="83"/>
      <c r="HK363" s="405"/>
      <c r="HQ363" s="83"/>
      <c r="HY363" s="405"/>
      <c r="IE363" s="83"/>
      <c r="IM363" s="405"/>
      <c r="IS363" s="83"/>
      <c r="JA363" s="405"/>
      <c r="JG363" s="83"/>
      <c r="JO363" s="405"/>
      <c r="JU363" s="83"/>
      <c r="KC363" s="405"/>
      <c r="KI363" s="83"/>
      <c r="KQ363" s="405"/>
      <c r="KW363" s="83"/>
      <c r="LE363" s="405"/>
      <c r="LK363" s="83"/>
      <c r="LS363" s="405"/>
      <c r="LY363" s="83"/>
      <c r="MG363" s="405"/>
      <c r="MM363" s="83"/>
      <c r="MU363" s="405"/>
      <c r="NA363" s="83"/>
    </row>
    <row r="364">
      <c r="A364" s="483"/>
      <c r="B364" s="380"/>
      <c r="C364" s="380"/>
      <c r="D364" s="380"/>
      <c r="E364" s="380"/>
      <c r="F364" s="380"/>
      <c r="G364" s="380"/>
      <c r="H364" s="380"/>
      <c r="I364" s="403"/>
      <c r="J364" s="380"/>
      <c r="K364" s="380"/>
      <c r="L364" s="380"/>
      <c r="M364" s="380"/>
      <c r="N364" s="380"/>
      <c r="O364" s="404"/>
      <c r="P364" s="380"/>
      <c r="Q364" s="380"/>
      <c r="R364" s="380"/>
      <c r="S364" s="380"/>
      <c r="T364" s="380"/>
      <c r="U364" s="380"/>
      <c r="V364" s="380"/>
      <c r="W364" s="403"/>
      <c r="X364" s="380"/>
      <c r="Y364" s="380"/>
      <c r="Z364" s="380"/>
      <c r="AA364" s="380"/>
      <c r="AB364" s="380"/>
      <c r="AC364" s="404"/>
      <c r="AD364" s="380"/>
      <c r="AE364" s="380"/>
      <c r="AF364" s="380"/>
      <c r="AG364" s="380"/>
      <c r="AH364" s="380"/>
      <c r="AI364" s="380"/>
      <c r="AJ364" s="380"/>
      <c r="AK364" s="403"/>
      <c r="AL364" s="380"/>
      <c r="AM364" s="380"/>
      <c r="AN364" s="380"/>
      <c r="AO364" s="380"/>
      <c r="AP364" s="380"/>
      <c r="AQ364" s="404"/>
      <c r="AR364" s="380"/>
      <c r="AS364" s="380"/>
      <c r="AT364" s="380"/>
      <c r="AU364" s="380"/>
      <c r="AV364" s="380"/>
      <c r="AW364" s="380"/>
      <c r="AX364" s="380"/>
      <c r="AY364" s="403"/>
      <c r="AZ364" s="380"/>
      <c r="BA364" s="380"/>
      <c r="BB364" s="380"/>
      <c r="BC364" s="380"/>
      <c r="BD364" s="380"/>
      <c r="BE364" s="404"/>
      <c r="BF364" s="380"/>
      <c r="BG364" s="380"/>
      <c r="BH364" s="380"/>
      <c r="BI364" s="380"/>
      <c r="BJ364" s="380"/>
      <c r="BK364" s="380"/>
      <c r="BL364" s="380"/>
      <c r="BM364" s="403"/>
      <c r="BS364" s="83"/>
      <c r="CA364" s="405"/>
      <c r="CG364" s="83"/>
      <c r="CO364" s="405"/>
      <c r="CU364" s="83"/>
      <c r="DC364" s="405"/>
      <c r="DI364" s="83"/>
      <c r="DQ364" s="405"/>
      <c r="DW364" s="83"/>
      <c r="EE364" s="405"/>
      <c r="EK364" s="83"/>
      <c r="ES364" s="405"/>
      <c r="EY364" s="83"/>
      <c r="FG364" s="405"/>
      <c r="FM364" s="83"/>
      <c r="FU364" s="405"/>
      <c r="GA364" s="83"/>
      <c r="GI364" s="405"/>
      <c r="GO364" s="83"/>
      <c r="GW364" s="405"/>
      <c r="HC364" s="83"/>
      <c r="HK364" s="405"/>
      <c r="HQ364" s="83"/>
      <c r="HY364" s="405"/>
      <c r="IE364" s="83"/>
      <c r="IM364" s="405"/>
      <c r="IS364" s="83"/>
      <c r="JA364" s="405"/>
      <c r="JG364" s="83"/>
      <c r="JO364" s="405"/>
      <c r="JU364" s="83"/>
      <c r="KC364" s="405"/>
      <c r="KI364" s="83"/>
      <c r="KQ364" s="405"/>
      <c r="KW364" s="83"/>
      <c r="LE364" s="405"/>
      <c r="LK364" s="83"/>
      <c r="LS364" s="405"/>
      <c r="LY364" s="83"/>
      <c r="MG364" s="405"/>
      <c r="MM364" s="83"/>
      <c r="MU364" s="405"/>
      <c r="NA364" s="83"/>
    </row>
    <row r="365">
      <c r="A365" s="483"/>
      <c r="B365" s="380"/>
      <c r="C365" s="380"/>
      <c r="D365" s="380"/>
      <c r="E365" s="380"/>
      <c r="F365" s="380"/>
      <c r="G365" s="380"/>
      <c r="H365" s="380"/>
      <c r="I365" s="403"/>
      <c r="J365" s="380"/>
      <c r="K365" s="380"/>
      <c r="L365" s="380"/>
      <c r="M365" s="380"/>
      <c r="N365" s="380"/>
      <c r="O365" s="404"/>
      <c r="P365" s="380"/>
      <c r="Q365" s="380"/>
      <c r="R365" s="380"/>
      <c r="S365" s="380"/>
      <c r="T365" s="380"/>
      <c r="U365" s="380"/>
      <c r="V365" s="380"/>
      <c r="W365" s="403"/>
      <c r="X365" s="380"/>
      <c r="Y365" s="380"/>
      <c r="Z365" s="380"/>
      <c r="AA365" s="380"/>
      <c r="AB365" s="380"/>
      <c r="AC365" s="404"/>
      <c r="AD365" s="380"/>
      <c r="AE365" s="380"/>
      <c r="AF365" s="380"/>
      <c r="AG365" s="380"/>
      <c r="AH365" s="380"/>
      <c r="AI365" s="380"/>
      <c r="AJ365" s="380"/>
      <c r="AK365" s="403"/>
      <c r="AL365" s="380"/>
      <c r="AM365" s="380"/>
      <c r="AN365" s="380"/>
      <c r="AO365" s="380"/>
      <c r="AP365" s="380"/>
      <c r="AQ365" s="404"/>
      <c r="AR365" s="380"/>
      <c r="AS365" s="380"/>
      <c r="AT365" s="380"/>
      <c r="AU365" s="380"/>
      <c r="AV365" s="380"/>
      <c r="AW365" s="380"/>
      <c r="AX365" s="380"/>
      <c r="AY365" s="403"/>
      <c r="AZ365" s="380"/>
      <c r="BA365" s="380"/>
      <c r="BB365" s="380"/>
      <c r="BC365" s="380"/>
      <c r="BD365" s="380"/>
      <c r="BE365" s="404"/>
      <c r="BF365" s="380"/>
      <c r="BG365" s="380"/>
      <c r="BH365" s="380"/>
      <c r="BI365" s="380"/>
      <c r="BJ365" s="380"/>
      <c r="BK365" s="380"/>
      <c r="BL365" s="380"/>
      <c r="BM365" s="403"/>
      <c r="BS365" s="83"/>
      <c r="CA365" s="405"/>
      <c r="CG365" s="83"/>
      <c r="CO365" s="405"/>
      <c r="CU365" s="83"/>
      <c r="DC365" s="405"/>
      <c r="DI365" s="83"/>
      <c r="DQ365" s="405"/>
      <c r="DW365" s="83"/>
      <c r="EE365" s="405"/>
      <c r="EK365" s="83"/>
      <c r="ES365" s="405"/>
      <c r="EY365" s="83"/>
      <c r="FG365" s="405"/>
      <c r="FM365" s="83"/>
      <c r="FU365" s="405"/>
      <c r="GA365" s="83"/>
      <c r="GI365" s="405"/>
      <c r="GO365" s="83"/>
      <c r="GW365" s="405"/>
      <c r="HC365" s="83"/>
      <c r="HK365" s="405"/>
      <c r="HQ365" s="83"/>
      <c r="HY365" s="405"/>
      <c r="IE365" s="83"/>
      <c r="IM365" s="405"/>
      <c r="IS365" s="83"/>
      <c r="JA365" s="405"/>
      <c r="JG365" s="83"/>
      <c r="JO365" s="405"/>
      <c r="JU365" s="83"/>
      <c r="KC365" s="405"/>
      <c r="KI365" s="83"/>
      <c r="KQ365" s="405"/>
      <c r="KW365" s="83"/>
      <c r="LE365" s="405"/>
      <c r="LK365" s="83"/>
      <c r="LS365" s="405"/>
      <c r="LY365" s="83"/>
      <c r="MG365" s="405"/>
      <c r="MM365" s="83"/>
      <c r="MU365" s="405"/>
      <c r="NA365" s="83"/>
    </row>
    <row r="366">
      <c r="A366" s="483"/>
      <c r="B366" s="380"/>
      <c r="C366" s="380"/>
      <c r="D366" s="380"/>
      <c r="E366" s="380"/>
      <c r="F366" s="380"/>
      <c r="G366" s="380"/>
      <c r="H366" s="380"/>
      <c r="I366" s="403"/>
      <c r="J366" s="380"/>
      <c r="K366" s="380"/>
      <c r="L366" s="380"/>
      <c r="M366" s="380"/>
      <c r="N366" s="380"/>
      <c r="O366" s="404"/>
      <c r="P366" s="380"/>
      <c r="Q366" s="380"/>
      <c r="R366" s="380"/>
      <c r="S366" s="380"/>
      <c r="T366" s="380"/>
      <c r="U366" s="380"/>
      <c r="V366" s="380"/>
      <c r="W366" s="403"/>
      <c r="X366" s="380"/>
      <c r="Y366" s="380"/>
      <c r="Z366" s="380"/>
      <c r="AA366" s="380"/>
      <c r="AB366" s="380"/>
      <c r="AC366" s="404"/>
      <c r="AD366" s="380"/>
      <c r="AE366" s="380"/>
      <c r="AF366" s="380"/>
      <c r="AG366" s="380"/>
      <c r="AH366" s="380"/>
      <c r="AI366" s="380"/>
      <c r="AJ366" s="380"/>
      <c r="AK366" s="403"/>
      <c r="AL366" s="380"/>
      <c r="AM366" s="380"/>
      <c r="AN366" s="380"/>
      <c r="AO366" s="380"/>
      <c r="AP366" s="380"/>
      <c r="AQ366" s="404"/>
      <c r="AR366" s="380"/>
      <c r="AS366" s="380"/>
      <c r="AT366" s="380"/>
      <c r="AU366" s="380"/>
      <c r="AV366" s="380"/>
      <c r="AW366" s="380"/>
      <c r="AX366" s="380"/>
      <c r="AY366" s="403"/>
      <c r="AZ366" s="380"/>
      <c r="BA366" s="380"/>
      <c r="BB366" s="380"/>
      <c r="BC366" s="380"/>
      <c r="BD366" s="380"/>
      <c r="BE366" s="404"/>
      <c r="BF366" s="380"/>
      <c r="BG366" s="380"/>
      <c r="BH366" s="380"/>
      <c r="BI366" s="380"/>
      <c r="BJ366" s="380"/>
      <c r="BK366" s="380"/>
      <c r="BL366" s="380"/>
      <c r="BM366" s="403"/>
      <c r="BS366" s="83"/>
      <c r="CA366" s="405"/>
      <c r="CG366" s="83"/>
      <c r="CO366" s="405"/>
      <c r="CU366" s="83"/>
      <c r="DC366" s="405"/>
      <c r="DI366" s="83"/>
      <c r="DQ366" s="405"/>
      <c r="DW366" s="83"/>
      <c r="EE366" s="405"/>
      <c r="EK366" s="83"/>
      <c r="ES366" s="405"/>
      <c r="EY366" s="83"/>
      <c r="FG366" s="405"/>
      <c r="FM366" s="83"/>
      <c r="FU366" s="405"/>
      <c r="GA366" s="83"/>
      <c r="GI366" s="405"/>
      <c r="GO366" s="83"/>
      <c r="GW366" s="405"/>
      <c r="HC366" s="83"/>
      <c r="HK366" s="405"/>
      <c r="HQ366" s="83"/>
      <c r="HY366" s="405"/>
      <c r="IE366" s="83"/>
      <c r="IM366" s="405"/>
      <c r="IS366" s="83"/>
      <c r="JA366" s="405"/>
      <c r="JG366" s="83"/>
      <c r="JO366" s="405"/>
      <c r="JU366" s="83"/>
      <c r="KC366" s="405"/>
      <c r="KI366" s="83"/>
      <c r="KQ366" s="405"/>
      <c r="KW366" s="83"/>
      <c r="LE366" s="405"/>
      <c r="LK366" s="83"/>
      <c r="LS366" s="405"/>
      <c r="LY366" s="83"/>
      <c r="MG366" s="405"/>
      <c r="MM366" s="83"/>
      <c r="MU366" s="405"/>
      <c r="NA366" s="83"/>
    </row>
    <row r="367">
      <c r="A367" s="483"/>
      <c r="B367" s="380"/>
      <c r="C367" s="380"/>
      <c r="D367" s="380"/>
      <c r="E367" s="380"/>
      <c r="F367" s="380"/>
      <c r="G367" s="380"/>
      <c r="H367" s="380"/>
      <c r="I367" s="403"/>
      <c r="J367" s="380"/>
      <c r="K367" s="380"/>
      <c r="L367" s="380"/>
      <c r="M367" s="380"/>
      <c r="N367" s="380"/>
      <c r="O367" s="404"/>
      <c r="P367" s="380"/>
      <c r="Q367" s="380"/>
      <c r="R367" s="380"/>
      <c r="S367" s="380"/>
      <c r="T367" s="380"/>
      <c r="U367" s="380"/>
      <c r="V367" s="380"/>
      <c r="W367" s="403"/>
      <c r="X367" s="380"/>
      <c r="Y367" s="380"/>
      <c r="Z367" s="380"/>
      <c r="AA367" s="380"/>
      <c r="AB367" s="380"/>
      <c r="AC367" s="404"/>
      <c r="AD367" s="380"/>
      <c r="AE367" s="380"/>
      <c r="AF367" s="380"/>
      <c r="AG367" s="380"/>
      <c r="AH367" s="380"/>
      <c r="AI367" s="380"/>
      <c r="AJ367" s="380"/>
      <c r="AK367" s="403"/>
      <c r="AL367" s="380"/>
      <c r="AM367" s="380"/>
      <c r="AN367" s="380"/>
      <c r="AO367" s="380"/>
      <c r="AP367" s="380"/>
      <c r="AQ367" s="404"/>
      <c r="AR367" s="380"/>
      <c r="AS367" s="380"/>
      <c r="AT367" s="380"/>
      <c r="AU367" s="380"/>
      <c r="AV367" s="380"/>
      <c r="AW367" s="380"/>
      <c r="AX367" s="380"/>
      <c r="AY367" s="403"/>
      <c r="AZ367" s="380"/>
      <c r="BA367" s="380"/>
      <c r="BB367" s="380"/>
      <c r="BC367" s="380"/>
      <c r="BD367" s="380"/>
      <c r="BE367" s="404"/>
      <c r="BF367" s="380"/>
      <c r="BG367" s="380"/>
      <c r="BH367" s="380"/>
      <c r="BI367" s="380"/>
      <c r="BJ367" s="380"/>
      <c r="BK367" s="380"/>
      <c r="BL367" s="380"/>
      <c r="BM367" s="403"/>
      <c r="BS367" s="83"/>
      <c r="CA367" s="405"/>
      <c r="CG367" s="83"/>
      <c r="CO367" s="405"/>
      <c r="CU367" s="83"/>
      <c r="DC367" s="405"/>
      <c r="DI367" s="83"/>
      <c r="DQ367" s="405"/>
      <c r="DW367" s="83"/>
      <c r="EE367" s="405"/>
      <c r="EK367" s="83"/>
      <c r="ES367" s="405"/>
      <c r="EY367" s="83"/>
      <c r="FG367" s="405"/>
      <c r="FM367" s="83"/>
      <c r="FU367" s="405"/>
      <c r="GA367" s="83"/>
      <c r="GI367" s="405"/>
      <c r="GO367" s="83"/>
      <c r="GW367" s="405"/>
      <c r="HC367" s="83"/>
      <c r="HK367" s="405"/>
      <c r="HQ367" s="83"/>
      <c r="HY367" s="405"/>
      <c r="IE367" s="83"/>
      <c r="IM367" s="405"/>
      <c r="IS367" s="83"/>
      <c r="JA367" s="405"/>
      <c r="JG367" s="83"/>
      <c r="JO367" s="405"/>
      <c r="JU367" s="83"/>
      <c r="KC367" s="405"/>
      <c r="KI367" s="83"/>
      <c r="KQ367" s="405"/>
      <c r="KW367" s="83"/>
      <c r="LE367" s="405"/>
      <c r="LK367" s="83"/>
      <c r="LS367" s="405"/>
      <c r="LY367" s="83"/>
      <c r="MG367" s="405"/>
      <c r="MM367" s="83"/>
      <c r="MU367" s="405"/>
      <c r="NA367" s="83"/>
    </row>
    <row r="368">
      <c r="A368" s="483"/>
      <c r="B368" s="380"/>
      <c r="C368" s="380"/>
      <c r="D368" s="380"/>
      <c r="E368" s="380"/>
      <c r="F368" s="380"/>
      <c r="G368" s="380"/>
      <c r="H368" s="380"/>
      <c r="I368" s="403"/>
      <c r="J368" s="380"/>
      <c r="K368" s="380"/>
      <c r="L368" s="380"/>
      <c r="M368" s="380"/>
      <c r="N368" s="380"/>
      <c r="O368" s="404"/>
      <c r="P368" s="380"/>
      <c r="Q368" s="380"/>
      <c r="R368" s="380"/>
      <c r="S368" s="380"/>
      <c r="T368" s="380"/>
      <c r="U368" s="380"/>
      <c r="V368" s="380"/>
      <c r="W368" s="403"/>
      <c r="X368" s="380"/>
      <c r="Y368" s="380"/>
      <c r="Z368" s="380"/>
      <c r="AA368" s="380"/>
      <c r="AB368" s="380"/>
      <c r="AC368" s="404"/>
      <c r="AD368" s="380"/>
      <c r="AE368" s="380"/>
      <c r="AF368" s="380"/>
      <c r="AG368" s="380"/>
      <c r="AH368" s="380"/>
      <c r="AI368" s="380"/>
      <c r="AJ368" s="380"/>
      <c r="AK368" s="403"/>
      <c r="AL368" s="380"/>
      <c r="AM368" s="380"/>
      <c r="AN368" s="380"/>
      <c r="AO368" s="380"/>
      <c r="AP368" s="380"/>
      <c r="AQ368" s="404"/>
      <c r="AR368" s="380"/>
      <c r="AS368" s="380"/>
      <c r="AT368" s="380"/>
      <c r="AU368" s="380"/>
      <c r="AV368" s="380"/>
      <c r="AW368" s="380"/>
      <c r="AX368" s="380"/>
      <c r="AY368" s="403"/>
      <c r="AZ368" s="380"/>
      <c r="BA368" s="380"/>
      <c r="BB368" s="380"/>
      <c r="BC368" s="380"/>
      <c r="BD368" s="380"/>
      <c r="BE368" s="404"/>
      <c r="BF368" s="380"/>
      <c r="BG368" s="380"/>
      <c r="BH368" s="380"/>
      <c r="BI368" s="380"/>
      <c r="BJ368" s="380"/>
      <c r="BK368" s="380"/>
      <c r="BL368" s="380"/>
      <c r="BM368" s="403"/>
      <c r="BS368" s="83"/>
      <c r="CA368" s="405"/>
      <c r="CG368" s="83"/>
      <c r="CO368" s="405"/>
      <c r="CU368" s="83"/>
      <c r="DC368" s="405"/>
      <c r="DI368" s="83"/>
      <c r="DQ368" s="405"/>
      <c r="DW368" s="83"/>
      <c r="EE368" s="405"/>
      <c r="EK368" s="83"/>
      <c r="ES368" s="405"/>
      <c r="EY368" s="83"/>
      <c r="FG368" s="405"/>
      <c r="FM368" s="83"/>
      <c r="FU368" s="405"/>
      <c r="GA368" s="83"/>
      <c r="GI368" s="405"/>
      <c r="GO368" s="83"/>
      <c r="GW368" s="405"/>
      <c r="HC368" s="83"/>
      <c r="HK368" s="405"/>
      <c r="HQ368" s="83"/>
      <c r="HY368" s="405"/>
      <c r="IE368" s="83"/>
      <c r="IM368" s="405"/>
      <c r="IS368" s="83"/>
      <c r="JA368" s="405"/>
      <c r="JG368" s="83"/>
      <c r="JO368" s="405"/>
      <c r="JU368" s="83"/>
      <c r="KC368" s="405"/>
      <c r="KI368" s="83"/>
      <c r="KQ368" s="405"/>
      <c r="KW368" s="83"/>
      <c r="LE368" s="405"/>
      <c r="LK368" s="83"/>
      <c r="LS368" s="405"/>
      <c r="LY368" s="83"/>
      <c r="MG368" s="405"/>
      <c r="MM368" s="83"/>
      <c r="MU368" s="405"/>
      <c r="NA368" s="83"/>
    </row>
    <row r="369">
      <c r="A369" s="483"/>
      <c r="B369" s="380"/>
      <c r="C369" s="380"/>
      <c r="D369" s="380"/>
      <c r="E369" s="380"/>
      <c r="F369" s="380"/>
      <c r="G369" s="380"/>
      <c r="H369" s="380"/>
      <c r="I369" s="403"/>
      <c r="J369" s="380"/>
      <c r="K369" s="380"/>
      <c r="L369" s="380"/>
      <c r="M369" s="380"/>
      <c r="N369" s="380"/>
      <c r="O369" s="404"/>
      <c r="P369" s="380"/>
      <c r="Q369" s="380"/>
      <c r="R369" s="380"/>
      <c r="S369" s="380"/>
      <c r="T369" s="380"/>
      <c r="U369" s="380"/>
      <c r="V369" s="380"/>
      <c r="W369" s="403"/>
      <c r="X369" s="380"/>
      <c r="Y369" s="380"/>
      <c r="Z369" s="380"/>
      <c r="AA369" s="380"/>
      <c r="AB369" s="380"/>
      <c r="AC369" s="404"/>
      <c r="AD369" s="380"/>
      <c r="AE369" s="380"/>
      <c r="AF369" s="380"/>
      <c r="AG369" s="380"/>
      <c r="AH369" s="380"/>
      <c r="AI369" s="380"/>
      <c r="AJ369" s="380"/>
      <c r="AK369" s="403"/>
      <c r="AL369" s="380"/>
      <c r="AM369" s="380"/>
      <c r="AN369" s="380"/>
      <c r="AO369" s="380"/>
      <c r="AP369" s="380"/>
      <c r="AQ369" s="404"/>
      <c r="AR369" s="380"/>
      <c r="AS369" s="380"/>
      <c r="AT369" s="380"/>
      <c r="AU369" s="380"/>
      <c r="AV369" s="380"/>
      <c r="AW369" s="380"/>
      <c r="AX369" s="380"/>
      <c r="AY369" s="403"/>
      <c r="AZ369" s="380"/>
      <c r="BA369" s="380"/>
      <c r="BB369" s="380"/>
      <c r="BC369" s="380"/>
      <c r="BD369" s="380"/>
      <c r="BE369" s="404"/>
      <c r="BF369" s="380"/>
      <c r="BG369" s="380"/>
      <c r="BH369" s="380"/>
      <c r="BI369" s="380"/>
      <c r="BJ369" s="380"/>
      <c r="BK369" s="380"/>
      <c r="BL369" s="380"/>
      <c r="BM369" s="403"/>
      <c r="BS369" s="83"/>
      <c r="CA369" s="405"/>
      <c r="CG369" s="83"/>
      <c r="CO369" s="405"/>
      <c r="CU369" s="83"/>
      <c r="DC369" s="405"/>
      <c r="DI369" s="83"/>
      <c r="DQ369" s="405"/>
      <c r="DW369" s="83"/>
      <c r="EE369" s="405"/>
      <c r="EK369" s="83"/>
      <c r="ES369" s="405"/>
      <c r="EY369" s="83"/>
      <c r="FG369" s="405"/>
      <c r="FM369" s="83"/>
      <c r="FU369" s="405"/>
      <c r="GA369" s="83"/>
      <c r="GI369" s="405"/>
      <c r="GO369" s="83"/>
      <c r="GW369" s="405"/>
      <c r="HC369" s="83"/>
      <c r="HK369" s="405"/>
      <c r="HQ369" s="83"/>
      <c r="HY369" s="405"/>
      <c r="IE369" s="83"/>
      <c r="IM369" s="405"/>
      <c r="IS369" s="83"/>
      <c r="JA369" s="405"/>
      <c r="JG369" s="83"/>
      <c r="JO369" s="405"/>
      <c r="JU369" s="83"/>
      <c r="KC369" s="405"/>
      <c r="KI369" s="83"/>
      <c r="KQ369" s="405"/>
      <c r="KW369" s="83"/>
      <c r="LE369" s="405"/>
      <c r="LK369" s="83"/>
      <c r="LS369" s="405"/>
      <c r="LY369" s="83"/>
      <c r="MG369" s="405"/>
      <c r="MM369" s="83"/>
      <c r="MU369" s="405"/>
      <c r="NA369" s="83"/>
    </row>
    <row r="370">
      <c r="A370" s="483"/>
      <c r="B370" s="380"/>
      <c r="C370" s="380"/>
      <c r="D370" s="380"/>
      <c r="E370" s="380"/>
      <c r="F370" s="380"/>
      <c r="G370" s="380"/>
      <c r="H370" s="380"/>
      <c r="I370" s="403"/>
      <c r="J370" s="380"/>
      <c r="K370" s="380"/>
      <c r="L370" s="380"/>
      <c r="M370" s="380"/>
      <c r="N370" s="380"/>
      <c r="O370" s="404"/>
      <c r="P370" s="380"/>
      <c r="Q370" s="380"/>
      <c r="R370" s="380"/>
      <c r="S370" s="380"/>
      <c r="T370" s="380"/>
      <c r="U370" s="380"/>
      <c r="V370" s="380"/>
      <c r="W370" s="403"/>
      <c r="X370" s="380"/>
      <c r="Y370" s="380"/>
      <c r="Z370" s="380"/>
      <c r="AA370" s="380"/>
      <c r="AB370" s="380"/>
      <c r="AC370" s="404"/>
      <c r="AD370" s="380"/>
      <c r="AE370" s="380"/>
      <c r="AF370" s="380"/>
      <c r="AG370" s="380"/>
      <c r="AH370" s="380"/>
      <c r="AI370" s="380"/>
      <c r="AJ370" s="380"/>
      <c r="AK370" s="403"/>
      <c r="AL370" s="380"/>
      <c r="AM370" s="380"/>
      <c r="AN370" s="380"/>
      <c r="AO370" s="380"/>
      <c r="AP370" s="380"/>
      <c r="AQ370" s="404"/>
      <c r="AR370" s="380"/>
      <c r="AS370" s="380"/>
      <c r="AT370" s="380"/>
      <c r="AU370" s="380"/>
      <c r="AV370" s="380"/>
      <c r="AW370" s="380"/>
      <c r="AX370" s="380"/>
      <c r="AY370" s="403"/>
      <c r="AZ370" s="380"/>
      <c r="BA370" s="380"/>
      <c r="BB370" s="380"/>
      <c r="BC370" s="380"/>
      <c r="BD370" s="380"/>
      <c r="BE370" s="404"/>
      <c r="BF370" s="380"/>
      <c r="BG370" s="380"/>
      <c r="BH370" s="380"/>
      <c r="BI370" s="380"/>
      <c r="BJ370" s="380"/>
      <c r="BK370" s="380"/>
      <c r="BL370" s="380"/>
      <c r="BM370" s="403"/>
      <c r="BS370" s="83"/>
      <c r="CA370" s="405"/>
      <c r="CG370" s="83"/>
      <c r="CO370" s="405"/>
      <c r="CU370" s="83"/>
      <c r="DC370" s="405"/>
      <c r="DI370" s="83"/>
      <c r="DQ370" s="405"/>
      <c r="DW370" s="83"/>
      <c r="EE370" s="405"/>
      <c r="EK370" s="83"/>
      <c r="ES370" s="405"/>
      <c r="EY370" s="83"/>
      <c r="FG370" s="405"/>
      <c r="FM370" s="83"/>
      <c r="FU370" s="405"/>
      <c r="GA370" s="83"/>
      <c r="GI370" s="405"/>
      <c r="GO370" s="83"/>
      <c r="GW370" s="405"/>
      <c r="HC370" s="83"/>
      <c r="HK370" s="405"/>
      <c r="HQ370" s="83"/>
      <c r="HY370" s="405"/>
      <c r="IE370" s="83"/>
      <c r="IM370" s="405"/>
      <c r="IS370" s="83"/>
      <c r="JA370" s="405"/>
      <c r="JG370" s="83"/>
      <c r="JO370" s="405"/>
      <c r="JU370" s="83"/>
      <c r="KC370" s="405"/>
      <c r="KI370" s="83"/>
      <c r="KQ370" s="405"/>
      <c r="KW370" s="83"/>
      <c r="LE370" s="405"/>
      <c r="LK370" s="83"/>
      <c r="LS370" s="405"/>
      <c r="LY370" s="83"/>
      <c r="MG370" s="405"/>
      <c r="MM370" s="83"/>
      <c r="MU370" s="405"/>
      <c r="NA370" s="83"/>
    </row>
    <row r="371">
      <c r="A371" s="483"/>
      <c r="B371" s="380"/>
      <c r="C371" s="380"/>
      <c r="D371" s="380"/>
      <c r="E371" s="380"/>
      <c r="F371" s="380"/>
      <c r="G371" s="380"/>
      <c r="H371" s="380"/>
      <c r="I371" s="403"/>
      <c r="J371" s="380"/>
      <c r="K371" s="380"/>
      <c r="L371" s="380"/>
      <c r="M371" s="380"/>
      <c r="N371" s="380"/>
      <c r="O371" s="404"/>
      <c r="P371" s="380"/>
      <c r="Q371" s="380"/>
      <c r="R371" s="380"/>
      <c r="S371" s="380"/>
      <c r="T371" s="380"/>
      <c r="U371" s="380"/>
      <c r="V371" s="380"/>
      <c r="W371" s="403"/>
      <c r="X371" s="380"/>
      <c r="Y371" s="380"/>
      <c r="Z371" s="380"/>
      <c r="AA371" s="380"/>
      <c r="AB371" s="380"/>
      <c r="AC371" s="404"/>
      <c r="AD371" s="380"/>
      <c r="AE371" s="380"/>
      <c r="AF371" s="380"/>
      <c r="AG371" s="380"/>
      <c r="AH371" s="380"/>
      <c r="AI371" s="380"/>
      <c r="AJ371" s="380"/>
      <c r="AK371" s="403"/>
      <c r="AL371" s="380"/>
      <c r="AM371" s="380"/>
      <c r="AN371" s="380"/>
      <c r="AO371" s="380"/>
      <c r="AP371" s="380"/>
      <c r="AQ371" s="404"/>
      <c r="AR371" s="380"/>
      <c r="AS371" s="380"/>
      <c r="AT371" s="380"/>
      <c r="AU371" s="380"/>
      <c r="AV371" s="380"/>
      <c r="AW371" s="380"/>
      <c r="AX371" s="380"/>
      <c r="AY371" s="403"/>
      <c r="AZ371" s="380"/>
      <c r="BA371" s="380"/>
      <c r="BB371" s="380"/>
      <c r="BC371" s="380"/>
      <c r="BD371" s="380"/>
      <c r="BE371" s="404"/>
      <c r="BF371" s="380"/>
      <c r="BG371" s="380"/>
      <c r="BH371" s="380"/>
      <c r="BI371" s="380"/>
      <c r="BJ371" s="380"/>
      <c r="BK371" s="380"/>
      <c r="BL371" s="380"/>
      <c r="BM371" s="403"/>
      <c r="BS371" s="83"/>
      <c r="CA371" s="405"/>
      <c r="CG371" s="83"/>
      <c r="CO371" s="405"/>
      <c r="CU371" s="83"/>
      <c r="DC371" s="405"/>
      <c r="DI371" s="83"/>
      <c r="DQ371" s="405"/>
      <c r="DW371" s="83"/>
      <c r="EE371" s="405"/>
      <c r="EK371" s="83"/>
      <c r="ES371" s="405"/>
      <c r="EY371" s="83"/>
      <c r="FG371" s="405"/>
      <c r="FM371" s="83"/>
      <c r="FU371" s="405"/>
      <c r="GA371" s="83"/>
      <c r="GI371" s="405"/>
      <c r="GO371" s="83"/>
      <c r="GW371" s="405"/>
      <c r="HC371" s="83"/>
      <c r="HK371" s="405"/>
      <c r="HQ371" s="83"/>
      <c r="HY371" s="405"/>
      <c r="IE371" s="83"/>
      <c r="IM371" s="405"/>
      <c r="IS371" s="83"/>
      <c r="JA371" s="405"/>
      <c r="JG371" s="83"/>
      <c r="JO371" s="405"/>
      <c r="JU371" s="83"/>
      <c r="KC371" s="405"/>
      <c r="KI371" s="83"/>
      <c r="KQ371" s="405"/>
      <c r="KW371" s="83"/>
      <c r="LE371" s="405"/>
      <c r="LK371" s="83"/>
      <c r="LS371" s="405"/>
      <c r="LY371" s="83"/>
      <c r="MG371" s="405"/>
      <c r="MM371" s="83"/>
      <c r="MU371" s="405"/>
      <c r="NA371" s="83"/>
    </row>
    <row r="372">
      <c r="A372" s="483"/>
      <c r="B372" s="380"/>
      <c r="C372" s="380"/>
      <c r="D372" s="380"/>
      <c r="E372" s="380"/>
      <c r="F372" s="380"/>
      <c r="G372" s="380"/>
      <c r="H372" s="380"/>
      <c r="I372" s="403"/>
      <c r="J372" s="380"/>
      <c r="K372" s="380"/>
      <c r="L372" s="380"/>
      <c r="M372" s="380"/>
      <c r="N372" s="380"/>
      <c r="O372" s="404"/>
      <c r="P372" s="380"/>
      <c r="Q372" s="380"/>
      <c r="R372" s="380"/>
      <c r="S372" s="380"/>
      <c r="T372" s="380"/>
      <c r="U372" s="380"/>
      <c r="V372" s="380"/>
      <c r="W372" s="403"/>
      <c r="X372" s="380"/>
      <c r="Y372" s="380"/>
      <c r="Z372" s="380"/>
      <c r="AA372" s="380"/>
      <c r="AB372" s="380"/>
      <c r="AC372" s="404"/>
      <c r="AD372" s="380"/>
      <c r="AE372" s="380"/>
      <c r="AF372" s="380"/>
      <c r="AG372" s="380"/>
      <c r="AH372" s="380"/>
      <c r="AI372" s="380"/>
      <c r="AJ372" s="380"/>
      <c r="AK372" s="403"/>
      <c r="AL372" s="380"/>
      <c r="AM372" s="380"/>
      <c r="AN372" s="380"/>
      <c r="AO372" s="380"/>
      <c r="AP372" s="380"/>
      <c r="AQ372" s="404"/>
      <c r="AR372" s="380"/>
      <c r="AS372" s="380"/>
      <c r="AT372" s="380"/>
      <c r="AU372" s="380"/>
      <c r="AV372" s="380"/>
      <c r="AW372" s="380"/>
      <c r="AX372" s="380"/>
      <c r="AY372" s="403"/>
      <c r="AZ372" s="380"/>
      <c r="BA372" s="380"/>
      <c r="BB372" s="380"/>
      <c r="BC372" s="380"/>
      <c r="BD372" s="380"/>
      <c r="BE372" s="404"/>
      <c r="BF372" s="380"/>
      <c r="BG372" s="380"/>
      <c r="BH372" s="380"/>
      <c r="BI372" s="380"/>
      <c r="BJ372" s="380"/>
      <c r="BK372" s="380"/>
      <c r="BL372" s="380"/>
      <c r="BM372" s="403"/>
      <c r="BS372" s="83"/>
      <c r="CA372" s="405"/>
      <c r="CG372" s="83"/>
      <c r="CO372" s="405"/>
      <c r="CU372" s="83"/>
      <c r="DC372" s="405"/>
      <c r="DI372" s="83"/>
      <c r="DQ372" s="405"/>
      <c r="DW372" s="83"/>
      <c r="EE372" s="405"/>
      <c r="EK372" s="83"/>
      <c r="ES372" s="405"/>
      <c r="EY372" s="83"/>
      <c r="FG372" s="405"/>
      <c r="FM372" s="83"/>
      <c r="FU372" s="405"/>
      <c r="GA372" s="83"/>
      <c r="GI372" s="405"/>
      <c r="GO372" s="83"/>
      <c r="GW372" s="405"/>
      <c r="HC372" s="83"/>
      <c r="HK372" s="405"/>
      <c r="HQ372" s="83"/>
      <c r="HY372" s="405"/>
      <c r="IE372" s="83"/>
      <c r="IM372" s="405"/>
      <c r="IS372" s="83"/>
      <c r="JA372" s="405"/>
      <c r="JG372" s="83"/>
      <c r="JO372" s="405"/>
      <c r="JU372" s="83"/>
      <c r="KC372" s="405"/>
      <c r="KI372" s="83"/>
      <c r="KQ372" s="405"/>
      <c r="KW372" s="83"/>
      <c r="LE372" s="405"/>
      <c r="LK372" s="83"/>
      <c r="LS372" s="405"/>
      <c r="LY372" s="83"/>
      <c r="MG372" s="405"/>
      <c r="MM372" s="83"/>
      <c r="MU372" s="405"/>
      <c r="NA372" s="83"/>
    </row>
    <row r="373">
      <c r="A373" s="483"/>
      <c r="B373" s="380"/>
      <c r="C373" s="380"/>
      <c r="D373" s="380"/>
      <c r="E373" s="380"/>
      <c r="F373" s="380"/>
      <c r="G373" s="380"/>
      <c r="H373" s="380"/>
      <c r="I373" s="403"/>
      <c r="J373" s="380"/>
      <c r="K373" s="380"/>
      <c r="L373" s="380"/>
      <c r="M373" s="380"/>
      <c r="N373" s="380"/>
      <c r="O373" s="404"/>
      <c r="P373" s="380"/>
      <c r="Q373" s="380"/>
      <c r="R373" s="380"/>
      <c r="S373" s="380"/>
      <c r="T373" s="380"/>
      <c r="U373" s="380"/>
      <c r="V373" s="380"/>
      <c r="W373" s="403"/>
      <c r="X373" s="380"/>
      <c r="Y373" s="380"/>
      <c r="Z373" s="380"/>
      <c r="AA373" s="380"/>
      <c r="AB373" s="380"/>
      <c r="AC373" s="404"/>
      <c r="AD373" s="380"/>
      <c r="AE373" s="380"/>
      <c r="AF373" s="380"/>
      <c r="AG373" s="380"/>
      <c r="AH373" s="380"/>
      <c r="AI373" s="380"/>
      <c r="AJ373" s="380"/>
      <c r="AK373" s="403"/>
      <c r="AL373" s="380"/>
      <c r="AM373" s="380"/>
      <c r="AN373" s="380"/>
      <c r="AO373" s="380"/>
      <c r="AP373" s="380"/>
      <c r="AQ373" s="404"/>
      <c r="AR373" s="380"/>
      <c r="AS373" s="380"/>
      <c r="AT373" s="380"/>
      <c r="AU373" s="380"/>
      <c r="AV373" s="380"/>
      <c r="AW373" s="380"/>
      <c r="AX373" s="380"/>
      <c r="AY373" s="403"/>
      <c r="AZ373" s="380"/>
      <c r="BA373" s="380"/>
      <c r="BB373" s="380"/>
      <c r="BC373" s="380"/>
      <c r="BD373" s="380"/>
      <c r="BE373" s="404"/>
      <c r="BF373" s="380"/>
      <c r="BG373" s="380"/>
      <c r="BH373" s="380"/>
      <c r="BI373" s="380"/>
      <c r="BJ373" s="380"/>
      <c r="BK373" s="380"/>
      <c r="BL373" s="380"/>
      <c r="BM373" s="403"/>
      <c r="BS373" s="83"/>
      <c r="CA373" s="405"/>
      <c r="CG373" s="83"/>
      <c r="CO373" s="405"/>
      <c r="CU373" s="83"/>
      <c r="DC373" s="405"/>
      <c r="DI373" s="83"/>
      <c r="DQ373" s="405"/>
      <c r="DW373" s="83"/>
      <c r="EE373" s="405"/>
      <c r="EK373" s="83"/>
      <c r="ES373" s="405"/>
      <c r="EY373" s="83"/>
      <c r="FG373" s="405"/>
      <c r="FM373" s="83"/>
      <c r="FU373" s="405"/>
      <c r="GA373" s="83"/>
      <c r="GI373" s="405"/>
      <c r="GO373" s="83"/>
      <c r="GW373" s="405"/>
      <c r="HC373" s="83"/>
      <c r="HK373" s="405"/>
      <c r="HQ373" s="83"/>
      <c r="HY373" s="405"/>
      <c r="IE373" s="83"/>
      <c r="IM373" s="405"/>
      <c r="IS373" s="83"/>
      <c r="JA373" s="405"/>
      <c r="JG373" s="83"/>
      <c r="JO373" s="405"/>
      <c r="JU373" s="83"/>
      <c r="KC373" s="405"/>
      <c r="KI373" s="83"/>
      <c r="KQ373" s="405"/>
      <c r="KW373" s="83"/>
      <c r="LE373" s="405"/>
      <c r="LK373" s="83"/>
      <c r="LS373" s="405"/>
      <c r="LY373" s="83"/>
      <c r="MG373" s="405"/>
      <c r="MM373" s="83"/>
      <c r="MU373" s="405"/>
      <c r="NA373" s="83"/>
    </row>
    <row r="374">
      <c r="A374" s="483"/>
      <c r="B374" s="380"/>
      <c r="C374" s="380"/>
      <c r="D374" s="380"/>
      <c r="E374" s="380"/>
      <c r="F374" s="380"/>
      <c r="G374" s="380"/>
      <c r="H374" s="380"/>
      <c r="I374" s="403"/>
      <c r="J374" s="380"/>
      <c r="K374" s="380"/>
      <c r="L374" s="380"/>
      <c r="M374" s="380"/>
      <c r="N374" s="380"/>
      <c r="O374" s="404"/>
      <c r="P374" s="380"/>
      <c r="Q374" s="380"/>
      <c r="R374" s="380"/>
      <c r="S374" s="380"/>
      <c r="T374" s="380"/>
      <c r="U374" s="380"/>
      <c r="V374" s="380"/>
      <c r="W374" s="403"/>
      <c r="X374" s="380"/>
      <c r="Y374" s="380"/>
      <c r="Z374" s="380"/>
      <c r="AA374" s="380"/>
      <c r="AB374" s="380"/>
      <c r="AC374" s="404"/>
      <c r="AD374" s="380"/>
      <c r="AE374" s="380"/>
      <c r="AF374" s="380"/>
      <c r="AG374" s="380"/>
      <c r="AH374" s="380"/>
      <c r="AI374" s="380"/>
      <c r="AJ374" s="380"/>
      <c r="AK374" s="403"/>
      <c r="AL374" s="380"/>
      <c r="AM374" s="380"/>
      <c r="AN374" s="380"/>
      <c r="AO374" s="380"/>
      <c r="AP374" s="380"/>
      <c r="AQ374" s="404"/>
      <c r="AR374" s="380"/>
      <c r="AS374" s="380"/>
      <c r="AT374" s="380"/>
      <c r="AU374" s="380"/>
      <c r="AV374" s="380"/>
      <c r="AW374" s="380"/>
      <c r="AX374" s="380"/>
      <c r="AY374" s="403"/>
      <c r="AZ374" s="380"/>
      <c r="BA374" s="380"/>
      <c r="BB374" s="380"/>
      <c r="BC374" s="380"/>
      <c r="BD374" s="380"/>
      <c r="BE374" s="404"/>
      <c r="BF374" s="380"/>
      <c r="BG374" s="380"/>
      <c r="BH374" s="380"/>
      <c r="BI374" s="380"/>
      <c r="BJ374" s="380"/>
      <c r="BK374" s="380"/>
      <c r="BL374" s="380"/>
      <c r="BM374" s="403"/>
      <c r="BS374" s="83"/>
      <c r="CA374" s="405"/>
      <c r="CG374" s="83"/>
      <c r="CO374" s="405"/>
      <c r="CU374" s="83"/>
      <c r="DC374" s="405"/>
      <c r="DI374" s="83"/>
      <c r="DQ374" s="405"/>
      <c r="DW374" s="83"/>
      <c r="EE374" s="405"/>
      <c r="EK374" s="83"/>
      <c r="ES374" s="405"/>
      <c r="EY374" s="83"/>
      <c r="FG374" s="405"/>
      <c r="FM374" s="83"/>
      <c r="FU374" s="405"/>
      <c r="GA374" s="83"/>
      <c r="GI374" s="405"/>
      <c r="GO374" s="83"/>
      <c r="GW374" s="405"/>
      <c r="HC374" s="83"/>
      <c r="HK374" s="405"/>
      <c r="HQ374" s="83"/>
      <c r="HY374" s="405"/>
      <c r="IE374" s="83"/>
      <c r="IM374" s="405"/>
      <c r="IS374" s="83"/>
      <c r="JA374" s="405"/>
      <c r="JG374" s="83"/>
      <c r="JO374" s="405"/>
      <c r="JU374" s="83"/>
      <c r="KC374" s="405"/>
      <c r="KI374" s="83"/>
      <c r="KQ374" s="405"/>
      <c r="KW374" s="83"/>
      <c r="LE374" s="405"/>
      <c r="LK374" s="83"/>
      <c r="LS374" s="405"/>
      <c r="LY374" s="83"/>
      <c r="MG374" s="405"/>
      <c r="MM374" s="83"/>
      <c r="MU374" s="405"/>
      <c r="NA374" s="83"/>
    </row>
    <row r="375">
      <c r="A375" s="483"/>
      <c r="B375" s="380"/>
      <c r="C375" s="380"/>
      <c r="D375" s="380"/>
      <c r="E375" s="380"/>
      <c r="F375" s="380"/>
      <c r="G375" s="380"/>
      <c r="H375" s="380"/>
      <c r="I375" s="403"/>
      <c r="J375" s="380"/>
      <c r="K375" s="380"/>
      <c r="L375" s="380"/>
      <c r="M375" s="380"/>
      <c r="N375" s="380"/>
      <c r="O375" s="404"/>
      <c r="P375" s="380"/>
      <c r="Q375" s="380"/>
      <c r="R375" s="380"/>
      <c r="S375" s="380"/>
      <c r="T375" s="380"/>
      <c r="U375" s="380"/>
      <c r="V375" s="380"/>
      <c r="W375" s="403"/>
      <c r="X375" s="380"/>
      <c r="Y375" s="380"/>
      <c r="Z375" s="380"/>
      <c r="AA375" s="380"/>
      <c r="AB375" s="380"/>
      <c r="AC375" s="404"/>
      <c r="AD375" s="380"/>
      <c r="AE375" s="380"/>
      <c r="AF375" s="380"/>
      <c r="AG375" s="380"/>
      <c r="AH375" s="380"/>
      <c r="AI375" s="380"/>
      <c r="AJ375" s="380"/>
      <c r="AK375" s="403"/>
      <c r="AL375" s="380"/>
      <c r="AM375" s="380"/>
      <c r="AN375" s="380"/>
      <c r="AO375" s="380"/>
      <c r="AP375" s="380"/>
      <c r="AQ375" s="404"/>
      <c r="AR375" s="380"/>
      <c r="AS375" s="380"/>
      <c r="AT375" s="380"/>
      <c r="AU375" s="380"/>
      <c r="AV375" s="380"/>
      <c r="AW375" s="380"/>
      <c r="AX375" s="380"/>
      <c r="AY375" s="403"/>
      <c r="AZ375" s="380"/>
      <c r="BA375" s="380"/>
      <c r="BB375" s="380"/>
      <c r="BC375" s="380"/>
      <c r="BD375" s="380"/>
      <c r="BE375" s="404"/>
      <c r="BF375" s="380"/>
      <c r="BG375" s="380"/>
      <c r="BH375" s="380"/>
      <c r="BI375" s="380"/>
      <c r="BJ375" s="380"/>
      <c r="BK375" s="380"/>
      <c r="BL375" s="380"/>
      <c r="BM375" s="403"/>
      <c r="BS375" s="83"/>
      <c r="CA375" s="405"/>
      <c r="CG375" s="83"/>
      <c r="CO375" s="405"/>
      <c r="CU375" s="83"/>
      <c r="DC375" s="405"/>
      <c r="DI375" s="83"/>
      <c r="DQ375" s="405"/>
      <c r="DW375" s="83"/>
      <c r="EE375" s="405"/>
      <c r="EK375" s="83"/>
      <c r="ES375" s="405"/>
      <c r="EY375" s="83"/>
      <c r="FG375" s="405"/>
      <c r="FM375" s="83"/>
      <c r="FU375" s="405"/>
      <c r="GA375" s="83"/>
      <c r="GI375" s="405"/>
      <c r="GO375" s="83"/>
      <c r="GW375" s="405"/>
      <c r="HC375" s="83"/>
      <c r="HK375" s="405"/>
      <c r="HQ375" s="83"/>
      <c r="HY375" s="405"/>
      <c r="IE375" s="83"/>
      <c r="IM375" s="405"/>
      <c r="IS375" s="83"/>
      <c r="JA375" s="405"/>
      <c r="JG375" s="83"/>
      <c r="JO375" s="405"/>
      <c r="JU375" s="83"/>
      <c r="KC375" s="405"/>
      <c r="KI375" s="83"/>
      <c r="KQ375" s="405"/>
      <c r="KW375" s="83"/>
      <c r="LE375" s="405"/>
      <c r="LK375" s="83"/>
      <c r="LS375" s="405"/>
      <c r="LY375" s="83"/>
      <c r="MG375" s="405"/>
      <c r="MM375" s="83"/>
      <c r="MU375" s="405"/>
      <c r="NA375" s="83"/>
    </row>
    <row r="376">
      <c r="A376" s="483"/>
      <c r="B376" s="380"/>
      <c r="C376" s="380"/>
      <c r="D376" s="380"/>
      <c r="E376" s="380"/>
      <c r="F376" s="380"/>
      <c r="G376" s="380"/>
      <c r="H376" s="380"/>
      <c r="I376" s="403"/>
      <c r="J376" s="380"/>
      <c r="K376" s="380"/>
      <c r="L376" s="380"/>
      <c r="M376" s="380"/>
      <c r="N376" s="380"/>
      <c r="O376" s="404"/>
      <c r="P376" s="380"/>
      <c r="Q376" s="380"/>
      <c r="R376" s="380"/>
      <c r="S376" s="380"/>
      <c r="T376" s="380"/>
      <c r="U376" s="380"/>
      <c r="V376" s="380"/>
      <c r="W376" s="403"/>
      <c r="X376" s="380"/>
      <c r="Y376" s="380"/>
      <c r="Z376" s="380"/>
      <c r="AA376" s="380"/>
      <c r="AB376" s="380"/>
      <c r="AC376" s="404"/>
      <c r="AD376" s="380"/>
      <c r="AE376" s="380"/>
      <c r="AF376" s="380"/>
      <c r="AG376" s="380"/>
      <c r="AH376" s="380"/>
      <c r="AI376" s="380"/>
      <c r="AJ376" s="380"/>
      <c r="AK376" s="403"/>
      <c r="AL376" s="380"/>
      <c r="AM376" s="380"/>
      <c r="AN376" s="380"/>
      <c r="AO376" s="380"/>
      <c r="AP376" s="380"/>
      <c r="AQ376" s="404"/>
      <c r="AR376" s="380"/>
      <c r="AS376" s="380"/>
      <c r="AT376" s="380"/>
      <c r="AU376" s="380"/>
      <c r="AV376" s="380"/>
      <c r="AW376" s="380"/>
      <c r="AX376" s="380"/>
      <c r="AY376" s="403"/>
      <c r="AZ376" s="380"/>
      <c r="BA376" s="380"/>
      <c r="BB376" s="380"/>
      <c r="BC376" s="380"/>
      <c r="BD376" s="380"/>
      <c r="BE376" s="404"/>
      <c r="BF376" s="380"/>
      <c r="BG376" s="380"/>
      <c r="BH376" s="380"/>
      <c r="BI376" s="380"/>
      <c r="BJ376" s="380"/>
      <c r="BK376" s="380"/>
      <c r="BL376" s="380"/>
      <c r="BM376" s="403"/>
      <c r="BS376" s="83"/>
      <c r="CA376" s="405"/>
      <c r="CG376" s="83"/>
      <c r="CO376" s="405"/>
      <c r="CU376" s="83"/>
      <c r="DC376" s="405"/>
      <c r="DI376" s="83"/>
      <c r="DQ376" s="405"/>
      <c r="DW376" s="83"/>
      <c r="EE376" s="405"/>
      <c r="EK376" s="83"/>
      <c r="ES376" s="405"/>
      <c r="EY376" s="83"/>
      <c r="FG376" s="405"/>
      <c r="FM376" s="83"/>
      <c r="FU376" s="405"/>
      <c r="GA376" s="83"/>
      <c r="GI376" s="405"/>
      <c r="GO376" s="83"/>
      <c r="GW376" s="405"/>
      <c r="HC376" s="83"/>
      <c r="HK376" s="405"/>
      <c r="HQ376" s="83"/>
      <c r="HY376" s="405"/>
      <c r="IE376" s="83"/>
      <c r="IM376" s="405"/>
      <c r="IS376" s="83"/>
      <c r="JA376" s="405"/>
      <c r="JG376" s="83"/>
      <c r="JO376" s="405"/>
      <c r="JU376" s="83"/>
      <c r="KC376" s="405"/>
      <c r="KI376" s="83"/>
      <c r="KQ376" s="405"/>
      <c r="KW376" s="83"/>
      <c r="LE376" s="405"/>
      <c r="LK376" s="83"/>
      <c r="LS376" s="405"/>
      <c r="LY376" s="83"/>
      <c r="MG376" s="405"/>
      <c r="MM376" s="83"/>
      <c r="MU376" s="405"/>
      <c r="NA376" s="83"/>
    </row>
    <row r="377">
      <c r="A377" s="483"/>
      <c r="B377" s="380"/>
      <c r="C377" s="380"/>
      <c r="D377" s="380"/>
      <c r="E377" s="380"/>
      <c r="F377" s="380"/>
      <c r="G377" s="380"/>
      <c r="H377" s="380"/>
      <c r="I377" s="403"/>
      <c r="J377" s="380"/>
      <c r="K377" s="380"/>
      <c r="L377" s="380"/>
      <c r="M377" s="380"/>
      <c r="N377" s="380"/>
      <c r="O377" s="404"/>
      <c r="P377" s="380"/>
      <c r="Q377" s="380"/>
      <c r="R377" s="380"/>
      <c r="S377" s="380"/>
      <c r="T377" s="380"/>
      <c r="U377" s="380"/>
      <c r="V377" s="380"/>
      <c r="W377" s="403"/>
      <c r="X377" s="380"/>
      <c r="Y377" s="380"/>
      <c r="Z377" s="380"/>
      <c r="AA377" s="380"/>
      <c r="AB377" s="380"/>
      <c r="AC377" s="404"/>
      <c r="AD377" s="380"/>
      <c r="AE377" s="380"/>
      <c r="AF377" s="380"/>
      <c r="AG377" s="380"/>
      <c r="AH377" s="380"/>
      <c r="AI377" s="380"/>
      <c r="AJ377" s="380"/>
      <c r="AK377" s="403"/>
      <c r="AL377" s="380"/>
      <c r="AM377" s="380"/>
      <c r="AN377" s="380"/>
      <c r="AO377" s="380"/>
      <c r="AP377" s="380"/>
      <c r="AQ377" s="404"/>
      <c r="AR377" s="380"/>
      <c r="AS377" s="380"/>
      <c r="AT377" s="380"/>
      <c r="AU377" s="380"/>
      <c r="AV377" s="380"/>
      <c r="AW377" s="380"/>
      <c r="AX377" s="380"/>
      <c r="AY377" s="403"/>
      <c r="AZ377" s="380"/>
      <c r="BA377" s="380"/>
      <c r="BB377" s="380"/>
      <c r="BC377" s="380"/>
      <c r="BD377" s="380"/>
      <c r="BE377" s="404"/>
      <c r="BF377" s="380"/>
      <c r="BG377" s="380"/>
      <c r="BH377" s="380"/>
      <c r="BI377" s="380"/>
      <c r="BJ377" s="380"/>
      <c r="BK377" s="380"/>
      <c r="BL377" s="380"/>
      <c r="BM377" s="403"/>
      <c r="BS377" s="83"/>
      <c r="CA377" s="405"/>
      <c r="CG377" s="83"/>
      <c r="CO377" s="405"/>
      <c r="CU377" s="83"/>
      <c r="DC377" s="405"/>
      <c r="DI377" s="83"/>
      <c r="DQ377" s="405"/>
      <c r="DW377" s="83"/>
      <c r="EE377" s="405"/>
      <c r="EK377" s="83"/>
      <c r="ES377" s="405"/>
      <c r="EY377" s="83"/>
      <c r="FG377" s="405"/>
      <c r="FM377" s="83"/>
      <c r="FU377" s="405"/>
      <c r="GA377" s="83"/>
      <c r="GI377" s="405"/>
      <c r="GO377" s="83"/>
      <c r="GW377" s="405"/>
      <c r="HC377" s="83"/>
      <c r="HK377" s="405"/>
      <c r="HQ377" s="83"/>
      <c r="HY377" s="405"/>
      <c r="IE377" s="83"/>
      <c r="IM377" s="405"/>
      <c r="IS377" s="83"/>
      <c r="JA377" s="405"/>
      <c r="JG377" s="83"/>
      <c r="JO377" s="405"/>
      <c r="JU377" s="83"/>
      <c r="KC377" s="405"/>
      <c r="KI377" s="83"/>
      <c r="KQ377" s="405"/>
      <c r="KW377" s="83"/>
      <c r="LE377" s="405"/>
      <c r="LK377" s="83"/>
      <c r="LS377" s="405"/>
      <c r="LY377" s="83"/>
      <c r="MG377" s="405"/>
      <c r="MM377" s="83"/>
      <c r="MU377" s="405"/>
      <c r="NA377" s="83"/>
    </row>
    <row r="378">
      <c r="A378" s="483"/>
      <c r="B378" s="380"/>
      <c r="C378" s="380"/>
      <c r="D378" s="380"/>
      <c r="E378" s="380"/>
      <c r="F378" s="380"/>
      <c r="G378" s="380"/>
      <c r="H378" s="380"/>
      <c r="I378" s="403"/>
      <c r="J378" s="380"/>
      <c r="K378" s="380"/>
      <c r="L378" s="380"/>
      <c r="M378" s="380"/>
      <c r="N378" s="380"/>
      <c r="O378" s="404"/>
      <c r="P378" s="380"/>
      <c r="Q378" s="380"/>
      <c r="R378" s="380"/>
      <c r="S378" s="380"/>
      <c r="T378" s="380"/>
      <c r="U378" s="380"/>
      <c r="V378" s="380"/>
      <c r="W378" s="403"/>
      <c r="X378" s="380"/>
      <c r="Y378" s="380"/>
      <c r="Z378" s="380"/>
      <c r="AA378" s="380"/>
      <c r="AB378" s="380"/>
      <c r="AC378" s="404"/>
      <c r="AD378" s="380"/>
      <c r="AE378" s="380"/>
      <c r="AF378" s="380"/>
      <c r="AG378" s="380"/>
      <c r="AH378" s="380"/>
      <c r="AI378" s="380"/>
      <c r="AJ378" s="380"/>
      <c r="AK378" s="403"/>
      <c r="AL378" s="380"/>
      <c r="AM378" s="380"/>
      <c r="AN378" s="380"/>
      <c r="AO378" s="380"/>
      <c r="AP378" s="380"/>
      <c r="AQ378" s="404"/>
      <c r="AR378" s="380"/>
      <c r="AS378" s="380"/>
      <c r="AT378" s="380"/>
      <c r="AU378" s="380"/>
      <c r="AV378" s="380"/>
      <c r="AW378" s="380"/>
      <c r="AX378" s="380"/>
      <c r="AY378" s="403"/>
      <c r="AZ378" s="380"/>
      <c r="BA378" s="380"/>
      <c r="BB378" s="380"/>
      <c r="BC378" s="380"/>
      <c r="BD378" s="380"/>
      <c r="BE378" s="404"/>
      <c r="BF378" s="380"/>
      <c r="BG378" s="380"/>
      <c r="BH378" s="380"/>
      <c r="BI378" s="380"/>
      <c r="BJ378" s="380"/>
      <c r="BK378" s="380"/>
      <c r="BL378" s="380"/>
      <c r="BM378" s="403"/>
      <c r="BS378" s="83"/>
      <c r="CA378" s="405"/>
      <c r="CG378" s="83"/>
      <c r="CO378" s="405"/>
      <c r="CU378" s="83"/>
      <c r="DC378" s="405"/>
      <c r="DI378" s="83"/>
      <c r="DQ378" s="405"/>
      <c r="DW378" s="83"/>
      <c r="EE378" s="405"/>
      <c r="EK378" s="83"/>
      <c r="ES378" s="405"/>
      <c r="EY378" s="83"/>
      <c r="FG378" s="405"/>
      <c r="FM378" s="83"/>
      <c r="FU378" s="405"/>
      <c r="GA378" s="83"/>
      <c r="GI378" s="405"/>
      <c r="GO378" s="83"/>
      <c r="GW378" s="405"/>
      <c r="HC378" s="83"/>
      <c r="HK378" s="405"/>
      <c r="HQ378" s="83"/>
      <c r="HY378" s="405"/>
      <c r="IE378" s="83"/>
      <c r="IM378" s="405"/>
      <c r="IS378" s="83"/>
      <c r="JA378" s="405"/>
      <c r="JG378" s="83"/>
      <c r="JO378" s="405"/>
      <c r="JU378" s="83"/>
      <c r="KC378" s="405"/>
      <c r="KI378" s="83"/>
      <c r="KQ378" s="405"/>
      <c r="KW378" s="83"/>
      <c r="LE378" s="405"/>
      <c r="LK378" s="83"/>
      <c r="LS378" s="405"/>
      <c r="LY378" s="83"/>
      <c r="MG378" s="405"/>
      <c r="MM378" s="83"/>
      <c r="MU378" s="405"/>
      <c r="NA378" s="83"/>
    </row>
    <row r="379">
      <c r="A379" s="483"/>
      <c r="B379" s="380"/>
      <c r="C379" s="380"/>
      <c r="D379" s="380"/>
      <c r="E379" s="380"/>
      <c r="F379" s="380"/>
      <c r="G379" s="380"/>
      <c r="H379" s="380"/>
      <c r="I379" s="403"/>
      <c r="J379" s="380"/>
      <c r="K379" s="380"/>
      <c r="L379" s="380"/>
      <c r="M379" s="380"/>
      <c r="N379" s="380"/>
      <c r="O379" s="404"/>
      <c r="P379" s="380"/>
      <c r="Q379" s="380"/>
      <c r="R379" s="380"/>
      <c r="S379" s="380"/>
      <c r="T379" s="380"/>
      <c r="U379" s="380"/>
      <c r="V379" s="380"/>
      <c r="W379" s="403"/>
      <c r="X379" s="380"/>
      <c r="Y379" s="380"/>
      <c r="Z379" s="380"/>
      <c r="AA379" s="380"/>
      <c r="AB379" s="380"/>
      <c r="AC379" s="404"/>
      <c r="AD379" s="380"/>
      <c r="AE379" s="380"/>
      <c r="AF379" s="380"/>
      <c r="AG379" s="380"/>
      <c r="AH379" s="380"/>
      <c r="AI379" s="380"/>
      <c r="AJ379" s="380"/>
      <c r="AK379" s="403"/>
      <c r="AL379" s="380"/>
      <c r="AM379" s="380"/>
      <c r="AN379" s="380"/>
      <c r="AO379" s="380"/>
      <c r="AP379" s="380"/>
      <c r="AQ379" s="404"/>
      <c r="AR379" s="380"/>
      <c r="AS379" s="380"/>
      <c r="AT379" s="380"/>
      <c r="AU379" s="380"/>
      <c r="AV379" s="380"/>
      <c r="AW379" s="380"/>
      <c r="AX379" s="380"/>
      <c r="AY379" s="403"/>
      <c r="AZ379" s="380"/>
      <c r="BA379" s="380"/>
      <c r="BB379" s="380"/>
      <c r="BC379" s="380"/>
      <c r="BD379" s="380"/>
      <c r="BE379" s="404"/>
      <c r="BF379" s="380"/>
      <c r="BG379" s="380"/>
      <c r="BH379" s="380"/>
      <c r="BI379" s="380"/>
      <c r="BJ379" s="380"/>
      <c r="BK379" s="380"/>
      <c r="BL379" s="380"/>
      <c r="BM379" s="403"/>
      <c r="BS379" s="83"/>
      <c r="CA379" s="405"/>
      <c r="CG379" s="83"/>
      <c r="CO379" s="405"/>
      <c r="CU379" s="83"/>
      <c r="DC379" s="405"/>
      <c r="DI379" s="83"/>
      <c r="DQ379" s="405"/>
      <c r="DW379" s="83"/>
      <c r="EE379" s="405"/>
      <c r="EK379" s="83"/>
      <c r="ES379" s="405"/>
      <c r="EY379" s="83"/>
      <c r="FG379" s="405"/>
      <c r="FM379" s="83"/>
      <c r="FU379" s="405"/>
      <c r="GA379" s="83"/>
      <c r="GI379" s="405"/>
      <c r="GO379" s="83"/>
      <c r="GW379" s="405"/>
      <c r="HC379" s="83"/>
      <c r="HK379" s="405"/>
      <c r="HQ379" s="83"/>
      <c r="HY379" s="405"/>
      <c r="IE379" s="83"/>
      <c r="IM379" s="405"/>
      <c r="IS379" s="83"/>
      <c r="JA379" s="405"/>
      <c r="JG379" s="83"/>
      <c r="JO379" s="405"/>
      <c r="JU379" s="83"/>
      <c r="KC379" s="405"/>
      <c r="KI379" s="83"/>
      <c r="KQ379" s="405"/>
      <c r="KW379" s="83"/>
      <c r="LE379" s="405"/>
      <c r="LK379" s="83"/>
      <c r="LS379" s="405"/>
      <c r="LY379" s="83"/>
      <c r="MG379" s="405"/>
      <c r="MM379" s="83"/>
      <c r="MU379" s="405"/>
      <c r="NA379" s="83"/>
    </row>
    <row r="380">
      <c r="A380" s="483"/>
      <c r="B380" s="380"/>
      <c r="C380" s="380"/>
      <c r="D380" s="380"/>
      <c r="E380" s="380"/>
      <c r="F380" s="380"/>
      <c r="G380" s="380"/>
      <c r="H380" s="380"/>
      <c r="I380" s="403"/>
      <c r="J380" s="380"/>
      <c r="K380" s="380"/>
      <c r="L380" s="380"/>
      <c r="M380" s="380"/>
      <c r="N380" s="380"/>
      <c r="O380" s="404"/>
      <c r="P380" s="380"/>
      <c r="Q380" s="380"/>
      <c r="R380" s="380"/>
      <c r="S380" s="380"/>
      <c r="T380" s="380"/>
      <c r="U380" s="380"/>
      <c r="V380" s="380"/>
      <c r="W380" s="403"/>
      <c r="X380" s="380"/>
      <c r="Y380" s="380"/>
      <c r="Z380" s="380"/>
      <c r="AA380" s="380"/>
      <c r="AB380" s="380"/>
      <c r="AC380" s="404"/>
      <c r="AD380" s="380"/>
      <c r="AE380" s="380"/>
      <c r="AF380" s="380"/>
      <c r="AG380" s="380"/>
      <c r="AH380" s="380"/>
      <c r="AI380" s="380"/>
      <c r="AJ380" s="380"/>
      <c r="AK380" s="403"/>
      <c r="AL380" s="380"/>
      <c r="AM380" s="380"/>
      <c r="AN380" s="380"/>
      <c r="AO380" s="380"/>
      <c r="AP380" s="380"/>
      <c r="AQ380" s="404"/>
      <c r="AR380" s="380"/>
      <c r="AS380" s="380"/>
      <c r="AT380" s="380"/>
      <c r="AU380" s="380"/>
      <c r="AV380" s="380"/>
      <c r="AW380" s="380"/>
      <c r="AX380" s="380"/>
      <c r="AY380" s="403"/>
      <c r="AZ380" s="380"/>
      <c r="BA380" s="380"/>
      <c r="BB380" s="380"/>
      <c r="BC380" s="380"/>
      <c r="BD380" s="380"/>
      <c r="BE380" s="404"/>
      <c r="BF380" s="380"/>
      <c r="BG380" s="380"/>
      <c r="BH380" s="380"/>
      <c r="BI380" s="380"/>
      <c r="BJ380" s="380"/>
      <c r="BK380" s="380"/>
      <c r="BL380" s="380"/>
      <c r="BM380" s="403"/>
      <c r="BS380" s="83"/>
      <c r="CA380" s="405"/>
      <c r="CG380" s="83"/>
      <c r="CO380" s="405"/>
      <c r="CU380" s="83"/>
      <c r="DC380" s="405"/>
      <c r="DI380" s="83"/>
      <c r="DQ380" s="405"/>
      <c r="DW380" s="83"/>
      <c r="EE380" s="405"/>
      <c r="EK380" s="83"/>
      <c r="ES380" s="405"/>
      <c r="EY380" s="83"/>
      <c r="FG380" s="405"/>
      <c r="FM380" s="83"/>
      <c r="FU380" s="405"/>
      <c r="GA380" s="83"/>
      <c r="GI380" s="405"/>
      <c r="GO380" s="83"/>
      <c r="GW380" s="405"/>
      <c r="HC380" s="83"/>
      <c r="HK380" s="405"/>
      <c r="HQ380" s="83"/>
      <c r="HY380" s="405"/>
      <c r="IE380" s="83"/>
      <c r="IM380" s="405"/>
      <c r="IS380" s="83"/>
      <c r="JA380" s="405"/>
      <c r="JG380" s="83"/>
      <c r="JO380" s="405"/>
      <c r="JU380" s="83"/>
      <c r="KC380" s="405"/>
      <c r="KI380" s="83"/>
      <c r="KQ380" s="405"/>
      <c r="KW380" s="83"/>
      <c r="LE380" s="405"/>
      <c r="LK380" s="83"/>
      <c r="LS380" s="405"/>
      <c r="LY380" s="83"/>
      <c r="MG380" s="405"/>
      <c r="MM380" s="83"/>
      <c r="MU380" s="405"/>
      <c r="NA380" s="83"/>
    </row>
    <row r="381">
      <c r="A381" s="483"/>
      <c r="B381" s="380"/>
      <c r="C381" s="380"/>
      <c r="D381" s="380"/>
      <c r="E381" s="380"/>
      <c r="F381" s="380"/>
      <c r="G381" s="380"/>
      <c r="H381" s="380"/>
      <c r="I381" s="403"/>
      <c r="J381" s="380"/>
      <c r="K381" s="380"/>
      <c r="L381" s="380"/>
      <c r="M381" s="380"/>
      <c r="N381" s="380"/>
      <c r="O381" s="404"/>
      <c r="P381" s="380"/>
      <c r="Q381" s="380"/>
      <c r="R381" s="380"/>
      <c r="S381" s="380"/>
      <c r="T381" s="380"/>
      <c r="U381" s="380"/>
      <c r="V381" s="380"/>
      <c r="W381" s="403"/>
      <c r="X381" s="380"/>
      <c r="Y381" s="380"/>
      <c r="Z381" s="380"/>
      <c r="AA381" s="380"/>
      <c r="AB381" s="380"/>
      <c r="AC381" s="404"/>
      <c r="AD381" s="380"/>
      <c r="AE381" s="380"/>
      <c r="AF381" s="380"/>
      <c r="AG381" s="380"/>
      <c r="AH381" s="380"/>
      <c r="AI381" s="380"/>
      <c r="AJ381" s="380"/>
      <c r="AK381" s="403"/>
      <c r="AL381" s="380"/>
      <c r="AM381" s="380"/>
      <c r="AN381" s="380"/>
      <c r="AO381" s="380"/>
      <c r="AP381" s="380"/>
      <c r="AQ381" s="404"/>
      <c r="AR381" s="380"/>
      <c r="AS381" s="380"/>
      <c r="AT381" s="380"/>
      <c r="AU381" s="380"/>
      <c r="AV381" s="380"/>
      <c r="AW381" s="380"/>
      <c r="AX381" s="380"/>
      <c r="AY381" s="403"/>
      <c r="AZ381" s="380"/>
      <c r="BA381" s="380"/>
      <c r="BB381" s="380"/>
      <c r="BC381" s="380"/>
      <c r="BD381" s="380"/>
      <c r="BE381" s="404"/>
      <c r="BF381" s="380"/>
      <c r="BG381" s="380"/>
      <c r="BH381" s="380"/>
      <c r="BI381" s="380"/>
      <c r="BJ381" s="380"/>
      <c r="BK381" s="380"/>
      <c r="BL381" s="380"/>
      <c r="BM381" s="403"/>
      <c r="BS381" s="83"/>
      <c r="CA381" s="405"/>
      <c r="CG381" s="83"/>
      <c r="CO381" s="405"/>
      <c r="CU381" s="83"/>
      <c r="DC381" s="405"/>
      <c r="DI381" s="83"/>
      <c r="DQ381" s="405"/>
      <c r="DW381" s="83"/>
      <c r="EE381" s="405"/>
      <c r="EK381" s="83"/>
      <c r="ES381" s="405"/>
      <c r="EY381" s="83"/>
      <c r="FG381" s="405"/>
      <c r="FM381" s="83"/>
      <c r="FU381" s="405"/>
      <c r="GA381" s="83"/>
      <c r="GI381" s="405"/>
      <c r="GO381" s="83"/>
      <c r="GW381" s="405"/>
      <c r="HC381" s="83"/>
      <c r="HK381" s="405"/>
      <c r="HQ381" s="83"/>
      <c r="HY381" s="405"/>
      <c r="IE381" s="83"/>
      <c r="IM381" s="405"/>
      <c r="IS381" s="83"/>
      <c r="JA381" s="405"/>
      <c r="JG381" s="83"/>
      <c r="JO381" s="405"/>
      <c r="JU381" s="83"/>
      <c r="KC381" s="405"/>
      <c r="KI381" s="83"/>
      <c r="KQ381" s="405"/>
      <c r="KW381" s="83"/>
      <c r="LE381" s="405"/>
      <c r="LK381" s="83"/>
      <c r="LS381" s="405"/>
      <c r="LY381" s="83"/>
      <c r="MG381" s="405"/>
      <c r="MM381" s="83"/>
      <c r="MU381" s="405"/>
      <c r="NA381" s="83"/>
    </row>
    <row r="382">
      <c r="A382" s="483"/>
      <c r="B382" s="380"/>
      <c r="C382" s="380"/>
      <c r="D382" s="380"/>
      <c r="E382" s="380"/>
      <c r="F382" s="380"/>
      <c r="G382" s="380"/>
      <c r="H382" s="380"/>
      <c r="I382" s="403"/>
      <c r="J382" s="380"/>
      <c r="K382" s="380"/>
      <c r="L382" s="380"/>
      <c r="M382" s="380"/>
      <c r="N382" s="380"/>
      <c r="O382" s="404"/>
      <c r="P382" s="380"/>
      <c r="Q382" s="380"/>
      <c r="R382" s="380"/>
      <c r="S382" s="380"/>
      <c r="T382" s="380"/>
      <c r="U382" s="380"/>
      <c r="V382" s="380"/>
      <c r="W382" s="403"/>
      <c r="X382" s="380"/>
      <c r="Y382" s="380"/>
      <c r="Z382" s="380"/>
      <c r="AA382" s="380"/>
      <c r="AB382" s="380"/>
      <c r="AC382" s="404"/>
      <c r="AD382" s="380"/>
      <c r="AE382" s="380"/>
      <c r="AF382" s="380"/>
      <c r="AG382" s="380"/>
      <c r="AH382" s="380"/>
      <c r="AI382" s="380"/>
      <c r="AJ382" s="380"/>
      <c r="AK382" s="403"/>
      <c r="AL382" s="380"/>
      <c r="AM382" s="380"/>
      <c r="AN382" s="380"/>
      <c r="AO382" s="380"/>
      <c r="AP382" s="380"/>
      <c r="AQ382" s="404"/>
      <c r="AR382" s="380"/>
      <c r="AS382" s="380"/>
      <c r="AT382" s="380"/>
      <c r="AU382" s="380"/>
      <c r="AV382" s="380"/>
      <c r="AW382" s="380"/>
      <c r="AX382" s="380"/>
      <c r="AY382" s="403"/>
      <c r="AZ382" s="380"/>
      <c r="BA382" s="380"/>
      <c r="BB382" s="380"/>
      <c r="BC382" s="380"/>
      <c r="BD382" s="380"/>
      <c r="BE382" s="404"/>
      <c r="BF382" s="380"/>
      <c r="BG382" s="380"/>
      <c r="BH382" s="380"/>
      <c r="BI382" s="380"/>
      <c r="BJ382" s="380"/>
      <c r="BK382" s="380"/>
      <c r="BL382" s="380"/>
      <c r="BM382" s="403"/>
      <c r="BS382" s="83"/>
      <c r="CA382" s="405"/>
      <c r="CG382" s="83"/>
      <c r="CO382" s="405"/>
      <c r="CU382" s="83"/>
      <c r="DC382" s="405"/>
      <c r="DI382" s="83"/>
      <c r="DQ382" s="405"/>
      <c r="DW382" s="83"/>
      <c r="EE382" s="405"/>
      <c r="EK382" s="83"/>
      <c r="ES382" s="405"/>
      <c r="EY382" s="83"/>
      <c r="FG382" s="405"/>
      <c r="FM382" s="83"/>
      <c r="FU382" s="405"/>
      <c r="GA382" s="83"/>
      <c r="GI382" s="405"/>
      <c r="GO382" s="83"/>
      <c r="GW382" s="405"/>
      <c r="HC382" s="83"/>
      <c r="HK382" s="405"/>
      <c r="HQ382" s="83"/>
      <c r="HY382" s="405"/>
      <c r="IE382" s="83"/>
      <c r="IM382" s="405"/>
      <c r="IS382" s="83"/>
      <c r="JA382" s="405"/>
      <c r="JG382" s="83"/>
      <c r="JO382" s="405"/>
      <c r="JU382" s="83"/>
      <c r="KC382" s="405"/>
      <c r="KI382" s="83"/>
      <c r="KQ382" s="405"/>
      <c r="KW382" s="83"/>
      <c r="LE382" s="405"/>
      <c r="LK382" s="83"/>
      <c r="LS382" s="405"/>
      <c r="LY382" s="83"/>
      <c r="MG382" s="405"/>
      <c r="MM382" s="83"/>
      <c r="MU382" s="405"/>
      <c r="NA382" s="83"/>
    </row>
    <row r="383">
      <c r="A383" s="483"/>
      <c r="B383" s="380"/>
      <c r="C383" s="380"/>
      <c r="D383" s="380"/>
      <c r="E383" s="380"/>
      <c r="F383" s="380"/>
      <c r="G383" s="380"/>
      <c r="H383" s="380"/>
      <c r="I383" s="403"/>
      <c r="J383" s="380"/>
      <c r="K383" s="380"/>
      <c r="L383" s="380"/>
      <c r="M383" s="380"/>
      <c r="N383" s="380"/>
      <c r="O383" s="404"/>
      <c r="P383" s="380"/>
      <c r="Q383" s="380"/>
      <c r="R383" s="380"/>
      <c r="S383" s="380"/>
      <c r="T383" s="380"/>
      <c r="U383" s="380"/>
      <c r="V383" s="380"/>
      <c r="W383" s="403"/>
      <c r="X383" s="380"/>
      <c r="Y383" s="380"/>
      <c r="Z383" s="380"/>
      <c r="AA383" s="380"/>
      <c r="AB383" s="380"/>
      <c r="AC383" s="404"/>
      <c r="AD383" s="380"/>
      <c r="AE383" s="380"/>
      <c r="AF383" s="380"/>
      <c r="AG383" s="380"/>
      <c r="AH383" s="380"/>
      <c r="AI383" s="380"/>
      <c r="AJ383" s="380"/>
      <c r="AK383" s="403"/>
      <c r="AL383" s="380"/>
      <c r="AM383" s="380"/>
      <c r="AN383" s="380"/>
      <c r="AO383" s="380"/>
      <c r="AP383" s="380"/>
      <c r="AQ383" s="404"/>
      <c r="AR383" s="380"/>
      <c r="AS383" s="380"/>
      <c r="AT383" s="380"/>
      <c r="AU383" s="380"/>
      <c r="AV383" s="380"/>
      <c r="AW383" s="380"/>
      <c r="AX383" s="380"/>
      <c r="AY383" s="403"/>
      <c r="AZ383" s="380"/>
      <c r="BA383" s="380"/>
      <c r="BB383" s="380"/>
      <c r="BC383" s="380"/>
      <c r="BD383" s="380"/>
      <c r="BE383" s="404"/>
      <c r="BF383" s="380"/>
      <c r="BG383" s="380"/>
      <c r="BH383" s="380"/>
      <c r="BI383" s="380"/>
      <c r="BJ383" s="380"/>
      <c r="BK383" s="380"/>
      <c r="BL383" s="380"/>
      <c r="BM383" s="403"/>
      <c r="BS383" s="83"/>
      <c r="CA383" s="405"/>
      <c r="CG383" s="83"/>
      <c r="CO383" s="405"/>
      <c r="CU383" s="83"/>
      <c r="DC383" s="405"/>
      <c r="DI383" s="83"/>
      <c r="DQ383" s="405"/>
      <c r="DW383" s="83"/>
      <c r="EE383" s="405"/>
      <c r="EK383" s="83"/>
      <c r="ES383" s="405"/>
      <c r="EY383" s="83"/>
      <c r="FG383" s="405"/>
      <c r="FM383" s="83"/>
      <c r="FU383" s="405"/>
      <c r="GA383" s="83"/>
      <c r="GI383" s="405"/>
      <c r="GO383" s="83"/>
      <c r="GW383" s="405"/>
      <c r="HC383" s="83"/>
      <c r="HK383" s="405"/>
      <c r="HQ383" s="83"/>
      <c r="HY383" s="405"/>
      <c r="IE383" s="83"/>
      <c r="IM383" s="405"/>
      <c r="IS383" s="83"/>
      <c r="JA383" s="405"/>
      <c r="JG383" s="83"/>
      <c r="JO383" s="405"/>
      <c r="JU383" s="83"/>
      <c r="KC383" s="405"/>
      <c r="KI383" s="83"/>
      <c r="KQ383" s="405"/>
      <c r="KW383" s="83"/>
      <c r="LE383" s="405"/>
      <c r="LK383" s="83"/>
      <c r="LS383" s="405"/>
      <c r="LY383" s="83"/>
      <c r="MG383" s="405"/>
      <c r="MM383" s="83"/>
      <c r="MU383" s="405"/>
      <c r="NA383" s="83"/>
    </row>
    <row r="384">
      <c r="A384" s="483"/>
      <c r="B384" s="380"/>
      <c r="C384" s="380"/>
      <c r="D384" s="380"/>
      <c r="E384" s="380"/>
      <c r="F384" s="380"/>
      <c r="G384" s="380"/>
      <c r="H384" s="380"/>
      <c r="I384" s="403"/>
      <c r="J384" s="380"/>
      <c r="K384" s="380"/>
      <c r="L384" s="380"/>
      <c r="M384" s="380"/>
      <c r="N384" s="380"/>
      <c r="O384" s="404"/>
      <c r="P384" s="380"/>
      <c r="Q384" s="380"/>
      <c r="R384" s="380"/>
      <c r="S384" s="380"/>
      <c r="T384" s="380"/>
      <c r="U384" s="380"/>
      <c r="V384" s="380"/>
      <c r="W384" s="403"/>
      <c r="X384" s="380"/>
      <c r="Y384" s="380"/>
      <c r="Z384" s="380"/>
      <c r="AA384" s="380"/>
      <c r="AB384" s="380"/>
      <c r="AC384" s="404"/>
      <c r="AD384" s="380"/>
      <c r="AE384" s="380"/>
      <c r="AF384" s="380"/>
      <c r="AG384" s="380"/>
      <c r="AH384" s="380"/>
      <c r="AI384" s="380"/>
      <c r="AJ384" s="380"/>
      <c r="AK384" s="403"/>
      <c r="AL384" s="380"/>
      <c r="AM384" s="380"/>
      <c r="AN384" s="380"/>
      <c r="AO384" s="380"/>
      <c r="AP384" s="380"/>
      <c r="AQ384" s="404"/>
      <c r="AR384" s="380"/>
      <c r="AS384" s="380"/>
      <c r="AT384" s="380"/>
      <c r="AU384" s="380"/>
      <c r="AV384" s="380"/>
      <c r="AW384" s="380"/>
      <c r="AX384" s="380"/>
      <c r="AY384" s="403"/>
      <c r="AZ384" s="380"/>
      <c r="BA384" s="380"/>
      <c r="BB384" s="380"/>
      <c r="BC384" s="380"/>
      <c r="BD384" s="380"/>
      <c r="BE384" s="404"/>
      <c r="BF384" s="380"/>
      <c r="BG384" s="380"/>
      <c r="BH384" s="380"/>
      <c r="BI384" s="380"/>
      <c r="BJ384" s="380"/>
      <c r="BK384" s="380"/>
      <c r="BL384" s="380"/>
      <c r="BM384" s="403"/>
      <c r="BS384" s="83"/>
      <c r="CA384" s="405"/>
      <c r="CG384" s="83"/>
      <c r="CO384" s="405"/>
      <c r="CU384" s="83"/>
      <c r="DC384" s="405"/>
      <c r="DI384" s="83"/>
      <c r="DQ384" s="405"/>
      <c r="DW384" s="83"/>
      <c r="EE384" s="405"/>
      <c r="EK384" s="83"/>
      <c r="ES384" s="405"/>
      <c r="EY384" s="83"/>
      <c r="FG384" s="405"/>
      <c r="FM384" s="83"/>
      <c r="FU384" s="405"/>
      <c r="GA384" s="83"/>
      <c r="GI384" s="405"/>
      <c r="GO384" s="83"/>
      <c r="GW384" s="405"/>
      <c r="HC384" s="83"/>
      <c r="HK384" s="405"/>
      <c r="HQ384" s="83"/>
      <c r="HY384" s="405"/>
      <c r="IE384" s="83"/>
      <c r="IM384" s="405"/>
      <c r="IS384" s="83"/>
      <c r="JA384" s="405"/>
      <c r="JG384" s="83"/>
      <c r="JO384" s="405"/>
      <c r="JU384" s="83"/>
      <c r="KC384" s="405"/>
      <c r="KI384" s="83"/>
      <c r="KQ384" s="405"/>
      <c r="KW384" s="83"/>
      <c r="LE384" s="405"/>
      <c r="LK384" s="83"/>
      <c r="LS384" s="405"/>
      <c r="LY384" s="83"/>
      <c r="MG384" s="405"/>
      <c r="MM384" s="83"/>
      <c r="MU384" s="405"/>
      <c r="NA384" s="83"/>
    </row>
    <row r="385">
      <c r="A385" s="483"/>
      <c r="B385" s="380"/>
      <c r="C385" s="380"/>
      <c r="D385" s="380"/>
      <c r="E385" s="380"/>
      <c r="F385" s="380"/>
      <c r="G385" s="380"/>
      <c r="H385" s="380"/>
      <c r="I385" s="403"/>
      <c r="J385" s="380"/>
      <c r="K385" s="380"/>
      <c r="L385" s="380"/>
      <c r="M385" s="380"/>
      <c r="N385" s="380"/>
      <c r="O385" s="404"/>
      <c r="P385" s="380"/>
      <c r="Q385" s="380"/>
      <c r="R385" s="380"/>
      <c r="S385" s="380"/>
      <c r="T385" s="380"/>
      <c r="U385" s="380"/>
      <c r="V385" s="380"/>
      <c r="W385" s="403"/>
      <c r="X385" s="380"/>
      <c r="Y385" s="380"/>
      <c r="Z385" s="380"/>
      <c r="AA385" s="380"/>
      <c r="AB385" s="380"/>
      <c r="AC385" s="404"/>
      <c r="AD385" s="380"/>
      <c r="AE385" s="380"/>
      <c r="AF385" s="380"/>
      <c r="AG385" s="380"/>
      <c r="AH385" s="380"/>
      <c r="AI385" s="380"/>
      <c r="AJ385" s="380"/>
      <c r="AK385" s="403"/>
      <c r="AL385" s="380"/>
      <c r="AM385" s="380"/>
      <c r="AN385" s="380"/>
      <c r="AO385" s="380"/>
      <c r="AP385" s="380"/>
      <c r="AQ385" s="404"/>
      <c r="AR385" s="380"/>
      <c r="AS385" s="380"/>
      <c r="AT385" s="380"/>
      <c r="AU385" s="380"/>
      <c r="AV385" s="380"/>
      <c r="AW385" s="380"/>
      <c r="AX385" s="380"/>
      <c r="AY385" s="403"/>
      <c r="AZ385" s="380"/>
      <c r="BA385" s="380"/>
      <c r="BB385" s="380"/>
      <c r="BC385" s="380"/>
      <c r="BD385" s="380"/>
      <c r="BE385" s="404"/>
      <c r="BF385" s="380"/>
      <c r="BG385" s="380"/>
      <c r="BH385" s="380"/>
      <c r="BI385" s="380"/>
      <c r="BJ385" s="380"/>
      <c r="BK385" s="380"/>
      <c r="BL385" s="380"/>
      <c r="BM385" s="403"/>
      <c r="BS385" s="83"/>
      <c r="CA385" s="405"/>
      <c r="CG385" s="83"/>
      <c r="CO385" s="405"/>
      <c r="CU385" s="83"/>
      <c r="DC385" s="405"/>
      <c r="DI385" s="83"/>
      <c r="DQ385" s="405"/>
      <c r="DW385" s="83"/>
      <c r="EE385" s="405"/>
      <c r="EK385" s="83"/>
      <c r="ES385" s="405"/>
      <c r="EY385" s="83"/>
      <c r="FG385" s="405"/>
      <c r="FM385" s="83"/>
      <c r="FU385" s="405"/>
      <c r="GA385" s="83"/>
      <c r="GI385" s="405"/>
      <c r="GO385" s="83"/>
      <c r="GW385" s="405"/>
      <c r="HC385" s="83"/>
      <c r="HK385" s="405"/>
      <c r="HQ385" s="83"/>
      <c r="HY385" s="405"/>
      <c r="IE385" s="83"/>
      <c r="IM385" s="405"/>
      <c r="IS385" s="83"/>
      <c r="JA385" s="405"/>
      <c r="JG385" s="83"/>
      <c r="JO385" s="405"/>
      <c r="JU385" s="83"/>
      <c r="KC385" s="405"/>
      <c r="KI385" s="83"/>
      <c r="KQ385" s="405"/>
      <c r="KW385" s="83"/>
      <c r="LE385" s="405"/>
      <c r="LK385" s="83"/>
      <c r="LS385" s="405"/>
      <c r="LY385" s="83"/>
      <c r="MG385" s="405"/>
      <c r="MM385" s="83"/>
      <c r="MU385" s="405"/>
      <c r="NA385" s="83"/>
    </row>
    <row r="386">
      <c r="A386" s="483"/>
      <c r="B386" s="380"/>
      <c r="C386" s="380"/>
      <c r="D386" s="380"/>
      <c r="E386" s="380"/>
      <c r="F386" s="380"/>
      <c r="G386" s="380"/>
      <c r="H386" s="380"/>
      <c r="I386" s="403"/>
      <c r="J386" s="380"/>
      <c r="K386" s="380"/>
      <c r="L386" s="380"/>
      <c r="M386" s="380"/>
      <c r="N386" s="380"/>
      <c r="O386" s="404"/>
      <c r="P386" s="380"/>
      <c r="Q386" s="380"/>
      <c r="R386" s="380"/>
      <c r="S386" s="380"/>
      <c r="T386" s="380"/>
      <c r="U386" s="380"/>
      <c r="V386" s="380"/>
      <c r="W386" s="403"/>
      <c r="X386" s="380"/>
      <c r="Y386" s="380"/>
      <c r="Z386" s="380"/>
      <c r="AA386" s="380"/>
      <c r="AB386" s="380"/>
      <c r="AC386" s="404"/>
      <c r="AD386" s="380"/>
      <c r="AE386" s="380"/>
      <c r="AF386" s="380"/>
      <c r="AG386" s="380"/>
      <c r="AH386" s="380"/>
      <c r="AI386" s="380"/>
      <c r="AJ386" s="380"/>
      <c r="AK386" s="403"/>
      <c r="AL386" s="380"/>
      <c r="AM386" s="380"/>
      <c r="AN386" s="380"/>
      <c r="AO386" s="380"/>
      <c r="AP386" s="380"/>
      <c r="AQ386" s="404"/>
      <c r="AR386" s="380"/>
      <c r="AS386" s="380"/>
      <c r="AT386" s="380"/>
      <c r="AU386" s="380"/>
      <c r="AV386" s="380"/>
      <c r="AW386" s="380"/>
      <c r="AX386" s="380"/>
      <c r="AY386" s="403"/>
      <c r="AZ386" s="380"/>
      <c r="BA386" s="380"/>
      <c r="BB386" s="380"/>
      <c r="BC386" s="380"/>
      <c r="BD386" s="380"/>
      <c r="BE386" s="404"/>
      <c r="BF386" s="380"/>
      <c r="BG386" s="380"/>
      <c r="BH386" s="380"/>
      <c r="BI386" s="380"/>
      <c r="BJ386" s="380"/>
      <c r="BK386" s="380"/>
      <c r="BL386" s="380"/>
      <c r="BM386" s="403"/>
      <c r="BS386" s="83"/>
      <c r="CA386" s="405"/>
      <c r="CG386" s="83"/>
      <c r="CO386" s="405"/>
      <c r="CU386" s="83"/>
      <c r="DC386" s="405"/>
      <c r="DI386" s="83"/>
      <c r="DQ386" s="405"/>
      <c r="DW386" s="83"/>
      <c r="EE386" s="405"/>
      <c r="EK386" s="83"/>
      <c r="ES386" s="405"/>
      <c r="EY386" s="83"/>
      <c r="FG386" s="405"/>
      <c r="FM386" s="83"/>
      <c r="FU386" s="405"/>
      <c r="GA386" s="83"/>
      <c r="GI386" s="405"/>
      <c r="GO386" s="83"/>
      <c r="GW386" s="405"/>
      <c r="HC386" s="83"/>
      <c r="HK386" s="405"/>
      <c r="HQ386" s="83"/>
      <c r="HY386" s="405"/>
      <c r="IE386" s="83"/>
      <c r="IM386" s="405"/>
      <c r="IS386" s="83"/>
      <c r="JA386" s="405"/>
      <c r="JG386" s="83"/>
      <c r="JO386" s="405"/>
      <c r="JU386" s="83"/>
      <c r="KC386" s="405"/>
      <c r="KI386" s="83"/>
      <c r="KQ386" s="405"/>
      <c r="KW386" s="83"/>
      <c r="LE386" s="405"/>
      <c r="LK386" s="83"/>
      <c r="LS386" s="405"/>
      <c r="LY386" s="83"/>
      <c r="MG386" s="405"/>
      <c r="MM386" s="83"/>
      <c r="MU386" s="405"/>
      <c r="NA386" s="83"/>
    </row>
    <row r="387">
      <c r="A387" s="483"/>
      <c r="B387" s="380"/>
      <c r="C387" s="380"/>
      <c r="D387" s="380"/>
      <c r="E387" s="380"/>
      <c r="F387" s="380"/>
      <c r="G387" s="380"/>
      <c r="H387" s="380"/>
      <c r="I387" s="403"/>
      <c r="J387" s="380"/>
      <c r="K387" s="380"/>
      <c r="L387" s="380"/>
      <c r="M387" s="380"/>
      <c r="N387" s="380"/>
      <c r="O387" s="404"/>
      <c r="P387" s="380"/>
      <c r="Q387" s="380"/>
      <c r="R387" s="380"/>
      <c r="S387" s="380"/>
      <c r="T387" s="380"/>
      <c r="U387" s="380"/>
      <c r="V387" s="380"/>
      <c r="W387" s="403"/>
      <c r="X387" s="380"/>
      <c r="Y387" s="380"/>
      <c r="Z387" s="380"/>
      <c r="AA387" s="380"/>
      <c r="AB387" s="380"/>
      <c r="AC387" s="404"/>
      <c r="AD387" s="380"/>
      <c r="AE387" s="380"/>
      <c r="AF387" s="380"/>
      <c r="AG387" s="380"/>
      <c r="AH387" s="380"/>
      <c r="AI387" s="380"/>
      <c r="AJ387" s="380"/>
      <c r="AK387" s="403"/>
      <c r="AL387" s="380"/>
      <c r="AM387" s="380"/>
      <c r="AN387" s="380"/>
      <c r="AO387" s="380"/>
      <c r="AP387" s="380"/>
      <c r="AQ387" s="404"/>
      <c r="AR387" s="380"/>
      <c r="AS387" s="380"/>
      <c r="AT387" s="380"/>
      <c r="AU387" s="380"/>
      <c r="AV387" s="380"/>
      <c r="AW387" s="380"/>
      <c r="AX387" s="380"/>
      <c r="AY387" s="403"/>
      <c r="AZ387" s="380"/>
      <c r="BA387" s="380"/>
      <c r="BB387" s="380"/>
      <c r="BC387" s="380"/>
      <c r="BD387" s="380"/>
      <c r="BE387" s="404"/>
      <c r="BF387" s="380"/>
      <c r="BG387" s="380"/>
      <c r="BH387" s="380"/>
      <c r="BI387" s="380"/>
      <c r="BJ387" s="380"/>
      <c r="BK387" s="380"/>
      <c r="BL387" s="380"/>
      <c r="BM387" s="403"/>
      <c r="BS387" s="83"/>
      <c r="CA387" s="405"/>
      <c r="CG387" s="83"/>
      <c r="CO387" s="405"/>
      <c r="CU387" s="83"/>
      <c r="DC387" s="405"/>
      <c r="DI387" s="83"/>
      <c r="DQ387" s="405"/>
      <c r="DW387" s="83"/>
      <c r="EE387" s="405"/>
      <c r="EK387" s="83"/>
      <c r="ES387" s="405"/>
      <c r="EY387" s="83"/>
      <c r="FG387" s="405"/>
      <c r="FM387" s="83"/>
      <c r="FU387" s="405"/>
      <c r="GA387" s="83"/>
      <c r="GI387" s="405"/>
      <c r="GO387" s="83"/>
      <c r="GW387" s="405"/>
      <c r="HC387" s="83"/>
      <c r="HK387" s="405"/>
      <c r="HQ387" s="83"/>
      <c r="HY387" s="405"/>
      <c r="IE387" s="83"/>
      <c r="IM387" s="405"/>
      <c r="IS387" s="83"/>
      <c r="JA387" s="405"/>
      <c r="JG387" s="83"/>
      <c r="JO387" s="405"/>
      <c r="JU387" s="83"/>
      <c r="KC387" s="405"/>
      <c r="KI387" s="83"/>
      <c r="KQ387" s="405"/>
      <c r="KW387" s="83"/>
      <c r="LE387" s="405"/>
      <c r="LK387" s="83"/>
      <c r="LS387" s="405"/>
      <c r="LY387" s="83"/>
      <c r="MG387" s="405"/>
      <c r="MM387" s="83"/>
      <c r="MU387" s="405"/>
      <c r="NA387" s="83"/>
    </row>
    <row r="388">
      <c r="A388" s="483"/>
      <c r="B388" s="380"/>
      <c r="C388" s="380"/>
      <c r="D388" s="380"/>
      <c r="E388" s="380"/>
      <c r="F388" s="380"/>
      <c r="G388" s="380"/>
      <c r="H388" s="380"/>
      <c r="I388" s="403"/>
      <c r="J388" s="380"/>
      <c r="K388" s="380"/>
      <c r="L388" s="380"/>
      <c r="M388" s="380"/>
      <c r="N388" s="380"/>
      <c r="O388" s="404"/>
      <c r="P388" s="380"/>
      <c r="Q388" s="380"/>
      <c r="R388" s="380"/>
      <c r="S388" s="380"/>
      <c r="T388" s="380"/>
      <c r="U388" s="380"/>
      <c r="V388" s="380"/>
      <c r="W388" s="403"/>
      <c r="X388" s="380"/>
      <c r="Y388" s="380"/>
      <c r="Z388" s="380"/>
      <c r="AA388" s="380"/>
      <c r="AB388" s="380"/>
      <c r="AC388" s="404"/>
      <c r="AD388" s="380"/>
      <c r="AE388" s="380"/>
      <c r="AF388" s="380"/>
      <c r="AG388" s="380"/>
      <c r="AH388" s="380"/>
      <c r="AI388" s="380"/>
      <c r="AJ388" s="380"/>
      <c r="AK388" s="403"/>
      <c r="AL388" s="380"/>
      <c r="AM388" s="380"/>
      <c r="AN388" s="380"/>
      <c r="AO388" s="380"/>
      <c r="AP388" s="380"/>
      <c r="AQ388" s="404"/>
      <c r="AR388" s="380"/>
      <c r="AS388" s="380"/>
      <c r="AT388" s="380"/>
      <c r="AU388" s="380"/>
      <c r="AV388" s="380"/>
      <c r="AW388" s="380"/>
      <c r="AX388" s="380"/>
      <c r="AY388" s="403"/>
      <c r="AZ388" s="380"/>
      <c r="BA388" s="380"/>
      <c r="BB388" s="380"/>
      <c r="BC388" s="380"/>
      <c r="BD388" s="380"/>
      <c r="BE388" s="404"/>
      <c r="BF388" s="380"/>
      <c r="BG388" s="380"/>
      <c r="BH388" s="380"/>
      <c r="BI388" s="380"/>
      <c r="BJ388" s="380"/>
      <c r="BK388" s="380"/>
      <c r="BL388" s="380"/>
      <c r="BM388" s="403"/>
      <c r="BS388" s="83"/>
      <c r="CA388" s="405"/>
      <c r="CG388" s="83"/>
      <c r="CO388" s="405"/>
      <c r="CU388" s="83"/>
      <c r="DC388" s="405"/>
      <c r="DI388" s="83"/>
      <c r="DQ388" s="405"/>
      <c r="DW388" s="83"/>
      <c r="EE388" s="405"/>
      <c r="EK388" s="83"/>
      <c r="ES388" s="405"/>
      <c r="EY388" s="83"/>
      <c r="FG388" s="405"/>
      <c r="FM388" s="83"/>
      <c r="FU388" s="405"/>
      <c r="GA388" s="83"/>
      <c r="GI388" s="405"/>
      <c r="GO388" s="83"/>
      <c r="GW388" s="405"/>
      <c r="HC388" s="83"/>
      <c r="HK388" s="405"/>
      <c r="HQ388" s="83"/>
      <c r="HY388" s="405"/>
      <c r="IE388" s="83"/>
      <c r="IM388" s="405"/>
      <c r="IS388" s="83"/>
      <c r="JA388" s="405"/>
      <c r="JG388" s="83"/>
      <c r="JO388" s="405"/>
      <c r="JU388" s="83"/>
      <c r="KC388" s="405"/>
      <c r="KI388" s="83"/>
      <c r="KQ388" s="405"/>
      <c r="KW388" s="83"/>
      <c r="LE388" s="405"/>
      <c r="LK388" s="83"/>
      <c r="LS388" s="405"/>
      <c r="LY388" s="83"/>
      <c r="MG388" s="405"/>
      <c r="MM388" s="83"/>
      <c r="MU388" s="405"/>
      <c r="NA388" s="83"/>
    </row>
    <row r="389">
      <c r="A389" s="483"/>
      <c r="B389" s="380"/>
      <c r="C389" s="380"/>
      <c r="D389" s="380"/>
      <c r="E389" s="380"/>
      <c r="F389" s="380"/>
      <c r="G389" s="380"/>
      <c r="H389" s="380"/>
      <c r="I389" s="403"/>
      <c r="J389" s="380"/>
      <c r="K389" s="380"/>
      <c r="L389" s="380"/>
      <c r="M389" s="380"/>
      <c r="N389" s="380"/>
      <c r="O389" s="404"/>
      <c r="P389" s="380"/>
      <c r="Q389" s="380"/>
      <c r="R389" s="380"/>
      <c r="S389" s="380"/>
      <c r="T389" s="380"/>
      <c r="U389" s="380"/>
      <c r="V389" s="380"/>
      <c r="W389" s="403"/>
      <c r="X389" s="380"/>
      <c r="Y389" s="380"/>
      <c r="Z389" s="380"/>
      <c r="AA389" s="380"/>
      <c r="AB389" s="380"/>
      <c r="AC389" s="404"/>
      <c r="AD389" s="380"/>
      <c r="AE389" s="380"/>
      <c r="AF389" s="380"/>
      <c r="AG389" s="380"/>
      <c r="AH389" s="380"/>
      <c r="AI389" s="380"/>
      <c r="AJ389" s="380"/>
      <c r="AK389" s="403"/>
      <c r="AL389" s="380"/>
      <c r="AM389" s="380"/>
      <c r="AN389" s="380"/>
      <c r="AO389" s="380"/>
      <c r="AP389" s="380"/>
      <c r="AQ389" s="404"/>
      <c r="AR389" s="380"/>
      <c r="AS389" s="380"/>
      <c r="AT389" s="380"/>
      <c r="AU389" s="380"/>
      <c r="AV389" s="380"/>
      <c r="AW389" s="380"/>
      <c r="AX389" s="380"/>
      <c r="AY389" s="403"/>
      <c r="AZ389" s="380"/>
      <c r="BA389" s="380"/>
      <c r="BB389" s="380"/>
      <c r="BC389" s="380"/>
      <c r="BD389" s="380"/>
      <c r="BE389" s="404"/>
      <c r="BF389" s="380"/>
      <c r="BG389" s="380"/>
      <c r="BH389" s="380"/>
      <c r="BI389" s="380"/>
      <c r="BJ389" s="380"/>
      <c r="BK389" s="380"/>
      <c r="BL389" s="380"/>
      <c r="BM389" s="403"/>
      <c r="BS389" s="83"/>
      <c r="CA389" s="405"/>
      <c r="CG389" s="83"/>
      <c r="CO389" s="405"/>
      <c r="CU389" s="83"/>
      <c r="DC389" s="405"/>
      <c r="DI389" s="83"/>
      <c r="DQ389" s="405"/>
      <c r="DW389" s="83"/>
      <c r="EE389" s="405"/>
      <c r="EK389" s="83"/>
      <c r="ES389" s="405"/>
      <c r="EY389" s="83"/>
      <c r="FG389" s="405"/>
      <c r="FM389" s="83"/>
      <c r="FU389" s="405"/>
      <c r="GA389" s="83"/>
      <c r="GI389" s="405"/>
      <c r="GO389" s="83"/>
      <c r="GW389" s="405"/>
      <c r="HC389" s="83"/>
      <c r="HK389" s="405"/>
      <c r="HQ389" s="83"/>
      <c r="HY389" s="405"/>
      <c r="IE389" s="83"/>
      <c r="IM389" s="405"/>
      <c r="IS389" s="83"/>
      <c r="JA389" s="405"/>
      <c r="JG389" s="83"/>
      <c r="JO389" s="405"/>
      <c r="JU389" s="83"/>
      <c r="KC389" s="405"/>
      <c r="KI389" s="83"/>
      <c r="KQ389" s="405"/>
      <c r="KW389" s="83"/>
      <c r="LE389" s="405"/>
      <c r="LK389" s="83"/>
      <c r="LS389" s="405"/>
      <c r="LY389" s="83"/>
      <c r="MG389" s="405"/>
      <c r="MM389" s="83"/>
      <c r="MU389" s="405"/>
      <c r="NA389" s="83"/>
    </row>
    <row r="390">
      <c r="A390" s="483"/>
      <c r="B390" s="380"/>
      <c r="C390" s="380"/>
      <c r="D390" s="380"/>
      <c r="E390" s="380"/>
      <c r="F390" s="380"/>
      <c r="G390" s="380"/>
      <c r="H390" s="380"/>
      <c r="I390" s="403"/>
      <c r="J390" s="380"/>
      <c r="K390" s="380"/>
      <c r="L390" s="380"/>
      <c r="M390" s="380"/>
      <c r="N390" s="380"/>
      <c r="O390" s="404"/>
      <c r="P390" s="380"/>
      <c r="Q390" s="380"/>
      <c r="R390" s="380"/>
      <c r="S390" s="380"/>
      <c r="T390" s="380"/>
      <c r="U390" s="380"/>
      <c r="V390" s="380"/>
      <c r="W390" s="403"/>
      <c r="X390" s="380"/>
      <c r="Y390" s="380"/>
      <c r="Z390" s="380"/>
      <c r="AA390" s="380"/>
      <c r="AB390" s="380"/>
      <c r="AC390" s="404"/>
      <c r="AD390" s="380"/>
      <c r="AE390" s="380"/>
      <c r="AF390" s="380"/>
      <c r="AG390" s="380"/>
      <c r="AH390" s="380"/>
      <c r="AI390" s="380"/>
      <c r="AJ390" s="380"/>
      <c r="AK390" s="403"/>
      <c r="AL390" s="380"/>
      <c r="AM390" s="380"/>
      <c r="AN390" s="380"/>
      <c r="AO390" s="380"/>
      <c r="AP390" s="380"/>
      <c r="AQ390" s="404"/>
      <c r="AR390" s="380"/>
      <c r="AS390" s="380"/>
      <c r="AT390" s="380"/>
      <c r="AU390" s="380"/>
      <c r="AV390" s="380"/>
      <c r="AW390" s="380"/>
      <c r="AX390" s="380"/>
      <c r="AY390" s="403"/>
      <c r="AZ390" s="380"/>
      <c r="BA390" s="380"/>
      <c r="BB390" s="380"/>
      <c r="BC390" s="380"/>
      <c r="BD390" s="380"/>
      <c r="BE390" s="404"/>
      <c r="BF390" s="380"/>
      <c r="BG390" s="380"/>
      <c r="BH390" s="380"/>
      <c r="BI390" s="380"/>
      <c r="BJ390" s="380"/>
      <c r="BK390" s="380"/>
      <c r="BL390" s="380"/>
      <c r="BM390" s="403"/>
      <c r="BS390" s="83"/>
      <c r="CA390" s="405"/>
      <c r="CG390" s="83"/>
      <c r="CO390" s="405"/>
      <c r="CU390" s="83"/>
      <c r="DC390" s="405"/>
      <c r="DI390" s="83"/>
      <c r="DQ390" s="405"/>
      <c r="DW390" s="83"/>
      <c r="EE390" s="405"/>
      <c r="EK390" s="83"/>
      <c r="ES390" s="405"/>
      <c r="EY390" s="83"/>
      <c r="FG390" s="405"/>
      <c r="FM390" s="83"/>
      <c r="FU390" s="405"/>
      <c r="GA390" s="83"/>
      <c r="GI390" s="405"/>
      <c r="GO390" s="83"/>
      <c r="GW390" s="405"/>
      <c r="HC390" s="83"/>
      <c r="HK390" s="405"/>
      <c r="HQ390" s="83"/>
      <c r="HY390" s="405"/>
      <c r="IE390" s="83"/>
      <c r="IM390" s="405"/>
      <c r="IS390" s="83"/>
      <c r="JA390" s="405"/>
      <c r="JG390" s="83"/>
      <c r="JO390" s="405"/>
      <c r="JU390" s="83"/>
      <c r="KC390" s="405"/>
      <c r="KI390" s="83"/>
      <c r="KQ390" s="405"/>
      <c r="KW390" s="83"/>
      <c r="LE390" s="405"/>
      <c r="LK390" s="83"/>
      <c r="LS390" s="405"/>
      <c r="LY390" s="83"/>
      <c r="MG390" s="405"/>
      <c r="MM390" s="83"/>
      <c r="MU390" s="405"/>
      <c r="NA390" s="83"/>
    </row>
    <row r="391">
      <c r="A391" s="483"/>
      <c r="B391" s="380"/>
      <c r="C391" s="380"/>
      <c r="D391" s="380"/>
      <c r="E391" s="380"/>
      <c r="F391" s="380"/>
      <c r="G391" s="380"/>
      <c r="H391" s="380"/>
      <c r="I391" s="403"/>
      <c r="J391" s="380"/>
      <c r="K391" s="380"/>
      <c r="L391" s="380"/>
      <c r="M391" s="380"/>
      <c r="N391" s="380"/>
      <c r="O391" s="404"/>
      <c r="P391" s="380"/>
      <c r="Q391" s="380"/>
      <c r="R391" s="380"/>
      <c r="S391" s="380"/>
      <c r="T391" s="380"/>
      <c r="U391" s="380"/>
      <c r="V391" s="380"/>
      <c r="W391" s="403"/>
      <c r="X391" s="380"/>
      <c r="Y391" s="380"/>
      <c r="Z391" s="380"/>
      <c r="AA391" s="380"/>
      <c r="AB391" s="380"/>
      <c r="AC391" s="404"/>
      <c r="AD391" s="380"/>
      <c r="AE391" s="380"/>
      <c r="AF391" s="380"/>
      <c r="AG391" s="380"/>
      <c r="AH391" s="380"/>
      <c r="AI391" s="380"/>
      <c r="AJ391" s="380"/>
      <c r="AK391" s="403"/>
      <c r="AL391" s="380"/>
      <c r="AM391" s="380"/>
      <c r="AN391" s="380"/>
      <c r="AO391" s="380"/>
      <c r="AP391" s="380"/>
      <c r="AQ391" s="404"/>
      <c r="AR391" s="380"/>
      <c r="AS391" s="380"/>
      <c r="AT391" s="380"/>
      <c r="AU391" s="380"/>
      <c r="AV391" s="380"/>
      <c r="AW391" s="380"/>
      <c r="AX391" s="380"/>
      <c r="AY391" s="403"/>
      <c r="AZ391" s="380"/>
      <c r="BA391" s="380"/>
      <c r="BB391" s="380"/>
      <c r="BC391" s="380"/>
      <c r="BD391" s="380"/>
      <c r="BE391" s="404"/>
      <c r="BF391" s="380"/>
      <c r="BG391" s="380"/>
      <c r="BH391" s="380"/>
      <c r="BI391" s="380"/>
      <c r="BJ391" s="380"/>
      <c r="BK391" s="380"/>
      <c r="BL391" s="380"/>
      <c r="BM391" s="403"/>
      <c r="BS391" s="83"/>
      <c r="CA391" s="405"/>
      <c r="CG391" s="83"/>
      <c r="CO391" s="405"/>
      <c r="CU391" s="83"/>
      <c r="DC391" s="405"/>
      <c r="DI391" s="83"/>
      <c r="DQ391" s="405"/>
      <c r="DW391" s="83"/>
      <c r="EE391" s="405"/>
      <c r="EK391" s="83"/>
      <c r="ES391" s="405"/>
      <c r="EY391" s="83"/>
      <c r="FG391" s="405"/>
      <c r="FM391" s="83"/>
      <c r="FU391" s="405"/>
      <c r="GA391" s="83"/>
      <c r="GI391" s="405"/>
      <c r="GO391" s="83"/>
      <c r="GW391" s="405"/>
      <c r="HC391" s="83"/>
      <c r="HK391" s="405"/>
      <c r="HQ391" s="83"/>
      <c r="HY391" s="405"/>
      <c r="IE391" s="83"/>
      <c r="IM391" s="405"/>
      <c r="IS391" s="83"/>
      <c r="JA391" s="405"/>
      <c r="JG391" s="83"/>
      <c r="JO391" s="405"/>
      <c r="JU391" s="83"/>
      <c r="KC391" s="405"/>
      <c r="KI391" s="83"/>
      <c r="KQ391" s="405"/>
      <c r="KW391" s="83"/>
      <c r="LE391" s="405"/>
      <c r="LK391" s="83"/>
      <c r="LS391" s="405"/>
      <c r="LY391" s="83"/>
      <c r="MG391" s="405"/>
      <c r="MM391" s="83"/>
      <c r="MU391" s="405"/>
      <c r="NA391" s="83"/>
    </row>
    <row r="392">
      <c r="A392" s="483"/>
      <c r="B392" s="380"/>
      <c r="C392" s="380"/>
      <c r="D392" s="380"/>
      <c r="E392" s="380"/>
      <c r="F392" s="380"/>
      <c r="G392" s="380"/>
      <c r="H392" s="380"/>
      <c r="I392" s="403"/>
      <c r="J392" s="380"/>
      <c r="K392" s="380"/>
      <c r="L392" s="380"/>
      <c r="M392" s="380"/>
      <c r="N392" s="380"/>
      <c r="O392" s="404"/>
      <c r="P392" s="380"/>
      <c r="Q392" s="380"/>
      <c r="R392" s="380"/>
      <c r="S392" s="380"/>
      <c r="T392" s="380"/>
      <c r="U392" s="380"/>
      <c r="V392" s="380"/>
      <c r="W392" s="403"/>
      <c r="X392" s="380"/>
      <c r="Y392" s="380"/>
      <c r="Z392" s="380"/>
      <c r="AA392" s="380"/>
      <c r="AB392" s="380"/>
      <c r="AC392" s="404"/>
      <c r="AD392" s="380"/>
      <c r="AE392" s="380"/>
      <c r="AF392" s="380"/>
      <c r="AG392" s="380"/>
      <c r="AH392" s="380"/>
      <c r="AI392" s="380"/>
      <c r="AJ392" s="380"/>
      <c r="AK392" s="403"/>
      <c r="AL392" s="380"/>
      <c r="AM392" s="380"/>
      <c r="AN392" s="380"/>
      <c r="AO392" s="380"/>
      <c r="AP392" s="380"/>
      <c r="AQ392" s="404"/>
      <c r="AR392" s="380"/>
      <c r="AS392" s="380"/>
      <c r="AT392" s="380"/>
      <c r="AU392" s="380"/>
      <c r="AV392" s="380"/>
      <c r="AW392" s="380"/>
      <c r="AX392" s="380"/>
      <c r="AY392" s="403"/>
      <c r="AZ392" s="380"/>
      <c r="BA392" s="380"/>
      <c r="BB392" s="380"/>
      <c r="BC392" s="380"/>
      <c r="BD392" s="380"/>
      <c r="BE392" s="404"/>
      <c r="BF392" s="380"/>
      <c r="BG392" s="380"/>
      <c r="BH392" s="380"/>
      <c r="BI392" s="380"/>
      <c r="BJ392" s="380"/>
      <c r="BK392" s="380"/>
      <c r="BL392" s="380"/>
      <c r="BM392" s="403"/>
      <c r="BS392" s="83"/>
      <c r="CA392" s="405"/>
      <c r="CG392" s="83"/>
      <c r="CO392" s="405"/>
      <c r="CU392" s="83"/>
      <c r="DC392" s="405"/>
      <c r="DI392" s="83"/>
      <c r="DQ392" s="405"/>
      <c r="DW392" s="83"/>
      <c r="EE392" s="405"/>
      <c r="EK392" s="83"/>
      <c r="ES392" s="405"/>
      <c r="EY392" s="83"/>
      <c r="FG392" s="405"/>
      <c r="FM392" s="83"/>
      <c r="FU392" s="405"/>
      <c r="GA392" s="83"/>
      <c r="GI392" s="405"/>
      <c r="GO392" s="83"/>
      <c r="GW392" s="405"/>
      <c r="HC392" s="83"/>
      <c r="HK392" s="405"/>
      <c r="HQ392" s="83"/>
      <c r="HY392" s="405"/>
      <c r="IE392" s="83"/>
      <c r="IM392" s="405"/>
      <c r="IS392" s="83"/>
      <c r="JA392" s="405"/>
      <c r="JG392" s="83"/>
      <c r="JO392" s="405"/>
      <c r="JU392" s="83"/>
      <c r="KC392" s="405"/>
      <c r="KI392" s="83"/>
      <c r="KQ392" s="405"/>
      <c r="KW392" s="83"/>
      <c r="LE392" s="405"/>
      <c r="LK392" s="83"/>
      <c r="LS392" s="405"/>
      <c r="LY392" s="83"/>
      <c r="MG392" s="405"/>
      <c r="MM392" s="83"/>
      <c r="MU392" s="405"/>
      <c r="NA392" s="83"/>
    </row>
    <row r="393">
      <c r="A393" s="483"/>
      <c r="B393" s="380"/>
      <c r="C393" s="380"/>
      <c r="D393" s="380"/>
      <c r="E393" s="380"/>
      <c r="F393" s="380"/>
      <c r="G393" s="380"/>
      <c r="H393" s="380"/>
      <c r="I393" s="403"/>
      <c r="J393" s="380"/>
      <c r="K393" s="380"/>
      <c r="L393" s="380"/>
      <c r="M393" s="380"/>
      <c r="N393" s="380"/>
      <c r="O393" s="404"/>
      <c r="P393" s="380"/>
      <c r="Q393" s="380"/>
      <c r="R393" s="380"/>
      <c r="S393" s="380"/>
      <c r="T393" s="380"/>
      <c r="U393" s="380"/>
      <c r="V393" s="380"/>
      <c r="W393" s="403"/>
      <c r="X393" s="380"/>
      <c r="Y393" s="380"/>
      <c r="Z393" s="380"/>
      <c r="AA393" s="380"/>
      <c r="AB393" s="380"/>
      <c r="AC393" s="404"/>
      <c r="AD393" s="380"/>
      <c r="AE393" s="380"/>
      <c r="AF393" s="380"/>
      <c r="AG393" s="380"/>
      <c r="AH393" s="380"/>
      <c r="AI393" s="380"/>
      <c r="AJ393" s="380"/>
      <c r="AK393" s="403"/>
      <c r="AL393" s="380"/>
      <c r="AM393" s="380"/>
      <c r="AN393" s="380"/>
      <c r="AO393" s="380"/>
      <c r="AP393" s="380"/>
      <c r="AQ393" s="404"/>
      <c r="AR393" s="380"/>
      <c r="AS393" s="380"/>
      <c r="AT393" s="380"/>
      <c r="AU393" s="380"/>
      <c r="AV393" s="380"/>
      <c r="AW393" s="380"/>
      <c r="AX393" s="380"/>
      <c r="AY393" s="403"/>
      <c r="AZ393" s="380"/>
      <c r="BA393" s="380"/>
      <c r="BB393" s="380"/>
      <c r="BC393" s="380"/>
      <c r="BD393" s="380"/>
      <c r="BE393" s="404"/>
      <c r="BF393" s="380"/>
      <c r="BG393" s="380"/>
      <c r="BH393" s="380"/>
      <c r="BI393" s="380"/>
      <c r="BJ393" s="380"/>
      <c r="BK393" s="380"/>
      <c r="BL393" s="380"/>
      <c r="BM393" s="403"/>
      <c r="BS393" s="83"/>
      <c r="CA393" s="405"/>
      <c r="CG393" s="83"/>
      <c r="CO393" s="405"/>
      <c r="CU393" s="83"/>
      <c r="DC393" s="405"/>
      <c r="DI393" s="83"/>
      <c r="DQ393" s="405"/>
      <c r="DW393" s="83"/>
      <c r="EE393" s="405"/>
      <c r="EK393" s="83"/>
      <c r="ES393" s="405"/>
      <c r="EY393" s="83"/>
      <c r="FG393" s="405"/>
      <c r="FM393" s="83"/>
      <c r="FU393" s="405"/>
      <c r="GA393" s="83"/>
      <c r="GI393" s="405"/>
      <c r="GO393" s="83"/>
      <c r="GW393" s="405"/>
      <c r="HC393" s="83"/>
      <c r="HK393" s="405"/>
      <c r="HQ393" s="83"/>
      <c r="HY393" s="405"/>
      <c r="IE393" s="83"/>
      <c r="IM393" s="405"/>
      <c r="IS393" s="83"/>
      <c r="JA393" s="405"/>
      <c r="JG393" s="83"/>
      <c r="JO393" s="405"/>
      <c r="JU393" s="83"/>
      <c r="KC393" s="405"/>
      <c r="KI393" s="83"/>
      <c r="KQ393" s="405"/>
      <c r="KW393" s="83"/>
      <c r="LE393" s="405"/>
      <c r="LK393" s="83"/>
      <c r="LS393" s="405"/>
      <c r="LY393" s="83"/>
      <c r="MG393" s="405"/>
      <c r="MM393" s="83"/>
      <c r="MU393" s="405"/>
      <c r="NA393" s="83"/>
    </row>
    <row r="394">
      <c r="A394" s="483"/>
      <c r="B394" s="380"/>
      <c r="C394" s="380"/>
      <c r="D394" s="380"/>
      <c r="E394" s="380"/>
      <c r="F394" s="380"/>
      <c r="G394" s="380"/>
      <c r="H394" s="380"/>
      <c r="I394" s="403"/>
      <c r="J394" s="380"/>
      <c r="K394" s="380"/>
      <c r="L394" s="380"/>
      <c r="M394" s="380"/>
      <c r="N394" s="380"/>
      <c r="O394" s="404"/>
      <c r="P394" s="380"/>
      <c r="Q394" s="380"/>
      <c r="R394" s="380"/>
      <c r="S394" s="380"/>
      <c r="T394" s="380"/>
      <c r="U394" s="380"/>
      <c r="V394" s="380"/>
      <c r="W394" s="403"/>
      <c r="X394" s="380"/>
      <c r="Y394" s="380"/>
      <c r="Z394" s="380"/>
      <c r="AA394" s="380"/>
      <c r="AB394" s="380"/>
      <c r="AC394" s="404"/>
      <c r="AD394" s="380"/>
      <c r="AE394" s="380"/>
      <c r="AF394" s="380"/>
      <c r="AG394" s="380"/>
      <c r="AH394" s="380"/>
      <c r="AI394" s="380"/>
      <c r="AJ394" s="380"/>
      <c r="AK394" s="403"/>
      <c r="AL394" s="380"/>
      <c r="AM394" s="380"/>
      <c r="AN394" s="380"/>
      <c r="AO394" s="380"/>
      <c r="AP394" s="380"/>
      <c r="AQ394" s="404"/>
      <c r="AR394" s="380"/>
      <c r="AS394" s="380"/>
      <c r="AT394" s="380"/>
      <c r="AU394" s="380"/>
      <c r="AV394" s="380"/>
      <c r="AW394" s="380"/>
      <c r="AX394" s="380"/>
      <c r="AY394" s="403"/>
      <c r="AZ394" s="380"/>
      <c r="BA394" s="380"/>
      <c r="BB394" s="380"/>
      <c r="BC394" s="380"/>
      <c r="BD394" s="380"/>
      <c r="BE394" s="404"/>
      <c r="BF394" s="380"/>
      <c r="BG394" s="380"/>
      <c r="BH394" s="380"/>
      <c r="BI394" s="380"/>
      <c r="BJ394" s="380"/>
      <c r="BK394" s="380"/>
      <c r="BL394" s="380"/>
      <c r="BM394" s="403"/>
      <c r="BS394" s="83"/>
      <c r="CA394" s="405"/>
      <c r="CG394" s="83"/>
      <c r="CO394" s="405"/>
      <c r="CU394" s="83"/>
      <c r="DC394" s="405"/>
      <c r="DI394" s="83"/>
      <c r="DQ394" s="405"/>
      <c r="DW394" s="83"/>
      <c r="EE394" s="405"/>
      <c r="EK394" s="83"/>
      <c r="ES394" s="405"/>
      <c r="EY394" s="83"/>
      <c r="FG394" s="405"/>
      <c r="FM394" s="83"/>
      <c r="FU394" s="405"/>
      <c r="GA394" s="83"/>
      <c r="GI394" s="405"/>
      <c r="GO394" s="83"/>
      <c r="GW394" s="405"/>
      <c r="HC394" s="83"/>
      <c r="HK394" s="405"/>
      <c r="HQ394" s="83"/>
      <c r="HY394" s="405"/>
      <c r="IE394" s="83"/>
      <c r="IM394" s="405"/>
      <c r="IS394" s="83"/>
      <c r="JA394" s="405"/>
      <c r="JG394" s="83"/>
      <c r="JO394" s="405"/>
      <c r="JU394" s="83"/>
      <c r="KC394" s="405"/>
      <c r="KI394" s="83"/>
      <c r="KQ394" s="405"/>
      <c r="KW394" s="83"/>
      <c r="LE394" s="405"/>
      <c r="LK394" s="83"/>
      <c r="LS394" s="405"/>
      <c r="LY394" s="83"/>
      <c r="MG394" s="405"/>
      <c r="MM394" s="83"/>
      <c r="MU394" s="405"/>
      <c r="NA394" s="83"/>
    </row>
    <row r="395">
      <c r="A395" s="483"/>
      <c r="B395" s="380"/>
      <c r="C395" s="380"/>
      <c r="D395" s="380"/>
      <c r="E395" s="380"/>
      <c r="F395" s="380"/>
      <c r="G395" s="380"/>
      <c r="H395" s="380"/>
      <c r="I395" s="403"/>
      <c r="J395" s="380"/>
      <c r="K395" s="380"/>
      <c r="L395" s="380"/>
      <c r="M395" s="380"/>
      <c r="N395" s="380"/>
      <c r="O395" s="404"/>
      <c r="P395" s="380"/>
      <c r="Q395" s="380"/>
      <c r="R395" s="380"/>
      <c r="S395" s="380"/>
      <c r="T395" s="380"/>
      <c r="U395" s="380"/>
      <c r="V395" s="380"/>
      <c r="W395" s="403"/>
      <c r="X395" s="380"/>
      <c r="Y395" s="380"/>
      <c r="Z395" s="380"/>
      <c r="AA395" s="380"/>
      <c r="AB395" s="380"/>
      <c r="AC395" s="404"/>
      <c r="AD395" s="380"/>
      <c r="AE395" s="380"/>
      <c r="AF395" s="380"/>
      <c r="AG395" s="380"/>
      <c r="AH395" s="380"/>
      <c r="AI395" s="380"/>
      <c r="AJ395" s="380"/>
      <c r="AK395" s="403"/>
      <c r="AL395" s="380"/>
      <c r="AM395" s="380"/>
      <c r="AN395" s="380"/>
      <c r="AO395" s="380"/>
      <c r="AP395" s="380"/>
      <c r="AQ395" s="404"/>
      <c r="AR395" s="380"/>
      <c r="AS395" s="380"/>
      <c r="AT395" s="380"/>
      <c r="AU395" s="380"/>
      <c r="AV395" s="380"/>
      <c r="AW395" s="380"/>
      <c r="AX395" s="380"/>
      <c r="AY395" s="403"/>
      <c r="AZ395" s="380"/>
      <c r="BA395" s="380"/>
      <c r="BB395" s="380"/>
      <c r="BC395" s="380"/>
      <c r="BD395" s="380"/>
      <c r="BE395" s="404"/>
      <c r="BF395" s="380"/>
      <c r="BG395" s="380"/>
      <c r="BH395" s="380"/>
      <c r="BI395" s="380"/>
      <c r="BJ395" s="380"/>
      <c r="BK395" s="380"/>
      <c r="BL395" s="380"/>
      <c r="BM395" s="403"/>
      <c r="BS395" s="83"/>
      <c r="CA395" s="405"/>
      <c r="CG395" s="83"/>
      <c r="CO395" s="405"/>
      <c r="CU395" s="83"/>
      <c r="DC395" s="405"/>
      <c r="DI395" s="83"/>
      <c r="DQ395" s="405"/>
      <c r="DW395" s="83"/>
      <c r="EE395" s="405"/>
      <c r="EK395" s="83"/>
      <c r="ES395" s="405"/>
      <c r="EY395" s="83"/>
      <c r="FG395" s="405"/>
      <c r="FM395" s="83"/>
      <c r="FU395" s="405"/>
      <c r="GA395" s="83"/>
      <c r="GI395" s="405"/>
      <c r="GO395" s="83"/>
      <c r="GW395" s="405"/>
      <c r="HC395" s="83"/>
      <c r="HK395" s="405"/>
      <c r="HQ395" s="83"/>
      <c r="HY395" s="405"/>
      <c r="IE395" s="83"/>
      <c r="IM395" s="405"/>
      <c r="IS395" s="83"/>
      <c r="JA395" s="405"/>
      <c r="JG395" s="83"/>
      <c r="JO395" s="405"/>
      <c r="JU395" s="83"/>
      <c r="KC395" s="405"/>
      <c r="KI395" s="83"/>
      <c r="KQ395" s="405"/>
      <c r="KW395" s="83"/>
      <c r="LE395" s="405"/>
      <c r="LK395" s="83"/>
      <c r="LS395" s="405"/>
      <c r="LY395" s="83"/>
      <c r="MG395" s="405"/>
      <c r="MM395" s="83"/>
      <c r="MU395" s="405"/>
      <c r="NA395" s="83"/>
    </row>
    <row r="396">
      <c r="A396" s="483"/>
      <c r="B396" s="380"/>
      <c r="C396" s="380"/>
      <c r="D396" s="380"/>
      <c r="E396" s="380"/>
      <c r="F396" s="380"/>
      <c r="G396" s="380"/>
      <c r="H396" s="380"/>
      <c r="I396" s="403"/>
      <c r="J396" s="380"/>
      <c r="K396" s="380"/>
      <c r="L396" s="380"/>
      <c r="M396" s="380"/>
      <c r="N396" s="380"/>
      <c r="O396" s="404"/>
      <c r="P396" s="380"/>
      <c r="Q396" s="380"/>
      <c r="R396" s="380"/>
      <c r="S396" s="380"/>
      <c r="T396" s="380"/>
      <c r="U396" s="380"/>
      <c r="V396" s="380"/>
      <c r="W396" s="403"/>
      <c r="X396" s="380"/>
      <c r="Y396" s="380"/>
      <c r="Z396" s="380"/>
      <c r="AA396" s="380"/>
      <c r="AB396" s="380"/>
      <c r="AC396" s="404"/>
      <c r="AD396" s="380"/>
      <c r="AE396" s="380"/>
      <c r="AF396" s="380"/>
      <c r="AG396" s="380"/>
      <c r="AH396" s="380"/>
      <c r="AI396" s="380"/>
      <c r="AJ396" s="380"/>
      <c r="AK396" s="403"/>
      <c r="AL396" s="380"/>
      <c r="AM396" s="380"/>
      <c r="AN396" s="380"/>
      <c r="AO396" s="380"/>
      <c r="AP396" s="380"/>
      <c r="AQ396" s="404"/>
      <c r="AR396" s="380"/>
      <c r="AS396" s="380"/>
      <c r="AT396" s="380"/>
      <c r="AU396" s="380"/>
      <c r="AV396" s="380"/>
      <c r="AW396" s="380"/>
      <c r="AX396" s="380"/>
      <c r="AY396" s="403"/>
      <c r="AZ396" s="380"/>
      <c r="BA396" s="380"/>
      <c r="BB396" s="380"/>
      <c r="BC396" s="380"/>
      <c r="BD396" s="380"/>
      <c r="BE396" s="404"/>
      <c r="BF396" s="380"/>
      <c r="BG396" s="380"/>
      <c r="BH396" s="380"/>
      <c r="BI396" s="380"/>
      <c r="BJ396" s="380"/>
      <c r="BK396" s="380"/>
      <c r="BL396" s="380"/>
      <c r="BM396" s="403"/>
      <c r="BS396" s="83"/>
      <c r="CA396" s="405"/>
      <c r="CG396" s="83"/>
      <c r="CO396" s="405"/>
      <c r="CU396" s="83"/>
      <c r="DC396" s="405"/>
      <c r="DI396" s="83"/>
      <c r="DQ396" s="405"/>
      <c r="DW396" s="83"/>
      <c r="EE396" s="405"/>
      <c r="EK396" s="83"/>
      <c r="ES396" s="405"/>
      <c r="EY396" s="83"/>
      <c r="FG396" s="405"/>
      <c r="FM396" s="83"/>
      <c r="FU396" s="405"/>
      <c r="GA396" s="83"/>
      <c r="GI396" s="405"/>
      <c r="GO396" s="83"/>
      <c r="GW396" s="405"/>
      <c r="HC396" s="83"/>
      <c r="HK396" s="405"/>
      <c r="HQ396" s="83"/>
      <c r="HY396" s="405"/>
      <c r="IE396" s="83"/>
      <c r="IM396" s="405"/>
      <c r="IS396" s="83"/>
      <c r="JA396" s="405"/>
      <c r="JG396" s="83"/>
      <c r="JO396" s="405"/>
      <c r="JU396" s="83"/>
      <c r="KC396" s="405"/>
      <c r="KI396" s="83"/>
      <c r="KQ396" s="405"/>
      <c r="KW396" s="83"/>
      <c r="LE396" s="405"/>
      <c r="LK396" s="83"/>
      <c r="LS396" s="405"/>
      <c r="LY396" s="83"/>
      <c r="MG396" s="405"/>
      <c r="MM396" s="83"/>
      <c r="MU396" s="405"/>
      <c r="NA396" s="83"/>
    </row>
    <row r="397">
      <c r="A397" s="483"/>
      <c r="B397" s="380"/>
      <c r="C397" s="380"/>
      <c r="D397" s="380"/>
      <c r="E397" s="380"/>
      <c r="F397" s="380"/>
      <c r="G397" s="380"/>
      <c r="H397" s="380"/>
      <c r="I397" s="403"/>
      <c r="J397" s="380"/>
      <c r="K397" s="380"/>
      <c r="L397" s="380"/>
      <c r="M397" s="380"/>
      <c r="N397" s="380"/>
      <c r="O397" s="404"/>
      <c r="P397" s="380"/>
      <c r="Q397" s="380"/>
      <c r="R397" s="380"/>
      <c r="S397" s="380"/>
      <c r="T397" s="380"/>
      <c r="U397" s="380"/>
      <c r="V397" s="380"/>
      <c r="W397" s="403"/>
      <c r="X397" s="380"/>
      <c r="Y397" s="380"/>
      <c r="Z397" s="380"/>
      <c r="AA397" s="380"/>
      <c r="AB397" s="380"/>
      <c r="AC397" s="404"/>
      <c r="AD397" s="380"/>
      <c r="AE397" s="380"/>
      <c r="AF397" s="380"/>
      <c r="AG397" s="380"/>
      <c r="AH397" s="380"/>
      <c r="AI397" s="380"/>
      <c r="AJ397" s="380"/>
      <c r="AK397" s="403"/>
      <c r="AL397" s="380"/>
      <c r="AM397" s="380"/>
      <c r="AN397" s="380"/>
      <c r="AO397" s="380"/>
      <c r="AP397" s="380"/>
      <c r="AQ397" s="404"/>
      <c r="AR397" s="380"/>
      <c r="AS397" s="380"/>
      <c r="AT397" s="380"/>
      <c r="AU397" s="380"/>
      <c r="AV397" s="380"/>
      <c r="AW397" s="380"/>
      <c r="AX397" s="380"/>
      <c r="AY397" s="403"/>
      <c r="AZ397" s="380"/>
      <c r="BA397" s="380"/>
      <c r="BB397" s="380"/>
      <c r="BC397" s="380"/>
      <c r="BD397" s="380"/>
      <c r="BE397" s="404"/>
      <c r="BF397" s="380"/>
      <c r="BG397" s="380"/>
      <c r="BH397" s="380"/>
      <c r="BI397" s="380"/>
      <c r="BJ397" s="380"/>
      <c r="BK397" s="380"/>
      <c r="BL397" s="380"/>
      <c r="BM397" s="403"/>
      <c r="BS397" s="83"/>
      <c r="CA397" s="405"/>
      <c r="CG397" s="83"/>
      <c r="CO397" s="405"/>
      <c r="CU397" s="83"/>
      <c r="DC397" s="405"/>
      <c r="DI397" s="83"/>
      <c r="DQ397" s="405"/>
      <c r="DW397" s="83"/>
      <c r="EE397" s="405"/>
      <c r="EK397" s="83"/>
      <c r="ES397" s="405"/>
      <c r="EY397" s="83"/>
      <c r="FG397" s="405"/>
      <c r="FM397" s="83"/>
      <c r="FU397" s="405"/>
      <c r="GA397" s="83"/>
      <c r="GI397" s="405"/>
      <c r="GO397" s="83"/>
      <c r="GW397" s="405"/>
      <c r="HC397" s="83"/>
      <c r="HK397" s="405"/>
      <c r="HQ397" s="83"/>
      <c r="HY397" s="405"/>
      <c r="IE397" s="83"/>
      <c r="IM397" s="405"/>
      <c r="IS397" s="83"/>
      <c r="JA397" s="405"/>
      <c r="JG397" s="83"/>
      <c r="JO397" s="405"/>
      <c r="JU397" s="83"/>
      <c r="KC397" s="405"/>
      <c r="KI397" s="83"/>
      <c r="KQ397" s="405"/>
      <c r="KW397" s="83"/>
      <c r="LE397" s="405"/>
      <c r="LK397" s="83"/>
      <c r="LS397" s="405"/>
      <c r="LY397" s="83"/>
      <c r="MG397" s="405"/>
      <c r="MM397" s="83"/>
      <c r="MU397" s="405"/>
      <c r="NA397" s="83"/>
    </row>
    <row r="398">
      <c r="A398" s="483"/>
      <c r="B398" s="380"/>
      <c r="C398" s="380"/>
      <c r="D398" s="380"/>
      <c r="E398" s="380"/>
      <c r="F398" s="380"/>
      <c r="G398" s="380"/>
      <c r="H398" s="380"/>
      <c r="I398" s="403"/>
      <c r="J398" s="380"/>
      <c r="K398" s="380"/>
      <c r="L398" s="380"/>
      <c r="M398" s="380"/>
      <c r="N398" s="380"/>
      <c r="O398" s="404"/>
      <c r="P398" s="380"/>
      <c r="Q398" s="380"/>
      <c r="R398" s="380"/>
      <c r="S398" s="380"/>
      <c r="T398" s="380"/>
      <c r="U398" s="380"/>
      <c r="V398" s="380"/>
      <c r="W398" s="403"/>
      <c r="X398" s="380"/>
      <c r="Y398" s="380"/>
      <c r="Z398" s="380"/>
      <c r="AA398" s="380"/>
      <c r="AB398" s="380"/>
      <c r="AC398" s="404"/>
      <c r="AD398" s="380"/>
      <c r="AE398" s="380"/>
      <c r="AF398" s="380"/>
      <c r="AG398" s="380"/>
      <c r="AH398" s="380"/>
      <c r="AI398" s="380"/>
      <c r="AJ398" s="380"/>
      <c r="AK398" s="403"/>
      <c r="AL398" s="380"/>
      <c r="AM398" s="380"/>
      <c r="AN398" s="380"/>
      <c r="AO398" s="380"/>
      <c r="AP398" s="380"/>
      <c r="AQ398" s="404"/>
      <c r="AR398" s="380"/>
      <c r="AS398" s="380"/>
      <c r="AT398" s="380"/>
      <c r="AU398" s="380"/>
      <c r="AV398" s="380"/>
      <c r="AW398" s="380"/>
      <c r="AX398" s="380"/>
      <c r="AY398" s="403"/>
      <c r="AZ398" s="380"/>
      <c r="BA398" s="380"/>
      <c r="BB398" s="380"/>
      <c r="BC398" s="380"/>
      <c r="BD398" s="380"/>
      <c r="BE398" s="404"/>
      <c r="BF398" s="380"/>
      <c r="BG398" s="380"/>
      <c r="BH398" s="380"/>
      <c r="BI398" s="380"/>
      <c r="BJ398" s="380"/>
      <c r="BK398" s="380"/>
      <c r="BL398" s="380"/>
      <c r="BM398" s="403"/>
      <c r="BS398" s="83"/>
      <c r="CA398" s="405"/>
      <c r="CG398" s="83"/>
      <c r="CO398" s="405"/>
      <c r="CU398" s="83"/>
      <c r="DC398" s="405"/>
      <c r="DI398" s="83"/>
      <c r="DQ398" s="405"/>
      <c r="DW398" s="83"/>
      <c r="EE398" s="405"/>
      <c r="EK398" s="83"/>
      <c r="ES398" s="405"/>
      <c r="EY398" s="83"/>
      <c r="FG398" s="405"/>
      <c r="FM398" s="83"/>
      <c r="FU398" s="405"/>
      <c r="GA398" s="83"/>
      <c r="GI398" s="405"/>
      <c r="GO398" s="83"/>
      <c r="GW398" s="405"/>
      <c r="HC398" s="83"/>
      <c r="HK398" s="405"/>
      <c r="HQ398" s="83"/>
      <c r="HY398" s="405"/>
      <c r="IE398" s="83"/>
      <c r="IM398" s="405"/>
      <c r="IS398" s="83"/>
      <c r="JA398" s="405"/>
      <c r="JG398" s="83"/>
      <c r="JO398" s="405"/>
      <c r="JU398" s="83"/>
      <c r="KC398" s="405"/>
      <c r="KI398" s="83"/>
      <c r="KQ398" s="405"/>
      <c r="KW398" s="83"/>
      <c r="LE398" s="405"/>
      <c r="LK398" s="83"/>
      <c r="LS398" s="405"/>
      <c r="LY398" s="83"/>
      <c r="MG398" s="405"/>
      <c r="MM398" s="83"/>
      <c r="MU398" s="405"/>
      <c r="NA398" s="83"/>
    </row>
    <row r="399">
      <c r="A399" s="483"/>
      <c r="B399" s="380"/>
      <c r="C399" s="380"/>
      <c r="D399" s="380"/>
      <c r="E399" s="380"/>
      <c r="F399" s="380"/>
      <c r="G399" s="380"/>
      <c r="H399" s="380"/>
      <c r="I399" s="403"/>
      <c r="J399" s="380"/>
      <c r="K399" s="380"/>
      <c r="L399" s="380"/>
      <c r="M399" s="380"/>
      <c r="N399" s="380"/>
      <c r="O399" s="404"/>
      <c r="P399" s="380"/>
      <c r="Q399" s="380"/>
      <c r="R399" s="380"/>
      <c r="S399" s="380"/>
      <c r="T399" s="380"/>
      <c r="U399" s="380"/>
      <c r="V399" s="380"/>
      <c r="W399" s="403"/>
      <c r="X399" s="380"/>
      <c r="Y399" s="380"/>
      <c r="Z399" s="380"/>
      <c r="AA399" s="380"/>
      <c r="AB399" s="380"/>
      <c r="AC399" s="404"/>
      <c r="AD399" s="380"/>
      <c r="AE399" s="380"/>
      <c r="AF399" s="380"/>
      <c r="AG399" s="380"/>
      <c r="AH399" s="380"/>
      <c r="AI399" s="380"/>
      <c r="AJ399" s="380"/>
      <c r="AK399" s="403"/>
      <c r="AL399" s="380"/>
      <c r="AM399" s="380"/>
      <c r="AN399" s="380"/>
      <c r="AO399" s="380"/>
      <c r="AP399" s="380"/>
      <c r="AQ399" s="404"/>
      <c r="AR399" s="380"/>
      <c r="AS399" s="380"/>
      <c r="AT399" s="380"/>
      <c r="AU399" s="380"/>
      <c r="AV399" s="380"/>
      <c r="AW399" s="380"/>
      <c r="AX399" s="380"/>
      <c r="AY399" s="403"/>
      <c r="AZ399" s="380"/>
      <c r="BA399" s="380"/>
      <c r="BB399" s="380"/>
      <c r="BC399" s="380"/>
      <c r="BD399" s="380"/>
      <c r="BE399" s="404"/>
      <c r="BF399" s="380"/>
      <c r="BG399" s="380"/>
      <c r="BH399" s="380"/>
      <c r="BI399" s="380"/>
      <c r="BJ399" s="380"/>
      <c r="BK399" s="380"/>
      <c r="BL399" s="380"/>
      <c r="BM399" s="403"/>
      <c r="BS399" s="83"/>
      <c r="CA399" s="405"/>
      <c r="CG399" s="83"/>
      <c r="CO399" s="405"/>
      <c r="CU399" s="83"/>
      <c r="DC399" s="405"/>
      <c r="DI399" s="83"/>
      <c r="DQ399" s="405"/>
      <c r="DW399" s="83"/>
      <c r="EE399" s="405"/>
      <c r="EK399" s="83"/>
      <c r="ES399" s="405"/>
      <c r="EY399" s="83"/>
      <c r="FG399" s="405"/>
      <c r="FM399" s="83"/>
      <c r="FU399" s="405"/>
      <c r="GA399" s="83"/>
      <c r="GI399" s="405"/>
      <c r="GO399" s="83"/>
      <c r="GW399" s="405"/>
      <c r="HC399" s="83"/>
      <c r="HK399" s="405"/>
      <c r="HQ399" s="83"/>
      <c r="HY399" s="405"/>
      <c r="IE399" s="83"/>
      <c r="IM399" s="405"/>
      <c r="IS399" s="83"/>
      <c r="JA399" s="405"/>
      <c r="JG399" s="83"/>
      <c r="JO399" s="405"/>
      <c r="JU399" s="83"/>
      <c r="KC399" s="405"/>
      <c r="KI399" s="83"/>
      <c r="KQ399" s="405"/>
      <c r="KW399" s="83"/>
      <c r="LE399" s="405"/>
      <c r="LK399" s="83"/>
      <c r="LS399" s="405"/>
      <c r="LY399" s="83"/>
      <c r="MG399" s="405"/>
      <c r="MM399" s="83"/>
      <c r="MU399" s="405"/>
      <c r="NA399" s="83"/>
    </row>
    <row r="400">
      <c r="A400" s="483"/>
      <c r="B400" s="380"/>
      <c r="C400" s="380"/>
      <c r="D400" s="380"/>
      <c r="E400" s="380"/>
      <c r="F400" s="380"/>
      <c r="G400" s="380"/>
      <c r="H400" s="380"/>
      <c r="I400" s="403"/>
      <c r="J400" s="380"/>
      <c r="K400" s="380"/>
      <c r="L400" s="380"/>
      <c r="M400" s="380"/>
      <c r="N400" s="380"/>
      <c r="O400" s="404"/>
      <c r="P400" s="380"/>
      <c r="Q400" s="380"/>
      <c r="R400" s="380"/>
      <c r="S400" s="380"/>
      <c r="T400" s="380"/>
      <c r="U400" s="380"/>
      <c r="V400" s="380"/>
      <c r="W400" s="403"/>
      <c r="X400" s="380"/>
      <c r="Y400" s="380"/>
      <c r="Z400" s="380"/>
      <c r="AA400" s="380"/>
      <c r="AB400" s="380"/>
      <c r="AC400" s="404"/>
      <c r="AD400" s="380"/>
      <c r="AE400" s="380"/>
      <c r="AF400" s="380"/>
      <c r="AG400" s="380"/>
      <c r="AH400" s="380"/>
      <c r="AI400" s="380"/>
      <c r="AJ400" s="380"/>
      <c r="AK400" s="403"/>
      <c r="AL400" s="380"/>
      <c r="AM400" s="380"/>
      <c r="AN400" s="380"/>
      <c r="AO400" s="380"/>
      <c r="AP400" s="380"/>
      <c r="AQ400" s="404"/>
      <c r="AR400" s="380"/>
      <c r="AS400" s="380"/>
      <c r="AT400" s="380"/>
      <c r="AU400" s="380"/>
      <c r="AV400" s="380"/>
      <c r="AW400" s="380"/>
      <c r="AX400" s="380"/>
      <c r="AY400" s="403"/>
      <c r="AZ400" s="380"/>
      <c r="BA400" s="380"/>
      <c r="BB400" s="380"/>
      <c r="BC400" s="380"/>
      <c r="BD400" s="380"/>
      <c r="BE400" s="404"/>
      <c r="BF400" s="380"/>
      <c r="BG400" s="380"/>
      <c r="BH400" s="380"/>
      <c r="BI400" s="380"/>
      <c r="BJ400" s="380"/>
      <c r="BK400" s="380"/>
      <c r="BL400" s="380"/>
      <c r="BM400" s="403"/>
      <c r="BS400" s="83"/>
      <c r="CA400" s="405"/>
      <c r="CG400" s="83"/>
      <c r="CO400" s="405"/>
      <c r="CU400" s="83"/>
      <c r="DC400" s="405"/>
      <c r="DI400" s="83"/>
      <c r="DQ400" s="405"/>
      <c r="DW400" s="83"/>
      <c r="EE400" s="405"/>
      <c r="EK400" s="83"/>
      <c r="ES400" s="405"/>
      <c r="EY400" s="83"/>
      <c r="FG400" s="405"/>
      <c r="FM400" s="83"/>
      <c r="FU400" s="405"/>
      <c r="GA400" s="83"/>
      <c r="GI400" s="405"/>
      <c r="GO400" s="83"/>
      <c r="GW400" s="405"/>
      <c r="HC400" s="83"/>
      <c r="HK400" s="405"/>
      <c r="HQ400" s="83"/>
      <c r="HY400" s="405"/>
      <c r="IE400" s="83"/>
      <c r="IM400" s="405"/>
      <c r="IS400" s="83"/>
      <c r="JA400" s="405"/>
      <c r="JG400" s="83"/>
      <c r="JO400" s="405"/>
      <c r="JU400" s="83"/>
      <c r="KC400" s="405"/>
      <c r="KI400" s="83"/>
      <c r="KQ400" s="405"/>
      <c r="KW400" s="83"/>
      <c r="LE400" s="405"/>
      <c r="LK400" s="83"/>
      <c r="LS400" s="405"/>
      <c r="LY400" s="83"/>
      <c r="MG400" s="405"/>
      <c r="MM400" s="83"/>
      <c r="MU400" s="405"/>
      <c r="NA400" s="83"/>
    </row>
    <row r="401">
      <c r="A401" s="483"/>
      <c r="B401" s="380"/>
      <c r="C401" s="380"/>
      <c r="D401" s="380"/>
      <c r="E401" s="380"/>
      <c r="F401" s="380"/>
      <c r="G401" s="380"/>
      <c r="H401" s="380"/>
      <c r="I401" s="403"/>
      <c r="J401" s="380"/>
      <c r="K401" s="380"/>
      <c r="L401" s="380"/>
      <c r="M401" s="380"/>
      <c r="N401" s="380"/>
      <c r="O401" s="404"/>
      <c r="P401" s="380"/>
      <c r="Q401" s="380"/>
      <c r="R401" s="380"/>
      <c r="S401" s="380"/>
      <c r="T401" s="380"/>
      <c r="U401" s="380"/>
      <c r="V401" s="380"/>
      <c r="W401" s="403"/>
      <c r="X401" s="380"/>
      <c r="Y401" s="380"/>
      <c r="Z401" s="380"/>
      <c r="AA401" s="380"/>
      <c r="AB401" s="380"/>
      <c r="AC401" s="404"/>
      <c r="AD401" s="380"/>
      <c r="AE401" s="380"/>
      <c r="AF401" s="380"/>
      <c r="AG401" s="380"/>
      <c r="AH401" s="380"/>
      <c r="AI401" s="380"/>
      <c r="AJ401" s="380"/>
      <c r="AK401" s="403"/>
      <c r="AL401" s="380"/>
      <c r="AM401" s="380"/>
      <c r="AN401" s="380"/>
      <c r="AO401" s="380"/>
      <c r="AP401" s="380"/>
      <c r="AQ401" s="404"/>
      <c r="AR401" s="380"/>
      <c r="AS401" s="380"/>
      <c r="AT401" s="380"/>
      <c r="AU401" s="380"/>
      <c r="AV401" s="380"/>
      <c r="AW401" s="380"/>
      <c r="AX401" s="380"/>
      <c r="AY401" s="403"/>
      <c r="AZ401" s="380"/>
      <c r="BA401" s="380"/>
      <c r="BB401" s="380"/>
      <c r="BC401" s="380"/>
      <c r="BD401" s="380"/>
      <c r="BE401" s="404"/>
      <c r="BF401" s="380"/>
      <c r="BG401" s="380"/>
      <c r="BH401" s="380"/>
      <c r="BI401" s="380"/>
      <c r="BJ401" s="380"/>
      <c r="BK401" s="380"/>
      <c r="BL401" s="380"/>
      <c r="BM401" s="403"/>
      <c r="BS401" s="83"/>
      <c r="CA401" s="405"/>
      <c r="CG401" s="83"/>
      <c r="CO401" s="405"/>
      <c r="CU401" s="83"/>
      <c r="DC401" s="405"/>
      <c r="DI401" s="83"/>
      <c r="DQ401" s="405"/>
      <c r="DW401" s="83"/>
      <c r="EE401" s="405"/>
      <c r="EK401" s="83"/>
      <c r="ES401" s="405"/>
      <c r="EY401" s="83"/>
      <c r="FG401" s="405"/>
      <c r="FM401" s="83"/>
      <c r="FU401" s="405"/>
      <c r="GA401" s="83"/>
      <c r="GI401" s="405"/>
      <c r="GO401" s="83"/>
      <c r="GW401" s="405"/>
      <c r="HC401" s="83"/>
      <c r="HK401" s="405"/>
      <c r="HQ401" s="83"/>
      <c r="HY401" s="405"/>
      <c r="IE401" s="83"/>
      <c r="IM401" s="405"/>
      <c r="IS401" s="83"/>
      <c r="JA401" s="405"/>
      <c r="JG401" s="83"/>
      <c r="JO401" s="405"/>
      <c r="JU401" s="83"/>
      <c r="KC401" s="405"/>
      <c r="KI401" s="83"/>
      <c r="KQ401" s="405"/>
      <c r="KW401" s="83"/>
      <c r="LE401" s="405"/>
      <c r="LK401" s="83"/>
      <c r="LS401" s="405"/>
      <c r="LY401" s="83"/>
      <c r="MG401" s="405"/>
      <c r="MM401" s="83"/>
      <c r="MU401" s="405"/>
      <c r="NA401" s="83"/>
    </row>
    <row r="402">
      <c r="A402" s="483"/>
      <c r="B402" s="380"/>
      <c r="C402" s="380"/>
      <c r="D402" s="380"/>
      <c r="E402" s="380"/>
      <c r="F402" s="380"/>
      <c r="G402" s="380"/>
      <c r="H402" s="380"/>
      <c r="I402" s="403"/>
      <c r="J402" s="380"/>
      <c r="K402" s="380"/>
      <c r="L402" s="380"/>
      <c r="M402" s="380"/>
      <c r="N402" s="380"/>
      <c r="O402" s="404"/>
      <c r="P402" s="380"/>
      <c r="Q402" s="380"/>
      <c r="R402" s="380"/>
      <c r="S402" s="380"/>
      <c r="T402" s="380"/>
      <c r="U402" s="380"/>
      <c r="V402" s="380"/>
      <c r="W402" s="403"/>
      <c r="X402" s="380"/>
      <c r="Y402" s="380"/>
      <c r="Z402" s="380"/>
      <c r="AA402" s="380"/>
      <c r="AB402" s="380"/>
      <c r="AC402" s="404"/>
      <c r="AD402" s="380"/>
      <c r="AE402" s="380"/>
      <c r="AF402" s="380"/>
      <c r="AG402" s="380"/>
      <c r="AH402" s="380"/>
      <c r="AI402" s="380"/>
      <c r="AJ402" s="380"/>
      <c r="AK402" s="403"/>
      <c r="AL402" s="380"/>
      <c r="AM402" s="380"/>
      <c r="AN402" s="380"/>
      <c r="AO402" s="380"/>
      <c r="AP402" s="380"/>
      <c r="AQ402" s="404"/>
      <c r="AR402" s="380"/>
      <c r="AS402" s="380"/>
      <c r="AT402" s="380"/>
      <c r="AU402" s="380"/>
      <c r="AV402" s="380"/>
      <c r="AW402" s="380"/>
      <c r="AX402" s="380"/>
      <c r="AY402" s="403"/>
      <c r="AZ402" s="380"/>
      <c r="BA402" s="380"/>
      <c r="BB402" s="380"/>
      <c r="BC402" s="380"/>
      <c r="BD402" s="380"/>
      <c r="BE402" s="404"/>
      <c r="BF402" s="380"/>
      <c r="BG402" s="380"/>
      <c r="BH402" s="380"/>
      <c r="BI402" s="380"/>
      <c r="BJ402" s="380"/>
      <c r="BK402" s="380"/>
      <c r="BL402" s="380"/>
      <c r="BM402" s="403"/>
      <c r="BS402" s="83"/>
      <c r="CA402" s="405"/>
      <c r="CG402" s="83"/>
      <c r="CO402" s="405"/>
      <c r="CU402" s="83"/>
      <c r="DC402" s="405"/>
      <c r="DI402" s="83"/>
      <c r="DQ402" s="405"/>
      <c r="DW402" s="83"/>
      <c r="EE402" s="405"/>
      <c r="EK402" s="83"/>
      <c r="ES402" s="405"/>
      <c r="EY402" s="83"/>
      <c r="FG402" s="405"/>
      <c r="FM402" s="83"/>
      <c r="FU402" s="405"/>
      <c r="GA402" s="83"/>
      <c r="GI402" s="405"/>
      <c r="GO402" s="83"/>
      <c r="GW402" s="405"/>
      <c r="HC402" s="83"/>
      <c r="HK402" s="405"/>
      <c r="HQ402" s="83"/>
      <c r="HY402" s="405"/>
      <c r="IE402" s="83"/>
      <c r="IM402" s="405"/>
      <c r="IS402" s="83"/>
      <c r="JA402" s="405"/>
      <c r="JG402" s="83"/>
      <c r="JO402" s="405"/>
      <c r="JU402" s="83"/>
      <c r="KC402" s="405"/>
      <c r="KI402" s="83"/>
      <c r="KQ402" s="405"/>
      <c r="KW402" s="83"/>
      <c r="LE402" s="405"/>
      <c r="LK402" s="83"/>
      <c r="LS402" s="405"/>
      <c r="LY402" s="83"/>
      <c r="MG402" s="405"/>
      <c r="MM402" s="83"/>
      <c r="MU402" s="405"/>
      <c r="NA402" s="83"/>
    </row>
    <row r="403">
      <c r="A403" s="483"/>
      <c r="B403" s="380"/>
      <c r="C403" s="380"/>
      <c r="D403" s="380"/>
      <c r="E403" s="380"/>
      <c r="F403" s="380"/>
      <c r="G403" s="380"/>
      <c r="H403" s="380"/>
      <c r="I403" s="403"/>
      <c r="J403" s="380"/>
      <c r="K403" s="380"/>
      <c r="L403" s="380"/>
      <c r="M403" s="380"/>
      <c r="N403" s="380"/>
      <c r="O403" s="404"/>
      <c r="P403" s="380"/>
      <c r="Q403" s="380"/>
      <c r="R403" s="380"/>
      <c r="S403" s="380"/>
      <c r="T403" s="380"/>
      <c r="U403" s="380"/>
      <c r="V403" s="380"/>
      <c r="W403" s="403"/>
      <c r="X403" s="380"/>
      <c r="Y403" s="380"/>
      <c r="Z403" s="380"/>
      <c r="AA403" s="380"/>
      <c r="AB403" s="380"/>
      <c r="AC403" s="404"/>
      <c r="AD403" s="380"/>
      <c r="AE403" s="380"/>
      <c r="AF403" s="380"/>
      <c r="AG403" s="380"/>
      <c r="AH403" s="380"/>
      <c r="AI403" s="380"/>
      <c r="AJ403" s="380"/>
      <c r="AK403" s="403"/>
      <c r="AL403" s="380"/>
      <c r="AM403" s="380"/>
      <c r="AN403" s="380"/>
      <c r="AO403" s="380"/>
      <c r="AP403" s="380"/>
      <c r="AQ403" s="404"/>
      <c r="AR403" s="380"/>
      <c r="AS403" s="380"/>
      <c r="AT403" s="380"/>
      <c r="AU403" s="380"/>
      <c r="AV403" s="380"/>
      <c r="AW403" s="380"/>
      <c r="AX403" s="380"/>
      <c r="AY403" s="403"/>
      <c r="AZ403" s="380"/>
      <c r="BA403" s="380"/>
      <c r="BB403" s="380"/>
      <c r="BC403" s="380"/>
      <c r="BD403" s="380"/>
      <c r="BE403" s="404"/>
      <c r="BF403" s="380"/>
      <c r="BG403" s="380"/>
      <c r="BH403" s="380"/>
      <c r="BI403" s="380"/>
      <c r="BJ403" s="380"/>
      <c r="BK403" s="380"/>
      <c r="BL403" s="380"/>
      <c r="BM403" s="403"/>
      <c r="BS403" s="83"/>
      <c r="CA403" s="405"/>
      <c r="CG403" s="83"/>
      <c r="CO403" s="405"/>
      <c r="CU403" s="83"/>
      <c r="DC403" s="405"/>
      <c r="DI403" s="83"/>
      <c r="DQ403" s="405"/>
      <c r="DW403" s="83"/>
      <c r="EE403" s="405"/>
      <c r="EK403" s="83"/>
      <c r="ES403" s="405"/>
      <c r="EY403" s="83"/>
      <c r="FG403" s="405"/>
      <c r="FM403" s="83"/>
      <c r="FU403" s="405"/>
      <c r="GA403" s="83"/>
      <c r="GI403" s="405"/>
      <c r="GO403" s="83"/>
      <c r="GW403" s="405"/>
      <c r="HC403" s="83"/>
      <c r="HK403" s="405"/>
      <c r="HQ403" s="83"/>
      <c r="HY403" s="405"/>
      <c r="IE403" s="83"/>
      <c r="IM403" s="405"/>
      <c r="IS403" s="83"/>
      <c r="JA403" s="405"/>
      <c r="JG403" s="83"/>
      <c r="JO403" s="405"/>
      <c r="JU403" s="83"/>
      <c r="KC403" s="405"/>
      <c r="KI403" s="83"/>
      <c r="KQ403" s="405"/>
      <c r="KW403" s="83"/>
      <c r="LE403" s="405"/>
      <c r="LK403" s="83"/>
      <c r="LS403" s="405"/>
      <c r="LY403" s="83"/>
      <c r="MG403" s="405"/>
      <c r="MM403" s="83"/>
      <c r="MU403" s="405"/>
      <c r="NA403" s="83"/>
    </row>
    <row r="404">
      <c r="A404" s="483"/>
      <c r="B404" s="380"/>
      <c r="C404" s="380"/>
      <c r="D404" s="380"/>
      <c r="E404" s="380"/>
      <c r="F404" s="380"/>
      <c r="G404" s="380"/>
      <c r="H404" s="380"/>
      <c r="I404" s="403"/>
      <c r="J404" s="380"/>
      <c r="K404" s="380"/>
      <c r="L404" s="380"/>
      <c r="M404" s="380"/>
      <c r="N404" s="380"/>
      <c r="O404" s="404"/>
      <c r="P404" s="380"/>
      <c r="Q404" s="380"/>
      <c r="R404" s="380"/>
      <c r="S404" s="380"/>
      <c r="T404" s="380"/>
      <c r="U404" s="380"/>
      <c r="V404" s="380"/>
      <c r="W404" s="403"/>
      <c r="X404" s="380"/>
      <c r="Y404" s="380"/>
      <c r="Z404" s="380"/>
      <c r="AA404" s="380"/>
      <c r="AB404" s="380"/>
      <c r="AC404" s="404"/>
      <c r="AD404" s="380"/>
      <c r="AE404" s="380"/>
      <c r="AF404" s="380"/>
      <c r="AG404" s="380"/>
      <c r="AH404" s="380"/>
      <c r="AI404" s="380"/>
      <c r="AJ404" s="380"/>
      <c r="AK404" s="403"/>
      <c r="AL404" s="380"/>
      <c r="AM404" s="380"/>
      <c r="AN404" s="380"/>
      <c r="AO404" s="380"/>
      <c r="AP404" s="380"/>
      <c r="AQ404" s="404"/>
      <c r="AR404" s="380"/>
      <c r="AS404" s="380"/>
      <c r="AT404" s="380"/>
      <c r="AU404" s="380"/>
      <c r="AV404" s="380"/>
      <c r="AW404" s="380"/>
      <c r="AX404" s="380"/>
      <c r="AY404" s="403"/>
      <c r="AZ404" s="380"/>
      <c r="BA404" s="380"/>
      <c r="BB404" s="380"/>
      <c r="BC404" s="380"/>
      <c r="BD404" s="380"/>
      <c r="BE404" s="404"/>
      <c r="BF404" s="380"/>
      <c r="BG404" s="380"/>
      <c r="BH404" s="380"/>
      <c r="BI404" s="380"/>
      <c r="BJ404" s="380"/>
      <c r="BK404" s="380"/>
      <c r="BL404" s="380"/>
      <c r="BM404" s="403"/>
      <c r="BS404" s="83"/>
      <c r="CA404" s="405"/>
      <c r="CG404" s="83"/>
      <c r="CO404" s="405"/>
      <c r="CU404" s="83"/>
      <c r="DC404" s="405"/>
      <c r="DI404" s="83"/>
      <c r="DQ404" s="405"/>
      <c r="DW404" s="83"/>
      <c r="EE404" s="405"/>
      <c r="EK404" s="83"/>
      <c r="ES404" s="405"/>
      <c r="EY404" s="83"/>
      <c r="FG404" s="405"/>
      <c r="FM404" s="83"/>
      <c r="FU404" s="405"/>
      <c r="GA404" s="83"/>
      <c r="GI404" s="405"/>
      <c r="GO404" s="83"/>
      <c r="GW404" s="405"/>
      <c r="HC404" s="83"/>
      <c r="HK404" s="405"/>
      <c r="HQ404" s="83"/>
      <c r="HY404" s="405"/>
      <c r="IE404" s="83"/>
      <c r="IM404" s="405"/>
      <c r="IS404" s="83"/>
      <c r="JA404" s="405"/>
      <c r="JG404" s="83"/>
      <c r="JO404" s="405"/>
      <c r="JU404" s="83"/>
      <c r="KC404" s="405"/>
      <c r="KI404" s="83"/>
      <c r="KQ404" s="405"/>
      <c r="KW404" s="83"/>
      <c r="LE404" s="405"/>
      <c r="LK404" s="83"/>
      <c r="LS404" s="405"/>
      <c r="LY404" s="83"/>
      <c r="MG404" s="405"/>
      <c r="MM404" s="83"/>
      <c r="MU404" s="405"/>
      <c r="NA404" s="83"/>
    </row>
    <row r="405">
      <c r="A405" s="483"/>
      <c r="B405" s="380"/>
      <c r="C405" s="380"/>
      <c r="D405" s="380"/>
      <c r="E405" s="380"/>
      <c r="F405" s="380"/>
      <c r="G405" s="380"/>
      <c r="H405" s="380"/>
      <c r="I405" s="403"/>
      <c r="J405" s="380"/>
      <c r="K405" s="380"/>
      <c r="L405" s="380"/>
      <c r="M405" s="380"/>
      <c r="N405" s="380"/>
      <c r="O405" s="404"/>
      <c r="P405" s="380"/>
      <c r="Q405" s="380"/>
      <c r="R405" s="380"/>
      <c r="S405" s="380"/>
      <c r="T405" s="380"/>
      <c r="U405" s="380"/>
      <c r="V405" s="380"/>
      <c r="W405" s="403"/>
      <c r="X405" s="380"/>
      <c r="Y405" s="380"/>
      <c r="Z405" s="380"/>
      <c r="AA405" s="380"/>
      <c r="AB405" s="380"/>
      <c r="AC405" s="404"/>
      <c r="AD405" s="380"/>
      <c r="AE405" s="380"/>
      <c r="AF405" s="380"/>
      <c r="AG405" s="380"/>
      <c r="AH405" s="380"/>
      <c r="AI405" s="380"/>
      <c r="AJ405" s="380"/>
      <c r="AK405" s="403"/>
      <c r="AL405" s="380"/>
      <c r="AM405" s="380"/>
      <c r="AN405" s="380"/>
      <c r="AO405" s="380"/>
      <c r="AP405" s="380"/>
      <c r="AQ405" s="404"/>
      <c r="AR405" s="380"/>
      <c r="AS405" s="380"/>
      <c r="AT405" s="380"/>
      <c r="AU405" s="380"/>
      <c r="AV405" s="380"/>
      <c r="AW405" s="380"/>
      <c r="AX405" s="380"/>
      <c r="AY405" s="403"/>
      <c r="AZ405" s="380"/>
      <c r="BA405" s="380"/>
      <c r="BB405" s="380"/>
      <c r="BC405" s="380"/>
      <c r="BD405" s="380"/>
      <c r="BE405" s="404"/>
      <c r="BF405" s="380"/>
      <c r="BG405" s="380"/>
      <c r="BH405" s="380"/>
      <c r="BI405" s="380"/>
      <c r="BJ405" s="380"/>
      <c r="BK405" s="380"/>
      <c r="BL405" s="380"/>
      <c r="BM405" s="403"/>
      <c r="BS405" s="83"/>
      <c r="CA405" s="405"/>
      <c r="CG405" s="83"/>
      <c r="CO405" s="405"/>
      <c r="CU405" s="83"/>
      <c r="DC405" s="405"/>
      <c r="DI405" s="83"/>
      <c r="DQ405" s="405"/>
      <c r="DW405" s="83"/>
      <c r="EE405" s="405"/>
      <c r="EK405" s="83"/>
      <c r="ES405" s="405"/>
      <c r="EY405" s="83"/>
      <c r="FG405" s="405"/>
      <c r="FM405" s="83"/>
      <c r="FU405" s="405"/>
      <c r="GA405" s="83"/>
      <c r="GI405" s="405"/>
      <c r="GO405" s="83"/>
      <c r="GW405" s="405"/>
      <c r="HC405" s="83"/>
      <c r="HK405" s="405"/>
      <c r="HQ405" s="83"/>
      <c r="HY405" s="405"/>
      <c r="IE405" s="83"/>
      <c r="IM405" s="405"/>
      <c r="IS405" s="83"/>
      <c r="JA405" s="405"/>
      <c r="JG405" s="83"/>
      <c r="JO405" s="405"/>
      <c r="JU405" s="83"/>
      <c r="KC405" s="405"/>
      <c r="KI405" s="83"/>
      <c r="KQ405" s="405"/>
      <c r="KW405" s="83"/>
      <c r="LE405" s="405"/>
      <c r="LK405" s="83"/>
      <c r="LS405" s="405"/>
      <c r="LY405" s="83"/>
      <c r="MG405" s="405"/>
      <c r="MM405" s="83"/>
      <c r="MU405" s="405"/>
      <c r="NA405" s="83"/>
    </row>
    <row r="406">
      <c r="A406" s="483"/>
      <c r="B406" s="380"/>
      <c r="C406" s="380"/>
      <c r="D406" s="380"/>
      <c r="E406" s="380"/>
      <c r="F406" s="380"/>
      <c r="G406" s="380"/>
      <c r="H406" s="380"/>
      <c r="I406" s="403"/>
      <c r="J406" s="380"/>
      <c r="K406" s="380"/>
      <c r="L406" s="380"/>
      <c r="M406" s="380"/>
      <c r="N406" s="380"/>
      <c r="O406" s="404"/>
      <c r="P406" s="380"/>
      <c r="Q406" s="380"/>
      <c r="R406" s="380"/>
      <c r="S406" s="380"/>
      <c r="T406" s="380"/>
      <c r="U406" s="380"/>
      <c r="V406" s="380"/>
      <c r="W406" s="403"/>
      <c r="X406" s="380"/>
      <c r="Y406" s="380"/>
      <c r="Z406" s="380"/>
      <c r="AA406" s="380"/>
      <c r="AB406" s="380"/>
      <c r="AC406" s="404"/>
      <c r="AD406" s="380"/>
      <c r="AE406" s="380"/>
      <c r="AF406" s="380"/>
      <c r="AG406" s="380"/>
      <c r="AH406" s="380"/>
      <c r="AI406" s="380"/>
      <c r="AJ406" s="380"/>
      <c r="AK406" s="403"/>
      <c r="AL406" s="380"/>
      <c r="AM406" s="380"/>
      <c r="AN406" s="380"/>
      <c r="AO406" s="380"/>
      <c r="AP406" s="380"/>
      <c r="AQ406" s="404"/>
      <c r="AR406" s="380"/>
      <c r="AS406" s="380"/>
      <c r="AT406" s="380"/>
      <c r="AU406" s="380"/>
      <c r="AV406" s="380"/>
      <c r="AW406" s="380"/>
      <c r="AX406" s="380"/>
      <c r="AY406" s="403"/>
      <c r="AZ406" s="380"/>
      <c r="BA406" s="380"/>
      <c r="BB406" s="380"/>
      <c r="BC406" s="380"/>
      <c r="BD406" s="380"/>
      <c r="BE406" s="404"/>
      <c r="BF406" s="380"/>
      <c r="BG406" s="380"/>
      <c r="BH406" s="380"/>
      <c r="BI406" s="380"/>
      <c r="BJ406" s="380"/>
      <c r="BK406" s="380"/>
      <c r="BL406" s="380"/>
      <c r="BM406" s="403"/>
      <c r="BS406" s="83"/>
      <c r="CA406" s="405"/>
      <c r="CG406" s="83"/>
      <c r="CO406" s="405"/>
      <c r="CU406" s="83"/>
      <c r="DC406" s="405"/>
      <c r="DI406" s="83"/>
      <c r="DQ406" s="405"/>
      <c r="DW406" s="83"/>
      <c r="EE406" s="405"/>
      <c r="EK406" s="83"/>
      <c r="ES406" s="405"/>
      <c r="EY406" s="83"/>
      <c r="FG406" s="405"/>
      <c r="FM406" s="83"/>
      <c r="FU406" s="405"/>
      <c r="GA406" s="83"/>
      <c r="GI406" s="405"/>
      <c r="GO406" s="83"/>
      <c r="GW406" s="405"/>
      <c r="HC406" s="83"/>
      <c r="HK406" s="405"/>
      <c r="HQ406" s="83"/>
      <c r="HY406" s="405"/>
      <c r="IE406" s="83"/>
      <c r="IM406" s="405"/>
      <c r="IS406" s="83"/>
      <c r="JA406" s="405"/>
      <c r="JG406" s="83"/>
      <c r="JO406" s="405"/>
      <c r="JU406" s="83"/>
      <c r="KC406" s="405"/>
      <c r="KI406" s="83"/>
      <c r="KQ406" s="405"/>
      <c r="KW406" s="83"/>
      <c r="LE406" s="405"/>
      <c r="LK406" s="83"/>
      <c r="LS406" s="405"/>
      <c r="LY406" s="83"/>
      <c r="MG406" s="405"/>
      <c r="MM406" s="83"/>
      <c r="MU406" s="405"/>
      <c r="NA406" s="83"/>
    </row>
    <row r="407">
      <c r="A407" s="483"/>
      <c r="B407" s="380"/>
      <c r="C407" s="380"/>
      <c r="D407" s="380"/>
      <c r="E407" s="380"/>
      <c r="F407" s="380"/>
      <c r="G407" s="380"/>
      <c r="H407" s="380"/>
      <c r="I407" s="403"/>
      <c r="J407" s="380"/>
      <c r="K407" s="380"/>
      <c r="L407" s="380"/>
      <c r="M407" s="380"/>
      <c r="N407" s="380"/>
      <c r="O407" s="404"/>
      <c r="P407" s="380"/>
      <c r="Q407" s="380"/>
      <c r="R407" s="380"/>
      <c r="S407" s="380"/>
      <c r="T407" s="380"/>
      <c r="U407" s="380"/>
      <c r="V407" s="380"/>
      <c r="W407" s="403"/>
      <c r="X407" s="380"/>
      <c r="Y407" s="380"/>
      <c r="Z407" s="380"/>
      <c r="AA407" s="380"/>
      <c r="AB407" s="380"/>
      <c r="AC407" s="404"/>
      <c r="AD407" s="380"/>
      <c r="AE407" s="380"/>
      <c r="AF407" s="380"/>
      <c r="AG407" s="380"/>
      <c r="AH407" s="380"/>
      <c r="AI407" s="380"/>
      <c r="AJ407" s="380"/>
      <c r="AK407" s="403"/>
      <c r="AL407" s="380"/>
      <c r="AM407" s="380"/>
      <c r="AN407" s="380"/>
      <c r="AO407" s="380"/>
      <c r="AP407" s="380"/>
      <c r="AQ407" s="404"/>
      <c r="AR407" s="380"/>
      <c r="AS407" s="380"/>
      <c r="AT407" s="380"/>
      <c r="AU407" s="380"/>
      <c r="AV407" s="380"/>
      <c r="AW407" s="380"/>
      <c r="AX407" s="380"/>
      <c r="AY407" s="403"/>
      <c r="AZ407" s="380"/>
      <c r="BA407" s="380"/>
      <c r="BB407" s="380"/>
      <c r="BC407" s="380"/>
      <c r="BD407" s="380"/>
      <c r="BE407" s="404"/>
      <c r="BF407" s="380"/>
      <c r="BG407" s="380"/>
      <c r="BH407" s="380"/>
      <c r="BI407" s="380"/>
      <c r="BJ407" s="380"/>
      <c r="BK407" s="380"/>
      <c r="BL407" s="380"/>
      <c r="BM407" s="403"/>
      <c r="BS407" s="83"/>
      <c r="CA407" s="405"/>
      <c r="CG407" s="83"/>
      <c r="CO407" s="405"/>
      <c r="CU407" s="83"/>
      <c r="DC407" s="405"/>
      <c r="DI407" s="83"/>
      <c r="DQ407" s="405"/>
      <c r="DW407" s="83"/>
      <c r="EE407" s="405"/>
      <c r="EK407" s="83"/>
      <c r="ES407" s="405"/>
      <c r="EY407" s="83"/>
      <c r="FG407" s="405"/>
      <c r="FM407" s="83"/>
      <c r="FU407" s="405"/>
      <c r="GA407" s="83"/>
      <c r="GI407" s="405"/>
      <c r="GO407" s="83"/>
      <c r="GW407" s="405"/>
      <c r="HC407" s="83"/>
      <c r="HK407" s="405"/>
      <c r="HQ407" s="83"/>
      <c r="HY407" s="405"/>
      <c r="IE407" s="83"/>
      <c r="IM407" s="405"/>
      <c r="IS407" s="83"/>
      <c r="JA407" s="405"/>
      <c r="JG407" s="83"/>
      <c r="JO407" s="405"/>
      <c r="JU407" s="83"/>
      <c r="KC407" s="405"/>
      <c r="KI407" s="83"/>
      <c r="KQ407" s="405"/>
      <c r="KW407" s="83"/>
      <c r="LE407" s="405"/>
      <c r="LK407" s="83"/>
      <c r="LS407" s="405"/>
      <c r="LY407" s="83"/>
      <c r="MG407" s="405"/>
      <c r="MM407" s="83"/>
      <c r="MU407" s="405"/>
      <c r="NA407" s="83"/>
    </row>
    <row r="408">
      <c r="A408" s="483"/>
      <c r="B408" s="380"/>
      <c r="C408" s="380"/>
      <c r="D408" s="380"/>
      <c r="E408" s="380"/>
      <c r="F408" s="380"/>
      <c r="G408" s="380"/>
      <c r="H408" s="380"/>
      <c r="I408" s="403"/>
      <c r="J408" s="380"/>
      <c r="K408" s="380"/>
      <c r="L408" s="380"/>
      <c r="M408" s="380"/>
      <c r="N408" s="380"/>
      <c r="O408" s="404"/>
      <c r="P408" s="380"/>
      <c r="Q408" s="380"/>
      <c r="R408" s="380"/>
      <c r="S408" s="380"/>
      <c r="T408" s="380"/>
      <c r="U408" s="380"/>
      <c r="V408" s="380"/>
      <c r="W408" s="403"/>
      <c r="X408" s="380"/>
      <c r="Y408" s="380"/>
      <c r="Z408" s="380"/>
      <c r="AA408" s="380"/>
      <c r="AB408" s="380"/>
      <c r="AC408" s="404"/>
      <c r="AD408" s="380"/>
      <c r="AE408" s="380"/>
      <c r="AF408" s="380"/>
      <c r="AG408" s="380"/>
      <c r="AH408" s="380"/>
      <c r="AI408" s="380"/>
      <c r="AJ408" s="380"/>
      <c r="AK408" s="403"/>
      <c r="AL408" s="380"/>
      <c r="AM408" s="380"/>
      <c r="AN408" s="380"/>
      <c r="AO408" s="380"/>
      <c r="AP408" s="380"/>
      <c r="AQ408" s="404"/>
      <c r="AR408" s="380"/>
      <c r="AS408" s="380"/>
      <c r="AT408" s="380"/>
      <c r="AU408" s="380"/>
      <c r="AV408" s="380"/>
      <c r="AW408" s="380"/>
      <c r="AX408" s="380"/>
      <c r="AY408" s="403"/>
      <c r="AZ408" s="380"/>
      <c r="BA408" s="380"/>
      <c r="BB408" s="380"/>
      <c r="BC408" s="380"/>
      <c r="BD408" s="380"/>
      <c r="BE408" s="404"/>
      <c r="BF408" s="380"/>
      <c r="BG408" s="380"/>
      <c r="BH408" s="380"/>
      <c r="BI408" s="380"/>
      <c r="BJ408" s="380"/>
      <c r="BK408" s="380"/>
      <c r="BL408" s="380"/>
      <c r="BM408" s="403"/>
      <c r="BS408" s="83"/>
      <c r="CA408" s="405"/>
      <c r="CG408" s="83"/>
      <c r="CO408" s="405"/>
      <c r="CU408" s="83"/>
      <c r="DC408" s="405"/>
      <c r="DI408" s="83"/>
      <c r="DQ408" s="405"/>
      <c r="DW408" s="83"/>
      <c r="EE408" s="405"/>
      <c r="EK408" s="83"/>
      <c r="ES408" s="405"/>
      <c r="EY408" s="83"/>
      <c r="FG408" s="405"/>
      <c r="FM408" s="83"/>
      <c r="FU408" s="405"/>
      <c r="GA408" s="83"/>
      <c r="GI408" s="405"/>
      <c r="GO408" s="83"/>
      <c r="GW408" s="405"/>
      <c r="HC408" s="83"/>
      <c r="HK408" s="405"/>
      <c r="HQ408" s="83"/>
      <c r="HY408" s="405"/>
      <c r="IE408" s="83"/>
      <c r="IM408" s="405"/>
      <c r="IS408" s="83"/>
      <c r="JA408" s="405"/>
      <c r="JG408" s="83"/>
      <c r="JO408" s="405"/>
      <c r="JU408" s="83"/>
      <c r="KC408" s="405"/>
      <c r="KI408" s="83"/>
      <c r="KQ408" s="405"/>
      <c r="KW408" s="83"/>
      <c r="LE408" s="405"/>
      <c r="LK408" s="83"/>
      <c r="LS408" s="405"/>
      <c r="LY408" s="83"/>
      <c r="MG408" s="405"/>
      <c r="MM408" s="83"/>
      <c r="MU408" s="405"/>
      <c r="NA408" s="83"/>
    </row>
    <row r="409">
      <c r="A409" s="483"/>
      <c r="B409" s="380"/>
      <c r="C409" s="380"/>
      <c r="D409" s="380"/>
      <c r="E409" s="380"/>
      <c r="F409" s="380"/>
      <c r="G409" s="380"/>
      <c r="H409" s="380"/>
      <c r="I409" s="403"/>
      <c r="J409" s="380"/>
      <c r="K409" s="380"/>
      <c r="L409" s="380"/>
      <c r="M409" s="380"/>
      <c r="N409" s="380"/>
      <c r="O409" s="404"/>
      <c r="P409" s="380"/>
      <c r="Q409" s="380"/>
      <c r="R409" s="380"/>
      <c r="S409" s="380"/>
      <c r="T409" s="380"/>
      <c r="U409" s="380"/>
      <c r="V409" s="380"/>
      <c r="W409" s="403"/>
      <c r="X409" s="380"/>
      <c r="Y409" s="380"/>
      <c r="Z409" s="380"/>
      <c r="AA409" s="380"/>
      <c r="AB409" s="380"/>
      <c r="AC409" s="404"/>
      <c r="AD409" s="380"/>
      <c r="AE409" s="380"/>
      <c r="AF409" s="380"/>
      <c r="AG409" s="380"/>
      <c r="AH409" s="380"/>
      <c r="AI409" s="380"/>
      <c r="AJ409" s="380"/>
      <c r="AK409" s="403"/>
      <c r="AL409" s="380"/>
      <c r="AM409" s="380"/>
      <c r="AN409" s="380"/>
      <c r="AO409" s="380"/>
      <c r="AP409" s="380"/>
      <c r="AQ409" s="404"/>
      <c r="AR409" s="380"/>
      <c r="AS409" s="380"/>
      <c r="AT409" s="380"/>
      <c r="AU409" s="380"/>
      <c r="AV409" s="380"/>
      <c r="AW409" s="380"/>
      <c r="AX409" s="380"/>
      <c r="AY409" s="403"/>
      <c r="AZ409" s="380"/>
      <c r="BA409" s="380"/>
      <c r="BB409" s="380"/>
      <c r="BC409" s="380"/>
      <c r="BD409" s="380"/>
      <c r="BE409" s="404"/>
      <c r="BF409" s="380"/>
      <c r="BG409" s="380"/>
      <c r="BH409" s="380"/>
      <c r="BI409" s="380"/>
      <c r="BJ409" s="380"/>
      <c r="BK409" s="380"/>
      <c r="BL409" s="380"/>
      <c r="BM409" s="403"/>
      <c r="BS409" s="83"/>
      <c r="CA409" s="405"/>
      <c r="CG409" s="83"/>
      <c r="CO409" s="405"/>
      <c r="CU409" s="83"/>
      <c r="DC409" s="405"/>
      <c r="DI409" s="83"/>
      <c r="DQ409" s="405"/>
      <c r="DW409" s="83"/>
      <c r="EE409" s="405"/>
      <c r="EK409" s="83"/>
      <c r="ES409" s="405"/>
      <c r="EY409" s="83"/>
      <c r="FG409" s="405"/>
      <c r="FM409" s="83"/>
      <c r="FU409" s="405"/>
      <c r="GA409" s="83"/>
      <c r="GI409" s="405"/>
      <c r="GO409" s="83"/>
      <c r="GW409" s="405"/>
      <c r="HC409" s="83"/>
      <c r="HK409" s="405"/>
      <c r="HQ409" s="83"/>
      <c r="HY409" s="405"/>
      <c r="IE409" s="83"/>
      <c r="IM409" s="405"/>
      <c r="IS409" s="83"/>
      <c r="JA409" s="405"/>
      <c r="JG409" s="83"/>
      <c r="JO409" s="405"/>
      <c r="JU409" s="83"/>
      <c r="KC409" s="405"/>
      <c r="KI409" s="83"/>
      <c r="KQ409" s="405"/>
      <c r="KW409" s="83"/>
      <c r="LE409" s="405"/>
      <c r="LK409" s="83"/>
      <c r="LS409" s="405"/>
      <c r="LY409" s="83"/>
      <c r="MG409" s="405"/>
      <c r="MM409" s="83"/>
      <c r="MU409" s="405"/>
      <c r="NA409" s="83"/>
    </row>
    <row r="410">
      <c r="A410" s="483"/>
      <c r="B410" s="380"/>
      <c r="C410" s="380"/>
      <c r="D410" s="380"/>
      <c r="E410" s="380"/>
      <c r="F410" s="380"/>
      <c r="G410" s="380"/>
      <c r="H410" s="380"/>
      <c r="I410" s="403"/>
      <c r="J410" s="380"/>
      <c r="K410" s="380"/>
      <c r="L410" s="380"/>
      <c r="M410" s="380"/>
      <c r="N410" s="380"/>
      <c r="O410" s="404"/>
      <c r="P410" s="380"/>
      <c r="Q410" s="380"/>
      <c r="R410" s="380"/>
      <c r="S410" s="380"/>
      <c r="T410" s="380"/>
      <c r="U410" s="380"/>
      <c r="V410" s="380"/>
      <c r="W410" s="403"/>
      <c r="X410" s="380"/>
      <c r="Y410" s="380"/>
      <c r="Z410" s="380"/>
      <c r="AA410" s="380"/>
      <c r="AB410" s="380"/>
      <c r="AC410" s="404"/>
      <c r="AD410" s="380"/>
      <c r="AE410" s="380"/>
      <c r="AF410" s="380"/>
      <c r="AG410" s="380"/>
      <c r="AH410" s="380"/>
      <c r="AI410" s="380"/>
      <c r="AJ410" s="380"/>
      <c r="AK410" s="403"/>
      <c r="AL410" s="380"/>
      <c r="AM410" s="380"/>
      <c r="AN410" s="380"/>
      <c r="AO410" s="380"/>
      <c r="AP410" s="380"/>
      <c r="AQ410" s="404"/>
      <c r="AR410" s="380"/>
      <c r="AS410" s="380"/>
      <c r="AT410" s="380"/>
      <c r="AU410" s="380"/>
      <c r="AV410" s="380"/>
      <c r="AW410" s="380"/>
      <c r="AX410" s="380"/>
      <c r="AY410" s="403"/>
      <c r="AZ410" s="380"/>
      <c r="BA410" s="380"/>
      <c r="BB410" s="380"/>
      <c r="BC410" s="380"/>
      <c r="BD410" s="380"/>
      <c r="BE410" s="404"/>
      <c r="BF410" s="380"/>
      <c r="BG410" s="380"/>
      <c r="BH410" s="380"/>
      <c r="BI410" s="380"/>
      <c r="BJ410" s="380"/>
      <c r="BK410" s="380"/>
      <c r="BL410" s="380"/>
      <c r="BM410" s="403"/>
      <c r="BS410" s="83"/>
      <c r="CA410" s="405"/>
      <c r="CG410" s="83"/>
      <c r="CO410" s="405"/>
      <c r="CU410" s="83"/>
      <c r="DC410" s="405"/>
      <c r="DI410" s="83"/>
      <c r="DQ410" s="405"/>
      <c r="DW410" s="83"/>
      <c r="EE410" s="405"/>
      <c r="EK410" s="83"/>
      <c r="ES410" s="405"/>
      <c r="EY410" s="83"/>
      <c r="FG410" s="405"/>
      <c r="FM410" s="83"/>
      <c r="FU410" s="405"/>
      <c r="GA410" s="83"/>
      <c r="GI410" s="405"/>
      <c r="GO410" s="83"/>
      <c r="GW410" s="405"/>
      <c r="HC410" s="83"/>
      <c r="HK410" s="405"/>
      <c r="HQ410" s="83"/>
      <c r="HY410" s="405"/>
      <c r="IE410" s="83"/>
      <c r="IM410" s="405"/>
      <c r="IS410" s="83"/>
      <c r="JA410" s="405"/>
      <c r="JG410" s="83"/>
      <c r="JO410" s="405"/>
      <c r="JU410" s="83"/>
      <c r="KC410" s="405"/>
      <c r="KI410" s="83"/>
      <c r="KQ410" s="405"/>
      <c r="KW410" s="83"/>
      <c r="LE410" s="405"/>
      <c r="LK410" s="83"/>
      <c r="LS410" s="405"/>
      <c r="LY410" s="83"/>
      <c r="MG410" s="405"/>
      <c r="MM410" s="83"/>
      <c r="MU410" s="405"/>
      <c r="NA410" s="83"/>
    </row>
    <row r="411">
      <c r="A411" s="483"/>
      <c r="B411" s="380"/>
      <c r="C411" s="380"/>
      <c r="D411" s="380"/>
      <c r="E411" s="380"/>
      <c r="F411" s="380"/>
      <c r="G411" s="380"/>
      <c r="H411" s="380"/>
      <c r="I411" s="403"/>
      <c r="J411" s="380"/>
      <c r="K411" s="380"/>
      <c r="L411" s="380"/>
      <c r="M411" s="380"/>
      <c r="N411" s="380"/>
      <c r="O411" s="404"/>
      <c r="P411" s="380"/>
      <c r="Q411" s="380"/>
      <c r="R411" s="380"/>
      <c r="S411" s="380"/>
      <c r="T411" s="380"/>
      <c r="U411" s="380"/>
      <c r="V411" s="380"/>
      <c r="W411" s="403"/>
      <c r="X411" s="380"/>
      <c r="Y411" s="380"/>
      <c r="Z411" s="380"/>
      <c r="AA411" s="380"/>
      <c r="AB411" s="380"/>
      <c r="AC411" s="404"/>
      <c r="AD411" s="380"/>
      <c r="AE411" s="380"/>
      <c r="AF411" s="380"/>
      <c r="AG411" s="380"/>
      <c r="AH411" s="380"/>
      <c r="AI411" s="380"/>
      <c r="AJ411" s="380"/>
      <c r="AK411" s="403"/>
      <c r="AL411" s="380"/>
      <c r="AM411" s="380"/>
      <c r="AN411" s="380"/>
      <c r="AO411" s="380"/>
      <c r="AP411" s="380"/>
      <c r="AQ411" s="404"/>
      <c r="AR411" s="380"/>
      <c r="AS411" s="380"/>
      <c r="AT411" s="380"/>
      <c r="AU411" s="380"/>
      <c r="AV411" s="380"/>
      <c r="AW411" s="380"/>
      <c r="AX411" s="380"/>
      <c r="AY411" s="403"/>
      <c r="AZ411" s="380"/>
      <c r="BA411" s="380"/>
      <c r="BB411" s="380"/>
      <c r="BC411" s="380"/>
      <c r="BD411" s="380"/>
      <c r="BE411" s="404"/>
      <c r="BF411" s="380"/>
      <c r="BG411" s="380"/>
      <c r="BH411" s="380"/>
      <c r="BI411" s="380"/>
      <c r="BJ411" s="380"/>
      <c r="BK411" s="380"/>
      <c r="BL411" s="380"/>
      <c r="BM411" s="403"/>
      <c r="BS411" s="83"/>
      <c r="CA411" s="405"/>
      <c r="CG411" s="83"/>
      <c r="CO411" s="405"/>
      <c r="CU411" s="83"/>
      <c r="DC411" s="405"/>
      <c r="DI411" s="83"/>
      <c r="DQ411" s="405"/>
      <c r="DW411" s="83"/>
      <c r="EE411" s="405"/>
      <c r="EK411" s="83"/>
      <c r="ES411" s="405"/>
      <c r="EY411" s="83"/>
      <c r="FG411" s="405"/>
      <c r="FM411" s="83"/>
      <c r="FU411" s="405"/>
      <c r="GA411" s="83"/>
      <c r="GI411" s="405"/>
      <c r="GO411" s="83"/>
      <c r="GW411" s="405"/>
      <c r="HC411" s="83"/>
      <c r="HK411" s="405"/>
      <c r="HQ411" s="83"/>
      <c r="HY411" s="405"/>
      <c r="IE411" s="83"/>
      <c r="IM411" s="405"/>
      <c r="IS411" s="83"/>
      <c r="JA411" s="405"/>
      <c r="JG411" s="83"/>
      <c r="JO411" s="405"/>
      <c r="JU411" s="83"/>
      <c r="KC411" s="405"/>
      <c r="KI411" s="83"/>
      <c r="KQ411" s="405"/>
      <c r="KW411" s="83"/>
      <c r="LE411" s="405"/>
      <c r="LK411" s="83"/>
      <c r="LS411" s="405"/>
      <c r="LY411" s="83"/>
      <c r="MG411" s="405"/>
      <c r="MM411" s="83"/>
      <c r="MU411" s="405"/>
      <c r="NA411" s="83"/>
    </row>
    <row r="412">
      <c r="A412" s="483"/>
      <c r="B412" s="380"/>
      <c r="C412" s="380"/>
      <c r="D412" s="380"/>
      <c r="E412" s="380"/>
      <c r="F412" s="380"/>
      <c r="G412" s="380"/>
      <c r="H412" s="380"/>
      <c r="I412" s="403"/>
      <c r="J412" s="380"/>
      <c r="K412" s="380"/>
      <c r="L412" s="380"/>
      <c r="M412" s="380"/>
      <c r="N412" s="380"/>
      <c r="O412" s="404"/>
      <c r="P412" s="380"/>
      <c r="Q412" s="380"/>
      <c r="R412" s="380"/>
      <c r="S412" s="380"/>
      <c r="T412" s="380"/>
      <c r="U412" s="380"/>
      <c r="V412" s="380"/>
      <c r="W412" s="403"/>
      <c r="X412" s="380"/>
      <c r="Y412" s="380"/>
      <c r="Z412" s="380"/>
      <c r="AA412" s="380"/>
      <c r="AB412" s="380"/>
      <c r="AC412" s="404"/>
      <c r="AD412" s="380"/>
      <c r="AE412" s="380"/>
      <c r="AF412" s="380"/>
      <c r="AG412" s="380"/>
      <c r="AH412" s="380"/>
      <c r="AI412" s="380"/>
      <c r="AJ412" s="380"/>
      <c r="AK412" s="403"/>
      <c r="AL412" s="380"/>
      <c r="AM412" s="380"/>
      <c r="AN412" s="380"/>
      <c r="AO412" s="380"/>
      <c r="AP412" s="380"/>
      <c r="AQ412" s="404"/>
      <c r="AR412" s="380"/>
      <c r="AS412" s="380"/>
      <c r="AT412" s="380"/>
      <c r="AU412" s="380"/>
      <c r="AV412" s="380"/>
      <c r="AW412" s="380"/>
      <c r="AX412" s="380"/>
      <c r="AY412" s="403"/>
      <c r="AZ412" s="380"/>
      <c r="BA412" s="380"/>
      <c r="BB412" s="380"/>
      <c r="BC412" s="380"/>
      <c r="BD412" s="380"/>
      <c r="BE412" s="404"/>
      <c r="BF412" s="380"/>
      <c r="BG412" s="380"/>
      <c r="BH412" s="380"/>
      <c r="BI412" s="380"/>
      <c r="BJ412" s="380"/>
      <c r="BK412" s="380"/>
      <c r="BL412" s="380"/>
      <c r="BM412" s="403"/>
      <c r="BS412" s="83"/>
      <c r="CA412" s="405"/>
      <c r="CG412" s="83"/>
      <c r="CO412" s="405"/>
      <c r="CU412" s="83"/>
      <c r="DC412" s="405"/>
      <c r="DI412" s="83"/>
      <c r="DQ412" s="405"/>
      <c r="DW412" s="83"/>
      <c r="EE412" s="405"/>
      <c r="EK412" s="83"/>
      <c r="ES412" s="405"/>
      <c r="EY412" s="83"/>
      <c r="FG412" s="405"/>
      <c r="FM412" s="83"/>
      <c r="FU412" s="405"/>
      <c r="GA412" s="83"/>
      <c r="GI412" s="405"/>
      <c r="GO412" s="83"/>
      <c r="GW412" s="405"/>
      <c r="HC412" s="83"/>
      <c r="HK412" s="405"/>
      <c r="HQ412" s="83"/>
      <c r="HY412" s="405"/>
      <c r="IE412" s="83"/>
      <c r="IM412" s="405"/>
      <c r="IS412" s="83"/>
      <c r="JA412" s="405"/>
      <c r="JG412" s="83"/>
      <c r="JO412" s="405"/>
      <c r="JU412" s="83"/>
      <c r="KC412" s="405"/>
      <c r="KI412" s="83"/>
      <c r="KQ412" s="405"/>
      <c r="KW412" s="83"/>
      <c r="LE412" s="405"/>
      <c r="LK412" s="83"/>
      <c r="LS412" s="405"/>
      <c r="LY412" s="83"/>
      <c r="MG412" s="405"/>
      <c r="MM412" s="83"/>
      <c r="MU412" s="405"/>
      <c r="NA412" s="83"/>
    </row>
    <row r="413">
      <c r="A413" s="483"/>
      <c r="B413" s="380"/>
      <c r="C413" s="380"/>
      <c r="D413" s="380"/>
      <c r="E413" s="380"/>
      <c r="F413" s="380"/>
      <c r="G413" s="380"/>
      <c r="H413" s="380"/>
      <c r="I413" s="403"/>
      <c r="J413" s="380"/>
      <c r="K413" s="380"/>
      <c r="L413" s="380"/>
      <c r="M413" s="380"/>
      <c r="N413" s="380"/>
      <c r="O413" s="404"/>
      <c r="P413" s="380"/>
      <c r="Q413" s="380"/>
      <c r="R413" s="380"/>
      <c r="S413" s="380"/>
      <c r="T413" s="380"/>
      <c r="U413" s="380"/>
      <c r="V413" s="380"/>
      <c r="W413" s="403"/>
      <c r="X413" s="380"/>
      <c r="Y413" s="380"/>
      <c r="Z413" s="380"/>
      <c r="AA413" s="380"/>
      <c r="AB413" s="380"/>
      <c r="AC413" s="404"/>
      <c r="AD413" s="380"/>
      <c r="AE413" s="380"/>
      <c r="AF413" s="380"/>
      <c r="AG413" s="380"/>
      <c r="AH413" s="380"/>
      <c r="AI413" s="380"/>
      <c r="AJ413" s="380"/>
      <c r="AK413" s="403"/>
      <c r="AL413" s="380"/>
      <c r="AM413" s="380"/>
      <c r="AN413" s="380"/>
      <c r="AO413" s="380"/>
      <c r="AP413" s="380"/>
      <c r="AQ413" s="404"/>
      <c r="AR413" s="380"/>
      <c r="AS413" s="380"/>
      <c r="AT413" s="380"/>
      <c r="AU413" s="380"/>
      <c r="AV413" s="380"/>
      <c r="AW413" s="380"/>
      <c r="AX413" s="380"/>
      <c r="AY413" s="403"/>
      <c r="AZ413" s="380"/>
      <c r="BA413" s="380"/>
      <c r="BB413" s="380"/>
      <c r="BC413" s="380"/>
      <c r="BD413" s="380"/>
      <c r="BE413" s="404"/>
      <c r="BF413" s="380"/>
      <c r="BG413" s="380"/>
      <c r="BH413" s="380"/>
      <c r="BI413" s="380"/>
      <c r="BJ413" s="380"/>
      <c r="BK413" s="380"/>
      <c r="BL413" s="380"/>
      <c r="BM413" s="403"/>
      <c r="BS413" s="83"/>
      <c r="CA413" s="405"/>
      <c r="CG413" s="83"/>
      <c r="CO413" s="405"/>
      <c r="CU413" s="83"/>
      <c r="DC413" s="405"/>
      <c r="DI413" s="83"/>
      <c r="DQ413" s="405"/>
      <c r="DW413" s="83"/>
      <c r="EE413" s="405"/>
      <c r="EK413" s="83"/>
      <c r="ES413" s="405"/>
      <c r="EY413" s="83"/>
      <c r="FG413" s="405"/>
      <c r="FM413" s="83"/>
      <c r="FU413" s="405"/>
      <c r="GA413" s="83"/>
      <c r="GI413" s="405"/>
      <c r="GO413" s="83"/>
      <c r="GW413" s="405"/>
      <c r="HC413" s="83"/>
      <c r="HK413" s="405"/>
      <c r="HQ413" s="83"/>
      <c r="HY413" s="405"/>
      <c r="IE413" s="83"/>
      <c r="IM413" s="405"/>
      <c r="IS413" s="83"/>
      <c r="JA413" s="405"/>
      <c r="JG413" s="83"/>
      <c r="JO413" s="405"/>
      <c r="JU413" s="83"/>
      <c r="KC413" s="405"/>
      <c r="KI413" s="83"/>
      <c r="KQ413" s="405"/>
      <c r="KW413" s="83"/>
      <c r="LE413" s="405"/>
      <c r="LK413" s="83"/>
      <c r="LS413" s="405"/>
      <c r="LY413" s="83"/>
      <c r="MG413" s="405"/>
      <c r="MM413" s="83"/>
      <c r="MU413" s="405"/>
      <c r="NA413" s="83"/>
    </row>
    <row r="414">
      <c r="A414" s="483"/>
      <c r="B414" s="380"/>
      <c r="C414" s="380"/>
      <c r="D414" s="380"/>
      <c r="E414" s="380"/>
      <c r="F414" s="380"/>
      <c r="G414" s="380"/>
      <c r="H414" s="380"/>
      <c r="I414" s="403"/>
      <c r="J414" s="380"/>
      <c r="K414" s="380"/>
      <c r="L414" s="380"/>
      <c r="M414" s="380"/>
      <c r="N414" s="380"/>
      <c r="O414" s="404"/>
      <c r="P414" s="380"/>
      <c r="Q414" s="380"/>
      <c r="R414" s="380"/>
      <c r="S414" s="380"/>
      <c r="T414" s="380"/>
      <c r="U414" s="380"/>
      <c r="V414" s="380"/>
      <c r="W414" s="403"/>
      <c r="X414" s="380"/>
      <c r="Y414" s="380"/>
      <c r="Z414" s="380"/>
      <c r="AA414" s="380"/>
      <c r="AB414" s="380"/>
      <c r="AC414" s="404"/>
      <c r="AD414" s="380"/>
      <c r="AE414" s="380"/>
      <c r="AF414" s="380"/>
      <c r="AG414" s="380"/>
      <c r="AH414" s="380"/>
      <c r="AI414" s="380"/>
      <c r="AJ414" s="380"/>
      <c r="AK414" s="403"/>
      <c r="AL414" s="380"/>
      <c r="AM414" s="380"/>
      <c r="AN414" s="380"/>
      <c r="AO414" s="380"/>
      <c r="AP414" s="380"/>
      <c r="AQ414" s="404"/>
      <c r="AR414" s="380"/>
      <c r="AS414" s="380"/>
      <c r="AT414" s="380"/>
      <c r="AU414" s="380"/>
      <c r="AV414" s="380"/>
      <c r="AW414" s="380"/>
      <c r="AX414" s="380"/>
      <c r="AY414" s="403"/>
      <c r="AZ414" s="380"/>
      <c r="BA414" s="380"/>
      <c r="BB414" s="380"/>
      <c r="BC414" s="380"/>
      <c r="BD414" s="380"/>
      <c r="BE414" s="404"/>
      <c r="BF414" s="380"/>
      <c r="BG414" s="380"/>
      <c r="BH414" s="380"/>
      <c r="BI414" s="380"/>
      <c r="BJ414" s="380"/>
      <c r="BK414" s="380"/>
      <c r="BL414" s="380"/>
      <c r="BM414" s="403"/>
      <c r="BS414" s="83"/>
      <c r="CA414" s="405"/>
      <c r="CG414" s="83"/>
      <c r="CO414" s="405"/>
      <c r="CU414" s="83"/>
      <c r="DC414" s="405"/>
      <c r="DI414" s="83"/>
      <c r="DQ414" s="405"/>
      <c r="DW414" s="83"/>
      <c r="EE414" s="405"/>
      <c r="EK414" s="83"/>
      <c r="ES414" s="405"/>
      <c r="EY414" s="83"/>
      <c r="FG414" s="405"/>
      <c r="FM414" s="83"/>
      <c r="FU414" s="405"/>
      <c r="GA414" s="83"/>
      <c r="GI414" s="405"/>
      <c r="GO414" s="83"/>
      <c r="GW414" s="405"/>
      <c r="HC414" s="83"/>
      <c r="HK414" s="405"/>
      <c r="HQ414" s="83"/>
      <c r="HY414" s="405"/>
      <c r="IE414" s="83"/>
      <c r="IM414" s="405"/>
      <c r="IS414" s="83"/>
      <c r="JA414" s="405"/>
      <c r="JG414" s="83"/>
      <c r="JO414" s="405"/>
      <c r="JU414" s="83"/>
      <c r="KC414" s="405"/>
      <c r="KI414" s="83"/>
      <c r="KQ414" s="405"/>
      <c r="KW414" s="83"/>
      <c r="LE414" s="405"/>
      <c r="LK414" s="83"/>
      <c r="LS414" s="405"/>
      <c r="LY414" s="83"/>
      <c r="MG414" s="405"/>
      <c r="MM414" s="83"/>
      <c r="MU414" s="405"/>
      <c r="NA414" s="83"/>
    </row>
    <row r="415">
      <c r="A415" s="483"/>
      <c r="B415" s="380"/>
      <c r="C415" s="380"/>
      <c r="D415" s="380"/>
      <c r="E415" s="380"/>
      <c r="F415" s="380"/>
      <c r="G415" s="380"/>
      <c r="H415" s="380"/>
      <c r="I415" s="403"/>
      <c r="J415" s="380"/>
      <c r="K415" s="380"/>
      <c r="L415" s="380"/>
      <c r="M415" s="380"/>
      <c r="N415" s="380"/>
      <c r="O415" s="404"/>
      <c r="P415" s="380"/>
      <c r="Q415" s="380"/>
      <c r="R415" s="380"/>
      <c r="S415" s="380"/>
      <c r="T415" s="380"/>
      <c r="U415" s="380"/>
      <c r="V415" s="380"/>
      <c r="W415" s="403"/>
      <c r="X415" s="380"/>
      <c r="Y415" s="380"/>
      <c r="Z415" s="380"/>
      <c r="AA415" s="380"/>
      <c r="AB415" s="380"/>
      <c r="AC415" s="404"/>
      <c r="AD415" s="380"/>
      <c r="AE415" s="380"/>
      <c r="AF415" s="380"/>
      <c r="AG415" s="380"/>
      <c r="AH415" s="380"/>
      <c r="AI415" s="380"/>
      <c r="AJ415" s="380"/>
      <c r="AK415" s="403"/>
      <c r="AL415" s="380"/>
      <c r="AM415" s="380"/>
      <c r="AN415" s="380"/>
      <c r="AO415" s="380"/>
      <c r="AP415" s="380"/>
      <c r="AQ415" s="404"/>
      <c r="AR415" s="380"/>
      <c r="AS415" s="380"/>
      <c r="AT415" s="380"/>
      <c r="AU415" s="380"/>
      <c r="AV415" s="380"/>
      <c r="AW415" s="380"/>
      <c r="AX415" s="380"/>
      <c r="AY415" s="403"/>
      <c r="AZ415" s="380"/>
      <c r="BA415" s="380"/>
      <c r="BB415" s="380"/>
      <c r="BC415" s="380"/>
      <c r="BD415" s="380"/>
      <c r="BE415" s="404"/>
      <c r="BF415" s="380"/>
      <c r="BG415" s="380"/>
      <c r="BH415" s="380"/>
      <c r="BI415" s="380"/>
      <c r="BJ415" s="380"/>
      <c r="BK415" s="380"/>
      <c r="BL415" s="380"/>
      <c r="BM415" s="403"/>
      <c r="BS415" s="83"/>
      <c r="CA415" s="405"/>
      <c r="CG415" s="83"/>
      <c r="CO415" s="405"/>
      <c r="CU415" s="83"/>
      <c r="DC415" s="405"/>
      <c r="DI415" s="83"/>
      <c r="DQ415" s="405"/>
      <c r="DW415" s="83"/>
      <c r="EE415" s="405"/>
      <c r="EK415" s="83"/>
      <c r="ES415" s="405"/>
      <c r="EY415" s="83"/>
      <c r="FG415" s="405"/>
      <c r="FM415" s="83"/>
      <c r="FU415" s="405"/>
      <c r="GA415" s="83"/>
      <c r="GI415" s="405"/>
      <c r="GO415" s="83"/>
      <c r="GW415" s="405"/>
      <c r="HC415" s="83"/>
      <c r="HK415" s="405"/>
      <c r="HQ415" s="83"/>
      <c r="HY415" s="405"/>
      <c r="IE415" s="83"/>
      <c r="IM415" s="405"/>
      <c r="IS415" s="83"/>
      <c r="JA415" s="405"/>
      <c r="JG415" s="83"/>
      <c r="JO415" s="405"/>
      <c r="JU415" s="83"/>
      <c r="KC415" s="405"/>
      <c r="KI415" s="83"/>
      <c r="KQ415" s="405"/>
      <c r="KW415" s="83"/>
      <c r="LE415" s="405"/>
      <c r="LK415" s="83"/>
      <c r="LS415" s="405"/>
      <c r="LY415" s="83"/>
      <c r="MG415" s="405"/>
      <c r="MM415" s="83"/>
      <c r="MU415" s="405"/>
      <c r="NA415" s="83"/>
    </row>
    <row r="416">
      <c r="A416" s="483"/>
      <c r="B416" s="380"/>
      <c r="C416" s="380"/>
      <c r="D416" s="380"/>
      <c r="E416" s="380"/>
      <c r="F416" s="380"/>
      <c r="G416" s="380"/>
      <c r="H416" s="380"/>
      <c r="I416" s="403"/>
      <c r="J416" s="380"/>
      <c r="K416" s="380"/>
      <c r="L416" s="380"/>
      <c r="M416" s="380"/>
      <c r="N416" s="380"/>
      <c r="O416" s="404"/>
      <c r="P416" s="380"/>
      <c r="Q416" s="380"/>
      <c r="R416" s="380"/>
      <c r="S416" s="380"/>
      <c r="T416" s="380"/>
      <c r="U416" s="380"/>
      <c r="V416" s="380"/>
      <c r="W416" s="403"/>
      <c r="X416" s="380"/>
      <c r="Y416" s="380"/>
      <c r="Z416" s="380"/>
      <c r="AA416" s="380"/>
      <c r="AB416" s="380"/>
      <c r="AC416" s="404"/>
      <c r="AD416" s="380"/>
      <c r="AE416" s="380"/>
      <c r="AF416" s="380"/>
      <c r="AG416" s="380"/>
      <c r="AH416" s="380"/>
      <c r="AI416" s="380"/>
      <c r="AJ416" s="380"/>
      <c r="AK416" s="403"/>
      <c r="AL416" s="380"/>
      <c r="AM416" s="380"/>
      <c r="AN416" s="380"/>
      <c r="AO416" s="380"/>
      <c r="AP416" s="380"/>
      <c r="AQ416" s="404"/>
      <c r="AR416" s="380"/>
      <c r="AS416" s="380"/>
      <c r="AT416" s="380"/>
      <c r="AU416" s="380"/>
      <c r="AV416" s="380"/>
      <c r="AW416" s="380"/>
      <c r="AX416" s="380"/>
      <c r="AY416" s="403"/>
      <c r="AZ416" s="380"/>
      <c r="BA416" s="380"/>
      <c r="BB416" s="380"/>
      <c r="BC416" s="380"/>
      <c r="BD416" s="380"/>
      <c r="BE416" s="404"/>
      <c r="BF416" s="380"/>
      <c r="BG416" s="380"/>
      <c r="BH416" s="380"/>
      <c r="BI416" s="380"/>
      <c r="BJ416" s="380"/>
      <c r="BK416" s="380"/>
      <c r="BL416" s="380"/>
      <c r="BM416" s="403"/>
      <c r="BS416" s="83"/>
      <c r="CA416" s="405"/>
      <c r="CG416" s="83"/>
      <c r="CO416" s="405"/>
      <c r="CU416" s="83"/>
      <c r="DC416" s="405"/>
      <c r="DI416" s="83"/>
      <c r="DQ416" s="405"/>
      <c r="DW416" s="83"/>
      <c r="EE416" s="405"/>
      <c r="EK416" s="83"/>
      <c r="ES416" s="405"/>
      <c r="EY416" s="83"/>
      <c r="FG416" s="405"/>
      <c r="FM416" s="83"/>
      <c r="FU416" s="405"/>
      <c r="GA416" s="83"/>
      <c r="GI416" s="405"/>
      <c r="GO416" s="83"/>
      <c r="GW416" s="405"/>
      <c r="HC416" s="83"/>
      <c r="HK416" s="405"/>
      <c r="HQ416" s="83"/>
      <c r="HY416" s="405"/>
      <c r="IE416" s="83"/>
      <c r="IM416" s="405"/>
      <c r="IS416" s="83"/>
      <c r="JA416" s="405"/>
      <c r="JG416" s="83"/>
      <c r="JO416" s="405"/>
      <c r="JU416" s="83"/>
      <c r="KC416" s="405"/>
      <c r="KI416" s="83"/>
      <c r="KQ416" s="405"/>
      <c r="KW416" s="83"/>
      <c r="LE416" s="405"/>
      <c r="LK416" s="83"/>
      <c r="LS416" s="405"/>
      <c r="LY416" s="83"/>
      <c r="MG416" s="405"/>
      <c r="MM416" s="83"/>
      <c r="MU416" s="405"/>
      <c r="NA416" s="83"/>
    </row>
    <row r="417">
      <c r="A417" s="483"/>
      <c r="B417" s="380"/>
      <c r="C417" s="380"/>
      <c r="D417" s="380"/>
      <c r="E417" s="380"/>
      <c r="F417" s="380"/>
      <c r="G417" s="380"/>
      <c r="H417" s="380"/>
      <c r="I417" s="403"/>
      <c r="J417" s="380"/>
      <c r="K417" s="380"/>
      <c r="L417" s="380"/>
      <c r="M417" s="380"/>
      <c r="N417" s="380"/>
      <c r="O417" s="404"/>
      <c r="P417" s="380"/>
      <c r="Q417" s="380"/>
      <c r="R417" s="380"/>
      <c r="S417" s="380"/>
      <c r="T417" s="380"/>
      <c r="U417" s="380"/>
      <c r="V417" s="380"/>
      <c r="W417" s="403"/>
      <c r="X417" s="380"/>
      <c r="Y417" s="380"/>
      <c r="Z417" s="380"/>
      <c r="AA417" s="380"/>
      <c r="AB417" s="380"/>
      <c r="AC417" s="404"/>
      <c r="AD417" s="380"/>
      <c r="AE417" s="380"/>
      <c r="AF417" s="380"/>
      <c r="AG417" s="380"/>
      <c r="AH417" s="380"/>
      <c r="AI417" s="380"/>
      <c r="AJ417" s="380"/>
      <c r="AK417" s="403"/>
      <c r="AL417" s="380"/>
      <c r="AM417" s="380"/>
      <c r="AN417" s="380"/>
      <c r="AO417" s="380"/>
      <c r="AP417" s="380"/>
      <c r="AQ417" s="404"/>
      <c r="AR417" s="380"/>
      <c r="AS417" s="380"/>
      <c r="AT417" s="380"/>
      <c r="AU417" s="380"/>
      <c r="AV417" s="380"/>
      <c r="AW417" s="380"/>
      <c r="AX417" s="380"/>
      <c r="AY417" s="403"/>
      <c r="AZ417" s="380"/>
      <c r="BA417" s="380"/>
      <c r="BB417" s="380"/>
      <c r="BC417" s="380"/>
      <c r="BD417" s="380"/>
      <c r="BE417" s="404"/>
      <c r="BF417" s="380"/>
      <c r="BG417" s="380"/>
      <c r="BH417" s="380"/>
      <c r="BI417" s="380"/>
      <c r="BJ417" s="380"/>
      <c r="BK417" s="380"/>
      <c r="BL417" s="380"/>
      <c r="BM417" s="403"/>
      <c r="BS417" s="83"/>
      <c r="CA417" s="405"/>
      <c r="CG417" s="83"/>
      <c r="CO417" s="405"/>
      <c r="CU417" s="83"/>
      <c r="DC417" s="405"/>
      <c r="DI417" s="83"/>
      <c r="DQ417" s="405"/>
      <c r="DW417" s="83"/>
      <c r="EE417" s="405"/>
      <c r="EK417" s="83"/>
      <c r="ES417" s="405"/>
      <c r="EY417" s="83"/>
      <c r="FG417" s="405"/>
      <c r="FM417" s="83"/>
      <c r="FU417" s="405"/>
      <c r="GA417" s="83"/>
      <c r="GI417" s="405"/>
      <c r="GO417" s="83"/>
      <c r="GW417" s="405"/>
      <c r="HC417" s="83"/>
      <c r="HK417" s="405"/>
      <c r="HQ417" s="83"/>
      <c r="HY417" s="405"/>
      <c r="IE417" s="83"/>
      <c r="IM417" s="405"/>
      <c r="IS417" s="83"/>
      <c r="JA417" s="405"/>
      <c r="JG417" s="83"/>
      <c r="JO417" s="405"/>
      <c r="JU417" s="83"/>
      <c r="KC417" s="405"/>
      <c r="KI417" s="83"/>
      <c r="KQ417" s="405"/>
      <c r="KW417" s="83"/>
      <c r="LE417" s="405"/>
      <c r="LK417" s="83"/>
      <c r="LS417" s="405"/>
      <c r="LY417" s="83"/>
      <c r="MG417" s="405"/>
      <c r="MM417" s="83"/>
      <c r="MU417" s="405"/>
      <c r="NA417" s="83"/>
    </row>
    <row r="418">
      <c r="A418" s="483"/>
      <c r="B418" s="380"/>
      <c r="C418" s="380"/>
      <c r="D418" s="380"/>
      <c r="E418" s="380"/>
      <c r="F418" s="380"/>
      <c r="G418" s="380"/>
      <c r="H418" s="380"/>
      <c r="I418" s="403"/>
      <c r="J418" s="380"/>
      <c r="K418" s="380"/>
      <c r="L418" s="380"/>
      <c r="M418" s="380"/>
      <c r="N418" s="380"/>
      <c r="O418" s="404"/>
      <c r="P418" s="380"/>
      <c r="Q418" s="380"/>
      <c r="R418" s="380"/>
      <c r="S418" s="380"/>
      <c r="T418" s="380"/>
      <c r="U418" s="380"/>
      <c r="V418" s="380"/>
      <c r="W418" s="403"/>
      <c r="X418" s="380"/>
      <c r="Y418" s="380"/>
      <c r="Z418" s="380"/>
      <c r="AA418" s="380"/>
      <c r="AB418" s="380"/>
      <c r="AC418" s="404"/>
      <c r="AD418" s="380"/>
      <c r="AE418" s="380"/>
      <c r="AF418" s="380"/>
      <c r="AG418" s="380"/>
      <c r="AH418" s="380"/>
      <c r="AI418" s="380"/>
      <c r="AJ418" s="380"/>
      <c r="AK418" s="403"/>
      <c r="AL418" s="380"/>
      <c r="AM418" s="380"/>
      <c r="AN418" s="380"/>
      <c r="AO418" s="380"/>
      <c r="AP418" s="380"/>
      <c r="AQ418" s="404"/>
      <c r="AR418" s="380"/>
      <c r="AS418" s="380"/>
      <c r="AT418" s="380"/>
      <c r="AU418" s="380"/>
      <c r="AV418" s="380"/>
      <c r="AW418" s="380"/>
      <c r="AX418" s="380"/>
      <c r="AY418" s="403"/>
      <c r="AZ418" s="380"/>
      <c r="BA418" s="380"/>
      <c r="BB418" s="380"/>
      <c r="BC418" s="380"/>
      <c r="BD418" s="380"/>
      <c r="BE418" s="404"/>
      <c r="BF418" s="380"/>
      <c r="BG418" s="380"/>
      <c r="BH418" s="380"/>
      <c r="BI418" s="380"/>
      <c r="BJ418" s="380"/>
      <c r="BK418" s="380"/>
      <c r="BL418" s="380"/>
      <c r="BM418" s="403"/>
      <c r="BS418" s="83"/>
      <c r="CA418" s="405"/>
      <c r="CG418" s="83"/>
      <c r="CO418" s="405"/>
      <c r="CU418" s="83"/>
      <c r="DC418" s="405"/>
      <c r="DI418" s="83"/>
      <c r="DQ418" s="405"/>
      <c r="DW418" s="83"/>
      <c r="EE418" s="405"/>
      <c r="EK418" s="83"/>
      <c r="ES418" s="405"/>
      <c r="EY418" s="83"/>
      <c r="FG418" s="405"/>
      <c r="FM418" s="83"/>
      <c r="FU418" s="405"/>
      <c r="GA418" s="83"/>
      <c r="GI418" s="405"/>
      <c r="GO418" s="83"/>
      <c r="GW418" s="405"/>
      <c r="HC418" s="83"/>
      <c r="HK418" s="405"/>
      <c r="HQ418" s="83"/>
      <c r="HY418" s="405"/>
      <c r="IE418" s="83"/>
      <c r="IM418" s="405"/>
      <c r="IS418" s="83"/>
      <c r="JA418" s="405"/>
      <c r="JG418" s="83"/>
      <c r="JO418" s="405"/>
      <c r="JU418" s="83"/>
      <c r="KC418" s="405"/>
      <c r="KI418" s="83"/>
      <c r="KQ418" s="405"/>
      <c r="KW418" s="83"/>
      <c r="LE418" s="405"/>
      <c r="LK418" s="83"/>
      <c r="LS418" s="405"/>
      <c r="LY418" s="83"/>
      <c r="MG418" s="405"/>
      <c r="MM418" s="83"/>
      <c r="MU418" s="405"/>
      <c r="NA418" s="83"/>
    </row>
    <row r="419">
      <c r="A419" s="483"/>
      <c r="B419" s="380"/>
      <c r="C419" s="380"/>
      <c r="D419" s="380"/>
      <c r="E419" s="380"/>
      <c r="F419" s="380"/>
      <c r="G419" s="380"/>
      <c r="H419" s="380"/>
      <c r="I419" s="403"/>
      <c r="J419" s="380"/>
      <c r="K419" s="380"/>
      <c r="L419" s="380"/>
      <c r="M419" s="380"/>
      <c r="N419" s="380"/>
      <c r="O419" s="404"/>
      <c r="P419" s="380"/>
      <c r="Q419" s="380"/>
      <c r="R419" s="380"/>
      <c r="S419" s="380"/>
      <c r="T419" s="380"/>
      <c r="U419" s="380"/>
      <c r="V419" s="380"/>
      <c r="W419" s="403"/>
      <c r="X419" s="380"/>
      <c r="Y419" s="380"/>
      <c r="Z419" s="380"/>
      <c r="AA419" s="380"/>
      <c r="AB419" s="380"/>
      <c r="AC419" s="404"/>
      <c r="AD419" s="380"/>
      <c r="AE419" s="380"/>
      <c r="AF419" s="380"/>
      <c r="AG419" s="380"/>
      <c r="AH419" s="380"/>
      <c r="AI419" s="380"/>
      <c r="AJ419" s="380"/>
      <c r="AK419" s="403"/>
      <c r="AL419" s="380"/>
      <c r="AM419" s="380"/>
      <c r="AN419" s="380"/>
      <c r="AO419" s="380"/>
      <c r="AP419" s="380"/>
      <c r="AQ419" s="404"/>
      <c r="AR419" s="380"/>
      <c r="AS419" s="380"/>
      <c r="AT419" s="380"/>
      <c r="AU419" s="380"/>
      <c r="AV419" s="380"/>
      <c r="AW419" s="380"/>
      <c r="AX419" s="380"/>
      <c r="AY419" s="403"/>
      <c r="AZ419" s="380"/>
      <c r="BA419" s="380"/>
      <c r="BB419" s="380"/>
      <c r="BC419" s="380"/>
      <c r="BD419" s="380"/>
      <c r="BE419" s="404"/>
      <c r="BF419" s="380"/>
      <c r="BG419" s="380"/>
      <c r="BH419" s="380"/>
      <c r="BI419" s="380"/>
      <c r="BJ419" s="380"/>
      <c r="BK419" s="380"/>
      <c r="BL419" s="380"/>
      <c r="BM419" s="403"/>
      <c r="BS419" s="83"/>
      <c r="CA419" s="405"/>
      <c r="CG419" s="83"/>
      <c r="CO419" s="405"/>
      <c r="CU419" s="83"/>
      <c r="DC419" s="405"/>
      <c r="DI419" s="83"/>
      <c r="DQ419" s="405"/>
      <c r="DW419" s="83"/>
      <c r="EE419" s="405"/>
      <c r="EK419" s="83"/>
      <c r="ES419" s="405"/>
      <c r="EY419" s="83"/>
      <c r="FG419" s="405"/>
      <c r="FM419" s="83"/>
      <c r="FU419" s="405"/>
      <c r="GA419" s="83"/>
      <c r="GI419" s="405"/>
      <c r="GO419" s="83"/>
      <c r="GW419" s="405"/>
      <c r="HC419" s="83"/>
      <c r="HK419" s="405"/>
      <c r="HQ419" s="83"/>
      <c r="HY419" s="405"/>
      <c r="IE419" s="83"/>
      <c r="IM419" s="405"/>
      <c r="IS419" s="83"/>
      <c r="JA419" s="405"/>
      <c r="JG419" s="83"/>
      <c r="JO419" s="405"/>
      <c r="JU419" s="83"/>
      <c r="KC419" s="405"/>
      <c r="KI419" s="83"/>
      <c r="KQ419" s="405"/>
      <c r="KW419" s="83"/>
      <c r="LE419" s="405"/>
      <c r="LK419" s="83"/>
      <c r="LS419" s="405"/>
      <c r="LY419" s="83"/>
      <c r="MG419" s="405"/>
      <c r="MM419" s="83"/>
      <c r="MU419" s="405"/>
      <c r="NA419" s="83"/>
    </row>
    <row r="420">
      <c r="A420" s="483"/>
      <c r="B420" s="380"/>
      <c r="C420" s="380"/>
      <c r="D420" s="380"/>
      <c r="E420" s="380"/>
      <c r="F420" s="380"/>
      <c r="G420" s="380"/>
      <c r="H420" s="380"/>
      <c r="I420" s="403"/>
      <c r="J420" s="380"/>
      <c r="K420" s="380"/>
      <c r="L420" s="380"/>
      <c r="M420" s="380"/>
      <c r="N420" s="380"/>
      <c r="O420" s="404"/>
      <c r="P420" s="380"/>
      <c r="Q420" s="380"/>
      <c r="R420" s="380"/>
      <c r="S420" s="380"/>
      <c r="T420" s="380"/>
      <c r="U420" s="380"/>
      <c r="V420" s="380"/>
      <c r="W420" s="403"/>
      <c r="X420" s="380"/>
      <c r="Y420" s="380"/>
      <c r="Z420" s="380"/>
      <c r="AA420" s="380"/>
      <c r="AB420" s="380"/>
      <c r="AC420" s="404"/>
      <c r="AD420" s="380"/>
      <c r="AE420" s="380"/>
      <c r="AF420" s="380"/>
      <c r="AG420" s="380"/>
      <c r="AH420" s="380"/>
      <c r="AI420" s="380"/>
      <c r="AJ420" s="380"/>
      <c r="AK420" s="403"/>
      <c r="AL420" s="380"/>
      <c r="AM420" s="380"/>
      <c r="AN420" s="380"/>
      <c r="AO420" s="380"/>
      <c r="AP420" s="380"/>
      <c r="AQ420" s="404"/>
      <c r="AR420" s="380"/>
      <c r="AS420" s="380"/>
      <c r="AT420" s="380"/>
      <c r="AU420" s="380"/>
      <c r="AV420" s="380"/>
      <c r="AW420" s="380"/>
      <c r="AX420" s="380"/>
      <c r="AY420" s="403"/>
      <c r="AZ420" s="380"/>
      <c r="BA420" s="380"/>
      <c r="BB420" s="380"/>
      <c r="BC420" s="380"/>
      <c r="BD420" s="380"/>
      <c r="BE420" s="404"/>
      <c r="BF420" s="380"/>
      <c r="BG420" s="380"/>
      <c r="BH420" s="380"/>
      <c r="BI420" s="380"/>
      <c r="BJ420" s="380"/>
      <c r="BK420" s="380"/>
      <c r="BL420" s="380"/>
      <c r="BM420" s="403"/>
      <c r="BS420" s="83"/>
      <c r="CA420" s="405"/>
      <c r="CG420" s="83"/>
      <c r="CO420" s="405"/>
      <c r="CU420" s="83"/>
      <c r="DC420" s="405"/>
      <c r="DI420" s="83"/>
      <c r="DQ420" s="405"/>
      <c r="DW420" s="83"/>
      <c r="EE420" s="405"/>
      <c r="EK420" s="83"/>
      <c r="ES420" s="405"/>
      <c r="EY420" s="83"/>
      <c r="FG420" s="405"/>
      <c r="FM420" s="83"/>
      <c r="FU420" s="405"/>
      <c r="GA420" s="83"/>
      <c r="GI420" s="405"/>
      <c r="GO420" s="83"/>
      <c r="GW420" s="405"/>
      <c r="HC420" s="83"/>
      <c r="HK420" s="405"/>
      <c r="HQ420" s="83"/>
      <c r="HY420" s="405"/>
      <c r="IE420" s="83"/>
      <c r="IM420" s="405"/>
      <c r="IS420" s="83"/>
      <c r="JA420" s="405"/>
      <c r="JG420" s="83"/>
      <c r="JO420" s="405"/>
      <c r="JU420" s="83"/>
      <c r="KC420" s="405"/>
      <c r="KI420" s="83"/>
      <c r="KQ420" s="405"/>
      <c r="KW420" s="83"/>
      <c r="LE420" s="405"/>
      <c r="LK420" s="83"/>
      <c r="LS420" s="405"/>
      <c r="LY420" s="83"/>
      <c r="MG420" s="405"/>
      <c r="MM420" s="83"/>
      <c r="MU420" s="405"/>
      <c r="NA420" s="83"/>
    </row>
    <row r="421">
      <c r="A421" s="483"/>
      <c r="B421" s="380"/>
      <c r="C421" s="380"/>
      <c r="D421" s="380"/>
      <c r="E421" s="380"/>
      <c r="F421" s="380"/>
      <c r="G421" s="380"/>
      <c r="H421" s="380"/>
      <c r="I421" s="403"/>
      <c r="J421" s="380"/>
      <c r="K421" s="380"/>
      <c r="L421" s="380"/>
      <c r="M421" s="380"/>
      <c r="N421" s="380"/>
      <c r="O421" s="404"/>
      <c r="P421" s="380"/>
      <c r="Q421" s="380"/>
      <c r="R421" s="380"/>
      <c r="S421" s="380"/>
      <c r="T421" s="380"/>
      <c r="U421" s="380"/>
      <c r="V421" s="380"/>
      <c r="W421" s="403"/>
      <c r="X421" s="380"/>
      <c r="Y421" s="380"/>
      <c r="Z421" s="380"/>
      <c r="AA421" s="380"/>
      <c r="AB421" s="380"/>
      <c r="AC421" s="404"/>
      <c r="AD421" s="380"/>
      <c r="AE421" s="380"/>
      <c r="AF421" s="380"/>
      <c r="AG421" s="380"/>
      <c r="AH421" s="380"/>
      <c r="AI421" s="380"/>
      <c r="AJ421" s="380"/>
      <c r="AK421" s="403"/>
      <c r="AL421" s="380"/>
      <c r="AM421" s="380"/>
      <c r="AN421" s="380"/>
      <c r="AO421" s="380"/>
      <c r="AP421" s="380"/>
      <c r="AQ421" s="404"/>
      <c r="AR421" s="380"/>
      <c r="AS421" s="380"/>
      <c r="AT421" s="380"/>
      <c r="AU421" s="380"/>
      <c r="AV421" s="380"/>
      <c r="AW421" s="380"/>
      <c r="AX421" s="380"/>
      <c r="AY421" s="403"/>
      <c r="AZ421" s="380"/>
      <c r="BA421" s="380"/>
      <c r="BB421" s="380"/>
      <c r="BC421" s="380"/>
      <c r="BD421" s="380"/>
      <c r="BE421" s="404"/>
      <c r="BF421" s="380"/>
      <c r="BG421" s="380"/>
      <c r="BH421" s="380"/>
      <c r="BI421" s="380"/>
      <c r="BJ421" s="380"/>
      <c r="BK421" s="380"/>
      <c r="BL421" s="380"/>
      <c r="BM421" s="403"/>
      <c r="BS421" s="83"/>
      <c r="CA421" s="405"/>
      <c r="CG421" s="83"/>
      <c r="CO421" s="405"/>
      <c r="CU421" s="83"/>
      <c r="DC421" s="405"/>
      <c r="DI421" s="83"/>
      <c r="DQ421" s="405"/>
      <c r="DW421" s="83"/>
      <c r="EE421" s="405"/>
      <c r="EK421" s="83"/>
      <c r="ES421" s="405"/>
      <c r="EY421" s="83"/>
      <c r="FG421" s="405"/>
      <c r="FM421" s="83"/>
      <c r="FU421" s="405"/>
      <c r="GA421" s="83"/>
      <c r="GI421" s="405"/>
      <c r="GO421" s="83"/>
      <c r="GW421" s="405"/>
      <c r="HC421" s="83"/>
      <c r="HK421" s="405"/>
      <c r="HQ421" s="83"/>
      <c r="HY421" s="405"/>
      <c r="IE421" s="83"/>
      <c r="IM421" s="405"/>
      <c r="IS421" s="83"/>
      <c r="JA421" s="405"/>
      <c r="JG421" s="83"/>
      <c r="JO421" s="405"/>
      <c r="JU421" s="83"/>
      <c r="KC421" s="405"/>
      <c r="KI421" s="83"/>
      <c r="KQ421" s="405"/>
      <c r="KW421" s="83"/>
      <c r="LE421" s="405"/>
      <c r="LK421" s="83"/>
      <c r="LS421" s="405"/>
      <c r="LY421" s="83"/>
      <c r="MG421" s="405"/>
      <c r="MM421" s="83"/>
      <c r="MU421" s="405"/>
      <c r="NA421" s="83"/>
    </row>
    <row r="422">
      <c r="A422" s="483"/>
      <c r="B422" s="380"/>
      <c r="C422" s="380"/>
      <c r="D422" s="380"/>
      <c r="E422" s="380"/>
      <c r="F422" s="380"/>
      <c r="G422" s="380"/>
      <c r="H422" s="380"/>
      <c r="I422" s="403"/>
      <c r="J422" s="380"/>
      <c r="K422" s="380"/>
      <c r="L422" s="380"/>
      <c r="M422" s="380"/>
      <c r="N422" s="380"/>
      <c r="O422" s="404"/>
      <c r="P422" s="380"/>
      <c r="Q422" s="380"/>
      <c r="R422" s="380"/>
      <c r="S422" s="380"/>
      <c r="T422" s="380"/>
      <c r="U422" s="380"/>
      <c r="V422" s="380"/>
      <c r="W422" s="403"/>
      <c r="X422" s="380"/>
      <c r="Y422" s="380"/>
      <c r="Z422" s="380"/>
      <c r="AA422" s="380"/>
      <c r="AB422" s="380"/>
      <c r="AC422" s="404"/>
      <c r="AD422" s="380"/>
      <c r="AE422" s="380"/>
      <c r="AF422" s="380"/>
      <c r="AG422" s="380"/>
      <c r="AH422" s="380"/>
      <c r="AI422" s="380"/>
      <c r="AJ422" s="380"/>
      <c r="AK422" s="403"/>
      <c r="AL422" s="380"/>
      <c r="AM422" s="380"/>
      <c r="AN422" s="380"/>
      <c r="AO422" s="380"/>
      <c r="AP422" s="380"/>
      <c r="AQ422" s="404"/>
      <c r="AR422" s="380"/>
      <c r="AS422" s="380"/>
      <c r="AT422" s="380"/>
      <c r="AU422" s="380"/>
      <c r="AV422" s="380"/>
      <c r="AW422" s="380"/>
      <c r="AX422" s="380"/>
      <c r="AY422" s="403"/>
      <c r="AZ422" s="380"/>
      <c r="BA422" s="380"/>
      <c r="BB422" s="380"/>
      <c r="BC422" s="380"/>
      <c r="BD422" s="380"/>
      <c r="BE422" s="404"/>
      <c r="BF422" s="380"/>
      <c r="BG422" s="380"/>
      <c r="BH422" s="380"/>
      <c r="BI422" s="380"/>
      <c r="BJ422" s="380"/>
      <c r="BK422" s="380"/>
      <c r="BL422" s="380"/>
      <c r="BM422" s="403"/>
      <c r="BS422" s="83"/>
      <c r="CA422" s="405"/>
      <c r="CG422" s="83"/>
      <c r="CO422" s="405"/>
      <c r="CU422" s="83"/>
      <c r="DC422" s="405"/>
      <c r="DI422" s="83"/>
      <c r="DQ422" s="405"/>
      <c r="DW422" s="83"/>
      <c r="EE422" s="405"/>
      <c r="EK422" s="83"/>
      <c r="ES422" s="405"/>
      <c r="EY422" s="83"/>
      <c r="FG422" s="405"/>
      <c r="FM422" s="83"/>
      <c r="FU422" s="405"/>
      <c r="GA422" s="83"/>
      <c r="GI422" s="405"/>
      <c r="GO422" s="83"/>
      <c r="GW422" s="405"/>
      <c r="HC422" s="83"/>
      <c r="HK422" s="405"/>
      <c r="HQ422" s="83"/>
      <c r="HY422" s="405"/>
      <c r="IE422" s="83"/>
      <c r="IM422" s="405"/>
      <c r="IS422" s="83"/>
      <c r="JA422" s="405"/>
      <c r="JG422" s="83"/>
      <c r="JO422" s="405"/>
      <c r="JU422" s="83"/>
      <c r="KC422" s="405"/>
      <c r="KI422" s="83"/>
      <c r="KQ422" s="405"/>
      <c r="KW422" s="83"/>
      <c r="LE422" s="405"/>
      <c r="LK422" s="83"/>
      <c r="LS422" s="405"/>
      <c r="LY422" s="83"/>
      <c r="MG422" s="405"/>
      <c r="MM422" s="83"/>
      <c r="MU422" s="405"/>
      <c r="NA422" s="83"/>
    </row>
    <row r="423">
      <c r="A423" s="483"/>
      <c r="B423" s="380"/>
      <c r="C423" s="380"/>
      <c r="D423" s="380"/>
      <c r="E423" s="380"/>
      <c r="F423" s="380"/>
      <c r="G423" s="380"/>
      <c r="H423" s="380"/>
      <c r="I423" s="403"/>
      <c r="J423" s="380"/>
      <c r="K423" s="380"/>
      <c r="L423" s="380"/>
      <c r="M423" s="380"/>
      <c r="N423" s="380"/>
      <c r="O423" s="404"/>
      <c r="P423" s="380"/>
      <c r="Q423" s="380"/>
      <c r="R423" s="380"/>
      <c r="S423" s="380"/>
      <c r="T423" s="380"/>
      <c r="U423" s="380"/>
      <c r="V423" s="380"/>
      <c r="W423" s="403"/>
      <c r="X423" s="380"/>
      <c r="Y423" s="380"/>
      <c r="Z423" s="380"/>
      <c r="AA423" s="380"/>
      <c r="AB423" s="380"/>
      <c r="AC423" s="404"/>
      <c r="AD423" s="380"/>
      <c r="AE423" s="380"/>
      <c r="AF423" s="380"/>
      <c r="AG423" s="380"/>
      <c r="AH423" s="380"/>
      <c r="AI423" s="380"/>
      <c r="AJ423" s="380"/>
      <c r="AK423" s="403"/>
      <c r="AL423" s="380"/>
      <c r="AM423" s="380"/>
      <c r="AN423" s="380"/>
      <c r="AO423" s="380"/>
      <c r="AP423" s="380"/>
      <c r="AQ423" s="404"/>
      <c r="AR423" s="380"/>
      <c r="AS423" s="380"/>
      <c r="AT423" s="380"/>
      <c r="AU423" s="380"/>
      <c r="AV423" s="380"/>
      <c r="AW423" s="380"/>
      <c r="AX423" s="380"/>
      <c r="AY423" s="403"/>
      <c r="AZ423" s="380"/>
      <c r="BA423" s="380"/>
      <c r="BB423" s="380"/>
      <c r="BC423" s="380"/>
      <c r="BD423" s="380"/>
      <c r="BE423" s="404"/>
      <c r="BF423" s="380"/>
      <c r="BG423" s="380"/>
      <c r="BH423" s="380"/>
      <c r="BI423" s="380"/>
      <c r="BJ423" s="380"/>
      <c r="BK423" s="380"/>
      <c r="BL423" s="380"/>
      <c r="BM423" s="403"/>
      <c r="BS423" s="83"/>
      <c r="CA423" s="405"/>
      <c r="CG423" s="83"/>
      <c r="CO423" s="405"/>
      <c r="CU423" s="83"/>
      <c r="DC423" s="405"/>
      <c r="DI423" s="83"/>
      <c r="DQ423" s="405"/>
      <c r="DW423" s="83"/>
      <c r="EE423" s="405"/>
      <c r="EK423" s="83"/>
      <c r="ES423" s="405"/>
      <c r="EY423" s="83"/>
      <c r="FG423" s="405"/>
      <c r="FM423" s="83"/>
      <c r="FU423" s="405"/>
      <c r="GA423" s="83"/>
      <c r="GI423" s="405"/>
      <c r="GO423" s="83"/>
      <c r="GW423" s="405"/>
      <c r="HC423" s="83"/>
      <c r="HK423" s="405"/>
      <c r="HQ423" s="83"/>
      <c r="HY423" s="405"/>
      <c r="IE423" s="83"/>
      <c r="IM423" s="405"/>
      <c r="IS423" s="83"/>
      <c r="JA423" s="405"/>
      <c r="JG423" s="83"/>
      <c r="JO423" s="405"/>
      <c r="JU423" s="83"/>
      <c r="KC423" s="405"/>
      <c r="KI423" s="83"/>
      <c r="KQ423" s="405"/>
      <c r="KW423" s="83"/>
      <c r="LE423" s="405"/>
      <c r="LK423" s="83"/>
      <c r="LS423" s="405"/>
      <c r="LY423" s="83"/>
      <c r="MG423" s="405"/>
      <c r="MM423" s="83"/>
      <c r="MU423" s="405"/>
      <c r="NA423" s="83"/>
    </row>
    <row r="424">
      <c r="A424" s="483"/>
      <c r="B424" s="380"/>
      <c r="C424" s="380"/>
      <c r="D424" s="380"/>
      <c r="E424" s="380"/>
      <c r="F424" s="380"/>
      <c r="G424" s="380"/>
      <c r="H424" s="380"/>
      <c r="I424" s="403"/>
      <c r="J424" s="380"/>
      <c r="K424" s="380"/>
      <c r="L424" s="380"/>
      <c r="M424" s="380"/>
      <c r="N424" s="380"/>
      <c r="O424" s="404"/>
      <c r="P424" s="380"/>
      <c r="Q424" s="380"/>
      <c r="R424" s="380"/>
      <c r="S424" s="380"/>
      <c r="T424" s="380"/>
      <c r="U424" s="380"/>
      <c r="V424" s="380"/>
      <c r="W424" s="403"/>
      <c r="X424" s="380"/>
      <c r="Y424" s="380"/>
      <c r="Z424" s="380"/>
      <c r="AA424" s="380"/>
      <c r="AB424" s="380"/>
      <c r="AC424" s="404"/>
      <c r="AD424" s="380"/>
      <c r="AE424" s="380"/>
      <c r="AF424" s="380"/>
      <c r="AG424" s="380"/>
      <c r="AH424" s="380"/>
      <c r="AI424" s="380"/>
      <c r="AJ424" s="380"/>
      <c r="AK424" s="403"/>
      <c r="AL424" s="380"/>
      <c r="AM424" s="380"/>
      <c r="AN424" s="380"/>
      <c r="AO424" s="380"/>
      <c r="AP424" s="380"/>
      <c r="AQ424" s="404"/>
      <c r="AR424" s="380"/>
      <c r="AS424" s="380"/>
      <c r="AT424" s="380"/>
      <c r="AU424" s="380"/>
      <c r="AV424" s="380"/>
      <c r="AW424" s="380"/>
      <c r="AX424" s="380"/>
      <c r="AY424" s="403"/>
      <c r="AZ424" s="380"/>
      <c r="BA424" s="380"/>
      <c r="BB424" s="380"/>
      <c r="BC424" s="380"/>
      <c r="BD424" s="380"/>
      <c r="BE424" s="404"/>
      <c r="BF424" s="380"/>
      <c r="BG424" s="380"/>
      <c r="BH424" s="380"/>
      <c r="BI424" s="380"/>
      <c r="BJ424" s="380"/>
      <c r="BK424" s="380"/>
      <c r="BL424" s="380"/>
      <c r="BM424" s="403"/>
      <c r="BS424" s="83"/>
      <c r="CA424" s="405"/>
      <c r="CG424" s="83"/>
      <c r="CO424" s="405"/>
      <c r="CU424" s="83"/>
      <c r="DC424" s="405"/>
      <c r="DI424" s="83"/>
      <c r="DQ424" s="405"/>
      <c r="DW424" s="83"/>
      <c r="EE424" s="405"/>
      <c r="EK424" s="83"/>
      <c r="ES424" s="405"/>
      <c r="EY424" s="83"/>
      <c r="FG424" s="405"/>
      <c r="FM424" s="83"/>
      <c r="FU424" s="405"/>
      <c r="GA424" s="83"/>
      <c r="GI424" s="405"/>
      <c r="GO424" s="83"/>
      <c r="GW424" s="405"/>
      <c r="HC424" s="83"/>
      <c r="HK424" s="405"/>
      <c r="HQ424" s="83"/>
      <c r="HY424" s="405"/>
      <c r="IE424" s="83"/>
      <c r="IM424" s="405"/>
      <c r="IS424" s="83"/>
      <c r="JA424" s="405"/>
      <c r="JG424" s="83"/>
      <c r="JO424" s="405"/>
      <c r="JU424" s="83"/>
      <c r="KC424" s="405"/>
      <c r="KI424" s="83"/>
      <c r="KQ424" s="405"/>
      <c r="KW424" s="83"/>
      <c r="LE424" s="405"/>
      <c r="LK424" s="83"/>
      <c r="LS424" s="405"/>
      <c r="LY424" s="83"/>
      <c r="MG424" s="405"/>
      <c r="MM424" s="83"/>
      <c r="MU424" s="405"/>
      <c r="NA424" s="83"/>
    </row>
    <row r="425">
      <c r="A425" s="483"/>
      <c r="B425" s="380"/>
      <c r="C425" s="380"/>
      <c r="D425" s="380"/>
      <c r="E425" s="380"/>
      <c r="F425" s="380"/>
      <c r="G425" s="380"/>
      <c r="H425" s="380"/>
      <c r="I425" s="403"/>
      <c r="J425" s="380"/>
      <c r="K425" s="380"/>
      <c r="L425" s="380"/>
      <c r="M425" s="380"/>
      <c r="N425" s="380"/>
      <c r="O425" s="404"/>
      <c r="P425" s="380"/>
      <c r="Q425" s="380"/>
      <c r="R425" s="380"/>
      <c r="S425" s="380"/>
      <c r="T425" s="380"/>
      <c r="U425" s="380"/>
      <c r="V425" s="380"/>
      <c r="W425" s="403"/>
      <c r="X425" s="380"/>
      <c r="Y425" s="380"/>
      <c r="Z425" s="380"/>
      <c r="AA425" s="380"/>
      <c r="AB425" s="380"/>
      <c r="AC425" s="404"/>
      <c r="AD425" s="380"/>
      <c r="AE425" s="380"/>
      <c r="AF425" s="380"/>
      <c r="AG425" s="380"/>
      <c r="AH425" s="380"/>
      <c r="AI425" s="380"/>
      <c r="AJ425" s="380"/>
      <c r="AK425" s="403"/>
      <c r="AL425" s="380"/>
      <c r="AM425" s="380"/>
      <c r="AN425" s="380"/>
      <c r="AO425" s="380"/>
      <c r="AP425" s="380"/>
      <c r="AQ425" s="404"/>
      <c r="AR425" s="380"/>
      <c r="AS425" s="380"/>
      <c r="AT425" s="380"/>
      <c r="AU425" s="380"/>
      <c r="AV425" s="380"/>
      <c r="AW425" s="380"/>
      <c r="AX425" s="380"/>
      <c r="AY425" s="403"/>
      <c r="AZ425" s="380"/>
      <c r="BA425" s="380"/>
      <c r="BB425" s="380"/>
      <c r="BC425" s="380"/>
      <c r="BD425" s="380"/>
      <c r="BE425" s="404"/>
      <c r="BF425" s="380"/>
      <c r="BG425" s="380"/>
      <c r="BH425" s="380"/>
      <c r="BI425" s="380"/>
      <c r="BJ425" s="380"/>
      <c r="BK425" s="380"/>
      <c r="BL425" s="380"/>
      <c r="BM425" s="403"/>
      <c r="BS425" s="83"/>
      <c r="CA425" s="405"/>
      <c r="CG425" s="83"/>
      <c r="CO425" s="405"/>
      <c r="CU425" s="83"/>
      <c r="DC425" s="405"/>
      <c r="DI425" s="83"/>
      <c r="DQ425" s="405"/>
      <c r="DW425" s="83"/>
      <c r="EE425" s="405"/>
      <c r="EK425" s="83"/>
      <c r="ES425" s="405"/>
      <c r="EY425" s="83"/>
      <c r="FG425" s="405"/>
      <c r="FM425" s="83"/>
      <c r="FU425" s="405"/>
      <c r="GA425" s="83"/>
      <c r="GI425" s="405"/>
      <c r="GO425" s="83"/>
      <c r="GW425" s="405"/>
      <c r="HC425" s="83"/>
      <c r="HK425" s="405"/>
      <c r="HQ425" s="83"/>
      <c r="HY425" s="405"/>
      <c r="IE425" s="83"/>
      <c r="IM425" s="405"/>
      <c r="IS425" s="83"/>
      <c r="JA425" s="405"/>
      <c r="JG425" s="83"/>
      <c r="JO425" s="405"/>
      <c r="JU425" s="83"/>
      <c r="KC425" s="405"/>
      <c r="KI425" s="83"/>
      <c r="KQ425" s="405"/>
      <c r="KW425" s="83"/>
      <c r="LE425" s="405"/>
      <c r="LK425" s="83"/>
      <c r="LS425" s="405"/>
      <c r="LY425" s="83"/>
      <c r="MG425" s="405"/>
      <c r="MM425" s="83"/>
      <c r="MU425" s="405"/>
      <c r="NA425" s="83"/>
    </row>
    <row r="426">
      <c r="A426" s="483"/>
      <c r="B426" s="380"/>
      <c r="C426" s="380"/>
      <c r="D426" s="380"/>
      <c r="E426" s="380"/>
      <c r="F426" s="380"/>
      <c r="G426" s="380"/>
      <c r="H426" s="380"/>
      <c r="I426" s="403"/>
      <c r="J426" s="380"/>
      <c r="K426" s="380"/>
      <c r="L426" s="380"/>
      <c r="M426" s="380"/>
      <c r="N426" s="380"/>
      <c r="O426" s="404"/>
      <c r="P426" s="380"/>
      <c r="Q426" s="380"/>
      <c r="R426" s="380"/>
      <c r="S426" s="380"/>
      <c r="T426" s="380"/>
      <c r="U426" s="380"/>
      <c r="V426" s="380"/>
      <c r="W426" s="403"/>
      <c r="X426" s="380"/>
      <c r="Y426" s="380"/>
      <c r="Z426" s="380"/>
      <c r="AA426" s="380"/>
      <c r="AB426" s="380"/>
      <c r="AC426" s="404"/>
      <c r="AD426" s="380"/>
      <c r="AE426" s="380"/>
      <c r="AF426" s="380"/>
      <c r="AG426" s="380"/>
      <c r="AH426" s="380"/>
      <c r="AI426" s="380"/>
      <c r="AJ426" s="380"/>
      <c r="AK426" s="403"/>
      <c r="AL426" s="380"/>
      <c r="AM426" s="380"/>
      <c r="AN426" s="380"/>
      <c r="AO426" s="380"/>
      <c r="AP426" s="380"/>
      <c r="AQ426" s="404"/>
      <c r="AR426" s="380"/>
      <c r="AS426" s="380"/>
      <c r="AT426" s="380"/>
      <c r="AU426" s="380"/>
      <c r="AV426" s="380"/>
      <c r="AW426" s="380"/>
      <c r="AX426" s="380"/>
      <c r="AY426" s="403"/>
      <c r="AZ426" s="380"/>
      <c r="BA426" s="380"/>
      <c r="BB426" s="380"/>
      <c r="BC426" s="380"/>
      <c r="BD426" s="380"/>
      <c r="BE426" s="404"/>
      <c r="BF426" s="380"/>
      <c r="BG426" s="380"/>
      <c r="BH426" s="380"/>
      <c r="BI426" s="380"/>
      <c r="BJ426" s="380"/>
      <c r="BK426" s="380"/>
      <c r="BL426" s="380"/>
      <c r="BM426" s="403"/>
      <c r="BS426" s="83"/>
      <c r="CA426" s="405"/>
      <c r="CG426" s="83"/>
      <c r="CO426" s="405"/>
      <c r="CU426" s="83"/>
      <c r="DC426" s="405"/>
      <c r="DI426" s="83"/>
      <c r="DQ426" s="405"/>
      <c r="DW426" s="83"/>
      <c r="EE426" s="405"/>
      <c r="EK426" s="83"/>
      <c r="ES426" s="405"/>
      <c r="EY426" s="83"/>
      <c r="FG426" s="405"/>
      <c r="FM426" s="83"/>
      <c r="FU426" s="405"/>
      <c r="GA426" s="83"/>
      <c r="GI426" s="405"/>
      <c r="GO426" s="83"/>
      <c r="GW426" s="405"/>
      <c r="HC426" s="83"/>
      <c r="HK426" s="405"/>
      <c r="HQ426" s="83"/>
      <c r="HY426" s="405"/>
      <c r="IE426" s="83"/>
      <c r="IM426" s="405"/>
      <c r="IS426" s="83"/>
      <c r="JA426" s="405"/>
      <c r="JG426" s="83"/>
      <c r="JO426" s="405"/>
      <c r="JU426" s="83"/>
      <c r="KC426" s="405"/>
      <c r="KI426" s="83"/>
      <c r="KQ426" s="405"/>
      <c r="KW426" s="83"/>
      <c r="LE426" s="405"/>
      <c r="LK426" s="83"/>
      <c r="LS426" s="405"/>
      <c r="LY426" s="83"/>
      <c r="MG426" s="405"/>
      <c r="MM426" s="83"/>
      <c r="MU426" s="405"/>
      <c r="NA426" s="83"/>
    </row>
    <row r="427">
      <c r="A427" s="483"/>
      <c r="B427" s="380"/>
      <c r="C427" s="380"/>
      <c r="D427" s="380"/>
      <c r="E427" s="380"/>
      <c r="F427" s="380"/>
      <c r="G427" s="380"/>
      <c r="H427" s="380"/>
      <c r="I427" s="403"/>
      <c r="J427" s="380"/>
      <c r="K427" s="380"/>
      <c r="L427" s="380"/>
      <c r="M427" s="380"/>
      <c r="N427" s="380"/>
      <c r="O427" s="404"/>
      <c r="P427" s="380"/>
      <c r="Q427" s="380"/>
      <c r="R427" s="380"/>
      <c r="S427" s="380"/>
      <c r="T427" s="380"/>
      <c r="U427" s="380"/>
      <c r="V427" s="380"/>
      <c r="W427" s="403"/>
      <c r="X427" s="380"/>
      <c r="Y427" s="380"/>
      <c r="Z427" s="380"/>
      <c r="AA427" s="380"/>
      <c r="AB427" s="380"/>
      <c r="AC427" s="404"/>
      <c r="AD427" s="380"/>
      <c r="AE427" s="380"/>
      <c r="AF427" s="380"/>
      <c r="AG427" s="380"/>
      <c r="AH427" s="380"/>
      <c r="AI427" s="380"/>
      <c r="AJ427" s="380"/>
      <c r="AK427" s="403"/>
      <c r="AL427" s="380"/>
      <c r="AM427" s="380"/>
      <c r="AN427" s="380"/>
      <c r="AO427" s="380"/>
      <c r="AP427" s="380"/>
      <c r="AQ427" s="404"/>
      <c r="AR427" s="380"/>
      <c r="AS427" s="380"/>
      <c r="AT427" s="380"/>
      <c r="AU427" s="380"/>
      <c r="AV427" s="380"/>
      <c r="AW427" s="380"/>
      <c r="AX427" s="380"/>
      <c r="AY427" s="403"/>
      <c r="AZ427" s="380"/>
      <c r="BA427" s="380"/>
      <c r="BB427" s="380"/>
      <c r="BC427" s="380"/>
      <c r="BD427" s="380"/>
      <c r="BE427" s="404"/>
      <c r="BF427" s="380"/>
      <c r="BG427" s="380"/>
      <c r="BH427" s="380"/>
      <c r="BI427" s="380"/>
      <c r="BJ427" s="380"/>
      <c r="BK427" s="380"/>
      <c r="BL427" s="380"/>
      <c r="BM427" s="403"/>
      <c r="BS427" s="83"/>
      <c r="CA427" s="405"/>
      <c r="CG427" s="83"/>
      <c r="CO427" s="405"/>
      <c r="CU427" s="83"/>
      <c r="DC427" s="405"/>
      <c r="DI427" s="83"/>
      <c r="DQ427" s="405"/>
      <c r="DW427" s="83"/>
      <c r="EE427" s="405"/>
      <c r="EK427" s="83"/>
      <c r="ES427" s="405"/>
      <c r="EY427" s="83"/>
      <c r="FG427" s="405"/>
      <c r="FM427" s="83"/>
      <c r="FU427" s="405"/>
      <c r="GA427" s="83"/>
      <c r="GI427" s="405"/>
      <c r="GO427" s="83"/>
      <c r="GW427" s="405"/>
      <c r="HC427" s="83"/>
      <c r="HK427" s="405"/>
      <c r="HQ427" s="83"/>
      <c r="HY427" s="405"/>
      <c r="IE427" s="83"/>
      <c r="IM427" s="405"/>
      <c r="IS427" s="83"/>
      <c r="JA427" s="405"/>
      <c r="JG427" s="83"/>
      <c r="JO427" s="405"/>
      <c r="JU427" s="83"/>
      <c r="KC427" s="405"/>
      <c r="KI427" s="83"/>
      <c r="KQ427" s="405"/>
      <c r="KW427" s="83"/>
      <c r="LE427" s="405"/>
      <c r="LK427" s="83"/>
      <c r="LS427" s="405"/>
      <c r="LY427" s="83"/>
      <c r="MG427" s="405"/>
      <c r="MM427" s="83"/>
      <c r="MU427" s="405"/>
      <c r="NA427" s="83"/>
    </row>
    <row r="428">
      <c r="A428" s="483"/>
      <c r="B428" s="380"/>
      <c r="C428" s="380"/>
      <c r="D428" s="380"/>
      <c r="E428" s="380"/>
      <c r="F428" s="380"/>
      <c r="G428" s="380"/>
      <c r="H428" s="380"/>
      <c r="I428" s="403"/>
      <c r="J428" s="380"/>
      <c r="K428" s="380"/>
      <c r="L428" s="380"/>
      <c r="M428" s="380"/>
      <c r="N428" s="380"/>
      <c r="O428" s="404"/>
      <c r="P428" s="380"/>
      <c r="Q428" s="380"/>
      <c r="R428" s="380"/>
      <c r="S428" s="380"/>
      <c r="T428" s="380"/>
      <c r="U428" s="380"/>
      <c r="V428" s="380"/>
      <c r="W428" s="403"/>
      <c r="X428" s="380"/>
      <c r="Y428" s="380"/>
      <c r="Z428" s="380"/>
      <c r="AA428" s="380"/>
      <c r="AB428" s="380"/>
      <c r="AC428" s="404"/>
      <c r="AD428" s="380"/>
      <c r="AE428" s="380"/>
      <c r="AF428" s="380"/>
      <c r="AG428" s="380"/>
      <c r="AH428" s="380"/>
      <c r="AI428" s="380"/>
      <c r="AJ428" s="380"/>
      <c r="AK428" s="403"/>
      <c r="AL428" s="380"/>
      <c r="AM428" s="380"/>
      <c r="AN428" s="380"/>
      <c r="AO428" s="380"/>
      <c r="AP428" s="380"/>
      <c r="AQ428" s="404"/>
      <c r="AR428" s="380"/>
      <c r="AS428" s="380"/>
      <c r="AT428" s="380"/>
      <c r="AU428" s="380"/>
      <c r="AV428" s="380"/>
      <c r="AW428" s="380"/>
      <c r="AX428" s="380"/>
      <c r="AY428" s="403"/>
      <c r="AZ428" s="380"/>
      <c r="BA428" s="380"/>
      <c r="BB428" s="380"/>
      <c r="BC428" s="380"/>
      <c r="BD428" s="380"/>
      <c r="BE428" s="404"/>
      <c r="BF428" s="380"/>
      <c r="BG428" s="380"/>
      <c r="BH428" s="380"/>
      <c r="BI428" s="380"/>
      <c r="BJ428" s="380"/>
      <c r="BK428" s="380"/>
      <c r="BL428" s="380"/>
      <c r="BM428" s="403"/>
      <c r="BS428" s="83"/>
      <c r="CA428" s="405"/>
      <c r="CG428" s="83"/>
      <c r="CO428" s="405"/>
      <c r="CU428" s="83"/>
      <c r="DC428" s="405"/>
      <c r="DI428" s="83"/>
      <c r="DQ428" s="405"/>
      <c r="DW428" s="83"/>
      <c r="EE428" s="405"/>
      <c r="EK428" s="83"/>
      <c r="ES428" s="405"/>
      <c r="EY428" s="83"/>
      <c r="FG428" s="405"/>
      <c r="FM428" s="83"/>
      <c r="FU428" s="405"/>
      <c r="GA428" s="83"/>
      <c r="GI428" s="405"/>
      <c r="GO428" s="83"/>
      <c r="GW428" s="405"/>
      <c r="HC428" s="83"/>
      <c r="HK428" s="405"/>
      <c r="HQ428" s="83"/>
      <c r="HY428" s="405"/>
      <c r="IE428" s="83"/>
      <c r="IM428" s="405"/>
      <c r="IS428" s="83"/>
      <c r="JA428" s="405"/>
      <c r="JG428" s="83"/>
      <c r="JO428" s="405"/>
      <c r="JU428" s="83"/>
      <c r="KC428" s="405"/>
      <c r="KI428" s="83"/>
      <c r="KQ428" s="405"/>
      <c r="KW428" s="83"/>
      <c r="LE428" s="405"/>
      <c r="LK428" s="83"/>
      <c r="LS428" s="405"/>
      <c r="LY428" s="83"/>
      <c r="MG428" s="405"/>
      <c r="MM428" s="83"/>
      <c r="MU428" s="405"/>
      <c r="NA428" s="83"/>
    </row>
    <row r="429">
      <c r="A429" s="483"/>
      <c r="B429" s="380"/>
      <c r="C429" s="380"/>
      <c r="D429" s="380"/>
      <c r="E429" s="380"/>
      <c r="F429" s="380"/>
      <c r="G429" s="380"/>
      <c r="H429" s="380"/>
      <c r="I429" s="403"/>
      <c r="J429" s="380"/>
      <c r="K429" s="380"/>
      <c r="L429" s="380"/>
      <c r="M429" s="380"/>
      <c r="N429" s="380"/>
      <c r="O429" s="404"/>
      <c r="P429" s="380"/>
      <c r="Q429" s="380"/>
      <c r="R429" s="380"/>
      <c r="S429" s="380"/>
      <c r="T429" s="380"/>
      <c r="U429" s="380"/>
      <c r="V429" s="380"/>
      <c r="W429" s="403"/>
      <c r="X429" s="380"/>
      <c r="Y429" s="380"/>
      <c r="Z429" s="380"/>
      <c r="AA429" s="380"/>
      <c r="AB429" s="380"/>
      <c r="AC429" s="404"/>
      <c r="AD429" s="380"/>
      <c r="AE429" s="380"/>
      <c r="AF429" s="380"/>
      <c r="AG429" s="380"/>
      <c r="AH429" s="380"/>
      <c r="AI429" s="380"/>
      <c r="AJ429" s="380"/>
      <c r="AK429" s="403"/>
      <c r="AL429" s="380"/>
      <c r="AM429" s="380"/>
      <c r="AN429" s="380"/>
      <c r="AO429" s="380"/>
      <c r="AP429" s="380"/>
      <c r="AQ429" s="404"/>
      <c r="AR429" s="380"/>
      <c r="AS429" s="380"/>
      <c r="AT429" s="380"/>
      <c r="AU429" s="380"/>
      <c r="AV429" s="380"/>
      <c r="AW429" s="380"/>
      <c r="AX429" s="380"/>
      <c r="AY429" s="403"/>
      <c r="AZ429" s="380"/>
      <c r="BA429" s="380"/>
      <c r="BB429" s="380"/>
      <c r="BC429" s="380"/>
      <c r="BD429" s="380"/>
      <c r="BE429" s="404"/>
      <c r="BF429" s="380"/>
      <c r="BG429" s="380"/>
      <c r="BH429" s="380"/>
      <c r="BI429" s="380"/>
      <c r="BJ429" s="380"/>
      <c r="BK429" s="380"/>
      <c r="BL429" s="380"/>
      <c r="BM429" s="403"/>
      <c r="BS429" s="83"/>
      <c r="CA429" s="405"/>
      <c r="CG429" s="83"/>
      <c r="CO429" s="405"/>
      <c r="CU429" s="83"/>
      <c r="DC429" s="405"/>
      <c r="DI429" s="83"/>
      <c r="DQ429" s="405"/>
      <c r="DW429" s="83"/>
      <c r="EE429" s="405"/>
      <c r="EK429" s="83"/>
      <c r="ES429" s="405"/>
      <c r="EY429" s="83"/>
      <c r="FG429" s="405"/>
      <c r="FM429" s="83"/>
      <c r="FU429" s="405"/>
      <c r="GA429" s="83"/>
      <c r="GI429" s="405"/>
      <c r="GO429" s="83"/>
      <c r="GW429" s="405"/>
      <c r="HC429" s="83"/>
      <c r="HK429" s="405"/>
      <c r="HQ429" s="83"/>
      <c r="HY429" s="405"/>
      <c r="IE429" s="83"/>
      <c r="IM429" s="405"/>
      <c r="IS429" s="83"/>
      <c r="JA429" s="405"/>
      <c r="JG429" s="83"/>
      <c r="JO429" s="405"/>
      <c r="JU429" s="83"/>
      <c r="KC429" s="405"/>
      <c r="KI429" s="83"/>
      <c r="KQ429" s="405"/>
      <c r="KW429" s="83"/>
      <c r="LE429" s="405"/>
      <c r="LK429" s="83"/>
      <c r="LS429" s="405"/>
      <c r="LY429" s="83"/>
      <c r="MG429" s="405"/>
      <c r="MM429" s="83"/>
      <c r="MU429" s="405"/>
      <c r="NA429" s="83"/>
    </row>
    <row r="430">
      <c r="A430" s="483"/>
      <c r="B430" s="380"/>
      <c r="C430" s="380"/>
      <c r="D430" s="380"/>
      <c r="E430" s="380"/>
      <c r="F430" s="380"/>
      <c r="G430" s="380"/>
      <c r="H430" s="380"/>
      <c r="I430" s="403"/>
      <c r="J430" s="380"/>
      <c r="K430" s="380"/>
      <c r="L430" s="380"/>
      <c r="M430" s="380"/>
      <c r="N430" s="380"/>
      <c r="O430" s="404"/>
      <c r="P430" s="380"/>
      <c r="Q430" s="380"/>
      <c r="R430" s="380"/>
      <c r="S430" s="380"/>
      <c r="T430" s="380"/>
      <c r="U430" s="380"/>
      <c r="V430" s="380"/>
      <c r="W430" s="403"/>
      <c r="X430" s="380"/>
      <c r="Y430" s="380"/>
      <c r="Z430" s="380"/>
      <c r="AA430" s="380"/>
      <c r="AB430" s="380"/>
      <c r="AC430" s="404"/>
      <c r="AD430" s="380"/>
      <c r="AE430" s="380"/>
      <c r="AF430" s="380"/>
      <c r="AG430" s="380"/>
      <c r="AH430" s="380"/>
      <c r="AI430" s="380"/>
      <c r="AJ430" s="380"/>
      <c r="AK430" s="403"/>
      <c r="AL430" s="380"/>
      <c r="AM430" s="380"/>
      <c r="AN430" s="380"/>
      <c r="AO430" s="380"/>
      <c r="AP430" s="380"/>
      <c r="AQ430" s="404"/>
      <c r="AR430" s="380"/>
      <c r="AS430" s="380"/>
      <c r="AT430" s="380"/>
      <c r="AU430" s="380"/>
      <c r="AV430" s="380"/>
      <c r="AW430" s="380"/>
      <c r="AX430" s="380"/>
      <c r="AY430" s="403"/>
      <c r="AZ430" s="380"/>
      <c r="BA430" s="380"/>
      <c r="BB430" s="380"/>
      <c r="BC430" s="380"/>
      <c r="BD430" s="380"/>
      <c r="BE430" s="404"/>
      <c r="BF430" s="380"/>
      <c r="BG430" s="380"/>
      <c r="BH430" s="380"/>
      <c r="BI430" s="380"/>
      <c r="BJ430" s="380"/>
      <c r="BK430" s="380"/>
      <c r="BL430" s="380"/>
      <c r="BM430" s="403"/>
      <c r="BS430" s="83"/>
      <c r="CA430" s="405"/>
      <c r="CG430" s="83"/>
      <c r="CO430" s="405"/>
      <c r="CU430" s="83"/>
      <c r="DC430" s="405"/>
      <c r="DI430" s="83"/>
      <c r="DQ430" s="405"/>
      <c r="DW430" s="83"/>
      <c r="EE430" s="405"/>
      <c r="EK430" s="83"/>
      <c r="ES430" s="405"/>
      <c r="EY430" s="83"/>
      <c r="FG430" s="405"/>
      <c r="FM430" s="83"/>
      <c r="FU430" s="405"/>
      <c r="GA430" s="83"/>
      <c r="GI430" s="405"/>
      <c r="GO430" s="83"/>
      <c r="GW430" s="405"/>
      <c r="HC430" s="83"/>
      <c r="HK430" s="405"/>
      <c r="HQ430" s="83"/>
      <c r="HY430" s="405"/>
      <c r="IE430" s="83"/>
      <c r="IM430" s="405"/>
      <c r="IS430" s="83"/>
      <c r="JA430" s="405"/>
      <c r="JG430" s="83"/>
      <c r="JO430" s="405"/>
      <c r="JU430" s="83"/>
      <c r="KC430" s="405"/>
      <c r="KI430" s="83"/>
      <c r="KQ430" s="405"/>
      <c r="KW430" s="83"/>
      <c r="LE430" s="405"/>
      <c r="LK430" s="83"/>
      <c r="LS430" s="405"/>
      <c r="LY430" s="83"/>
      <c r="MG430" s="405"/>
      <c r="MM430" s="83"/>
      <c r="MU430" s="405"/>
      <c r="NA430" s="83"/>
    </row>
    <row r="431">
      <c r="A431" s="483"/>
      <c r="B431" s="380"/>
      <c r="C431" s="380"/>
      <c r="D431" s="380"/>
      <c r="E431" s="380"/>
      <c r="F431" s="380"/>
      <c r="G431" s="380"/>
      <c r="H431" s="380"/>
      <c r="I431" s="403"/>
      <c r="J431" s="380"/>
      <c r="K431" s="380"/>
      <c r="L431" s="380"/>
      <c r="M431" s="380"/>
      <c r="N431" s="380"/>
      <c r="O431" s="404"/>
      <c r="P431" s="380"/>
      <c r="Q431" s="380"/>
      <c r="R431" s="380"/>
      <c r="S431" s="380"/>
      <c r="T431" s="380"/>
      <c r="U431" s="380"/>
      <c r="V431" s="380"/>
      <c r="W431" s="403"/>
      <c r="X431" s="380"/>
      <c r="Y431" s="380"/>
      <c r="Z431" s="380"/>
      <c r="AA431" s="380"/>
      <c r="AB431" s="380"/>
      <c r="AC431" s="404"/>
      <c r="AD431" s="380"/>
      <c r="AE431" s="380"/>
      <c r="AF431" s="380"/>
      <c r="AG431" s="380"/>
      <c r="AH431" s="380"/>
      <c r="AI431" s="380"/>
      <c r="AJ431" s="380"/>
      <c r="AK431" s="403"/>
      <c r="AL431" s="380"/>
      <c r="AM431" s="380"/>
      <c r="AN431" s="380"/>
      <c r="AO431" s="380"/>
      <c r="AP431" s="380"/>
      <c r="AQ431" s="404"/>
      <c r="AR431" s="380"/>
      <c r="AS431" s="380"/>
      <c r="AT431" s="380"/>
      <c r="AU431" s="380"/>
      <c r="AV431" s="380"/>
      <c r="AW431" s="380"/>
      <c r="AX431" s="380"/>
      <c r="AY431" s="403"/>
      <c r="AZ431" s="380"/>
      <c r="BA431" s="380"/>
      <c r="BB431" s="380"/>
      <c r="BC431" s="380"/>
      <c r="BD431" s="380"/>
      <c r="BE431" s="404"/>
      <c r="BF431" s="380"/>
      <c r="BG431" s="380"/>
      <c r="BH431" s="380"/>
      <c r="BI431" s="380"/>
      <c r="BJ431" s="380"/>
      <c r="BK431" s="380"/>
      <c r="BL431" s="380"/>
      <c r="BM431" s="403"/>
      <c r="BS431" s="83"/>
      <c r="CA431" s="405"/>
      <c r="CG431" s="83"/>
      <c r="CO431" s="405"/>
      <c r="CU431" s="83"/>
      <c r="DC431" s="405"/>
      <c r="DI431" s="83"/>
      <c r="DQ431" s="405"/>
      <c r="DW431" s="83"/>
      <c r="EE431" s="405"/>
      <c r="EK431" s="83"/>
      <c r="ES431" s="405"/>
      <c r="EY431" s="83"/>
      <c r="FG431" s="405"/>
      <c r="FM431" s="83"/>
      <c r="FU431" s="405"/>
      <c r="GA431" s="83"/>
      <c r="GI431" s="405"/>
      <c r="GO431" s="83"/>
      <c r="GW431" s="405"/>
      <c r="HC431" s="83"/>
      <c r="HK431" s="405"/>
      <c r="HQ431" s="83"/>
      <c r="HY431" s="405"/>
      <c r="IE431" s="83"/>
      <c r="IM431" s="405"/>
      <c r="IS431" s="83"/>
      <c r="JA431" s="405"/>
      <c r="JG431" s="83"/>
      <c r="JO431" s="405"/>
      <c r="JU431" s="83"/>
      <c r="KC431" s="405"/>
      <c r="KI431" s="83"/>
      <c r="KQ431" s="405"/>
      <c r="KW431" s="83"/>
      <c r="LE431" s="405"/>
      <c r="LK431" s="83"/>
      <c r="LS431" s="405"/>
      <c r="LY431" s="83"/>
      <c r="MG431" s="405"/>
      <c r="MM431" s="83"/>
      <c r="MU431" s="405"/>
      <c r="NA431" s="83"/>
    </row>
    <row r="432">
      <c r="A432" s="483"/>
      <c r="B432" s="380"/>
      <c r="C432" s="380"/>
      <c r="D432" s="380"/>
      <c r="E432" s="380"/>
      <c r="F432" s="380"/>
      <c r="G432" s="380"/>
      <c r="H432" s="380"/>
      <c r="I432" s="403"/>
      <c r="J432" s="380"/>
      <c r="K432" s="380"/>
      <c r="L432" s="380"/>
      <c r="M432" s="380"/>
      <c r="N432" s="380"/>
      <c r="O432" s="404"/>
      <c r="P432" s="380"/>
      <c r="Q432" s="380"/>
      <c r="R432" s="380"/>
      <c r="S432" s="380"/>
      <c r="T432" s="380"/>
      <c r="U432" s="380"/>
      <c r="V432" s="380"/>
      <c r="W432" s="403"/>
      <c r="X432" s="380"/>
      <c r="Y432" s="380"/>
      <c r="Z432" s="380"/>
      <c r="AA432" s="380"/>
      <c r="AB432" s="380"/>
      <c r="AC432" s="404"/>
      <c r="AD432" s="380"/>
      <c r="AE432" s="380"/>
      <c r="AF432" s="380"/>
      <c r="AG432" s="380"/>
      <c r="AH432" s="380"/>
      <c r="AI432" s="380"/>
      <c r="AJ432" s="380"/>
      <c r="AK432" s="403"/>
      <c r="AL432" s="380"/>
      <c r="AM432" s="380"/>
      <c r="AN432" s="380"/>
      <c r="AO432" s="380"/>
      <c r="AP432" s="380"/>
      <c r="AQ432" s="404"/>
      <c r="AR432" s="380"/>
      <c r="AS432" s="380"/>
      <c r="AT432" s="380"/>
      <c r="AU432" s="380"/>
      <c r="AV432" s="380"/>
      <c r="AW432" s="380"/>
      <c r="AX432" s="380"/>
      <c r="AY432" s="403"/>
      <c r="AZ432" s="380"/>
      <c r="BA432" s="380"/>
      <c r="BB432" s="380"/>
      <c r="BC432" s="380"/>
      <c r="BD432" s="380"/>
      <c r="BE432" s="404"/>
      <c r="BF432" s="380"/>
      <c r="BG432" s="380"/>
      <c r="BH432" s="380"/>
      <c r="BI432" s="380"/>
      <c r="BJ432" s="380"/>
      <c r="BK432" s="380"/>
      <c r="BL432" s="380"/>
      <c r="BM432" s="403"/>
      <c r="BS432" s="83"/>
      <c r="CA432" s="405"/>
      <c r="CG432" s="83"/>
      <c r="CO432" s="405"/>
      <c r="CU432" s="83"/>
      <c r="DC432" s="405"/>
      <c r="DI432" s="83"/>
      <c r="DQ432" s="405"/>
      <c r="DW432" s="83"/>
      <c r="EE432" s="405"/>
      <c r="EK432" s="83"/>
      <c r="ES432" s="405"/>
      <c r="EY432" s="83"/>
      <c r="FG432" s="405"/>
      <c r="FM432" s="83"/>
      <c r="FU432" s="405"/>
      <c r="GA432" s="83"/>
      <c r="GI432" s="405"/>
      <c r="GO432" s="83"/>
      <c r="GW432" s="405"/>
      <c r="HC432" s="83"/>
      <c r="HK432" s="405"/>
      <c r="HQ432" s="83"/>
      <c r="HY432" s="405"/>
      <c r="IE432" s="83"/>
      <c r="IM432" s="405"/>
      <c r="IS432" s="83"/>
      <c r="JA432" s="405"/>
      <c r="JG432" s="83"/>
      <c r="JO432" s="405"/>
      <c r="JU432" s="83"/>
      <c r="KC432" s="405"/>
      <c r="KI432" s="83"/>
      <c r="KQ432" s="405"/>
      <c r="KW432" s="83"/>
      <c r="LE432" s="405"/>
      <c r="LK432" s="83"/>
      <c r="LS432" s="405"/>
      <c r="LY432" s="83"/>
      <c r="MG432" s="405"/>
      <c r="MM432" s="83"/>
      <c r="MU432" s="405"/>
      <c r="NA432" s="83"/>
    </row>
    <row r="433">
      <c r="A433" s="483"/>
      <c r="B433" s="380"/>
      <c r="C433" s="380"/>
      <c r="D433" s="380"/>
      <c r="E433" s="380"/>
      <c r="F433" s="380"/>
      <c r="G433" s="380"/>
      <c r="H433" s="380"/>
      <c r="I433" s="403"/>
      <c r="J433" s="380"/>
      <c r="K433" s="380"/>
      <c r="L433" s="380"/>
      <c r="M433" s="380"/>
      <c r="N433" s="380"/>
      <c r="O433" s="404"/>
      <c r="P433" s="380"/>
      <c r="Q433" s="380"/>
      <c r="R433" s="380"/>
      <c r="S433" s="380"/>
      <c r="T433" s="380"/>
      <c r="U433" s="380"/>
      <c r="V433" s="380"/>
      <c r="W433" s="403"/>
      <c r="X433" s="380"/>
      <c r="Y433" s="380"/>
      <c r="Z433" s="380"/>
      <c r="AA433" s="380"/>
      <c r="AB433" s="380"/>
      <c r="AC433" s="404"/>
      <c r="AD433" s="380"/>
      <c r="AE433" s="380"/>
      <c r="AF433" s="380"/>
      <c r="AG433" s="380"/>
      <c r="AH433" s="380"/>
      <c r="AI433" s="380"/>
      <c r="AJ433" s="380"/>
      <c r="AK433" s="403"/>
      <c r="AL433" s="380"/>
      <c r="AM433" s="380"/>
      <c r="AN433" s="380"/>
      <c r="AO433" s="380"/>
      <c r="AP433" s="380"/>
      <c r="AQ433" s="404"/>
      <c r="AR433" s="380"/>
      <c r="AS433" s="380"/>
      <c r="AT433" s="380"/>
      <c r="AU433" s="380"/>
      <c r="AV433" s="380"/>
      <c r="AW433" s="380"/>
      <c r="AX433" s="380"/>
      <c r="AY433" s="403"/>
      <c r="AZ433" s="380"/>
      <c r="BA433" s="380"/>
      <c r="BB433" s="380"/>
      <c r="BC433" s="380"/>
      <c r="BD433" s="380"/>
      <c r="BE433" s="404"/>
      <c r="BF433" s="380"/>
      <c r="BG433" s="380"/>
      <c r="BH433" s="380"/>
      <c r="BI433" s="380"/>
      <c r="BJ433" s="380"/>
      <c r="BK433" s="380"/>
      <c r="BL433" s="380"/>
      <c r="BM433" s="403"/>
      <c r="BS433" s="83"/>
      <c r="CA433" s="405"/>
      <c r="CG433" s="83"/>
      <c r="CO433" s="405"/>
      <c r="CU433" s="83"/>
      <c r="DC433" s="405"/>
      <c r="DI433" s="83"/>
      <c r="DQ433" s="405"/>
      <c r="DW433" s="83"/>
      <c r="EE433" s="405"/>
      <c r="EK433" s="83"/>
      <c r="ES433" s="405"/>
      <c r="EY433" s="83"/>
      <c r="FG433" s="405"/>
      <c r="FM433" s="83"/>
      <c r="FU433" s="405"/>
      <c r="GA433" s="83"/>
      <c r="GI433" s="405"/>
      <c r="GO433" s="83"/>
      <c r="GW433" s="405"/>
      <c r="HC433" s="83"/>
      <c r="HK433" s="405"/>
      <c r="HQ433" s="83"/>
      <c r="HY433" s="405"/>
      <c r="IE433" s="83"/>
      <c r="IM433" s="405"/>
      <c r="IS433" s="83"/>
      <c r="JA433" s="405"/>
      <c r="JG433" s="83"/>
      <c r="JO433" s="405"/>
      <c r="JU433" s="83"/>
      <c r="KC433" s="405"/>
      <c r="KI433" s="83"/>
      <c r="KQ433" s="405"/>
      <c r="KW433" s="83"/>
      <c r="LE433" s="405"/>
      <c r="LK433" s="83"/>
      <c r="LS433" s="405"/>
      <c r="LY433" s="83"/>
      <c r="MG433" s="405"/>
      <c r="MM433" s="83"/>
      <c r="MU433" s="405"/>
      <c r="NA433" s="83"/>
    </row>
    <row r="434">
      <c r="A434" s="483"/>
      <c r="B434" s="380"/>
      <c r="C434" s="380"/>
      <c r="D434" s="380"/>
      <c r="E434" s="380"/>
      <c r="F434" s="380"/>
      <c r="G434" s="380"/>
      <c r="H434" s="380"/>
      <c r="I434" s="403"/>
      <c r="J434" s="380"/>
      <c r="K434" s="380"/>
      <c r="L434" s="380"/>
      <c r="M434" s="380"/>
      <c r="N434" s="380"/>
      <c r="O434" s="404"/>
      <c r="P434" s="380"/>
      <c r="Q434" s="380"/>
      <c r="R434" s="380"/>
      <c r="S434" s="380"/>
      <c r="T434" s="380"/>
      <c r="U434" s="380"/>
      <c r="V434" s="380"/>
      <c r="W434" s="403"/>
      <c r="X434" s="380"/>
      <c r="Y434" s="380"/>
      <c r="Z434" s="380"/>
      <c r="AA434" s="380"/>
      <c r="AB434" s="380"/>
      <c r="AC434" s="404"/>
      <c r="AD434" s="380"/>
      <c r="AE434" s="380"/>
      <c r="AF434" s="380"/>
      <c r="AG434" s="380"/>
      <c r="AH434" s="380"/>
      <c r="AI434" s="380"/>
      <c r="AJ434" s="380"/>
      <c r="AK434" s="403"/>
      <c r="AL434" s="380"/>
      <c r="AM434" s="380"/>
      <c r="AN434" s="380"/>
      <c r="AO434" s="380"/>
      <c r="AP434" s="380"/>
      <c r="AQ434" s="404"/>
      <c r="AR434" s="380"/>
      <c r="AS434" s="380"/>
      <c r="AT434" s="380"/>
      <c r="AU434" s="380"/>
      <c r="AV434" s="380"/>
      <c r="AW434" s="380"/>
      <c r="AX434" s="380"/>
      <c r="AY434" s="403"/>
      <c r="AZ434" s="380"/>
      <c r="BA434" s="380"/>
      <c r="BB434" s="380"/>
      <c r="BC434" s="380"/>
      <c r="BD434" s="380"/>
      <c r="BE434" s="404"/>
      <c r="BF434" s="380"/>
      <c r="BG434" s="380"/>
      <c r="BH434" s="380"/>
      <c r="BI434" s="380"/>
      <c r="BJ434" s="380"/>
      <c r="BK434" s="380"/>
      <c r="BL434" s="380"/>
      <c r="BM434" s="403"/>
      <c r="BS434" s="83"/>
      <c r="CA434" s="405"/>
      <c r="CG434" s="83"/>
      <c r="CO434" s="405"/>
      <c r="CU434" s="83"/>
      <c r="DC434" s="405"/>
      <c r="DI434" s="83"/>
      <c r="DQ434" s="405"/>
      <c r="DW434" s="83"/>
      <c r="EE434" s="405"/>
      <c r="EK434" s="83"/>
      <c r="ES434" s="405"/>
      <c r="EY434" s="83"/>
      <c r="FG434" s="405"/>
      <c r="FM434" s="83"/>
      <c r="FU434" s="405"/>
      <c r="GA434" s="83"/>
      <c r="GI434" s="405"/>
      <c r="GO434" s="83"/>
      <c r="GW434" s="405"/>
      <c r="HC434" s="83"/>
      <c r="HK434" s="405"/>
      <c r="HQ434" s="83"/>
      <c r="HY434" s="405"/>
      <c r="IE434" s="83"/>
      <c r="IM434" s="405"/>
      <c r="IS434" s="83"/>
      <c r="JA434" s="405"/>
      <c r="JG434" s="83"/>
      <c r="JO434" s="405"/>
      <c r="JU434" s="83"/>
      <c r="KC434" s="405"/>
      <c r="KI434" s="83"/>
      <c r="KQ434" s="405"/>
      <c r="KW434" s="83"/>
      <c r="LE434" s="405"/>
      <c r="LK434" s="83"/>
      <c r="LS434" s="405"/>
      <c r="LY434" s="83"/>
      <c r="MG434" s="405"/>
      <c r="MM434" s="83"/>
      <c r="MU434" s="405"/>
      <c r="NA434" s="83"/>
    </row>
    <row r="435">
      <c r="A435" s="483"/>
      <c r="B435" s="380"/>
      <c r="C435" s="380"/>
      <c r="D435" s="380"/>
      <c r="E435" s="380"/>
      <c r="F435" s="380"/>
      <c r="G435" s="380"/>
      <c r="H435" s="380"/>
      <c r="I435" s="403"/>
      <c r="J435" s="380"/>
      <c r="K435" s="380"/>
      <c r="L435" s="380"/>
      <c r="M435" s="380"/>
      <c r="N435" s="380"/>
      <c r="O435" s="404"/>
      <c r="P435" s="380"/>
      <c r="Q435" s="380"/>
      <c r="R435" s="380"/>
      <c r="S435" s="380"/>
      <c r="T435" s="380"/>
      <c r="U435" s="380"/>
      <c r="V435" s="380"/>
      <c r="W435" s="403"/>
      <c r="X435" s="380"/>
      <c r="Y435" s="380"/>
      <c r="Z435" s="380"/>
      <c r="AA435" s="380"/>
      <c r="AB435" s="380"/>
      <c r="AC435" s="404"/>
      <c r="AD435" s="380"/>
      <c r="AE435" s="380"/>
      <c r="AF435" s="380"/>
      <c r="AG435" s="380"/>
      <c r="AH435" s="380"/>
      <c r="AI435" s="380"/>
      <c r="AJ435" s="380"/>
      <c r="AK435" s="403"/>
      <c r="AL435" s="380"/>
      <c r="AM435" s="380"/>
      <c r="AN435" s="380"/>
      <c r="AO435" s="380"/>
      <c r="AP435" s="380"/>
      <c r="AQ435" s="404"/>
      <c r="AR435" s="380"/>
      <c r="AS435" s="380"/>
      <c r="AT435" s="380"/>
      <c r="AU435" s="380"/>
      <c r="AV435" s="380"/>
      <c r="AW435" s="380"/>
      <c r="AX435" s="380"/>
      <c r="AY435" s="403"/>
      <c r="AZ435" s="380"/>
      <c r="BA435" s="380"/>
      <c r="BB435" s="380"/>
      <c r="BC435" s="380"/>
      <c r="BD435" s="380"/>
      <c r="BE435" s="404"/>
      <c r="BF435" s="380"/>
      <c r="BG435" s="380"/>
      <c r="BH435" s="380"/>
      <c r="BI435" s="380"/>
      <c r="BJ435" s="380"/>
      <c r="BK435" s="380"/>
      <c r="BL435" s="380"/>
      <c r="BM435" s="403"/>
      <c r="BS435" s="83"/>
      <c r="CA435" s="405"/>
      <c r="CG435" s="83"/>
      <c r="CO435" s="405"/>
      <c r="CU435" s="83"/>
      <c r="DC435" s="405"/>
      <c r="DI435" s="83"/>
      <c r="DQ435" s="405"/>
      <c r="DW435" s="83"/>
      <c r="EE435" s="405"/>
      <c r="EK435" s="83"/>
      <c r="ES435" s="405"/>
      <c r="EY435" s="83"/>
      <c r="FG435" s="405"/>
      <c r="FM435" s="83"/>
      <c r="FU435" s="405"/>
      <c r="GA435" s="83"/>
      <c r="GI435" s="405"/>
      <c r="GO435" s="83"/>
      <c r="GW435" s="405"/>
      <c r="HC435" s="83"/>
      <c r="HK435" s="405"/>
      <c r="HQ435" s="83"/>
      <c r="HY435" s="405"/>
      <c r="IE435" s="83"/>
      <c r="IM435" s="405"/>
      <c r="IS435" s="83"/>
      <c r="JA435" s="405"/>
      <c r="JG435" s="83"/>
      <c r="JO435" s="405"/>
      <c r="JU435" s="83"/>
      <c r="KC435" s="405"/>
      <c r="KI435" s="83"/>
      <c r="KQ435" s="405"/>
      <c r="KW435" s="83"/>
      <c r="LE435" s="405"/>
      <c r="LK435" s="83"/>
      <c r="LS435" s="405"/>
      <c r="LY435" s="83"/>
      <c r="MG435" s="405"/>
      <c r="MM435" s="83"/>
      <c r="MU435" s="405"/>
      <c r="NA435" s="83"/>
    </row>
    <row r="436">
      <c r="A436" s="483"/>
      <c r="B436" s="380"/>
      <c r="C436" s="380"/>
      <c r="D436" s="380"/>
      <c r="E436" s="380"/>
      <c r="F436" s="380"/>
      <c r="G436" s="380"/>
      <c r="H436" s="380"/>
      <c r="I436" s="403"/>
      <c r="J436" s="380"/>
      <c r="K436" s="380"/>
      <c r="L436" s="380"/>
      <c r="M436" s="380"/>
      <c r="N436" s="380"/>
      <c r="O436" s="404"/>
      <c r="P436" s="380"/>
      <c r="Q436" s="380"/>
      <c r="R436" s="380"/>
      <c r="S436" s="380"/>
      <c r="T436" s="380"/>
      <c r="U436" s="380"/>
      <c r="V436" s="380"/>
      <c r="W436" s="403"/>
      <c r="X436" s="380"/>
      <c r="Y436" s="380"/>
      <c r="Z436" s="380"/>
      <c r="AA436" s="380"/>
      <c r="AB436" s="380"/>
      <c r="AC436" s="404"/>
      <c r="AD436" s="380"/>
      <c r="AE436" s="380"/>
      <c r="AF436" s="380"/>
      <c r="AG436" s="380"/>
      <c r="AH436" s="380"/>
      <c r="AI436" s="380"/>
      <c r="AJ436" s="380"/>
      <c r="AK436" s="403"/>
      <c r="AL436" s="380"/>
      <c r="AM436" s="380"/>
      <c r="AN436" s="380"/>
      <c r="AO436" s="380"/>
      <c r="AP436" s="380"/>
      <c r="AQ436" s="404"/>
      <c r="AR436" s="380"/>
      <c r="AS436" s="380"/>
      <c r="AT436" s="380"/>
      <c r="AU436" s="380"/>
      <c r="AV436" s="380"/>
      <c r="AW436" s="380"/>
      <c r="AX436" s="380"/>
      <c r="AY436" s="403"/>
      <c r="AZ436" s="380"/>
      <c r="BA436" s="380"/>
      <c r="BB436" s="380"/>
      <c r="BC436" s="380"/>
      <c r="BD436" s="380"/>
      <c r="BE436" s="404"/>
      <c r="BF436" s="380"/>
      <c r="BG436" s="380"/>
      <c r="BH436" s="380"/>
      <c r="BI436" s="380"/>
      <c r="BJ436" s="380"/>
      <c r="BK436" s="380"/>
      <c r="BL436" s="380"/>
      <c r="BM436" s="403"/>
      <c r="BS436" s="83"/>
      <c r="CA436" s="405"/>
      <c r="CG436" s="83"/>
      <c r="CO436" s="405"/>
      <c r="CU436" s="83"/>
      <c r="DC436" s="405"/>
      <c r="DI436" s="83"/>
      <c r="DQ436" s="405"/>
      <c r="DW436" s="83"/>
      <c r="EE436" s="405"/>
      <c r="EK436" s="83"/>
      <c r="ES436" s="405"/>
      <c r="EY436" s="83"/>
      <c r="FG436" s="405"/>
      <c r="FM436" s="83"/>
      <c r="FU436" s="405"/>
      <c r="GA436" s="83"/>
      <c r="GI436" s="405"/>
      <c r="GO436" s="83"/>
      <c r="GW436" s="405"/>
      <c r="HC436" s="83"/>
      <c r="HK436" s="405"/>
      <c r="HQ436" s="83"/>
      <c r="HY436" s="405"/>
      <c r="IE436" s="83"/>
      <c r="IM436" s="405"/>
      <c r="IS436" s="83"/>
      <c r="JA436" s="405"/>
      <c r="JG436" s="83"/>
      <c r="JO436" s="405"/>
      <c r="JU436" s="83"/>
      <c r="KC436" s="405"/>
      <c r="KI436" s="83"/>
      <c r="KQ436" s="405"/>
      <c r="KW436" s="83"/>
      <c r="LE436" s="405"/>
      <c r="LK436" s="83"/>
      <c r="LS436" s="405"/>
      <c r="LY436" s="83"/>
      <c r="MG436" s="405"/>
      <c r="MM436" s="83"/>
      <c r="MU436" s="405"/>
      <c r="NA436" s="83"/>
    </row>
    <row r="437">
      <c r="A437" s="483"/>
      <c r="B437" s="380"/>
      <c r="C437" s="380"/>
      <c r="D437" s="380"/>
      <c r="E437" s="380"/>
      <c r="F437" s="380"/>
      <c r="G437" s="380"/>
      <c r="H437" s="380"/>
      <c r="I437" s="403"/>
      <c r="J437" s="380"/>
      <c r="K437" s="380"/>
      <c r="L437" s="380"/>
      <c r="M437" s="380"/>
      <c r="N437" s="380"/>
      <c r="O437" s="404"/>
      <c r="P437" s="380"/>
      <c r="Q437" s="380"/>
      <c r="R437" s="380"/>
      <c r="S437" s="380"/>
      <c r="T437" s="380"/>
      <c r="U437" s="380"/>
      <c r="V437" s="380"/>
      <c r="W437" s="403"/>
      <c r="X437" s="380"/>
      <c r="Y437" s="380"/>
      <c r="Z437" s="380"/>
      <c r="AA437" s="380"/>
      <c r="AB437" s="380"/>
      <c r="AC437" s="404"/>
      <c r="AD437" s="380"/>
      <c r="AE437" s="380"/>
      <c r="AF437" s="380"/>
      <c r="AG437" s="380"/>
      <c r="AH437" s="380"/>
      <c r="AI437" s="380"/>
      <c r="AJ437" s="380"/>
      <c r="AK437" s="403"/>
      <c r="AL437" s="380"/>
      <c r="AM437" s="380"/>
      <c r="AN437" s="380"/>
      <c r="AO437" s="380"/>
      <c r="AP437" s="380"/>
      <c r="AQ437" s="404"/>
      <c r="AR437" s="380"/>
      <c r="AS437" s="380"/>
      <c r="AT437" s="380"/>
      <c r="AU437" s="380"/>
      <c r="AV437" s="380"/>
      <c r="AW437" s="380"/>
      <c r="AX437" s="380"/>
      <c r="AY437" s="403"/>
      <c r="AZ437" s="380"/>
      <c r="BA437" s="380"/>
      <c r="BB437" s="380"/>
      <c r="BC437" s="380"/>
      <c r="BD437" s="380"/>
      <c r="BE437" s="404"/>
      <c r="BF437" s="380"/>
      <c r="BG437" s="380"/>
      <c r="BH437" s="380"/>
      <c r="BI437" s="380"/>
      <c r="BJ437" s="380"/>
      <c r="BK437" s="380"/>
      <c r="BL437" s="380"/>
      <c r="BM437" s="403"/>
      <c r="BS437" s="83"/>
      <c r="CA437" s="405"/>
      <c r="CG437" s="83"/>
      <c r="CO437" s="405"/>
      <c r="CU437" s="83"/>
      <c r="DC437" s="405"/>
      <c r="DI437" s="83"/>
      <c r="DQ437" s="405"/>
      <c r="DW437" s="83"/>
      <c r="EE437" s="405"/>
      <c r="EK437" s="83"/>
      <c r="ES437" s="405"/>
      <c r="EY437" s="83"/>
      <c r="FG437" s="405"/>
      <c r="FM437" s="83"/>
      <c r="FU437" s="405"/>
      <c r="GA437" s="83"/>
      <c r="GI437" s="405"/>
      <c r="GO437" s="83"/>
      <c r="GW437" s="405"/>
      <c r="HC437" s="83"/>
      <c r="HK437" s="405"/>
      <c r="HQ437" s="83"/>
      <c r="HY437" s="405"/>
      <c r="IE437" s="83"/>
      <c r="IM437" s="405"/>
      <c r="IS437" s="83"/>
      <c r="JA437" s="405"/>
      <c r="JG437" s="83"/>
      <c r="JO437" s="405"/>
      <c r="JU437" s="83"/>
      <c r="KC437" s="405"/>
      <c r="KI437" s="83"/>
      <c r="KQ437" s="405"/>
      <c r="KW437" s="83"/>
      <c r="LE437" s="405"/>
      <c r="LK437" s="83"/>
      <c r="LS437" s="405"/>
      <c r="LY437" s="83"/>
      <c r="MG437" s="405"/>
      <c r="MM437" s="83"/>
      <c r="MU437" s="405"/>
      <c r="NA437" s="83"/>
    </row>
    <row r="438">
      <c r="A438" s="483"/>
      <c r="B438" s="380"/>
      <c r="C438" s="380"/>
      <c r="D438" s="380"/>
      <c r="E438" s="380"/>
      <c r="F438" s="380"/>
      <c r="G438" s="380"/>
      <c r="H438" s="380"/>
      <c r="I438" s="403"/>
      <c r="J438" s="380"/>
      <c r="K438" s="380"/>
      <c r="L438" s="380"/>
      <c r="M438" s="380"/>
      <c r="N438" s="380"/>
      <c r="O438" s="404"/>
      <c r="P438" s="380"/>
      <c r="Q438" s="380"/>
      <c r="R438" s="380"/>
      <c r="S438" s="380"/>
      <c r="T438" s="380"/>
      <c r="U438" s="380"/>
      <c r="V438" s="380"/>
      <c r="W438" s="403"/>
      <c r="X438" s="380"/>
      <c r="Y438" s="380"/>
      <c r="Z438" s="380"/>
      <c r="AA438" s="380"/>
      <c r="AB438" s="380"/>
      <c r="AC438" s="404"/>
      <c r="AD438" s="380"/>
      <c r="AE438" s="380"/>
      <c r="AF438" s="380"/>
      <c r="AG438" s="380"/>
      <c r="AH438" s="380"/>
      <c r="AI438" s="380"/>
      <c r="AJ438" s="380"/>
      <c r="AK438" s="403"/>
      <c r="AL438" s="380"/>
      <c r="AM438" s="380"/>
      <c r="AN438" s="380"/>
      <c r="AO438" s="380"/>
      <c r="AP438" s="380"/>
      <c r="AQ438" s="404"/>
      <c r="AR438" s="380"/>
      <c r="AS438" s="380"/>
      <c r="AT438" s="380"/>
      <c r="AU438" s="380"/>
      <c r="AV438" s="380"/>
      <c r="AW438" s="380"/>
      <c r="AX438" s="380"/>
      <c r="AY438" s="403"/>
      <c r="AZ438" s="380"/>
      <c r="BA4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405"/>
      <c r="DW438" s="83"/>
      <c r="EE438" s="405"/>
      <c r="EK438" s="83"/>
      <c r="ES438" s="405"/>
      <c r="EY438" s="83"/>
      <c r="FG438" s="405"/>
      <c r="FM438" s="83"/>
      <c r="FU438" s="405"/>
      <c r="GA438" s="83"/>
      <c r="GI438" s="405"/>
      <c r="GO438" s="83"/>
      <c r="GW438" s="405"/>
      <c r="HC438" s="83"/>
      <c r="HK438" s="405"/>
      <c r="HQ438" s="83"/>
      <c r="HY438" s="405"/>
      <c r="IE438" s="83"/>
      <c r="IM438" s="405"/>
      <c r="IS438" s="83"/>
      <c r="JA438" s="405"/>
      <c r="JG438" s="83"/>
      <c r="JO438" s="405"/>
      <c r="JU438" s="83"/>
      <c r="KC438" s="405"/>
      <c r="KI438" s="83"/>
      <c r="KQ438" s="405"/>
      <c r="KW438" s="83"/>
      <c r="LE438" s="405"/>
      <c r="LK438" s="83"/>
      <c r="LS438" s="405"/>
      <c r="LY438" s="83"/>
      <c r="MG438" s="405"/>
      <c r="MM438" s="83"/>
      <c r="MU438" s="405"/>
      <c r="NA438" s="83"/>
    </row>
    <row r="439">
      <c r="A439" s="483"/>
      <c r="B439" s="380"/>
      <c r="C439" s="380"/>
      <c r="D439" s="380"/>
      <c r="E439" s="380"/>
      <c r="F439" s="380"/>
      <c r="G439" s="380"/>
      <c r="H439" s="380"/>
      <c r="I439" s="403"/>
      <c r="J439" s="380"/>
      <c r="K439" s="380"/>
      <c r="L439" s="380"/>
      <c r="M439" s="380"/>
      <c r="N439" s="380"/>
      <c r="O439" s="404"/>
      <c r="P439" s="380"/>
      <c r="Q439" s="380"/>
      <c r="R439" s="380"/>
      <c r="S439" s="380"/>
      <c r="T439" s="380"/>
      <c r="U439" s="380"/>
      <c r="V439" s="380"/>
      <c r="W439" s="403"/>
      <c r="X439" s="380"/>
      <c r="Y439" s="380"/>
      <c r="Z439" s="380"/>
      <c r="AA439" s="380"/>
      <c r="AB439" s="380"/>
      <c r="AC439" s="404"/>
      <c r="AD439" s="380"/>
      <c r="AE439" s="380"/>
      <c r="AF439" s="380"/>
      <c r="AG439" s="380"/>
      <c r="AH439" s="380"/>
      <c r="AI439" s="380"/>
      <c r="AJ439" s="380"/>
      <c r="AK439" s="403"/>
      <c r="AL439" s="380"/>
      <c r="AM439" s="380"/>
      <c r="AN439" s="380"/>
      <c r="AO439" s="380"/>
      <c r="AP439" s="380"/>
      <c r="AQ439" s="404"/>
      <c r="AR439" s="380"/>
      <c r="AS439" s="380"/>
      <c r="AT439" s="380"/>
      <c r="AU439" s="380"/>
      <c r="AV439" s="380"/>
      <c r="AW439" s="380"/>
      <c r="AX439" s="380"/>
      <c r="AY439" s="403"/>
      <c r="AZ439" s="380"/>
      <c r="BA439" s="380"/>
      <c r="BB439" s="380"/>
      <c r="BC439" s="380"/>
      <c r="BD439" s="380"/>
      <c r="BE439" s="404"/>
      <c r="BF439" s="380"/>
      <c r="BG439" s="380"/>
      <c r="BH439" s="380"/>
      <c r="BI439" s="380"/>
      <c r="BJ439" s="380"/>
      <c r="BK439" s="380"/>
      <c r="BL439" s="380"/>
      <c r="BM439" s="403"/>
      <c r="BS439" s="83"/>
      <c r="CA439" s="405"/>
      <c r="CG439" s="83"/>
      <c r="CO439" s="405"/>
      <c r="CU439" s="83"/>
      <c r="DC439" s="405"/>
      <c r="DI439" s="83"/>
      <c r="DQ439" s="405"/>
      <c r="DW439" s="83"/>
      <c r="EE439" s="405"/>
      <c r="EK439" s="83"/>
      <c r="ES439" s="405"/>
      <c r="EY439" s="83"/>
      <c r="FG439" s="405"/>
      <c r="FM439" s="83"/>
      <c r="FU439" s="405"/>
      <c r="GA439" s="83"/>
      <c r="GI439" s="405"/>
      <c r="GO439" s="83"/>
      <c r="GW439" s="405"/>
      <c r="HC439" s="83"/>
      <c r="HK439" s="405"/>
      <c r="HQ439" s="83"/>
      <c r="HY439" s="405"/>
      <c r="IE439" s="83"/>
      <c r="IM439" s="405"/>
      <c r="IS439" s="83"/>
      <c r="JA439" s="405"/>
      <c r="JG439" s="83"/>
      <c r="JO439" s="405"/>
      <c r="JU439" s="83"/>
      <c r="KC439" s="405"/>
      <c r="KI439" s="83"/>
      <c r="KQ439" s="405"/>
      <c r="KW439" s="83"/>
      <c r="LE439" s="405"/>
      <c r="LK439" s="83"/>
      <c r="LS439" s="405"/>
      <c r="LY439" s="83"/>
      <c r="MG439" s="405"/>
      <c r="MM439" s="83"/>
      <c r="MU439" s="405"/>
      <c r="NA439" s="83"/>
    </row>
    <row r="440">
      <c r="A440" s="483"/>
      <c r="B440" s="380"/>
      <c r="C440" s="380"/>
      <c r="D440" s="380"/>
      <c r="E440" s="380"/>
      <c r="F440" s="380"/>
      <c r="G440" s="380"/>
      <c r="H440" s="380"/>
      <c r="I440" s="403"/>
      <c r="J440" s="380"/>
      <c r="K440" s="380"/>
      <c r="L440" s="380"/>
      <c r="M440" s="380"/>
      <c r="N440" s="380"/>
      <c r="O440" s="404"/>
      <c r="P440" s="380"/>
      <c r="Q440" s="380"/>
      <c r="R440" s="380"/>
      <c r="S440" s="380"/>
      <c r="T440" s="380"/>
      <c r="U440" s="380"/>
      <c r="V440" s="380"/>
      <c r="W440" s="403"/>
      <c r="X440" s="380"/>
      <c r="Y440" s="380"/>
      <c r="Z440" s="380"/>
      <c r="AA440" s="380"/>
      <c r="AB440" s="380"/>
      <c r="AC440" s="404"/>
      <c r="AD440" s="380"/>
      <c r="AE440" s="380"/>
      <c r="AF440" s="380"/>
      <c r="AG440" s="380"/>
      <c r="AH440" s="380"/>
      <c r="AI440" s="380"/>
      <c r="AJ440" s="380"/>
      <c r="AK440" s="403"/>
      <c r="AL440" s="380"/>
      <c r="AM440" s="380"/>
      <c r="AN440" s="380"/>
      <c r="AO440" s="380"/>
      <c r="AP440" s="380"/>
      <c r="AQ440" s="404"/>
      <c r="AR440" s="380"/>
      <c r="AS440" s="380"/>
      <c r="AT440" s="380"/>
      <c r="AU440" s="380"/>
      <c r="AV440" s="380"/>
      <c r="AW440" s="380"/>
      <c r="AX440" s="380"/>
      <c r="AY440" s="403"/>
      <c r="AZ440" s="380"/>
      <c r="BA440" s="380"/>
      <c r="BB440" s="380"/>
      <c r="BC440" s="380"/>
      <c r="BD440" s="380"/>
      <c r="BE440" s="404"/>
      <c r="BF440" s="380"/>
      <c r="BG440" s="380"/>
      <c r="BH440" s="380"/>
      <c r="BI440" s="380"/>
      <c r="BJ440" s="380"/>
      <c r="BK440" s="380"/>
      <c r="BL440" s="380"/>
      <c r="BM440" s="403"/>
      <c r="BS440" s="83"/>
      <c r="CA440" s="405"/>
      <c r="CG440" s="83"/>
      <c r="CO440" s="405"/>
      <c r="CU440" s="83"/>
      <c r="DC440" s="405"/>
      <c r="DI440" s="83"/>
      <c r="DQ440" s="405"/>
      <c r="DW440" s="83"/>
      <c r="EE440" s="405"/>
      <c r="EK440" s="83"/>
      <c r="ES440" s="405"/>
      <c r="EY440" s="83"/>
      <c r="FG440" s="405"/>
      <c r="FM440" s="83"/>
      <c r="FU440" s="405"/>
      <c r="GA440" s="83"/>
      <c r="GI440" s="405"/>
      <c r="GO440" s="83"/>
      <c r="GW440" s="405"/>
      <c r="HC440" s="83"/>
      <c r="HK440" s="405"/>
      <c r="HQ440" s="83"/>
      <c r="HY440" s="405"/>
      <c r="IE440" s="83"/>
      <c r="IM440" s="405"/>
      <c r="IS440" s="83"/>
      <c r="JA440" s="405"/>
      <c r="JG440" s="83"/>
      <c r="JO440" s="405"/>
      <c r="JU440" s="83"/>
      <c r="KC440" s="405"/>
      <c r="KI440" s="83"/>
      <c r="KQ440" s="405"/>
      <c r="KW440" s="83"/>
      <c r="LE440" s="405"/>
      <c r="LK440" s="83"/>
      <c r="LS440" s="405"/>
      <c r="LY440" s="83"/>
      <c r="MG440" s="405"/>
      <c r="MM440" s="83"/>
      <c r="MU440" s="405"/>
      <c r="NA440" s="83"/>
    </row>
    <row r="441">
      <c r="A441" s="483"/>
      <c r="B441" s="380"/>
      <c r="C441" s="380"/>
      <c r="D441" s="380"/>
      <c r="E441" s="380"/>
      <c r="F441" s="380"/>
      <c r="G441" s="380"/>
      <c r="H441" s="380"/>
      <c r="I441" s="403"/>
      <c r="J441" s="380"/>
      <c r="K441" s="380"/>
      <c r="L441" s="380"/>
      <c r="M441" s="380"/>
      <c r="N441" s="380"/>
      <c r="O441" s="404"/>
      <c r="P441" s="380"/>
      <c r="Q441" s="380"/>
      <c r="R441" s="380"/>
      <c r="S441" s="380"/>
      <c r="T441" s="380"/>
      <c r="U441" s="380"/>
      <c r="V441" s="380"/>
      <c r="W441" s="403"/>
      <c r="X441" s="380"/>
      <c r="Y441" s="380"/>
      <c r="Z441" s="380"/>
      <c r="AA441" s="380"/>
      <c r="AB441" s="380"/>
      <c r="AC441" s="404"/>
      <c r="AD441" s="380"/>
      <c r="AE441" s="380"/>
      <c r="AF441" s="380"/>
      <c r="AG441" s="380"/>
      <c r="AH441" s="380"/>
      <c r="AI441" s="380"/>
      <c r="AJ441" s="380"/>
      <c r="AK441" s="403"/>
      <c r="AL441" s="380"/>
      <c r="AM441" s="380"/>
      <c r="AN441" s="380"/>
      <c r="AO441" s="380"/>
      <c r="AP441" s="380"/>
      <c r="AQ441" s="404"/>
      <c r="AR441" s="380"/>
      <c r="AS441" s="380"/>
      <c r="AT441" s="380"/>
      <c r="AU441" s="380"/>
      <c r="AV441" s="380"/>
      <c r="AW441" s="380"/>
      <c r="AX441" s="380"/>
      <c r="AY441" s="403"/>
      <c r="AZ441" s="380"/>
      <c r="BA441" s="380"/>
      <c r="BB441" s="380"/>
      <c r="BC441" s="380"/>
      <c r="BD441" s="380"/>
      <c r="BE441" s="404"/>
      <c r="BF441" s="380"/>
      <c r="BG441" s="380"/>
      <c r="BH441" s="380"/>
      <c r="BI441" s="380"/>
      <c r="BJ441" s="380"/>
      <c r="BK441" s="380"/>
      <c r="BL441" s="380"/>
      <c r="BM441" s="403"/>
      <c r="BS441" s="83"/>
      <c r="CA441" s="405"/>
      <c r="CG441" s="83"/>
      <c r="CO441" s="405"/>
      <c r="CU441" s="83"/>
      <c r="DC441" s="405"/>
      <c r="DI441" s="83"/>
      <c r="DQ441" s="405"/>
      <c r="DW441" s="83"/>
      <c r="EE441" s="405"/>
      <c r="EK441" s="83"/>
      <c r="ES441" s="405"/>
      <c r="EY441" s="83"/>
      <c r="FG441" s="405"/>
      <c r="FM441" s="83"/>
      <c r="FU441" s="405"/>
      <c r="GA441" s="83"/>
      <c r="GI441" s="405"/>
      <c r="GO441" s="83"/>
      <c r="GW441" s="405"/>
      <c r="HC441" s="83"/>
      <c r="HK441" s="405"/>
      <c r="HQ441" s="83"/>
      <c r="HY441" s="405"/>
      <c r="IE441" s="83"/>
      <c r="IM441" s="405"/>
      <c r="IS441" s="83"/>
      <c r="JA441" s="405"/>
      <c r="JG441" s="83"/>
      <c r="JO441" s="405"/>
      <c r="JU441" s="83"/>
      <c r="KC441" s="405"/>
      <c r="KI441" s="83"/>
      <c r="KQ441" s="405"/>
      <c r="KW441" s="83"/>
      <c r="LE441" s="405"/>
      <c r="LK441" s="83"/>
      <c r="LS441" s="405"/>
      <c r="LY441" s="83"/>
      <c r="MG441" s="405"/>
      <c r="MM441" s="83"/>
      <c r="MU441" s="405"/>
      <c r="NA441" s="83"/>
    </row>
    <row r="442">
      <c r="A442" s="483"/>
      <c r="B442" s="380"/>
      <c r="C442" s="380"/>
      <c r="D442" s="380"/>
      <c r="E442" s="380"/>
      <c r="F442" s="380"/>
      <c r="G442" s="380"/>
      <c r="H442" s="380"/>
      <c r="I442" s="403"/>
      <c r="J442" s="380"/>
      <c r="K442" s="380"/>
      <c r="L442" s="380"/>
      <c r="M442" s="380"/>
      <c r="N442" s="380"/>
      <c r="O442" s="404"/>
      <c r="P442" s="380"/>
      <c r="Q442" s="380"/>
      <c r="R442" s="380"/>
      <c r="S442" s="380"/>
      <c r="T442" s="380"/>
      <c r="U442" s="380"/>
      <c r="V442" s="380"/>
      <c r="W442" s="403"/>
      <c r="X442" s="380"/>
      <c r="Y442" s="380"/>
      <c r="Z442" s="380"/>
      <c r="AA442" s="380"/>
      <c r="AB442" s="380"/>
      <c r="AC442" s="404"/>
      <c r="AD442" s="380"/>
      <c r="AE442" s="380"/>
      <c r="AF442" s="380"/>
      <c r="AG442" s="380"/>
      <c r="AH442" s="380"/>
      <c r="AI442" s="380"/>
      <c r="AJ442" s="380"/>
      <c r="AK442" s="403"/>
      <c r="AL442" s="380"/>
      <c r="AM442" s="380"/>
      <c r="AN442" s="380"/>
      <c r="AO442" s="380"/>
      <c r="AP442" s="380"/>
      <c r="AQ442" s="404"/>
      <c r="AR442" s="380"/>
      <c r="AS442" s="380"/>
      <c r="AT442" s="380"/>
      <c r="AU442" s="380"/>
      <c r="AV442" s="380"/>
      <c r="AW442" s="380"/>
      <c r="AX442" s="380"/>
      <c r="AY442" s="403"/>
      <c r="AZ442" s="380"/>
      <c r="BA442" s="380"/>
      <c r="BB442" s="380"/>
      <c r="BC442" s="380"/>
      <c r="BD442" s="380"/>
      <c r="BE442" s="404"/>
      <c r="BF442" s="380"/>
      <c r="BG442" s="380"/>
      <c r="BH442" s="380"/>
      <c r="BI442" s="380"/>
      <c r="BJ442" s="380"/>
      <c r="BK442" s="380"/>
      <c r="BL442" s="380"/>
      <c r="BM442" s="403"/>
      <c r="BS442" s="83"/>
      <c r="CA442" s="405"/>
      <c r="CG442" s="83"/>
      <c r="CO442" s="405"/>
      <c r="CU442" s="83"/>
      <c r="DC442" s="405"/>
      <c r="DI442" s="83"/>
      <c r="DQ442" s="405"/>
      <c r="DW442" s="83"/>
      <c r="EE442" s="405"/>
      <c r="EK442" s="83"/>
      <c r="ES442" s="405"/>
      <c r="EY442" s="83"/>
      <c r="FG442" s="405"/>
      <c r="FM442" s="83"/>
      <c r="FU442" s="405"/>
      <c r="GA442" s="83"/>
      <c r="GI442" s="405"/>
      <c r="GO442" s="83"/>
      <c r="GW442" s="405"/>
      <c r="HC442" s="83"/>
      <c r="HK442" s="405"/>
      <c r="HQ442" s="83"/>
      <c r="HY442" s="405"/>
      <c r="IE442" s="83"/>
      <c r="IM442" s="405"/>
      <c r="IS442" s="83"/>
      <c r="JA442" s="405"/>
      <c r="JG442" s="83"/>
      <c r="JO442" s="405"/>
      <c r="JU442" s="83"/>
      <c r="KC442" s="405"/>
      <c r="KI442" s="83"/>
      <c r="KQ442" s="405"/>
      <c r="KW442" s="83"/>
      <c r="LE442" s="405"/>
      <c r="LK442" s="83"/>
      <c r="LS442" s="405"/>
      <c r="LY442" s="83"/>
      <c r="MG442" s="405"/>
      <c r="MM442" s="83"/>
      <c r="MU442" s="405"/>
      <c r="NA442" s="83"/>
    </row>
    <row r="443">
      <c r="A443" s="483"/>
      <c r="B443" s="380"/>
      <c r="C443" s="380"/>
      <c r="D443" s="380"/>
      <c r="E443" s="380"/>
      <c r="F443" s="380"/>
      <c r="G443" s="380"/>
      <c r="H443" s="380"/>
      <c r="I443" s="403"/>
      <c r="J443" s="380"/>
      <c r="K443" s="380"/>
      <c r="L443" s="380"/>
      <c r="M443" s="380"/>
      <c r="N443" s="380"/>
      <c r="O443" s="404"/>
      <c r="P443" s="380"/>
      <c r="Q443" s="380"/>
      <c r="R443" s="380"/>
      <c r="S443" s="380"/>
      <c r="T443" s="380"/>
      <c r="U443" s="380"/>
      <c r="V443" s="380"/>
      <c r="W443" s="403"/>
      <c r="X443" s="380"/>
      <c r="Y443" s="380"/>
      <c r="Z443" s="380"/>
      <c r="AA443" s="380"/>
      <c r="AB443" s="380"/>
      <c r="AC443" s="404"/>
      <c r="AD443" s="380"/>
      <c r="AE443" s="380"/>
      <c r="AF443" s="380"/>
      <c r="AG443" s="380"/>
      <c r="AH443" s="380"/>
      <c r="AI443" s="380"/>
      <c r="AJ443" s="380"/>
      <c r="AK443" s="403"/>
      <c r="AL443" s="380"/>
      <c r="AM443" s="380"/>
      <c r="AN443" s="380"/>
      <c r="AO443" s="380"/>
      <c r="AP443" s="380"/>
      <c r="AQ443" s="404"/>
      <c r="AR443" s="380"/>
      <c r="AS443" s="380"/>
      <c r="AT443" s="380"/>
      <c r="AU443" s="380"/>
      <c r="AV443" s="380"/>
      <c r="AW443" s="380"/>
      <c r="AX443" s="380"/>
      <c r="AY443" s="403"/>
      <c r="AZ443" s="380"/>
      <c r="BA443" s="380"/>
      <c r="BB443" s="380"/>
      <c r="BC443" s="380"/>
      <c r="BD443" s="380"/>
      <c r="BE443" s="404"/>
      <c r="BF443" s="380"/>
      <c r="BG443" s="380"/>
      <c r="BH443" s="380"/>
      <c r="BI443" s="380"/>
      <c r="BJ443" s="380"/>
      <c r="BK443" s="380"/>
      <c r="BL443" s="380"/>
      <c r="BM443" s="403"/>
      <c r="BS443" s="83"/>
      <c r="CA443" s="405"/>
      <c r="CG443" s="83"/>
      <c r="CO443" s="405"/>
      <c r="CU443" s="83"/>
      <c r="DC443" s="405"/>
      <c r="DI443" s="83"/>
      <c r="DQ443" s="405"/>
      <c r="DW443" s="83"/>
      <c r="EE443" s="405"/>
      <c r="EK443" s="83"/>
      <c r="ES443" s="405"/>
      <c r="EY443" s="83"/>
      <c r="FG443" s="405"/>
      <c r="FM443" s="83"/>
      <c r="FU443" s="405"/>
      <c r="GA443" s="83"/>
      <c r="GI443" s="405"/>
      <c r="GO443" s="83"/>
      <c r="GW443" s="405"/>
      <c r="HC443" s="83"/>
      <c r="HK443" s="405"/>
      <c r="HQ443" s="83"/>
      <c r="HY443" s="405"/>
      <c r="IE443" s="83"/>
      <c r="IM443" s="405"/>
      <c r="IS443" s="83"/>
      <c r="JA443" s="405"/>
      <c r="JG443" s="83"/>
      <c r="JO443" s="405"/>
      <c r="JU443" s="83"/>
      <c r="KC443" s="405"/>
      <c r="KI443" s="83"/>
      <c r="KQ443" s="405"/>
      <c r="KW443" s="83"/>
      <c r="LE443" s="405"/>
      <c r="LK443" s="83"/>
      <c r="LS443" s="405"/>
      <c r="LY443" s="83"/>
      <c r="MG443" s="405"/>
      <c r="MM443" s="83"/>
      <c r="MU443" s="405"/>
      <c r="NA443" s="83"/>
    </row>
    <row r="444">
      <c r="A444" s="483"/>
      <c r="B444" s="380"/>
      <c r="C444" s="380"/>
      <c r="D444" s="380"/>
      <c r="E444" s="380"/>
      <c r="F444" s="380"/>
      <c r="G444" s="380"/>
      <c r="H444" s="380"/>
      <c r="I444" s="403"/>
      <c r="J444" s="380"/>
      <c r="K444" s="380"/>
      <c r="L444" s="380"/>
      <c r="M444" s="380"/>
      <c r="N444" s="380"/>
      <c r="O444" s="404"/>
      <c r="P444" s="380"/>
      <c r="Q444" s="380"/>
      <c r="R444" s="380"/>
      <c r="S444" s="380"/>
      <c r="T444" s="380"/>
      <c r="U444" s="380"/>
      <c r="V444" s="380"/>
      <c r="W444" s="403"/>
      <c r="X444" s="380"/>
      <c r="Y444" s="380"/>
      <c r="Z444" s="380"/>
      <c r="AA444" s="380"/>
      <c r="AB444" s="380"/>
      <c r="AC444" s="404"/>
      <c r="AD444" s="380"/>
      <c r="AE444" s="380"/>
      <c r="AF444" s="380"/>
      <c r="AG444" s="380"/>
      <c r="AH444" s="380"/>
      <c r="AI444" s="380"/>
      <c r="AJ444" s="380"/>
      <c r="AK444" s="403"/>
      <c r="AL444" s="380"/>
      <c r="AM444" s="380"/>
      <c r="AN444" s="380"/>
      <c r="AO444" s="380"/>
      <c r="AP444" s="380"/>
      <c r="AQ444" s="404"/>
      <c r="AR444" s="380"/>
      <c r="AS444" s="380"/>
      <c r="AT444" s="380"/>
      <c r="AU444" s="380"/>
      <c r="AV444" s="380"/>
      <c r="AW444" s="380"/>
      <c r="AX444" s="380"/>
      <c r="AY444" s="403"/>
      <c r="AZ444" s="380"/>
      <c r="BA444" s="380"/>
      <c r="BB444" s="380"/>
      <c r="BC444" s="380"/>
      <c r="BD444" s="380"/>
      <c r="BE444" s="404"/>
      <c r="BF444" s="380"/>
      <c r="BG444" s="380"/>
      <c r="BH444" s="380"/>
      <c r="BI444" s="380"/>
      <c r="BJ444" s="380"/>
      <c r="BK444" s="380"/>
      <c r="BL444" s="380"/>
      <c r="BM444" s="403"/>
      <c r="BS444" s="83"/>
      <c r="CA444" s="405"/>
      <c r="CG444" s="83"/>
      <c r="CO444" s="405"/>
      <c r="CU444" s="83"/>
      <c r="DC444" s="405"/>
      <c r="DI444" s="83"/>
      <c r="DQ444" s="405"/>
      <c r="DW444" s="83"/>
      <c r="EE444" s="405"/>
      <c r="EK444" s="83"/>
      <c r="ES444" s="405"/>
      <c r="EY444" s="83"/>
      <c r="FG444" s="405"/>
      <c r="FM444" s="83"/>
      <c r="FU444" s="405"/>
      <c r="GA444" s="83"/>
      <c r="GI444" s="405"/>
      <c r="GO444" s="83"/>
      <c r="GW444" s="405"/>
      <c r="HC444" s="83"/>
      <c r="HK444" s="405"/>
      <c r="HQ444" s="83"/>
      <c r="HY444" s="405"/>
      <c r="IE444" s="83"/>
      <c r="IM444" s="405"/>
      <c r="IS444" s="83"/>
      <c r="JA444" s="405"/>
      <c r="JG444" s="83"/>
      <c r="JO444" s="405"/>
      <c r="JU444" s="83"/>
      <c r="KC444" s="405"/>
      <c r="KI444" s="83"/>
      <c r="KQ444" s="405"/>
      <c r="KW444" s="83"/>
      <c r="LE444" s="405"/>
      <c r="LK444" s="83"/>
      <c r="LS444" s="405"/>
      <c r="LY444" s="83"/>
      <c r="MG444" s="405"/>
      <c r="MM444" s="83"/>
      <c r="MU444" s="405"/>
      <c r="NA444" s="83"/>
    </row>
    <row r="445">
      <c r="A445" s="483"/>
      <c r="B445" s="380"/>
      <c r="C445" s="380"/>
      <c r="D445" s="380"/>
      <c r="E445" s="380"/>
      <c r="F445" s="380"/>
      <c r="G445" s="380"/>
      <c r="H445" s="380"/>
      <c r="I445" s="403"/>
      <c r="J445" s="380"/>
      <c r="K445" s="380"/>
      <c r="L445" s="380"/>
      <c r="M445" s="380"/>
      <c r="N445" s="380"/>
      <c r="O445" s="404"/>
      <c r="P445" s="380"/>
      <c r="Q445" s="380"/>
      <c r="R445" s="380"/>
      <c r="S445" s="380"/>
      <c r="T445" s="380"/>
      <c r="U445" s="380"/>
      <c r="V445" s="380"/>
      <c r="W445" s="403"/>
      <c r="X445" s="380"/>
      <c r="Y445" s="380"/>
      <c r="Z445" s="380"/>
      <c r="AA445" s="380"/>
      <c r="AB445" s="380"/>
      <c r="AC445" s="404"/>
      <c r="AD445" s="380"/>
      <c r="AE445" s="380"/>
      <c r="AF445" s="380"/>
      <c r="AG445" s="380"/>
      <c r="AH445" s="380"/>
      <c r="AI445" s="380"/>
      <c r="AJ445" s="380"/>
      <c r="AK445" s="403"/>
      <c r="AL445" s="380"/>
      <c r="AM445" s="380"/>
      <c r="AN445" s="380"/>
      <c r="AO445" s="380"/>
      <c r="AP445" s="380"/>
      <c r="AQ445" s="404"/>
      <c r="AR445" s="380"/>
      <c r="AS445" s="380"/>
      <c r="AT445" s="380"/>
      <c r="AU445" s="380"/>
      <c r="AV445" s="380"/>
      <c r="AW445" s="380"/>
      <c r="AX445" s="380"/>
      <c r="AY445" s="403"/>
      <c r="AZ445" s="380"/>
      <c r="BA445" s="380"/>
      <c r="BB445" s="380"/>
      <c r="BC445" s="380"/>
      <c r="BD445" s="380"/>
      <c r="BE445" s="404"/>
      <c r="BF445" s="380"/>
      <c r="BG445" s="380"/>
      <c r="BH445" s="380"/>
      <c r="BI445" s="380"/>
      <c r="BJ445" s="380"/>
      <c r="BK445" s="380"/>
      <c r="BL445" s="380"/>
      <c r="BM445" s="403"/>
      <c r="BS445" s="83"/>
      <c r="CA445" s="405"/>
      <c r="CG445" s="83"/>
      <c r="CO445" s="405"/>
      <c r="CU445" s="83"/>
      <c r="DC445" s="405"/>
      <c r="DI445" s="83"/>
      <c r="DQ445" s="405"/>
      <c r="DW445" s="83"/>
      <c r="EE445" s="405"/>
      <c r="EK445" s="83"/>
      <c r="ES445" s="405"/>
      <c r="EY445" s="83"/>
      <c r="FG445" s="405"/>
      <c r="FM445" s="83"/>
      <c r="FU445" s="405"/>
      <c r="GA445" s="83"/>
      <c r="GI445" s="405"/>
      <c r="GO445" s="83"/>
      <c r="GW445" s="405"/>
      <c r="HC445" s="83"/>
      <c r="HK445" s="405"/>
      <c r="HQ445" s="83"/>
      <c r="HY445" s="405"/>
      <c r="IE445" s="83"/>
      <c r="IM445" s="405"/>
      <c r="IS445" s="83"/>
      <c r="JA445" s="405"/>
      <c r="JG445" s="83"/>
      <c r="JO445" s="405"/>
      <c r="JU445" s="83"/>
      <c r="KC445" s="405"/>
      <c r="KI445" s="83"/>
      <c r="KQ445" s="405"/>
      <c r="KW445" s="83"/>
      <c r="LE445" s="405"/>
      <c r="LK445" s="83"/>
      <c r="LS445" s="405"/>
      <c r="LY445" s="83"/>
      <c r="MG445" s="405"/>
      <c r="MM445" s="83"/>
      <c r="MU445" s="405"/>
      <c r="NA445" s="83"/>
    </row>
    <row r="446">
      <c r="A446" s="483"/>
      <c r="B446" s="380"/>
      <c r="C446" s="380"/>
      <c r="D446" s="380"/>
      <c r="E446" s="380"/>
      <c r="F446" s="380"/>
      <c r="G446" s="380"/>
      <c r="H446" s="380"/>
      <c r="I446" s="403"/>
      <c r="J446" s="380"/>
      <c r="K446" s="380"/>
      <c r="L446" s="380"/>
      <c r="M446" s="380"/>
      <c r="N446" s="380"/>
      <c r="O446" s="404"/>
      <c r="P446" s="380"/>
      <c r="Q446" s="380"/>
      <c r="R446" s="380"/>
      <c r="S446" s="380"/>
      <c r="T446" s="380"/>
      <c r="U446" s="380"/>
      <c r="V446" s="380"/>
      <c r="W446" s="403"/>
      <c r="X446" s="380"/>
      <c r="Y446" s="380"/>
      <c r="Z446" s="380"/>
      <c r="AA446" s="380"/>
      <c r="AB446" s="380"/>
      <c r="AC446" s="404"/>
      <c r="AD446" s="380"/>
      <c r="AE446" s="380"/>
      <c r="AF446" s="380"/>
      <c r="AG446" s="380"/>
      <c r="AH446" s="380"/>
      <c r="AI446" s="380"/>
      <c r="AJ446" s="380"/>
      <c r="AK446" s="403"/>
      <c r="AL446" s="380"/>
      <c r="AM446" s="380"/>
      <c r="AN446" s="380"/>
      <c r="AO446" s="380"/>
      <c r="AP446" s="380"/>
      <c r="AQ446" s="404"/>
      <c r="AR446" s="380"/>
      <c r="AS446" s="380"/>
      <c r="AT446" s="380"/>
      <c r="AU446" s="380"/>
      <c r="AV446" s="380"/>
      <c r="AW446" s="380"/>
      <c r="AX446" s="380"/>
      <c r="AY446" s="403"/>
      <c r="AZ446" s="380"/>
      <c r="BA446" s="380"/>
      <c r="BB446" s="380"/>
      <c r="BC446" s="380"/>
      <c r="BD446" s="380"/>
      <c r="BE446" s="404"/>
      <c r="BF446" s="380"/>
      <c r="BG446" s="380"/>
      <c r="BH446" s="380"/>
      <c r="BI446" s="380"/>
      <c r="BJ446" s="380"/>
      <c r="BK446" s="380"/>
      <c r="BL446" s="380"/>
      <c r="BM446" s="403"/>
      <c r="BS446" s="83"/>
      <c r="CA446" s="405"/>
      <c r="CG446" s="83"/>
      <c r="CO446" s="405"/>
      <c r="CU446" s="83"/>
      <c r="DC446" s="405"/>
      <c r="DI446" s="83"/>
      <c r="DQ446" s="405"/>
      <c r="DW446" s="83"/>
      <c r="EE446" s="405"/>
      <c r="EK446" s="83"/>
      <c r="ES446" s="405"/>
      <c r="EY446" s="83"/>
      <c r="FG446" s="405"/>
      <c r="FM446" s="83"/>
      <c r="FU446" s="405"/>
      <c r="GA446" s="83"/>
      <c r="GI446" s="405"/>
      <c r="GO446" s="83"/>
      <c r="GW446" s="405"/>
      <c r="HC446" s="83"/>
      <c r="HK446" s="405"/>
      <c r="HQ446" s="83"/>
      <c r="HY446" s="405"/>
      <c r="IE446" s="83"/>
      <c r="IM446" s="405"/>
      <c r="IS446" s="83"/>
      <c r="JA446" s="405"/>
      <c r="JG446" s="83"/>
      <c r="JO446" s="405"/>
      <c r="JU446" s="83"/>
      <c r="KC446" s="405"/>
      <c r="KI446" s="83"/>
      <c r="KQ446" s="405"/>
      <c r="KW446" s="83"/>
      <c r="LE446" s="405"/>
      <c r="LK446" s="83"/>
      <c r="LS446" s="405"/>
      <c r="LY446" s="83"/>
      <c r="MG446" s="405"/>
      <c r="MM446" s="83"/>
      <c r="MU446" s="405"/>
      <c r="NA446" s="83"/>
    </row>
    <row r="447">
      <c r="A447" s="483"/>
      <c r="B447" s="380"/>
      <c r="C447" s="380"/>
      <c r="D447" s="380"/>
      <c r="E447" s="380"/>
      <c r="F447" s="380"/>
      <c r="G447" s="380"/>
      <c r="H447" s="380"/>
      <c r="I447" s="403"/>
      <c r="J447" s="380"/>
      <c r="K447" s="380"/>
      <c r="L447" s="380"/>
      <c r="M447" s="380"/>
      <c r="N447" s="380"/>
      <c r="O447" s="404"/>
      <c r="P447" s="380"/>
      <c r="Q447" s="380"/>
      <c r="R447" s="380"/>
      <c r="S447" s="380"/>
      <c r="T447" s="380"/>
      <c r="U447" s="380"/>
      <c r="V447" s="380"/>
      <c r="W447" s="403"/>
      <c r="X447" s="380"/>
      <c r="Y447" s="380"/>
      <c r="Z447" s="380"/>
      <c r="AA447" s="380"/>
      <c r="AB447" s="380"/>
      <c r="AC447" s="404"/>
      <c r="AD447" s="380"/>
      <c r="AE447" s="380"/>
      <c r="AF447" s="380"/>
      <c r="AG447" s="380"/>
      <c r="AH447" s="380"/>
      <c r="AI447" s="380"/>
      <c r="AJ447" s="380"/>
      <c r="AK447" s="403"/>
      <c r="AL447" s="380"/>
      <c r="AM447" s="380"/>
      <c r="AN447" s="380"/>
      <c r="AO447" s="380"/>
      <c r="AP447" s="380"/>
      <c r="AQ447" s="404"/>
      <c r="AR447" s="380"/>
      <c r="AS447" s="380"/>
      <c r="AT447" s="380"/>
      <c r="AU447" s="380"/>
      <c r="AV447" s="380"/>
      <c r="AW447" s="380"/>
      <c r="AX447" s="380"/>
      <c r="AY447" s="403"/>
      <c r="AZ447" s="380"/>
      <c r="BA447" s="380"/>
      <c r="BB447" s="380"/>
      <c r="BC447" s="380"/>
      <c r="BD447" s="380"/>
      <c r="BE447" s="404"/>
      <c r="BF447" s="380"/>
      <c r="BG447" s="380"/>
      <c r="BH447" s="380"/>
      <c r="BI447" s="380"/>
      <c r="BJ447" s="380"/>
      <c r="BK447" s="380"/>
      <c r="BL447" s="380"/>
      <c r="BM447" s="403"/>
      <c r="BS447" s="83"/>
      <c r="CA447" s="405"/>
      <c r="CG447" s="83"/>
      <c r="CO447" s="405"/>
      <c r="CU447" s="83"/>
      <c r="DC447" s="405"/>
      <c r="DI447" s="83"/>
      <c r="DQ447" s="405"/>
      <c r="DW447" s="83"/>
      <c r="EE447" s="405"/>
      <c r="EK447" s="83"/>
      <c r="ES447" s="405"/>
      <c r="EY447" s="83"/>
      <c r="FG447" s="405"/>
      <c r="FM447" s="83"/>
      <c r="FU447" s="405"/>
      <c r="GA447" s="83"/>
      <c r="GI447" s="405"/>
      <c r="GO447" s="83"/>
      <c r="GW447" s="405"/>
      <c r="HC447" s="83"/>
      <c r="HK447" s="405"/>
      <c r="HQ447" s="83"/>
      <c r="HY447" s="405"/>
      <c r="IE447" s="83"/>
      <c r="IM447" s="405"/>
      <c r="IS447" s="83"/>
      <c r="JA447" s="405"/>
      <c r="JG447" s="83"/>
      <c r="JO447" s="405"/>
      <c r="JU447" s="83"/>
      <c r="KC447" s="405"/>
      <c r="KI447" s="83"/>
      <c r="KQ447" s="405"/>
      <c r="KW447" s="83"/>
      <c r="LE447" s="405"/>
      <c r="LK447" s="83"/>
      <c r="LS447" s="405"/>
      <c r="LY447" s="83"/>
      <c r="MG447" s="405"/>
      <c r="MM447" s="83"/>
      <c r="MU447" s="405"/>
      <c r="NA447" s="83"/>
    </row>
    <row r="448">
      <c r="A448" s="483"/>
      <c r="B448" s="380"/>
      <c r="C448" s="380"/>
      <c r="D448" s="380"/>
      <c r="E448" s="380"/>
      <c r="F448" s="380"/>
      <c r="G448" s="380"/>
      <c r="H448" s="380"/>
      <c r="I448" s="403"/>
      <c r="J448" s="380"/>
      <c r="K448" s="380"/>
      <c r="L448" s="380"/>
      <c r="M448" s="380"/>
      <c r="N448" s="380"/>
      <c r="O448" s="404"/>
      <c r="P448" s="380"/>
      <c r="Q448" s="380"/>
      <c r="R448" s="380"/>
      <c r="S448" s="380"/>
      <c r="T448" s="380"/>
      <c r="U448" s="380"/>
      <c r="V448" s="380"/>
      <c r="W448" s="403"/>
      <c r="X448" s="380"/>
      <c r="Y448" s="380"/>
      <c r="Z448" s="380"/>
      <c r="AA448" s="380"/>
      <c r="AB448" s="380"/>
      <c r="AC448" s="404"/>
      <c r="AD448" s="380"/>
      <c r="AE448" s="380"/>
      <c r="AF448" s="380"/>
      <c r="AG448" s="380"/>
      <c r="AH448" s="380"/>
      <c r="AI448" s="380"/>
      <c r="AJ448" s="380"/>
      <c r="AK448" s="403"/>
      <c r="AL448" s="380"/>
      <c r="AM448" s="380"/>
      <c r="AN448" s="380"/>
      <c r="AO448" s="380"/>
      <c r="AP448" s="380"/>
      <c r="AQ448" s="404"/>
      <c r="AR448" s="380"/>
      <c r="AS448" s="380"/>
      <c r="AT448" s="380"/>
      <c r="AU448" s="380"/>
      <c r="AV448" s="380"/>
      <c r="AW448" s="380"/>
      <c r="AX448" s="380"/>
      <c r="AY448" s="403"/>
      <c r="AZ448" s="380"/>
      <c r="BA448" s="380"/>
      <c r="BB448" s="380"/>
      <c r="BC448" s="380"/>
      <c r="BD448" s="380"/>
      <c r="BE448" s="404"/>
      <c r="BF448" s="380"/>
      <c r="BG448" s="380"/>
      <c r="BH448" s="380"/>
      <c r="BI448" s="380"/>
      <c r="BJ448" s="380"/>
      <c r="BK448" s="380"/>
      <c r="BL448" s="380"/>
      <c r="BM448" s="403"/>
      <c r="BS448" s="83"/>
      <c r="CA448" s="405"/>
      <c r="CG448" s="83"/>
      <c r="CO448" s="405"/>
      <c r="CU448" s="83"/>
      <c r="DC448" s="405"/>
      <c r="DI448" s="83"/>
      <c r="DQ448" s="405"/>
      <c r="DW448" s="83"/>
      <c r="EE448" s="405"/>
      <c r="EK448" s="83"/>
      <c r="ES448" s="405"/>
      <c r="EY448" s="83"/>
      <c r="FG448" s="405"/>
      <c r="FM448" s="83"/>
      <c r="FU448" s="405"/>
      <c r="GA448" s="83"/>
      <c r="GI448" s="405"/>
      <c r="GO448" s="83"/>
      <c r="GW448" s="405"/>
      <c r="HC448" s="83"/>
      <c r="HK448" s="405"/>
      <c r="HQ448" s="83"/>
      <c r="HY448" s="405"/>
      <c r="IE448" s="83"/>
      <c r="IM448" s="405"/>
      <c r="IS448" s="83"/>
      <c r="JA448" s="405"/>
      <c r="JG448" s="83"/>
      <c r="JO448" s="405"/>
      <c r="JU448" s="83"/>
      <c r="KC448" s="405"/>
      <c r="KI448" s="83"/>
      <c r="KQ448" s="405"/>
      <c r="KW448" s="83"/>
      <c r="LE448" s="405"/>
      <c r="LK448" s="83"/>
      <c r="LS448" s="405"/>
      <c r="LY448" s="83"/>
      <c r="MG448" s="405"/>
      <c r="MM448" s="83"/>
      <c r="MU448" s="405"/>
      <c r="NA448" s="83"/>
    </row>
    <row r="449">
      <c r="A449" s="483"/>
      <c r="B449" s="380"/>
      <c r="C449" s="380"/>
      <c r="D449" s="380"/>
      <c r="E449" s="380"/>
      <c r="F449" s="380"/>
      <c r="G449" s="380"/>
      <c r="H449" s="380"/>
      <c r="I449" s="403"/>
      <c r="J449" s="380"/>
      <c r="K449" s="380"/>
      <c r="L449" s="380"/>
      <c r="M449" s="380"/>
      <c r="N449" s="380"/>
      <c r="O449" s="404"/>
      <c r="P449" s="380"/>
      <c r="Q449" s="380"/>
      <c r="R449" s="380"/>
      <c r="S449" s="380"/>
      <c r="T449" s="380"/>
      <c r="U449" s="380"/>
      <c r="V449" s="380"/>
      <c r="W449" s="403"/>
      <c r="X449" s="380"/>
      <c r="Y449" s="380"/>
      <c r="Z449" s="380"/>
      <c r="AA449" s="380"/>
      <c r="AB449" s="380"/>
      <c r="AC449" s="404"/>
      <c r="AD449" s="380"/>
      <c r="AE449" s="380"/>
      <c r="AF449" s="380"/>
      <c r="AG449" s="380"/>
      <c r="AH449" s="380"/>
      <c r="AI449" s="380"/>
      <c r="AJ449" s="380"/>
      <c r="AK449" s="403"/>
      <c r="AL449" s="380"/>
      <c r="AM449" s="380"/>
      <c r="AN449" s="380"/>
      <c r="AO449" s="380"/>
      <c r="AP449" s="380"/>
      <c r="AQ449" s="404"/>
      <c r="AR449" s="380"/>
      <c r="AS449" s="380"/>
      <c r="AT449" s="380"/>
      <c r="AU449" s="380"/>
      <c r="AV449" s="380"/>
      <c r="AW449" s="380"/>
      <c r="AX449" s="380"/>
      <c r="AY449" s="403"/>
      <c r="AZ449" s="380"/>
      <c r="BA449" s="380"/>
      <c r="BB449" s="380"/>
      <c r="BC449" s="380"/>
      <c r="BD449" s="380"/>
      <c r="BE449" s="404"/>
      <c r="BF449" s="380"/>
      <c r="BG449" s="380"/>
      <c r="BH449" s="380"/>
      <c r="BI449" s="380"/>
      <c r="BJ449" s="380"/>
      <c r="BK449" s="380"/>
      <c r="BL449" s="380"/>
      <c r="BM449" s="403"/>
      <c r="BS449" s="83"/>
      <c r="CA449" s="405"/>
      <c r="CG449" s="83"/>
      <c r="CO449" s="405"/>
      <c r="CU449" s="83"/>
      <c r="DC449" s="405"/>
      <c r="DI449" s="83"/>
      <c r="DQ449" s="405"/>
      <c r="DW449" s="83"/>
      <c r="EE449" s="405"/>
      <c r="EK449" s="83"/>
      <c r="ES449" s="405"/>
      <c r="EY449" s="83"/>
      <c r="FG449" s="405"/>
      <c r="FM449" s="83"/>
      <c r="FU449" s="405"/>
      <c r="GA449" s="83"/>
      <c r="GI449" s="405"/>
      <c r="GO449" s="83"/>
      <c r="GW449" s="405"/>
      <c r="HC449" s="83"/>
      <c r="HK449" s="405"/>
      <c r="HQ449" s="83"/>
      <c r="HY449" s="405"/>
      <c r="IE449" s="83"/>
      <c r="IM449" s="405"/>
      <c r="IS449" s="83"/>
      <c r="JA449" s="405"/>
      <c r="JG449" s="83"/>
      <c r="JO449" s="405"/>
      <c r="JU449" s="83"/>
      <c r="KC449" s="405"/>
      <c r="KI449" s="83"/>
      <c r="KQ449" s="405"/>
      <c r="KW449" s="83"/>
      <c r="LE449" s="405"/>
      <c r="LK449" s="83"/>
      <c r="LS449" s="405"/>
      <c r="LY449" s="83"/>
      <c r="MG449" s="405"/>
      <c r="MM449" s="83"/>
      <c r="MU449" s="405"/>
      <c r="NA449" s="83"/>
    </row>
    <row r="450">
      <c r="A450" s="483"/>
      <c r="B450" s="380"/>
      <c r="C450" s="380"/>
      <c r="D450" s="380"/>
      <c r="E450" s="380"/>
      <c r="F450" s="380"/>
      <c r="G450" s="380"/>
      <c r="H450" s="380"/>
      <c r="I450" s="403"/>
      <c r="J450" s="380"/>
      <c r="K450" s="380"/>
      <c r="L450" s="380"/>
      <c r="M450" s="380"/>
      <c r="N450" s="380"/>
      <c r="O450" s="404"/>
      <c r="P450" s="380"/>
      <c r="Q450" s="380"/>
      <c r="R450" s="380"/>
      <c r="S450" s="380"/>
      <c r="T450" s="380"/>
      <c r="U450" s="380"/>
      <c r="V450" s="380"/>
      <c r="W450" s="403"/>
      <c r="X450" s="380"/>
      <c r="Y450" s="380"/>
      <c r="Z450" s="380"/>
      <c r="AA450" s="380"/>
      <c r="AB450" s="380"/>
      <c r="AC450" s="404"/>
      <c r="AD450" s="380"/>
      <c r="AE450" s="380"/>
      <c r="AF450" s="380"/>
      <c r="AG450" s="380"/>
      <c r="AH450" s="380"/>
      <c r="AI450" s="380"/>
      <c r="AJ450" s="380"/>
      <c r="AK450" s="403"/>
      <c r="AL450" s="380"/>
      <c r="AM450" s="380"/>
      <c r="AN450" s="380"/>
      <c r="AO450" s="380"/>
      <c r="AP450" s="380"/>
      <c r="AQ450" s="404"/>
      <c r="AR450" s="380"/>
      <c r="AS450" s="380"/>
      <c r="AT450" s="380"/>
      <c r="AU450" s="380"/>
      <c r="AV450" s="380"/>
      <c r="AW450" s="380"/>
      <c r="AX450" s="380"/>
      <c r="AY450" s="403"/>
      <c r="AZ450" s="380"/>
      <c r="BA450" s="380"/>
      <c r="BB450" s="380"/>
      <c r="BC450" s="380"/>
      <c r="BD450" s="380"/>
      <c r="BE450" s="404"/>
      <c r="BF450" s="380"/>
      <c r="BG450" s="380"/>
      <c r="BH450" s="380"/>
      <c r="BI450" s="380"/>
      <c r="BJ450" s="380"/>
      <c r="BK450" s="380"/>
      <c r="BL450" s="380"/>
      <c r="BM450" s="403"/>
      <c r="BS450" s="83"/>
      <c r="CA450" s="405"/>
      <c r="CG450" s="83"/>
      <c r="CO450" s="405"/>
      <c r="CU450" s="83"/>
      <c r="DC450" s="405"/>
      <c r="DI450" s="83"/>
      <c r="DQ450" s="405"/>
      <c r="DW450" s="83"/>
      <c r="EE450" s="405"/>
      <c r="EK450" s="83"/>
      <c r="ES450" s="405"/>
      <c r="EY450" s="83"/>
      <c r="FG450" s="405"/>
      <c r="FM450" s="83"/>
      <c r="FU450" s="405"/>
      <c r="GA450" s="83"/>
      <c r="GI450" s="405"/>
      <c r="GO450" s="83"/>
      <c r="GW450" s="405"/>
      <c r="HC450" s="83"/>
      <c r="HK450" s="405"/>
      <c r="HQ450" s="83"/>
      <c r="HY450" s="405"/>
      <c r="IE450" s="83"/>
      <c r="IM450" s="405"/>
      <c r="IS450" s="83"/>
      <c r="JA450" s="405"/>
      <c r="JG450" s="83"/>
      <c r="JO450" s="405"/>
      <c r="JU450" s="83"/>
      <c r="KC450" s="405"/>
      <c r="KI450" s="83"/>
      <c r="KQ450" s="405"/>
      <c r="KW450" s="83"/>
      <c r="LE450" s="405"/>
      <c r="LK450" s="83"/>
      <c r="LS450" s="405"/>
      <c r="LY450" s="83"/>
      <c r="MG450" s="405"/>
      <c r="MM450" s="83"/>
      <c r="MU450" s="405"/>
      <c r="NA450" s="83"/>
    </row>
    <row r="451">
      <c r="A451" s="483"/>
      <c r="B451" s="380"/>
      <c r="C451" s="380"/>
      <c r="D451" s="380"/>
      <c r="E451" s="380"/>
      <c r="F451" s="380"/>
      <c r="G451" s="380"/>
      <c r="H451" s="380"/>
      <c r="I451" s="403"/>
      <c r="J451" s="380"/>
      <c r="K451" s="380"/>
      <c r="L451" s="380"/>
      <c r="M451" s="380"/>
      <c r="N451" s="380"/>
      <c r="O451" s="404"/>
      <c r="P451" s="380"/>
      <c r="Q451" s="380"/>
      <c r="R451" s="380"/>
      <c r="S451" s="380"/>
      <c r="T451" s="380"/>
      <c r="U451" s="380"/>
      <c r="V451" s="380"/>
      <c r="W451" s="403"/>
      <c r="X451" s="380"/>
      <c r="Y451" s="380"/>
      <c r="Z451" s="380"/>
      <c r="AA451" s="380"/>
      <c r="AB451" s="380"/>
      <c r="AC451" s="404"/>
      <c r="AD451" s="380"/>
      <c r="AE451" s="380"/>
      <c r="AF451" s="380"/>
      <c r="AG451" s="380"/>
      <c r="AH451" s="380"/>
      <c r="AI451" s="380"/>
      <c r="AJ451" s="380"/>
      <c r="AK451" s="403"/>
      <c r="AL451" s="380"/>
      <c r="AM451" s="380"/>
      <c r="AN451" s="380"/>
      <c r="AO451" s="380"/>
      <c r="AP451" s="380"/>
      <c r="AQ451" s="404"/>
      <c r="AR451" s="380"/>
      <c r="AS451" s="380"/>
      <c r="AT451" s="380"/>
      <c r="AU451" s="380"/>
      <c r="AV451" s="380"/>
      <c r="AW451" s="380"/>
      <c r="AX451" s="380"/>
      <c r="AY451" s="403"/>
      <c r="AZ451" s="380"/>
      <c r="BA451" s="380"/>
      <c r="BB451" s="380"/>
      <c r="BC451" s="380"/>
      <c r="BD451" s="380"/>
      <c r="BE451" s="404"/>
      <c r="BF451" s="380"/>
      <c r="BG451" s="380"/>
      <c r="BH451" s="380"/>
      <c r="BI451" s="380"/>
      <c r="BJ451" s="380"/>
      <c r="BK451" s="380"/>
      <c r="BL451" s="380"/>
      <c r="BM451" s="403"/>
      <c r="BS451" s="83"/>
      <c r="CA451" s="405"/>
      <c r="CG451" s="83"/>
      <c r="CO451" s="405"/>
      <c r="CU451" s="83"/>
      <c r="DC451" s="405"/>
      <c r="DI451" s="83"/>
      <c r="DQ451" s="405"/>
      <c r="DW451" s="83"/>
      <c r="EE451" s="405"/>
      <c r="EK451" s="83"/>
      <c r="ES451" s="405"/>
      <c r="EY451" s="83"/>
      <c r="FG451" s="405"/>
      <c r="FM451" s="83"/>
      <c r="FU451" s="405"/>
      <c r="GA451" s="83"/>
      <c r="GI451" s="405"/>
      <c r="GO451" s="83"/>
      <c r="GW451" s="405"/>
      <c r="HC451" s="83"/>
      <c r="HK451" s="405"/>
      <c r="HQ451" s="83"/>
      <c r="HY451" s="405"/>
      <c r="IE451" s="83"/>
      <c r="IM451" s="405"/>
      <c r="IS451" s="83"/>
      <c r="JA451" s="405"/>
      <c r="JG451" s="83"/>
      <c r="JO451" s="405"/>
      <c r="JU451" s="83"/>
      <c r="KC451" s="405"/>
      <c r="KI451" s="83"/>
      <c r="KQ451" s="405"/>
      <c r="KW451" s="83"/>
      <c r="LE451" s="405"/>
      <c r="LK451" s="83"/>
      <c r="LS451" s="405"/>
      <c r="LY451" s="83"/>
      <c r="MG451" s="405"/>
      <c r="MM451" s="83"/>
      <c r="MU451" s="405"/>
      <c r="NA451" s="83"/>
    </row>
    <row r="452">
      <c r="A452" s="483"/>
      <c r="B452" s="380"/>
      <c r="C452" s="380"/>
      <c r="D452" s="380"/>
      <c r="E452" s="380"/>
      <c r="F452" s="380"/>
      <c r="G452" s="380"/>
      <c r="H452" s="380"/>
      <c r="I452" s="403"/>
      <c r="J452" s="380"/>
      <c r="K452" s="380"/>
      <c r="L452" s="380"/>
      <c r="M452" s="380"/>
      <c r="N452" s="380"/>
      <c r="O452" s="404"/>
      <c r="P452" s="380"/>
      <c r="Q452" s="380"/>
      <c r="R452" s="380"/>
      <c r="S452" s="380"/>
      <c r="T452" s="380"/>
      <c r="U452" s="380"/>
      <c r="V452" s="380"/>
      <c r="W452" s="403"/>
      <c r="X452" s="380"/>
      <c r="Y452" s="380"/>
      <c r="Z452" s="380"/>
      <c r="AA452" s="380"/>
      <c r="AB452" s="380"/>
      <c r="AC452" s="404"/>
      <c r="AD452" s="380"/>
      <c r="AE452" s="380"/>
      <c r="AF452" s="380"/>
      <c r="AG452" s="380"/>
      <c r="AH452" s="380"/>
      <c r="AI452" s="380"/>
      <c r="AJ452" s="380"/>
      <c r="AK452" s="403"/>
      <c r="AL452" s="380"/>
      <c r="AM452" s="380"/>
      <c r="AN452" s="380"/>
      <c r="AO452" s="380"/>
      <c r="AP452" s="380"/>
      <c r="AQ452" s="404"/>
      <c r="AR452" s="380"/>
      <c r="AS452" s="380"/>
      <c r="AT452" s="380"/>
      <c r="AU452" s="380"/>
      <c r="AV452" s="380"/>
      <c r="AW452" s="380"/>
      <c r="AX452" s="380"/>
      <c r="AY452" s="403"/>
      <c r="AZ452" s="380"/>
      <c r="BA452" s="380"/>
      <c r="BB452" s="380"/>
      <c r="BC452" s="380"/>
      <c r="BD452" s="380"/>
      <c r="BE452" s="404"/>
      <c r="BF452" s="380"/>
      <c r="BG452" s="380"/>
      <c r="BH452" s="380"/>
      <c r="BI452" s="380"/>
      <c r="BJ452" s="380"/>
      <c r="BK452" s="380"/>
      <c r="BL452" s="380"/>
      <c r="BM452" s="403"/>
      <c r="BS452" s="83"/>
      <c r="CA452" s="405"/>
      <c r="CG452" s="83"/>
      <c r="CO452" s="405"/>
      <c r="CU452" s="83"/>
      <c r="DC452" s="405"/>
      <c r="DI452" s="83"/>
      <c r="DQ452" s="405"/>
      <c r="DW452" s="83"/>
      <c r="EE452" s="405"/>
      <c r="EK452" s="83"/>
      <c r="ES452" s="405"/>
      <c r="EY452" s="83"/>
      <c r="FG452" s="405"/>
      <c r="FM452" s="83"/>
      <c r="FU452" s="405"/>
      <c r="GA452" s="83"/>
      <c r="GI452" s="405"/>
      <c r="GO452" s="83"/>
      <c r="GW452" s="405"/>
      <c r="HC452" s="83"/>
      <c r="HK452" s="405"/>
      <c r="HQ452" s="83"/>
      <c r="HY452" s="405"/>
      <c r="IE452" s="83"/>
      <c r="IM452" s="405"/>
      <c r="IS452" s="83"/>
      <c r="JA452" s="405"/>
      <c r="JG452" s="83"/>
      <c r="JO452" s="405"/>
      <c r="JU452" s="83"/>
      <c r="KC452" s="405"/>
      <c r="KI452" s="83"/>
      <c r="KQ452" s="405"/>
      <c r="KW452" s="83"/>
      <c r="LE452" s="405"/>
      <c r="LK452" s="83"/>
      <c r="LS452" s="405"/>
      <c r="LY452" s="83"/>
      <c r="MG452" s="405"/>
      <c r="MM452" s="83"/>
      <c r="MU452" s="405"/>
      <c r="NA452" s="83"/>
    </row>
    <row r="453">
      <c r="A453" s="483"/>
      <c r="B453" s="380"/>
      <c r="C453" s="380"/>
      <c r="D453" s="380"/>
      <c r="E453" s="380"/>
      <c r="F453" s="380"/>
      <c r="G453" s="380"/>
      <c r="H453" s="380"/>
      <c r="I453" s="403"/>
      <c r="J453" s="380"/>
      <c r="K453" s="380"/>
      <c r="L453" s="380"/>
      <c r="M453" s="380"/>
      <c r="N453" s="380"/>
      <c r="O453" s="404"/>
      <c r="P453" s="380"/>
      <c r="Q453" s="380"/>
      <c r="R453" s="380"/>
      <c r="S453" s="380"/>
      <c r="T453" s="380"/>
      <c r="U453" s="380"/>
      <c r="V453" s="380"/>
      <c r="W453" s="403"/>
      <c r="X453" s="380"/>
      <c r="Y453" s="380"/>
      <c r="Z453" s="380"/>
      <c r="AA453" s="380"/>
      <c r="AB453" s="380"/>
      <c r="AC453" s="404"/>
      <c r="AD453" s="380"/>
      <c r="AE453" s="380"/>
      <c r="AF453" s="380"/>
      <c r="AG453" s="380"/>
      <c r="AH453" s="380"/>
      <c r="AI453" s="380"/>
      <c r="AJ453" s="380"/>
      <c r="AK453" s="403"/>
      <c r="AL453" s="380"/>
      <c r="AM453" s="380"/>
      <c r="AN453" s="380"/>
      <c r="AO453" s="380"/>
      <c r="AP453" s="380"/>
      <c r="AQ453" s="404"/>
      <c r="AR453" s="380"/>
      <c r="AS453" s="380"/>
      <c r="AT453" s="380"/>
      <c r="AU453" s="380"/>
      <c r="AV453" s="380"/>
      <c r="AW453" s="380"/>
      <c r="AX453" s="380"/>
      <c r="AY453" s="403"/>
      <c r="AZ453" s="380"/>
      <c r="BA453" s="380"/>
      <c r="BB453" s="380"/>
      <c r="BC453" s="380"/>
      <c r="BD453" s="380"/>
      <c r="BE453" s="404"/>
      <c r="BF453" s="380"/>
      <c r="BG453" s="380"/>
      <c r="BH453" s="380"/>
      <c r="BI453" s="380"/>
      <c r="BJ453" s="380"/>
      <c r="BK453" s="380"/>
      <c r="BL453" s="380"/>
      <c r="BM453" s="403"/>
      <c r="BS453" s="83"/>
      <c r="CA453" s="405"/>
      <c r="CG453" s="83"/>
      <c r="CO453" s="405"/>
      <c r="CU453" s="83"/>
      <c r="DC453" s="405"/>
      <c r="DI453" s="83"/>
      <c r="DQ453" s="405"/>
      <c r="DW453" s="83"/>
      <c r="EE453" s="405"/>
      <c r="EK453" s="83"/>
      <c r="ES453" s="405"/>
      <c r="EY453" s="83"/>
      <c r="FG453" s="405"/>
      <c r="FM453" s="83"/>
      <c r="FU453" s="405"/>
      <c r="GA453" s="83"/>
      <c r="GI453" s="405"/>
      <c r="GO453" s="83"/>
      <c r="GW453" s="405"/>
      <c r="HC453" s="83"/>
      <c r="HK453" s="405"/>
      <c r="HQ453" s="83"/>
      <c r="HY453" s="405"/>
      <c r="IE453" s="83"/>
      <c r="IM453" s="405"/>
      <c r="IS453" s="83"/>
      <c r="JA453" s="405"/>
      <c r="JG453" s="83"/>
      <c r="JO453" s="405"/>
      <c r="JU453" s="83"/>
      <c r="KC453" s="405"/>
      <c r="KI453" s="83"/>
      <c r="KQ453" s="405"/>
      <c r="KW453" s="83"/>
      <c r="LE453" s="405"/>
      <c r="LK453" s="83"/>
      <c r="LS453" s="405"/>
      <c r="LY453" s="83"/>
      <c r="MG453" s="405"/>
      <c r="MM453" s="83"/>
      <c r="MU453" s="405"/>
      <c r="NA453" s="83"/>
    </row>
    <row r="454">
      <c r="A454" s="483"/>
      <c r="B454" s="380"/>
      <c r="C454" s="380"/>
      <c r="D454" s="380"/>
      <c r="E454" s="380"/>
      <c r="F454" s="380"/>
      <c r="G454" s="380"/>
      <c r="H454" s="380"/>
      <c r="I454" s="403"/>
      <c r="J454" s="380"/>
      <c r="K454" s="380"/>
      <c r="L454" s="380"/>
      <c r="M454" s="380"/>
      <c r="N454" s="380"/>
      <c r="O454" s="404"/>
      <c r="P454" s="380"/>
      <c r="Q454" s="380"/>
      <c r="R454" s="380"/>
      <c r="S454" s="380"/>
      <c r="T454" s="380"/>
      <c r="U454" s="380"/>
      <c r="V454" s="380"/>
      <c r="W454" s="403"/>
      <c r="X454" s="380"/>
      <c r="Y454" s="380"/>
      <c r="Z454" s="380"/>
      <c r="AA454" s="380"/>
      <c r="AB454" s="380"/>
      <c r="AC454" s="404"/>
      <c r="AD454" s="380"/>
      <c r="AE454" s="380"/>
      <c r="AF454" s="380"/>
      <c r="AG454" s="380"/>
      <c r="AH454" s="380"/>
      <c r="AI454" s="380"/>
      <c r="AJ454" s="380"/>
      <c r="AK454" s="403"/>
      <c r="AL454" s="380"/>
      <c r="AM454" s="380"/>
      <c r="AN454" s="380"/>
      <c r="AO454" s="380"/>
      <c r="AP454" s="380"/>
      <c r="AQ454" s="404"/>
      <c r="AR454" s="380"/>
      <c r="AS454" s="380"/>
      <c r="AT454" s="380"/>
      <c r="AU454" s="380"/>
      <c r="AV454" s="380"/>
      <c r="AW454" s="380"/>
      <c r="AX454" s="380"/>
      <c r="AY454" s="403"/>
      <c r="AZ454" s="380"/>
      <c r="BA454" s="380"/>
      <c r="BB454" s="380"/>
      <c r="BC454" s="380"/>
      <c r="BD454" s="380"/>
      <c r="BE454" s="404"/>
      <c r="BF454" s="380"/>
      <c r="BG454" s="380"/>
      <c r="BH454" s="380"/>
      <c r="BI454" s="380"/>
      <c r="BJ454" s="380"/>
      <c r="BK454" s="380"/>
      <c r="BL454" s="380"/>
      <c r="BM454" s="403"/>
      <c r="BS454" s="83"/>
      <c r="CA454" s="405"/>
      <c r="CG454" s="83"/>
      <c r="CO454" s="405"/>
      <c r="CU454" s="83"/>
      <c r="DC454" s="405"/>
      <c r="DI454" s="83"/>
      <c r="DQ454" s="405"/>
      <c r="DW454" s="83"/>
      <c r="EE454" s="405"/>
      <c r="EK454" s="83"/>
      <c r="ES454" s="405"/>
      <c r="EY454" s="83"/>
      <c r="FG454" s="405"/>
      <c r="FM454" s="83"/>
      <c r="FU454" s="405"/>
      <c r="GA454" s="83"/>
      <c r="GI454" s="405"/>
      <c r="GO454" s="83"/>
      <c r="GW454" s="405"/>
      <c r="HC454" s="83"/>
      <c r="HK454" s="405"/>
      <c r="HQ454" s="83"/>
      <c r="HY454" s="405"/>
      <c r="IE454" s="83"/>
      <c r="IM454" s="405"/>
      <c r="IS454" s="83"/>
      <c r="JA454" s="405"/>
      <c r="JG454" s="83"/>
      <c r="JO454" s="405"/>
      <c r="JU454" s="83"/>
      <c r="KC454" s="405"/>
      <c r="KI454" s="83"/>
      <c r="KQ454" s="405"/>
      <c r="KW454" s="83"/>
      <c r="LE454" s="405"/>
      <c r="LK454" s="83"/>
      <c r="LS454" s="405"/>
      <c r="LY454" s="83"/>
      <c r="MG454" s="405"/>
      <c r="MM454" s="83"/>
      <c r="MU454" s="405"/>
      <c r="NA454" s="83"/>
    </row>
    <row r="455">
      <c r="A455" s="483"/>
      <c r="B455" s="380"/>
      <c r="C455" s="380"/>
      <c r="D455" s="380"/>
      <c r="E455" s="380"/>
      <c r="F455" s="380"/>
      <c r="G455" s="380"/>
      <c r="H455" s="380"/>
      <c r="I455" s="403"/>
      <c r="J455" s="380"/>
      <c r="K455" s="380"/>
      <c r="L455" s="380"/>
      <c r="M455" s="380"/>
      <c r="N455" s="380"/>
      <c r="O455" s="404"/>
      <c r="P455" s="380"/>
      <c r="Q455" s="380"/>
      <c r="R455" s="380"/>
      <c r="S455" s="380"/>
      <c r="T455" s="380"/>
      <c r="U455" s="380"/>
      <c r="V455" s="380"/>
      <c r="W455" s="403"/>
      <c r="X455" s="380"/>
      <c r="Y455" s="380"/>
      <c r="Z455" s="380"/>
      <c r="AA455" s="380"/>
      <c r="AB455" s="380"/>
      <c r="AC455" s="404"/>
      <c r="AD455" s="380"/>
      <c r="AE455" s="380"/>
      <c r="AF455" s="380"/>
      <c r="AG455" s="380"/>
      <c r="AH455" s="380"/>
      <c r="AI455" s="380"/>
      <c r="AJ455" s="380"/>
      <c r="AK455" s="403"/>
      <c r="AL455" s="380"/>
      <c r="AM455" s="380"/>
      <c r="AN455" s="380"/>
      <c r="AO455" s="380"/>
      <c r="AP455" s="380"/>
      <c r="AQ455" s="404"/>
      <c r="AR455" s="380"/>
      <c r="AS455" s="380"/>
      <c r="AT455" s="380"/>
      <c r="AU455" s="380"/>
      <c r="AV455" s="380"/>
      <c r="AW455" s="380"/>
      <c r="AX455" s="380"/>
      <c r="AY455" s="403"/>
      <c r="AZ455" s="380"/>
      <c r="BA455" s="380"/>
      <c r="BB455" s="380"/>
      <c r="BC455" s="380"/>
      <c r="BD455" s="380"/>
      <c r="BE455" s="404"/>
      <c r="BF455" s="380"/>
      <c r="BG455" s="380"/>
      <c r="BH455" s="380"/>
      <c r="BI455" s="380"/>
      <c r="BJ455" s="380"/>
      <c r="BK455" s="380"/>
      <c r="BL455" s="380"/>
      <c r="BM455" s="403"/>
      <c r="BS455" s="83"/>
      <c r="CA455" s="405"/>
      <c r="CG455" s="83"/>
      <c r="CO455" s="405"/>
      <c r="CU455" s="83"/>
      <c r="DC455" s="405"/>
      <c r="DI455" s="83"/>
      <c r="DQ455" s="405"/>
      <c r="DW455" s="83"/>
      <c r="EE455" s="405"/>
      <c r="EK455" s="83"/>
      <c r="ES455" s="405"/>
      <c r="EY455" s="83"/>
      <c r="FG455" s="405"/>
      <c r="FM455" s="83"/>
      <c r="FU455" s="405"/>
      <c r="GA455" s="83"/>
      <c r="GI455" s="405"/>
      <c r="GO455" s="83"/>
      <c r="GW455" s="405"/>
      <c r="HC455" s="83"/>
      <c r="HK455" s="405"/>
      <c r="HQ455" s="83"/>
      <c r="HY455" s="405"/>
      <c r="IE455" s="83"/>
      <c r="IM455" s="405"/>
      <c r="IS455" s="83"/>
      <c r="JA455" s="405"/>
      <c r="JG455" s="83"/>
      <c r="JO455" s="405"/>
      <c r="JU455" s="83"/>
      <c r="KC455" s="405"/>
      <c r="KI455" s="83"/>
      <c r="KQ455" s="405"/>
      <c r="KW455" s="83"/>
      <c r="LE455" s="405"/>
      <c r="LK455" s="83"/>
      <c r="LS455" s="405"/>
      <c r="LY455" s="83"/>
      <c r="MG455" s="405"/>
      <c r="MM455" s="83"/>
      <c r="MU455" s="405"/>
      <c r="NA455" s="83"/>
    </row>
    <row r="456">
      <c r="A456" s="483"/>
      <c r="B456" s="380"/>
      <c r="C456" s="380"/>
      <c r="D456" s="380"/>
      <c r="E456" s="380"/>
      <c r="F456" s="380"/>
      <c r="G456" s="380"/>
      <c r="H456" s="380"/>
      <c r="I456" s="403"/>
      <c r="J456" s="380"/>
      <c r="K456" s="380"/>
      <c r="L456" s="380"/>
      <c r="M456" s="380"/>
      <c r="N456" s="380"/>
      <c r="O456" s="404"/>
      <c r="P456" s="380"/>
      <c r="Q456" s="380"/>
      <c r="R456" s="380"/>
      <c r="S456" s="380"/>
      <c r="T456" s="380"/>
      <c r="U456" s="380"/>
      <c r="V456" s="380"/>
      <c r="W456" s="403"/>
      <c r="X456" s="380"/>
      <c r="Y456" s="380"/>
      <c r="Z456" s="380"/>
      <c r="AA456" s="380"/>
      <c r="AB456" s="380"/>
      <c r="AC456" s="404"/>
      <c r="AD456" s="380"/>
      <c r="AE456" s="380"/>
      <c r="AF456" s="380"/>
      <c r="AG456" s="380"/>
      <c r="AH456" s="380"/>
      <c r="AI456" s="380"/>
      <c r="AJ456" s="380"/>
      <c r="AK456" s="403"/>
      <c r="AL456" s="380"/>
      <c r="AM456" s="380"/>
      <c r="AN456" s="380"/>
      <c r="AO456" s="380"/>
      <c r="AP456" s="380"/>
      <c r="AQ456" s="404"/>
      <c r="AR456" s="380"/>
      <c r="AS456" s="380"/>
      <c r="AT456" s="380"/>
      <c r="AU456" s="380"/>
      <c r="AV456" s="380"/>
      <c r="AW456" s="380"/>
      <c r="AX456" s="380"/>
      <c r="AY456" s="403"/>
      <c r="AZ456" s="380"/>
      <c r="BA456" s="380"/>
      <c r="BB456" s="380"/>
      <c r="BC456" s="380"/>
      <c r="BD456" s="380"/>
      <c r="BE456" s="404"/>
      <c r="BF456" s="380"/>
      <c r="BG456" s="380"/>
      <c r="BH456" s="380"/>
      <c r="BI456" s="380"/>
      <c r="BJ456" s="380"/>
      <c r="BK456" s="380"/>
      <c r="BL456" s="380"/>
      <c r="BM456" s="403"/>
      <c r="BS456" s="83"/>
      <c r="CA456" s="405"/>
      <c r="CG456" s="83"/>
      <c r="CO456" s="405"/>
      <c r="CU456" s="83"/>
      <c r="DC456" s="405"/>
      <c r="DI456" s="83"/>
      <c r="DQ456" s="405"/>
      <c r="DW456" s="83"/>
      <c r="EE456" s="405"/>
      <c r="EK456" s="83"/>
      <c r="ES456" s="405"/>
      <c r="EY456" s="83"/>
      <c r="FG456" s="405"/>
      <c r="FM456" s="83"/>
      <c r="FU456" s="405"/>
      <c r="GA456" s="83"/>
      <c r="GI456" s="405"/>
      <c r="GO456" s="83"/>
      <c r="GW456" s="405"/>
      <c r="HC456" s="83"/>
      <c r="HK456" s="405"/>
      <c r="HQ456" s="83"/>
      <c r="HY456" s="405"/>
      <c r="IE456" s="83"/>
      <c r="IM456" s="405"/>
      <c r="IS456" s="83"/>
      <c r="JA456" s="405"/>
      <c r="JG456" s="83"/>
      <c r="JO456" s="405"/>
      <c r="JU456" s="83"/>
      <c r="KC456" s="405"/>
      <c r="KI456" s="83"/>
      <c r="KQ456" s="405"/>
      <c r="KW456" s="83"/>
      <c r="LE456" s="405"/>
      <c r="LK456" s="83"/>
      <c r="LS456" s="405"/>
      <c r="LY456" s="83"/>
      <c r="MG456" s="405"/>
      <c r="MM456" s="83"/>
      <c r="MU456" s="405"/>
      <c r="NA456" s="83"/>
    </row>
    <row r="457">
      <c r="A457" s="483"/>
      <c r="B457" s="380"/>
      <c r="C457" s="380"/>
      <c r="D457" s="380"/>
      <c r="E457" s="380"/>
      <c r="F457" s="380"/>
      <c r="G457" s="380"/>
      <c r="H457" s="380"/>
      <c r="I457" s="403"/>
      <c r="J457" s="380"/>
      <c r="K457" s="380"/>
      <c r="L457" s="380"/>
      <c r="M457" s="380"/>
      <c r="N457" s="380"/>
      <c r="O457" s="404"/>
      <c r="P457" s="380"/>
      <c r="Q457" s="380"/>
      <c r="R457" s="380"/>
      <c r="S457" s="380"/>
      <c r="T457" s="380"/>
      <c r="U457" s="380"/>
      <c r="V457" s="380"/>
      <c r="W457" s="403"/>
      <c r="X457" s="380"/>
      <c r="Y457" s="380"/>
      <c r="Z457" s="380"/>
      <c r="AA457" s="380"/>
      <c r="AB457" s="380"/>
      <c r="AC457" s="404"/>
      <c r="AD457" s="380"/>
      <c r="AE457" s="380"/>
      <c r="AF457" s="380"/>
      <c r="AG457" s="380"/>
      <c r="AH457" s="380"/>
      <c r="AI457" s="380"/>
      <c r="AJ457" s="380"/>
      <c r="AK457" s="403"/>
      <c r="AL457" s="380"/>
      <c r="AM457" s="380"/>
      <c r="AN457" s="380"/>
      <c r="AO457" s="380"/>
      <c r="AP457" s="380"/>
      <c r="AQ457" s="404"/>
      <c r="AR457" s="380"/>
      <c r="AS457" s="380"/>
      <c r="AT457" s="380"/>
      <c r="AU457" s="380"/>
      <c r="AV457" s="380"/>
      <c r="AW457" s="380"/>
      <c r="AX457" s="380"/>
      <c r="AY457" s="403"/>
      <c r="AZ457" s="380"/>
      <c r="BA457" s="380"/>
      <c r="BB457" s="380"/>
      <c r="BC457" s="380"/>
      <c r="BD457" s="380"/>
      <c r="BE457" s="404"/>
      <c r="BF457" s="380"/>
      <c r="BG457" s="380"/>
      <c r="BH457" s="380"/>
      <c r="BI457" s="380"/>
      <c r="BJ457" s="380"/>
      <c r="BK457" s="380"/>
      <c r="BL457" s="380"/>
      <c r="BM457" s="403"/>
      <c r="BS457" s="83"/>
      <c r="CA457" s="405"/>
      <c r="CG457" s="83"/>
      <c r="CO457" s="405"/>
      <c r="CU457" s="83"/>
      <c r="DC457" s="405"/>
      <c r="DI457" s="83"/>
      <c r="DQ457" s="405"/>
      <c r="DW457" s="83"/>
      <c r="EE457" s="405"/>
      <c r="EK457" s="83"/>
      <c r="ES457" s="405"/>
      <c r="EY457" s="83"/>
      <c r="FG457" s="405"/>
      <c r="FM457" s="83"/>
      <c r="FU457" s="405"/>
      <c r="GA457" s="83"/>
      <c r="GI457" s="405"/>
      <c r="GO457" s="83"/>
      <c r="GW457" s="405"/>
      <c r="HC457" s="83"/>
      <c r="HK457" s="405"/>
      <c r="HQ457" s="83"/>
      <c r="HY457" s="405"/>
      <c r="IE457" s="83"/>
      <c r="IM457" s="405"/>
      <c r="IS457" s="83"/>
      <c r="JA457" s="405"/>
      <c r="JG457" s="83"/>
      <c r="JO457" s="405"/>
      <c r="JU457" s="83"/>
      <c r="KC457" s="405"/>
      <c r="KI457" s="83"/>
      <c r="KQ457" s="405"/>
      <c r="KW457" s="83"/>
      <c r="LE457" s="405"/>
      <c r="LK457" s="83"/>
      <c r="LS457" s="405"/>
      <c r="LY457" s="83"/>
      <c r="MG457" s="405"/>
      <c r="MM457" s="83"/>
      <c r="MU457" s="405"/>
      <c r="NA457" s="83"/>
    </row>
    <row r="458">
      <c r="A458" s="483"/>
      <c r="B458" s="380"/>
      <c r="C458" s="380"/>
      <c r="D458" s="380"/>
      <c r="E458" s="380"/>
      <c r="F458" s="380"/>
      <c r="G458" s="380"/>
      <c r="H458" s="380"/>
      <c r="I458" s="403"/>
      <c r="J458" s="380"/>
      <c r="K458" s="380"/>
      <c r="L458" s="380"/>
      <c r="M458" s="380"/>
      <c r="N458" s="380"/>
      <c r="O458" s="404"/>
      <c r="P458" s="380"/>
      <c r="Q458" s="380"/>
      <c r="R458" s="380"/>
      <c r="S458" s="380"/>
      <c r="T458" s="380"/>
      <c r="U458" s="380"/>
      <c r="V458" s="380"/>
      <c r="W458" s="403"/>
      <c r="X458" s="380"/>
      <c r="Y458" s="380"/>
      <c r="Z458" s="380"/>
      <c r="AA458" s="380"/>
      <c r="AB458" s="380"/>
      <c r="AC458" s="404"/>
      <c r="AD458" s="380"/>
      <c r="AE458" s="380"/>
      <c r="AF458" s="380"/>
      <c r="AG458" s="380"/>
      <c r="AH458" s="380"/>
      <c r="AI458" s="380"/>
      <c r="AJ458" s="380"/>
      <c r="AK458" s="403"/>
      <c r="AL458" s="380"/>
      <c r="AM458" s="380"/>
      <c r="AN458" s="380"/>
      <c r="AO458" s="380"/>
      <c r="AP458" s="380"/>
      <c r="AQ458" s="404"/>
      <c r="AR458" s="380"/>
      <c r="AS458" s="380"/>
      <c r="AT458" s="380"/>
      <c r="AU458" s="380"/>
      <c r="AV458" s="380"/>
      <c r="AW458" s="380"/>
      <c r="AX458" s="380"/>
      <c r="AY458" s="403"/>
      <c r="AZ458" s="380"/>
      <c r="BA458" s="380"/>
      <c r="BB458" s="380"/>
      <c r="BC458" s="380"/>
      <c r="BD458" s="380"/>
      <c r="BE458" s="404"/>
      <c r="BF458" s="380"/>
      <c r="BG458" s="380"/>
      <c r="BH458" s="380"/>
      <c r="BI458" s="380"/>
      <c r="BJ458" s="380"/>
      <c r="BK458" s="380"/>
      <c r="BL458" s="380"/>
      <c r="BM458" s="403"/>
      <c r="BS458" s="83"/>
      <c r="CA458" s="405"/>
      <c r="CG458" s="83"/>
      <c r="CO458" s="405"/>
      <c r="CU458" s="83"/>
      <c r="DC458" s="405"/>
      <c r="DI458" s="83"/>
      <c r="DQ458" s="405"/>
      <c r="DW458" s="83"/>
      <c r="EE458" s="405"/>
      <c r="EK458" s="83"/>
      <c r="ES458" s="405"/>
      <c r="EY458" s="83"/>
      <c r="FG458" s="405"/>
      <c r="FM458" s="83"/>
      <c r="FU458" s="405"/>
      <c r="GA458" s="83"/>
      <c r="GI458" s="405"/>
      <c r="GO458" s="83"/>
      <c r="GW458" s="405"/>
      <c r="HC458" s="83"/>
      <c r="HK458" s="405"/>
      <c r="HQ458" s="83"/>
      <c r="HY458" s="405"/>
      <c r="IE458" s="83"/>
      <c r="IM458" s="405"/>
      <c r="IS458" s="83"/>
      <c r="JA458" s="405"/>
      <c r="JG458" s="83"/>
      <c r="JO458" s="405"/>
      <c r="JU458" s="83"/>
      <c r="KC458" s="405"/>
      <c r="KI458" s="83"/>
      <c r="KQ458" s="405"/>
      <c r="KW458" s="83"/>
      <c r="LE458" s="405"/>
      <c r="LK458" s="83"/>
      <c r="LS458" s="405"/>
      <c r="LY458" s="83"/>
      <c r="MG458" s="405"/>
      <c r="MM458" s="83"/>
      <c r="MU458" s="405"/>
      <c r="NA458" s="83"/>
    </row>
    <row r="459">
      <c r="A459" s="483"/>
      <c r="B459" s="380"/>
      <c r="C459" s="380"/>
      <c r="D459" s="380"/>
      <c r="E459" s="380"/>
      <c r="F459" s="380"/>
      <c r="G459" s="380"/>
      <c r="H459" s="380"/>
      <c r="I459" s="403"/>
      <c r="J459" s="380"/>
      <c r="K459" s="380"/>
      <c r="L459" s="380"/>
      <c r="M459" s="380"/>
      <c r="N459" s="380"/>
      <c r="O459" s="404"/>
      <c r="P459" s="380"/>
      <c r="Q459" s="380"/>
      <c r="R459" s="380"/>
      <c r="S459" s="380"/>
      <c r="T459" s="380"/>
      <c r="U459" s="380"/>
      <c r="V459" s="380"/>
      <c r="W459" s="403"/>
      <c r="X459" s="380"/>
      <c r="Y459" s="380"/>
      <c r="Z459" s="380"/>
      <c r="AA459" s="380"/>
      <c r="AB459" s="380"/>
      <c r="AC459" s="404"/>
      <c r="AD459" s="380"/>
      <c r="AE459" s="380"/>
      <c r="AF459" s="380"/>
      <c r="AG459" s="380"/>
      <c r="AH459" s="380"/>
      <c r="AI459" s="380"/>
      <c r="AJ459" s="380"/>
      <c r="AK459" s="403"/>
      <c r="AL459" s="380"/>
      <c r="AM459" s="380"/>
      <c r="AN459" s="380"/>
      <c r="AO459" s="380"/>
      <c r="AP459" s="380"/>
      <c r="AQ459" s="404"/>
      <c r="AR459" s="380"/>
      <c r="AS459" s="380"/>
      <c r="AT459" s="380"/>
      <c r="AU459" s="380"/>
      <c r="AV459" s="380"/>
      <c r="AW459" s="380"/>
      <c r="AX459" s="380"/>
      <c r="AY459" s="403"/>
      <c r="AZ459" s="380"/>
      <c r="BA459" s="380"/>
      <c r="BB459" s="380"/>
      <c r="BC459" s="380"/>
      <c r="BD459" s="380"/>
      <c r="BE459" s="404"/>
      <c r="BF459" s="380"/>
      <c r="BG459" s="380"/>
      <c r="BH459" s="380"/>
      <c r="BI459" s="380"/>
      <c r="BJ459" s="380"/>
      <c r="BK459" s="380"/>
      <c r="BL459" s="380"/>
      <c r="BM459" s="403"/>
      <c r="BS459" s="83"/>
      <c r="CA459" s="405"/>
      <c r="CG459" s="83"/>
      <c r="CO459" s="405"/>
      <c r="CU459" s="83"/>
      <c r="DC459" s="405"/>
      <c r="DI459" s="83"/>
      <c r="DQ459" s="405"/>
      <c r="DW459" s="83"/>
      <c r="EE459" s="405"/>
      <c r="EK459" s="83"/>
      <c r="ES459" s="405"/>
      <c r="EY459" s="83"/>
      <c r="FG459" s="405"/>
      <c r="FM459" s="83"/>
      <c r="FU459" s="405"/>
      <c r="GA459" s="83"/>
      <c r="GI459" s="405"/>
      <c r="GO459" s="83"/>
      <c r="GW459" s="405"/>
      <c r="HC459" s="83"/>
      <c r="HK459" s="405"/>
      <c r="HQ459" s="83"/>
      <c r="HY459" s="405"/>
      <c r="IE459" s="83"/>
      <c r="IM459" s="405"/>
      <c r="IS459" s="83"/>
      <c r="JA459" s="405"/>
      <c r="JG459" s="83"/>
      <c r="JO459" s="405"/>
      <c r="JU459" s="83"/>
      <c r="KC459" s="405"/>
      <c r="KI459" s="83"/>
      <c r="KQ459" s="405"/>
      <c r="KW459" s="83"/>
      <c r="LE459" s="405"/>
      <c r="LK459" s="83"/>
      <c r="LS459" s="405"/>
      <c r="LY459" s="83"/>
      <c r="MG459" s="405"/>
      <c r="MM459" s="83"/>
      <c r="MU459" s="405"/>
      <c r="NA459" s="83"/>
    </row>
    <row r="460">
      <c r="A460" s="483"/>
      <c r="B460" s="380"/>
      <c r="C460" s="380"/>
      <c r="D460" s="380"/>
      <c r="E460" s="380"/>
      <c r="F460" s="380"/>
      <c r="G460" s="380"/>
      <c r="H460" s="380"/>
      <c r="I460" s="403"/>
      <c r="J460" s="380"/>
      <c r="K460" s="380"/>
      <c r="L460" s="380"/>
      <c r="M460" s="380"/>
      <c r="N460" s="380"/>
      <c r="O460" s="404"/>
      <c r="P460" s="380"/>
      <c r="Q460" s="380"/>
      <c r="R460" s="380"/>
      <c r="S460" s="380"/>
      <c r="T460" s="380"/>
      <c r="U460" s="380"/>
      <c r="V460" s="380"/>
      <c r="W460" s="403"/>
      <c r="X460" s="380"/>
      <c r="Y460" s="380"/>
      <c r="Z460" s="380"/>
      <c r="AA460" s="380"/>
      <c r="AB460" s="380"/>
      <c r="AC460" s="404"/>
      <c r="AD460" s="380"/>
      <c r="AE460" s="380"/>
      <c r="AF460" s="380"/>
      <c r="AG460" s="380"/>
      <c r="AH460" s="380"/>
      <c r="AI460" s="380"/>
      <c r="AJ460" s="380"/>
      <c r="AK460" s="403"/>
      <c r="AL460" s="380"/>
      <c r="AM460" s="380"/>
      <c r="AN460" s="380"/>
      <c r="AO460" s="380"/>
      <c r="AP460" s="380"/>
      <c r="AQ460" s="404"/>
      <c r="AR460" s="380"/>
      <c r="AS460" s="380"/>
      <c r="AT460" s="380"/>
      <c r="AU460" s="380"/>
      <c r="AV460" s="380"/>
      <c r="AW460" s="380"/>
      <c r="AX460" s="380"/>
      <c r="AY460" s="403"/>
      <c r="AZ460" s="380"/>
      <c r="BA460" s="380"/>
      <c r="BB460" s="380"/>
      <c r="BC460" s="380"/>
      <c r="BD460" s="380"/>
      <c r="BE460" s="404"/>
      <c r="BF460" s="380"/>
      <c r="BG460" s="380"/>
      <c r="BH460" s="380"/>
      <c r="BI460" s="380"/>
      <c r="BJ460" s="380"/>
      <c r="BK460" s="380"/>
      <c r="BL460" s="380"/>
      <c r="BM460" s="403"/>
      <c r="BS460" s="83"/>
      <c r="CA460" s="405"/>
      <c r="CG460" s="83"/>
      <c r="CO460" s="405"/>
      <c r="CU460" s="83"/>
      <c r="DC460" s="405"/>
      <c r="DI460" s="83"/>
      <c r="DQ460" s="405"/>
      <c r="DW460" s="83"/>
      <c r="EE460" s="405"/>
      <c r="EK460" s="83"/>
      <c r="ES460" s="405"/>
      <c r="EY460" s="83"/>
      <c r="FG460" s="405"/>
      <c r="FM460" s="83"/>
      <c r="FU460" s="405"/>
      <c r="GA460" s="83"/>
      <c r="GI460" s="405"/>
      <c r="GO460" s="83"/>
      <c r="GW460" s="405"/>
      <c r="HC460" s="83"/>
      <c r="HK460" s="405"/>
      <c r="HQ460" s="83"/>
      <c r="HY460" s="405"/>
      <c r="IE460" s="83"/>
      <c r="IM460" s="405"/>
      <c r="IS460" s="83"/>
      <c r="JA460" s="405"/>
      <c r="JG460" s="83"/>
      <c r="JO460" s="405"/>
      <c r="JU460" s="83"/>
      <c r="KC460" s="405"/>
      <c r="KI460" s="83"/>
      <c r="KQ460" s="405"/>
      <c r="KW460" s="83"/>
      <c r="LE460" s="405"/>
      <c r="LK460" s="83"/>
      <c r="LS460" s="405"/>
      <c r="LY460" s="83"/>
      <c r="MG460" s="405"/>
      <c r="MM460" s="83"/>
      <c r="MU460" s="405"/>
      <c r="NA460" s="83"/>
    </row>
    <row r="461">
      <c r="A461" s="483"/>
      <c r="B461" s="380"/>
      <c r="C461" s="380"/>
      <c r="D461" s="380"/>
      <c r="E461" s="380"/>
      <c r="F461" s="380"/>
      <c r="G461" s="380"/>
      <c r="H461" s="380"/>
      <c r="I461" s="403"/>
      <c r="J461" s="380"/>
      <c r="K461" s="380"/>
      <c r="L461" s="380"/>
      <c r="M461" s="380"/>
      <c r="N461" s="380"/>
      <c r="O461" s="404"/>
      <c r="P461" s="380"/>
      <c r="Q461" s="380"/>
      <c r="R461" s="380"/>
      <c r="S461" s="380"/>
      <c r="T461" s="380"/>
      <c r="U461" s="380"/>
      <c r="V461" s="380"/>
      <c r="W461" s="403"/>
      <c r="X461" s="380"/>
      <c r="Y461" s="380"/>
      <c r="Z461" s="380"/>
      <c r="AA461" s="380"/>
      <c r="AB461" s="380"/>
      <c r="AC461" s="404"/>
      <c r="AD461" s="380"/>
      <c r="AE461" s="380"/>
      <c r="AF461" s="380"/>
      <c r="AG461" s="380"/>
      <c r="AH461" s="380"/>
      <c r="AI461" s="380"/>
      <c r="AJ461" s="380"/>
      <c r="AK461" s="403"/>
      <c r="AL461" s="380"/>
      <c r="AM461" s="380"/>
      <c r="AN461" s="380"/>
      <c r="AO461" s="380"/>
      <c r="AP461" s="380"/>
      <c r="AQ461" s="404"/>
      <c r="AR461" s="380"/>
      <c r="AS461" s="380"/>
      <c r="AT461" s="380"/>
      <c r="AU461" s="380"/>
      <c r="AV461" s="380"/>
      <c r="AW461" s="380"/>
      <c r="AX461" s="380"/>
      <c r="AY461" s="403"/>
      <c r="AZ461" s="380"/>
      <c r="BA461" s="380"/>
      <c r="BB461" s="380"/>
      <c r="BC461" s="380"/>
      <c r="BD461" s="380"/>
      <c r="BE461" s="404"/>
      <c r="BF461" s="380"/>
      <c r="BG461" s="380"/>
      <c r="BH461" s="380"/>
      <c r="BI461" s="380"/>
      <c r="BJ461" s="380"/>
      <c r="BK461" s="380"/>
      <c r="BL461" s="380"/>
      <c r="BM461" s="403"/>
      <c r="BS461" s="83"/>
      <c r="CA461" s="405"/>
      <c r="CG461" s="83"/>
      <c r="CO461" s="405"/>
      <c r="CU461" s="83"/>
      <c r="DC461" s="405"/>
      <c r="DI461" s="83"/>
      <c r="DQ461" s="405"/>
      <c r="DW461" s="83"/>
      <c r="EE461" s="405"/>
      <c r="EK461" s="83"/>
      <c r="ES461" s="405"/>
      <c r="EY461" s="83"/>
      <c r="FG461" s="405"/>
      <c r="FM461" s="83"/>
      <c r="FU461" s="405"/>
      <c r="GA461" s="83"/>
      <c r="GI461" s="405"/>
      <c r="GO461" s="83"/>
      <c r="GW461" s="405"/>
      <c r="HC461" s="83"/>
      <c r="HK461" s="405"/>
      <c r="HQ461" s="83"/>
      <c r="HY461" s="405"/>
      <c r="IE461" s="83"/>
      <c r="IM461" s="405"/>
      <c r="IS461" s="83"/>
      <c r="JA461" s="405"/>
      <c r="JG461" s="83"/>
      <c r="JO461" s="405"/>
      <c r="JU461" s="83"/>
      <c r="KC461" s="405"/>
      <c r="KI461" s="83"/>
      <c r="KQ461" s="405"/>
      <c r="KW461" s="83"/>
      <c r="LE461" s="405"/>
      <c r="LK461" s="83"/>
      <c r="LS461" s="405"/>
      <c r="LY461" s="83"/>
      <c r="MG461" s="405"/>
      <c r="MM461" s="83"/>
      <c r="MU461" s="405"/>
      <c r="NA461" s="83"/>
    </row>
    <row r="462">
      <c r="A462" s="483"/>
      <c r="B462" s="380"/>
      <c r="C462" s="380"/>
      <c r="D462" s="380"/>
      <c r="E462" s="380"/>
      <c r="F462" s="380"/>
      <c r="G462" s="380"/>
      <c r="H462" s="380"/>
      <c r="I462" s="403"/>
      <c r="J462" s="380"/>
      <c r="K462" s="380"/>
      <c r="L462" s="380"/>
      <c r="M462" s="380"/>
      <c r="N462" s="380"/>
      <c r="O462" s="404"/>
      <c r="P462" s="380"/>
      <c r="Q462" s="380"/>
      <c r="R462" s="380"/>
      <c r="S462" s="380"/>
      <c r="T462" s="380"/>
      <c r="U462" s="380"/>
      <c r="V462" s="380"/>
      <c r="W462" s="403"/>
      <c r="X462" s="380"/>
      <c r="Y462" s="380"/>
      <c r="Z462" s="380"/>
      <c r="AA462" s="380"/>
      <c r="AB462" s="380"/>
      <c r="AC462" s="404"/>
      <c r="AD462" s="380"/>
      <c r="AE462" s="380"/>
      <c r="AF462" s="380"/>
      <c r="AG462" s="380"/>
      <c r="AH462" s="380"/>
      <c r="AI462" s="380"/>
      <c r="AJ462" s="380"/>
      <c r="AK462" s="403"/>
      <c r="AL462" s="380"/>
      <c r="AM462" s="380"/>
      <c r="AN462" s="380"/>
      <c r="AO462" s="380"/>
      <c r="AP462" s="380"/>
      <c r="AQ462" s="404"/>
      <c r="AR462" s="380"/>
      <c r="AS462" s="380"/>
      <c r="AT462" s="380"/>
      <c r="AU462" s="380"/>
      <c r="AV462" s="380"/>
      <c r="AW462" s="380"/>
      <c r="AX462" s="380"/>
      <c r="AY462" s="403"/>
      <c r="AZ462" s="380"/>
      <c r="BA462" s="380"/>
      <c r="BB462" s="380"/>
      <c r="BC462" s="380"/>
      <c r="BD462" s="380"/>
      <c r="BE462" s="404"/>
      <c r="BF462" s="380"/>
      <c r="BG462" s="380"/>
      <c r="BH462" s="380"/>
      <c r="BI462" s="380"/>
      <c r="BJ462" s="380"/>
      <c r="BK462" s="380"/>
      <c r="BL462" s="380"/>
      <c r="BM462" s="403"/>
      <c r="BS462" s="83"/>
      <c r="CA462" s="405"/>
      <c r="CG462" s="83"/>
      <c r="CO462" s="405"/>
      <c r="CU462" s="83"/>
      <c r="DC462" s="405"/>
      <c r="DI462" s="83"/>
      <c r="DQ462" s="405"/>
      <c r="DW462" s="83"/>
      <c r="EE462" s="405"/>
      <c r="EK462" s="83"/>
      <c r="ES462" s="405"/>
      <c r="EY462" s="83"/>
      <c r="FG462" s="405"/>
      <c r="FM462" s="83"/>
      <c r="FU462" s="405"/>
      <c r="GA462" s="83"/>
      <c r="GI462" s="405"/>
      <c r="GO462" s="83"/>
      <c r="GW462" s="405"/>
      <c r="HC462" s="83"/>
      <c r="HK462" s="405"/>
      <c r="HQ462" s="83"/>
      <c r="HY462" s="405"/>
      <c r="IE462" s="83"/>
      <c r="IM462" s="405"/>
      <c r="IS462" s="83"/>
      <c r="JA462" s="405"/>
      <c r="JG462" s="83"/>
      <c r="JO462" s="405"/>
      <c r="JU462" s="83"/>
      <c r="KC462" s="405"/>
      <c r="KI462" s="83"/>
      <c r="KQ462" s="405"/>
      <c r="KW462" s="83"/>
      <c r="LE462" s="405"/>
      <c r="LK462" s="83"/>
      <c r="LS462" s="405"/>
      <c r="LY462" s="83"/>
      <c r="MG462" s="405"/>
      <c r="MM462" s="83"/>
      <c r="MU462" s="405"/>
      <c r="NA462" s="83"/>
    </row>
    <row r="463">
      <c r="A463" s="483"/>
      <c r="B463" s="380"/>
      <c r="C463" s="380"/>
      <c r="D463" s="380"/>
      <c r="E463" s="380"/>
      <c r="F463" s="380"/>
      <c r="G463" s="380"/>
      <c r="H463" s="380"/>
      <c r="I463" s="403"/>
      <c r="J463" s="380"/>
      <c r="K463" s="380"/>
      <c r="L463" s="380"/>
      <c r="M463" s="380"/>
      <c r="N463" s="380"/>
      <c r="O463" s="404"/>
      <c r="P463" s="380"/>
      <c r="Q463" s="380"/>
      <c r="R463" s="380"/>
      <c r="S463" s="380"/>
      <c r="T463" s="380"/>
      <c r="U463" s="380"/>
      <c r="V463" s="380"/>
      <c r="W463" s="403"/>
      <c r="X463" s="380"/>
      <c r="Y463" s="380"/>
      <c r="Z463" s="380"/>
      <c r="AA463" s="380"/>
      <c r="AB463" s="380"/>
      <c r="AC463" s="404"/>
      <c r="AD463" s="380"/>
      <c r="AE463" s="380"/>
      <c r="AF463" s="380"/>
      <c r="AG463" s="380"/>
      <c r="AH463" s="380"/>
      <c r="AI463" s="380"/>
      <c r="AJ463" s="380"/>
      <c r="AK463" s="403"/>
      <c r="AL463" s="380"/>
      <c r="AM463" s="380"/>
      <c r="AN463" s="380"/>
      <c r="AO463" s="380"/>
      <c r="AP463" s="380"/>
      <c r="AQ463" s="404"/>
      <c r="AR463" s="380"/>
      <c r="AS463" s="380"/>
      <c r="AT463" s="380"/>
      <c r="AU463" s="380"/>
      <c r="AV463" s="380"/>
      <c r="AW463" s="380"/>
      <c r="AX463" s="380"/>
      <c r="AY463" s="403"/>
      <c r="AZ463" s="380"/>
      <c r="BA463" s="380"/>
      <c r="BB463" s="380"/>
      <c r="BC463" s="380"/>
      <c r="BD463" s="380"/>
      <c r="BE463" s="404"/>
      <c r="BF463" s="380"/>
      <c r="BG463" s="380"/>
      <c r="BH463" s="380"/>
      <c r="BI463" s="380"/>
      <c r="BJ463" s="380"/>
      <c r="BK463" s="380"/>
      <c r="BL463" s="380"/>
      <c r="BM463" s="403"/>
      <c r="BS463" s="83"/>
      <c r="CA463" s="405"/>
      <c r="CG463" s="83"/>
      <c r="CO463" s="405"/>
      <c r="CU463" s="83"/>
      <c r="DC463" s="405"/>
      <c r="DI463" s="83"/>
      <c r="DQ463" s="405"/>
      <c r="DW463" s="83"/>
      <c r="EE463" s="405"/>
      <c r="EK463" s="83"/>
      <c r="ES463" s="405"/>
      <c r="EY463" s="83"/>
      <c r="FG463" s="405"/>
      <c r="FM463" s="83"/>
      <c r="FU463" s="405"/>
      <c r="GA463" s="83"/>
      <c r="GI463" s="405"/>
      <c r="GO463" s="83"/>
      <c r="GW463" s="405"/>
      <c r="HC463" s="83"/>
      <c r="HK463" s="405"/>
      <c r="HQ463" s="83"/>
      <c r="HY463" s="405"/>
      <c r="IE463" s="83"/>
      <c r="IM463" s="405"/>
      <c r="IS463" s="83"/>
      <c r="JA463" s="405"/>
      <c r="JG463" s="83"/>
      <c r="JO463" s="405"/>
      <c r="JU463" s="83"/>
      <c r="KC463" s="405"/>
      <c r="KI463" s="83"/>
      <c r="KQ463" s="405"/>
      <c r="KW463" s="83"/>
      <c r="LE463" s="405"/>
      <c r="LK463" s="83"/>
      <c r="LS463" s="405"/>
      <c r="LY463" s="83"/>
      <c r="MG463" s="405"/>
      <c r="MM463" s="83"/>
      <c r="MU463" s="405"/>
      <c r="NA463" s="83"/>
    </row>
    <row r="464">
      <c r="A464" s="483"/>
      <c r="B464" s="380"/>
      <c r="C464" s="380"/>
      <c r="D464" s="380"/>
      <c r="E464" s="380"/>
      <c r="F464" s="380"/>
      <c r="G464" s="380"/>
      <c r="H464" s="380"/>
      <c r="I464" s="403"/>
      <c r="J464" s="380"/>
      <c r="K464" s="380"/>
      <c r="L464" s="380"/>
      <c r="M464" s="380"/>
      <c r="N464" s="380"/>
      <c r="O464" s="404"/>
      <c r="P464" s="380"/>
      <c r="Q464" s="380"/>
      <c r="R464" s="380"/>
      <c r="S464" s="380"/>
      <c r="T464" s="380"/>
      <c r="U464" s="380"/>
      <c r="V464" s="380"/>
      <c r="W464" s="403"/>
      <c r="X464" s="380"/>
      <c r="Y464" s="380"/>
      <c r="Z464" s="380"/>
      <c r="AA464" s="380"/>
      <c r="AB464" s="380"/>
      <c r="AC464" s="404"/>
      <c r="AD464" s="380"/>
      <c r="AE464" s="380"/>
      <c r="AF464" s="380"/>
      <c r="AG464" s="380"/>
      <c r="AH464" s="380"/>
      <c r="AI464" s="380"/>
      <c r="AJ464" s="380"/>
      <c r="AK464" s="403"/>
      <c r="AL464" s="380"/>
      <c r="AM464" s="380"/>
      <c r="AN464" s="380"/>
      <c r="AO464" s="380"/>
      <c r="AP464" s="380"/>
      <c r="AQ464" s="404"/>
      <c r="AR464" s="380"/>
      <c r="AS464" s="380"/>
      <c r="AT464" s="380"/>
      <c r="AU464" s="380"/>
      <c r="AV464" s="380"/>
      <c r="AW464" s="380"/>
      <c r="AX464" s="380"/>
      <c r="AY464" s="403"/>
      <c r="AZ464" s="380"/>
      <c r="BA464" s="380"/>
      <c r="BB464" s="380"/>
      <c r="BC464" s="380"/>
      <c r="BD464" s="380"/>
      <c r="BE464" s="404"/>
      <c r="BF464" s="380"/>
      <c r="BG464" s="380"/>
      <c r="BH464" s="380"/>
      <c r="BI464" s="380"/>
      <c r="BJ464" s="380"/>
      <c r="BK464" s="380"/>
      <c r="BL464" s="380"/>
      <c r="BM464" s="403"/>
      <c r="BS464" s="83"/>
      <c r="CA464" s="405"/>
      <c r="CG464" s="83"/>
      <c r="CO464" s="405"/>
      <c r="CU464" s="83"/>
      <c r="DC464" s="405"/>
      <c r="DI464" s="83"/>
      <c r="DQ464" s="405"/>
      <c r="DW464" s="83"/>
      <c r="EE464" s="405"/>
      <c r="EK464" s="83"/>
      <c r="ES464" s="405"/>
      <c r="EY464" s="83"/>
      <c r="FG464" s="405"/>
      <c r="FM464" s="83"/>
      <c r="FU464" s="405"/>
      <c r="GA464" s="83"/>
      <c r="GI464" s="405"/>
      <c r="GO464" s="83"/>
      <c r="GW464" s="405"/>
      <c r="HC464" s="83"/>
      <c r="HK464" s="405"/>
      <c r="HQ464" s="83"/>
      <c r="HY464" s="405"/>
      <c r="IE464" s="83"/>
      <c r="IM464" s="405"/>
      <c r="IS464" s="83"/>
      <c r="JA464" s="405"/>
      <c r="JG464" s="83"/>
      <c r="JO464" s="405"/>
      <c r="JU464" s="83"/>
      <c r="KC464" s="405"/>
      <c r="KI464" s="83"/>
      <c r="KQ464" s="405"/>
      <c r="KW464" s="83"/>
      <c r="LE464" s="405"/>
      <c r="LK464" s="83"/>
      <c r="LS464" s="405"/>
      <c r="LY464" s="83"/>
      <c r="MG464" s="405"/>
      <c r="MM464" s="83"/>
      <c r="MU464" s="405"/>
      <c r="NA464" s="83"/>
    </row>
    <row r="465">
      <c r="A465" s="483"/>
      <c r="B465" s="380"/>
      <c r="C465" s="380"/>
      <c r="D465" s="380"/>
      <c r="E465" s="380"/>
      <c r="F465" s="380"/>
      <c r="G465" s="380"/>
      <c r="H465" s="380"/>
      <c r="I465" s="403"/>
      <c r="J465" s="380"/>
      <c r="K465" s="380"/>
      <c r="L465" s="380"/>
      <c r="M465" s="380"/>
      <c r="N465" s="380"/>
      <c r="O465" s="404"/>
      <c r="P465" s="380"/>
      <c r="Q465" s="380"/>
      <c r="R465" s="380"/>
      <c r="S465" s="380"/>
      <c r="T465" s="380"/>
      <c r="U465" s="380"/>
      <c r="V465" s="380"/>
      <c r="W465" s="403"/>
      <c r="X465" s="380"/>
      <c r="Y465" s="380"/>
      <c r="Z465" s="380"/>
      <c r="AA465" s="380"/>
      <c r="AB465" s="380"/>
      <c r="AC465" s="404"/>
      <c r="AD465" s="380"/>
      <c r="AE465" s="380"/>
      <c r="AF465" s="380"/>
      <c r="AG465" s="380"/>
      <c r="AH465" s="380"/>
      <c r="AI465" s="380"/>
      <c r="AJ465" s="380"/>
      <c r="AK465" s="403"/>
      <c r="AL465" s="380"/>
      <c r="AM465" s="380"/>
      <c r="AN465" s="380"/>
      <c r="AO465" s="380"/>
      <c r="AP465" s="380"/>
      <c r="AQ465" s="404"/>
      <c r="AR465" s="380"/>
      <c r="AS465" s="380"/>
      <c r="AT465" s="380"/>
      <c r="AU465" s="380"/>
      <c r="AV465" s="380"/>
      <c r="AW465" s="380"/>
      <c r="AX465" s="380"/>
      <c r="AY465" s="403"/>
      <c r="AZ465" s="380"/>
      <c r="BA465" s="380"/>
      <c r="BB465" s="380"/>
      <c r="BC465" s="380"/>
      <c r="BD465" s="380"/>
      <c r="BE465" s="404"/>
      <c r="BF465" s="380"/>
      <c r="BG465" s="380"/>
      <c r="BH465" s="380"/>
      <c r="BI465" s="380"/>
      <c r="BJ465" s="380"/>
      <c r="BK465" s="380"/>
      <c r="BL465" s="380"/>
      <c r="BM465" s="403"/>
      <c r="BS465" s="83"/>
      <c r="CA465" s="405"/>
      <c r="CG465" s="83"/>
      <c r="CO465" s="405"/>
      <c r="CU465" s="83"/>
      <c r="DC465" s="405"/>
      <c r="DI465" s="83"/>
      <c r="DQ465" s="405"/>
      <c r="DW465" s="83"/>
      <c r="EE465" s="405"/>
      <c r="EK465" s="83"/>
      <c r="ES465" s="405"/>
      <c r="EY465" s="83"/>
      <c r="FG465" s="405"/>
      <c r="FM465" s="83"/>
      <c r="FU465" s="405"/>
      <c r="GA465" s="83"/>
      <c r="GI465" s="405"/>
      <c r="GO465" s="83"/>
      <c r="GW465" s="405"/>
      <c r="HC465" s="83"/>
      <c r="HK465" s="405"/>
      <c r="HQ465" s="83"/>
      <c r="HY465" s="405"/>
      <c r="IE465" s="83"/>
      <c r="IM465" s="405"/>
      <c r="IS465" s="83"/>
      <c r="JA465" s="405"/>
      <c r="JG465" s="83"/>
      <c r="JO465" s="405"/>
      <c r="JU465" s="83"/>
      <c r="KC465" s="405"/>
      <c r="KI465" s="83"/>
      <c r="KQ465" s="405"/>
      <c r="KW465" s="83"/>
      <c r="LE465" s="405"/>
      <c r="LK465" s="83"/>
      <c r="LS465" s="405"/>
      <c r="LY465" s="83"/>
      <c r="MG465" s="405"/>
      <c r="MM465" s="83"/>
      <c r="MU465" s="405"/>
      <c r="NA465" s="83"/>
    </row>
    <row r="466">
      <c r="A466" s="483"/>
      <c r="B466" s="380"/>
      <c r="C466" s="380"/>
      <c r="D466" s="380"/>
      <c r="E466" s="380"/>
      <c r="F466" s="380"/>
      <c r="G466" s="380"/>
      <c r="H466" s="380"/>
      <c r="I466" s="403"/>
      <c r="J466" s="380"/>
      <c r="K466" s="380"/>
      <c r="L466" s="380"/>
      <c r="M466" s="380"/>
      <c r="N466" s="380"/>
      <c r="O466" s="404"/>
      <c r="P466" s="380"/>
      <c r="Q466" s="380"/>
      <c r="R466" s="380"/>
      <c r="S466" s="380"/>
      <c r="T466" s="380"/>
      <c r="U466" s="380"/>
      <c r="V466" s="380"/>
      <c r="W466" s="403"/>
      <c r="X466" s="380"/>
      <c r="Y466" s="380"/>
      <c r="Z466" s="380"/>
      <c r="AA466" s="380"/>
      <c r="AB466" s="380"/>
      <c r="AC466" s="404"/>
      <c r="AD466" s="380"/>
      <c r="AE466" s="380"/>
      <c r="AF466" s="380"/>
      <c r="AG466" s="380"/>
      <c r="AH466" s="380"/>
      <c r="AI466" s="380"/>
      <c r="AJ466" s="380"/>
      <c r="AK466" s="403"/>
      <c r="AL466" s="380"/>
      <c r="AM466" s="380"/>
      <c r="AN466" s="380"/>
      <c r="AO466" s="380"/>
      <c r="AP466" s="380"/>
      <c r="AQ466" s="404"/>
      <c r="AR466" s="380"/>
      <c r="AS466" s="380"/>
      <c r="AT466" s="380"/>
      <c r="AU466" s="380"/>
      <c r="AV466" s="380"/>
      <c r="AW466" s="380"/>
      <c r="AX466" s="380"/>
      <c r="AY466" s="403"/>
      <c r="AZ466" s="380"/>
      <c r="BA466" s="380"/>
      <c r="BB466" s="380"/>
      <c r="BC466" s="380"/>
      <c r="BD466" s="380"/>
      <c r="BE466" s="404"/>
      <c r="BF466" s="380"/>
      <c r="BG466" s="380"/>
      <c r="BH466" s="380"/>
      <c r="BI466" s="380"/>
      <c r="BJ466" s="380"/>
      <c r="BK466" s="380"/>
      <c r="BL466" s="380"/>
      <c r="BM466" s="403"/>
      <c r="BS466" s="83"/>
      <c r="CA466" s="405"/>
      <c r="CG466" s="83"/>
      <c r="CO466" s="405"/>
      <c r="CU466" s="83"/>
      <c r="DC466" s="405"/>
      <c r="DI466" s="83"/>
      <c r="DQ466" s="405"/>
      <c r="DW466" s="83"/>
      <c r="EE466" s="405"/>
      <c r="EK466" s="83"/>
      <c r="ES466" s="405"/>
      <c r="EY466" s="83"/>
      <c r="FG466" s="405"/>
      <c r="FM466" s="83"/>
      <c r="FU466" s="405"/>
      <c r="GA466" s="83"/>
      <c r="GI466" s="405"/>
      <c r="GO466" s="83"/>
      <c r="GW466" s="405"/>
      <c r="HC466" s="83"/>
      <c r="HK466" s="405"/>
      <c r="HQ466" s="83"/>
      <c r="HY466" s="405"/>
      <c r="IE466" s="83"/>
      <c r="IM466" s="405"/>
      <c r="IS466" s="83"/>
      <c r="JA466" s="405"/>
      <c r="JG466" s="83"/>
      <c r="JO466" s="405"/>
      <c r="JU466" s="83"/>
      <c r="KC466" s="405"/>
      <c r="KI466" s="83"/>
      <c r="KQ466" s="405"/>
      <c r="KW466" s="83"/>
      <c r="LE466" s="405"/>
      <c r="LK466" s="83"/>
      <c r="LS466" s="405"/>
      <c r="LY466" s="83"/>
      <c r="MG466" s="405"/>
      <c r="MM466" s="83"/>
      <c r="MU466" s="405"/>
      <c r="NA466" s="83"/>
    </row>
    <row r="467">
      <c r="A467" s="483"/>
      <c r="B467" s="380"/>
      <c r="C467" s="380"/>
      <c r="D467" s="380"/>
      <c r="E467" s="380"/>
      <c r="F467" s="380"/>
      <c r="G467" s="380"/>
      <c r="H467" s="380"/>
      <c r="I467" s="403"/>
      <c r="J467" s="380"/>
      <c r="K467" s="380"/>
      <c r="L467" s="380"/>
      <c r="M467" s="380"/>
      <c r="N467" s="380"/>
      <c r="O467" s="404"/>
      <c r="P467" s="380"/>
      <c r="Q467" s="380"/>
      <c r="R467" s="380"/>
      <c r="S467" s="380"/>
      <c r="T467" s="380"/>
      <c r="U467" s="380"/>
      <c r="V467" s="380"/>
      <c r="W467" s="403"/>
      <c r="X467" s="380"/>
      <c r="Y467" s="380"/>
      <c r="Z467" s="380"/>
      <c r="AA467" s="380"/>
      <c r="AB467" s="380"/>
      <c r="AC467" s="404"/>
      <c r="AD467" s="380"/>
      <c r="AE467" s="380"/>
      <c r="AF467" s="380"/>
      <c r="AG467" s="380"/>
      <c r="AH467" s="380"/>
      <c r="AI467" s="380"/>
      <c r="AJ467" s="380"/>
      <c r="AK467" s="403"/>
      <c r="AL467" s="380"/>
      <c r="AM467" s="380"/>
      <c r="AN467" s="380"/>
      <c r="AO467" s="380"/>
      <c r="AP467" s="380"/>
      <c r="AQ467" s="404"/>
      <c r="AR467" s="380"/>
      <c r="AS467" s="380"/>
      <c r="AT467" s="380"/>
      <c r="AU467" s="380"/>
      <c r="AV467" s="380"/>
      <c r="AW467" s="380"/>
      <c r="AX467" s="380"/>
      <c r="AY467" s="403"/>
      <c r="AZ467" s="380"/>
      <c r="BA467" s="380"/>
      <c r="BB467" s="380"/>
      <c r="BC467" s="380"/>
      <c r="BD467" s="380"/>
      <c r="BE467" s="404"/>
      <c r="BF467" s="380"/>
      <c r="BG467" s="380"/>
      <c r="BH467" s="380"/>
      <c r="BI467" s="380"/>
      <c r="BJ467" s="380"/>
      <c r="BK467" s="380"/>
      <c r="BL467" s="380"/>
      <c r="BM467" s="403"/>
      <c r="BS467" s="83"/>
      <c r="CA467" s="405"/>
      <c r="CG467" s="83"/>
      <c r="CO467" s="405"/>
      <c r="CU467" s="83"/>
      <c r="DC467" s="405"/>
      <c r="DI467" s="83"/>
      <c r="DQ467" s="405"/>
      <c r="DW467" s="83"/>
      <c r="EE467" s="405"/>
      <c r="EK467" s="83"/>
      <c r="ES467" s="405"/>
      <c r="EY467" s="83"/>
      <c r="FG467" s="405"/>
      <c r="FM467" s="83"/>
      <c r="FU467" s="405"/>
      <c r="GA467" s="83"/>
      <c r="GI467" s="405"/>
      <c r="GO467" s="83"/>
      <c r="GW467" s="405"/>
      <c r="HC467" s="83"/>
      <c r="HK467" s="405"/>
      <c r="HQ467" s="83"/>
      <c r="HY467" s="405"/>
      <c r="IE467" s="83"/>
      <c r="IM467" s="405"/>
      <c r="IS467" s="83"/>
      <c r="JA467" s="405"/>
      <c r="JG467" s="83"/>
      <c r="JO467" s="405"/>
      <c r="JU467" s="83"/>
      <c r="KC467" s="405"/>
      <c r="KI467" s="83"/>
      <c r="KQ467" s="405"/>
      <c r="KW467" s="83"/>
      <c r="LE467" s="405"/>
      <c r="LK467" s="83"/>
      <c r="LS467" s="405"/>
      <c r="LY467" s="83"/>
      <c r="MG467" s="405"/>
      <c r="MM467" s="83"/>
      <c r="MU467" s="405"/>
      <c r="NA467" s="83"/>
    </row>
    <row r="468">
      <c r="A468" s="483"/>
      <c r="B468" s="380"/>
      <c r="C468" s="380"/>
      <c r="D468" s="380"/>
      <c r="E468" s="380"/>
      <c r="F468" s="380"/>
      <c r="G468" s="380"/>
      <c r="H468" s="380"/>
      <c r="I468" s="403"/>
      <c r="J468" s="380"/>
      <c r="K468" s="380"/>
      <c r="L468" s="380"/>
      <c r="M468" s="380"/>
      <c r="N468" s="380"/>
      <c r="O468" s="404"/>
      <c r="P468" s="380"/>
      <c r="Q468" s="380"/>
      <c r="R468" s="380"/>
      <c r="S468" s="380"/>
      <c r="T468" s="380"/>
      <c r="U468" s="380"/>
      <c r="V468" s="380"/>
      <c r="W468" s="403"/>
      <c r="X468" s="380"/>
      <c r="Y468" s="380"/>
      <c r="Z468" s="380"/>
      <c r="AA468" s="380"/>
      <c r="AB468" s="380"/>
      <c r="AC468" s="404"/>
      <c r="AD468" s="380"/>
      <c r="AE468" s="380"/>
      <c r="AF468" s="380"/>
      <c r="AG468" s="380"/>
      <c r="AH468" s="380"/>
      <c r="AI468" s="380"/>
      <c r="AJ468" s="380"/>
      <c r="AK468" s="403"/>
      <c r="AL468" s="380"/>
      <c r="AM468" s="380"/>
      <c r="AN468" s="380"/>
      <c r="AO468" s="380"/>
      <c r="AP468" s="380"/>
      <c r="AQ468" s="404"/>
      <c r="AR468" s="380"/>
      <c r="AS468" s="380"/>
      <c r="AT468" s="380"/>
      <c r="AU468" s="380"/>
      <c r="AV468" s="380"/>
      <c r="AW468" s="380"/>
      <c r="AX468" s="380"/>
      <c r="AY468" s="403"/>
      <c r="AZ468" s="380"/>
      <c r="BA468" s="380"/>
      <c r="BB468" s="380"/>
      <c r="BC468" s="380"/>
      <c r="BD468" s="380"/>
      <c r="BE468" s="404"/>
      <c r="BF468" s="380"/>
      <c r="BG468" s="380"/>
      <c r="BH468" s="380"/>
      <c r="BI468" s="380"/>
      <c r="BJ468" s="380"/>
      <c r="BK468" s="380"/>
      <c r="BL468" s="380"/>
      <c r="BM468" s="403"/>
      <c r="BS468" s="83"/>
      <c r="CA468" s="405"/>
      <c r="CG468" s="83"/>
      <c r="CO468" s="405"/>
      <c r="CU468" s="83"/>
      <c r="DC468" s="405"/>
      <c r="DI468" s="83"/>
      <c r="DQ468" s="405"/>
      <c r="DW468" s="83"/>
      <c r="EE468" s="405"/>
      <c r="EK468" s="83"/>
      <c r="ES468" s="405"/>
      <c r="EY468" s="83"/>
      <c r="FG468" s="405"/>
      <c r="FM468" s="83"/>
      <c r="FU468" s="405"/>
      <c r="GA468" s="83"/>
      <c r="GI468" s="405"/>
      <c r="GO468" s="83"/>
      <c r="GW468" s="405"/>
      <c r="HC468" s="83"/>
      <c r="HK468" s="405"/>
      <c r="HQ468" s="83"/>
      <c r="HY468" s="405"/>
      <c r="IE468" s="83"/>
      <c r="IM468" s="405"/>
      <c r="IS468" s="83"/>
      <c r="JA468" s="405"/>
      <c r="JG468" s="83"/>
      <c r="JO468" s="405"/>
      <c r="JU468" s="83"/>
      <c r="KC468" s="405"/>
      <c r="KI468" s="83"/>
      <c r="KQ468" s="405"/>
      <c r="KW468" s="83"/>
      <c r="LE468" s="405"/>
      <c r="LK468" s="83"/>
      <c r="LS468" s="405"/>
      <c r="LY468" s="83"/>
      <c r="MG468" s="405"/>
      <c r="MM468" s="83"/>
      <c r="MU468" s="405"/>
      <c r="NA468" s="83"/>
    </row>
    <row r="469">
      <c r="A469" s="483"/>
      <c r="B469" s="380"/>
      <c r="C469" s="380"/>
      <c r="D469" s="380"/>
      <c r="E469" s="380"/>
      <c r="F469" s="380"/>
      <c r="G469" s="380"/>
      <c r="H469" s="380"/>
      <c r="I469" s="403"/>
      <c r="J469" s="380"/>
      <c r="K469" s="380"/>
      <c r="L469" s="380"/>
      <c r="M469" s="380"/>
      <c r="N469" s="380"/>
      <c r="O469" s="404"/>
      <c r="P469" s="380"/>
      <c r="Q469" s="380"/>
      <c r="R469" s="380"/>
      <c r="S469" s="380"/>
      <c r="T469" s="380"/>
      <c r="U469" s="380"/>
      <c r="V469" s="380"/>
      <c r="W469" s="403"/>
      <c r="X469" s="380"/>
      <c r="Y469" s="380"/>
      <c r="Z469" s="380"/>
      <c r="AA469" s="380"/>
      <c r="AB469" s="380"/>
      <c r="AC469" s="404"/>
      <c r="AD469" s="380"/>
      <c r="AE469" s="380"/>
      <c r="AF469" s="380"/>
      <c r="AG469" s="380"/>
      <c r="AH469" s="380"/>
      <c r="AI469" s="380"/>
      <c r="AJ469" s="380"/>
      <c r="AK469" s="403"/>
      <c r="AL469" s="380"/>
      <c r="AM469" s="380"/>
      <c r="AN469" s="380"/>
      <c r="AO469" s="380"/>
      <c r="AP469" s="380"/>
      <c r="AQ469" s="404"/>
      <c r="AR469" s="380"/>
      <c r="AS469" s="380"/>
      <c r="AT469" s="380"/>
      <c r="AU469" s="380"/>
      <c r="AV469" s="380"/>
      <c r="AW469" s="380"/>
      <c r="AX469" s="380"/>
      <c r="AY469" s="403"/>
      <c r="AZ469" s="380"/>
      <c r="BA469" s="380"/>
      <c r="BB469" s="380"/>
      <c r="BC469" s="380"/>
      <c r="BD469" s="380"/>
      <c r="BE469" s="404"/>
      <c r="BF469" s="380"/>
      <c r="BG469" s="380"/>
      <c r="BH469" s="380"/>
      <c r="BI469" s="380"/>
      <c r="BJ469" s="380"/>
      <c r="BK469" s="380"/>
      <c r="BL469" s="380"/>
      <c r="BM469" s="403"/>
      <c r="BS469" s="83"/>
      <c r="CA469" s="405"/>
      <c r="CG469" s="83"/>
      <c r="CO469" s="405"/>
      <c r="CU469" s="83"/>
      <c r="DC469" s="405"/>
      <c r="DI469" s="83"/>
      <c r="DQ469" s="405"/>
      <c r="DW469" s="83"/>
      <c r="EE469" s="405"/>
      <c r="EK469" s="83"/>
      <c r="ES469" s="405"/>
      <c r="EY469" s="83"/>
      <c r="FG469" s="405"/>
      <c r="FM469" s="83"/>
      <c r="FU469" s="405"/>
      <c r="GA469" s="83"/>
      <c r="GI469" s="405"/>
      <c r="GO469" s="83"/>
      <c r="GW469" s="405"/>
      <c r="HC469" s="83"/>
      <c r="HK469" s="405"/>
      <c r="HQ469" s="83"/>
      <c r="HY469" s="405"/>
      <c r="IE469" s="83"/>
      <c r="IM469" s="405"/>
      <c r="IS469" s="83"/>
      <c r="JA469" s="405"/>
      <c r="JG469" s="83"/>
      <c r="JO469" s="405"/>
      <c r="JU469" s="83"/>
      <c r="KC469" s="405"/>
      <c r="KI469" s="83"/>
      <c r="KQ469" s="405"/>
      <c r="KW469" s="83"/>
      <c r="LE469" s="405"/>
      <c r="LK469" s="83"/>
      <c r="LS469" s="405"/>
      <c r="LY469" s="83"/>
      <c r="MG469" s="405"/>
      <c r="MM469" s="83"/>
      <c r="MU469" s="405"/>
      <c r="NA469" s="83"/>
    </row>
    <row r="470">
      <c r="A470" s="483"/>
      <c r="B470" s="380"/>
      <c r="C470" s="380"/>
      <c r="D470" s="380"/>
      <c r="E470" s="380"/>
      <c r="F470" s="380"/>
      <c r="G470" s="380"/>
      <c r="H470" s="380"/>
      <c r="I470" s="403"/>
      <c r="J470" s="380"/>
      <c r="K470" s="380"/>
      <c r="L470" s="380"/>
      <c r="M470" s="380"/>
      <c r="N470" s="380"/>
      <c r="O470" s="404"/>
      <c r="P470" s="380"/>
      <c r="Q470" s="380"/>
      <c r="R470" s="380"/>
      <c r="S470" s="380"/>
      <c r="T470" s="380"/>
      <c r="U470" s="380"/>
      <c r="V470" s="380"/>
      <c r="W470" s="403"/>
      <c r="X470" s="380"/>
      <c r="Y470" s="380"/>
      <c r="Z470" s="380"/>
      <c r="AA470" s="380"/>
      <c r="AB470" s="380"/>
      <c r="AC470" s="404"/>
      <c r="AD470" s="380"/>
      <c r="AE470" s="380"/>
      <c r="AF470" s="380"/>
      <c r="AG470" s="380"/>
      <c r="AH470" s="380"/>
      <c r="AI470" s="380"/>
      <c r="AJ470" s="380"/>
      <c r="AK470" s="403"/>
      <c r="AL470" s="380"/>
      <c r="AM470" s="380"/>
      <c r="AN470" s="380"/>
      <c r="AO470" s="380"/>
      <c r="AP470" s="380"/>
      <c r="AQ470" s="404"/>
      <c r="AR470" s="380"/>
      <c r="AS470" s="380"/>
      <c r="AT470" s="380"/>
      <c r="AU470" s="380"/>
      <c r="AV470" s="380"/>
      <c r="AW470" s="380"/>
      <c r="AX470" s="380"/>
      <c r="AY470" s="403"/>
      <c r="AZ470" s="380"/>
      <c r="BA470" s="380"/>
      <c r="BB470" s="380"/>
      <c r="BC470" s="380"/>
      <c r="BD470" s="380"/>
      <c r="BE470" s="404"/>
      <c r="BF470" s="380"/>
      <c r="BG470" s="380"/>
      <c r="BH470" s="380"/>
      <c r="BI470" s="380"/>
      <c r="BJ470" s="380"/>
      <c r="BK470" s="380"/>
      <c r="BL470" s="380"/>
      <c r="BM470" s="403"/>
      <c r="BS470" s="83"/>
      <c r="CA470" s="405"/>
      <c r="CG470" s="83"/>
      <c r="CO470" s="405"/>
      <c r="CU470" s="83"/>
      <c r="DC470" s="405"/>
      <c r="DI470" s="83"/>
      <c r="DQ470" s="405"/>
      <c r="DW470" s="83"/>
      <c r="EE470" s="405"/>
      <c r="EK470" s="83"/>
      <c r="ES470" s="405"/>
      <c r="EY470" s="83"/>
      <c r="FG470" s="405"/>
      <c r="FM470" s="83"/>
      <c r="FU470" s="405"/>
      <c r="GA470" s="83"/>
      <c r="GI470" s="405"/>
      <c r="GO470" s="83"/>
      <c r="GW470" s="405"/>
      <c r="HC470" s="83"/>
      <c r="HK470" s="405"/>
      <c r="HQ470" s="83"/>
      <c r="HY470" s="405"/>
      <c r="IE470" s="83"/>
      <c r="IM470" s="405"/>
      <c r="IS470" s="83"/>
      <c r="JA470" s="405"/>
      <c r="JG470" s="83"/>
      <c r="JO470" s="405"/>
      <c r="JU470" s="83"/>
      <c r="KC470" s="405"/>
      <c r="KI470" s="83"/>
      <c r="KQ470" s="405"/>
      <c r="KW470" s="83"/>
      <c r="LE470" s="405"/>
      <c r="LK470" s="83"/>
      <c r="LS470" s="405"/>
      <c r="LY470" s="83"/>
      <c r="MG470" s="405"/>
      <c r="MM470" s="83"/>
      <c r="MU470" s="405"/>
      <c r="NA470" s="83"/>
    </row>
    <row r="471">
      <c r="A471" s="483"/>
      <c r="B471" s="380"/>
      <c r="C471" s="380"/>
      <c r="D471" s="380"/>
      <c r="E471" s="380"/>
      <c r="F471" s="380"/>
      <c r="G471" s="380"/>
      <c r="H471" s="380"/>
      <c r="I471" s="403"/>
      <c r="J471" s="380"/>
      <c r="K471" s="380"/>
      <c r="L471" s="380"/>
      <c r="M471" s="380"/>
      <c r="N471" s="380"/>
      <c r="O471" s="404"/>
      <c r="P471" s="380"/>
      <c r="Q471" s="380"/>
      <c r="R471" s="380"/>
      <c r="S471" s="380"/>
      <c r="T471" s="380"/>
      <c r="U471" s="380"/>
      <c r="V471" s="380"/>
      <c r="W471" s="403"/>
      <c r="X471" s="380"/>
      <c r="Y471" s="380"/>
      <c r="Z471" s="380"/>
      <c r="AA471" s="380"/>
      <c r="AB471" s="380"/>
      <c r="AC471" s="404"/>
      <c r="AD471" s="380"/>
      <c r="AE471" s="380"/>
      <c r="AF471" s="380"/>
      <c r="AG471" s="380"/>
      <c r="AH471" s="380"/>
      <c r="AI471" s="380"/>
      <c r="AJ471" s="380"/>
      <c r="AK471" s="403"/>
      <c r="AL471" s="380"/>
      <c r="AM471" s="380"/>
      <c r="AN471" s="380"/>
      <c r="AO471" s="380"/>
      <c r="AP471" s="380"/>
      <c r="AQ471" s="404"/>
      <c r="AR471" s="380"/>
      <c r="AS471" s="380"/>
      <c r="AT471" s="380"/>
      <c r="AU471" s="380"/>
      <c r="AV471" s="380"/>
      <c r="AW471" s="380"/>
      <c r="AX471" s="380"/>
      <c r="AY471" s="403"/>
      <c r="AZ471" s="380"/>
      <c r="BA471" s="380"/>
      <c r="BB471" s="380"/>
      <c r="BC471" s="380"/>
      <c r="BD471" s="380"/>
      <c r="BE471" s="404"/>
      <c r="BF471" s="380"/>
      <c r="BG471" s="380"/>
      <c r="BH471" s="380"/>
      <c r="BI471" s="380"/>
      <c r="BJ471" s="380"/>
      <c r="BK471" s="380"/>
      <c r="BL471" s="380"/>
      <c r="BM471" s="403"/>
      <c r="BS471" s="83"/>
      <c r="CA471" s="405"/>
      <c r="CG471" s="83"/>
      <c r="CO471" s="405"/>
      <c r="CU471" s="83"/>
      <c r="DC471" s="405"/>
      <c r="DI471" s="83"/>
      <c r="DQ471" s="405"/>
      <c r="DW471" s="83"/>
      <c r="EE471" s="405"/>
      <c r="EK471" s="83"/>
      <c r="ES471" s="405"/>
      <c r="EY471" s="83"/>
      <c r="FG471" s="405"/>
      <c r="FM471" s="83"/>
      <c r="FU471" s="405"/>
      <c r="GA471" s="83"/>
      <c r="GI471" s="405"/>
      <c r="GO471" s="83"/>
      <c r="GW471" s="405"/>
      <c r="HC471" s="83"/>
      <c r="HK471" s="405"/>
      <c r="HQ471" s="83"/>
      <c r="HY471" s="405"/>
      <c r="IE471" s="83"/>
      <c r="IM471" s="405"/>
      <c r="IS471" s="83"/>
      <c r="JA471" s="405"/>
      <c r="JG471" s="83"/>
      <c r="JO471" s="405"/>
      <c r="JU471" s="83"/>
      <c r="KC471" s="405"/>
      <c r="KI471" s="83"/>
      <c r="KQ471" s="405"/>
      <c r="KW471" s="83"/>
      <c r="LE471" s="405"/>
      <c r="LK471" s="83"/>
      <c r="LS471" s="405"/>
      <c r="LY471" s="83"/>
      <c r="MG471" s="405"/>
      <c r="MM471" s="83"/>
      <c r="MU471" s="405"/>
      <c r="NA471" s="83"/>
    </row>
    <row r="472">
      <c r="A472" s="483"/>
      <c r="B472" s="380"/>
      <c r="C472" s="380"/>
      <c r="D472" s="380"/>
      <c r="E472" s="380"/>
      <c r="F472" s="380"/>
      <c r="G472" s="380"/>
      <c r="H472" s="380"/>
      <c r="I472" s="403"/>
      <c r="J472" s="380"/>
      <c r="K472" s="380"/>
      <c r="L472" s="380"/>
      <c r="M472" s="380"/>
      <c r="N472" s="380"/>
      <c r="O472" s="404"/>
      <c r="P472" s="380"/>
      <c r="Q472" s="380"/>
      <c r="R472" s="380"/>
      <c r="S472" s="380"/>
      <c r="T472" s="380"/>
      <c r="U472" s="380"/>
      <c r="V472" s="380"/>
      <c r="W472" s="403"/>
      <c r="X472" s="380"/>
      <c r="Y472" s="380"/>
      <c r="Z472" s="380"/>
      <c r="AA472" s="380"/>
      <c r="AB472" s="380"/>
      <c r="AC472" s="404"/>
      <c r="AD472" s="380"/>
      <c r="AE472" s="380"/>
      <c r="AF472" s="380"/>
      <c r="AG472" s="380"/>
      <c r="AH472" s="380"/>
      <c r="AI472" s="380"/>
      <c r="AJ472" s="380"/>
      <c r="AK472" s="403"/>
      <c r="AL472" s="380"/>
      <c r="AM472" s="380"/>
      <c r="AN472" s="380"/>
      <c r="AO472" s="380"/>
      <c r="AP472" s="380"/>
      <c r="AQ472" s="404"/>
      <c r="AR472" s="380"/>
      <c r="AS472" s="380"/>
      <c r="AT472" s="380"/>
      <c r="AU472" s="380"/>
      <c r="AV472" s="380"/>
      <c r="AW472" s="380"/>
      <c r="AX472" s="380"/>
      <c r="AY472" s="403"/>
      <c r="AZ472" s="380"/>
      <c r="BA472" s="380"/>
      <c r="BB472" s="380"/>
      <c r="BC472" s="380"/>
      <c r="BD472" s="380"/>
      <c r="BE472" s="404"/>
      <c r="BF472" s="380"/>
      <c r="BG472" s="380"/>
      <c r="BH472" s="380"/>
      <c r="BI472" s="380"/>
      <c r="BJ472" s="380"/>
      <c r="BK472" s="380"/>
      <c r="BL472" s="380"/>
      <c r="BM472" s="403"/>
      <c r="BS472" s="83"/>
      <c r="CA472" s="405"/>
      <c r="CG472" s="83"/>
      <c r="CO472" s="405"/>
      <c r="CU472" s="83"/>
      <c r="DC472" s="405"/>
      <c r="DI472" s="83"/>
      <c r="DQ472" s="405"/>
      <c r="DW472" s="83"/>
      <c r="EE472" s="405"/>
      <c r="EK472" s="83"/>
      <c r="ES472" s="405"/>
      <c r="EY472" s="83"/>
      <c r="FG472" s="405"/>
      <c r="FM472" s="83"/>
      <c r="FU472" s="405"/>
      <c r="GA472" s="83"/>
      <c r="GI472" s="405"/>
      <c r="GO472" s="83"/>
      <c r="GW472" s="405"/>
      <c r="HC472" s="83"/>
      <c r="HK472" s="405"/>
      <c r="HQ472" s="83"/>
      <c r="HY472" s="405"/>
      <c r="IE472" s="83"/>
      <c r="IM472" s="405"/>
      <c r="IS472" s="83"/>
      <c r="JA472" s="405"/>
      <c r="JG472" s="83"/>
      <c r="JO472" s="405"/>
      <c r="JU472" s="83"/>
      <c r="KC472" s="405"/>
      <c r="KI472" s="83"/>
      <c r="KQ472" s="405"/>
      <c r="KW472" s="83"/>
      <c r="LE472" s="405"/>
      <c r="LK472" s="83"/>
      <c r="LS472" s="405"/>
      <c r="LY472" s="83"/>
      <c r="MG472" s="405"/>
      <c r="MM472" s="83"/>
      <c r="MU472" s="405"/>
      <c r="NA472" s="83"/>
    </row>
    <row r="473">
      <c r="A473" s="483"/>
      <c r="B473" s="380"/>
      <c r="C473" s="380"/>
      <c r="D473" s="380"/>
      <c r="E473" s="380"/>
      <c r="F473" s="380"/>
      <c r="G473" s="380"/>
      <c r="H473" s="380"/>
      <c r="I473" s="403"/>
      <c r="J473" s="380"/>
      <c r="K473" s="380"/>
      <c r="L473" s="380"/>
      <c r="M473" s="380"/>
      <c r="N473" s="380"/>
      <c r="O473" s="404"/>
      <c r="P473" s="380"/>
      <c r="Q473" s="380"/>
      <c r="R473" s="380"/>
      <c r="S473" s="380"/>
      <c r="T473" s="380"/>
      <c r="U473" s="380"/>
      <c r="V473" s="380"/>
      <c r="W473" s="403"/>
      <c r="X473" s="380"/>
      <c r="Y473" s="380"/>
      <c r="Z473" s="380"/>
      <c r="AA473" s="380"/>
      <c r="AB473" s="380"/>
      <c r="AC473" s="404"/>
      <c r="AD473" s="380"/>
      <c r="AE473" s="380"/>
      <c r="AF473" s="380"/>
      <c r="AG473" s="380"/>
      <c r="AH473" s="380"/>
      <c r="AI473" s="380"/>
      <c r="AJ473" s="380"/>
      <c r="AK473" s="403"/>
      <c r="AL473" s="380"/>
      <c r="AM473" s="380"/>
      <c r="AN473" s="380"/>
      <c r="AO473" s="380"/>
      <c r="AP473" s="380"/>
      <c r="AQ473" s="404"/>
      <c r="AR473" s="380"/>
      <c r="AS473" s="380"/>
      <c r="AT473" s="380"/>
      <c r="AU473" s="380"/>
      <c r="AV473" s="380"/>
      <c r="AW473" s="380"/>
      <c r="AX473" s="380"/>
      <c r="AY473" s="403"/>
      <c r="AZ473" s="380"/>
      <c r="BA473" s="380"/>
      <c r="BB473" s="380"/>
      <c r="BC473" s="380"/>
      <c r="BD473" s="380"/>
      <c r="BE473" s="404"/>
      <c r="BF473" s="380"/>
      <c r="BG473" s="380"/>
      <c r="BH473" s="380"/>
      <c r="BI473" s="380"/>
      <c r="BJ473" s="380"/>
      <c r="BK473" s="380"/>
      <c r="BL473" s="380"/>
      <c r="BM473" s="403"/>
      <c r="BS473" s="83"/>
      <c r="CA473" s="405"/>
      <c r="CG473" s="83"/>
      <c r="CO473" s="405"/>
      <c r="CU473" s="83"/>
      <c r="DC473" s="405"/>
      <c r="DI473" s="83"/>
      <c r="DQ473" s="405"/>
      <c r="DW473" s="83"/>
      <c r="EE473" s="405"/>
      <c r="EK473" s="83"/>
      <c r="ES473" s="405"/>
      <c r="EY473" s="83"/>
      <c r="FG473" s="405"/>
      <c r="FM473" s="83"/>
      <c r="FU473" s="405"/>
      <c r="GA473" s="83"/>
      <c r="GI473" s="405"/>
      <c r="GO473" s="83"/>
      <c r="GW473" s="405"/>
      <c r="HC473" s="83"/>
      <c r="HK473" s="405"/>
      <c r="HQ473" s="83"/>
      <c r="HY473" s="405"/>
      <c r="IE473" s="83"/>
      <c r="IM473" s="405"/>
      <c r="IS473" s="83"/>
      <c r="JA473" s="405"/>
      <c r="JG473" s="83"/>
      <c r="JO473" s="405"/>
      <c r="JU473" s="83"/>
      <c r="KC473" s="405"/>
      <c r="KI473" s="83"/>
      <c r="KQ473" s="405"/>
      <c r="KW473" s="83"/>
      <c r="LE473" s="405"/>
      <c r="LK473" s="83"/>
      <c r="LS473" s="405"/>
      <c r="LY473" s="83"/>
      <c r="MG473" s="405"/>
      <c r="MM473" s="83"/>
      <c r="MU473" s="405"/>
      <c r="NA473" s="83"/>
    </row>
    <row r="474">
      <c r="A474" s="483"/>
      <c r="B474" s="380"/>
      <c r="C474" s="380"/>
      <c r="D474" s="380"/>
      <c r="E474" s="380"/>
      <c r="F474" s="380"/>
      <c r="G474" s="380"/>
      <c r="H474" s="380"/>
      <c r="I474" s="403"/>
      <c r="J474" s="380"/>
      <c r="K474" s="380"/>
      <c r="L474" s="380"/>
      <c r="M474" s="380"/>
      <c r="N474" s="380"/>
      <c r="O474" s="404"/>
      <c r="P474" s="380"/>
      <c r="Q474" s="380"/>
      <c r="R474" s="380"/>
      <c r="S474" s="380"/>
      <c r="T474" s="380"/>
      <c r="U474" s="380"/>
      <c r="V474" s="380"/>
      <c r="W474" s="403"/>
      <c r="X474" s="380"/>
      <c r="Y474" s="380"/>
      <c r="Z474" s="380"/>
      <c r="AA474" s="380"/>
      <c r="AB474" s="380"/>
      <c r="AC474" s="404"/>
      <c r="AD474" s="380"/>
      <c r="AE474" s="380"/>
      <c r="AF474" s="380"/>
      <c r="AG474" s="380"/>
      <c r="AH474" s="380"/>
      <c r="AI474" s="380"/>
      <c r="AJ474" s="380"/>
      <c r="AK474" s="403"/>
      <c r="AL474" s="380"/>
      <c r="AM474" s="380"/>
      <c r="AN474" s="380"/>
      <c r="AO474" s="380"/>
      <c r="AP474" s="380"/>
      <c r="AQ474" s="404"/>
      <c r="AR474" s="380"/>
      <c r="AS474" s="380"/>
      <c r="AT474" s="380"/>
      <c r="AU474" s="380"/>
      <c r="AV474" s="380"/>
      <c r="AW474" s="380"/>
      <c r="AX474" s="380"/>
      <c r="AY474" s="403"/>
      <c r="AZ474" s="380"/>
      <c r="BA474" s="380"/>
      <c r="BB474" s="380"/>
      <c r="BC474" s="380"/>
      <c r="BD474" s="380"/>
      <c r="BE474" s="404"/>
      <c r="BF474" s="380"/>
      <c r="BG474" s="380"/>
      <c r="BH474" s="380"/>
      <c r="BI474" s="380"/>
      <c r="BJ474" s="380"/>
      <c r="BK474" s="380"/>
      <c r="BL474" s="380"/>
      <c r="BM474" s="403"/>
      <c r="BS474" s="83"/>
      <c r="CA474" s="405"/>
      <c r="CG474" s="83"/>
      <c r="CO474" s="405"/>
      <c r="CU474" s="83"/>
      <c r="DC474" s="405"/>
      <c r="DI474" s="83"/>
      <c r="DQ474" s="405"/>
      <c r="DW474" s="83"/>
      <c r="EE474" s="405"/>
      <c r="EK474" s="83"/>
      <c r="ES474" s="405"/>
      <c r="EY474" s="83"/>
      <c r="FG474" s="405"/>
      <c r="FM474" s="83"/>
      <c r="FU474" s="405"/>
      <c r="GA474" s="83"/>
      <c r="GI474" s="405"/>
      <c r="GO474" s="83"/>
      <c r="GW474" s="405"/>
      <c r="HC474" s="83"/>
      <c r="HK474" s="405"/>
      <c r="HQ474" s="83"/>
      <c r="HY474" s="405"/>
      <c r="IE474" s="83"/>
      <c r="IM474" s="405"/>
      <c r="IS474" s="83"/>
      <c r="JA474" s="405"/>
      <c r="JG474" s="83"/>
      <c r="JO474" s="405"/>
      <c r="JU474" s="83"/>
      <c r="KC474" s="405"/>
      <c r="KI474" s="83"/>
      <c r="KQ474" s="405"/>
      <c r="KW474" s="83"/>
      <c r="LE474" s="405"/>
      <c r="LK474" s="83"/>
      <c r="LS474" s="405"/>
      <c r="LY474" s="83"/>
      <c r="MG474" s="405"/>
      <c r="MM474" s="83"/>
      <c r="MU474" s="405"/>
      <c r="NA474" s="83"/>
    </row>
    <row r="475">
      <c r="A475" s="483"/>
      <c r="B475" s="380"/>
      <c r="C475" s="380"/>
      <c r="D475" s="380"/>
      <c r="E475" s="380"/>
      <c r="F475" s="380"/>
      <c r="G475" s="380"/>
      <c r="H475" s="380"/>
      <c r="I475" s="403"/>
      <c r="J475" s="380"/>
      <c r="K475" s="380"/>
      <c r="L475" s="380"/>
      <c r="M475" s="380"/>
      <c r="N475" s="380"/>
      <c r="O475" s="404"/>
      <c r="P475" s="380"/>
      <c r="Q475" s="380"/>
      <c r="R475" s="380"/>
      <c r="S475" s="380"/>
      <c r="T475" s="380"/>
      <c r="U475" s="380"/>
      <c r="V475" s="380"/>
      <c r="W475" s="403"/>
      <c r="X475" s="380"/>
      <c r="Y475" s="380"/>
      <c r="Z475" s="380"/>
      <c r="AA475" s="380"/>
      <c r="AB475" s="380"/>
      <c r="AC475" s="404"/>
      <c r="AD475" s="380"/>
      <c r="AE475" s="380"/>
      <c r="AF475" s="380"/>
      <c r="AG475" s="380"/>
      <c r="AH475" s="380"/>
      <c r="AI475" s="380"/>
      <c r="AJ475" s="380"/>
      <c r="AK475" s="403"/>
      <c r="AL475" s="380"/>
      <c r="AM475" s="380"/>
      <c r="AN475" s="380"/>
      <c r="AO475" s="380"/>
      <c r="AP475" s="380"/>
      <c r="AQ475" s="404"/>
      <c r="AR475" s="380"/>
      <c r="AS475" s="380"/>
      <c r="AT475" s="380"/>
      <c r="AU475" s="380"/>
      <c r="AV475" s="380"/>
      <c r="AW475" s="380"/>
      <c r="AX475" s="380"/>
      <c r="AY475" s="403"/>
      <c r="AZ475" s="380"/>
      <c r="BA475" s="380"/>
      <c r="BB475" s="380"/>
      <c r="BC475" s="380"/>
      <c r="BD475" s="380"/>
      <c r="BE475" s="404"/>
      <c r="BF475" s="380"/>
      <c r="BG475" s="380"/>
      <c r="BH475" s="380"/>
      <c r="BI475" s="380"/>
      <c r="BJ475" s="380"/>
      <c r="BK475" s="380"/>
      <c r="BL475" s="380"/>
      <c r="BM475" s="403"/>
      <c r="BS475" s="83"/>
      <c r="CA475" s="405"/>
      <c r="CG475" s="83"/>
      <c r="CO475" s="405"/>
      <c r="CU475" s="83"/>
      <c r="DC475" s="405"/>
      <c r="DI475" s="83"/>
      <c r="DQ475" s="405"/>
      <c r="DW475" s="83"/>
      <c r="EE475" s="405"/>
      <c r="EK475" s="83"/>
      <c r="ES475" s="405"/>
      <c r="EY475" s="83"/>
      <c r="FG475" s="405"/>
      <c r="FM475" s="83"/>
      <c r="FU475" s="405"/>
      <c r="GA475" s="83"/>
      <c r="GI475" s="405"/>
      <c r="GO475" s="83"/>
      <c r="GW475" s="405"/>
      <c r="HC475" s="83"/>
      <c r="HK475" s="405"/>
      <c r="HQ475" s="83"/>
      <c r="HY475" s="405"/>
      <c r="IE475" s="83"/>
      <c r="IM475" s="405"/>
      <c r="IS475" s="83"/>
      <c r="JA475" s="405"/>
      <c r="JG475" s="83"/>
      <c r="JO475" s="405"/>
      <c r="JU475" s="83"/>
      <c r="KC475" s="405"/>
      <c r="KI475" s="83"/>
      <c r="KQ475" s="405"/>
      <c r="KW475" s="83"/>
      <c r="LE475" s="405"/>
      <c r="LK475" s="83"/>
      <c r="LS475" s="405"/>
      <c r="LY475" s="83"/>
      <c r="MG475" s="405"/>
      <c r="MM475" s="83"/>
      <c r="MU475" s="405"/>
      <c r="NA475" s="83"/>
    </row>
    <row r="476">
      <c r="A476" s="483"/>
      <c r="B476" s="380"/>
      <c r="C476" s="380"/>
      <c r="D476" s="380"/>
      <c r="E476" s="380"/>
      <c r="F476" s="380"/>
      <c r="G476" s="380"/>
      <c r="H476" s="380"/>
      <c r="I476" s="403"/>
      <c r="J476" s="380"/>
      <c r="K476" s="380"/>
      <c r="L476" s="380"/>
      <c r="M476" s="380"/>
      <c r="N476" s="380"/>
      <c r="O476" s="404"/>
      <c r="P476" s="380"/>
      <c r="Q476" s="380"/>
      <c r="R476" s="380"/>
      <c r="S476" s="380"/>
      <c r="T476" s="380"/>
      <c r="U476" s="380"/>
      <c r="V476" s="380"/>
      <c r="W476" s="403"/>
      <c r="X476" s="380"/>
      <c r="Y476" s="380"/>
      <c r="Z476" s="380"/>
      <c r="AA476" s="380"/>
      <c r="AB476" s="380"/>
      <c r="AC476" s="404"/>
      <c r="AD476" s="380"/>
      <c r="AE476" s="380"/>
      <c r="AF476" s="380"/>
      <c r="AG476" s="380"/>
      <c r="AH476" s="380"/>
      <c r="AI476" s="380"/>
      <c r="AJ476" s="380"/>
      <c r="AK476" s="403"/>
      <c r="AL476" s="380"/>
      <c r="AM476" s="380"/>
      <c r="AN476" s="380"/>
      <c r="AO476" s="380"/>
      <c r="AP476" s="380"/>
      <c r="AQ476" s="404"/>
      <c r="AR476" s="380"/>
      <c r="AS476" s="380"/>
      <c r="AT476" s="380"/>
      <c r="AU476" s="380"/>
      <c r="AV476" s="380"/>
      <c r="AW476" s="380"/>
      <c r="AX476" s="380"/>
      <c r="AY476" s="403"/>
      <c r="AZ476" s="380"/>
      <c r="BA476" s="380"/>
      <c r="BB476" s="380"/>
      <c r="BC476" s="380"/>
      <c r="BD476" s="380"/>
      <c r="BE476" s="404"/>
      <c r="BF476" s="380"/>
      <c r="BG476" s="380"/>
      <c r="BH476" s="380"/>
      <c r="BI476" s="380"/>
      <c r="BJ476" s="380"/>
      <c r="BK476" s="380"/>
      <c r="BL476" s="380"/>
      <c r="BM476" s="403"/>
      <c r="BS476" s="83"/>
      <c r="CA476" s="405"/>
      <c r="CG476" s="83"/>
      <c r="CO476" s="405"/>
      <c r="CU476" s="83"/>
      <c r="DC476" s="405"/>
      <c r="DI476" s="83"/>
      <c r="DQ476" s="405"/>
      <c r="DW476" s="83"/>
      <c r="EE476" s="405"/>
      <c r="EK476" s="83"/>
      <c r="ES476" s="405"/>
      <c r="EY476" s="83"/>
      <c r="FG476" s="405"/>
      <c r="FM476" s="83"/>
      <c r="FU476" s="405"/>
      <c r="GA476" s="83"/>
      <c r="GI476" s="405"/>
      <c r="GO476" s="83"/>
      <c r="GW476" s="405"/>
      <c r="HC476" s="83"/>
      <c r="HK476" s="405"/>
      <c r="HQ476" s="83"/>
      <c r="HY476" s="405"/>
      <c r="IE476" s="83"/>
      <c r="IM476" s="405"/>
      <c r="IS476" s="83"/>
      <c r="JA476" s="405"/>
      <c r="JG476" s="83"/>
      <c r="JO476" s="405"/>
      <c r="JU476" s="83"/>
      <c r="KC476" s="405"/>
      <c r="KI476" s="83"/>
      <c r="KQ476" s="405"/>
      <c r="KW476" s="83"/>
      <c r="LE476" s="405"/>
      <c r="LK476" s="83"/>
      <c r="LS476" s="405"/>
      <c r="LY476" s="83"/>
      <c r="MG476" s="405"/>
      <c r="MM476" s="83"/>
      <c r="MU476" s="405"/>
      <c r="NA476" s="83"/>
    </row>
    <row r="477">
      <c r="A477" s="483"/>
      <c r="B477" s="380"/>
      <c r="C477" s="380"/>
      <c r="D477" s="380"/>
      <c r="E477" s="380"/>
      <c r="F477" s="380"/>
      <c r="G477" s="380"/>
      <c r="H477" s="380"/>
      <c r="I477" s="403"/>
      <c r="J477" s="380"/>
      <c r="K477" s="380"/>
      <c r="L477" s="380"/>
      <c r="M477" s="380"/>
      <c r="N477" s="380"/>
      <c r="O477" s="404"/>
      <c r="P477" s="380"/>
      <c r="Q477" s="380"/>
      <c r="R477" s="380"/>
      <c r="S477" s="380"/>
      <c r="T477" s="380"/>
      <c r="U477" s="380"/>
      <c r="V477" s="380"/>
      <c r="W477" s="403"/>
      <c r="X477" s="380"/>
      <c r="Y477" s="380"/>
      <c r="Z477" s="380"/>
      <c r="AA477" s="380"/>
      <c r="AB477" s="380"/>
      <c r="AC477" s="404"/>
      <c r="AD477" s="380"/>
      <c r="AE477" s="380"/>
      <c r="AF477" s="380"/>
      <c r="AG477" s="380"/>
      <c r="AH477" s="380"/>
      <c r="AI477" s="380"/>
      <c r="AJ477" s="380"/>
      <c r="AK477" s="403"/>
      <c r="AL477" s="380"/>
      <c r="AM477" s="380"/>
      <c r="AN477" s="380"/>
      <c r="AO477" s="380"/>
      <c r="AP477" s="380"/>
      <c r="AQ477" s="404"/>
      <c r="AR477" s="380"/>
      <c r="AS477" s="380"/>
      <c r="AT477" s="380"/>
      <c r="AU477" s="380"/>
      <c r="AV477" s="380"/>
      <c r="AW477" s="380"/>
      <c r="AX477" s="380"/>
      <c r="AY477" s="403"/>
      <c r="AZ477" s="380"/>
      <c r="BA477" s="380"/>
      <c r="BB477" s="380"/>
      <c r="BC477" s="380"/>
      <c r="BD477" s="380"/>
      <c r="BE477" s="404"/>
      <c r="BF477" s="380"/>
      <c r="BG477" s="380"/>
      <c r="BH477" s="380"/>
      <c r="BI477" s="380"/>
      <c r="BJ477" s="380"/>
      <c r="BK477" s="380"/>
      <c r="BL477" s="380"/>
      <c r="BM477" s="403"/>
      <c r="BS477" s="83"/>
      <c r="CA477" s="405"/>
      <c r="CG477" s="83"/>
      <c r="CO477" s="405"/>
      <c r="CU477" s="83"/>
      <c r="DC477" s="405"/>
      <c r="DI477" s="83"/>
      <c r="DQ477" s="405"/>
      <c r="DW477" s="83"/>
      <c r="EE477" s="405"/>
      <c r="EK477" s="83"/>
      <c r="ES477" s="405"/>
      <c r="EY477" s="83"/>
      <c r="FG477" s="405"/>
      <c r="FM477" s="83"/>
      <c r="FU477" s="405"/>
      <c r="GA477" s="83"/>
      <c r="GI477" s="405"/>
      <c r="GO477" s="83"/>
      <c r="GW477" s="405"/>
      <c r="HC477" s="83"/>
      <c r="HK477" s="405"/>
      <c r="HQ477" s="83"/>
      <c r="HY477" s="405"/>
      <c r="IE477" s="83"/>
      <c r="IM477" s="405"/>
      <c r="IS477" s="83"/>
      <c r="JA477" s="405"/>
      <c r="JG477" s="83"/>
      <c r="JO477" s="405"/>
      <c r="JU477" s="83"/>
      <c r="KC477" s="405"/>
      <c r="KI477" s="83"/>
      <c r="KQ477" s="405"/>
      <c r="KW477" s="83"/>
      <c r="LE477" s="405"/>
      <c r="LK477" s="83"/>
      <c r="LS477" s="405"/>
      <c r="LY477" s="83"/>
      <c r="MG477" s="405"/>
      <c r="MM477" s="83"/>
      <c r="MU477" s="405"/>
      <c r="NA477" s="83"/>
    </row>
    <row r="478">
      <c r="A478" s="483"/>
      <c r="B478" s="380"/>
      <c r="C478" s="380"/>
      <c r="D478" s="380"/>
      <c r="E478" s="380"/>
      <c r="F478" s="380"/>
      <c r="G478" s="380"/>
      <c r="H478" s="380"/>
      <c r="I478" s="403"/>
      <c r="J478" s="380"/>
      <c r="K478" s="380"/>
      <c r="L478" s="380"/>
      <c r="M478" s="380"/>
      <c r="N478" s="380"/>
      <c r="O478" s="404"/>
      <c r="P478" s="380"/>
      <c r="Q478" s="380"/>
      <c r="R478" s="380"/>
      <c r="S478" s="380"/>
      <c r="T478" s="380"/>
      <c r="U478" s="380"/>
      <c r="V478" s="380"/>
      <c r="W478" s="403"/>
      <c r="X478" s="380"/>
      <c r="Y478" s="380"/>
      <c r="Z478" s="380"/>
      <c r="AA478" s="380"/>
      <c r="AB478" s="380"/>
      <c r="AC478" s="404"/>
      <c r="AD478" s="380"/>
      <c r="AE478" s="380"/>
      <c r="AF478" s="380"/>
      <c r="AG478" s="380"/>
      <c r="AH478" s="380"/>
      <c r="AI478" s="380"/>
      <c r="AJ478" s="380"/>
      <c r="AK478" s="403"/>
      <c r="AL478" s="380"/>
      <c r="AM478" s="380"/>
      <c r="AN478" s="380"/>
      <c r="AO478" s="380"/>
      <c r="AP478" s="380"/>
      <c r="AQ478" s="404"/>
      <c r="AR478" s="380"/>
      <c r="AS478" s="380"/>
      <c r="AT478" s="380"/>
      <c r="AU478" s="380"/>
      <c r="AV478" s="380"/>
      <c r="AW478" s="380"/>
      <c r="AX478" s="380"/>
      <c r="AY478" s="403"/>
      <c r="AZ478" s="380"/>
      <c r="BA478" s="380"/>
      <c r="BB478" s="380"/>
      <c r="BC478" s="380"/>
      <c r="BD478" s="380"/>
      <c r="BE478" s="404"/>
      <c r="BF478" s="380"/>
      <c r="BG478" s="380"/>
      <c r="BH478" s="380"/>
      <c r="BI478" s="380"/>
      <c r="BJ478" s="380"/>
      <c r="BK478" s="380"/>
      <c r="BL478" s="380"/>
      <c r="BM478" s="403"/>
      <c r="BS478" s="83"/>
      <c r="CA478" s="405"/>
      <c r="CG478" s="83"/>
      <c r="CO478" s="405"/>
      <c r="CU478" s="83"/>
      <c r="DC478" s="405"/>
      <c r="DI478" s="83"/>
      <c r="DQ478" s="405"/>
      <c r="DW478" s="83"/>
      <c r="EE478" s="405"/>
      <c r="EK478" s="83"/>
      <c r="ES478" s="405"/>
      <c r="EY478" s="83"/>
      <c r="FG478" s="405"/>
      <c r="FM478" s="83"/>
      <c r="FU478" s="405"/>
      <c r="GA478" s="83"/>
      <c r="GI478" s="405"/>
      <c r="GO478" s="83"/>
      <c r="GW478" s="405"/>
      <c r="HC478" s="83"/>
      <c r="HK478" s="405"/>
      <c r="HQ478" s="83"/>
      <c r="HY478" s="405"/>
      <c r="IE478" s="83"/>
      <c r="IM478" s="405"/>
      <c r="IS478" s="83"/>
      <c r="JA478" s="405"/>
      <c r="JG478" s="83"/>
      <c r="JO478" s="405"/>
      <c r="JU478" s="83"/>
      <c r="KC478" s="405"/>
      <c r="KI478" s="83"/>
      <c r="KQ478" s="405"/>
      <c r="KW478" s="83"/>
      <c r="LE478" s="405"/>
      <c r="LK478" s="83"/>
      <c r="LS478" s="405"/>
      <c r="LY478" s="83"/>
      <c r="MG478" s="405"/>
      <c r="MM478" s="83"/>
      <c r="MU478" s="405"/>
      <c r="NA478" s="83"/>
    </row>
    <row r="479">
      <c r="A479" s="483"/>
      <c r="B479" s="380"/>
      <c r="C479" s="380"/>
      <c r="D479" s="380"/>
      <c r="E479" s="380"/>
      <c r="F479" s="380"/>
      <c r="G479" s="380"/>
      <c r="H479" s="380"/>
      <c r="I479" s="403"/>
      <c r="J479" s="380"/>
      <c r="K479" s="380"/>
      <c r="L479" s="380"/>
      <c r="M479" s="380"/>
      <c r="N479" s="380"/>
      <c r="O479" s="404"/>
      <c r="P479" s="380"/>
      <c r="Q479" s="380"/>
      <c r="R479" s="380"/>
      <c r="S479" s="380"/>
      <c r="T479" s="380"/>
      <c r="U479" s="380"/>
      <c r="V479" s="380"/>
      <c r="W479" s="403"/>
      <c r="X479" s="380"/>
      <c r="Y479" s="380"/>
      <c r="Z479" s="380"/>
      <c r="AA479" s="380"/>
      <c r="AB479" s="380"/>
      <c r="AC479" s="404"/>
      <c r="AD479" s="380"/>
      <c r="AE479" s="380"/>
      <c r="AF479" s="380"/>
      <c r="AG479" s="380"/>
      <c r="AH479" s="380"/>
      <c r="AI479" s="380"/>
      <c r="AJ479" s="380"/>
      <c r="AK479" s="403"/>
      <c r="AL479" s="380"/>
      <c r="AM479" s="380"/>
      <c r="AN479" s="380"/>
      <c r="AO479" s="380"/>
      <c r="AP479" s="380"/>
      <c r="AQ479" s="404"/>
      <c r="AR479" s="380"/>
      <c r="AS479" s="380"/>
      <c r="AT479" s="380"/>
      <c r="AU479" s="380"/>
      <c r="AV479" s="380"/>
      <c r="AW479" s="380"/>
      <c r="AX479" s="380"/>
      <c r="AY479" s="403"/>
      <c r="AZ479" s="380"/>
      <c r="BA479" s="380"/>
      <c r="BB479" s="380"/>
      <c r="BC479" s="380"/>
      <c r="BD479" s="380"/>
      <c r="BE479" s="404"/>
      <c r="BF479" s="380"/>
      <c r="BG479" s="380"/>
      <c r="BH479" s="380"/>
      <c r="BI479" s="380"/>
      <c r="BJ479" s="380"/>
      <c r="BK479" s="380"/>
      <c r="BL479" s="380"/>
      <c r="BM479" s="403"/>
      <c r="BS479" s="83"/>
      <c r="CA479" s="405"/>
      <c r="CG479" s="83"/>
      <c r="CO479" s="405"/>
      <c r="CU479" s="83"/>
      <c r="DC479" s="405"/>
      <c r="DI479" s="83"/>
      <c r="DQ479" s="405"/>
      <c r="DW479" s="83"/>
      <c r="EE479" s="405"/>
      <c r="EK479" s="83"/>
      <c r="ES479" s="405"/>
      <c r="EY479" s="83"/>
      <c r="FG479" s="405"/>
      <c r="FM479" s="83"/>
      <c r="FU479" s="405"/>
      <c r="GA479" s="83"/>
      <c r="GI479" s="405"/>
      <c r="GO479" s="83"/>
      <c r="GW479" s="405"/>
      <c r="HC479" s="83"/>
      <c r="HK479" s="405"/>
      <c r="HQ479" s="83"/>
      <c r="HY479" s="405"/>
      <c r="IE479" s="83"/>
      <c r="IM479" s="405"/>
      <c r="IS479" s="83"/>
      <c r="JA479" s="405"/>
      <c r="JG479" s="83"/>
      <c r="JO479" s="405"/>
      <c r="JU479" s="83"/>
      <c r="KC479" s="405"/>
      <c r="KI479" s="83"/>
      <c r="KQ479" s="405"/>
      <c r="KW479" s="83"/>
      <c r="LE479" s="405"/>
      <c r="LK479" s="83"/>
      <c r="LS479" s="405"/>
      <c r="LY479" s="83"/>
      <c r="MG479" s="405"/>
      <c r="MM479" s="83"/>
      <c r="MU479" s="405"/>
      <c r="NA479" s="83"/>
    </row>
    <row r="480">
      <c r="A480" s="483"/>
      <c r="B480" s="380"/>
      <c r="C480" s="380"/>
      <c r="D480" s="380"/>
      <c r="E480" s="380"/>
      <c r="F480" s="380"/>
      <c r="G480" s="380"/>
      <c r="H480" s="380"/>
      <c r="I480" s="403"/>
      <c r="J480" s="380"/>
      <c r="K480" s="380"/>
      <c r="L480" s="380"/>
      <c r="M480" s="380"/>
      <c r="N480" s="380"/>
      <c r="O480" s="404"/>
      <c r="P480" s="380"/>
      <c r="Q480" s="380"/>
      <c r="R480" s="380"/>
      <c r="S480" s="380"/>
      <c r="T480" s="380"/>
      <c r="U480" s="380"/>
      <c r="V480" s="380"/>
      <c r="W480" s="403"/>
      <c r="X480" s="380"/>
      <c r="Y480" s="380"/>
      <c r="Z480" s="380"/>
      <c r="AA480" s="380"/>
      <c r="AB480" s="380"/>
      <c r="AC480" s="404"/>
      <c r="AD480" s="380"/>
      <c r="AE480" s="380"/>
      <c r="AF480" s="380"/>
      <c r="AG480" s="380"/>
      <c r="AH480" s="380"/>
      <c r="AI480" s="380"/>
      <c r="AJ480" s="380"/>
      <c r="AK480" s="403"/>
      <c r="AL480" s="380"/>
      <c r="AM480" s="380"/>
      <c r="AN480" s="380"/>
      <c r="AO480" s="380"/>
      <c r="AP480" s="380"/>
      <c r="AQ480" s="404"/>
      <c r="AR480" s="380"/>
      <c r="AS480" s="380"/>
      <c r="AT480" s="380"/>
      <c r="AU480" s="380"/>
      <c r="AV480" s="380"/>
      <c r="AW480" s="380"/>
      <c r="AX480" s="380"/>
      <c r="AY480" s="403"/>
      <c r="AZ480" s="380"/>
      <c r="BA480" s="380"/>
      <c r="BB480" s="380"/>
      <c r="BC480" s="380"/>
      <c r="BD480" s="380"/>
      <c r="BE480" s="404"/>
      <c r="BF480" s="380"/>
      <c r="BG480" s="380"/>
      <c r="BH480" s="380"/>
      <c r="BI480" s="380"/>
      <c r="BJ480" s="380"/>
      <c r="BK480" s="380"/>
      <c r="BL480" s="380"/>
      <c r="BM480" s="403"/>
      <c r="BS480" s="83"/>
      <c r="CA480" s="405"/>
      <c r="CG480" s="83"/>
      <c r="CO480" s="405"/>
      <c r="CU480" s="83"/>
      <c r="DC480" s="405"/>
      <c r="DI480" s="83"/>
      <c r="DQ480" s="405"/>
      <c r="DW480" s="83"/>
      <c r="EE480" s="405"/>
      <c r="EK480" s="83"/>
      <c r="ES480" s="405"/>
      <c r="EY480" s="83"/>
      <c r="FG480" s="405"/>
      <c r="FM480" s="83"/>
      <c r="FU480" s="405"/>
      <c r="GA480" s="83"/>
      <c r="GI480" s="405"/>
      <c r="GO480" s="83"/>
      <c r="GW480" s="405"/>
      <c r="HC480" s="83"/>
      <c r="HK480" s="405"/>
      <c r="HQ480" s="83"/>
      <c r="HY480" s="405"/>
      <c r="IE480" s="83"/>
      <c r="IM480" s="405"/>
      <c r="IS480" s="83"/>
      <c r="JA480" s="405"/>
      <c r="JG480" s="83"/>
      <c r="JO480" s="405"/>
      <c r="JU480" s="83"/>
      <c r="KC480" s="405"/>
      <c r="KI480" s="83"/>
      <c r="KQ480" s="405"/>
      <c r="KW480" s="83"/>
      <c r="LE480" s="405"/>
      <c r="LK480" s="83"/>
      <c r="LS480" s="405"/>
      <c r="LY480" s="83"/>
      <c r="MG480" s="405"/>
      <c r="MM480" s="83"/>
      <c r="MU480" s="405"/>
      <c r="NA480" s="83"/>
    </row>
    <row r="481">
      <c r="A481" s="483"/>
      <c r="B481" s="380"/>
      <c r="C481" s="380"/>
      <c r="D481" s="380"/>
      <c r="E481" s="380"/>
      <c r="F481" s="380"/>
      <c r="G481" s="380"/>
      <c r="H481" s="380"/>
      <c r="I481" s="403"/>
      <c r="J481" s="380"/>
      <c r="K481" s="380"/>
      <c r="L481" s="380"/>
      <c r="M481" s="380"/>
      <c r="N481" s="380"/>
      <c r="O481" s="404"/>
      <c r="P481" s="380"/>
      <c r="Q481" s="380"/>
      <c r="R481" s="380"/>
      <c r="S481" s="380"/>
      <c r="T481" s="380"/>
      <c r="U481" s="380"/>
      <c r="V481" s="380"/>
      <c r="W481" s="403"/>
      <c r="X481" s="380"/>
      <c r="Y481" s="380"/>
      <c r="Z481" s="380"/>
      <c r="AA481" s="380"/>
      <c r="AB481" s="380"/>
      <c r="AC481" s="404"/>
      <c r="AD481" s="380"/>
      <c r="AE481" s="380"/>
      <c r="AF481" s="380"/>
      <c r="AG481" s="380"/>
      <c r="AH481" s="380"/>
      <c r="AI481" s="380"/>
      <c r="AJ481" s="380"/>
      <c r="AK481" s="403"/>
      <c r="AL481" s="380"/>
      <c r="AM481" s="380"/>
      <c r="AN481" s="380"/>
      <c r="AO481" s="380"/>
      <c r="AP481" s="380"/>
      <c r="AQ481" s="404"/>
      <c r="AR481" s="380"/>
      <c r="AS481" s="380"/>
      <c r="AT481" s="380"/>
      <c r="AU481" s="380"/>
      <c r="AV481" s="380"/>
      <c r="AW481" s="380"/>
      <c r="AX481" s="380"/>
      <c r="AY481" s="403"/>
      <c r="AZ481" s="380"/>
      <c r="BA481" s="380"/>
      <c r="BB481" s="380"/>
      <c r="BC481" s="380"/>
      <c r="BD481" s="380"/>
      <c r="BE481" s="404"/>
      <c r="BF481" s="380"/>
      <c r="BG481" s="380"/>
      <c r="BH481" s="380"/>
      <c r="BI481" s="380"/>
      <c r="BJ481" s="380"/>
      <c r="BK481" s="380"/>
      <c r="BL481" s="380"/>
      <c r="BM481" s="403"/>
      <c r="BS481" s="83"/>
      <c r="CA481" s="405"/>
      <c r="CG481" s="83"/>
      <c r="CO481" s="405"/>
      <c r="CU481" s="83"/>
      <c r="DC481" s="405"/>
      <c r="DI481" s="83"/>
      <c r="DQ481" s="405"/>
      <c r="DW481" s="83"/>
      <c r="EE481" s="405"/>
      <c r="EK481" s="83"/>
      <c r="ES481" s="405"/>
      <c r="EY481" s="83"/>
      <c r="FG481" s="405"/>
      <c r="FM481" s="83"/>
      <c r="FU481" s="405"/>
      <c r="GA481" s="83"/>
      <c r="GI481" s="405"/>
      <c r="GO481" s="83"/>
      <c r="GW481" s="405"/>
      <c r="HC481" s="83"/>
      <c r="HK481" s="405"/>
      <c r="HQ481" s="83"/>
      <c r="HY481" s="405"/>
      <c r="IE481" s="83"/>
      <c r="IM481" s="405"/>
      <c r="IS481" s="83"/>
      <c r="JA481" s="405"/>
      <c r="JG481" s="83"/>
      <c r="JO481" s="405"/>
      <c r="JU481" s="83"/>
      <c r="KC481" s="405"/>
      <c r="KI481" s="83"/>
      <c r="KQ481" s="405"/>
      <c r="KW481" s="83"/>
      <c r="LE481" s="405"/>
      <c r="LK481" s="83"/>
      <c r="LS481" s="405"/>
      <c r="LY481" s="83"/>
      <c r="MG481" s="405"/>
      <c r="MM481" s="83"/>
      <c r="MU481" s="405"/>
      <c r="NA481" s="83"/>
    </row>
    <row r="482">
      <c r="A482" s="483"/>
      <c r="B482" s="380"/>
      <c r="C482" s="380"/>
      <c r="D482" s="380"/>
      <c r="E482" s="380"/>
      <c r="F482" s="380"/>
      <c r="G482" s="380"/>
      <c r="H482" s="380"/>
      <c r="I482" s="403"/>
      <c r="J482" s="380"/>
      <c r="K482" s="380"/>
      <c r="L482" s="380"/>
      <c r="M482" s="380"/>
      <c r="N482" s="380"/>
      <c r="O482" s="404"/>
      <c r="P482" s="380"/>
      <c r="Q482" s="380"/>
      <c r="R482" s="380"/>
      <c r="S482" s="380"/>
      <c r="T482" s="380"/>
      <c r="U482" s="380"/>
      <c r="V482" s="380"/>
      <c r="W482" s="403"/>
      <c r="X482" s="380"/>
      <c r="Y482" s="380"/>
      <c r="Z482" s="380"/>
      <c r="AA482" s="380"/>
      <c r="AB482" s="380"/>
      <c r="AC482" s="404"/>
      <c r="AD482" s="380"/>
      <c r="AE482" s="380"/>
      <c r="AF482" s="380"/>
      <c r="AG482" s="380"/>
      <c r="AH482" s="380"/>
      <c r="AI482" s="380"/>
      <c r="AJ482" s="380"/>
      <c r="AK482" s="403"/>
      <c r="AL482" s="380"/>
      <c r="AM482" s="380"/>
      <c r="AN482" s="380"/>
      <c r="AO482" s="380"/>
      <c r="AP482" s="380"/>
      <c r="AQ482" s="404"/>
      <c r="AR482" s="380"/>
      <c r="AS482" s="380"/>
      <c r="AT482" s="380"/>
      <c r="AU482" s="380"/>
      <c r="AV482" s="380"/>
      <c r="AW482" s="380"/>
      <c r="AX482" s="380"/>
      <c r="AY482" s="403"/>
      <c r="AZ482" s="380"/>
      <c r="BA482" s="380"/>
      <c r="BB482" s="380"/>
      <c r="BC482" s="380"/>
      <c r="BD482" s="380"/>
      <c r="BE482" s="404"/>
      <c r="BF482" s="380"/>
      <c r="BG482" s="380"/>
      <c r="BH482" s="380"/>
      <c r="BI482" s="380"/>
      <c r="BJ482" s="380"/>
      <c r="BK482" s="380"/>
      <c r="BL482" s="380"/>
      <c r="BM482" s="403"/>
      <c r="BS482" s="83"/>
      <c r="CA482" s="405"/>
      <c r="CG482" s="83"/>
      <c r="CO482" s="405"/>
      <c r="CU482" s="83"/>
      <c r="DC482" s="405"/>
      <c r="DI482" s="83"/>
      <c r="DQ482" s="405"/>
      <c r="DW482" s="83"/>
      <c r="EE482" s="405"/>
      <c r="EK482" s="83"/>
      <c r="ES482" s="405"/>
      <c r="EY482" s="83"/>
      <c r="FG482" s="405"/>
      <c r="FM482" s="83"/>
      <c r="FU482" s="405"/>
      <c r="GA482" s="83"/>
      <c r="GI482" s="405"/>
      <c r="GO482" s="83"/>
      <c r="GW482" s="405"/>
      <c r="HC482" s="83"/>
      <c r="HK482" s="405"/>
      <c r="HQ482" s="83"/>
      <c r="HY482" s="405"/>
      <c r="IE482" s="83"/>
      <c r="IM482" s="405"/>
      <c r="IS482" s="83"/>
      <c r="JA482" s="405"/>
      <c r="JG482" s="83"/>
      <c r="JO482" s="405"/>
      <c r="JU482" s="83"/>
      <c r="KC482" s="405"/>
      <c r="KI482" s="83"/>
      <c r="KQ482" s="405"/>
      <c r="KW482" s="83"/>
      <c r="LE482" s="405"/>
      <c r="LK482" s="83"/>
      <c r="LS482" s="405"/>
      <c r="LY482" s="83"/>
      <c r="MG482" s="405"/>
      <c r="MM482" s="83"/>
      <c r="MU482" s="405"/>
      <c r="NA482" s="83"/>
    </row>
    <row r="483">
      <c r="A483" s="483"/>
      <c r="B483" s="380"/>
      <c r="C483" s="380"/>
      <c r="D483" s="380"/>
      <c r="E483" s="380"/>
      <c r="F483" s="380"/>
      <c r="G483" s="380"/>
      <c r="H483" s="380"/>
      <c r="I483" s="403"/>
      <c r="J483" s="380"/>
      <c r="K483" s="380"/>
      <c r="L483" s="380"/>
      <c r="M483" s="380"/>
      <c r="N483" s="380"/>
      <c r="O483" s="404"/>
      <c r="P483" s="380"/>
      <c r="Q483" s="380"/>
      <c r="R483" s="380"/>
      <c r="S483" s="380"/>
      <c r="T483" s="380"/>
      <c r="U483" s="380"/>
      <c r="V483" s="380"/>
      <c r="W483" s="403"/>
      <c r="X483" s="380"/>
      <c r="Y483" s="380"/>
      <c r="Z483" s="380"/>
      <c r="AA483" s="380"/>
      <c r="AB483" s="380"/>
      <c r="AC483" s="404"/>
      <c r="AD483" s="380"/>
      <c r="AE483" s="380"/>
      <c r="AF483" s="380"/>
      <c r="AG483" s="380"/>
      <c r="AH483" s="380"/>
      <c r="AI483" s="380"/>
      <c r="AJ483" s="380"/>
      <c r="AK483" s="403"/>
      <c r="AL483" s="380"/>
      <c r="AM483" s="380"/>
      <c r="AN483" s="380"/>
      <c r="AO483" s="380"/>
      <c r="AP483" s="380"/>
      <c r="AQ483" s="404"/>
      <c r="AR483" s="380"/>
      <c r="AS483" s="380"/>
      <c r="AT483" s="380"/>
      <c r="AU483" s="380"/>
      <c r="AV483" s="380"/>
      <c r="AW483" s="380"/>
      <c r="AX483" s="380"/>
      <c r="AY483" s="403"/>
      <c r="AZ483" s="380"/>
      <c r="BA483" s="380"/>
      <c r="BB483" s="380"/>
      <c r="BC483" s="380"/>
      <c r="BD483" s="380"/>
      <c r="BE483" s="404"/>
      <c r="BF483" s="380"/>
      <c r="BG483" s="380"/>
      <c r="BH483" s="380"/>
      <c r="BI483" s="380"/>
      <c r="BJ483" s="380"/>
      <c r="BK483" s="380"/>
      <c r="BL483" s="380"/>
      <c r="BM483" s="403"/>
      <c r="BS483" s="83"/>
      <c r="CA483" s="405"/>
      <c r="CG483" s="83"/>
      <c r="CO483" s="405"/>
      <c r="CU483" s="83"/>
      <c r="DC483" s="405"/>
      <c r="DI483" s="83"/>
      <c r="DQ483" s="405"/>
      <c r="DW483" s="83"/>
      <c r="EE483" s="405"/>
      <c r="EK483" s="83"/>
      <c r="ES483" s="405"/>
      <c r="EY483" s="83"/>
      <c r="FG483" s="405"/>
      <c r="FM483" s="83"/>
      <c r="FU483" s="405"/>
      <c r="GA483" s="83"/>
      <c r="GI483" s="405"/>
      <c r="GO483" s="83"/>
      <c r="GW483" s="405"/>
      <c r="HC483" s="83"/>
      <c r="HK483" s="405"/>
      <c r="HQ483" s="83"/>
      <c r="HY483" s="405"/>
      <c r="IE483" s="83"/>
      <c r="IM483" s="405"/>
      <c r="IS483" s="83"/>
      <c r="JA483" s="405"/>
      <c r="JG483" s="83"/>
      <c r="JO483" s="405"/>
      <c r="JU483" s="83"/>
      <c r="KC483" s="405"/>
      <c r="KI483" s="83"/>
      <c r="KQ483" s="405"/>
      <c r="KW483" s="83"/>
      <c r="LE483" s="405"/>
      <c r="LK483" s="83"/>
      <c r="LS483" s="405"/>
      <c r="LY483" s="83"/>
      <c r="MG483" s="405"/>
      <c r="MM483" s="83"/>
      <c r="MU483" s="405"/>
      <c r="NA483" s="83"/>
    </row>
    <row r="484">
      <c r="A484" s="483"/>
      <c r="B484" s="380"/>
      <c r="C484" s="380"/>
      <c r="D484" s="380"/>
      <c r="E484" s="380"/>
      <c r="F484" s="380"/>
      <c r="G484" s="380"/>
      <c r="H484" s="380"/>
      <c r="I484" s="403"/>
      <c r="J484" s="380"/>
      <c r="K484" s="380"/>
      <c r="L484" s="380"/>
      <c r="M484" s="380"/>
      <c r="N484" s="380"/>
      <c r="O484" s="404"/>
      <c r="P484" s="380"/>
      <c r="Q484" s="380"/>
      <c r="R484" s="380"/>
      <c r="S484" s="380"/>
      <c r="T484" s="380"/>
      <c r="U484" s="380"/>
      <c r="V484" s="380"/>
      <c r="W484" s="403"/>
      <c r="X484" s="380"/>
      <c r="Y484" s="380"/>
      <c r="Z484" s="380"/>
      <c r="AA484" s="380"/>
      <c r="AB484" s="380"/>
      <c r="AC484" s="404"/>
      <c r="AD484" s="380"/>
      <c r="AE484" s="380"/>
      <c r="AF484" s="380"/>
      <c r="AG484" s="380"/>
      <c r="AH484" s="380"/>
      <c r="AI484" s="380"/>
      <c r="AJ484" s="380"/>
      <c r="AK484" s="403"/>
      <c r="AL484" s="380"/>
      <c r="AM484" s="380"/>
      <c r="AN484" s="380"/>
      <c r="AO484" s="380"/>
      <c r="AP484" s="380"/>
      <c r="AQ484" s="404"/>
      <c r="AR484" s="380"/>
      <c r="AS484" s="380"/>
      <c r="AT484" s="380"/>
      <c r="AU484" s="380"/>
      <c r="AV484" s="380"/>
      <c r="AW484" s="380"/>
      <c r="AX484" s="380"/>
      <c r="AY484" s="403"/>
      <c r="AZ484" s="380"/>
      <c r="BA484" s="380"/>
      <c r="BB484" s="380"/>
      <c r="BC484" s="380"/>
      <c r="BD484" s="380"/>
      <c r="BE484" s="404"/>
      <c r="BF484" s="380"/>
      <c r="BG484" s="380"/>
      <c r="BH484" s="380"/>
      <c r="BI484" s="380"/>
      <c r="BJ484" s="380"/>
      <c r="BK484" s="380"/>
      <c r="BL484" s="380"/>
      <c r="BM484" s="403"/>
      <c r="BS484" s="83"/>
      <c r="CA484" s="405"/>
      <c r="CG484" s="83"/>
      <c r="CO484" s="405"/>
      <c r="CU484" s="83"/>
      <c r="DC484" s="405"/>
      <c r="DI484" s="83"/>
      <c r="DQ484" s="405"/>
      <c r="DW484" s="83"/>
      <c r="EE484" s="405"/>
      <c r="EK484" s="83"/>
      <c r="ES484" s="405"/>
      <c r="EY484" s="83"/>
      <c r="FG484" s="405"/>
      <c r="FM484" s="83"/>
      <c r="FU484" s="405"/>
      <c r="GA484" s="83"/>
      <c r="GI484" s="405"/>
      <c r="GO484" s="83"/>
      <c r="GW484" s="405"/>
      <c r="HC484" s="83"/>
      <c r="HK484" s="405"/>
      <c r="HQ484" s="83"/>
      <c r="HY484" s="405"/>
      <c r="IE484" s="83"/>
      <c r="IM484" s="405"/>
      <c r="IS484" s="83"/>
      <c r="JA484" s="405"/>
      <c r="JG484" s="83"/>
      <c r="JO484" s="405"/>
      <c r="JU484" s="83"/>
      <c r="KC484" s="405"/>
      <c r="KI484" s="83"/>
      <c r="KQ484" s="405"/>
      <c r="KW484" s="83"/>
      <c r="LE484" s="405"/>
      <c r="LK484" s="83"/>
      <c r="LS484" s="405"/>
      <c r="LY484" s="83"/>
      <c r="MG484" s="405"/>
      <c r="MM484" s="83"/>
      <c r="MU484" s="405"/>
      <c r="NA484" s="83"/>
    </row>
    <row r="485">
      <c r="A485" s="483"/>
      <c r="B485" s="380"/>
      <c r="C485" s="380"/>
      <c r="D485" s="380"/>
      <c r="E485" s="380"/>
      <c r="F485" s="380"/>
      <c r="G485" s="380"/>
      <c r="H485" s="380"/>
      <c r="I485" s="403"/>
      <c r="J485" s="380"/>
      <c r="K485" s="380"/>
      <c r="L485" s="380"/>
      <c r="M485" s="380"/>
      <c r="N485" s="380"/>
      <c r="O485" s="404"/>
      <c r="P485" s="380"/>
      <c r="Q485" s="380"/>
      <c r="R485" s="380"/>
      <c r="S485" s="380"/>
      <c r="T485" s="380"/>
      <c r="U485" s="380"/>
      <c r="V485" s="380"/>
      <c r="W485" s="403"/>
      <c r="X485" s="380"/>
      <c r="Y485" s="380"/>
      <c r="Z485" s="380"/>
      <c r="AA485" s="380"/>
      <c r="AB485" s="380"/>
      <c r="AC485" s="404"/>
      <c r="AD485" s="380"/>
      <c r="AE485" s="380"/>
      <c r="AF485" s="380"/>
      <c r="AG485" s="380"/>
      <c r="AH485" s="380"/>
      <c r="AI485" s="380"/>
      <c r="AJ485" s="380"/>
      <c r="AK485" s="403"/>
      <c r="AL485" s="380"/>
      <c r="AM485" s="380"/>
      <c r="AN485" s="380"/>
      <c r="AO485" s="380"/>
      <c r="AP485" s="380"/>
      <c r="AQ485" s="404"/>
      <c r="AR485" s="380"/>
      <c r="AS485" s="380"/>
      <c r="AT485" s="380"/>
      <c r="AU485" s="380"/>
      <c r="AV485" s="380"/>
      <c r="AW485" s="380"/>
      <c r="AX485" s="380"/>
      <c r="AY485" s="403"/>
      <c r="AZ485" s="380"/>
      <c r="BA485" s="380"/>
      <c r="BB485" s="380"/>
      <c r="BC485" s="380"/>
      <c r="BD485" s="380"/>
      <c r="BE485" s="404"/>
      <c r="BF485" s="380"/>
      <c r="BG485" s="380"/>
      <c r="BH485" s="380"/>
      <c r="BI485" s="380"/>
      <c r="BJ485" s="380"/>
      <c r="BK485" s="380"/>
      <c r="BL485" s="380"/>
      <c r="BM485" s="403"/>
      <c r="BS485" s="83"/>
      <c r="CA485" s="405"/>
      <c r="CG485" s="83"/>
      <c r="CO485" s="405"/>
      <c r="CU485" s="83"/>
      <c r="DC485" s="405"/>
      <c r="DI485" s="83"/>
      <c r="DQ485" s="405"/>
      <c r="DW485" s="83"/>
      <c r="EE485" s="405"/>
      <c r="EK485" s="83"/>
      <c r="ES485" s="405"/>
      <c r="EY485" s="83"/>
      <c r="FG485" s="405"/>
      <c r="FM485" s="83"/>
      <c r="FU485" s="405"/>
      <c r="GA485" s="83"/>
      <c r="GI485" s="405"/>
      <c r="GO485" s="83"/>
      <c r="GW485" s="405"/>
      <c r="HC485" s="83"/>
      <c r="HK485" s="405"/>
      <c r="HQ485" s="83"/>
      <c r="HY485" s="405"/>
      <c r="IE485" s="83"/>
      <c r="IM485" s="405"/>
      <c r="IS485" s="83"/>
      <c r="JA485" s="405"/>
      <c r="JG485" s="83"/>
      <c r="JO485" s="405"/>
      <c r="JU485" s="83"/>
      <c r="KC485" s="405"/>
      <c r="KI485" s="83"/>
      <c r="KQ485" s="405"/>
      <c r="KW485" s="83"/>
      <c r="LE485" s="405"/>
      <c r="LK485" s="83"/>
      <c r="LS485" s="405"/>
      <c r="LY485" s="83"/>
      <c r="MG485" s="405"/>
      <c r="MM485" s="83"/>
      <c r="MU485" s="405"/>
      <c r="NA485" s="83"/>
    </row>
    <row r="486">
      <c r="A486" s="483"/>
      <c r="B486" s="380"/>
      <c r="C486" s="380"/>
      <c r="D486" s="380"/>
      <c r="E486" s="380"/>
      <c r="F486" s="380"/>
      <c r="G486" s="380"/>
      <c r="H486" s="380"/>
      <c r="I486" s="403"/>
      <c r="J486" s="380"/>
      <c r="K486" s="380"/>
      <c r="L486" s="380"/>
      <c r="M486" s="380"/>
      <c r="N486" s="380"/>
      <c r="O486" s="404"/>
      <c r="P486" s="380"/>
      <c r="Q486" s="380"/>
      <c r="R486" s="380"/>
      <c r="S486" s="380"/>
      <c r="T486" s="380"/>
      <c r="U486" s="380"/>
      <c r="V486" s="380"/>
      <c r="W486" s="403"/>
      <c r="X486" s="380"/>
      <c r="Y486" s="380"/>
      <c r="Z486" s="380"/>
      <c r="AA486" s="380"/>
      <c r="AB486" s="380"/>
      <c r="AC486" s="404"/>
      <c r="AD486" s="380"/>
      <c r="AE486" s="380"/>
      <c r="AF486" s="380"/>
      <c r="AG486" s="380"/>
      <c r="AH486" s="380"/>
      <c r="AI486" s="380"/>
      <c r="AJ486" s="380"/>
      <c r="AK486" s="403"/>
      <c r="AL486" s="380"/>
      <c r="AM486" s="380"/>
      <c r="AN486" s="380"/>
      <c r="AO486" s="380"/>
      <c r="AP486" s="380"/>
      <c r="AQ486" s="404"/>
      <c r="AR486" s="380"/>
      <c r="AS486" s="380"/>
      <c r="AT486" s="380"/>
      <c r="AU486" s="380"/>
      <c r="AV486" s="380"/>
      <c r="AW486" s="380"/>
      <c r="AX486" s="380"/>
      <c r="AY486" s="403"/>
      <c r="AZ486" s="380"/>
      <c r="BA486" s="380"/>
      <c r="BB486" s="380"/>
      <c r="BC486" s="380"/>
      <c r="BD486" s="380"/>
      <c r="BE486" s="404"/>
      <c r="BF486" s="380"/>
      <c r="BG486" s="380"/>
      <c r="BH486" s="380"/>
      <c r="BI486" s="380"/>
      <c r="BJ486" s="380"/>
      <c r="BK486" s="380"/>
      <c r="BL486" s="380"/>
      <c r="BM486" s="403"/>
      <c r="BS486" s="83"/>
      <c r="CA486" s="405"/>
      <c r="CG486" s="83"/>
      <c r="CO486" s="405"/>
      <c r="CU486" s="83"/>
      <c r="DC486" s="405"/>
      <c r="DI486" s="83"/>
      <c r="DQ486" s="405"/>
      <c r="DW486" s="83"/>
      <c r="EE486" s="405"/>
      <c r="EK486" s="83"/>
      <c r="ES486" s="405"/>
      <c r="EY486" s="83"/>
      <c r="FG486" s="405"/>
      <c r="FM486" s="83"/>
      <c r="FU486" s="405"/>
      <c r="GA486" s="83"/>
      <c r="GI486" s="405"/>
      <c r="GO486" s="83"/>
      <c r="GW486" s="405"/>
      <c r="HC486" s="83"/>
      <c r="HK486" s="405"/>
      <c r="HQ486" s="83"/>
      <c r="HY486" s="405"/>
      <c r="IE486" s="83"/>
      <c r="IM486" s="405"/>
      <c r="IS486" s="83"/>
      <c r="JA486" s="405"/>
      <c r="JG486" s="83"/>
      <c r="JO486" s="405"/>
      <c r="JU486" s="83"/>
      <c r="KC486" s="405"/>
      <c r="KI486" s="83"/>
      <c r="KQ486" s="405"/>
      <c r="KW486" s="83"/>
      <c r="LE486" s="405"/>
      <c r="LK486" s="83"/>
      <c r="LS486" s="405"/>
      <c r="LY486" s="83"/>
      <c r="MG486" s="405"/>
      <c r="MM486" s="83"/>
      <c r="MU486" s="405"/>
      <c r="NA486" s="83"/>
    </row>
    <row r="487">
      <c r="A487" s="483"/>
      <c r="B487" s="380"/>
      <c r="C487" s="380"/>
      <c r="D487" s="380"/>
      <c r="E487" s="380"/>
      <c r="F487" s="380"/>
      <c r="G487" s="380"/>
      <c r="H487" s="380"/>
      <c r="I487" s="403"/>
      <c r="J487" s="380"/>
      <c r="K487" s="380"/>
      <c r="L487" s="380"/>
      <c r="M487" s="380"/>
      <c r="N487" s="380"/>
      <c r="O487" s="404"/>
      <c r="P487" s="380"/>
      <c r="Q487" s="380"/>
      <c r="R487" s="380"/>
      <c r="S487" s="380"/>
      <c r="T487" s="380"/>
      <c r="U487" s="380"/>
      <c r="V487" s="380"/>
      <c r="W487" s="403"/>
      <c r="X487" s="380"/>
      <c r="Y487" s="380"/>
      <c r="Z487" s="380"/>
      <c r="AA487" s="380"/>
      <c r="AB487" s="380"/>
      <c r="AC487" s="404"/>
      <c r="AD487" s="380"/>
      <c r="AE487" s="380"/>
      <c r="AF487" s="380"/>
      <c r="AG487" s="380"/>
      <c r="AH487" s="380"/>
      <c r="AI487" s="380"/>
      <c r="AJ487" s="380"/>
      <c r="AK487" s="403"/>
      <c r="AL487" s="380"/>
      <c r="AM487" s="380"/>
      <c r="AN487" s="380"/>
      <c r="AO487" s="380"/>
      <c r="AP487" s="380"/>
      <c r="AQ487" s="404"/>
      <c r="AR487" s="380"/>
      <c r="AS487" s="380"/>
      <c r="AT487" s="380"/>
      <c r="AU487" s="380"/>
      <c r="AV487" s="380"/>
      <c r="AW487" s="380"/>
      <c r="AX487" s="380"/>
      <c r="AY487" s="403"/>
      <c r="AZ487" s="380"/>
      <c r="BA487" s="380"/>
      <c r="BB487" s="380"/>
      <c r="BC487" s="380"/>
      <c r="BD487" s="380"/>
      <c r="BE487" s="404"/>
      <c r="BF487" s="380"/>
      <c r="BG487" s="380"/>
      <c r="BH487" s="380"/>
      <c r="BI487" s="380"/>
      <c r="BJ487" s="380"/>
      <c r="BK487" s="380"/>
      <c r="BL487" s="380"/>
      <c r="BM487" s="403"/>
      <c r="BS487" s="83"/>
      <c r="CA487" s="405"/>
      <c r="CG487" s="83"/>
      <c r="CO487" s="405"/>
      <c r="CU487" s="83"/>
      <c r="DC487" s="405"/>
      <c r="DI487" s="83"/>
      <c r="DQ487" s="405"/>
      <c r="DW487" s="83"/>
      <c r="EE487" s="405"/>
      <c r="EK487" s="83"/>
      <c r="ES487" s="405"/>
      <c r="EY487" s="83"/>
      <c r="FG487" s="405"/>
      <c r="FM487" s="83"/>
      <c r="FU487" s="405"/>
      <c r="GA487" s="83"/>
      <c r="GI487" s="405"/>
      <c r="GO487" s="83"/>
      <c r="GW487" s="405"/>
      <c r="HC487" s="83"/>
      <c r="HK487" s="405"/>
      <c r="HQ487" s="83"/>
      <c r="HY487" s="405"/>
      <c r="IE487" s="83"/>
      <c r="IM487" s="405"/>
      <c r="IS487" s="83"/>
      <c r="JA487" s="405"/>
      <c r="JG487" s="83"/>
      <c r="JO487" s="405"/>
      <c r="JU487" s="83"/>
      <c r="KC487" s="405"/>
      <c r="KI487" s="83"/>
      <c r="KQ487" s="405"/>
      <c r="KW487" s="83"/>
      <c r="LE487" s="405"/>
      <c r="LK487" s="83"/>
      <c r="LS487" s="405"/>
      <c r="LY487" s="83"/>
      <c r="MG487" s="405"/>
      <c r="MM487" s="83"/>
      <c r="MU487" s="405"/>
      <c r="NA487" s="83"/>
    </row>
    <row r="488">
      <c r="A488" s="483"/>
      <c r="B488" s="380"/>
      <c r="C488" s="380"/>
      <c r="D488" s="380"/>
      <c r="E488" s="380"/>
      <c r="F488" s="380"/>
      <c r="G488" s="380"/>
      <c r="H488" s="380"/>
      <c r="I488" s="403"/>
      <c r="J488" s="380"/>
      <c r="K488" s="380"/>
      <c r="L488" s="380"/>
      <c r="M488" s="380"/>
      <c r="N488" s="380"/>
      <c r="O488" s="404"/>
      <c r="P488" s="380"/>
      <c r="Q488" s="380"/>
      <c r="R488" s="380"/>
      <c r="S488" s="380"/>
      <c r="T488" s="380"/>
      <c r="U488" s="380"/>
      <c r="V488" s="380"/>
      <c r="W488" s="403"/>
      <c r="X488" s="380"/>
      <c r="Y488" s="380"/>
      <c r="Z488" s="380"/>
      <c r="AA488" s="380"/>
      <c r="AB488" s="380"/>
      <c r="AC488" s="404"/>
      <c r="AD488" s="380"/>
      <c r="AE488" s="380"/>
      <c r="AF488" s="380"/>
      <c r="AG488" s="380"/>
      <c r="AH488" s="380"/>
      <c r="AI488" s="380"/>
      <c r="AJ488" s="380"/>
      <c r="AK488" s="403"/>
      <c r="AL488" s="380"/>
      <c r="AM488" s="380"/>
      <c r="AN488" s="380"/>
      <c r="AO488" s="380"/>
      <c r="AP488" s="380"/>
      <c r="AQ488" s="404"/>
      <c r="AR488" s="380"/>
      <c r="AS488" s="380"/>
      <c r="AT488" s="380"/>
      <c r="AU488" s="380"/>
      <c r="AV488" s="380"/>
      <c r="AW488" s="380"/>
      <c r="AX488" s="380"/>
      <c r="AY488" s="403"/>
      <c r="AZ488" s="380"/>
      <c r="BA488" s="380"/>
      <c r="BB488" s="380"/>
      <c r="BC488" s="380"/>
      <c r="BD488" s="380"/>
      <c r="BE488" s="404"/>
      <c r="BF488" s="380"/>
      <c r="BG488" s="380"/>
      <c r="BH488" s="380"/>
      <c r="BI488" s="380"/>
      <c r="BJ488" s="380"/>
      <c r="BK488" s="380"/>
      <c r="BL488" s="380"/>
      <c r="BM488" s="403"/>
      <c r="BS488" s="83"/>
      <c r="CA488" s="405"/>
      <c r="CG488" s="83"/>
      <c r="CO488" s="405"/>
      <c r="CU488" s="83"/>
      <c r="DC488" s="405"/>
      <c r="DI488" s="83"/>
      <c r="DQ488" s="405"/>
      <c r="DW488" s="83"/>
      <c r="EE488" s="405"/>
      <c r="EK488" s="83"/>
      <c r="ES488" s="405"/>
      <c r="EY488" s="83"/>
      <c r="FG488" s="405"/>
      <c r="FM488" s="83"/>
      <c r="FU488" s="405"/>
      <c r="GA488" s="83"/>
      <c r="GI488" s="405"/>
      <c r="GO488" s="83"/>
      <c r="GW488" s="405"/>
      <c r="HC488" s="83"/>
      <c r="HK488" s="405"/>
      <c r="HQ488" s="83"/>
      <c r="HY488" s="405"/>
      <c r="IE488" s="83"/>
      <c r="IM488" s="405"/>
      <c r="IS488" s="83"/>
      <c r="JA488" s="405"/>
      <c r="JG488" s="83"/>
      <c r="JO488" s="405"/>
      <c r="JU488" s="83"/>
      <c r="KC488" s="405"/>
      <c r="KI488" s="83"/>
      <c r="KQ488" s="405"/>
      <c r="KW488" s="83"/>
      <c r="LE488" s="405"/>
      <c r="LK488" s="83"/>
      <c r="LS488" s="405"/>
      <c r="LY488" s="83"/>
      <c r="MG488" s="405"/>
      <c r="MM488" s="83"/>
      <c r="MU488" s="405"/>
      <c r="NA488" s="83"/>
    </row>
    <row r="489">
      <c r="A489" s="483"/>
      <c r="B489" s="380"/>
      <c r="C489" s="380"/>
      <c r="D489" s="380"/>
      <c r="E489" s="380"/>
      <c r="F489" s="380"/>
      <c r="G489" s="380"/>
      <c r="H489" s="380"/>
      <c r="I489" s="403"/>
      <c r="J489" s="380"/>
      <c r="K489" s="380"/>
      <c r="L489" s="380"/>
      <c r="M489" s="380"/>
      <c r="N489" s="380"/>
      <c r="O489" s="404"/>
      <c r="P489" s="380"/>
      <c r="Q489" s="380"/>
      <c r="R489" s="380"/>
      <c r="S489" s="380"/>
      <c r="T489" s="380"/>
      <c r="U489" s="380"/>
      <c r="V489" s="380"/>
      <c r="W489" s="403"/>
      <c r="X489" s="380"/>
      <c r="Y489" s="380"/>
      <c r="Z489" s="380"/>
      <c r="AA489" s="380"/>
      <c r="AB489" s="380"/>
      <c r="AC489" s="404"/>
      <c r="AD489" s="380"/>
      <c r="AE489" s="380"/>
      <c r="AF489" s="380"/>
      <c r="AG489" s="380"/>
      <c r="AH489" s="380"/>
      <c r="AI489" s="380"/>
      <c r="AJ489" s="380"/>
      <c r="AK489" s="403"/>
      <c r="AL489" s="380"/>
      <c r="AM489" s="380"/>
      <c r="AN489" s="380"/>
      <c r="AO489" s="380"/>
      <c r="AP489" s="380"/>
      <c r="AQ489" s="404"/>
      <c r="AR489" s="380"/>
      <c r="AS489" s="380"/>
      <c r="AT489" s="380"/>
      <c r="AU489" s="380"/>
      <c r="AV489" s="380"/>
      <c r="AW489" s="380"/>
      <c r="AX489" s="380"/>
      <c r="AY489" s="403"/>
      <c r="AZ489" s="380"/>
      <c r="BA489" s="380"/>
      <c r="BB489" s="380"/>
      <c r="BC489" s="380"/>
      <c r="BD489" s="380"/>
      <c r="BE489" s="404"/>
      <c r="BF489" s="380"/>
      <c r="BG489" s="380"/>
      <c r="BH489" s="380"/>
      <c r="BI489" s="380"/>
      <c r="BJ489" s="380"/>
      <c r="BK489" s="380"/>
      <c r="BL489" s="380"/>
      <c r="BM489" s="403"/>
      <c r="BS489" s="83"/>
      <c r="CA489" s="405"/>
      <c r="CG489" s="83"/>
      <c r="CO489" s="405"/>
      <c r="CU489" s="83"/>
      <c r="DC489" s="405"/>
      <c r="DI489" s="83"/>
      <c r="DQ489" s="405"/>
      <c r="DW489" s="83"/>
      <c r="EE489" s="405"/>
      <c r="EK489" s="83"/>
      <c r="ES489" s="405"/>
      <c r="EY489" s="83"/>
      <c r="FG489" s="405"/>
      <c r="FM489" s="83"/>
      <c r="FU489" s="405"/>
      <c r="GA489" s="83"/>
      <c r="GI489" s="405"/>
      <c r="GO489" s="83"/>
      <c r="GW489" s="405"/>
      <c r="HC489" s="83"/>
      <c r="HK489" s="405"/>
      <c r="HQ489" s="83"/>
      <c r="HY489" s="405"/>
      <c r="IE489" s="83"/>
      <c r="IM489" s="405"/>
      <c r="IS489" s="83"/>
      <c r="JA489" s="405"/>
      <c r="JG489" s="83"/>
      <c r="JO489" s="405"/>
      <c r="JU489" s="83"/>
      <c r="KC489" s="405"/>
      <c r="KI489" s="83"/>
      <c r="KQ489" s="405"/>
      <c r="KW489" s="83"/>
      <c r="LE489" s="405"/>
      <c r="LK489" s="83"/>
      <c r="LS489" s="405"/>
      <c r="LY489" s="83"/>
      <c r="MG489" s="405"/>
      <c r="MM489" s="83"/>
      <c r="MU489" s="405"/>
      <c r="NA489" s="83"/>
    </row>
    <row r="490">
      <c r="A490" s="483"/>
      <c r="B490" s="380"/>
      <c r="C490" s="380"/>
      <c r="D490" s="380"/>
      <c r="E490" s="380"/>
      <c r="F490" s="380"/>
      <c r="G490" s="380"/>
      <c r="H490" s="380"/>
      <c r="I490" s="403"/>
      <c r="J490" s="380"/>
      <c r="K490" s="380"/>
      <c r="L490" s="380"/>
      <c r="M490" s="380"/>
      <c r="N490" s="380"/>
      <c r="O490" s="404"/>
      <c r="P490" s="380"/>
      <c r="Q490" s="380"/>
      <c r="R490" s="380"/>
      <c r="S490" s="380"/>
      <c r="T490" s="380"/>
      <c r="U490" s="380"/>
      <c r="V490" s="380"/>
      <c r="W490" s="403"/>
      <c r="X490" s="380"/>
      <c r="Y490" s="380"/>
      <c r="Z490" s="380"/>
      <c r="AA490" s="380"/>
      <c r="AB490" s="380"/>
      <c r="AC490" s="404"/>
      <c r="AD490" s="380"/>
      <c r="AE490" s="380"/>
      <c r="AF490" s="380"/>
      <c r="AG490" s="380"/>
      <c r="AH490" s="380"/>
      <c r="AI490" s="380"/>
      <c r="AJ490" s="380"/>
      <c r="AK490" s="403"/>
      <c r="AL490" s="380"/>
      <c r="AM490" s="380"/>
      <c r="AN490" s="380"/>
      <c r="AO490" s="380"/>
      <c r="AP490" s="380"/>
      <c r="AQ490" s="404"/>
      <c r="AR490" s="380"/>
      <c r="AS490" s="380"/>
      <c r="AT490" s="380"/>
      <c r="AU490" s="380"/>
      <c r="AV490" s="380"/>
      <c r="AW490" s="380"/>
      <c r="AX490" s="380"/>
      <c r="AY490" s="403"/>
      <c r="AZ490" s="380"/>
      <c r="BA490" s="380"/>
      <c r="BB490" s="380"/>
      <c r="BC490" s="380"/>
      <c r="BD490" s="380"/>
      <c r="BE490" s="404"/>
      <c r="BF490" s="380"/>
      <c r="BG490" s="380"/>
      <c r="BH490" s="380"/>
      <c r="BI490" s="380"/>
      <c r="BJ490" s="380"/>
      <c r="BK490" s="380"/>
      <c r="BL490" s="380"/>
      <c r="BM490" s="403"/>
      <c r="BS490" s="83"/>
      <c r="CA490" s="405"/>
      <c r="CG490" s="83"/>
      <c r="CO490" s="405"/>
      <c r="CU490" s="83"/>
      <c r="DC490" s="405"/>
      <c r="DI490" s="83"/>
      <c r="DQ490" s="405"/>
      <c r="DW490" s="83"/>
      <c r="EE490" s="405"/>
      <c r="EK490" s="83"/>
      <c r="ES490" s="405"/>
      <c r="EY490" s="83"/>
      <c r="FG490" s="405"/>
      <c r="FM490" s="83"/>
      <c r="FU490" s="405"/>
      <c r="GA490" s="83"/>
      <c r="GI490" s="405"/>
      <c r="GO490" s="83"/>
      <c r="GW490" s="405"/>
      <c r="HC490" s="83"/>
      <c r="HK490" s="405"/>
      <c r="HQ490" s="83"/>
      <c r="HY490" s="405"/>
      <c r="IE490" s="83"/>
      <c r="IM490" s="405"/>
      <c r="IS490" s="83"/>
      <c r="JA490" s="405"/>
      <c r="JG490" s="83"/>
      <c r="JO490" s="405"/>
      <c r="JU490" s="83"/>
      <c r="KC490" s="405"/>
      <c r="KI490" s="83"/>
      <c r="KQ490" s="405"/>
      <c r="KW490" s="83"/>
      <c r="LE490" s="405"/>
      <c r="LK490" s="83"/>
      <c r="LS490" s="405"/>
      <c r="LY490" s="83"/>
      <c r="MG490" s="405"/>
      <c r="MM490" s="83"/>
      <c r="MU490" s="405"/>
      <c r="NA490" s="83"/>
    </row>
    <row r="491">
      <c r="A491" s="483"/>
      <c r="B491" s="380"/>
      <c r="C491" s="380"/>
      <c r="D491" s="380"/>
      <c r="E491" s="380"/>
      <c r="F491" s="380"/>
      <c r="G491" s="380"/>
      <c r="H491" s="380"/>
      <c r="I491" s="403"/>
      <c r="J491" s="380"/>
      <c r="K491" s="380"/>
      <c r="L491" s="380"/>
      <c r="M491" s="380"/>
      <c r="N491" s="380"/>
      <c r="O491" s="404"/>
      <c r="P491" s="380"/>
      <c r="Q491" s="380"/>
      <c r="R491" s="380"/>
      <c r="S491" s="380"/>
      <c r="T491" s="380"/>
      <c r="U491" s="380"/>
      <c r="V491" s="380"/>
      <c r="W491" s="403"/>
      <c r="X491" s="380"/>
      <c r="Y491" s="380"/>
      <c r="Z491" s="380"/>
      <c r="AA491" s="380"/>
      <c r="AB491" s="380"/>
      <c r="AC491" s="404"/>
      <c r="AD491" s="380"/>
      <c r="AE491" s="380"/>
      <c r="AF491" s="380"/>
      <c r="AG491" s="380"/>
      <c r="AH491" s="380"/>
      <c r="AI491" s="380"/>
      <c r="AJ491" s="380"/>
      <c r="AK491" s="403"/>
      <c r="AL491" s="380"/>
      <c r="AM491" s="380"/>
      <c r="AN491" s="380"/>
      <c r="AO491" s="380"/>
      <c r="AP491" s="380"/>
      <c r="AQ491" s="404"/>
      <c r="AR491" s="380"/>
      <c r="AS491" s="380"/>
      <c r="AT491" s="380"/>
      <c r="AU491" s="380"/>
      <c r="AV491" s="380"/>
      <c r="AW491" s="380"/>
      <c r="AX491" s="380"/>
      <c r="AY491" s="403"/>
      <c r="AZ491" s="380"/>
      <c r="BA491" s="380"/>
      <c r="BB491" s="380"/>
      <c r="BC491" s="380"/>
      <c r="BD491" s="380"/>
      <c r="BE491" s="404"/>
      <c r="BF491" s="380"/>
      <c r="BG491" s="380"/>
      <c r="BH491" s="380"/>
      <c r="BI491" s="380"/>
      <c r="BJ491" s="380"/>
      <c r="BK491" s="380"/>
      <c r="BL491" s="380"/>
      <c r="BM491" s="403"/>
      <c r="BS491" s="83"/>
      <c r="CA491" s="405"/>
      <c r="CG491" s="83"/>
      <c r="CO491" s="405"/>
      <c r="CU491" s="83"/>
      <c r="DC491" s="405"/>
      <c r="DI491" s="83"/>
      <c r="DQ491" s="405"/>
      <c r="DW491" s="83"/>
      <c r="EE491" s="405"/>
      <c r="EK491" s="83"/>
      <c r="ES491" s="405"/>
      <c r="EY491" s="83"/>
      <c r="FG491" s="405"/>
      <c r="FM491" s="83"/>
      <c r="FU491" s="405"/>
      <c r="GA491" s="83"/>
      <c r="GI491" s="405"/>
      <c r="GO491" s="83"/>
      <c r="GW491" s="405"/>
      <c r="HC491" s="83"/>
      <c r="HK491" s="405"/>
      <c r="HQ491" s="83"/>
      <c r="HY491" s="405"/>
      <c r="IE491" s="83"/>
      <c r="IM491" s="405"/>
      <c r="IS491" s="83"/>
      <c r="JA491" s="405"/>
      <c r="JG491" s="83"/>
      <c r="JO491" s="405"/>
      <c r="JU491" s="83"/>
      <c r="KC491" s="405"/>
      <c r="KI491" s="83"/>
      <c r="KQ491" s="405"/>
      <c r="KW491" s="83"/>
      <c r="LE491" s="405"/>
      <c r="LK491" s="83"/>
      <c r="LS491" s="405"/>
      <c r="LY491" s="83"/>
      <c r="MG491" s="405"/>
      <c r="MM491" s="83"/>
      <c r="MU491" s="405"/>
      <c r="NA491" s="83"/>
    </row>
    <row r="492">
      <c r="A492" s="483"/>
      <c r="B492" s="380"/>
      <c r="C492" s="380"/>
      <c r="D492" s="380"/>
      <c r="E492" s="380"/>
      <c r="F492" s="380"/>
      <c r="G492" s="380"/>
      <c r="H492" s="380"/>
      <c r="I492" s="403"/>
      <c r="J492" s="380"/>
      <c r="K492" s="380"/>
      <c r="L492" s="380"/>
      <c r="M492" s="380"/>
      <c r="N492" s="380"/>
      <c r="O492" s="404"/>
      <c r="P492" s="380"/>
      <c r="Q492" s="380"/>
      <c r="R492" s="380"/>
      <c r="S492" s="380"/>
      <c r="T492" s="380"/>
      <c r="U492" s="380"/>
      <c r="V492" s="380"/>
      <c r="W492" s="403"/>
      <c r="X492" s="380"/>
      <c r="Y492" s="380"/>
      <c r="Z492" s="380"/>
      <c r="AA492" s="380"/>
      <c r="AB492" s="380"/>
      <c r="AC492" s="404"/>
      <c r="AD492" s="380"/>
      <c r="AE492" s="380"/>
      <c r="AF492" s="380"/>
      <c r="AG492" s="380"/>
      <c r="AH492" s="380"/>
      <c r="AI492" s="380"/>
      <c r="AJ492" s="380"/>
      <c r="AK492" s="403"/>
      <c r="AL492" s="380"/>
      <c r="AM492" s="380"/>
      <c r="AN492" s="380"/>
      <c r="AO492" s="380"/>
      <c r="AP492" s="380"/>
      <c r="AQ492" s="404"/>
      <c r="AR492" s="380"/>
      <c r="AS492" s="380"/>
      <c r="AT492" s="380"/>
      <c r="AU492" s="380"/>
      <c r="AV492" s="380"/>
      <c r="AW492" s="380"/>
      <c r="AX492" s="380"/>
      <c r="AY492" s="403"/>
      <c r="AZ492" s="380"/>
      <c r="BA492" s="380"/>
      <c r="BB492" s="380"/>
      <c r="BC492" s="380"/>
      <c r="BD492" s="380"/>
      <c r="BE492" s="404"/>
      <c r="BF492" s="380"/>
      <c r="BG492" s="380"/>
      <c r="BH492" s="380"/>
      <c r="BI492" s="380"/>
      <c r="BJ492" s="380"/>
      <c r="BK492" s="380"/>
      <c r="BL492" s="380"/>
      <c r="BM492" s="403"/>
      <c r="BS492" s="83"/>
      <c r="CA492" s="405"/>
      <c r="CG492" s="83"/>
      <c r="CO492" s="405"/>
      <c r="CU492" s="83"/>
      <c r="DC492" s="405"/>
      <c r="DI492" s="83"/>
      <c r="DQ492" s="405"/>
      <c r="DW492" s="83"/>
      <c r="EE492" s="405"/>
      <c r="EK492" s="83"/>
      <c r="ES492" s="405"/>
      <c r="EY492" s="83"/>
      <c r="FG492" s="405"/>
      <c r="FM492" s="83"/>
      <c r="FU492" s="405"/>
      <c r="GA492" s="83"/>
      <c r="GI492" s="405"/>
      <c r="GO492" s="83"/>
      <c r="GW492" s="405"/>
      <c r="HC492" s="83"/>
      <c r="HK492" s="405"/>
      <c r="HQ492" s="83"/>
      <c r="HY492" s="405"/>
      <c r="IE492" s="83"/>
      <c r="IM492" s="405"/>
      <c r="IS492" s="83"/>
      <c r="JA492" s="405"/>
      <c r="JG492" s="83"/>
      <c r="JO492" s="405"/>
      <c r="JU492" s="83"/>
      <c r="KC492" s="405"/>
      <c r="KI492" s="83"/>
      <c r="KQ492" s="405"/>
      <c r="KW492" s="83"/>
      <c r="LE492" s="405"/>
      <c r="LK492" s="83"/>
      <c r="LS492" s="405"/>
      <c r="LY492" s="83"/>
      <c r="MG492" s="405"/>
      <c r="MM492" s="83"/>
      <c r="MU492" s="405"/>
      <c r="NA492" s="83"/>
    </row>
    <row r="493">
      <c r="A493" s="483"/>
      <c r="B493" s="380"/>
      <c r="C493" s="380"/>
      <c r="D493" s="380"/>
      <c r="E493" s="380"/>
      <c r="F493" s="380"/>
      <c r="G493" s="380"/>
      <c r="H493" s="380"/>
      <c r="I493" s="403"/>
      <c r="J493" s="380"/>
      <c r="K493" s="380"/>
      <c r="L493" s="380"/>
      <c r="M493" s="380"/>
      <c r="N493" s="380"/>
      <c r="O493" s="404"/>
      <c r="P493" s="380"/>
      <c r="Q493" s="380"/>
      <c r="R493" s="380"/>
      <c r="S493" s="380"/>
      <c r="T493" s="380"/>
      <c r="U493" s="380"/>
      <c r="V493" s="380"/>
      <c r="W493" s="403"/>
      <c r="X493" s="380"/>
      <c r="Y493" s="380"/>
      <c r="Z493" s="380"/>
      <c r="AA493" s="380"/>
      <c r="AB493" s="380"/>
      <c r="AC493" s="404"/>
      <c r="AD493" s="380"/>
      <c r="AE493" s="380"/>
      <c r="AF493" s="380"/>
      <c r="AG493" s="380"/>
      <c r="AH493" s="380"/>
      <c r="AI493" s="380"/>
      <c r="AJ493" s="380"/>
      <c r="AK493" s="403"/>
      <c r="AL493" s="380"/>
      <c r="AM493" s="380"/>
      <c r="AN493" s="380"/>
      <c r="AO493" s="380"/>
      <c r="AP493" s="380"/>
      <c r="AQ493" s="404"/>
      <c r="AR493" s="380"/>
      <c r="AS493" s="380"/>
      <c r="AT493" s="380"/>
      <c r="AU493" s="380"/>
      <c r="AV493" s="380"/>
      <c r="AW493" s="380"/>
      <c r="AX493" s="380"/>
      <c r="AY493" s="403"/>
      <c r="AZ493" s="380"/>
      <c r="BA493" s="380"/>
      <c r="BB493" s="380"/>
      <c r="BC493" s="380"/>
      <c r="BD493" s="380"/>
      <c r="BE493" s="404"/>
      <c r="BF493" s="380"/>
      <c r="BG493" s="380"/>
      <c r="BH493" s="380"/>
      <c r="BI493" s="380"/>
      <c r="BJ493" s="380"/>
      <c r="BK493" s="380"/>
      <c r="BL493" s="380"/>
      <c r="BM493" s="403"/>
      <c r="BS493" s="83"/>
      <c r="CA493" s="405"/>
      <c r="CG493" s="83"/>
      <c r="CO493" s="405"/>
      <c r="CU493" s="83"/>
      <c r="DC493" s="405"/>
      <c r="DI493" s="83"/>
      <c r="DQ493" s="405"/>
      <c r="DW493" s="83"/>
      <c r="EE493" s="405"/>
      <c r="EK493" s="83"/>
      <c r="ES493" s="405"/>
      <c r="EY493" s="83"/>
      <c r="FG493" s="405"/>
      <c r="FM493" s="83"/>
      <c r="FU493" s="405"/>
      <c r="GA493" s="83"/>
      <c r="GI493" s="405"/>
      <c r="GO493" s="83"/>
      <c r="GW493" s="405"/>
      <c r="HC493" s="83"/>
      <c r="HK493" s="405"/>
      <c r="HQ493" s="83"/>
      <c r="HY493" s="405"/>
      <c r="IE493" s="83"/>
      <c r="IM493" s="405"/>
      <c r="IS493" s="83"/>
      <c r="JA493" s="405"/>
      <c r="JG493" s="83"/>
      <c r="JO493" s="405"/>
      <c r="JU493" s="83"/>
      <c r="KC493" s="405"/>
      <c r="KI493" s="83"/>
      <c r="KQ493" s="405"/>
      <c r="KW493" s="83"/>
      <c r="LE493" s="405"/>
      <c r="LK493" s="83"/>
      <c r="LS493" s="405"/>
      <c r="LY493" s="83"/>
      <c r="MG493" s="405"/>
      <c r="MM493" s="83"/>
      <c r="MU493" s="405"/>
      <c r="NA493" s="83"/>
    </row>
    <row r="494">
      <c r="A494" s="483"/>
      <c r="B494" s="380"/>
      <c r="C494" s="380"/>
      <c r="D494" s="380"/>
      <c r="E494" s="380"/>
      <c r="F494" s="380"/>
      <c r="G494" s="380"/>
      <c r="H494" s="380"/>
      <c r="I494" s="403"/>
      <c r="J494" s="380"/>
      <c r="K494" s="380"/>
      <c r="L494" s="380"/>
      <c r="M494" s="380"/>
      <c r="N494" s="380"/>
      <c r="O494" s="404"/>
      <c r="P494" s="380"/>
      <c r="Q494" s="380"/>
      <c r="R494" s="380"/>
      <c r="S494" s="380"/>
      <c r="T494" s="380"/>
      <c r="U494" s="380"/>
      <c r="V494" s="380"/>
      <c r="W494" s="403"/>
      <c r="X494" s="380"/>
      <c r="Y494" s="380"/>
      <c r="Z494" s="380"/>
      <c r="AA494" s="380"/>
      <c r="AB494" s="380"/>
      <c r="AC494" s="404"/>
      <c r="AD494" s="380"/>
      <c r="AE494" s="380"/>
      <c r="AF494" s="380"/>
      <c r="AG494" s="380"/>
      <c r="AH494" s="380"/>
      <c r="AI494" s="380"/>
      <c r="AJ494" s="380"/>
      <c r="AK494" s="403"/>
      <c r="AL494" s="380"/>
      <c r="AM494" s="380"/>
      <c r="AN494" s="380"/>
      <c r="AO494" s="380"/>
      <c r="AP494" s="380"/>
      <c r="AQ494" s="404"/>
      <c r="AR494" s="380"/>
      <c r="AS494" s="380"/>
      <c r="AT494" s="380"/>
      <c r="AU494" s="380"/>
      <c r="AV494" s="380"/>
      <c r="AW494" s="380"/>
      <c r="AX494" s="380"/>
      <c r="AY494" s="403"/>
      <c r="AZ494" s="380"/>
      <c r="BA494" s="380"/>
      <c r="BB494" s="380"/>
      <c r="BC494" s="380"/>
      <c r="BD494" s="380"/>
      <c r="BE494" s="404"/>
      <c r="BF494" s="380"/>
      <c r="BG494" s="380"/>
      <c r="BH494" s="380"/>
      <c r="BI494" s="380"/>
      <c r="BJ494" s="380"/>
      <c r="BK494" s="380"/>
      <c r="BL494" s="380"/>
      <c r="BM494" s="403"/>
      <c r="BS494" s="83"/>
      <c r="CA494" s="405"/>
      <c r="CG494" s="83"/>
      <c r="CO494" s="405"/>
      <c r="CU494" s="83"/>
      <c r="DC494" s="405"/>
      <c r="DI494" s="83"/>
      <c r="DQ494" s="405"/>
      <c r="DW494" s="83"/>
      <c r="EE494" s="405"/>
      <c r="EK494" s="83"/>
      <c r="ES494" s="405"/>
      <c r="EY494" s="83"/>
      <c r="FG494" s="405"/>
      <c r="FM494" s="83"/>
      <c r="FU494" s="405"/>
      <c r="GA494" s="83"/>
      <c r="GI494" s="405"/>
      <c r="GO494" s="83"/>
      <c r="GW494" s="405"/>
      <c r="HC494" s="83"/>
      <c r="HK494" s="405"/>
      <c r="HQ494" s="83"/>
      <c r="HY494" s="405"/>
      <c r="IE494" s="83"/>
      <c r="IM494" s="405"/>
      <c r="IS494" s="83"/>
      <c r="JA494" s="405"/>
      <c r="JG494" s="83"/>
      <c r="JO494" s="405"/>
      <c r="JU494" s="83"/>
      <c r="KC494" s="405"/>
      <c r="KI494" s="83"/>
      <c r="KQ494" s="405"/>
      <c r="KW494" s="83"/>
      <c r="LE494" s="405"/>
      <c r="LK494" s="83"/>
      <c r="LS494" s="405"/>
      <c r="LY494" s="83"/>
      <c r="MG494" s="405"/>
      <c r="MM494" s="83"/>
      <c r="MU494" s="405"/>
      <c r="NA494" s="83"/>
    </row>
    <row r="495">
      <c r="A495" s="483"/>
      <c r="B495" s="380"/>
      <c r="C495" s="380"/>
      <c r="D495" s="380"/>
      <c r="E495" s="380"/>
      <c r="F495" s="380"/>
      <c r="G495" s="380"/>
      <c r="H495" s="380"/>
      <c r="I495" s="403"/>
      <c r="J495" s="380"/>
      <c r="K495" s="380"/>
      <c r="L495" s="380"/>
      <c r="M495" s="380"/>
      <c r="N495" s="380"/>
      <c r="O495" s="404"/>
      <c r="P495" s="380"/>
      <c r="Q495" s="380"/>
      <c r="R495" s="380"/>
      <c r="S495" s="380"/>
      <c r="T495" s="380"/>
      <c r="U495" s="380"/>
      <c r="V495" s="380"/>
      <c r="W495" s="403"/>
      <c r="X495" s="380"/>
      <c r="Y495" s="380"/>
      <c r="Z495" s="380"/>
      <c r="AA495" s="380"/>
      <c r="AB495" s="380"/>
      <c r="AC495" s="404"/>
      <c r="AD495" s="380"/>
      <c r="AE495" s="380"/>
      <c r="AF495" s="380"/>
      <c r="AG495" s="380"/>
      <c r="AH495" s="380"/>
      <c r="AI495" s="380"/>
      <c r="AJ495" s="380"/>
      <c r="AK495" s="403"/>
      <c r="AL495" s="380"/>
      <c r="AM495" s="380"/>
      <c r="AN495" s="380"/>
      <c r="AO495" s="380"/>
      <c r="AP495" s="380"/>
      <c r="AQ495" s="404"/>
      <c r="AR495" s="380"/>
      <c r="AS495" s="380"/>
      <c r="AT495" s="380"/>
      <c r="AU495" s="380"/>
      <c r="AV495" s="380"/>
      <c r="AW495" s="380"/>
      <c r="AX495" s="380"/>
      <c r="AY495" s="403"/>
      <c r="AZ495" s="380"/>
      <c r="BA495" s="380"/>
      <c r="BB495" s="380"/>
      <c r="BC495" s="380"/>
      <c r="BD495" s="380"/>
      <c r="BE495" s="404"/>
      <c r="BF495" s="380"/>
      <c r="BG495" s="380"/>
      <c r="BH495" s="380"/>
      <c r="BI495" s="380"/>
      <c r="BJ495" s="380"/>
      <c r="BK495" s="380"/>
      <c r="BL495" s="380"/>
      <c r="BM495" s="403"/>
      <c r="BS495" s="83"/>
      <c r="CA495" s="405"/>
      <c r="CG495" s="83"/>
      <c r="CO495" s="405"/>
      <c r="CU495" s="83"/>
      <c r="DC495" s="405"/>
      <c r="DI495" s="83"/>
      <c r="DQ495" s="405"/>
      <c r="DW495" s="83"/>
      <c r="EE495" s="405"/>
      <c r="EK495" s="83"/>
      <c r="ES495" s="405"/>
      <c r="EY495" s="83"/>
      <c r="FG495" s="405"/>
      <c r="FM495" s="83"/>
      <c r="FU495" s="405"/>
      <c r="GA495" s="83"/>
      <c r="GI495" s="405"/>
      <c r="GO495" s="83"/>
      <c r="GW495" s="405"/>
      <c r="HC495" s="83"/>
      <c r="HK495" s="405"/>
      <c r="HQ495" s="83"/>
      <c r="HY495" s="405"/>
      <c r="IE495" s="83"/>
      <c r="IM495" s="405"/>
      <c r="IS495" s="83"/>
      <c r="JA495" s="405"/>
      <c r="JG495" s="83"/>
      <c r="JO495" s="405"/>
      <c r="JU495" s="83"/>
      <c r="KC495" s="405"/>
      <c r="KI495" s="83"/>
      <c r="KQ495" s="405"/>
      <c r="KW495" s="83"/>
      <c r="LE495" s="405"/>
      <c r="LK495" s="83"/>
      <c r="LS495" s="405"/>
      <c r="LY495" s="83"/>
      <c r="MG495" s="405"/>
      <c r="MM495" s="83"/>
      <c r="MU495" s="405"/>
      <c r="NA495" s="83"/>
    </row>
    <row r="496">
      <c r="A496" s="483"/>
      <c r="B496" s="380"/>
      <c r="C496" s="380"/>
      <c r="D496" s="380"/>
      <c r="E496" s="380"/>
      <c r="F496" s="380"/>
      <c r="G496" s="380"/>
      <c r="H496" s="380"/>
      <c r="I496" s="403"/>
      <c r="J496" s="380"/>
      <c r="K496" s="380"/>
      <c r="L496" s="380"/>
      <c r="M496" s="380"/>
      <c r="N496" s="380"/>
      <c r="O496" s="404"/>
      <c r="P496" s="380"/>
      <c r="Q496" s="380"/>
      <c r="R496" s="380"/>
      <c r="S496" s="380"/>
      <c r="T496" s="380"/>
      <c r="U496" s="380"/>
      <c r="V496" s="380"/>
      <c r="W496" s="403"/>
      <c r="X496" s="380"/>
      <c r="Y496" s="380"/>
      <c r="Z496" s="380"/>
      <c r="AA496" s="380"/>
      <c r="AB496" s="380"/>
      <c r="AC496" s="404"/>
      <c r="AD496" s="380"/>
      <c r="AE496" s="380"/>
      <c r="AF496" s="380"/>
      <c r="AG496" s="380"/>
      <c r="AH496" s="380"/>
      <c r="AI496" s="380"/>
      <c r="AJ496" s="380"/>
      <c r="AK496" s="403"/>
      <c r="AL496" s="380"/>
      <c r="AM496" s="380"/>
      <c r="AN496" s="380"/>
      <c r="AO496" s="380"/>
      <c r="AP496" s="380"/>
      <c r="AQ496" s="404"/>
      <c r="AR496" s="380"/>
      <c r="AS496" s="380"/>
      <c r="AT496" s="380"/>
      <c r="AU496" s="380"/>
      <c r="AV496" s="380"/>
      <c r="AW496" s="380"/>
      <c r="AX496" s="380"/>
      <c r="AY496" s="403"/>
      <c r="AZ496" s="380"/>
      <c r="BA496" s="380"/>
      <c r="BB496" s="380"/>
      <c r="BC496" s="380"/>
      <c r="BD496" s="380"/>
      <c r="BE496" s="404"/>
      <c r="BF496" s="380"/>
      <c r="BG496" s="380"/>
      <c r="BH496" s="380"/>
      <c r="BI496" s="380"/>
      <c r="BJ496" s="380"/>
      <c r="BK496" s="380"/>
      <c r="BL496" s="380"/>
      <c r="BM496" s="403"/>
      <c r="BS496" s="83"/>
      <c r="CA496" s="405"/>
      <c r="CG496" s="83"/>
      <c r="CO496" s="405"/>
      <c r="CU496" s="83"/>
      <c r="DC496" s="405"/>
      <c r="DI496" s="83"/>
      <c r="DQ496" s="405"/>
      <c r="DW496" s="83"/>
      <c r="EE496" s="405"/>
      <c r="EK496" s="83"/>
      <c r="ES496" s="405"/>
      <c r="EY496" s="83"/>
      <c r="FG496" s="405"/>
      <c r="FM496" s="83"/>
      <c r="FU496" s="405"/>
      <c r="GA496" s="83"/>
      <c r="GI496" s="405"/>
      <c r="GO496" s="83"/>
      <c r="GW496" s="405"/>
      <c r="HC496" s="83"/>
      <c r="HK496" s="405"/>
      <c r="HQ496" s="83"/>
      <c r="HY496" s="405"/>
      <c r="IE496" s="83"/>
      <c r="IM496" s="405"/>
      <c r="IS496" s="83"/>
      <c r="JA496" s="405"/>
      <c r="JG496" s="83"/>
      <c r="JO496" s="405"/>
      <c r="JU496" s="83"/>
      <c r="KC496" s="405"/>
      <c r="KI496" s="83"/>
      <c r="KQ496" s="405"/>
      <c r="KW496" s="83"/>
      <c r="LE496" s="405"/>
      <c r="LK496" s="83"/>
      <c r="LS496" s="405"/>
      <c r="LY496" s="83"/>
      <c r="MG496" s="405"/>
      <c r="MM496" s="83"/>
      <c r="MU496" s="405"/>
      <c r="NA496" s="83"/>
    </row>
    <row r="497">
      <c r="A497" s="483"/>
      <c r="B497" s="380"/>
      <c r="C497" s="380"/>
      <c r="D497" s="380"/>
      <c r="E497" s="380"/>
      <c r="F497" s="380"/>
      <c r="G497" s="380"/>
      <c r="H497" s="380"/>
      <c r="I497" s="403"/>
      <c r="J497" s="380"/>
      <c r="K497" s="380"/>
      <c r="L497" s="380"/>
      <c r="M497" s="380"/>
      <c r="N497" s="380"/>
      <c r="O497" s="404"/>
      <c r="P497" s="380"/>
      <c r="Q497" s="380"/>
      <c r="R497" s="380"/>
      <c r="S497" s="380"/>
      <c r="T497" s="380"/>
      <c r="U497" s="380"/>
      <c r="V497" s="380"/>
      <c r="W497" s="403"/>
      <c r="X497" s="380"/>
      <c r="Y497" s="380"/>
      <c r="Z497" s="380"/>
      <c r="AA497" s="380"/>
      <c r="AB497" s="380"/>
      <c r="AC497" s="404"/>
      <c r="AD497" s="380"/>
      <c r="AE497" s="380"/>
      <c r="AF497" s="380"/>
      <c r="AG497" s="380"/>
      <c r="AH497" s="380"/>
      <c r="AI497" s="380"/>
      <c r="AJ497" s="380"/>
      <c r="AK497" s="403"/>
      <c r="AL497" s="380"/>
      <c r="AM497" s="380"/>
      <c r="AN497" s="380"/>
      <c r="AO497" s="380"/>
      <c r="AP497" s="380"/>
      <c r="AQ497" s="404"/>
      <c r="AR497" s="380"/>
      <c r="AS497" s="380"/>
      <c r="AT497" s="380"/>
      <c r="AU497" s="380"/>
      <c r="AV497" s="380"/>
      <c r="AW497" s="380"/>
      <c r="AX497" s="380"/>
      <c r="AY497" s="403"/>
      <c r="AZ497" s="380"/>
      <c r="BA497" s="380"/>
      <c r="BB497" s="380"/>
      <c r="BC497" s="380"/>
      <c r="BD497" s="380"/>
      <c r="BE497" s="404"/>
      <c r="BF497" s="380"/>
      <c r="BG497" s="380"/>
      <c r="BH497" s="380"/>
      <c r="BI497" s="380"/>
      <c r="BJ497" s="380"/>
      <c r="BK497" s="380"/>
      <c r="BL497" s="380"/>
      <c r="BM497" s="403"/>
      <c r="BS497" s="83"/>
      <c r="CA497" s="405"/>
      <c r="CG497" s="83"/>
      <c r="CO497" s="405"/>
      <c r="CU497" s="83"/>
      <c r="DC497" s="405"/>
      <c r="DI497" s="83"/>
      <c r="DQ497" s="405"/>
      <c r="DW497" s="83"/>
      <c r="EE497" s="405"/>
      <c r="EK497" s="83"/>
      <c r="ES497" s="405"/>
      <c r="EY497" s="83"/>
      <c r="FG497" s="405"/>
      <c r="FM497" s="83"/>
      <c r="FU497" s="405"/>
      <c r="GA497" s="83"/>
      <c r="GI497" s="405"/>
      <c r="GO497" s="83"/>
      <c r="GW497" s="405"/>
      <c r="HC497" s="83"/>
      <c r="HK497" s="405"/>
      <c r="HQ497" s="83"/>
      <c r="HY497" s="405"/>
      <c r="IE497" s="83"/>
      <c r="IM497" s="405"/>
      <c r="IS497" s="83"/>
      <c r="JA497" s="405"/>
      <c r="JG497" s="83"/>
      <c r="JO497" s="405"/>
      <c r="JU497" s="83"/>
      <c r="KC497" s="405"/>
      <c r="KI497" s="83"/>
      <c r="KQ497" s="405"/>
      <c r="KW497" s="83"/>
      <c r="LE497" s="405"/>
      <c r="LK497" s="83"/>
      <c r="LS497" s="405"/>
      <c r="LY497" s="83"/>
      <c r="MG497" s="405"/>
      <c r="MM497" s="83"/>
      <c r="MU497" s="405"/>
      <c r="NA497" s="83"/>
    </row>
    <row r="498">
      <c r="A498" s="483"/>
      <c r="B498" s="380"/>
      <c r="C498" s="380"/>
      <c r="D498" s="380"/>
      <c r="E498" s="380"/>
      <c r="F498" s="380"/>
      <c r="G498" s="380"/>
      <c r="H498" s="380"/>
      <c r="I498" s="403"/>
      <c r="J498" s="380"/>
      <c r="K498" s="380"/>
      <c r="L498" s="380"/>
      <c r="M498" s="380"/>
      <c r="N498" s="380"/>
      <c r="O498" s="404"/>
      <c r="P498" s="380"/>
      <c r="Q498" s="380"/>
      <c r="R498" s="380"/>
      <c r="S498" s="380"/>
      <c r="T498" s="380"/>
      <c r="U498" s="380"/>
      <c r="V498" s="380"/>
      <c r="W498" s="403"/>
      <c r="X498" s="380"/>
      <c r="Y498" s="380"/>
      <c r="Z498" s="380"/>
      <c r="AA498" s="380"/>
      <c r="AB498" s="380"/>
      <c r="AC498" s="404"/>
      <c r="AD498" s="380"/>
      <c r="AE498" s="380"/>
      <c r="AF498" s="380"/>
      <c r="AG498" s="380"/>
      <c r="AH498" s="380"/>
      <c r="AI498" s="380"/>
      <c r="AJ498" s="380"/>
      <c r="AK498" s="403"/>
      <c r="AL498" s="380"/>
      <c r="AM498" s="380"/>
      <c r="AN498" s="380"/>
      <c r="AO498" s="380"/>
      <c r="AP498" s="380"/>
      <c r="AQ498" s="404"/>
      <c r="AR498" s="380"/>
      <c r="AS498" s="380"/>
      <c r="AT498" s="380"/>
      <c r="AU498" s="380"/>
      <c r="AV498" s="380"/>
      <c r="AW498" s="380"/>
      <c r="AX498" s="380"/>
      <c r="AY498" s="403"/>
      <c r="AZ498" s="380"/>
      <c r="BA498" s="380"/>
      <c r="BB498" s="380"/>
      <c r="BC498" s="380"/>
      <c r="BD498" s="380"/>
      <c r="BE498" s="404"/>
      <c r="BF498" s="380"/>
      <c r="BG498" s="380"/>
      <c r="BH498" s="380"/>
      <c r="BI498" s="380"/>
      <c r="BJ498" s="380"/>
      <c r="BK498" s="380"/>
      <c r="BL498" s="380"/>
      <c r="BM498" s="403"/>
      <c r="BS498" s="83"/>
      <c r="CA498" s="405"/>
      <c r="CG498" s="83"/>
      <c r="CO498" s="405"/>
      <c r="CU498" s="83"/>
      <c r="DC498" s="405"/>
      <c r="DI498" s="83"/>
      <c r="DQ498" s="405"/>
      <c r="DW498" s="83"/>
      <c r="EE498" s="405"/>
      <c r="EK498" s="83"/>
      <c r="ES498" s="405"/>
      <c r="EY498" s="83"/>
      <c r="FG498" s="405"/>
      <c r="FM498" s="83"/>
      <c r="FU498" s="405"/>
      <c r="GA498" s="83"/>
      <c r="GI498" s="405"/>
      <c r="GO498" s="83"/>
      <c r="GW498" s="405"/>
      <c r="HC498" s="83"/>
      <c r="HK498" s="405"/>
      <c r="HQ498" s="83"/>
      <c r="HY498" s="405"/>
      <c r="IE498" s="83"/>
      <c r="IM498" s="405"/>
      <c r="IS498" s="83"/>
      <c r="JA498" s="405"/>
      <c r="JG498" s="83"/>
      <c r="JO498" s="405"/>
      <c r="JU498" s="83"/>
      <c r="KC498" s="405"/>
      <c r="KI498" s="83"/>
      <c r="KQ498" s="405"/>
      <c r="KW498" s="83"/>
      <c r="LE498" s="405"/>
      <c r="LK498" s="83"/>
      <c r="LS498" s="405"/>
      <c r="LY498" s="83"/>
      <c r="MG498" s="405"/>
      <c r="MM498" s="83"/>
      <c r="MU498" s="405"/>
      <c r="NA498" s="83"/>
    </row>
    <row r="499">
      <c r="A499" s="483"/>
      <c r="B499" s="380"/>
      <c r="C499" s="380"/>
      <c r="D499" s="380"/>
      <c r="E499" s="380"/>
      <c r="F499" s="380"/>
      <c r="G499" s="380"/>
      <c r="H499" s="380"/>
      <c r="I499" s="403"/>
      <c r="J499" s="380"/>
      <c r="K499" s="380"/>
      <c r="L499" s="380"/>
      <c r="M499" s="380"/>
      <c r="N499" s="380"/>
      <c r="O499" s="404"/>
      <c r="P499" s="380"/>
      <c r="Q499" s="380"/>
      <c r="R499" s="380"/>
      <c r="S499" s="380"/>
      <c r="T499" s="380"/>
      <c r="U499" s="380"/>
      <c r="V499" s="380"/>
      <c r="W499" s="403"/>
      <c r="X499" s="380"/>
      <c r="Y499" s="380"/>
      <c r="Z499" s="380"/>
      <c r="AA499" s="380"/>
      <c r="AB499" s="380"/>
      <c r="AC499" s="404"/>
      <c r="AD499" s="380"/>
      <c r="AE499" s="380"/>
      <c r="AF499" s="380"/>
      <c r="AG499" s="380"/>
      <c r="AH499" s="380"/>
      <c r="AI499" s="380"/>
      <c r="AJ499" s="380"/>
      <c r="AK499" s="403"/>
      <c r="AL499" s="380"/>
      <c r="AM499" s="380"/>
      <c r="AN499" s="380"/>
      <c r="AO499" s="380"/>
      <c r="AP499" s="380"/>
      <c r="AQ499" s="404"/>
      <c r="AR499" s="380"/>
      <c r="AS499" s="380"/>
      <c r="AT499" s="380"/>
      <c r="AU499" s="380"/>
      <c r="AV499" s="380"/>
      <c r="AW499" s="380"/>
      <c r="AX499" s="380"/>
      <c r="AY499" s="403"/>
      <c r="AZ499" s="380"/>
      <c r="BA499" s="380"/>
      <c r="BB499" s="380"/>
      <c r="BC499" s="380"/>
      <c r="BD499" s="380"/>
      <c r="BE499" s="404"/>
      <c r="BF499" s="380"/>
      <c r="BG499" s="380"/>
      <c r="BH499" s="380"/>
      <c r="BI499" s="380"/>
      <c r="BJ499" s="380"/>
      <c r="BK499" s="380"/>
      <c r="BL499" s="380"/>
      <c r="BM499" s="403"/>
      <c r="BS499" s="83"/>
      <c r="CA499" s="405"/>
      <c r="CG499" s="83"/>
      <c r="CO499" s="405"/>
      <c r="CU499" s="83"/>
      <c r="DC499" s="405"/>
      <c r="DI499" s="83"/>
      <c r="DQ499" s="405"/>
      <c r="DW499" s="83"/>
      <c r="EE499" s="405"/>
      <c r="EK499" s="83"/>
      <c r="ES499" s="405"/>
      <c r="EY499" s="83"/>
      <c r="FG499" s="405"/>
      <c r="FM499" s="83"/>
      <c r="FU499" s="405"/>
      <c r="GA499" s="83"/>
      <c r="GI499" s="405"/>
      <c r="GO499" s="83"/>
      <c r="GW499" s="405"/>
      <c r="HC499" s="83"/>
      <c r="HK499" s="405"/>
      <c r="HQ499" s="83"/>
      <c r="HY499" s="405"/>
      <c r="IE499" s="83"/>
      <c r="IM499" s="405"/>
      <c r="IS499" s="83"/>
      <c r="JA499" s="405"/>
      <c r="JG499" s="83"/>
      <c r="JO499" s="405"/>
      <c r="JU499" s="83"/>
      <c r="KC499" s="405"/>
      <c r="KI499" s="83"/>
      <c r="KQ499" s="405"/>
      <c r="KW499" s="83"/>
      <c r="LE499" s="405"/>
      <c r="LK499" s="83"/>
      <c r="LS499" s="405"/>
      <c r="LY499" s="83"/>
      <c r="MG499" s="405"/>
      <c r="MM499" s="83"/>
      <c r="MU499" s="405"/>
      <c r="NA499" s="83"/>
    </row>
    <row r="500">
      <c r="A500" s="483"/>
      <c r="B500" s="380"/>
      <c r="C500" s="380"/>
      <c r="D500" s="380"/>
      <c r="E500" s="380"/>
      <c r="F500" s="380"/>
      <c r="G500" s="380"/>
      <c r="H500" s="380"/>
      <c r="I500" s="403"/>
      <c r="J500" s="380"/>
      <c r="K500" s="380"/>
      <c r="L500" s="380"/>
      <c r="M500" s="380"/>
      <c r="N500" s="380"/>
      <c r="O500" s="404"/>
      <c r="P500" s="380"/>
      <c r="Q500" s="380"/>
      <c r="R500" s="380"/>
      <c r="S500" s="380"/>
      <c r="T500" s="380"/>
      <c r="U500" s="380"/>
      <c r="V500" s="380"/>
      <c r="W500" s="403"/>
      <c r="X500" s="380"/>
      <c r="Y500" s="380"/>
      <c r="Z500" s="380"/>
      <c r="AA500" s="380"/>
      <c r="AB500" s="380"/>
      <c r="AC500" s="404"/>
      <c r="AD500" s="380"/>
      <c r="AE500" s="380"/>
      <c r="AF500" s="380"/>
      <c r="AG500" s="380"/>
      <c r="AH500" s="380"/>
      <c r="AI500" s="380"/>
      <c r="AJ500" s="380"/>
      <c r="AK500" s="403"/>
      <c r="AL500" s="380"/>
      <c r="AM500" s="380"/>
      <c r="AN500" s="380"/>
      <c r="AO500" s="380"/>
      <c r="AP500" s="380"/>
      <c r="AQ500" s="404"/>
      <c r="AR500" s="380"/>
      <c r="AS500" s="380"/>
      <c r="AT500" s="380"/>
      <c r="AU500" s="380"/>
      <c r="AV500" s="380"/>
      <c r="AW500" s="380"/>
      <c r="AX500" s="380"/>
      <c r="AY500" s="403"/>
      <c r="AZ500" s="380"/>
      <c r="BA500" s="380"/>
      <c r="BB500" s="380"/>
      <c r="BC500" s="380"/>
      <c r="BD500" s="380"/>
      <c r="BE500" s="404"/>
      <c r="BF500" s="380"/>
      <c r="BG500" s="380"/>
      <c r="BH500" s="380"/>
      <c r="BI500" s="380"/>
      <c r="BJ500" s="380"/>
      <c r="BK500" s="380"/>
      <c r="BL500" s="380"/>
      <c r="BM500" s="403"/>
      <c r="BS500" s="83"/>
      <c r="CA500" s="405"/>
      <c r="CG500" s="83"/>
      <c r="CO500" s="405"/>
      <c r="CU500" s="83"/>
      <c r="DC500" s="405"/>
      <c r="DI500" s="83"/>
      <c r="DQ500" s="405"/>
      <c r="DW500" s="83"/>
      <c r="EE500" s="405"/>
      <c r="EK500" s="83"/>
      <c r="ES500" s="405"/>
      <c r="EY500" s="83"/>
      <c r="FG500" s="405"/>
      <c r="FM500" s="83"/>
      <c r="FU500" s="405"/>
      <c r="GA500" s="83"/>
      <c r="GI500" s="405"/>
      <c r="GO500" s="83"/>
      <c r="GW500" s="405"/>
      <c r="HC500" s="83"/>
      <c r="HK500" s="405"/>
      <c r="HQ500" s="83"/>
      <c r="HY500" s="405"/>
      <c r="IE500" s="83"/>
      <c r="IM500" s="405"/>
      <c r="IS500" s="83"/>
      <c r="JA500" s="405"/>
      <c r="JG500" s="83"/>
      <c r="JO500" s="405"/>
      <c r="JU500" s="83"/>
      <c r="KC500" s="405"/>
      <c r="KI500" s="83"/>
      <c r="KQ500" s="405"/>
      <c r="KW500" s="83"/>
      <c r="LE500" s="405"/>
      <c r="LK500" s="83"/>
      <c r="LS500" s="405"/>
      <c r="LY500" s="83"/>
      <c r="MG500" s="405"/>
      <c r="MM500" s="83"/>
      <c r="MU500" s="405"/>
      <c r="NA500" s="83"/>
    </row>
    <row r="501">
      <c r="A501" s="483"/>
      <c r="B501" s="380"/>
      <c r="C501" s="380"/>
      <c r="D501" s="380"/>
      <c r="E501" s="380"/>
      <c r="F501" s="380"/>
      <c r="G501" s="380"/>
      <c r="H501" s="380"/>
      <c r="I501" s="403"/>
      <c r="J501" s="380"/>
      <c r="K501" s="380"/>
      <c r="L501" s="380"/>
      <c r="M501" s="380"/>
      <c r="N501" s="380"/>
      <c r="O501" s="404"/>
      <c r="P501" s="380"/>
      <c r="Q501" s="380"/>
      <c r="R501" s="380"/>
      <c r="S501" s="380"/>
      <c r="T501" s="380"/>
      <c r="U501" s="380"/>
      <c r="V501" s="380"/>
      <c r="W501" s="403"/>
      <c r="X501" s="380"/>
      <c r="Y501" s="380"/>
      <c r="Z501" s="380"/>
      <c r="AA501" s="380"/>
      <c r="AB501" s="380"/>
      <c r="AC501" s="404"/>
      <c r="AD501" s="380"/>
      <c r="AE501" s="380"/>
      <c r="AF501" s="380"/>
      <c r="AG501" s="380"/>
      <c r="AH501" s="380"/>
      <c r="AI501" s="380"/>
      <c r="AJ501" s="380"/>
      <c r="AK501" s="403"/>
      <c r="AL501" s="380"/>
      <c r="AM501" s="380"/>
      <c r="AN501" s="380"/>
      <c r="AO501" s="380"/>
      <c r="AP501" s="380"/>
      <c r="AQ501" s="404"/>
      <c r="AR501" s="380"/>
      <c r="AS501" s="380"/>
      <c r="AT501" s="380"/>
      <c r="AU501" s="380"/>
      <c r="AV501" s="380"/>
      <c r="AW501" s="380"/>
      <c r="AX501" s="380"/>
      <c r="AY501" s="403"/>
      <c r="AZ501" s="380"/>
      <c r="BA501" s="380"/>
      <c r="BB501" s="380"/>
      <c r="BC501" s="380"/>
      <c r="BD501" s="380"/>
      <c r="BE501" s="404"/>
      <c r="BF501" s="380"/>
      <c r="BG501" s="380"/>
      <c r="BH501" s="380"/>
      <c r="BI501" s="380"/>
      <c r="BJ501" s="380"/>
      <c r="BK501" s="380"/>
      <c r="BL501" s="380"/>
      <c r="BM501" s="403"/>
      <c r="BS501" s="83"/>
      <c r="CA501" s="405"/>
      <c r="CG501" s="83"/>
      <c r="CO501" s="405"/>
      <c r="CU501" s="83"/>
      <c r="DC501" s="405"/>
      <c r="DI501" s="83"/>
      <c r="DQ501" s="405"/>
      <c r="DW501" s="83"/>
      <c r="EE501" s="405"/>
      <c r="EK501" s="83"/>
      <c r="ES501" s="405"/>
      <c r="EY501" s="83"/>
      <c r="FG501" s="405"/>
      <c r="FM501" s="83"/>
      <c r="FU501" s="405"/>
      <c r="GA501" s="83"/>
      <c r="GI501" s="405"/>
      <c r="GO501" s="83"/>
      <c r="GW501" s="405"/>
      <c r="HC501" s="83"/>
      <c r="HK501" s="405"/>
      <c r="HQ501" s="83"/>
      <c r="HY501" s="405"/>
      <c r="IE501" s="83"/>
      <c r="IM501" s="405"/>
      <c r="IS501" s="83"/>
      <c r="JA501" s="405"/>
      <c r="JG501" s="83"/>
      <c r="JO501" s="405"/>
      <c r="JU501" s="83"/>
      <c r="KC501" s="405"/>
      <c r="KI501" s="83"/>
      <c r="KQ501" s="405"/>
      <c r="KW501" s="83"/>
      <c r="LE501" s="405"/>
      <c r="LK501" s="83"/>
      <c r="LS501" s="405"/>
      <c r="LY501" s="83"/>
      <c r="MG501" s="405"/>
      <c r="MM501" s="83"/>
      <c r="MU501" s="405"/>
      <c r="NA501" s="83"/>
    </row>
    <row r="502">
      <c r="A502" s="483"/>
      <c r="B502" s="380"/>
      <c r="C502" s="380"/>
      <c r="D502" s="380"/>
      <c r="E502" s="380"/>
      <c r="F502" s="380"/>
      <c r="G502" s="380"/>
      <c r="H502" s="380"/>
      <c r="I502" s="403"/>
      <c r="J502" s="380"/>
      <c r="K502" s="380"/>
      <c r="L502" s="380"/>
      <c r="M502" s="380"/>
      <c r="N502" s="380"/>
      <c r="O502" s="404"/>
      <c r="P502" s="380"/>
      <c r="Q502" s="380"/>
      <c r="R502" s="380"/>
      <c r="S502" s="380"/>
      <c r="T502" s="380"/>
      <c r="U502" s="380"/>
      <c r="V502" s="380"/>
      <c r="W502" s="403"/>
      <c r="X502" s="380"/>
      <c r="Y502" s="380"/>
      <c r="Z502" s="380"/>
      <c r="AA502" s="380"/>
      <c r="AB502" s="380"/>
      <c r="AC502" s="404"/>
      <c r="AD502" s="380"/>
      <c r="AE502" s="380"/>
      <c r="AF502" s="380"/>
      <c r="AG502" s="380"/>
      <c r="AH502" s="380"/>
      <c r="AI502" s="380"/>
      <c r="AJ502" s="380"/>
      <c r="AK502" s="403"/>
      <c r="AL502" s="380"/>
      <c r="AM502" s="380"/>
      <c r="AN502" s="380"/>
      <c r="AO502" s="380"/>
      <c r="AP502" s="380"/>
      <c r="AQ502" s="404"/>
      <c r="AR502" s="380"/>
      <c r="AS502" s="380"/>
      <c r="AT502" s="380"/>
      <c r="AU502" s="380"/>
      <c r="AV502" s="380"/>
      <c r="AW502" s="380"/>
      <c r="AX502" s="380"/>
      <c r="AY502" s="403"/>
      <c r="AZ502" s="380"/>
      <c r="BA502" s="380"/>
      <c r="BB502" s="380"/>
      <c r="BC502" s="380"/>
      <c r="BD502" s="380"/>
      <c r="BE502" s="404"/>
      <c r="BF502" s="380"/>
      <c r="BG502" s="380"/>
      <c r="BH502" s="380"/>
      <c r="BI502" s="380"/>
      <c r="BJ502" s="380"/>
      <c r="BK502" s="380"/>
      <c r="BL502" s="380"/>
      <c r="BM502" s="403"/>
      <c r="BS502" s="83"/>
      <c r="CA502" s="405"/>
      <c r="CG502" s="83"/>
      <c r="CO502" s="405"/>
      <c r="CU502" s="83"/>
      <c r="DC502" s="405"/>
      <c r="DI502" s="83"/>
      <c r="DQ502" s="405"/>
      <c r="DW502" s="83"/>
      <c r="EE502" s="405"/>
      <c r="EK502" s="83"/>
      <c r="ES502" s="405"/>
      <c r="EY502" s="83"/>
      <c r="FG502" s="405"/>
      <c r="FM502" s="83"/>
      <c r="FU502" s="405"/>
      <c r="GA502" s="83"/>
      <c r="GI502" s="405"/>
      <c r="GO502" s="83"/>
      <c r="GW502" s="405"/>
      <c r="HC502" s="83"/>
      <c r="HK502" s="405"/>
      <c r="HQ502" s="83"/>
      <c r="HY502" s="405"/>
      <c r="IE502" s="83"/>
      <c r="IM502" s="405"/>
      <c r="IS502" s="83"/>
      <c r="JA502" s="405"/>
      <c r="JG502" s="83"/>
      <c r="JO502" s="405"/>
      <c r="JU502" s="83"/>
      <c r="KC502" s="405"/>
      <c r="KI502" s="83"/>
      <c r="KQ502" s="405"/>
      <c r="KW502" s="83"/>
      <c r="LE502" s="405"/>
      <c r="LK502" s="83"/>
      <c r="LS502" s="405"/>
      <c r="LY502" s="83"/>
      <c r="MG502" s="405"/>
      <c r="MM502" s="83"/>
      <c r="MU502" s="405"/>
      <c r="NA502" s="83"/>
    </row>
    <row r="503">
      <c r="A503" s="483"/>
      <c r="B503" s="380"/>
      <c r="C503" s="380"/>
      <c r="D503" s="380"/>
      <c r="E503" s="380"/>
      <c r="F503" s="380"/>
      <c r="G503" s="380"/>
      <c r="H503" s="380"/>
      <c r="I503" s="403"/>
      <c r="J503" s="380"/>
      <c r="K503" s="380"/>
      <c r="L503" s="380"/>
      <c r="M503" s="380"/>
      <c r="N503" s="380"/>
      <c r="O503" s="404"/>
      <c r="P503" s="380"/>
      <c r="Q503" s="380"/>
      <c r="R503" s="380"/>
      <c r="S503" s="380"/>
      <c r="T503" s="380"/>
      <c r="U503" s="380"/>
      <c r="V503" s="380"/>
      <c r="W503" s="403"/>
      <c r="X503" s="380"/>
      <c r="Y503" s="380"/>
      <c r="Z503" s="380"/>
      <c r="AA503" s="380"/>
      <c r="AB503" s="380"/>
      <c r="AC503" s="404"/>
      <c r="AD503" s="380"/>
      <c r="AE503" s="380"/>
      <c r="AF503" s="380"/>
      <c r="AG503" s="380"/>
      <c r="AH503" s="380"/>
      <c r="AI503" s="380"/>
      <c r="AJ503" s="380"/>
      <c r="AK503" s="403"/>
      <c r="AL503" s="380"/>
      <c r="AM503" s="380"/>
      <c r="AN503" s="380"/>
      <c r="AO503" s="380"/>
      <c r="AP503" s="380"/>
      <c r="AQ503" s="404"/>
      <c r="AR503" s="380"/>
      <c r="AS503" s="380"/>
      <c r="AT503" s="380"/>
      <c r="AU503" s="380"/>
      <c r="AV503" s="380"/>
      <c r="AW503" s="380"/>
      <c r="AX503" s="380"/>
      <c r="AY503" s="403"/>
      <c r="AZ503" s="380"/>
      <c r="BA503" s="380"/>
      <c r="BB503" s="380"/>
      <c r="BC503" s="380"/>
      <c r="BD503" s="380"/>
      <c r="BE503" s="404"/>
      <c r="BF503" s="380"/>
      <c r="BG503" s="380"/>
      <c r="BH503" s="380"/>
      <c r="BI503" s="380"/>
      <c r="BJ503" s="380"/>
      <c r="BK503" s="380"/>
      <c r="BL503" s="380"/>
      <c r="BM503" s="403"/>
      <c r="BS503" s="83"/>
      <c r="CA503" s="405"/>
      <c r="CG503" s="83"/>
      <c r="CO503" s="405"/>
      <c r="CU503" s="83"/>
      <c r="DC503" s="405"/>
      <c r="DI503" s="83"/>
      <c r="DQ503" s="405"/>
      <c r="DW503" s="83"/>
      <c r="EE503" s="405"/>
      <c r="EK503" s="83"/>
      <c r="ES503" s="405"/>
      <c r="EY503" s="83"/>
      <c r="FG503" s="405"/>
      <c r="FM503" s="83"/>
      <c r="FU503" s="405"/>
      <c r="GA503" s="83"/>
      <c r="GI503" s="405"/>
      <c r="GO503" s="83"/>
      <c r="GW503" s="405"/>
      <c r="HC503" s="83"/>
      <c r="HK503" s="405"/>
      <c r="HQ503" s="83"/>
      <c r="HY503" s="405"/>
      <c r="IE503" s="83"/>
      <c r="IM503" s="405"/>
      <c r="IS503" s="83"/>
      <c r="JA503" s="405"/>
      <c r="JG503" s="83"/>
      <c r="JO503" s="405"/>
      <c r="JU503" s="83"/>
      <c r="KC503" s="405"/>
      <c r="KI503" s="83"/>
      <c r="KQ503" s="405"/>
      <c r="KW503" s="83"/>
      <c r="LE503" s="405"/>
      <c r="LK503" s="83"/>
      <c r="LS503" s="405"/>
      <c r="LY503" s="83"/>
      <c r="MG503" s="405"/>
      <c r="MM503" s="83"/>
      <c r="MU503" s="405"/>
      <c r="NA503" s="83"/>
    </row>
    <row r="504">
      <c r="A504" s="483"/>
      <c r="B504" s="380"/>
      <c r="C504" s="380"/>
      <c r="D504" s="380"/>
      <c r="E504" s="380"/>
      <c r="F504" s="380"/>
      <c r="G504" s="380"/>
      <c r="H504" s="380"/>
      <c r="I504" s="403"/>
      <c r="J504" s="380"/>
      <c r="K504" s="380"/>
      <c r="L504" s="380"/>
      <c r="M504" s="380"/>
      <c r="N504" s="380"/>
      <c r="O504" s="404"/>
      <c r="P504" s="380"/>
      <c r="Q504" s="380"/>
      <c r="R504" s="380"/>
      <c r="S504" s="380"/>
      <c r="T504" s="380"/>
      <c r="U504" s="380"/>
      <c r="V504" s="380"/>
      <c r="W504" s="403"/>
      <c r="X504" s="380"/>
      <c r="Y504" s="380"/>
      <c r="Z504" s="380"/>
      <c r="AA504" s="380"/>
      <c r="AB504" s="380"/>
      <c r="AC504" s="404"/>
      <c r="AD504" s="380"/>
      <c r="AE504" s="380"/>
      <c r="AF504" s="380"/>
      <c r="AG504" s="380"/>
      <c r="AH504" s="380"/>
      <c r="AI504" s="380"/>
      <c r="AJ504" s="380"/>
      <c r="AK504" s="403"/>
      <c r="AL504" s="380"/>
      <c r="AM504" s="380"/>
      <c r="AN504" s="380"/>
      <c r="AO504" s="380"/>
      <c r="AP504" s="380"/>
      <c r="AQ504" s="404"/>
      <c r="AR504" s="380"/>
      <c r="AS504" s="380"/>
      <c r="AT504" s="380"/>
      <c r="AU504" s="380"/>
      <c r="AV504" s="380"/>
      <c r="AW504" s="380"/>
      <c r="AX504" s="380"/>
      <c r="AY504" s="403"/>
      <c r="AZ504" s="380"/>
      <c r="BA504" s="380"/>
      <c r="BB504" s="380"/>
      <c r="BC504" s="380"/>
      <c r="BD504" s="380"/>
      <c r="BE504" s="404"/>
      <c r="BF504" s="380"/>
      <c r="BG504" s="380"/>
      <c r="BH504" s="380"/>
      <c r="BI504" s="380"/>
      <c r="BJ504" s="380"/>
      <c r="BK504" s="380"/>
      <c r="BL504" s="380"/>
      <c r="BM504" s="403"/>
      <c r="BS504" s="83"/>
      <c r="CA504" s="405"/>
      <c r="CG504" s="83"/>
      <c r="CO504" s="405"/>
      <c r="CU504" s="83"/>
      <c r="DC504" s="405"/>
      <c r="DI504" s="83"/>
      <c r="DQ504" s="405"/>
      <c r="DW504" s="83"/>
      <c r="EE504" s="405"/>
      <c r="EK504" s="83"/>
      <c r="ES504" s="405"/>
      <c r="EY504" s="83"/>
      <c r="FG504" s="405"/>
      <c r="FM504" s="83"/>
      <c r="FU504" s="405"/>
      <c r="GA504" s="83"/>
      <c r="GI504" s="405"/>
      <c r="GO504" s="83"/>
      <c r="GW504" s="405"/>
      <c r="HC504" s="83"/>
      <c r="HK504" s="405"/>
      <c r="HQ504" s="83"/>
      <c r="HY504" s="405"/>
      <c r="IE504" s="83"/>
      <c r="IM504" s="405"/>
      <c r="IS504" s="83"/>
      <c r="JA504" s="405"/>
      <c r="JG504" s="83"/>
      <c r="JO504" s="405"/>
      <c r="JU504" s="83"/>
      <c r="KC504" s="405"/>
      <c r="KI504" s="83"/>
      <c r="KQ504" s="405"/>
      <c r="KW504" s="83"/>
      <c r="LE504" s="405"/>
      <c r="LK504" s="83"/>
      <c r="LS504" s="405"/>
      <c r="LY504" s="83"/>
      <c r="MG504" s="405"/>
      <c r="MM504" s="83"/>
      <c r="MU504" s="405"/>
      <c r="NA504" s="83"/>
    </row>
    <row r="505">
      <c r="A505" s="483"/>
      <c r="B505" s="380"/>
      <c r="C505" s="380"/>
      <c r="D505" s="380"/>
      <c r="E505" s="380"/>
      <c r="F505" s="380"/>
      <c r="G505" s="380"/>
      <c r="H505" s="380"/>
      <c r="I505" s="403"/>
      <c r="J505" s="380"/>
      <c r="K505" s="380"/>
      <c r="L505" s="380"/>
      <c r="M505" s="380"/>
      <c r="N505" s="380"/>
      <c r="O505" s="404"/>
      <c r="P505" s="380"/>
      <c r="Q505" s="380"/>
      <c r="R505" s="380"/>
      <c r="S505" s="380"/>
      <c r="T505" s="380"/>
      <c r="U505" s="380"/>
      <c r="V505" s="380"/>
      <c r="W505" s="403"/>
      <c r="X505" s="380"/>
      <c r="Y505" s="380"/>
      <c r="Z505" s="380"/>
      <c r="AA505" s="380"/>
      <c r="AB505" s="380"/>
      <c r="AC505" s="404"/>
      <c r="AD505" s="380"/>
      <c r="AE505" s="380"/>
      <c r="AF505" s="380"/>
      <c r="AG505" s="380"/>
      <c r="AH505" s="380"/>
      <c r="AI505" s="380"/>
      <c r="AJ505" s="380"/>
      <c r="AK505" s="403"/>
      <c r="AL505" s="380"/>
      <c r="AM505" s="380"/>
      <c r="AN505" s="380"/>
      <c r="AO505" s="380"/>
      <c r="AP505" s="380"/>
      <c r="AQ505" s="404"/>
      <c r="AR505" s="380"/>
      <c r="AS505" s="380"/>
      <c r="AT505" s="380"/>
      <c r="AU505" s="380"/>
      <c r="AV505" s="380"/>
      <c r="AW505" s="380"/>
      <c r="AX505" s="380"/>
      <c r="AY505" s="403"/>
      <c r="AZ505" s="380"/>
      <c r="BA505" s="380"/>
      <c r="BB505" s="380"/>
      <c r="BC505" s="380"/>
      <c r="BD505" s="380"/>
      <c r="BE505" s="404"/>
      <c r="BF505" s="380"/>
      <c r="BG505" s="380"/>
      <c r="BH505" s="380"/>
      <c r="BI505" s="380"/>
      <c r="BJ505" s="380"/>
      <c r="BK505" s="380"/>
      <c r="BL505" s="380"/>
      <c r="BM505" s="403"/>
      <c r="BS505" s="83"/>
      <c r="CA505" s="405"/>
      <c r="CG505" s="83"/>
      <c r="CO505" s="405"/>
      <c r="CU505" s="83"/>
      <c r="DC505" s="405"/>
      <c r="DI505" s="83"/>
      <c r="DQ505" s="405"/>
      <c r="DW505" s="83"/>
      <c r="EE505" s="405"/>
      <c r="EK505" s="83"/>
      <c r="ES505" s="405"/>
      <c r="EY505" s="83"/>
      <c r="FG505" s="405"/>
      <c r="FM505" s="83"/>
      <c r="FU505" s="405"/>
      <c r="GA505" s="83"/>
      <c r="GI505" s="405"/>
      <c r="GO505" s="83"/>
      <c r="GW505" s="405"/>
      <c r="HC505" s="83"/>
      <c r="HK505" s="405"/>
      <c r="HQ505" s="83"/>
      <c r="HY505" s="405"/>
      <c r="IE505" s="83"/>
      <c r="IM505" s="405"/>
      <c r="IS505" s="83"/>
      <c r="JA505" s="405"/>
      <c r="JG505" s="83"/>
      <c r="JO505" s="405"/>
      <c r="JU505" s="83"/>
      <c r="KC505" s="405"/>
      <c r="KI505" s="83"/>
      <c r="KQ505" s="405"/>
      <c r="KW505" s="83"/>
      <c r="LE505" s="405"/>
      <c r="LK505" s="83"/>
      <c r="LS505" s="405"/>
      <c r="LY505" s="83"/>
      <c r="MG505" s="405"/>
      <c r="MM505" s="83"/>
      <c r="MU505" s="405"/>
      <c r="NA505" s="83"/>
    </row>
    <row r="506">
      <c r="A506" s="483"/>
      <c r="B506" s="380"/>
      <c r="C506" s="380"/>
      <c r="D506" s="380"/>
      <c r="E506" s="380"/>
      <c r="F506" s="380"/>
      <c r="G506" s="380"/>
      <c r="H506" s="380"/>
      <c r="I506" s="403"/>
      <c r="J506" s="380"/>
      <c r="K506" s="380"/>
      <c r="L506" s="380"/>
      <c r="M506" s="380"/>
      <c r="N506" s="380"/>
      <c r="O506" s="404"/>
      <c r="P506" s="380"/>
      <c r="Q506" s="380"/>
      <c r="R506" s="380"/>
      <c r="S506" s="380"/>
      <c r="T506" s="380"/>
      <c r="U506" s="380"/>
      <c r="V506" s="380"/>
      <c r="W506" s="403"/>
      <c r="X506" s="380"/>
      <c r="Y506" s="380"/>
      <c r="Z506" s="380"/>
      <c r="AA506" s="380"/>
      <c r="AB506" s="380"/>
      <c r="AC506" s="404"/>
      <c r="AD506" s="380"/>
      <c r="AE506" s="380"/>
      <c r="AF506" s="380"/>
      <c r="AG506" s="380"/>
      <c r="AH506" s="380"/>
      <c r="AI506" s="380"/>
      <c r="AJ506" s="380"/>
      <c r="AK506" s="403"/>
      <c r="AL506" s="380"/>
      <c r="AM506" s="380"/>
      <c r="AN506" s="380"/>
      <c r="AO506" s="380"/>
      <c r="AP506" s="380"/>
      <c r="AQ506" s="404"/>
      <c r="AR506" s="380"/>
      <c r="AS506" s="380"/>
      <c r="AT506" s="380"/>
      <c r="AU506" s="380"/>
      <c r="AV506" s="380"/>
      <c r="AW506" s="380"/>
      <c r="AX506" s="380"/>
      <c r="AY506" s="403"/>
      <c r="AZ506" s="380"/>
      <c r="BA506" s="380"/>
      <c r="BB506" s="380"/>
      <c r="BC506" s="380"/>
      <c r="BD506" s="380"/>
      <c r="BE506" s="404"/>
      <c r="BF506" s="380"/>
      <c r="BG506" s="380"/>
      <c r="BH506" s="380"/>
      <c r="BI506" s="380"/>
      <c r="BJ506" s="380"/>
      <c r="BK506" s="380"/>
      <c r="BL506" s="380"/>
      <c r="BM506" s="403"/>
      <c r="BS506" s="83"/>
      <c r="CA506" s="405"/>
      <c r="CG506" s="83"/>
      <c r="CO506" s="405"/>
      <c r="CU506" s="83"/>
      <c r="DC506" s="405"/>
      <c r="DI506" s="83"/>
      <c r="DQ506" s="405"/>
      <c r="DW506" s="83"/>
      <c r="EE506" s="405"/>
      <c r="EK506" s="83"/>
      <c r="ES506" s="405"/>
      <c r="EY506" s="83"/>
      <c r="FG506" s="405"/>
      <c r="FM506" s="83"/>
      <c r="FU506" s="405"/>
      <c r="GA506" s="83"/>
      <c r="GI506" s="405"/>
      <c r="GO506" s="83"/>
      <c r="GW506" s="405"/>
      <c r="HC506" s="83"/>
      <c r="HK506" s="405"/>
      <c r="HQ506" s="83"/>
      <c r="HY506" s="405"/>
      <c r="IE506" s="83"/>
      <c r="IM506" s="405"/>
      <c r="IS506" s="83"/>
      <c r="JA506" s="405"/>
      <c r="JG506" s="83"/>
      <c r="JO506" s="405"/>
      <c r="JU506" s="83"/>
      <c r="KC506" s="405"/>
      <c r="KI506" s="83"/>
      <c r="KQ506" s="405"/>
      <c r="KW506" s="83"/>
      <c r="LE506" s="405"/>
      <c r="LK506" s="83"/>
      <c r="LS506" s="405"/>
      <c r="LY506" s="83"/>
      <c r="MG506" s="405"/>
      <c r="MM506" s="83"/>
      <c r="MU506" s="405"/>
      <c r="NA506" s="83"/>
    </row>
    <row r="507">
      <c r="A507" s="483"/>
      <c r="B507" s="380"/>
      <c r="C507" s="380"/>
      <c r="D507" s="380"/>
      <c r="E507" s="380"/>
      <c r="F507" s="380"/>
      <c r="G507" s="380"/>
      <c r="H507" s="380"/>
      <c r="I507" s="403"/>
      <c r="J507" s="380"/>
      <c r="K507" s="380"/>
      <c r="L507" s="380"/>
      <c r="M507" s="380"/>
      <c r="N507" s="380"/>
      <c r="O507" s="404"/>
      <c r="P507" s="380"/>
      <c r="Q507" s="380"/>
      <c r="R507" s="380"/>
      <c r="S507" s="380"/>
      <c r="T507" s="380"/>
      <c r="U507" s="380"/>
      <c r="V507" s="380"/>
      <c r="W507" s="403"/>
      <c r="X507" s="380"/>
      <c r="Y507" s="380"/>
      <c r="Z507" s="380"/>
      <c r="AA507" s="380"/>
      <c r="AB507" s="380"/>
      <c r="AC507" s="404"/>
      <c r="AD507" s="380"/>
      <c r="AE507" s="380"/>
      <c r="AF507" s="380"/>
      <c r="AG507" s="380"/>
      <c r="AH507" s="380"/>
      <c r="AI507" s="380"/>
      <c r="AJ507" s="380"/>
      <c r="AK507" s="403"/>
      <c r="AL507" s="380"/>
      <c r="AM507" s="380"/>
      <c r="AN507" s="380"/>
      <c r="AO507" s="380"/>
      <c r="AP507" s="380"/>
      <c r="AQ507" s="404"/>
      <c r="AR507" s="380"/>
      <c r="AS507" s="380"/>
      <c r="AT507" s="380"/>
      <c r="AU507" s="380"/>
      <c r="AV507" s="380"/>
      <c r="AW507" s="380"/>
      <c r="AX507" s="380"/>
      <c r="AY507" s="403"/>
      <c r="AZ507" s="380"/>
      <c r="BA507" s="380"/>
      <c r="BB507" s="380"/>
      <c r="BC507" s="380"/>
      <c r="BD507" s="380"/>
      <c r="BE507" s="404"/>
      <c r="BF507" s="380"/>
      <c r="BG507" s="380"/>
      <c r="BH507" s="380"/>
      <c r="BI507" s="380"/>
      <c r="BJ507" s="380"/>
      <c r="BK507" s="380"/>
      <c r="BL507" s="380"/>
      <c r="BM507" s="403"/>
      <c r="BS507" s="83"/>
      <c r="CA507" s="405"/>
      <c r="CG507" s="83"/>
      <c r="CO507" s="405"/>
      <c r="CU507" s="83"/>
      <c r="DC507" s="405"/>
      <c r="DI507" s="83"/>
      <c r="DQ507" s="405"/>
      <c r="DW507" s="83"/>
      <c r="EE507" s="405"/>
      <c r="EK507" s="83"/>
      <c r="ES507" s="405"/>
      <c r="EY507" s="83"/>
      <c r="FG507" s="405"/>
      <c r="FM507" s="83"/>
      <c r="FU507" s="405"/>
      <c r="GA507" s="83"/>
      <c r="GI507" s="405"/>
      <c r="GO507" s="83"/>
      <c r="GW507" s="405"/>
      <c r="HC507" s="83"/>
      <c r="HK507" s="405"/>
      <c r="HQ507" s="83"/>
      <c r="HY507" s="405"/>
      <c r="IE507" s="83"/>
      <c r="IM507" s="405"/>
      <c r="IS507" s="83"/>
      <c r="JA507" s="405"/>
      <c r="JG507" s="83"/>
      <c r="JO507" s="405"/>
      <c r="JU507" s="83"/>
      <c r="KC507" s="405"/>
      <c r="KI507" s="83"/>
      <c r="KQ507" s="405"/>
      <c r="KW507" s="83"/>
      <c r="LE507" s="405"/>
      <c r="LK507" s="83"/>
      <c r="LS507" s="405"/>
      <c r="LY507" s="83"/>
      <c r="MG507" s="405"/>
      <c r="MM507" s="83"/>
      <c r="MU507" s="405"/>
      <c r="NA507" s="83"/>
    </row>
    <row r="508">
      <c r="A508" s="483"/>
      <c r="B508" s="380"/>
      <c r="C508" s="380"/>
      <c r="D508" s="380"/>
      <c r="E508" s="380"/>
      <c r="F508" s="380"/>
      <c r="G508" s="380"/>
      <c r="H508" s="380"/>
      <c r="I508" s="403"/>
      <c r="J508" s="380"/>
      <c r="K508" s="380"/>
      <c r="L508" s="380"/>
      <c r="M508" s="380"/>
      <c r="N508" s="380"/>
      <c r="O508" s="404"/>
      <c r="P508" s="380"/>
      <c r="Q508" s="380"/>
      <c r="R508" s="380"/>
      <c r="S508" s="380"/>
      <c r="T508" s="380"/>
      <c r="U508" s="380"/>
      <c r="V508" s="380"/>
      <c r="W508" s="403"/>
      <c r="X508" s="380"/>
      <c r="Y508" s="380"/>
      <c r="Z508" s="380"/>
      <c r="AA508" s="380"/>
      <c r="AB508" s="380"/>
      <c r="AC508" s="404"/>
      <c r="AD508" s="380"/>
      <c r="AE508" s="380"/>
      <c r="AF508" s="380"/>
      <c r="AG508" s="380"/>
      <c r="AH508" s="380"/>
      <c r="AI508" s="380"/>
      <c r="AJ508" s="380"/>
      <c r="AK508" s="403"/>
      <c r="AL508" s="380"/>
      <c r="AM508" s="380"/>
      <c r="AN508" s="380"/>
      <c r="AO508" s="380"/>
      <c r="AP508" s="380"/>
      <c r="AQ508" s="404"/>
      <c r="AR508" s="380"/>
      <c r="AS508" s="380"/>
      <c r="AT508" s="380"/>
      <c r="AU508" s="380"/>
      <c r="AV508" s="380"/>
      <c r="AW508" s="380"/>
      <c r="AX508" s="380"/>
      <c r="AY508" s="403"/>
      <c r="AZ508" s="380"/>
      <c r="BA508" s="380"/>
      <c r="BB508" s="380"/>
      <c r="BC508" s="380"/>
      <c r="BD508" s="380"/>
      <c r="BE508" s="404"/>
      <c r="BF508" s="380"/>
      <c r="BG508" s="380"/>
      <c r="BH508" s="380"/>
      <c r="BI508" s="380"/>
      <c r="BJ508" s="380"/>
      <c r="BK508" s="380"/>
      <c r="BL508" s="380"/>
      <c r="BM508" s="403"/>
      <c r="BS508" s="83"/>
      <c r="CA508" s="405"/>
      <c r="CG508" s="83"/>
      <c r="CO508" s="405"/>
      <c r="CU508" s="83"/>
      <c r="DC508" s="405"/>
      <c r="DI508" s="83"/>
      <c r="DQ508" s="405"/>
      <c r="DW508" s="83"/>
      <c r="EE508" s="405"/>
      <c r="EK508" s="83"/>
      <c r="ES508" s="405"/>
      <c r="EY508" s="83"/>
      <c r="FG508" s="405"/>
      <c r="FM508" s="83"/>
      <c r="FU508" s="405"/>
      <c r="GA508" s="83"/>
      <c r="GI508" s="405"/>
      <c r="GO508" s="83"/>
      <c r="GW508" s="405"/>
      <c r="HC508" s="83"/>
      <c r="HK508" s="405"/>
      <c r="HQ508" s="83"/>
      <c r="HY508" s="405"/>
      <c r="IE508" s="83"/>
      <c r="IM508" s="405"/>
      <c r="IS508" s="83"/>
      <c r="JA508" s="405"/>
      <c r="JG508" s="83"/>
      <c r="JO508" s="405"/>
      <c r="JU508" s="83"/>
      <c r="KC508" s="405"/>
      <c r="KI508" s="83"/>
      <c r="KQ508" s="405"/>
      <c r="KW508" s="83"/>
      <c r="LE508" s="405"/>
      <c r="LK508" s="83"/>
      <c r="LS508" s="405"/>
      <c r="LY508" s="83"/>
      <c r="MG508" s="405"/>
      <c r="MM508" s="83"/>
      <c r="MU508" s="405"/>
      <c r="NA508" s="83"/>
    </row>
    <row r="509">
      <c r="A509" s="483"/>
      <c r="B509" s="380"/>
      <c r="C509" s="380"/>
      <c r="D509" s="380"/>
      <c r="E509" s="380"/>
      <c r="F509" s="380"/>
      <c r="G509" s="380"/>
      <c r="H509" s="380"/>
      <c r="I509" s="403"/>
      <c r="J509" s="380"/>
      <c r="K509" s="380"/>
      <c r="L509" s="380"/>
      <c r="M509" s="380"/>
      <c r="N509" s="380"/>
      <c r="O509" s="404"/>
      <c r="P509" s="380"/>
      <c r="Q509" s="380"/>
      <c r="R509" s="380"/>
      <c r="S509" s="380"/>
      <c r="T509" s="380"/>
      <c r="U509" s="380"/>
      <c r="V509" s="380"/>
      <c r="W509" s="403"/>
      <c r="X509" s="380"/>
      <c r="Y509" s="380"/>
      <c r="Z509" s="380"/>
      <c r="AA509" s="380"/>
      <c r="AB509" s="380"/>
      <c r="AC509" s="404"/>
      <c r="AD509" s="380"/>
      <c r="AE509" s="380"/>
      <c r="AF509" s="380"/>
      <c r="AG509" s="380"/>
      <c r="AH509" s="380"/>
      <c r="AI509" s="380"/>
      <c r="AJ509" s="380"/>
      <c r="AK509" s="403"/>
      <c r="AL509" s="380"/>
      <c r="AM509" s="380"/>
      <c r="AN509" s="380"/>
      <c r="AO509" s="380"/>
      <c r="AP509" s="380"/>
      <c r="AQ509" s="404"/>
      <c r="AR509" s="380"/>
      <c r="AS509" s="380"/>
      <c r="AT509" s="380"/>
      <c r="AU509" s="380"/>
      <c r="AV509" s="380"/>
      <c r="AW509" s="380"/>
      <c r="AX509" s="380"/>
      <c r="AY509" s="403"/>
      <c r="AZ509" s="380"/>
      <c r="BA509" s="380"/>
      <c r="BB509" s="380"/>
      <c r="BC509" s="380"/>
      <c r="BD509" s="380"/>
      <c r="BE509" s="404"/>
      <c r="BF509" s="380"/>
      <c r="BG509" s="380"/>
      <c r="BH509" s="380"/>
      <c r="BI509" s="380"/>
      <c r="BJ509" s="380"/>
      <c r="BK509" s="380"/>
      <c r="BL509" s="380"/>
      <c r="BM509" s="403"/>
      <c r="BS509" s="83"/>
      <c r="CA509" s="405"/>
      <c r="CG509" s="83"/>
      <c r="CO509" s="405"/>
      <c r="CU509" s="83"/>
      <c r="DC509" s="405"/>
      <c r="DI509" s="83"/>
      <c r="DQ509" s="405"/>
      <c r="DW509" s="83"/>
      <c r="EE509" s="405"/>
      <c r="EK509" s="83"/>
      <c r="ES509" s="405"/>
      <c r="EY509" s="83"/>
      <c r="FG509" s="405"/>
      <c r="FM509" s="83"/>
      <c r="FU509" s="405"/>
      <c r="GA509" s="83"/>
      <c r="GI509" s="405"/>
      <c r="GO509" s="83"/>
      <c r="GW509" s="405"/>
      <c r="HC509" s="83"/>
      <c r="HK509" s="405"/>
      <c r="HQ509" s="83"/>
      <c r="HY509" s="405"/>
      <c r="IE509" s="83"/>
      <c r="IM509" s="405"/>
      <c r="IS509" s="83"/>
      <c r="JA509" s="405"/>
      <c r="JG509" s="83"/>
      <c r="JO509" s="405"/>
      <c r="JU509" s="83"/>
      <c r="KC509" s="405"/>
      <c r="KI509" s="83"/>
      <c r="KQ509" s="405"/>
      <c r="KW509" s="83"/>
      <c r="LE509" s="405"/>
      <c r="LK509" s="83"/>
      <c r="LS509" s="405"/>
      <c r="LY509" s="83"/>
      <c r="MG509" s="405"/>
      <c r="MM509" s="83"/>
      <c r="MU509" s="405"/>
      <c r="NA509" s="83"/>
    </row>
    <row r="510">
      <c r="A510" s="483"/>
      <c r="B510" s="380"/>
      <c r="C510" s="380"/>
      <c r="D510" s="380"/>
      <c r="E510" s="380"/>
      <c r="F510" s="380"/>
      <c r="G510" s="380"/>
      <c r="H510" s="380"/>
      <c r="I510" s="403"/>
      <c r="J510" s="380"/>
      <c r="K510" s="380"/>
      <c r="L510" s="380"/>
      <c r="M510" s="380"/>
      <c r="N510" s="380"/>
      <c r="O510" s="404"/>
      <c r="P510" s="380"/>
      <c r="Q510" s="380"/>
      <c r="R510" s="380"/>
      <c r="S510" s="380"/>
      <c r="T510" s="380"/>
      <c r="U510" s="380"/>
      <c r="V510" s="380"/>
      <c r="W510" s="403"/>
      <c r="X510" s="380"/>
      <c r="Y510" s="380"/>
      <c r="Z510" s="380"/>
      <c r="AA510" s="380"/>
      <c r="AB510" s="380"/>
      <c r="AC510" s="404"/>
      <c r="AD510" s="380"/>
      <c r="AE510" s="380"/>
      <c r="AF510" s="380"/>
      <c r="AG510" s="380"/>
      <c r="AH510" s="380"/>
      <c r="AI510" s="380"/>
      <c r="AJ510" s="380"/>
      <c r="AK510" s="403"/>
      <c r="AL510" s="380"/>
      <c r="AM510" s="380"/>
      <c r="AN510" s="380"/>
      <c r="AO510" s="380"/>
      <c r="AP510" s="380"/>
      <c r="AQ510" s="404"/>
      <c r="AR510" s="380"/>
      <c r="AS510" s="380"/>
      <c r="AT510" s="380"/>
      <c r="AU510" s="380"/>
      <c r="AV510" s="380"/>
      <c r="AW510" s="380"/>
      <c r="AX510" s="380"/>
      <c r="AY510" s="403"/>
      <c r="AZ510" s="380"/>
      <c r="BA510" s="380"/>
      <c r="BB510" s="380"/>
      <c r="BC510" s="380"/>
      <c r="BD510" s="380"/>
      <c r="BE510" s="404"/>
      <c r="BF510" s="380"/>
      <c r="BG510" s="380"/>
      <c r="BH510" s="380"/>
      <c r="BI510" s="380"/>
      <c r="BJ510" s="380"/>
      <c r="BK510" s="380"/>
      <c r="BL510" s="380"/>
      <c r="BM510" s="403"/>
      <c r="BS510" s="83"/>
      <c r="CA510" s="405"/>
      <c r="CG510" s="83"/>
      <c r="CO510" s="405"/>
      <c r="CU510" s="83"/>
      <c r="DC510" s="405"/>
      <c r="DI510" s="83"/>
      <c r="DQ510" s="405"/>
      <c r="DW510" s="83"/>
      <c r="EE510" s="405"/>
      <c r="EK510" s="83"/>
      <c r="ES510" s="405"/>
      <c r="EY510" s="83"/>
      <c r="FG510" s="405"/>
      <c r="FM510" s="83"/>
      <c r="FU510" s="405"/>
      <c r="GA510" s="83"/>
      <c r="GI510" s="405"/>
      <c r="GO510" s="83"/>
      <c r="GW510" s="405"/>
      <c r="HC510" s="83"/>
      <c r="HK510" s="405"/>
      <c r="HQ510" s="83"/>
      <c r="HY510" s="405"/>
      <c r="IE510" s="83"/>
      <c r="IM510" s="405"/>
      <c r="IS510" s="83"/>
      <c r="JA510" s="405"/>
      <c r="JG510" s="83"/>
      <c r="JO510" s="405"/>
      <c r="JU510" s="83"/>
      <c r="KC510" s="405"/>
      <c r="KI510" s="83"/>
      <c r="KQ510" s="405"/>
      <c r="KW510" s="83"/>
      <c r="LE510" s="405"/>
      <c r="LK510" s="83"/>
      <c r="LS510" s="405"/>
      <c r="LY510" s="83"/>
      <c r="MG510" s="405"/>
      <c r="MM510" s="83"/>
      <c r="MU510" s="405"/>
      <c r="NA510" s="83"/>
    </row>
    <row r="511">
      <c r="A511" s="483"/>
      <c r="B511" s="380"/>
      <c r="C511" s="380"/>
      <c r="D511" s="380"/>
      <c r="E511" s="380"/>
      <c r="F511" s="380"/>
      <c r="G511" s="380"/>
      <c r="H511" s="380"/>
      <c r="I511" s="403"/>
      <c r="J511" s="380"/>
      <c r="K511" s="380"/>
      <c r="L511" s="380"/>
      <c r="M511" s="380"/>
      <c r="N511" s="380"/>
      <c r="O511" s="404"/>
      <c r="P511" s="380"/>
      <c r="Q511" s="380"/>
      <c r="R511" s="380"/>
      <c r="S511" s="380"/>
      <c r="T511" s="380"/>
      <c r="U511" s="380"/>
      <c r="V511" s="380"/>
      <c r="W511" s="403"/>
      <c r="X511" s="380"/>
      <c r="Y511" s="380"/>
      <c r="Z511" s="380"/>
      <c r="AA511" s="380"/>
      <c r="AB511" s="380"/>
      <c r="AC511" s="404"/>
      <c r="AD511" s="380"/>
      <c r="AE511" s="380"/>
      <c r="AF511" s="380"/>
      <c r="AG511" s="380"/>
      <c r="AH511" s="380"/>
      <c r="AI511" s="380"/>
      <c r="AJ511" s="380"/>
      <c r="AK511" s="403"/>
      <c r="AL511" s="380"/>
      <c r="AM511" s="380"/>
      <c r="AN511" s="380"/>
      <c r="AO511" s="380"/>
      <c r="AP511" s="380"/>
      <c r="AQ511" s="404"/>
      <c r="AR511" s="380"/>
      <c r="AS511" s="380"/>
      <c r="AT511" s="380"/>
      <c r="AU511" s="380"/>
      <c r="AV511" s="380"/>
      <c r="AW511" s="380"/>
      <c r="AX511" s="380"/>
      <c r="AY511" s="403"/>
      <c r="AZ511" s="380"/>
      <c r="BA511" s="380"/>
      <c r="BB511" s="380"/>
      <c r="BC511" s="380"/>
      <c r="BD511" s="380"/>
      <c r="BE511" s="404"/>
      <c r="BF511" s="380"/>
      <c r="BG511" s="380"/>
      <c r="BH511" s="380"/>
      <c r="BI511" s="380"/>
      <c r="BJ511" s="380"/>
      <c r="BK511" s="380"/>
      <c r="BL511" s="380"/>
      <c r="BM511" s="403"/>
      <c r="BS511" s="83"/>
      <c r="CA511" s="405"/>
      <c r="CG511" s="83"/>
      <c r="CO511" s="405"/>
      <c r="CU511" s="83"/>
      <c r="DC511" s="405"/>
      <c r="DI511" s="83"/>
      <c r="DQ511" s="405"/>
      <c r="DW511" s="83"/>
      <c r="EE511" s="405"/>
      <c r="EK511" s="83"/>
      <c r="ES511" s="405"/>
      <c r="EY511" s="83"/>
      <c r="FG511" s="405"/>
      <c r="FM511" s="83"/>
      <c r="FU511" s="405"/>
      <c r="GA511" s="83"/>
      <c r="GI511" s="405"/>
      <c r="GO511" s="83"/>
      <c r="GW511" s="405"/>
      <c r="HC511" s="83"/>
      <c r="HK511" s="405"/>
      <c r="HQ511" s="83"/>
      <c r="HY511" s="405"/>
      <c r="IE511" s="83"/>
      <c r="IM511" s="405"/>
      <c r="IS511" s="83"/>
      <c r="JA511" s="405"/>
      <c r="JG511" s="83"/>
      <c r="JO511" s="405"/>
      <c r="JU511" s="83"/>
      <c r="KC511" s="405"/>
      <c r="KI511" s="83"/>
      <c r="KQ511" s="405"/>
      <c r="KW511" s="83"/>
      <c r="LE511" s="405"/>
      <c r="LK511" s="83"/>
      <c r="LS511" s="405"/>
      <c r="LY511" s="83"/>
      <c r="MG511" s="405"/>
      <c r="MM511" s="83"/>
      <c r="MU511" s="405"/>
      <c r="NA511" s="83"/>
    </row>
    <row r="512">
      <c r="A512" s="483"/>
      <c r="B512" s="380"/>
      <c r="C512" s="380"/>
      <c r="D512" s="380"/>
      <c r="E512" s="380"/>
      <c r="F512" s="380"/>
      <c r="G512" s="380"/>
      <c r="H512" s="380"/>
      <c r="I512" s="403"/>
      <c r="J512" s="380"/>
      <c r="K512" s="380"/>
      <c r="L512" s="380"/>
      <c r="M512" s="380"/>
      <c r="N512" s="380"/>
      <c r="O512" s="404"/>
      <c r="P512" s="380"/>
      <c r="Q512" s="380"/>
      <c r="R512" s="380"/>
      <c r="S512" s="380"/>
      <c r="T512" s="380"/>
      <c r="U512" s="380"/>
      <c r="V512" s="380"/>
      <c r="W512" s="403"/>
      <c r="X512" s="380"/>
      <c r="Y512" s="380"/>
      <c r="Z512" s="380"/>
      <c r="AA512" s="380"/>
      <c r="AB512" s="380"/>
      <c r="AC512" s="404"/>
      <c r="AD512" s="380"/>
      <c r="AE512" s="380"/>
      <c r="AF512" s="380"/>
      <c r="AG512" s="380"/>
      <c r="AH512" s="380"/>
      <c r="AI512" s="380"/>
      <c r="AJ512" s="380"/>
      <c r="AK512" s="403"/>
      <c r="AL512" s="380"/>
      <c r="AM512" s="380"/>
      <c r="AN512" s="380"/>
      <c r="AO512" s="380"/>
      <c r="AP512" s="380"/>
      <c r="AQ512" s="404"/>
      <c r="AR512" s="380"/>
      <c r="AS512" s="380"/>
      <c r="AT512" s="380"/>
      <c r="AU512" s="380"/>
      <c r="AV512" s="380"/>
      <c r="AW512" s="380"/>
      <c r="AX512" s="380"/>
      <c r="AY512" s="403"/>
      <c r="AZ512" s="380"/>
      <c r="BA512" s="380"/>
      <c r="BB512" s="380"/>
      <c r="BC512" s="380"/>
      <c r="BD512" s="380"/>
      <c r="BE512" s="404"/>
      <c r="BF512" s="380"/>
      <c r="BG512" s="380"/>
      <c r="BH512" s="380"/>
      <c r="BI512" s="380"/>
      <c r="BJ512" s="380"/>
      <c r="BK512" s="380"/>
      <c r="BL512" s="380"/>
      <c r="BM512" s="403"/>
      <c r="BS512" s="83"/>
      <c r="CA512" s="405"/>
      <c r="CG512" s="83"/>
      <c r="CO512" s="405"/>
      <c r="CU512" s="83"/>
      <c r="DC512" s="405"/>
      <c r="DI512" s="83"/>
      <c r="DQ512" s="405"/>
      <c r="DW512" s="83"/>
      <c r="EE512" s="405"/>
      <c r="EK512" s="83"/>
      <c r="ES512" s="405"/>
      <c r="EY512" s="83"/>
      <c r="FG512" s="405"/>
      <c r="FM512" s="83"/>
      <c r="FU512" s="405"/>
      <c r="GA512" s="83"/>
      <c r="GI512" s="405"/>
      <c r="GO512" s="83"/>
      <c r="GW512" s="405"/>
      <c r="HC512" s="83"/>
      <c r="HK512" s="405"/>
      <c r="HQ512" s="83"/>
      <c r="HY512" s="405"/>
      <c r="IE512" s="83"/>
      <c r="IM512" s="405"/>
      <c r="IS512" s="83"/>
      <c r="JA512" s="405"/>
      <c r="JG512" s="83"/>
      <c r="JO512" s="405"/>
      <c r="JU512" s="83"/>
      <c r="KC512" s="405"/>
      <c r="KI512" s="83"/>
      <c r="KQ512" s="405"/>
      <c r="KW512" s="83"/>
      <c r="LE512" s="405"/>
      <c r="LK512" s="83"/>
      <c r="LS512" s="405"/>
      <c r="LY512" s="83"/>
      <c r="MG512" s="405"/>
      <c r="MM512" s="83"/>
      <c r="MU512" s="405"/>
      <c r="NA512" s="83"/>
    </row>
    <row r="513">
      <c r="A513" s="483"/>
      <c r="B513" s="380"/>
      <c r="C513" s="380"/>
      <c r="D513" s="380"/>
      <c r="E513" s="380"/>
      <c r="F513" s="380"/>
      <c r="G513" s="380"/>
      <c r="H513" s="380"/>
      <c r="I513" s="403"/>
      <c r="J513" s="380"/>
      <c r="K513" s="380"/>
      <c r="L513" s="380"/>
      <c r="M513" s="380"/>
      <c r="N513" s="380"/>
      <c r="O513" s="404"/>
      <c r="P513" s="380"/>
      <c r="Q513" s="380"/>
      <c r="R513" s="380"/>
      <c r="S513" s="380"/>
      <c r="T513" s="380"/>
      <c r="U513" s="380"/>
      <c r="V513" s="380"/>
      <c r="W513" s="403"/>
      <c r="X513" s="380"/>
      <c r="Y513" s="380"/>
      <c r="Z513" s="380"/>
      <c r="AA513" s="380"/>
      <c r="AB513" s="380"/>
      <c r="AC513" s="404"/>
      <c r="AD513" s="380"/>
      <c r="AE513" s="380"/>
      <c r="AF513" s="380"/>
      <c r="AG513" s="380"/>
      <c r="AH513" s="380"/>
      <c r="AI513" s="380"/>
      <c r="AJ513" s="380"/>
      <c r="AK513" s="403"/>
      <c r="AL513" s="380"/>
      <c r="AM513" s="380"/>
      <c r="AN513" s="380"/>
      <c r="AO513" s="380"/>
      <c r="AP513" s="380"/>
      <c r="AQ513" s="404"/>
      <c r="AR513" s="380"/>
      <c r="AS513" s="380"/>
      <c r="AT513" s="380"/>
      <c r="AU513" s="380"/>
      <c r="AV513" s="380"/>
      <c r="AW513" s="380"/>
      <c r="AX513" s="380"/>
      <c r="AY513" s="403"/>
      <c r="AZ513" s="380"/>
      <c r="BA513" s="380"/>
      <c r="BB513" s="380"/>
      <c r="BC513" s="380"/>
      <c r="BD513" s="380"/>
      <c r="BE513" s="404"/>
      <c r="BF513" s="380"/>
      <c r="BG513" s="380"/>
      <c r="BH513" s="380"/>
      <c r="BI513" s="380"/>
      <c r="BJ513" s="380"/>
      <c r="BK513" s="380"/>
      <c r="BL513" s="380"/>
      <c r="BM513" s="403"/>
      <c r="BS513" s="83"/>
      <c r="CA513" s="405"/>
      <c r="CG513" s="83"/>
      <c r="CO513" s="405"/>
      <c r="CU513" s="83"/>
      <c r="DC513" s="405"/>
      <c r="DI513" s="83"/>
      <c r="DQ513" s="405"/>
      <c r="DW513" s="83"/>
      <c r="EE513" s="405"/>
      <c r="EK513" s="83"/>
      <c r="ES513" s="405"/>
      <c r="EY513" s="83"/>
      <c r="FG513" s="405"/>
      <c r="FM513" s="83"/>
      <c r="FU513" s="405"/>
      <c r="GA513" s="83"/>
      <c r="GI513" s="405"/>
      <c r="GO513" s="83"/>
      <c r="GW513" s="405"/>
      <c r="HC513" s="83"/>
      <c r="HK513" s="405"/>
      <c r="HQ513" s="83"/>
      <c r="HY513" s="405"/>
      <c r="IE513" s="83"/>
      <c r="IM513" s="405"/>
      <c r="IS513" s="83"/>
      <c r="JA513" s="405"/>
      <c r="JG513" s="83"/>
      <c r="JO513" s="405"/>
      <c r="JU513" s="83"/>
      <c r="KC513" s="405"/>
      <c r="KI513" s="83"/>
      <c r="KQ513" s="405"/>
      <c r="KW513" s="83"/>
      <c r="LE513" s="405"/>
      <c r="LK513" s="83"/>
      <c r="LS513" s="405"/>
      <c r="LY513" s="83"/>
      <c r="MG513" s="405"/>
      <c r="MM513" s="83"/>
      <c r="MU513" s="405"/>
      <c r="NA513" s="83"/>
    </row>
    <row r="514">
      <c r="A514" s="483"/>
      <c r="B514" s="380"/>
      <c r="C514" s="380"/>
      <c r="D514" s="380"/>
      <c r="E514" s="380"/>
      <c r="F514" s="380"/>
      <c r="G514" s="380"/>
      <c r="H514" s="380"/>
      <c r="I514" s="403"/>
      <c r="J514" s="380"/>
      <c r="K514" s="380"/>
      <c r="L514" s="380"/>
      <c r="M514" s="380"/>
      <c r="N514" s="380"/>
      <c r="O514" s="404"/>
      <c r="P514" s="380"/>
      <c r="Q514" s="380"/>
      <c r="R514" s="380"/>
      <c r="S514" s="380"/>
      <c r="T514" s="380"/>
      <c r="U514" s="380"/>
      <c r="V514" s="380"/>
      <c r="W514" s="403"/>
      <c r="X514" s="380"/>
      <c r="Y514" s="380"/>
      <c r="Z514" s="380"/>
      <c r="AA514" s="380"/>
      <c r="AB514" s="380"/>
      <c r="AC514" s="404"/>
      <c r="AD514" s="380"/>
      <c r="AE514" s="380"/>
      <c r="AF514" s="380"/>
      <c r="AG514" s="380"/>
      <c r="AH514" s="380"/>
      <c r="AI514" s="380"/>
      <c r="AJ514" s="380"/>
      <c r="AK514" s="403"/>
      <c r="AL514" s="380"/>
      <c r="AM514" s="380"/>
      <c r="AN514" s="380"/>
      <c r="AO514" s="380"/>
      <c r="AP514" s="380"/>
      <c r="AQ514" s="404"/>
      <c r="AR514" s="380"/>
      <c r="AS514" s="380"/>
      <c r="AT514" s="380"/>
      <c r="AU514" s="380"/>
      <c r="AV514" s="380"/>
      <c r="AW514" s="380"/>
      <c r="AX514" s="380"/>
      <c r="AY514" s="403"/>
      <c r="AZ514" s="380"/>
      <c r="BA514" s="380"/>
      <c r="BB514" s="380"/>
      <c r="BC514" s="380"/>
      <c r="BD514" s="380"/>
      <c r="BE514" s="404"/>
      <c r="BF514" s="380"/>
      <c r="BG514" s="380"/>
      <c r="BH514" s="380"/>
      <c r="BI514" s="380"/>
      <c r="BJ514" s="380"/>
      <c r="BK514" s="380"/>
      <c r="BL514" s="380"/>
      <c r="BM514" s="403"/>
      <c r="BS514" s="83"/>
      <c r="CA514" s="405"/>
      <c r="CG514" s="83"/>
      <c r="CO514" s="405"/>
      <c r="CU514" s="83"/>
      <c r="DC514" s="405"/>
      <c r="DI514" s="83"/>
      <c r="DQ514" s="405"/>
      <c r="DW514" s="83"/>
      <c r="EE514" s="405"/>
      <c r="EK514" s="83"/>
      <c r="ES514" s="405"/>
      <c r="EY514" s="83"/>
      <c r="FG514" s="405"/>
      <c r="FM514" s="83"/>
      <c r="FU514" s="405"/>
      <c r="GA514" s="83"/>
      <c r="GI514" s="405"/>
      <c r="GO514" s="83"/>
      <c r="GW514" s="405"/>
      <c r="HC514" s="83"/>
      <c r="HK514" s="405"/>
      <c r="HQ514" s="83"/>
      <c r="HY514" s="405"/>
      <c r="IE514" s="83"/>
      <c r="IM514" s="405"/>
      <c r="IS514" s="83"/>
      <c r="JA514" s="405"/>
      <c r="JG514" s="83"/>
      <c r="JO514" s="405"/>
      <c r="JU514" s="83"/>
      <c r="KC514" s="405"/>
      <c r="KI514" s="83"/>
      <c r="KQ514" s="405"/>
      <c r="KW514" s="83"/>
      <c r="LE514" s="405"/>
      <c r="LK514" s="83"/>
      <c r="LS514" s="405"/>
      <c r="LY514" s="83"/>
      <c r="MG514" s="405"/>
      <c r="MM514" s="83"/>
      <c r="MU514" s="405"/>
      <c r="NA514" s="83"/>
    </row>
    <row r="515">
      <c r="A515" s="483"/>
      <c r="B515" s="380"/>
      <c r="C515" s="380"/>
      <c r="D515" s="380"/>
      <c r="E515" s="380"/>
      <c r="F515" s="380"/>
      <c r="G515" s="380"/>
      <c r="H515" s="380"/>
      <c r="I515" s="403"/>
      <c r="J515" s="380"/>
      <c r="K515" s="380"/>
      <c r="L515" s="380"/>
      <c r="M515" s="380"/>
      <c r="N515" s="380"/>
      <c r="O515" s="404"/>
      <c r="P515" s="380"/>
      <c r="Q515" s="380"/>
      <c r="R515" s="380"/>
      <c r="S515" s="380"/>
      <c r="T515" s="380"/>
      <c r="U515" s="380"/>
      <c r="V515" s="380"/>
      <c r="W515" s="403"/>
      <c r="X515" s="380"/>
      <c r="Y515" s="380"/>
      <c r="Z515" s="380"/>
      <c r="AA515" s="380"/>
      <c r="AB515" s="380"/>
      <c r="AC515" s="404"/>
      <c r="AD515" s="380"/>
      <c r="AE515" s="380"/>
      <c r="AF515" s="380"/>
      <c r="AG515" s="380"/>
      <c r="AH515" s="380"/>
      <c r="AI515" s="380"/>
      <c r="AJ515" s="380"/>
      <c r="AK515" s="403"/>
      <c r="AL515" s="380"/>
      <c r="AM515" s="380"/>
      <c r="AN515" s="380"/>
      <c r="AO515" s="380"/>
      <c r="AP515" s="380"/>
      <c r="AQ515" s="404"/>
      <c r="AR515" s="380"/>
      <c r="AS515" s="380"/>
      <c r="AT515" s="380"/>
      <c r="AU515" s="380"/>
      <c r="AV515" s="380"/>
      <c r="AW515" s="380"/>
      <c r="AX515" s="380"/>
      <c r="AY515" s="403"/>
      <c r="AZ515" s="380"/>
      <c r="BA515" s="380"/>
      <c r="BB515" s="380"/>
      <c r="BC515" s="380"/>
      <c r="BD515" s="380"/>
      <c r="BE515" s="404"/>
      <c r="BF515" s="380"/>
      <c r="BG515" s="380"/>
      <c r="BH515" s="380"/>
      <c r="BI515" s="380"/>
      <c r="BJ515" s="380"/>
      <c r="BK515" s="380"/>
      <c r="BL515" s="380"/>
      <c r="BM515" s="403"/>
      <c r="BS515" s="83"/>
      <c r="CA515" s="405"/>
      <c r="CG515" s="83"/>
      <c r="CO515" s="405"/>
      <c r="CU515" s="83"/>
      <c r="DC515" s="405"/>
      <c r="DI515" s="83"/>
      <c r="DQ515" s="405"/>
      <c r="DW515" s="83"/>
      <c r="EE515" s="405"/>
      <c r="EK515" s="83"/>
      <c r="ES515" s="405"/>
      <c r="EY515" s="83"/>
      <c r="FG515" s="405"/>
      <c r="FM515" s="83"/>
      <c r="FU515" s="405"/>
      <c r="GA515" s="83"/>
      <c r="GI515" s="405"/>
      <c r="GO515" s="83"/>
      <c r="GW515" s="405"/>
      <c r="HC515" s="83"/>
      <c r="HK515" s="405"/>
      <c r="HQ515" s="83"/>
      <c r="HY515" s="405"/>
      <c r="IE515" s="83"/>
      <c r="IM515" s="405"/>
      <c r="IS515" s="83"/>
      <c r="JA515" s="405"/>
      <c r="JG515" s="83"/>
      <c r="JO515" s="405"/>
      <c r="JU515" s="83"/>
      <c r="KC515" s="405"/>
      <c r="KI515" s="83"/>
      <c r="KQ515" s="405"/>
      <c r="KW515" s="83"/>
      <c r="LE515" s="405"/>
      <c r="LK515" s="83"/>
      <c r="LS515" s="405"/>
      <c r="LY515" s="83"/>
      <c r="MG515" s="405"/>
      <c r="MM515" s="83"/>
      <c r="MU515" s="405"/>
      <c r="NA515" s="83"/>
    </row>
    <row r="516">
      <c r="A516" s="483"/>
      <c r="B516" s="380"/>
      <c r="C516" s="380"/>
      <c r="D516" s="380"/>
      <c r="E516" s="380"/>
      <c r="F516" s="380"/>
      <c r="G516" s="380"/>
      <c r="H516" s="380"/>
      <c r="I516" s="403"/>
      <c r="J516" s="380"/>
      <c r="K516" s="380"/>
      <c r="L516" s="380"/>
      <c r="M516" s="380"/>
      <c r="N516" s="380"/>
      <c r="O516" s="404"/>
      <c r="P516" s="380"/>
      <c r="Q516" s="380"/>
      <c r="R516" s="380"/>
      <c r="S516" s="380"/>
      <c r="T516" s="380"/>
      <c r="U516" s="380"/>
      <c r="V516" s="380"/>
      <c r="W516" s="403"/>
      <c r="X516" s="380"/>
      <c r="Y516" s="380"/>
      <c r="Z516" s="380"/>
      <c r="AA516" s="380"/>
      <c r="AB516" s="380"/>
      <c r="AC516" s="404"/>
      <c r="AD516" s="380"/>
      <c r="AE516" s="380"/>
      <c r="AF516" s="380"/>
      <c r="AG516" s="380"/>
      <c r="AH516" s="380"/>
      <c r="AI516" s="380"/>
      <c r="AJ516" s="380"/>
      <c r="AK516" s="403"/>
      <c r="AL516" s="380"/>
      <c r="AM516" s="380"/>
      <c r="AN516" s="380"/>
      <c r="AO516" s="380"/>
      <c r="AP516" s="380"/>
      <c r="AQ516" s="404"/>
      <c r="AR516" s="380"/>
      <c r="AS516" s="380"/>
      <c r="AT516" s="380"/>
      <c r="AU516" s="380"/>
      <c r="AV516" s="380"/>
      <c r="AW516" s="380"/>
      <c r="AX516" s="380"/>
      <c r="AY516" s="403"/>
      <c r="AZ516" s="380"/>
      <c r="BA516" s="380"/>
      <c r="BB516" s="380"/>
      <c r="BC516" s="380"/>
      <c r="BD516" s="380"/>
      <c r="BE516" s="404"/>
      <c r="BF516" s="380"/>
      <c r="BG516" s="380"/>
      <c r="BH516" s="380"/>
      <c r="BI516" s="380"/>
      <c r="BJ516" s="380"/>
      <c r="BK516" s="380"/>
      <c r="BL516" s="380"/>
      <c r="BM516" s="403"/>
      <c r="BS516" s="83"/>
      <c r="CA516" s="405"/>
      <c r="CG516" s="83"/>
      <c r="CO516" s="405"/>
      <c r="CU516" s="83"/>
      <c r="DC516" s="405"/>
      <c r="DI516" s="83"/>
      <c r="DQ516" s="405"/>
      <c r="DW516" s="83"/>
      <c r="EE516" s="405"/>
      <c r="EK516" s="83"/>
      <c r="ES516" s="405"/>
      <c r="EY516" s="83"/>
      <c r="FG516" s="405"/>
      <c r="FM516" s="83"/>
      <c r="FU516" s="405"/>
      <c r="GA516" s="83"/>
      <c r="GI516" s="405"/>
      <c r="GO516" s="83"/>
      <c r="GW516" s="405"/>
      <c r="HC516" s="83"/>
      <c r="HK516" s="405"/>
      <c r="HQ516" s="83"/>
      <c r="HY516" s="405"/>
      <c r="IE516" s="83"/>
      <c r="IM516" s="405"/>
      <c r="IS516" s="83"/>
      <c r="JA516" s="405"/>
      <c r="JG516" s="83"/>
      <c r="JO516" s="405"/>
      <c r="JU516" s="83"/>
      <c r="KC516" s="405"/>
      <c r="KI516" s="83"/>
      <c r="KQ516" s="405"/>
      <c r="KW516" s="83"/>
      <c r="LE516" s="405"/>
      <c r="LK516" s="83"/>
      <c r="LS516" s="405"/>
      <c r="LY516" s="83"/>
      <c r="MG516" s="405"/>
      <c r="MM516" s="83"/>
      <c r="MU516" s="405"/>
      <c r="NA516" s="83"/>
    </row>
    <row r="517">
      <c r="A517" s="483"/>
      <c r="B517" s="380"/>
      <c r="C517" s="380"/>
      <c r="D517" s="380"/>
      <c r="E517" s="380"/>
      <c r="F517" s="380"/>
      <c r="G517" s="380"/>
      <c r="H517" s="380"/>
      <c r="I517" s="403"/>
      <c r="J517" s="380"/>
      <c r="K517" s="380"/>
      <c r="L517" s="380"/>
      <c r="M517" s="380"/>
      <c r="N517" s="380"/>
      <c r="O517" s="404"/>
      <c r="P517" s="380"/>
      <c r="Q517" s="380"/>
      <c r="R517" s="380"/>
      <c r="S517" s="380"/>
      <c r="T517" s="380"/>
      <c r="U517" s="380"/>
      <c r="V517" s="380"/>
      <c r="W517" s="403"/>
      <c r="X517" s="380"/>
      <c r="Y517" s="380"/>
      <c r="Z517" s="380"/>
      <c r="AA517" s="380"/>
      <c r="AB517" s="380"/>
      <c r="AC517" s="404"/>
      <c r="AD517" s="380"/>
      <c r="AE517" s="380"/>
      <c r="AF517" s="380"/>
      <c r="AG517" s="380"/>
      <c r="AH517" s="380"/>
      <c r="AI517" s="380"/>
      <c r="AJ517" s="380"/>
      <c r="AK517" s="403"/>
      <c r="AL517" s="380"/>
      <c r="AM517" s="380"/>
      <c r="AN517" s="380"/>
      <c r="AO517" s="380"/>
      <c r="AP517" s="380"/>
      <c r="AQ517" s="404"/>
      <c r="AR517" s="380"/>
      <c r="AS517" s="380"/>
      <c r="AT517" s="380"/>
      <c r="AU517" s="380"/>
      <c r="AV517" s="380"/>
      <c r="AW517" s="380"/>
      <c r="AX517" s="380"/>
      <c r="AY517" s="403"/>
      <c r="AZ517" s="380"/>
      <c r="BA517" s="380"/>
      <c r="BB517" s="380"/>
      <c r="BC517" s="380"/>
      <c r="BD517" s="380"/>
      <c r="BE517" s="404"/>
      <c r="BF517" s="380"/>
      <c r="BG517" s="380"/>
      <c r="BH517" s="380"/>
      <c r="BI517" s="380"/>
      <c r="BJ517" s="380"/>
      <c r="BK517" s="380"/>
      <c r="BL517" s="380"/>
      <c r="BM517" s="403"/>
      <c r="BS517" s="83"/>
      <c r="CA517" s="405"/>
      <c r="CG517" s="83"/>
      <c r="CO517" s="405"/>
      <c r="CU517" s="83"/>
      <c r="DC517" s="405"/>
      <c r="DI517" s="83"/>
      <c r="DQ517" s="405"/>
      <c r="DW517" s="83"/>
      <c r="EE517" s="405"/>
      <c r="EK517" s="83"/>
      <c r="ES517" s="405"/>
      <c r="EY517" s="83"/>
      <c r="FG517" s="405"/>
      <c r="FM517" s="83"/>
      <c r="FU517" s="405"/>
      <c r="GA517" s="83"/>
      <c r="GI517" s="405"/>
      <c r="GO517" s="83"/>
      <c r="GW517" s="405"/>
      <c r="HC517" s="83"/>
      <c r="HK517" s="405"/>
      <c r="HQ517" s="83"/>
      <c r="HY517" s="405"/>
      <c r="IE517" s="83"/>
      <c r="IM517" s="405"/>
      <c r="IS517" s="83"/>
      <c r="JA517" s="405"/>
      <c r="JG517" s="83"/>
      <c r="JO517" s="405"/>
      <c r="JU517" s="83"/>
      <c r="KC517" s="405"/>
      <c r="KI517" s="83"/>
      <c r="KQ517" s="405"/>
      <c r="KW517" s="83"/>
      <c r="LE517" s="405"/>
      <c r="LK517" s="83"/>
      <c r="LS517" s="405"/>
      <c r="LY517" s="83"/>
      <c r="MG517" s="405"/>
      <c r="MM517" s="83"/>
      <c r="MU517" s="405"/>
      <c r="NA517" s="83"/>
    </row>
    <row r="518">
      <c r="A518" s="483"/>
      <c r="B518" s="380"/>
      <c r="C518" s="380"/>
      <c r="D518" s="380"/>
      <c r="E518" s="380"/>
      <c r="F518" s="380"/>
      <c r="G518" s="380"/>
      <c r="H518" s="380"/>
      <c r="I518" s="403"/>
      <c r="J518" s="380"/>
      <c r="K518" s="380"/>
      <c r="L518" s="380"/>
      <c r="M518" s="380"/>
      <c r="N518" s="380"/>
      <c r="O518" s="404"/>
      <c r="P518" s="380"/>
      <c r="Q518" s="380"/>
      <c r="R518" s="380"/>
      <c r="S518" s="380"/>
      <c r="T518" s="380"/>
      <c r="U518" s="380"/>
      <c r="V518" s="380"/>
      <c r="W518" s="403"/>
      <c r="X518" s="380"/>
      <c r="Y518" s="380"/>
      <c r="Z518" s="380"/>
      <c r="AA518" s="380"/>
      <c r="AB518" s="380"/>
      <c r="AC518" s="404"/>
      <c r="AD518" s="380"/>
      <c r="AE518" s="380"/>
      <c r="AF518" s="380"/>
      <c r="AG518" s="380"/>
      <c r="AH518" s="380"/>
      <c r="AI518" s="380"/>
      <c r="AJ518" s="380"/>
      <c r="AK518" s="403"/>
      <c r="AL518" s="380"/>
      <c r="AM518" s="380"/>
      <c r="AN518" s="380"/>
      <c r="AO518" s="380"/>
      <c r="AP518" s="380"/>
      <c r="AQ518" s="404"/>
      <c r="AR518" s="380"/>
      <c r="AS518" s="380"/>
      <c r="AT518" s="380"/>
      <c r="AU518" s="380"/>
      <c r="AV518" s="380"/>
      <c r="AW518" s="380"/>
      <c r="AX518" s="380"/>
      <c r="AY518" s="403"/>
      <c r="AZ518" s="380"/>
      <c r="BA518" s="380"/>
      <c r="BB518" s="380"/>
      <c r="BC518" s="380"/>
      <c r="BD518" s="380"/>
      <c r="BE518" s="404"/>
      <c r="BF518" s="380"/>
      <c r="BG518" s="380"/>
      <c r="BH518" s="380"/>
      <c r="BI518" s="380"/>
      <c r="BJ518" s="380"/>
      <c r="BK518" s="380"/>
      <c r="BL518" s="380"/>
      <c r="BM518" s="403"/>
      <c r="BS518" s="83"/>
      <c r="CA518" s="405"/>
      <c r="CG518" s="83"/>
      <c r="CO518" s="405"/>
      <c r="CU518" s="83"/>
      <c r="DC518" s="405"/>
      <c r="DI518" s="83"/>
      <c r="DQ518" s="405"/>
      <c r="DW518" s="83"/>
      <c r="EE518" s="405"/>
      <c r="EK518" s="83"/>
      <c r="ES518" s="405"/>
      <c r="EY518" s="83"/>
      <c r="FG518" s="405"/>
      <c r="FM518" s="83"/>
      <c r="FU518" s="405"/>
      <c r="GA518" s="83"/>
      <c r="GI518" s="405"/>
      <c r="GO518" s="83"/>
      <c r="GW518" s="405"/>
      <c r="HC518" s="83"/>
      <c r="HK518" s="405"/>
      <c r="HQ518" s="83"/>
      <c r="HY518" s="405"/>
      <c r="IE518" s="83"/>
      <c r="IM518" s="405"/>
      <c r="IS518" s="83"/>
      <c r="JA518" s="405"/>
      <c r="JG518" s="83"/>
      <c r="JO518" s="405"/>
      <c r="JU518" s="83"/>
      <c r="KC518" s="405"/>
      <c r="KI518" s="83"/>
      <c r="KQ518" s="405"/>
      <c r="KW518" s="83"/>
      <c r="LE518" s="405"/>
      <c r="LK518" s="83"/>
      <c r="LS518" s="405"/>
      <c r="LY518" s="83"/>
      <c r="MG518" s="405"/>
      <c r="MM518" s="83"/>
      <c r="MU518" s="405"/>
      <c r="NA518" s="83"/>
    </row>
    <row r="519">
      <c r="A519" s="483"/>
      <c r="B519" s="380"/>
      <c r="C519" s="380"/>
      <c r="D519" s="380"/>
      <c r="E519" s="380"/>
      <c r="F519" s="380"/>
      <c r="G519" s="380"/>
      <c r="H519" s="380"/>
      <c r="I519" s="403"/>
      <c r="J519" s="380"/>
      <c r="K519" s="380"/>
      <c r="L519" s="380"/>
      <c r="M519" s="380"/>
      <c r="N519" s="380"/>
      <c r="O519" s="404"/>
      <c r="P519" s="380"/>
      <c r="Q519" s="380"/>
      <c r="R519" s="380"/>
      <c r="S519" s="380"/>
      <c r="T519" s="380"/>
      <c r="U519" s="380"/>
      <c r="V519" s="380"/>
      <c r="W519" s="403"/>
      <c r="X519" s="380"/>
      <c r="Y519" s="380"/>
      <c r="Z519" s="380"/>
      <c r="AA519" s="380"/>
      <c r="AB519" s="380"/>
      <c r="AC519" s="404"/>
      <c r="AD519" s="380"/>
      <c r="AE519" s="380"/>
      <c r="AF519" s="380"/>
      <c r="AG519" s="380"/>
      <c r="AH519" s="380"/>
      <c r="AI519" s="380"/>
      <c r="AJ519" s="380"/>
      <c r="AK519" s="403"/>
      <c r="AL519" s="380"/>
      <c r="AM519" s="380"/>
      <c r="AN519" s="380"/>
      <c r="AO519" s="380"/>
      <c r="AP519" s="380"/>
      <c r="AQ519" s="404"/>
      <c r="AR519" s="380"/>
      <c r="AS519" s="380"/>
      <c r="AT519" s="380"/>
      <c r="AU519" s="380"/>
      <c r="AV519" s="380"/>
      <c r="AW519" s="380"/>
      <c r="AX519" s="380"/>
      <c r="AY519" s="403"/>
      <c r="AZ519" s="380"/>
      <c r="BA519" s="380"/>
      <c r="BB519" s="380"/>
      <c r="BC519" s="380"/>
      <c r="BD519" s="380"/>
      <c r="BE519" s="404"/>
      <c r="BF519" s="380"/>
      <c r="BG519" s="380"/>
      <c r="BH519" s="380"/>
      <c r="BI519" s="380"/>
      <c r="BJ519" s="380"/>
      <c r="BK519" s="380"/>
      <c r="BL519" s="380"/>
      <c r="BM519" s="403"/>
      <c r="BS519" s="83"/>
      <c r="CA519" s="405"/>
      <c r="CG519" s="83"/>
      <c r="CO519" s="405"/>
      <c r="CU519" s="83"/>
      <c r="DC519" s="405"/>
      <c r="DI519" s="83"/>
      <c r="DQ519" s="405"/>
      <c r="DW519" s="83"/>
      <c r="EE519" s="405"/>
      <c r="EK519" s="83"/>
      <c r="ES519" s="405"/>
      <c r="EY519" s="83"/>
      <c r="FG519" s="405"/>
      <c r="FM519" s="83"/>
      <c r="FU519" s="405"/>
      <c r="GA519" s="83"/>
      <c r="GI519" s="405"/>
      <c r="GO519" s="83"/>
      <c r="GW519" s="405"/>
      <c r="HC519" s="83"/>
      <c r="HK519" s="405"/>
      <c r="HQ519" s="83"/>
      <c r="HY519" s="405"/>
      <c r="IE519" s="83"/>
      <c r="IM519" s="405"/>
      <c r="IS519" s="83"/>
      <c r="JA519" s="405"/>
      <c r="JG519" s="83"/>
      <c r="JO519" s="405"/>
      <c r="JU519" s="83"/>
      <c r="KC519" s="405"/>
      <c r="KI519" s="83"/>
      <c r="KQ519" s="405"/>
      <c r="KW519" s="83"/>
      <c r="LE519" s="405"/>
      <c r="LK519" s="83"/>
      <c r="LS519" s="405"/>
      <c r="LY519" s="83"/>
      <c r="MG519" s="405"/>
      <c r="MM519" s="83"/>
      <c r="MU519" s="405"/>
      <c r="NA519" s="83"/>
    </row>
    <row r="520">
      <c r="A520" s="483"/>
      <c r="B520" s="380"/>
      <c r="C520" s="380"/>
      <c r="D520" s="380"/>
      <c r="E520" s="380"/>
      <c r="F520" s="380"/>
      <c r="G520" s="380"/>
      <c r="H520" s="380"/>
      <c r="I520" s="403"/>
      <c r="J520" s="380"/>
      <c r="K520" s="380"/>
      <c r="L520" s="380"/>
      <c r="M520" s="380"/>
      <c r="N520" s="380"/>
      <c r="O520" s="404"/>
      <c r="P520" s="380"/>
      <c r="Q520" s="380"/>
      <c r="R520" s="380"/>
      <c r="S520" s="380"/>
      <c r="T520" s="380"/>
      <c r="U520" s="380"/>
      <c r="V520" s="380"/>
      <c r="W520" s="403"/>
      <c r="X520" s="380"/>
      <c r="Y520" s="380"/>
      <c r="Z520" s="380"/>
      <c r="AA520" s="380"/>
      <c r="AB520" s="380"/>
      <c r="AC520" s="404"/>
      <c r="AD520" s="380"/>
      <c r="AE520" s="380"/>
      <c r="AF520" s="380"/>
      <c r="AG520" s="380"/>
      <c r="AH520" s="380"/>
      <c r="AI520" s="380"/>
      <c r="AJ520" s="380"/>
      <c r="AK520" s="403"/>
      <c r="AL520" s="380"/>
      <c r="AM520" s="380"/>
      <c r="AN520" s="380"/>
      <c r="AO520" s="380"/>
      <c r="AP520" s="380"/>
      <c r="AQ520" s="404"/>
      <c r="AR520" s="380"/>
      <c r="AS520" s="380"/>
      <c r="AT520" s="380"/>
      <c r="AU520" s="380"/>
      <c r="AV520" s="380"/>
      <c r="AW520" s="380"/>
      <c r="AX520" s="380"/>
      <c r="AY520" s="403"/>
      <c r="AZ520" s="380"/>
      <c r="BA520" s="380"/>
      <c r="BB520" s="380"/>
      <c r="BC520" s="380"/>
      <c r="BD520" s="380"/>
      <c r="BE520" s="404"/>
      <c r="BF520" s="380"/>
      <c r="BG520" s="380"/>
      <c r="BH520" s="380"/>
      <c r="BI520" s="380"/>
      <c r="BJ520" s="380"/>
      <c r="BK520" s="380"/>
      <c r="BL520" s="380"/>
      <c r="BM520" s="403"/>
      <c r="BS520" s="83"/>
      <c r="CA520" s="405"/>
      <c r="CG520" s="83"/>
      <c r="CO520" s="405"/>
      <c r="CU520" s="83"/>
      <c r="DC520" s="405"/>
      <c r="DI520" s="83"/>
      <c r="DQ520" s="405"/>
      <c r="DW520" s="83"/>
      <c r="EE520" s="405"/>
      <c r="EK520" s="83"/>
      <c r="ES520" s="405"/>
      <c r="EY520" s="83"/>
      <c r="FG520" s="405"/>
      <c r="FM520" s="83"/>
      <c r="FU520" s="405"/>
      <c r="GA520" s="83"/>
      <c r="GI520" s="405"/>
      <c r="GO520" s="83"/>
      <c r="GW520" s="405"/>
      <c r="HC520" s="83"/>
      <c r="HK520" s="405"/>
      <c r="HQ520" s="83"/>
      <c r="HY520" s="405"/>
      <c r="IE520" s="83"/>
      <c r="IM520" s="405"/>
      <c r="IS520" s="83"/>
      <c r="JA520" s="405"/>
      <c r="JG520" s="83"/>
      <c r="JO520" s="405"/>
      <c r="JU520" s="83"/>
      <c r="KC520" s="405"/>
      <c r="KI520" s="83"/>
      <c r="KQ520" s="405"/>
      <c r="KW520" s="83"/>
      <c r="LE520" s="405"/>
      <c r="LK520" s="83"/>
      <c r="LS520" s="405"/>
      <c r="LY520" s="83"/>
      <c r="MG520" s="405"/>
      <c r="MM520" s="83"/>
      <c r="MU520" s="405"/>
      <c r="NA520" s="83"/>
    </row>
    <row r="521">
      <c r="A521" s="483"/>
      <c r="B521" s="380"/>
      <c r="C521" s="380"/>
      <c r="D521" s="380"/>
      <c r="E521" s="380"/>
      <c r="F521" s="380"/>
      <c r="G521" s="380"/>
      <c r="H521" s="380"/>
      <c r="I521" s="403"/>
      <c r="J521" s="380"/>
      <c r="K521" s="380"/>
      <c r="L521" s="380"/>
      <c r="M521" s="380"/>
      <c r="N521" s="380"/>
      <c r="O521" s="404"/>
      <c r="P521" s="380"/>
      <c r="Q521" s="380"/>
      <c r="R521" s="380"/>
      <c r="S521" s="380"/>
      <c r="T521" s="380"/>
      <c r="U521" s="380"/>
      <c r="V521" s="380"/>
      <c r="W521" s="403"/>
      <c r="X521" s="380"/>
      <c r="Y521" s="380"/>
      <c r="Z521" s="380"/>
      <c r="AA521" s="380"/>
      <c r="AB521" s="380"/>
      <c r="AC521" s="404"/>
      <c r="AD521" s="380"/>
      <c r="AE521" s="380"/>
      <c r="AF521" s="380"/>
      <c r="AG521" s="380"/>
      <c r="AH521" s="380"/>
      <c r="AI521" s="380"/>
      <c r="AJ521" s="380"/>
      <c r="AK521" s="403"/>
      <c r="AL521" s="380"/>
      <c r="AM521" s="380"/>
      <c r="AN521" s="380"/>
      <c r="AO521" s="380"/>
      <c r="AP521" s="380"/>
      <c r="AQ521" s="404"/>
      <c r="AR521" s="380"/>
      <c r="AS521" s="380"/>
      <c r="AT521" s="380"/>
      <c r="AU521" s="380"/>
      <c r="AV521" s="380"/>
      <c r="AW521" s="380"/>
      <c r="AX521" s="380"/>
      <c r="AY521" s="403"/>
      <c r="AZ521" s="380"/>
      <c r="BA521" s="380"/>
      <c r="BB521" s="380"/>
      <c r="BC521" s="380"/>
      <c r="BD521" s="380"/>
      <c r="BE521" s="404"/>
      <c r="BF521" s="380"/>
      <c r="BG521" s="380"/>
      <c r="BH521" s="380"/>
      <c r="BI521" s="380"/>
      <c r="BJ521" s="380"/>
      <c r="BK521" s="380"/>
      <c r="BL521" s="380"/>
      <c r="BM521" s="403"/>
      <c r="BS521" s="83"/>
      <c r="CA521" s="405"/>
      <c r="CG521" s="83"/>
      <c r="CO521" s="405"/>
      <c r="CU521" s="83"/>
      <c r="DC521" s="405"/>
      <c r="DI521" s="83"/>
      <c r="DQ521" s="405"/>
      <c r="DW521" s="83"/>
      <c r="EE521" s="405"/>
      <c r="EK521" s="83"/>
      <c r="ES521" s="405"/>
      <c r="EY521" s="83"/>
      <c r="FG521" s="405"/>
      <c r="FM521" s="83"/>
      <c r="FU521" s="405"/>
      <c r="GA521" s="83"/>
      <c r="GI521" s="405"/>
      <c r="GO521" s="83"/>
      <c r="GW521" s="405"/>
      <c r="HC521" s="83"/>
      <c r="HK521" s="405"/>
      <c r="HQ521" s="83"/>
      <c r="HY521" s="405"/>
      <c r="IE521" s="83"/>
      <c r="IM521" s="405"/>
      <c r="IS521" s="83"/>
      <c r="JA521" s="405"/>
      <c r="JG521" s="83"/>
      <c r="JO521" s="405"/>
      <c r="JU521" s="83"/>
      <c r="KC521" s="405"/>
      <c r="KI521" s="83"/>
      <c r="KQ521" s="405"/>
      <c r="KW521" s="83"/>
      <c r="LE521" s="405"/>
      <c r="LK521" s="83"/>
      <c r="LS521" s="405"/>
      <c r="LY521" s="83"/>
      <c r="MG521" s="405"/>
      <c r="MM521" s="83"/>
      <c r="MU521" s="405"/>
      <c r="NA521" s="83"/>
    </row>
    <row r="522">
      <c r="A522" s="483"/>
      <c r="B522" s="380"/>
      <c r="C522" s="380"/>
      <c r="D522" s="380"/>
      <c r="E522" s="380"/>
      <c r="F522" s="380"/>
      <c r="G522" s="380"/>
      <c r="H522" s="380"/>
      <c r="I522" s="403"/>
      <c r="J522" s="380"/>
      <c r="K522" s="380"/>
      <c r="L522" s="380"/>
      <c r="M522" s="380"/>
      <c r="N522" s="380"/>
      <c r="O522" s="404"/>
      <c r="P522" s="380"/>
      <c r="Q522" s="380"/>
      <c r="R522" s="380"/>
      <c r="S522" s="380"/>
      <c r="T522" s="380"/>
      <c r="U522" s="380"/>
      <c r="V522" s="380"/>
      <c r="W522" s="403"/>
      <c r="X522" s="380"/>
      <c r="Y522" s="380"/>
      <c r="Z522" s="380"/>
      <c r="AA522" s="380"/>
      <c r="AB522" s="380"/>
      <c r="AC522" s="404"/>
      <c r="AD522" s="380"/>
      <c r="AE522" s="380"/>
      <c r="AF522" s="380"/>
      <c r="AG522" s="380"/>
      <c r="AH522" s="380"/>
      <c r="AI522" s="380"/>
      <c r="AJ522" s="380"/>
      <c r="AK522" s="403"/>
      <c r="AL522" s="380"/>
      <c r="AM522" s="380"/>
      <c r="AN522" s="380"/>
      <c r="AO522" s="380"/>
      <c r="AP522" s="380"/>
      <c r="AQ522" s="404"/>
      <c r="AR522" s="380"/>
      <c r="AS522" s="380"/>
      <c r="AT522" s="380"/>
      <c r="AU522" s="380"/>
      <c r="AV522" s="380"/>
      <c r="AW522" s="380"/>
      <c r="AX522" s="380"/>
      <c r="AY522" s="403"/>
      <c r="AZ522" s="380"/>
      <c r="BA522" s="380"/>
      <c r="BB522" s="380"/>
      <c r="BC522" s="380"/>
      <c r="BD522" s="380"/>
      <c r="BE522" s="404"/>
      <c r="BF522" s="380"/>
      <c r="BG522" s="380"/>
      <c r="BH522" s="380"/>
      <c r="BI522" s="380"/>
      <c r="BJ522" s="380"/>
      <c r="BK522" s="380"/>
      <c r="BL522" s="380"/>
      <c r="BM522" s="403"/>
      <c r="BS522" s="83"/>
      <c r="CA522" s="405"/>
      <c r="CG522" s="83"/>
      <c r="CO522" s="405"/>
      <c r="CU522" s="83"/>
      <c r="DC522" s="405"/>
      <c r="DI522" s="83"/>
      <c r="DQ522" s="405"/>
      <c r="DW522" s="83"/>
      <c r="EE522" s="405"/>
      <c r="EK522" s="83"/>
      <c r="ES522" s="405"/>
      <c r="EY522" s="83"/>
      <c r="FG522" s="405"/>
      <c r="FM522" s="83"/>
      <c r="FU522" s="405"/>
      <c r="GA522" s="83"/>
      <c r="GI522" s="405"/>
      <c r="GO522" s="83"/>
      <c r="GW522" s="405"/>
      <c r="HC522" s="83"/>
      <c r="HK522" s="405"/>
      <c r="HQ522" s="83"/>
      <c r="HY522" s="405"/>
      <c r="IE522" s="83"/>
      <c r="IM522" s="405"/>
      <c r="IS522" s="83"/>
      <c r="JA522" s="405"/>
      <c r="JG522" s="83"/>
      <c r="JO522" s="405"/>
      <c r="JU522" s="83"/>
      <c r="KC522" s="405"/>
      <c r="KI522" s="83"/>
      <c r="KQ522" s="405"/>
      <c r="KW522" s="83"/>
      <c r="LE522" s="405"/>
      <c r="LK522" s="83"/>
      <c r="LS522" s="405"/>
      <c r="LY522" s="83"/>
      <c r="MG522" s="405"/>
      <c r="MM522" s="83"/>
      <c r="MU522" s="405"/>
      <c r="NA522" s="83"/>
    </row>
    <row r="523">
      <c r="A523" s="483"/>
      <c r="B523" s="380"/>
      <c r="C523" s="380"/>
      <c r="D523" s="380"/>
      <c r="E523" s="380"/>
      <c r="F523" s="380"/>
      <c r="G523" s="380"/>
      <c r="H523" s="380"/>
      <c r="I523" s="403"/>
      <c r="J523" s="380"/>
      <c r="K523" s="380"/>
      <c r="L523" s="380"/>
      <c r="M523" s="380"/>
      <c r="N523" s="380"/>
      <c r="O523" s="404"/>
      <c r="P523" s="380"/>
      <c r="Q523" s="380"/>
      <c r="R523" s="380"/>
      <c r="S523" s="380"/>
      <c r="T523" s="380"/>
      <c r="U523" s="380"/>
      <c r="V523" s="380"/>
      <c r="W523" s="403"/>
      <c r="X523" s="380"/>
      <c r="Y523" s="380"/>
      <c r="Z523" s="380"/>
      <c r="AA523" s="380"/>
      <c r="AB523" s="380"/>
      <c r="AC523" s="404"/>
      <c r="AD523" s="380"/>
      <c r="AE523" s="380"/>
      <c r="AF523" s="380"/>
      <c r="AG523" s="380"/>
      <c r="AH523" s="380"/>
      <c r="AI523" s="380"/>
      <c r="AJ523" s="380"/>
      <c r="AK523" s="403"/>
      <c r="AL523" s="380"/>
      <c r="AM523" s="380"/>
      <c r="AN523" s="380"/>
      <c r="AO523" s="380"/>
      <c r="AP523" s="380"/>
      <c r="AQ523" s="404"/>
      <c r="AR523" s="380"/>
      <c r="AS523" s="380"/>
      <c r="AT523" s="380"/>
      <c r="AU523" s="380"/>
      <c r="AV523" s="380"/>
      <c r="AW523" s="380"/>
      <c r="AX523" s="380"/>
      <c r="AY523" s="403"/>
      <c r="AZ523" s="380"/>
      <c r="BA523" s="380"/>
      <c r="BB523" s="380"/>
      <c r="BC523" s="380"/>
      <c r="BD523" s="380"/>
      <c r="BE523" s="404"/>
      <c r="BF523" s="380"/>
      <c r="BG523" s="380"/>
      <c r="BH523" s="380"/>
      <c r="BI523" s="380"/>
      <c r="BJ523" s="380"/>
      <c r="BK523" s="380"/>
      <c r="BL523" s="380"/>
      <c r="BM523" s="403"/>
      <c r="BS523" s="83"/>
      <c r="CA523" s="405"/>
      <c r="CG523" s="83"/>
      <c r="CO523" s="405"/>
      <c r="CU523" s="83"/>
      <c r="DC523" s="405"/>
      <c r="DI523" s="83"/>
      <c r="DQ523" s="405"/>
      <c r="DW523" s="83"/>
      <c r="EE523" s="405"/>
      <c r="EK523" s="83"/>
      <c r="ES523" s="405"/>
      <c r="EY523" s="83"/>
      <c r="FG523" s="405"/>
      <c r="FM523" s="83"/>
      <c r="FU523" s="405"/>
      <c r="GA523" s="83"/>
      <c r="GI523" s="405"/>
      <c r="GO523" s="83"/>
      <c r="GW523" s="405"/>
      <c r="HC523" s="83"/>
      <c r="HK523" s="405"/>
      <c r="HQ523" s="83"/>
      <c r="HY523" s="405"/>
      <c r="IE523" s="83"/>
      <c r="IM523" s="405"/>
      <c r="IS523" s="83"/>
      <c r="JA523" s="405"/>
      <c r="JG523" s="83"/>
      <c r="JO523" s="405"/>
      <c r="JU523" s="83"/>
      <c r="KC523" s="405"/>
      <c r="KI523" s="83"/>
      <c r="KQ523" s="405"/>
      <c r="KW523" s="83"/>
      <c r="LE523" s="405"/>
      <c r="LK523" s="83"/>
      <c r="LS523" s="405"/>
      <c r="LY523" s="83"/>
      <c r="MG523" s="405"/>
      <c r="MM523" s="83"/>
      <c r="MU523" s="405"/>
      <c r="NA523" s="83"/>
    </row>
    <row r="524">
      <c r="A524" s="483"/>
      <c r="B524" s="380"/>
      <c r="C524" s="380"/>
      <c r="D524" s="380"/>
      <c r="E524" s="380"/>
      <c r="F524" s="380"/>
      <c r="G524" s="380"/>
      <c r="H524" s="380"/>
      <c r="I524" s="403"/>
      <c r="J524" s="380"/>
      <c r="K524" s="380"/>
      <c r="L524" s="380"/>
      <c r="M524" s="380"/>
      <c r="N524" s="380"/>
      <c r="O524" s="404"/>
      <c r="P524" s="380"/>
      <c r="Q524" s="380"/>
      <c r="R524" s="380"/>
      <c r="S524" s="380"/>
      <c r="T524" s="380"/>
      <c r="U524" s="380"/>
      <c r="V524" s="380"/>
      <c r="W524" s="403"/>
      <c r="X524" s="380"/>
      <c r="Y524" s="380"/>
      <c r="Z524" s="380"/>
      <c r="AA524" s="380"/>
      <c r="AB524" s="380"/>
      <c r="AC524" s="404"/>
      <c r="AD524" s="380"/>
      <c r="AE524" s="380"/>
      <c r="AF524" s="380"/>
      <c r="AG524" s="380"/>
      <c r="AH524" s="380"/>
      <c r="AI524" s="380"/>
      <c r="AJ524" s="380"/>
      <c r="AK524" s="403"/>
      <c r="AL524" s="380"/>
      <c r="AM524" s="380"/>
      <c r="AN524" s="380"/>
      <c r="AO524" s="380"/>
      <c r="AP524" s="380"/>
      <c r="AQ524" s="404"/>
      <c r="AR524" s="380"/>
      <c r="AS524" s="380"/>
      <c r="AT524" s="380"/>
      <c r="AU524" s="380"/>
      <c r="AV524" s="380"/>
      <c r="AW524" s="380"/>
      <c r="AX524" s="380"/>
      <c r="AY524" s="403"/>
      <c r="AZ524" s="380"/>
      <c r="BA524" s="380"/>
      <c r="BB524" s="380"/>
      <c r="BC524" s="380"/>
      <c r="BD524" s="380"/>
      <c r="BE524" s="404"/>
      <c r="BF524" s="380"/>
      <c r="BG524" s="380"/>
      <c r="BH524" s="380"/>
      <c r="BI524" s="380"/>
      <c r="BJ524" s="380"/>
      <c r="BK524" s="380"/>
      <c r="BL524" s="380"/>
      <c r="BM524" s="403"/>
      <c r="BS524" s="83"/>
      <c r="CA524" s="405"/>
      <c r="CG524" s="83"/>
      <c r="CO524" s="405"/>
      <c r="CU524" s="83"/>
      <c r="DC524" s="405"/>
      <c r="DI524" s="83"/>
      <c r="DQ524" s="405"/>
      <c r="DW524" s="83"/>
      <c r="EE524" s="405"/>
      <c r="EK524" s="83"/>
      <c r="ES524" s="405"/>
      <c r="EY524" s="83"/>
      <c r="FG524" s="405"/>
      <c r="FM524" s="83"/>
      <c r="FU524" s="405"/>
      <c r="GA524" s="83"/>
      <c r="GI524" s="405"/>
      <c r="GO524" s="83"/>
      <c r="GW524" s="405"/>
      <c r="HC524" s="83"/>
      <c r="HK524" s="405"/>
      <c r="HQ524" s="83"/>
      <c r="HY524" s="405"/>
      <c r="IE524" s="83"/>
      <c r="IM524" s="405"/>
      <c r="IS524" s="83"/>
      <c r="JA524" s="405"/>
      <c r="JG524" s="83"/>
      <c r="JO524" s="405"/>
      <c r="JU524" s="83"/>
      <c r="KC524" s="405"/>
      <c r="KI524" s="83"/>
      <c r="KQ524" s="405"/>
      <c r="KW524" s="83"/>
      <c r="LE524" s="405"/>
      <c r="LK524" s="83"/>
      <c r="LS524" s="405"/>
      <c r="LY524" s="83"/>
      <c r="MG524" s="405"/>
      <c r="MM524" s="83"/>
      <c r="MU524" s="405"/>
      <c r="NA524" s="83"/>
    </row>
    <row r="525">
      <c r="A525" s="483"/>
      <c r="B525" s="380"/>
      <c r="C525" s="380"/>
      <c r="D525" s="380"/>
      <c r="E525" s="380"/>
      <c r="F525" s="380"/>
      <c r="G525" s="380"/>
      <c r="H525" s="380"/>
      <c r="I525" s="403"/>
      <c r="J525" s="380"/>
      <c r="K525" s="380"/>
      <c r="L525" s="380"/>
      <c r="M525" s="380"/>
      <c r="N525" s="380"/>
      <c r="O525" s="404"/>
      <c r="P525" s="380"/>
      <c r="Q525" s="380"/>
      <c r="R525" s="380"/>
      <c r="S525" s="380"/>
      <c r="T525" s="380"/>
      <c r="U525" s="380"/>
      <c r="V525" s="380"/>
      <c r="W525" s="403"/>
      <c r="X525" s="380"/>
      <c r="Y525" s="380"/>
      <c r="Z525" s="380"/>
      <c r="AA525" s="380"/>
      <c r="AB525" s="380"/>
      <c r="AC525" s="404"/>
      <c r="AD525" s="380"/>
      <c r="AE525" s="380"/>
      <c r="AF525" s="380"/>
      <c r="AG525" s="380"/>
      <c r="AH525" s="380"/>
      <c r="AI525" s="380"/>
      <c r="AJ525" s="380"/>
      <c r="AK525" s="403"/>
      <c r="AL525" s="380"/>
      <c r="AM525" s="380"/>
      <c r="AN525" s="380"/>
      <c r="AO525" s="380"/>
      <c r="AP525" s="380"/>
      <c r="AQ525" s="404"/>
      <c r="AR525" s="380"/>
      <c r="AS525" s="380"/>
      <c r="AT525" s="380"/>
      <c r="AU525" s="380"/>
      <c r="AV525" s="380"/>
      <c r="AW525" s="380"/>
      <c r="AX525" s="380"/>
      <c r="AY525" s="403"/>
      <c r="AZ525" s="380"/>
      <c r="BA525" s="380"/>
      <c r="BB525" s="380"/>
      <c r="BC525" s="380"/>
      <c r="BD525" s="380"/>
      <c r="BE525" s="404"/>
      <c r="BF525" s="380"/>
      <c r="BG525" s="380"/>
      <c r="BH525" s="380"/>
      <c r="BI525" s="380"/>
      <c r="BJ525" s="380"/>
      <c r="BK525" s="380"/>
      <c r="BL525" s="380"/>
      <c r="BM525" s="403"/>
      <c r="BS525" s="83"/>
      <c r="CA525" s="405"/>
      <c r="CG525" s="83"/>
      <c r="CO525" s="405"/>
      <c r="CU525" s="83"/>
      <c r="DC525" s="405"/>
      <c r="DI525" s="83"/>
      <c r="DQ525" s="405"/>
      <c r="DW525" s="83"/>
      <c r="EE525" s="405"/>
      <c r="EK525" s="83"/>
      <c r="ES525" s="405"/>
      <c r="EY525" s="83"/>
      <c r="FG525" s="405"/>
      <c r="FM525" s="83"/>
      <c r="FU525" s="405"/>
      <c r="GA525" s="83"/>
      <c r="GI525" s="405"/>
      <c r="GO525" s="83"/>
      <c r="GW525" s="405"/>
      <c r="HC525" s="83"/>
      <c r="HK525" s="405"/>
      <c r="HQ525" s="83"/>
      <c r="HY525" s="405"/>
      <c r="IE525" s="83"/>
      <c r="IM525" s="405"/>
      <c r="IS525" s="83"/>
      <c r="JA525" s="405"/>
      <c r="JG525" s="83"/>
      <c r="JO525" s="405"/>
      <c r="JU525" s="83"/>
      <c r="KC525" s="405"/>
      <c r="KI525" s="83"/>
      <c r="KQ525" s="405"/>
      <c r="KW525" s="83"/>
      <c r="LE525" s="405"/>
      <c r="LK525" s="83"/>
      <c r="LS525" s="405"/>
      <c r="LY525" s="83"/>
      <c r="MG525" s="405"/>
      <c r="MM525" s="83"/>
      <c r="MU525" s="405"/>
      <c r="NA525" s="83"/>
    </row>
    <row r="526">
      <c r="A526" s="483"/>
      <c r="B526" s="380"/>
      <c r="C526" s="380"/>
      <c r="D526" s="380"/>
      <c r="E526" s="380"/>
      <c r="F526" s="380"/>
      <c r="G526" s="380"/>
      <c r="H526" s="380"/>
      <c r="I526" s="403"/>
      <c r="J526" s="380"/>
      <c r="K526" s="380"/>
      <c r="L526" s="380"/>
      <c r="M526" s="380"/>
      <c r="N526" s="380"/>
      <c r="O526" s="404"/>
      <c r="P526" s="380"/>
      <c r="Q526" s="380"/>
      <c r="R526" s="380"/>
      <c r="S526" s="380"/>
      <c r="T526" s="380"/>
      <c r="U526" s="380"/>
      <c r="V526" s="380"/>
      <c r="W526" s="403"/>
      <c r="X526" s="380"/>
      <c r="Y526" s="380"/>
      <c r="Z526" s="380"/>
      <c r="AA526" s="380"/>
      <c r="AB526" s="380"/>
      <c r="AC526" s="404"/>
      <c r="AD526" s="380"/>
      <c r="AE526" s="380"/>
      <c r="AF526" s="380"/>
      <c r="AG526" s="380"/>
      <c r="AH526" s="380"/>
      <c r="AI526" s="380"/>
      <c r="AJ526" s="380"/>
      <c r="AK526" s="403"/>
      <c r="AL526" s="380"/>
      <c r="AM526" s="380"/>
      <c r="AN526" s="380"/>
      <c r="AO526" s="380"/>
      <c r="AP526" s="380"/>
      <c r="AQ526" s="404"/>
      <c r="AR526" s="380"/>
      <c r="AS526" s="380"/>
      <c r="AT526" s="380"/>
      <c r="AU526" s="380"/>
      <c r="AV526" s="380"/>
      <c r="AW526" s="380"/>
      <c r="AX526" s="380"/>
      <c r="AY526" s="403"/>
      <c r="AZ526" s="380"/>
      <c r="BA526" s="380"/>
      <c r="BB526" s="380"/>
      <c r="BC526" s="380"/>
      <c r="BD526" s="380"/>
      <c r="BE526" s="404"/>
      <c r="BF526" s="380"/>
      <c r="BG526" s="380"/>
      <c r="BH526" s="380"/>
      <c r="BI526" s="380"/>
      <c r="BJ526" s="380"/>
      <c r="BK526" s="380"/>
      <c r="BL526" s="380"/>
      <c r="BM526" s="403"/>
      <c r="BS526" s="83"/>
      <c r="CA526" s="405"/>
      <c r="CG526" s="83"/>
      <c r="CO526" s="405"/>
      <c r="CU526" s="83"/>
      <c r="DC526" s="405"/>
      <c r="DI526" s="83"/>
      <c r="DQ526" s="405"/>
      <c r="DW526" s="83"/>
      <c r="EE526" s="405"/>
      <c r="EK526" s="83"/>
      <c r="ES526" s="405"/>
      <c r="EY526" s="83"/>
      <c r="FG526" s="405"/>
      <c r="FM526" s="83"/>
      <c r="FU526" s="405"/>
      <c r="GA526" s="83"/>
      <c r="GI526" s="405"/>
      <c r="GO526" s="83"/>
      <c r="GW526" s="405"/>
      <c r="HC526" s="83"/>
      <c r="HK526" s="405"/>
      <c r="HQ526" s="83"/>
      <c r="HY526" s="405"/>
      <c r="IE526" s="83"/>
      <c r="IM526" s="405"/>
      <c r="IS526" s="83"/>
      <c r="JA526" s="405"/>
      <c r="JG526" s="83"/>
      <c r="JO526" s="405"/>
      <c r="JU526" s="83"/>
      <c r="KC526" s="405"/>
      <c r="KI526" s="83"/>
      <c r="KQ526" s="405"/>
      <c r="KW526" s="83"/>
      <c r="LE526" s="405"/>
      <c r="LK526" s="83"/>
      <c r="LS526" s="405"/>
      <c r="LY526" s="83"/>
      <c r="MG526" s="405"/>
      <c r="MM526" s="83"/>
      <c r="MU526" s="405"/>
      <c r="NA526" s="83"/>
    </row>
    <row r="527">
      <c r="A527" s="483"/>
      <c r="B527" s="380"/>
      <c r="C527" s="380"/>
      <c r="D527" s="380"/>
      <c r="E527" s="380"/>
      <c r="F527" s="380"/>
      <c r="G527" s="380"/>
      <c r="H527" s="380"/>
      <c r="I527" s="403"/>
      <c r="J527" s="380"/>
      <c r="K527" s="380"/>
      <c r="L527" s="380"/>
      <c r="M527" s="380"/>
      <c r="N527" s="380"/>
      <c r="O527" s="404"/>
      <c r="P527" s="380"/>
      <c r="Q527" s="380"/>
      <c r="R527" s="380"/>
      <c r="S527" s="380"/>
      <c r="T527" s="380"/>
      <c r="U527" s="380"/>
      <c r="V527" s="380"/>
      <c r="W527" s="403"/>
      <c r="X527" s="380"/>
      <c r="Y527" s="380"/>
      <c r="Z527" s="380"/>
      <c r="AA527" s="380"/>
      <c r="AB527" s="380"/>
      <c r="AC527" s="404"/>
      <c r="AD527" s="380"/>
      <c r="AE527" s="380"/>
      <c r="AF527" s="380"/>
      <c r="AG527" s="380"/>
      <c r="AH527" s="380"/>
      <c r="AI527" s="380"/>
      <c r="AJ527" s="380"/>
      <c r="AK527" s="403"/>
      <c r="AL527" s="380"/>
      <c r="AM527" s="380"/>
      <c r="AN527" s="380"/>
      <c r="AO527" s="380"/>
      <c r="AP527" s="380"/>
      <c r="AQ527" s="404"/>
      <c r="AR527" s="380"/>
      <c r="AS527" s="380"/>
      <c r="AT527" s="380"/>
      <c r="AU527" s="380"/>
      <c r="AV527" s="380"/>
      <c r="AW527" s="380"/>
      <c r="AX527" s="380"/>
      <c r="AY527" s="403"/>
      <c r="AZ527" s="380"/>
      <c r="BA527" s="380"/>
      <c r="BB527" s="380"/>
      <c r="BC527" s="380"/>
      <c r="BD527" s="380"/>
      <c r="BE527" s="404"/>
      <c r="BF527" s="380"/>
      <c r="BG527" s="380"/>
      <c r="BH527" s="380"/>
      <c r="BI527" s="380"/>
      <c r="BJ527" s="380"/>
      <c r="BK527" s="380"/>
      <c r="BL527" s="380"/>
      <c r="BM527" s="403"/>
      <c r="BS527" s="83"/>
      <c r="CA527" s="405"/>
      <c r="CG527" s="83"/>
      <c r="CO527" s="405"/>
      <c r="CU527" s="83"/>
      <c r="DC527" s="405"/>
      <c r="DI527" s="83"/>
      <c r="DQ527" s="405"/>
      <c r="DW527" s="83"/>
      <c r="EE527" s="405"/>
      <c r="EK527" s="83"/>
      <c r="ES527" s="405"/>
      <c r="EY527" s="83"/>
      <c r="FG527" s="405"/>
      <c r="FM527" s="83"/>
      <c r="FU527" s="405"/>
      <c r="GA527" s="83"/>
      <c r="GI527" s="405"/>
      <c r="GO527" s="83"/>
      <c r="GW527" s="405"/>
      <c r="HC527" s="83"/>
      <c r="HK527" s="405"/>
      <c r="HQ527" s="83"/>
      <c r="HY527" s="405"/>
      <c r="IE527" s="83"/>
      <c r="IM527" s="405"/>
      <c r="IS527" s="83"/>
      <c r="JA527" s="405"/>
      <c r="JG527" s="83"/>
      <c r="JO527" s="405"/>
      <c r="JU527" s="83"/>
      <c r="KC527" s="405"/>
      <c r="KI527" s="83"/>
      <c r="KQ527" s="405"/>
      <c r="KW527" s="83"/>
      <c r="LE527" s="405"/>
      <c r="LK527" s="83"/>
      <c r="LS527" s="405"/>
      <c r="LY527" s="83"/>
      <c r="MG527" s="405"/>
      <c r="MM527" s="83"/>
      <c r="MU527" s="405"/>
      <c r="NA527" s="83"/>
    </row>
    <row r="528">
      <c r="A528" s="483"/>
      <c r="B528" s="380"/>
      <c r="C528" s="380"/>
      <c r="D528" s="380"/>
      <c r="E528" s="380"/>
      <c r="F528" s="380"/>
      <c r="G528" s="380"/>
      <c r="H528" s="380"/>
      <c r="I528" s="403"/>
      <c r="J528" s="380"/>
      <c r="K528" s="380"/>
      <c r="L528" s="380"/>
      <c r="M528" s="380"/>
      <c r="N528" s="380"/>
      <c r="O528" s="404"/>
      <c r="P528" s="380"/>
      <c r="Q528" s="380"/>
      <c r="R528" s="380"/>
      <c r="S528" s="380"/>
      <c r="T528" s="380"/>
      <c r="U528" s="380"/>
      <c r="V528" s="380"/>
      <c r="W528" s="403"/>
      <c r="X528" s="380"/>
      <c r="Y528" s="380"/>
      <c r="Z528" s="380"/>
      <c r="AA528" s="380"/>
      <c r="AB528" s="380"/>
      <c r="AC528" s="404"/>
      <c r="AD528" s="380"/>
      <c r="AE528" s="380"/>
      <c r="AF528" s="380"/>
      <c r="AG528" s="380"/>
      <c r="AH528" s="380"/>
      <c r="AI528" s="380"/>
      <c r="AJ528" s="380"/>
      <c r="AK528" s="403"/>
      <c r="AL528" s="380"/>
      <c r="AM528" s="380"/>
      <c r="AN528" s="380"/>
      <c r="AO528" s="380"/>
      <c r="AP528" s="380"/>
      <c r="AQ528" s="404"/>
      <c r="AR528" s="380"/>
      <c r="AS528" s="380"/>
      <c r="AT528" s="380"/>
      <c r="AU528" s="380"/>
      <c r="AV528" s="380"/>
      <c r="AW528" s="380"/>
      <c r="AX528" s="380"/>
      <c r="AY528" s="403"/>
      <c r="AZ528" s="380"/>
      <c r="BA528" s="380"/>
      <c r="BB528" s="380"/>
      <c r="BC528" s="380"/>
      <c r="BD528" s="380"/>
      <c r="BE528" s="404"/>
      <c r="BF528" s="380"/>
      <c r="BG528" s="380"/>
      <c r="BH528" s="380"/>
      <c r="BI528" s="380"/>
      <c r="BJ528" s="380"/>
      <c r="BK528" s="380"/>
      <c r="BL528" s="380"/>
      <c r="BM528" s="403"/>
      <c r="BS528" s="83"/>
      <c r="CA528" s="405"/>
      <c r="CG528" s="83"/>
      <c r="CO528" s="405"/>
      <c r="CU528" s="83"/>
      <c r="DC528" s="405"/>
      <c r="DI528" s="83"/>
      <c r="DQ528" s="405"/>
      <c r="DW528" s="83"/>
      <c r="EE528" s="405"/>
      <c r="EK528" s="83"/>
      <c r="ES528" s="405"/>
      <c r="EY528" s="83"/>
      <c r="FG528" s="405"/>
      <c r="FM528" s="83"/>
      <c r="FU528" s="405"/>
      <c r="GA528" s="83"/>
      <c r="GI528" s="405"/>
      <c r="GO528" s="83"/>
      <c r="GW528" s="405"/>
      <c r="HC528" s="83"/>
      <c r="HK528" s="405"/>
      <c r="HQ528" s="83"/>
      <c r="HY528" s="405"/>
      <c r="IE528" s="83"/>
      <c r="IM528" s="405"/>
      <c r="IS528" s="83"/>
      <c r="JA528" s="405"/>
      <c r="JG528" s="83"/>
      <c r="JO528" s="405"/>
      <c r="JU528" s="83"/>
      <c r="KC528" s="405"/>
      <c r="KI528" s="83"/>
      <c r="KQ528" s="405"/>
      <c r="KW528" s="83"/>
      <c r="LE528" s="405"/>
      <c r="LK528" s="83"/>
      <c r="LS528" s="405"/>
      <c r="LY528" s="83"/>
      <c r="MG528" s="405"/>
      <c r="MM528" s="83"/>
      <c r="MU528" s="405"/>
      <c r="NA528" s="83"/>
    </row>
    <row r="529">
      <c r="A529" s="483"/>
      <c r="B529" s="380"/>
      <c r="C529" s="380"/>
      <c r="D529" s="380"/>
      <c r="E529" s="380"/>
      <c r="F529" s="380"/>
      <c r="G529" s="380"/>
      <c r="H529" s="380"/>
      <c r="I529" s="403"/>
      <c r="J529" s="380"/>
      <c r="K529" s="380"/>
      <c r="L529" s="380"/>
      <c r="M529" s="380"/>
      <c r="N529" s="380"/>
      <c r="O529" s="404"/>
      <c r="P529" s="380"/>
      <c r="Q529" s="380"/>
      <c r="R529" s="380"/>
      <c r="S529" s="380"/>
      <c r="T529" s="380"/>
      <c r="U529" s="380"/>
      <c r="V529" s="380"/>
      <c r="W529" s="403"/>
      <c r="X529" s="380"/>
      <c r="Y529" s="380"/>
      <c r="Z529" s="380"/>
      <c r="AA529" s="380"/>
      <c r="AB529" s="380"/>
      <c r="AC529" s="404"/>
      <c r="AD529" s="380"/>
      <c r="AE529" s="380"/>
      <c r="AF529" s="380"/>
      <c r="AG529" s="380"/>
      <c r="AH529" s="380"/>
      <c r="AI529" s="380"/>
      <c r="AJ529" s="380"/>
      <c r="AK529" s="403"/>
      <c r="AL529" s="380"/>
      <c r="AM529" s="380"/>
      <c r="AN529" s="380"/>
      <c r="AO529" s="380"/>
      <c r="AP529" s="380"/>
      <c r="AQ529" s="404"/>
      <c r="AR529" s="380"/>
      <c r="AS529" s="380"/>
      <c r="AT529" s="380"/>
      <c r="AU529" s="380"/>
      <c r="AV529" s="380"/>
      <c r="AW529" s="380"/>
      <c r="AX529" s="380"/>
      <c r="AY529" s="403"/>
      <c r="AZ529" s="380"/>
      <c r="BA529" s="380"/>
      <c r="BB529" s="380"/>
      <c r="BC529" s="380"/>
      <c r="BD529" s="380"/>
      <c r="BE529" s="404"/>
      <c r="BF529" s="380"/>
      <c r="BG529" s="380"/>
      <c r="BH529" s="380"/>
      <c r="BI529" s="380"/>
      <c r="BJ529" s="380"/>
      <c r="BK529" s="380"/>
      <c r="BL529" s="380"/>
      <c r="BM529" s="403"/>
      <c r="BS529" s="83"/>
      <c r="CA529" s="405"/>
      <c r="CG529" s="83"/>
      <c r="CO529" s="405"/>
      <c r="CU529" s="83"/>
      <c r="DC529" s="405"/>
      <c r="DI529" s="83"/>
      <c r="DQ529" s="405"/>
      <c r="DW529" s="83"/>
      <c r="EE529" s="405"/>
      <c r="EK529" s="83"/>
      <c r="ES529" s="405"/>
      <c r="EY529" s="83"/>
      <c r="FG529" s="405"/>
      <c r="FM529" s="83"/>
      <c r="FU529" s="405"/>
      <c r="GA529" s="83"/>
      <c r="GI529" s="405"/>
      <c r="GO529" s="83"/>
      <c r="GW529" s="405"/>
      <c r="HC529" s="83"/>
      <c r="HK529" s="405"/>
      <c r="HQ529" s="83"/>
      <c r="HY529" s="405"/>
      <c r="IE529" s="83"/>
      <c r="IM529" s="405"/>
      <c r="IS529" s="83"/>
      <c r="JA529" s="405"/>
      <c r="JG529" s="83"/>
      <c r="JO529" s="405"/>
      <c r="JU529" s="83"/>
      <c r="KC529" s="405"/>
      <c r="KI529" s="83"/>
      <c r="KQ529" s="405"/>
      <c r="KW529" s="83"/>
      <c r="LE529" s="405"/>
      <c r="LK529" s="83"/>
      <c r="LS529" s="405"/>
      <c r="LY529" s="83"/>
      <c r="MG529" s="405"/>
      <c r="MM529" s="83"/>
      <c r="MU529" s="405"/>
      <c r="NA529" s="83"/>
    </row>
    <row r="530">
      <c r="A530" s="483"/>
      <c r="B530" s="380"/>
      <c r="C530" s="380"/>
      <c r="D530" s="380"/>
      <c r="E530" s="380"/>
      <c r="F530" s="380"/>
      <c r="G530" s="380"/>
      <c r="H530" s="380"/>
      <c r="I530" s="403"/>
      <c r="J530" s="380"/>
      <c r="K530" s="380"/>
      <c r="L530" s="380"/>
      <c r="M530" s="380"/>
      <c r="N530" s="380"/>
      <c r="O530" s="404"/>
      <c r="P530" s="380"/>
      <c r="Q530" s="380"/>
      <c r="R530" s="380"/>
      <c r="S530" s="380"/>
      <c r="T530" s="380"/>
      <c r="U530" s="380"/>
      <c r="V530" s="380"/>
      <c r="W530" s="403"/>
      <c r="X530" s="380"/>
      <c r="Y530" s="380"/>
      <c r="Z530" s="380"/>
      <c r="AA530" s="380"/>
      <c r="AB530" s="380"/>
      <c r="AC530" s="404"/>
      <c r="AD530" s="380"/>
      <c r="AE530" s="380"/>
      <c r="AF530" s="380"/>
      <c r="AG530" s="380"/>
      <c r="AH530" s="380"/>
      <c r="AI530" s="380"/>
      <c r="AJ530" s="380"/>
      <c r="AK530" s="403"/>
      <c r="AL530" s="380"/>
      <c r="AM530" s="380"/>
      <c r="AN530" s="380"/>
      <c r="AO530" s="380"/>
      <c r="AP530" s="380"/>
      <c r="AQ530" s="404"/>
      <c r="AR530" s="380"/>
      <c r="AS530" s="380"/>
      <c r="AT530" s="380"/>
      <c r="AU530" s="380"/>
      <c r="AV530" s="380"/>
      <c r="AW530" s="380"/>
      <c r="AX530" s="380"/>
      <c r="AY530" s="403"/>
      <c r="AZ530" s="380"/>
      <c r="BA530" s="380"/>
      <c r="BB530" s="380"/>
      <c r="BC530" s="380"/>
      <c r="BD530" s="380"/>
      <c r="BE530" s="404"/>
      <c r="BF530" s="380"/>
      <c r="BG530" s="380"/>
      <c r="BH530" s="380"/>
      <c r="BI530" s="380"/>
      <c r="BJ530" s="380"/>
      <c r="BK530" s="380"/>
      <c r="BL530" s="380"/>
      <c r="BM530" s="403"/>
      <c r="BS530" s="83"/>
      <c r="CA530" s="405"/>
      <c r="CG530" s="83"/>
      <c r="CO530" s="405"/>
      <c r="CU530" s="83"/>
      <c r="DC530" s="405"/>
      <c r="DI530" s="83"/>
      <c r="DQ530" s="405"/>
      <c r="DW530" s="83"/>
      <c r="EE530" s="405"/>
      <c r="EK530" s="83"/>
      <c r="ES530" s="405"/>
      <c r="EY530" s="83"/>
      <c r="FG530" s="405"/>
      <c r="FM530" s="83"/>
      <c r="FU530" s="405"/>
      <c r="GA530" s="83"/>
      <c r="GI530" s="405"/>
      <c r="GO530" s="83"/>
      <c r="GW530" s="405"/>
      <c r="HC530" s="83"/>
      <c r="HK530" s="405"/>
      <c r="HQ530" s="83"/>
      <c r="HY530" s="405"/>
      <c r="IE530" s="83"/>
      <c r="IM530" s="405"/>
      <c r="IS530" s="83"/>
      <c r="JA530" s="405"/>
      <c r="JG530" s="83"/>
      <c r="JO530" s="405"/>
      <c r="JU530" s="83"/>
      <c r="KC530" s="405"/>
      <c r="KI530" s="83"/>
      <c r="KQ530" s="405"/>
      <c r="KW530" s="83"/>
      <c r="LE530" s="405"/>
      <c r="LK530" s="83"/>
      <c r="LS530" s="405"/>
      <c r="LY530" s="83"/>
      <c r="MG530" s="405"/>
      <c r="MM530" s="83"/>
      <c r="MU530" s="405"/>
      <c r="NA530" s="83"/>
    </row>
    <row r="531">
      <c r="A531" s="483"/>
      <c r="B531" s="380"/>
      <c r="C531" s="380"/>
      <c r="D531" s="380"/>
      <c r="E531" s="380"/>
      <c r="F531" s="380"/>
      <c r="G531" s="380"/>
      <c r="H531" s="380"/>
      <c r="I531" s="403"/>
      <c r="J531" s="380"/>
      <c r="K531" s="380"/>
      <c r="L531" s="380"/>
      <c r="M531" s="380"/>
      <c r="N531" s="380"/>
      <c r="O531" s="404"/>
      <c r="P531" s="380"/>
      <c r="Q531" s="380"/>
      <c r="R531" s="380"/>
      <c r="S531" s="380"/>
      <c r="T531" s="380"/>
      <c r="U531" s="380"/>
      <c r="V531" s="380"/>
      <c r="W531" s="403"/>
      <c r="X531" s="380"/>
      <c r="Y531" s="380"/>
      <c r="Z531" s="380"/>
      <c r="AA531" s="380"/>
      <c r="AB531" s="380"/>
      <c r="AC531" s="404"/>
      <c r="AD531" s="380"/>
      <c r="AE531" s="380"/>
      <c r="AF531" s="380"/>
      <c r="AG531" s="380"/>
      <c r="AH531" s="380"/>
      <c r="AI531" s="380"/>
      <c r="AJ531" s="380"/>
      <c r="AK531" s="403"/>
      <c r="AL531" s="380"/>
      <c r="AM531" s="380"/>
      <c r="AN531" s="380"/>
      <c r="AO531" s="380"/>
      <c r="AP531" s="380"/>
      <c r="AQ531" s="404"/>
      <c r="AR531" s="380"/>
      <c r="AS531" s="380"/>
      <c r="AT531" s="380"/>
      <c r="AU531" s="380"/>
      <c r="AV531" s="380"/>
      <c r="AW531" s="380"/>
      <c r="AX531" s="380"/>
      <c r="AY531" s="403"/>
      <c r="AZ531" s="380"/>
      <c r="BA531" s="380"/>
      <c r="BB531" s="380"/>
      <c r="BC531" s="380"/>
      <c r="BD531" s="380"/>
      <c r="BE531" s="404"/>
      <c r="BF531" s="380"/>
      <c r="BG531" s="380"/>
      <c r="BH531" s="380"/>
      <c r="BI531" s="380"/>
      <c r="BJ531" s="380"/>
      <c r="BK531" s="380"/>
      <c r="BL531" s="380"/>
      <c r="BM531" s="403"/>
      <c r="BS531" s="83"/>
      <c r="CA531" s="405"/>
      <c r="CG531" s="83"/>
      <c r="CO531" s="405"/>
      <c r="CU531" s="83"/>
      <c r="DC531" s="405"/>
      <c r="DI531" s="83"/>
      <c r="DQ531" s="405"/>
      <c r="DW531" s="83"/>
      <c r="EE531" s="405"/>
      <c r="EK531" s="83"/>
      <c r="ES531" s="405"/>
      <c r="EY531" s="83"/>
      <c r="FG531" s="405"/>
      <c r="FM531" s="83"/>
      <c r="FU531" s="405"/>
      <c r="GA531" s="83"/>
      <c r="GI531" s="405"/>
      <c r="GO531" s="83"/>
      <c r="GW531" s="405"/>
      <c r="HC531" s="83"/>
      <c r="HK531" s="405"/>
      <c r="HQ531" s="83"/>
      <c r="HY531" s="405"/>
      <c r="IE531" s="83"/>
      <c r="IM531" s="405"/>
      <c r="IS531" s="83"/>
      <c r="JA531" s="405"/>
      <c r="JG531" s="83"/>
      <c r="JO531" s="405"/>
      <c r="JU531" s="83"/>
      <c r="KC531" s="405"/>
      <c r="KI531" s="83"/>
      <c r="KQ531" s="405"/>
      <c r="KW531" s="83"/>
      <c r="LE531" s="405"/>
      <c r="LK531" s="83"/>
      <c r="LS531" s="405"/>
      <c r="LY531" s="83"/>
      <c r="MG531" s="405"/>
      <c r="MM531" s="83"/>
      <c r="MU531" s="405"/>
      <c r="NA531" s="83"/>
    </row>
    <row r="532">
      <c r="A532" s="483"/>
      <c r="B532" s="380"/>
      <c r="C532" s="380"/>
      <c r="D532" s="380"/>
      <c r="E532" s="380"/>
      <c r="F532" s="380"/>
      <c r="G532" s="380"/>
      <c r="H532" s="380"/>
      <c r="I532" s="403"/>
      <c r="J532" s="380"/>
      <c r="K532" s="380"/>
      <c r="L532" s="380"/>
      <c r="M532" s="380"/>
      <c r="N532" s="380"/>
      <c r="O532" s="404"/>
      <c r="P532" s="380"/>
      <c r="Q532" s="380"/>
      <c r="R532" s="380"/>
      <c r="S532" s="380"/>
      <c r="T532" s="380"/>
      <c r="U532" s="380"/>
      <c r="V532" s="380"/>
      <c r="W532" s="403"/>
      <c r="X532" s="380"/>
      <c r="Y532" s="380"/>
      <c r="Z532" s="380"/>
      <c r="AA532" s="380"/>
      <c r="AB532" s="380"/>
      <c r="AC532" s="404"/>
      <c r="AD532" s="380"/>
      <c r="AE532" s="380"/>
      <c r="AF532" s="380"/>
      <c r="AG532" s="380"/>
      <c r="AH532" s="380"/>
      <c r="AI532" s="380"/>
      <c r="AJ532" s="380"/>
      <c r="AK532" s="403"/>
      <c r="AL532" s="380"/>
      <c r="AM532" s="380"/>
      <c r="AN532" s="380"/>
      <c r="AO532" s="380"/>
      <c r="AP532" s="380"/>
      <c r="AQ532" s="404"/>
      <c r="AR532" s="380"/>
      <c r="AS532" s="380"/>
      <c r="AT532" s="380"/>
      <c r="AU532" s="380"/>
      <c r="AV532" s="380"/>
      <c r="AW532" s="380"/>
      <c r="AX532" s="380"/>
      <c r="AY532" s="403"/>
      <c r="AZ532" s="380"/>
      <c r="BA532" s="380"/>
      <c r="BB532" s="380"/>
      <c r="BC532" s="380"/>
      <c r="BD532" s="380"/>
      <c r="BE532" s="404"/>
      <c r="BF532" s="380"/>
      <c r="BG532" s="380"/>
      <c r="BH532" s="380"/>
      <c r="BI532" s="380"/>
      <c r="BJ532" s="380"/>
      <c r="BK532" s="380"/>
      <c r="BL532" s="380"/>
      <c r="BM532" s="403"/>
      <c r="BS532" s="83"/>
      <c r="CA532" s="405"/>
      <c r="CG532" s="83"/>
      <c r="CO532" s="405"/>
      <c r="CU532" s="83"/>
      <c r="DC532" s="405"/>
      <c r="DI532" s="83"/>
      <c r="DQ532" s="405"/>
      <c r="DW532" s="83"/>
      <c r="EE532" s="405"/>
      <c r="EK532" s="83"/>
      <c r="ES532" s="405"/>
      <c r="EY532" s="83"/>
      <c r="FG532" s="405"/>
      <c r="FM532" s="83"/>
      <c r="FU532" s="405"/>
      <c r="GA532" s="83"/>
      <c r="GI532" s="405"/>
      <c r="GO532" s="83"/>
      <c r="GW532" s="405"/>
      <c r="HC532" s="83"/>
      <c r="HK532" s="405"/>
      <c r="HQ532" s="83"/>
      <c r="HY532" s="405"/>
      <c r="IE532" s="83"/>
      <c r="IM532" s="405"/>
      <c r="IS532" s="83"/>
      <c r="JA532" s="405"/>
      <c r="JG532" s="83"/>
      <c r="JO532" s="405"/>
      <c r="JU532" s="83"/>
      <c r="KC532" s="405"/>
      <c r="KI532" s="83"/>
      <c r="KQ532" s="405"/>
      <c r="KW532" s="83"/>
      <c r="LE532" s="405"/>
      <c r="LK532" s="83"/>
      <c r="LS532" s="405"/>
      <c r="LY532" s="83"/>
      <c r="MG532" s="405"/>
      <c r="MM532" s="83"/>
      <c r="MU532" s="405"/>
      <c r="NA532" s="83"/>
    </row>
    <row r="533">
      <c r="A533" s="483"/>
      <c r="B533" s="380"/>
      <c r="C533" s="380"/>
      <c r="D533" s="380"/>
      <c r="E533" s="380"/>
      <c r="F533" s="380"/>
      <c r="G533" s="380"/>
      <c r="H533" s="380"/>
      <c r="I533" s="403"/>
      <c r="J533" s="380"/>
      <c r="K533" s="380"/>
      <c r="L533" s="380"/>
      <c r="M533" s="380"/>
      <c r="N533" s="380"/>
      <c r="O533" s="404"/>
      <c r="P533" s="380"/>
      <c r="Q533" s="380"/>
      <c r="R533" s="380"/>
      <c r="S533" s="380"/>
      <c r="T533" s="380"/>
      <c r="U533" s="380"/>
      <c r="V533" s="380"/>
      <c r="W533" s="403"/>
      <c r="X533" s="380"/>
      <c r="Y533" s="380"/>
      <c r="Z533" s="380"/>
      <c r="AA533" s="380"/>
      <c r="AB533" s="380"/>
      <c r="AC533" s="404"/>
      <c r="AD533" s="380"/>
      <c r="AE533" s="380"/>
      <c r="AF533" s="380"/>
      <c r="AG533" s="380"/>
      <c r="AH533" s="380"/>
      <c r="AI533" s="380"/>
      <c r="AJ533" s="380"/>
      <c r="AK533" s="403"/>
      <c r="AL533" s="380"/>
      <c r="AM533" s="380"/>
      <c r="AN533" s="380"/>
      <c r="AO533" s="380"/>
      <c r="AP533" s="380"/>
      <c r="AQ533" s="404"/>
      <c r="AR533" s="380"/>
      <c r="AS533" s="380"/>
      <c r="AT533" s="380"/>
      <c r="AU533" s="380"/>
      <c r="AV533" s="380"/>
      <c r="AW533" s="380"/>
      <c r="AX533" s="380"/>
      <c r="AY533" s="403"/>
      <c r="AZ533" s="380"/>
      <c r="BA533" s="380"/>
      <c r="BB533" s="380"/>
      <c r="BC533" s="380"/>
      <c r="BD533" s="380"/>
      <c r="BE533" s="404"/>
      <c r="BF533" s="380"/>
      <c r="BG533" s="380"/>
      <c r="BH533" s="380"/>
      <c r="BI533" s="380"/>
      <c r="BJ533" s="380"/>
      <c r="BK533" s="380"/>
      <c r="BL533" s="380"/>
      <c r="BM533" s="403"/>
      <c r="BS533" s="83"/>
      <c r="CA533" s="405"/>
      <c r="CG533" s="83"/>
      <c r="CO533" s="405"/>
      <c r="CU533" s="83"/>
      <c r="DC533" s="405"/>
      <c r="DI533" s="83"/>
      <c r="DQ533" s="405"/>
      <c r="DW533" s="83"/>
      <c r="EE533" s="405"/>
      <c r="EK533" s="83"/>
      <c r="ES533" s="405"/>
      <c r="EY533" s="83"/>
      <c r="FG533" s="405"/>
      <c r="FM533" s="83"/>
      <c r="FU533" s="405"/>
      <c r="GA533" s="83"/>
      <c r="GI533" s="405"/>
      <c r="GO533" s="83"/>
      <c r="GW533" s="405"/>
      <c r="HC533" s="83"/>
      <c r="HK533" s="405"/>
      <c r="HQ533" s="83"/>
      <c r="HY533" s="405"/>
      <c r="IE533" s="83"/>
      <c r="IM533" s="405"/>
      <c r="IS533" s="83"/>
      <c r="JA533" s="405"/>
      <c r="JG533" s="83"/>
      <c r="JO533" s="405"/>
      <c r="JU533" s="83"/>
      <c r="KC533" s="405"/>
      <c r="KI533" s="83"/>
      <c r="KQ533" s="405"/>
      <c r="KW533" s="83"/>
      <c r="LE533" s="405"/>
      <c r="LK533" s="83"/>
      <c r="LS533" s="405"/>
      <c r="LY533" s="83"/>
      <c r="MG533" s="405"/>
      <c r="MM533" s="83"/>
      <c r="MU533" s="405"/>
      <c r="NA533" s="83"/>
    </row>
    <row r="534">
      <c r="A534" s="483"/>
      <c r="B534" s="380"/>
      <c r="C534" s="380"/>
      <c r="D534" s="380"/>
      <c r="E534" s="380"/>
      <c r="F534" s="380"/>
      <c r="G534" s="380"/>
      <c r="H534" s="380"/>
      <c r="I534" s="403"/>
      <c r="J534" s="380"/>
      <c r="K534" s="380"/>
      <c r="L534" s="380"/>
      <c r="M534" s="380"/>
      <c r="N534" s="380"/>
      <c r="O534" s="404"/>
      <c r="P534" s="380"/>
      <c r="Q534" s="380"/>
      <c r="R534" s="380"/>
      <c r="S534" s="380"/>
      <c r="T534" s="380"/>
      <c r="U534" s="380"/>
      <c r="V534" s="380"/>
      <c r="W534" s="403"/>
      <c r="X534" s="380"/>
      <c r="Y534" s="380"/>
      <c r="Z534" s="380"/>
      <c r="AA534" s="380"/>
      <c r="AB534" s="380"/>
      <c r="AC534" s="404"/>
      <c r="AD534" s="380"/>
      <c r="AE534" s="380"/>
      <c r="AF534" s="380"/>
      <c r="AG534" s="380"/>
      <c r="AH534" s="380"/>
      <c r="AI534" s="380"/>
      <c r="AJ534" s="380"/>
      <c r="AK534" s="403"/>
      <c r="AL534" s="380"/>
      <c r="AM534" s="380"/>
      <c r="AN534" s="380"/>
      <c r="AO534" s="380"/>
      <c r="AP534" s="380"/>
      <c r="AQ534" s="404"/>
      <c r="AR534" s="380"/>
      <c r="AS534" s="380"/>
      <c r="AT534" s="380"/>
      <c r="AU534" s="380"/>
      <c r="AV534" s="380"/>
      <c r="AW534" s="380"/>
      <c r="AX534" s="380"/>
      <c r="AY534" s="403"/>
      <c r="AZ534" s="380"/>
      <c r="BA534" s="380"/>
      <c r="BB534" s="380"/>
      <c r="BC534" s="380"/>
      <c r="BD534" s="380"/>
      <c r="BE534" s="404"/>
      <c r="BF534" s="380"/>
      <c r="BG534" s="380"/>
      <c r="BH534" s="380"/>
      <c r="BI534" s="380"/>
      <c r="BJ534" s="380"/>
      <c r="BK534" s="380"/>
      <c r="BL534" s="380"/>
      <c r="BM534" s="403"/>
      <c r="BS534" s="83"/>
      <c r="CA534" s="405"/>
      <c r="CG534" s="83"/>
      <c r="CO534" s="405"/>
      <c r="CU534" s="83"/>
      <c r="DC534" s="405"/>
      <c r="DI534" s="83"/>
      <c r="DQ534" s="405"/>
      <c r="DW534" s="83"/>
      <c r="EE534" s="405"/>
      <c r="EK534" s="83"/>
      <c r="ES534" s="405"/>
      <c r="EY534" s="83"/>
      <c r="FG534" s="405"/>
      <c r="FM534" s="83"/>
      <c r="FU534" s="405"/>
      <c r="GA534" s="83"/>
      <c r="GI534" s="405"/>
      <c r="GO534" s="83"/>
      <c r="GW534" s="405"/>
      <c r="HC534" s="83"/>
      <c r="HK534" s="405"/>
      <c r="HQ534" s="83"/>
      <c r="HY534" s="405"/>
      <c r="IE534" s="83"/>
      <c r="IM534" s="405"/>
      <c r="IS534" s="83"/>
      <c r="JA534" s="405"/>
      <c r="JG534" s="83"/>
      <c r="JO534" s="405"/>
      <c r="JU534" s="83"/>
      <c r="KC534" s="405"/>
      <c r="KI534" s="83"/>
      <c r="KQ534" s="405"/>
      <c r="KW534" s="83"/>
      <c r="LE534" s="405"/>
      <c r="LK534" s="83"/>
      <c r="LS534" s="405"/>
      <c r="LY534" s="83"/>
      <c r="MG534" s="405"/>
      <c r="MM534" s="83"/>
      <c r="MU534" s="405"/>
      <c r="NA534" s="83"/>
    </row>
    <row r="535">
      <c r="A535" s="483"/>
      <c r="B535" s="380"/>
      <c r="C535" s="380"/>
      <c r="D535" s="380"/>
      <c r="E535" s="380"/>
      <c r="F535" s="380"/>
      <c r="G535" s="380"/>
      <c r="H535" s="380"/>
      <c r="I535" s="403"/>
      <c r="J535" s="380"/>
      <c r="K535" s="380"/>
      <c r="L535" s="380"/>
      <c r="M535" s="380"/>
      <c r="N535" s="380"/>
      <c r="O535" s="404"/>
      <c r="P535" s="380"/>
      <c r="Q535" s="380"/>
      <c r="R535" s="380"/>
      <c r="S535" s="380"/>
      <c r="T535" s="380"/>
      <c r="U535" s="380"/>
      <c r="V535" s="380"/>
      <c r="W535" s="403"/>
      <c r="X535" s="380"/>
      <c r="Y535" s="380"/>
      <c r="Z535" s="380"/>
      <c r="AA535" s="380"/>
      <c r="AB535" s="380"/>
      <c r="AC535" s="404"/>
      <c r="AD535" s="380"/>
      <c r="AE535" s="380"/>
      <c r="AF535" s="380"/>
      <c r="AG535" s="380"/>
      <c r="AH535" s="380"/>
      <c r="AI535" s="380"/>
      <c r="AJ535" s="380"/>
      <c r="AK535" s="403"/>
      <c r="AL535" s="380"/>
      <c r="AM535" s="380"/>
      <c r="AN535" s="380"/>
      <c r="AO535" s="380"/>
      <c r="AP535" s="380"/>
      <c r="AQ535" s="404"/>
      <c r="AR535" s="380"/>
      <c r="AS535" s="380"/>
      <c r="AT535" s="380"/>
      <c r="AU535" s="380"/>
      <c r="AV535" s="380"/>
      <c r="AW535" s="380"/>
      <c r="AX535" s="380"/>
      <c r="AY535" s="403"/>
      <c r="AZ535" s="380"/>
      <c r="BA535" s="380"/>
      <c r="BB535" s="380"/>
      <c r="BC535" s="380"/>
      <c r="BD535" s="380"/>
      <c r="BE535" s="404"/>
      <c r="BF535" s="380"/>
      <c r="BG535" s="380"/>
      <c r="BH535" s="380"/>
      <c r="BI535" s="380"/>
      <c r="BJ535" s="380"/>
      <c r="BK535" s="380"/>
      <c r="BL535" s="380"/>
      <c r="BM535" s="403"/>
      <c r="BS535" s="83"/>
      <c r="CA535" s="405"/>
      <c r="CG535" s="83"/>
      <c r="CO535" s="405"/>
      <c r="CU535" s="83"/>
      <c r="DC535" s="405"/>
      <c r="DI535" s="83"/>
      <c r="DQ535" s="405"/>
      <c r="DW535" s="83"/>
      <c r="EE535" s="405"/>
      <c r="EK535" s="83"/>
      <c r="ES535" s="405"/>
      <c r="EY535" s="83"/>
      <c r="FG535" s="405"/>
      <c r="FM535" s="83"/>
      <c r="FU535" s="405"/>
      <c r="GA535" s="83"/>
      <c r="GI535" s="405"/>
      <c r="GO535" s="83"/>
      <c r="GW535" s="405"/>
      <c r="HC535" s="83"/>
      <c r="HK535" s="405"/>
      <c r="HQ535" s="83"/>
      <c r="HY535" s="405"/>
      <c r="IE535" s="83"/>
      <c r="IM535" s="405"/>
      <c r="IS535" s="83"/>
      <c r="JA535" s="405"/>
      <c r="JG535" s="83"/>
      <c r="JO535" s="405"/>
      <c r="JU535" s="83"/>
      <c r="KC535" s="405"/>
      <c r="KI535" s="83"/>
      <c r="KQ535" s="405"/>
      <c r="KW535" s="83"/>
      <c r="LE535" s="405"/>
      <c r="LK535" s="83"/>
      <c r="LS535" s="405"/>
      <c r="LY535" s="83"/>
      <c r="MG535" s="405"/>
      <c r="MM535" s="83"/>
      <c r="MU535" s="405"/>
      <c r="NA535" s="83"/>
    </row>
    <row r="536">
      <c r="A536" s="483"/>
      <c r="B536" s="380"/>
      <c r="C536" s="380"/>
      <c r="D536" s="380"/>
      <c r="E536" s="380"/>
      <c r="F536" s="380"/>
      <c r="G536" s="380"/>
      <c r="H536" s="380"/>
      <c r="I536" s="403"/>
      <c r="J536" s="380"/>
      <c r="K536" s="380"/>
      <c r="L536" s="380"/>
      <c r="M536" s="380"/>
      <c r="N536" s="380"/>
      <c r="O536" s="404"/>
      <c r="P536" s="380"/>
      <c r="Q536" s="380"/>
      <c r="R536" s="380"/>
      <c r="S536" s="380"/>
      <c r="T536" s="380"/>
      <c r="U536" s="380"/>
      <c r="V536" s="380"/>
      <c r="W536" s="403"/>
      <c r="X536" s="380"/>
      <c r="Y536" s="380"/>
      <c r="Z536" s="380"/>
      <c r="AA536" s="380"/>
      <c r="AB536" s="380"/>
      <c r="AC536" s="404"/>
      <c r="AD536" s="380"/>
      <c r="AE536" s="380"/>
      <c r="AF536" s="380"/>
      <c r="AG536" s="380"/>
      <c r="AH536" s="380"/>
      <c r="AI536" s="380"/>
      <c r="AJ536" s="380"/>
      <c r="AK536" s="403"/>
      <c r="AL536" s="380"/>
      <c r="AM536" s="380"/>
      <c r="AN536" s="380"/>
      <c r="AO536" s="380"/>
      <c r="AP536" s="380"/>
      <c r="AQ536" s="404"/>
      <c r="AR536" s="380"/>
      <c r="AS536" s="380"/>
      <c r="AT536" s="380"/>
      <c r="AU536" s="380"/>
      <c r="AV536" s="380"/>
      <c r="AW536" s="380"/>
      <c r="AX536" s="380"/>
      <c r="AY536" s="403"/>
      <c r="AZ536" s="380"/>
      <c r="BA536" s="380"/>
      <c r="BB536" s="380"/>
      <c r="BC536" s="380"/>
      <c r="BD536" s="380"/>
      <c r="BE536" s="404"/>
      <c r="BF536" s="380"/>
      <c r="BG536" s="380"/>
      <c r="BH536" s="380"/>
      <c r="BI536" s="380"/>
      <c r="BJ536" s="380"/>
      <c r="BK536" s="380"/>
      <c r="BL536" s="380"/>
      <c r="BM536" s="403"/>
      <c r="BS536" s="83"/>
      <c r="CA536" s="405"/>
      <c r="CG536" s="83"/>
      <c r="CO536" s="405"/>
      <c r="CU536" s="83"/>
      <c r="DC536" s="405"/>
      <c r="DI536" s="83"/>
      <c r="DQ536" s="405"/>
      <c r="DW536" s="83"/>
      <c r="EE536" s="405"/>
      <c r="EK536" s="83"/>
      <c r="ES536" s="405"/>
      <c r="EY536" s="83"/>
      <c r="FG536" s="405"/>
      <c r="FM536" s="83"/>
      <c r="FU536" s="405"/>
      <c r="GA536" s="83"/>
      <c r="GI536" s="405"/>
      <c r="GO536" s="83"/>
      <c r="GW536" s="405"/>
      <c r="HC536" s="83"/>
      <c r="HK536" s="405"/>
      <c r="HQ536" s="83"/>
      <c r="HY536" s="405"/>
      <c r="IE536" s="83"/>
      <c r="IM536" s="405"/>
      <c r="IS536" s="83"/>
      <c r="JA536" s="405"/>
      <c r="JG536" s="83"/>
      <c r="JO536" s="405"/>
      <c r="JU536" s="83"/>
      <c r="KC536" s="405"/>
      <c r="KI536" s="83"/>
      <c r="KQ536" s="405"/>
      <c r="KW536" s="83"/>
      <c r="LE536" s="405"/>
      <c r="LK536" s="83"/>
      <c r="LS536" s="405"/>
      <c r="LY536" s="83"/>
      <c r="MG536" s="405"/>
      <c r="MM536" s="83"/>
      <c r="MU536" s="405"/>
      <c r="NA536" s="83"/>
    </row>
    <row r="537">
      <c r="A537" s="483"/>
      <c r="B537" s="380"/>
      <c r="C537" s="380"/>
      <c r="D537" s="380"/>
      <c r="E537" s="380"/>
      <c r="F537" s="380"/>
      <c r="G537" s="380"/>
      <c r="H537" s="380"/>
      <c r="I537" s="403"/>
      <c r="J537" s="380"/>
      <c r="K537" s="380"/>
      <c r="L537" s="380"/>
      <c r="M537" s="380"/>
      <c r="N537" s="380"/>
      <c r="O537" s="404"/>
      <c r="P537" s="380"/>
      <c r="Q537" s="380"/>
      <c r="R537" s="380"/>
      <c r="S537" s="380"/>
      <c r="T537" s="380"/>
      <c r="U537" s="380"/>
      <c r="V537" s="380"/>
      <c r="W537" s="403"/>
      <c r="X537" s="380"/>
      <c r="Y537" s="380"/>
      <c r="Z537" s="380"/>
      <c r="AA537" s="380"/>
      <c r="AB537" s="380"/>
      <c r="AC537" s="404"/>
      <c r="AD537" s="380"/>
      <c r="AE537" s="380"/>
      <c r="AF537" s="380"/>
      <c r="AG537" s="380"/>
      <c r="AH537" s="380"/>
      <c r="AI537" s="380"/>
      <c r="AJ537" s="380"/>
      <c r="AK537" s="403"/>
      <c r="AL537" s="380"/>
      <c r="AM537" s="380"/>
      <c r="AN537" s="380"/>
      <c r="AO537" s="380"/>
      <c r="AP537" s="380"/>
      <c r="AQ537" s="404"/>
      <c r="AR537" s="380"/>
      <c r="AS537" s="380"/>
      <c r="AT537" s="380"/>
      <c r="AU537" s="380"/>
      <c r="AV537" s="380"/>
      <c r="AW537" s="380"/>
      <c r="AX537" s="380"/>
      <c r="AY537" s="403"/>
      <c r="AZ537" s="380"/>
      <c r="BA537" s="380"/>
      <c r="BB537" s="380"/>
      <c r="BC537" s="380"/>
      <c r="BD537" s="380"/>
      <c r="BE537" s="404"/>
      <c r="BF537" s="380"/>
      <c r="BG537" s="380"/>
      <c r="BH537" s="380"/>
      <c r="BI537" s="380"/>
      <c r="BJ537" s="380"/>
      <c r="BK537" s="380"/>
      <c r="BL537" s="380"/>
      <c r="BM537" s="403"/>
      <c r="BS537" s="83"/>
      <c r="CA537" s="405"/>
      <c r="CG537" s="83"/>
      <c r="CO537" s="405"/>
      <c r="CU537" s="83"/>
      <c r="DC537" s="405"/>
      <c r="DI537" s="83"/>
      <c r="DQ537" s="405"/>
      <c r="DW537" s="83"/>
      <c r="EE537" s="405"/>
      <c r="EK537" s="83"/>
      <c r="ES537" s="405"/>
      <c r="EY537" s="83"/>
      <c r="FG537" s="405"/>
      <c r="FM537" s="83"/>
      <c r="FU537" s="405"/>
      <c r="GA537" s="83"/>
      <c r="GI537" s="405"/>
      <c r="GO537" s="83"/>
      <c r="GW537" s="405"/>
      <c r="HC537" s="83"/>
      <c r="HK537" s="405"/>
      <c r="HQ537" s="83"/>
      <c r="HY537" s="405"/>
      <c r="IE537" s="83"/>
      <c r="IM537" s="405"/>
      <c r="IS537" s="83"/>
      <c r="JA537" s="405"/>
      <c r="JG537" s="83"/>
      <c r="JO537" s="405"/>
      <c r="JU537" s="83"/>
      <c r="KC537" s="405"/>
      <c r="KI537" s="83"/>
      <c r="KQ537" s="405"/>
      <c r="KW537" s="83"/>
      <c r="LE537" s="405"/>
      <c r="LK537" s="83"/>
      <c r="LS537" s="405"/>
      <c r="LY537" s="83"/>
      <c r="MG537" s="405"/>
      <c r="MM537" s="83"/>
      <c r="MU537" s="405"/>
      <c r="NA537" s="83"/>
    </row>
    <row r="538">
      <c r="A538" s="483"/>
      <c r="B538" s="380"/>
      <c r="C538" s="380"/>
      <c r="D538" s="380"/>
      <c r="E538" s="380"/>
      <c r="F538" s="380"/>
      <c r="G538" s="380"/>
      <c r="H538" s="380"/>
      <c r="I538" s="403"/>
      <c r="J538" s="380"/>
      <c r="K538" s="380"/>
      <c r="L538" s="380"/>
      <c r="M538" s="380"/>
      <c r="N538" s="380"/>
      <c r="O538" s="404"/>
      <c r="P538" s="380"/>
      <c r="Q538" s="380"/>
      <c r="R538" s="380"/>
      <c r="S538" s="380"/>
      <c r="T538" s="380"/>
      <c r="U538" s="380"/>
      <c r="V538" s="380"/>
      <c r="W538" s="403"/>
      <c r="X538" s="380"/>
      <c r="Y538" s="380"/>
      <c r="Z538" s="380"/>
      <c r="AA538" s="380"/>
      <c r="AB538" s="380"/>
      <c r="AC538" s="404"/>
      <c r="AD538" s="380"/>
      <c r="AE538" s="380"/>
      <c r="AF538" s="380"/>
      <c r="AG538" s="380"/>
      <c r="AH538" s="380"/>
      <c r="AI538" s="380"/>
      <c r="AJ538" s="380"/>
      <c r="AK538" s="403"/>
      <c r="AL538" s="380"/>
      <c r="AM538" s="380"/>
      <c r="AN538" s="380"/>
      <c r="AO538" s="380"/>
      <c r="AP538" s="380"/>
      <c r="AQ538" s="404"/>
      <c r="AR538" s="380"/>
      <c r="AS538" s="380"/>
      <c r="AT538" s="380"/>
      <c r="AU538" s="380"/>
      <c r="AV538" s="380"/>
      <c r="AW538" s="380"/>
      <c r="AX538" s="380"/>
      <c r="AY538" s="403"/>
      <c r="AZ538" s="380"/>
      <c r="BA538" s="380"/>
      <c r="BB538" s="380"/>
      <c r="BC538" s="380"/>
      <c r="BD538" s="380"/>
      <c r="BE538" s="404"/>
      <c r="BF538" s="380"/>
      <c r="BG538" s="380"/>
      <c r="BH538" s="380"/>
      <c r="BI538" s="380"/>
      <c r="BJ538" s="380"/>
      <c r="BK538" s="380"/>
      <c r="BL538" s="380"/>
      <c r="BM538" s="403"/>
      <c r="BS538" s="83"/>
      <c r="CA538" s="405"/>
      <c r="CG538" s="83"/>
      <c r="CO538" s="405"/>
      <c r="CU538" s="83"/>
      <c r="DC538" s="405"/>
      <c r="DI538" s="83"/>
      <c r="DQ538" s="405"/>
      <c r="DW538" s="83"/>
      <c r="EE538" s="405"/>
      <c r="EK538" s="83"/>
      <c r="ES538" s="405"/>
      <c r="EY538" s="83"/>
      <c r="FG538" s="405"/>
      <c r="FM538" s="83"/>
      <c r="FU538" s="405"/>
      <c r="GA538" s="83"/>
      <c r="GI538" s="405"/>
      <c r="GO538" s="83"/>
      <c r="GW538" s="405"/>
      <c r="HC538" s="83"/>
      <c r="HK538" s="405"/>
      <c r="HQ538" s="83"/>
      <c r="HY538" s="405"/>
      <c r="IE538" s="83"/>
      <c r="IM538" s="405"/>
      <c r="IS538" s="83"/>
      <c r="JA538" s="405"/>
      <c r="JG538" s="83"/>
      <c r="JO538" s="405"/>
      <c r="JU538" s="83"/>
      <c r="KC538" s="405"/>
      <c r="KI538" s="83"/>
      <c r="KQ538" s="405"/>
      <c r="KW538" s="83"/>
      <c r="LE538" s="405"/>
      <c r="LK538" s="83"/>
      <c r="LS538" s="405"/>
      <c r="LY538" s="83"/>
      <c r="MG538" s="405"/>
      <c r="MM538" s="83"/>
      <c r="MU538" s="405"/>
      <c r="NA538" s="83"/>
    </row>
    <row r="539">
      <c r="A539" s="483"/>
      <c r="B539" s="380"/>
      <c r="C539" s="380"/>
      <c r="D539" s="380"/>
      <c r="E539" s="380"/>
      <c r="F539" s="380"/>
      <c r="G539" s="380"/>
      <c r="H539" s="380"/>
      <c r="I539" s="403"/>
      <c r="J539" s="380"/>
      <c r="K539" s="380"/>
      <c r="L539" s="380"/>
      <c r="M539" s="380"/>
      <c r="N539" s="380"/>
      <c r="O539" s="404"/>
      <c r="P539" s="380"/>
      <c r="Q539" s="380"/>
      <c r="R539" s="380"/>
      <c r="S539" s="380"/>
      <c r="T539" s="380"/>
      <c r="U539" s="380"/>
      <c r="V539" s="380"/>
      <c r="W539" s="403"/>
      <c r="X539" s="380"/>
      <c r="Y539" s="380"/>
      <c r="Z539" s="380"/>
      <c r="AA539" s="380"/>
      <c r="AB539" s="380"/>
      <c r="AC539" s="404"/>
      <c r="AD539" s="380"/>
      <c r="AE539" s="380"/>
      <c r="AF539" s="380"/>
      <c r="AG539" s="380"/>
      <c r="AH539" s="380"/>
      <c r="AI539" s="380"/>
      <c r="AJ539" s="380"/>
      <c r="AK539" s="403"/>
      <c r="AL539" s="380"/>
      <c r="AM539" s="380"/>
      <c r="AN539" s="380"/>
      <c r="AO539" s="380"/>
      <c r="AP539" s="380"/>
      <c r="AQ539" s="404"/>
      <c r="AR539" s="380"/>
      <c r="AS539" s="380"/>
      <c r="AT539" s="380"/>
      <c r="AU539" s="380"/>
      <c r="AV539" s="380"/>
      <c r="AW539" s="380"/>
      <c r="AX539" s="380"/>
      <c r="AY539" s="403"/>
      <c r="AZ539" s="380"/>
      <c r="BA539" s="380"/>
      <c r="BB539" s="380"/>
      <c r="BC539" s="380"/>
      <c r="BD539" s="380"/>
      <c r="BE539" s="404"/>
      <c r="BF539" s="380"/>
      <c r="BG539" s="380"/>
      <c r="BH539" s="380"/>
      <c r="BI539" s="380"/>
      <c r="BJ539" s="380"/>
      <c r="BK539" s="380"/>
      <c r="BL539" s="380"/>
      <c r="BM539" s="403"/>
      <c r="BS539" s="83"/>
      <c r="CA539" s="405"/>
      <c r="CG539" s="83"/>
      <c r="CO539" s="405"/>
      <c r="CU539" s="83"/>
      <c r="DC539" s="405"/>
      <c r="DI539" s="83"/>
      <c r="DQ539" s="405"/>
      <c r="DW539" s="83"/>
      <c r="EE539" s="405"/>
      <c r="EK539" s="83"/>
      <c r="ES539" s="405"/>
      <c r="EY539" s="83"/>
      <c r="FG539" s="405"/>
      <c r="FM539" s="83"/>
      <c r="FU539" s="405"/>
      <c r="GA539" s="83"/>
      <c r="GI539" s="405"/>
      <c r="GO539" s="83"/>
      <c r="GW539" s="405"/>
      <c r="HC539" s="83"/>
      <c r="HK539" s="405"/>
      <c r="HQ539" s="83"/>
      <c r="HY539" s="405"/>
      <c r="IE539" s="83"/>
      <c r="IM539" s="405"/>
      <c r="IS539" s="83"/>
      <c r="JA539" s="405"/>
      <c r="JG539" s="83"/>
      <c r="JO539" s="405"/>
      <c r="JU539" s="83"/>
      <c r="KC539" s="405"/>
      <c r="KI539" s="83"/>
      <c r="KQ539" s="405"/>
      <c r="KW539" s="83"/>
      <c r="LE539" s="405"/>
      <c r="LK539" s="83"/>
      <c r="LS539" s="405"/>
      <c r="LY539" s="83"/>
      <c r="MG539" s="405"/>
      <c r="MM539" s="83"/>
      <c r="MU539" s="405"/>
      <c r="NA539" s="83"/>
    </row>
    <row r="540">
      <c r="A540" s="483"/>
      <c r="B540" s="380"/>
      <c r="C540" s="380"/>
      <c r="D540" s="380"/>
      <c r="E540" s="380"/>
      <c r="F540" s="380"/>
      <c r="G540" s="380"/>
      <c r="H540" s="380"/>
      <c r="I540" s="403"/>
      <c r="J540" s="380"/>
      <c r="K540" s="380"/>
      <c r="L540" s="380"/>
      <c r="M540" s="380"/>
      <c r="N540" s="380"/>
      <c r="O540" s="404"/>
      <c r="P540" s="380"/>
      <c r="Q540" s="380"/>
      <c r="R540" s="380"/>
      <c r="S540" s="380"/>
      <c r="T540" s="380"/>
      <c r="U540" s="380"/>
      <c r="V540" s="380"/>
      <c r="W540" s="403"/>
      <c r="X540" s="380"/>
      <c r="Y540" s="380"/>
      <c r="Z540" s="380"/>
      <c r="AA540" s="380"/>
      <c r="AB540" s="380"/>
      <c r="AC540" s="404"/>
      <c r="AD540" s="380"/>
      <c r="AE540" s="380"/>
      <c r="AF540" s="380"/>
      <c r="AG540" s="380"/>
      <c r="AH540" s="380"/>
      <c r="AI540" s="380"/>
      <c r="AJ540" s="380"/>
      <c r="AK540" s="403"/>
      <c r="AL540" s="380"/>
      <c r="AM540" s="380"/>
      <c r="AN540" s="380"/>
      <c r="AO540" s="380"/>
      <c r="AP540" s="380"/>
      <c r="AQ540" s="404"/>
      <c r="AR540" s="380"/>
      <c r="AS540" s="380"/>
      <c r="AT540" s="380"/>
      <c r="AU540" s="380"/>
      <c r="AV540" s="380"/>
      <c r="AW540" s="380"/>
      <c r="AX540" s="380"/>
      <c r="AY540" s="403"/>
      <c r="AZ540" s="380"/>
      <c r="BA540" s="380"/>
      <c r="BB540" s="380"/>
      <c r="BC540" s="380"/>
      <c r="BD540" s="380"/>
      <c r="BE540" s="404"/>
      <c r="BF540" s="380"/>
      <c r="BG540" s="380"/>
      <c r="BH540" s="380"/>
      <c r="BI540" s="380"/>
      <c r="BJ540" s="380"/>
      <c r="BK540" s="380"/>
      <c r="BL540" s="380"/>
      <c r="BM540" s="403"/>
      <c r="BS540" s="83"/>
      <c r="CA540" s="405"/>
      <c r="CG540" s="83"/>
      <c r="CO540" s="405"/>
      <c r="CU540" s="83"/>
      <c r="DC540" s="405"/>
      <c r="DI540" s="83"/>
      <c r="DQ540" s="405"/>
      <c r="DW540" s="83"/>
      <c r="EE540" s="405"/>
      <c r="EK540" s="83"/>
      <c r="ES540" s="405"/>
      <c r="EY540" s="83"/>
      <c r="FG540" s="405"/>
      <c r="FM540" s="83"/>
      <c r="FU540" s="405"/>
      <c r="GA540" s="83"/>
      <c r="GI540" s="405"/>
      <c r="GO540" s="83"/>
      <c r="GW540" s="405"/>
      <c r="HC540" s="83"/>
      <c r="HK540" s="405"/>
      <c r="HQ540" s="83"/>
      <c r="HY540" s="405"/>
      <c r="IE540" s="83"/>
      <c r="IM540" s="405"/>
      <c r="IS540" s="83"/>
      <c r="JA540" s="405"/>
      <c r="JG540" s="83"/>
      <c r="JO540" s="405"/>
      <c r="JU540" s="83"/>
      <c r="KC540" s="405"/>
      <c r="KI540" s="83"/>
      <c r="KQ540" s="405"/>
      <c r="KW540" s="83"/>
      <c r="LE540" s="405"/>
      <c r="LK540" s="83"/>
      <c r="LS540" s="405"/>
      <c r="LY540" s="83"/>
      <c r="MG540" s="405"/>
      <c r="MM540" s="83"/>
      <c r="MU540" s="405"/>
      <c r="NA540" s="83"/>
    </row>
    <row r="541">
      <c r="A541" s="483"/>
      <c r="B541" s="380"/>
      <c r="C541" s="380"/>
      <c r="D541" s="380"/>
      <c r="E541" s="380"/>
      <c r="F541" s="380"/>
      <c r="G541" s="380"/>
      <c r="H541" s="380"/>
      <c r="I541" s="403"/>
      <c r="J541" s="380"/>
      <c r="K541" s="380"/>
      <c r="L541" s="380"/>
      <c r="M541" s="380"/>
      <c r="N541" s="380"/>
      <c r="O541" s="404"/>
      <c r="P541" s="380"/>
      <c r="Q541" s="380"/>
      <c r="R541" s="380"/>
      <c r="S541" s="380"/>
      <c r="T541" s="380"/>
      <c r="U541" s="380"/>
      <c r="V541" s="380"/>
      <c r="W541" s="403"/>
      <c r="X541" s="380"/>
      <c r="Y541" s="380"/>
      <c r="Z541" s="380"/>
      <c r="AA541" s="380"/>
      <c r="AB541" s="380"/>
      <c r="AC541" s="404"/>
      <c r="AD541" s="380"/>
      <c r="AE541" s="380"/>
      <c r="AF541" s="380"/>
      <c r="AG541" s="380"/>
      <c r="AH541" s="380"/>
      <c r="AI541" s="380"/>
      <c r="AJ541" s="380"/>
      <c r="AK541" s="403"/>
      <c r="AL541" s="380"/>
      <c r="AM541" s="380"/>
      <c r="AN541" s="380"/>
      <c r="AO541" s="380"/>
      <c r="AP541" s="380"/>
      <c r="AQ541" s="404"/>
      <c r="AR541" s="380"/>
      <c r="AS541" s="380"/>
      <c r="AT541" s="380"/>
      <c r="AU541" s="380"/>
      <c r="AV541" s="380"/>
      <c r="AW541" s="380"/>
      <c r="AX541" s="380"/>
      <c r="AY541" s="403"/>
      <c r="AZ541" s="380"/>
      <c r="BA541" s="380"/>
      <c r="BB541" s="380"/>
      <c r="BC541" s="380"/>
      <c r="BD541" s="380"/>
      <c r="BE541" s="404"/>
      <c r="BF541" s="380"/>
      <c r="BG541" s="380"/>
      <c r="BH541" s="380"/>
      <c r="BI541" s="380"/>
      <c r="BJ541" s="380"/>
      <c r="BK541" s="380"/>
      <c r="BL541" s="380"/>
      <c r="BM541" s="403"/>
      <c r="BS541" s="83"/>
      <c r="CA541" s="405"/>
      <c r="CG541" s="83"/>
      <c r="CO541" s="405"/>
      <c r="CU541" s="83"/>
      <c r="DC541" s="405"/>
      <c r="DI541" s="83"/>
      <c r="DQ541" s="405"/>
      <c r="DW541" s="83"/>
      <c r="EE541" s="405"/>
      <c r="EK541" s="83"/>
      <c r="ES541" s="405"/>
      <c r="EY541" s="83"/>
      <c r="FG541" s="405"/>
      <c r="FM541" s="83"/>
      <c r="FU541" s="405"/>
      <c r="GA541" s="83"/>
      <c r="GI541" s="405"/>
      <c r="GO541" s="83"/>
      <c r="GW541" s="405"/>
      <c r="HC541" s="83"/>
      <c r="HK541" s="405"/>
      <c r="HQ541" s="83"/>
      <c r="HY541" s="405"/>
      <c r="IE541" s="83"/>
      <c r="IM541" s="405"/>
      <c r="IS541" s="83"/>
      <c r="JA541" s="405"/>
      <c r="JG541" s="83"/>
      <c r="JO541" s="405"/>
      <c r="JU541" s="83"/>
      <c r="KC541" s="405"/>
      <c r="KI541" s="83"/>
      <c r="KQ541" s="405"/>
      <c r="KW541" s="83"/>
      <c r="LE541" s="405"/>
      <c r="LK541" s="83"/>
      <c r="LS541" s="405"/>
      <c r="LY541" s="83"/>
      <c r="MG541" s="405"/>
      <c r="MM541" s="83"/>
      <c r="MU541" s="405"/>
      <c r="NA541" s="83"/>
    </row>
    <row r="542">
      <c r="A542" s="483"/>
      <c r="B542" s="380"/>
      <c r="C542" s="380"/>
      <c r="D542" s="380"/>
      <c r="E542" s="380"/>
      <c r="F542" s="380"/>
      <c r="G542" s="380"/>
      <c r="H542" s="380"/>
      <c r="I542" s="403"/>
      <c r="J542" s="380"/>
      <c r="K542" s="380"/>
      <c r="L542" s="380"/>
      <c r="M542" s="380"/>
      <c r="N542" s="380"/>
      <c r="O542" s="404"/>
      <c r="P542" s="380"/>
      <c r="Q542" s="380"/>
      <c r="R542" s="380"/>
      <c r="S542" s="380"/>
      <c r="T542" s="380"/>
      <c r="U542" s="380"/>
      <c r="V542" s="380"/>
      <c r="W542" s="403"/>
      <c r="X542" s="380"/>
      <c r="Y542" s="380"/>
      <c r="Z542" s="380"/>
      <c r="AA542" s="380"/>
      <c r="AB542" s="380"/>
      <c r="AC542" s="404"/>
      <c r="AD542" s="380"/>
      <c r="AE542" s="380"/>
      <c r="AF542" s="380"/>
      <c r="AG542" s="380"/>
      <c r="AH542" s="380"/>
      <c r="AI542" s="380"/>
      <c r="AJ542" s="380"/>
      <c r="AK542" s="403"/>
      <c r="AL542" s="380"/>
      <c r="AM542" s="380"/>
      <c r="AN542" s="380"/>
      <c r="AO542" s="380"/>
      <c r="AP542" s="380"/>
      <c r="AQ542" s="404"/>
      <c r="AR542" s="380"/>
      <c r="AS542" s="380"/>
      <c r="AT542" s="380"/>
      <c r="AU542" s="380"/>
      <c r="AV542" s="380"/>
      <c r="AW542" s="380"/>
      <c r="AX542" s="380"/>
      <c r="AY542" s="403"/>
      <c r="AZ542" s="380"/>
      <c r="BA542" s="380"/>
      <c r="BB542" s="380"/>
      <c r="BC542" s="380"/>
      <c r="BD542" s="380"/>
      <c r="BE542" s="404"/>
      <c r="BF542" s="380"/>
      <c r="BG542" s="380"/>
      <c r="BH542" s="380"/>
      <c r="BI542" s="380"/>
      <c r="BJ542" s="380"/>
      <c r="BK542" s="380"/>
      <c r="BL542" s="380"/>
      <c r="BM542" s="403"/>
      <c r="BS542" s="83"/>
      <c r="CA542" s="405"/>
      <c r="CG542" s="83"/>
      <c r="CO542" s="405"/>
      <c r="CU542" s="83"/>
      <c r="DC542" s="405"/>
      <c r="DI542" s="83"/>
      <c r="DQ542" s="405"/>
      <c r="DW542" s="83"/>
      <c r="EE542" s="405"/>
      <c r="EK542" s="83"/>
      <c r="ES542" s="405"/>
      <c r="EY542" s="83"/>
      <c r="FG542" s="405"/>
      <c r="FM542" s="83"/>
      <c r="FU542" s="405"/>
      <c r="GA542" s="83"/>
      <c r="GI542" s="405"/>
      <c r="GO542" s="83"/>
      <c r="GW542" s="405"/>
      <c r="HC542" s="83"/>
      <c r="HK542" s="405"/>
      <c r="HQ542" s="83"/>
      <c r="HY542" s="405"/>
      <c r="IE542" s="83"/>
      <c r="IM542" s="405"/>
      <c r="IS542" s="83"/>
      <c r="JA542" s="405"/>
      <c r="JG542" s="83"/>
      <c r="JO542" s="405"/>
      <c r="JU542" s="83"/>
      <c r="KC542" s="405"/>
      <c r="KI542" s="83"/>
      <c r="KQ542" s="405"/>
      <c r="KW542" s="83"/>
      <c r="LE542" s="405"/>
      <c r="LK542" s="83"/>
      <c r="LS542" s="405"/>
      <c r="LY542" s="83"/>
      <c r="MG542" s="405"/>
      <c r="MM542" s="83"/>
      <c r="MU542" s="405"/>
      <c r="NA542" s="83"/>
    </row>
    <row r="543">
      <c r="A543" s="483"/>
      <c r="B543" s="380"/>
      <c r="C543" s="380"/>
      <c r="D543" s="380"/>
      <c r="E543" s="380"/>
      <c r="F543" s="380"/>
      <c r="G543" s="380"/>
      <c r="H543" s="380"/>
      <c r="I543" s="403"/>
      <c r="J543" s="380"/>
      <c r="K543" s="380"/>
      <c r="L543" s="380"/>
      <c r="M543" s="380"/>
      <c r="N543" s="380"/>
      <c r="O543" s="404"/>
      <c r="P543" s="380"/>
      <c r="Q543" s="380"/>
      <c r="R543" s="380"/>
      <c r="S543" s="380"/>
      <c r="T543" s="380"/>
      <c r="U543" s="380"/>
      <c r="V543" s="380"/>
      <c r="W543" s="403"/>
      <c r="X543" s="380"/>
      <c r="Y543" s="380"/>
      <c r="Z543" s="380"/>
      <c r="AA543" s="380"/>
      <c r="AB543" s="380"/>
      <c r="AC543" s="404"/>
      <c r="AD543" s="380"/>
      <c r="AE543" s="380"/>
      <c r="AF543" s="380"/>
      <c r="AG543" s="380"/>
      <c r="AH543" s="380"/>
      <c r="AI543" s="380"/>
      <c r="AJ543" s="380"/>
      <c r="AK543" s="403"/>
      <c r="AL543" s="380"/>
      <c r="AM543" s="380"/>
      <c r="AN543" s="380"/>
      <c r="AO543" s="380"/>
      <c r="AP543" s="380"/>
      <c r="AQ543" s="404"/>
      <c r="AR543" s="380"/>
      <c r="AS543" s="380"/>
      <c r="AT543" s="380"/>
      <c r="AU543" s="380"/>
      <c r="AV543" s="380"/>
      <c r="AW543" s="380"/>
      <c r="AX543" s="380"/>
      <c r="AY543" s="403"/>
      <c r="AZ543" s="380"/>
      <c r="BA543" s="380"/>
      <c r="BB543" s="380"/>
      <c r="BC543" s="380"/>
      <c r="BD543" s="380"/>
      <c r="BE543" s="404"/>
      <c r="BF543" s="380"/>
      <c r="BG543" s="380"/>
      <c r="BH543" s="380"/>
      <c r="BI543" s="380"/>
      <c r="BJ543" s="380"/>
      <c r="BK543" s="380"/>
      <c r="BL543" s="380"/>
      <c r="BM543" s="403"/>
      <c r="BS543" s="83"/>
      <c r="CA543" s="405"/>
      <c r="CG543" s="83"/>
      <c r="CO543" s="405"/>
      <c r="CU543" s="83"/>
      <c r="DC543" s="405"/>
      <c r="DI543" s="83"/>
      <c r="DQ543" s="405"/>
      <c r="DW543" s="83"/>
      <c r="EE543" s="405"/>
      <c r="EK543" s="83"/>
      <c r="ES543" s="405"/>
      <c r="EY543" s="83"/>
      <c r="FG543" s="405"/>
      <c r="FM543" s="83"/>
      <c r="FU543" s="405"/>
      <c r="GA543" s="83"/>
      <c r="GI543" s="405"/>
      <c r="GO543" s="83"/>
      <c r="GW543" s="405"/>
      <c r="HC543" s="83"/>
      <c r="HK543" s="405"/>
      <c r="HQ543" s="83"/>
      <c r="HY543" s="405"/>
      <c r="IE543" s="83"/>
      <c r="IM543" s="405"/>
      <c r="IS543" s="83"/>
      <c r="JA543" s="405"/>
      <c r="JG543" s="83"/>
      <c r="JO543" s="405"/>
      <c r="JU543" s="83"/>
      <c r="KC543" s="405"/>
      <c r="KI543" s="83"/>
      <c r="KQ543" s="405"/>
      <c r="KW543" s="83"/>
      <c r="LE543" s="405"/>
      <c r="LK543" s="83"/>
      <c r="LS543" s="405"/>
      <c r="LY543" s="83"/>
      <c r="MG543" s="405"/>
      <c r="MM543" s="83"/>
      <c r="MU543" s="405"/>
      <c r="NA543" s="83"/>
    </row>
    <row r="544">
      <c r="A544" s="483"/>
      <c r="B544" s="380"/>
      <c r="C544" s="380"/>
      <c r="D544" s="380"/>
      <c r="E544" s="380"/>
      <c r="F544" s="380"/>
      <c r="G544" s="380"/>
      <c r="H544" s="380"/>
      <c r="I544" s="403"/>
      <c r="J544" s="380"/>
      <c r="K544" s="380"/>
      <c r="L544" s="380"/>
      <c r="M544" s="380"/>
      <c r="N544" s="380"/>
      <c r="O544" s="404"/>
      <c r="P544" s="380"/>
      <c r="Q544" s="380"/>
      <c r="R544" s="380"/>
      <c r="S544" s="380"/>
      <c r="T544" s="380"/>
      <c r="U544" s="380"/>
      <c r="V544" s="380"/>
      <c r="W544" s="403"/>
      <c r="X544" s="380"/>
      <c r="Y544" s="380"/>
      <c r="Z544" s="380"/>
      <c r="AA544" s="380"/>
      <c r="AB544" s="380"/>
      <c r="AC544" s="404"/>
      <c r="AD544" s="380"/>
      <c r="AE544" s="380"/>
      <c r="AF544" s="380"/>
      <c r="AG544" s="380"/>
      <c r="AH544" s="380"/>
      <c r="AI544" s="380"/>
      <c r="AJ544" s="380"/>
      <c r="AK544" s="403"/>
      <c r="AL544" s="380"/>
      <c r="AM544" s="380"/>
      <c r="AN544" s="380"/>
      <c r="AO544" s="380"/>
      <c r="AP544" s="380"/>
      <c r="AQ544" s="404"/>
      <c r="AR544" s="380"/>
      <c r="AS544" s="380"/>
      <c r="AT544" s="380"/>
      <c r="AU544" s="380"/>
      <c r="AV544" s="380"/>
      <c r="AW544" s="380"/>
      <c r="AX544" s="380"/>
      <c r="AY544" s="403"/>
      <c r="AZ544" s="380"/>
      <c r="BA544" s="380"/>
      <c r="BB544" s="380"/>
      <c r="BC544" s="380"/>
      <c r="BD544" s="380"/>
      <c r="BE544" s="404"/>
      <c r="BF544" s="380"/>
      <c r="BG544" s="380"/>
      <c r="BH544" s="380"/>
      <c r="BI544" s="380"/>
      <c r="BJ544" s="380"/>
      <c r="BK544" s="380"/>
      <c r="BL544" s="380"/>
      <c r="BM544" s="403"/>
      <c r="BS544" s="83"/>
      <c r="CA544" s="405"/>
      <c r="CG544" s="83"/>
      <c r="CO544" s="405"/>
      <c r="CU544" s="83"/>
      <c r="DC544" s="405"/>
      <c r="DI544" s="83"/>
      <c r="DQ544" s="405"/>
      <c r="DW544" s="83"/>
      <c r="EE544" s="405"/>
      <c r="EK544" s="83"/>
      <c r="ES544" s="405"/>
      <c r="EY544" s="83"/>
      <c r="FG544" s="405"/>
      <c r="FM544" s="83"/>
      <c r="FU544" s="405"/>
      <c r="GA544" s="83"/>
      <c r="GI544" s="405"/>
      <c r="GO544" s="83"/>
      <c r="GW544" s="405"/>
      <c r="HC544" s="83"/>
      <c r="HK544" s="405"/>
      <c r="HQ544" s="83"/>
      <c r="HY544" s="405"/>
      <c r="IE544" s="83"/>
      <c r="IM544" s="405"/>
      <c r="IS544" s="83"/>
      <c r="JA544" s="405"/>
      <c r="JG544" s="83"/>
      <c r="JO544" s="405"/>
      <c r="JU544" s="83"/>
      <c r="KC544" s="405"/>
      <c r="KI544" s="83"/>
      <c r="KQ544" s="405"/>
      <c r="KW544" s="83"/>
      <c r="LE544" s="405"/>
      <c r="LK544" s="83"/>
      <c r="LS544" s="405"/>
      <c r="LY544" s="83"/>
      <c r="MG544" s="405"/>
      <c r="MM544" s="83"/>
      <c r="MU544" s="405"/>
      <c r="NA544" s="83"/>
    </row>
    <row r="545">
      <c r="A545" s="483"/>
      <c r="B545" s="380"/>
      <c r="C545" s="380"/>
      <c r="D545" s="380"/>
      <c r="E545" s="380"/>
      <c r="F545" s="380"/>
      <c r="G545" s="380"/>
      <c r="H545" s="380"/>
      <c r="I545" s="403"/>
      <c r="J545" s="380"/>
      <c r="K545" s="380"/>
      <c r="L545" s="380"/>
      <c r="M545" s="380"/>
      <c r="N545" s="380"/>
      <c r="O545" s="404"/>
      <c r="P545" s="380"/>
      <c r="Q545" s="380"/>
      <c r="R545" s="380"/>
      <c r="S545" s="380"/>
      <c r="T545" s="380"/>
      <c r="U545" s="380"/>
      <c r="V545" s="380"/>
      <c r="W545" s="403"/>
      <c r="X545" s="380"/>
      <c r="Y545" s="380"/>
      <c r="Z545" s="380"/>
      <c r="AA545" s="380"/>
      <c r="AB545" s="380"/>
      <c r="AC545" s="404"/>
      <c r="AD545" s="380"/>
      <c r="AE545" s="380"/>
      <c r="AF545" s="380"/>
      <c r="AG545" s="380"/>
      <c r="AH545" s="380"/>
      <c r="AI545" s="380"/>
      <c r="AJ545" s="380"/>
      <c r="AK545" s="403"/>
      <c r="AL545" s="380"/>
      <c r="AM545" s="380"/>
      <c r="AN545" s="380"/>
      <c r="AO545" s="380"/>
      <c r="AP545" s="380"/>
      <c r="AQ545" s="404"/>
      <c r="AR545" s="380"/>
      <c r="AS545" s="380"/>
      <c r="AT545" s="380"/>
      <c r="AU545" s="380"/>
      <c r="AV545" s="380"/>
      <c r="AW545" s="380"/>
      <c r="AX545" s="380"/>
      <c r="AY545" s="403"/>
      <c r="AZ545" s="380"/>
      <c r="BA545" s="380"/>
      <c r="BB545" s="380"/>
      <c r="BC545" s="380"/>
      <c r="BD545" s="380"/>
      <c r="BE545" s="404"/>
      <c r="BF545" s="380"/>
      <c r="BG545" s="380"/>
      <c r="BH545" s="380"/>
      <c r="BI545" s="380"/>
      <c r="BJ545" s="380"/>
      <c r="BK545" s="380"/>
      <c r="BL545" s="380"/>
      <c r="BM545" s="403"/>
      <c r="BS545" s="83"/>
      <c r="CA545" s="405"/>
      <c r="CG545" s="83"/>
      <c r="CO545" s="405"/>
      <c r="CU545" s="83"/>
      <c r="DC545" s="405"/>
      <c r="DI545" s="83"/>
      <c r="DQ545" s="405"/>
      <c r="DW545" s="83"/>
      <c r="EE545" s="405"/>
      <c r="EK545" s="83"/>
      <c r="ES545" s="405"/>
      <c r="EY545" s="83"/>
      <c r="FG545" s="405"/>
      <c r="FM545" s="83"/>
      <c r="FU545" s="405"/>
      <c r="GA545" s="83"/>
      <c r="GI545" s="405"/>
      <c r="GO545" s="83"/>
      <c r="GW545" s="405"/>
      <c r="HC545" s="83"/>
      <c r="HK545" s="405"/>
      <c r="HQ545" s="83"/>
      <c r="HY545" s="405"/>
      <c r="IE545" s="83"/>
      <c r="IM545" s="405"/>
      <c r="IS545" s="83"/>
      <c r="JA545" s="405"/>
      <c r="JG545" s="83"/>
      <c r="JO545" s="405"/>
      <c r="JU545" s="83"/>
      <c r="KC545" s="405"/>
      <c r="KI545" s="83"/>
      <c r="KQ545" s="405"/>
      <c r="KW545" s="83"/>
      <c r="LE545" s="405"/>
      <c r="LK545" s="83"/>
      <c r="LS545" s="405"/>
      <c r="LY545" s="83"/>
      <c r="MG545" s="405"/>
      <c r="MM545" s="83"/>
      <c r="MU545" s="405"/>
      <c r="NA545" s="83"/>
    </row>
    <row r="546">
      <c r="A546" s="483"/>
      <c r="B546" s="380"/>
      <c r="C546" s="380"/>
      <c r="D546" s="380"/>
      <c r="E546" s="380"/>
      <c r="F546" s="380"/>
      <c r="G546" s="380"/>
      <c r="H546" s="380"/>
      <c r="I546" s="403"/>
      <c r="J546" s="380"/>
      <c r="K546" s="380"/>
      <c r="L546" s="380"/>
      <c r="M546" s="380"/>
      <c r="N546" s="380"/>
      <c r="O546" s="404"/>
      <c r="P546" s="380"/>
      <c r="Q546" s="380"/>
      <c r="R546" s="380"/>
      <c r="S546" s="380"/>
      <c r="T546" s="380"/>
      <c r="U546" s="380"/>
      <c r="V546" s="380"/>
      <c r="W546" s="403"/>
      <c r="X546" s="380"/>
      <c r="Y546" s="380"/>
      <c r="Z546" s="380"/>
      <c r="AA546" s="380"/>
      <c r="AB546" s="380"/>
      <c r="AC546" s="404"/>
      <c r="AD546" s="380"/>
      <c r="AE546" s="380"/>
      <c r="AF546" s="380"/>
      <c r="AG546" s="380"/>
      <c r="AH546" s="380"/>
      <c r="AI546" s="380"/>
      <c r="AJ546" s="380"/>
      <c r="AK546" s="403"/>
      <c r="AL546" s="380"/>
      <c r="AM546" s="380"/>
      <c r="AN546" s="380"/>
      <c r="AO546" s="380"/>
      <c r="AP546" s="380"/>
      <c r="AQ546" s="404"/>
      <c r="AR546" s="380"/>
      <c r="AS546" s="380"/>
      <c r="AT546" s="380"/>
      <c r="AU546" s="380"/>
      <c r="AV546" s="380"/>
      <c r="AW546" s="380"/>
      <c r="AX546" s="380"/>
      <c r="AY546" s="403"/>
      <c r="AZ546" s="380"/>
      <c r="BA546" s="380"/>
      <c r="BB546" s="380"/>
      <c r="BC546" s="380"/>
      <c r="BD546" s="380"/>
      <c r="BE546" s="404"/>
      <c r="BF546" s="380"/>
      <c r="BG546" s="380"/>
      <c r="BH546" s="380"/>
      <c r="BI546" s="380"/>
      <c r="BJ546" s="380"/>
      <c r="BK546" s="380"/>
      <c r="BL546" s="380"/>
      <c r="BM546" s="403"/>
      <c r="BS546" s="83"/>
      <c r="CA546" s="405"/>
      <c r="CG546" s="83"/>
      <c r="CO546" s="405"/>
      <c r="CU546" s="83"/>
      <c r="DC546" s="405"/>
      <c r="DI546" s="83"/>
      <c r="DQ546" s="405"/>
      <c r="DW546" s="83"/>
      <c r="EE546" s="405"/>
      <c r="EK546" s="83"/>
      <c r="ES546" s="405"/>
      <c r="EY546" s="83"/>
      <c r="FG546" s="405"/>
      <c r="FM546" s="83"/>
      <c r="FU546" s="405"/>
      <c r="GA546" s="83"/>
      <c r="GI546" s="405"/>
      <c r="GO546" s="83"/>
      <c r="GW546" s="405"/>
      <c r="HC546" s="83"/>
      <c r="HK546" s="405"/>
      <c r="HQ546" s="83"/>
      <c r="HY546" s="405"/>
      <c r="IE546" s="83"/>
      <c r="IM546" s="405"/>
      <c r="IS546" s="83"/>
      <c r="JA546" s="405"/>
      <c r="JG546" s="83"/>
      <c r="JO546" s="405"/>
      <c r="JU546" s="83"/>
      <c r="KC546" s="405"/>
      <c r="KI546" s="83"/>
      <c r="KQ546" s="405"/>
      <c r="KW546" s="83"/>
      <c r="LE546" s="405"/>
      <c r="LK546" s="83"/>
      <c r="LS546" s="405"/>
      <c r="LY546" s="83"/>
      <c r="MG546" s="405"/>
      <c r="MM546" s="83"/>
      <c r="MU546" s="405"/>
      <c r="NA546" s="83"/>
    </row>
    <row r="547">
      <c r="A547" s="483"/>
      <c r="B547" s="380"/>
      <c r="C547" s="380"/>
      <c r="D547" s="380"/>
      <c r="E547" s="380"/>
      <c r="F547" s="380"/>
      <c r="G547" s="380"/>
      <c r="H547" s="380"/>
      <c r="I547" s="403"/>
      <c r="J547" s="380"/>
      <c r="K547" s="380"/>
      <c r="L547" s="380"/>
      <c r="M547" s="380"/>
      <c r="N547" s="380"/>
      <c r="O547" s="404"/>
      <c r="P547" s="380"/>
      <c r="Q547" s="380"/>
      <c r="R547" s="380"/>
      <c r="S547" s="380"/>
      <c r="T547" s="380"/>
      <c r="U547" s="380"/>
      <c r="V547" s="380"/>
      <c r="W547" s="403"/>
      <c r="X547" s="380"/>
      <c r="Y547" s="380"/>
      <c r="Z547" s="380"/>
      <c r="AA547" s="380"/>
      <c r="AB547" s="380"/>
      <c r="AC547" s="404"/>
      <c r="AD547" s="380"/>
      <c r="AE547" s="380"/>
      <c r="AF547" s="380"/>
      <c r="AG547" s="380"/>
      <c r="AH547" s="380"/>
      <c r="AI547" s="380"/>
      <c r="AJ547" s="380"/>
      <c r="AK547" s="403"/>
      <c r="AL547" s="380"/>
      <c r="AM547" s="380"/>
      <c r="AN547" s="380"/>
      <c r="AO547" s="380"/>
      <c r="AP547" s="380"/>
      <c r="AQ547" s="404"/>
      <c r="AR547" s="380"/>
      <c r="AS547" s="380"/>
      <c r="AT547" s="380"/>
      <c r="AU547" s="380"/>
      <c r="AV547" s="380"/>
      <c r="AW547" s="380"/>
      <c r="AX547" s="380"/>
      <c r="AY547" s="403"/>
      <c r="AZ547" s="380"/>
      <c r="BA547" s="380"/>
      <c r="BB547" s="380"/>
      <c r="BC547" s="380"/>
      <c r="BD547" s="380"/>
      <c r="BE547" s="404"/>
      <c r="BF547" s="380"/>
      <c r="BG547" s="380"/>
      <c r="BH547" s="380"/>
      <c r="BI547" s="380"/>
      <c r="BJ547" s="380"/>
      <c r="BK547" s="380"/>
      <c r="BL547" s="380"/>
      <c r="BM547" s="403"/>
      <c r="BS547" s="83"/>
      <c r="CA547" s="405"/>
      <c r="CG547" s="83"/>
      <c r="CO547" s="405"/>
      <c r="CU547" s="83"/>
      <c r="DC547" s="405"/>
      <c r="DI547" s="83"/>
      <c r="DQ547" s="405"/>
      <c r="DW547" s="83"/>
      <c r="EE547" s="405"/>
      <c r="EK547" s="83"/>
      <c r="ES547" s="405"/>
      <c r="EY547" s="83"/>
      <c r="FG547" s="405"/>
      <c r="FM547" s="83"/>
      <c r="FU547" s="405"/>
      <c r="GA547" s="83"/>
      <c r="GI547" s="405"/>
      <c r="GO547" s="83"/>
      <c r="GW547" s="405"/>
      <c r="HC547" s="83"/>
      <c r="HK547" s="405"/>
      <c r="HQ547" s="83"/>
      <c r="HY547" s="405"/>
      <c r="IE547" s="83"/>
      <c r="IM547" s="405"/>
      <c r="IS547" s="83"/>
      <c r="JA547" s="405"/>
      <c r="JG547" s="83"/>
      <c r="JO547" s="405"/>
      <c r="JU547" s="83"/>
      <c r="KC547" s="405"/>
      <c r="KI547" s="83"/>
      <c r="KQ547" s="405"/>
      <c r="KW547" s="83"/>
      <c r="LE547" s="405"/>
      <c r="LK547" s="83"/>
      <c r="LS547" s="405"/>
      <c r="LY547" s="83"/>
      <c r="MG547" s="405"/>
      <c r="MM547" s="83"/>
      <c r="MU547" s="405"/>
      <c r="NA547" s="83"/>
    </row>
    <row r="548">
      <c r="A548" s="483"/>
      <c r="B548" s="380"/>
      <c r="C548" s="380"/>
      <c r="D548" s="380"/>
      <c r="E548" s="380"/>
      <c r="F548" s="380"/>
      <c r="G548" s="380"/>
      <c r="H548" s="380"/>
      <c r="I548" s="403"/>
      <c r="J548" s="380"/>
      <c r="K548" s="380"/>
      <c r="L548" s="380"/>
      <c r="M548" s="380"/>
      <c r="N548" s="380"/>
      <c r="O548" s="404"/>
      <c r="P548" s="380"/>
      <c r="Q548" s="380"/>
      <c r="R548" s="380"/>
      <c r="S548" s="380"/>
      <c r="T548" s="380"/>
      <c r="U548" s="380"/>
      <c r="V548" s="380"/>
      <c r="W548" s="403"/>
      <c r="X548" s="380"/>
      <c r="Y548" s="380"/>
      <c r="Z548" s="380"/>
      <c r="AA548" s="380"/>
      <c r="AB548" s="380"/>
      <c r="AC548" s="404"/>
      <c r="AD548" s="380"/>
      <c r="AE548" s="380"/>
      <c r="AF548" s="380"/>
      <c r="AG548" s="380"/>
      <c r="AH548" s="380"/>
      <c r="AI548" s="380"/>
      <c r="AJ548" s="380"/>
      <c r="AK548" s="403"/>
      <c r="AL548" s="380"/>
      <c r="AM548" s="380"/>
      <c r="AN548" s="380"/>
      <c r="AO548" s="380"/>
      <c r="AP548" s="380"/>
      <c r="AQ548" s="404"/>
      <c r="AR548" s="380"/>
      <c r="AS548" s="380"/>
      <c r="AT548" s="380"/>
      <c r="AU548" s="380"/>
      <c r="AV548" s="380"/>
      <c r="AW548" s="380"/>
      <c r="AX548" s="380"/>
      <c r="AY548" s="403"/>
      <c r="AZ548" s="380"/>
      <c r="BA548" s="380"/>
      <c r="BB548" s="380"/>
      <c r="BC548" s="380"/>
      <c r="BD548" s="380"/>
      <c r="BE548" s="404"/>
      <c r="BF548" s="380"/>
      <c r="BG548" s="380"/>
      <c r="BH548" s="380"/>
      <c r="BI548" s="380"/>
      <c r="BJ548" s="380"/>
      <c r="BK548" s="380"/>
      <c r="BL548" s="380"/>
      <c r="BM548" s="403"/>
      <c r="BS548" s="83"/>
      <c r="CA548" s="405"/>
      <c r="CG548" s="83"/>
      <c r="CO548" s="405"/>
      <c r="CU548" s="83"/>
      <c r="DC548" s="405"/>
      <c r="DI548" s="83"/>
      <c r="DQ548" s="405"/>
      <c r="DW548" s="83"/>
      <c r="EE548" s="405"/>
      <c r="EK548" s="83"/>
      <c r="ES548" s="405"/>
      <c r="EY548" s="83"/>
      <c r="FG548" s="405"/>
      <c r="FM548" s="83"/>
      <c r="FU548" s="405"/>
      <c r="GA548" s="83"/>
      <c r="GI548" s="405"/>
      <c r="GO548" s="83"/>
      <c r="GW548" s="405"/>
      <c r="HC548" s="83"/>
      <c r="HK548" s="405"/>
      <c r="HQ548" s="83"/>
      <c r="HY548" s="405"/>
      <c r="IE548" s="83"/>
      <c r="IM548" s="405"/>
      <c r="IS548" s="83"/>
      <c r="JA548" s="405"/>
      <c r="JG548" s="83"/>
      <c r="JO548" s="405"/>
      <c r="JU548" s="83"/>
      <c r="KC548" s="405"/>
      <c r="KI548" s="83"/>
      <c r="KQ548" s="405"/>
      <c r="KW548" s="83"/>
      <c r="LE548" s="405"/>
      <c r="LK548" s="83"/>
      <c r="LS548" s="405"/>
      <c r="LY548" s="83"/>
      <c r="MG548" s="405"/>
      <c r="MM548" s="83"/>
      <c r="MU548" s="405"/>
      <c r="NA548" s="83"/>
    </row>
    <row r="549">
      <c r="A549" s="483"/>
      <c r="B549" s="380"/>
      <c r="C549" s="380"/>
      <c r="D549" s="380"/>
      <c r="E549" s="380"/>
      <c r="F549" s="380"/>
      <c r="G549" s="380"/>
      <c r="H549" s="380"/>
      <c r="I549" s="403"/>
      <c r="J549" s="380"/>
      <c r="K549" s="380"/>
      <c r="L549" s="380"/>
      <c r="M549" s="380"/>
      <c r="N549" s="380"/>
      <c r="O549" s="404"/>
      <c r="P549" s="380"/>
      <c r="Q549" s="380"/>
      <c r="R549" s="380"/>
      <c r="S549" s="380"/>
      <c r="T549" s="380"/>
      <c r="U549" s="380"/>
      <c r="V549" s="380"/>
      <c r="W549" s="403"/>
      <c r="X549" s="380"/>
      <c r="Y549" s="380"/>
      <c r="Z549" s="380"/>
      <c r="AA549" s="380"/>
      <c r="AB549" s="380"/>
      <c r="AC549" s="404"/>
      <c r="AD549" s="380"/>
      <c r="AE549" s="380"/>
      <c r="AF549" s="380"/>
      <c r="AG549" s="380"/>
      <c r="AH549" s="380"/>
      <c r="AI549" s="380"/>
      <c r="AJ549" s="380"/>
      <c r="AK549" s="403"/>
      <c r="AL549" s="380"/>
      <c r="AM549" s="380"/>
      <c r="AN549" s="380"/>
      <c r="AO549" s="380"/>
      <c r="AP549" s="380"/>
      <c r="AQ549" s="404"/>
      <c r="AR549" s="380"/>
      <c r="AS549" s="380"/>
      <c r="AT549" s="380"/>
      <c r="AU549" s="380"/>
      <c r="AV549" s="380"/>
      <c r="AW549" s="380"/>
      <c r="AX549" s="380"/>
      <c r="AY549" s="403"/>
      <c r="AZ549" s="380"/>
      <c r="BA549" s="380"/>
      <c r="BB549" s="380"/>
      <c r="BC549" s="380"/>
      <c r="BD549" s="380"/>
      <c r="BE549" s="404"/>
      <c r="BF549" s="380"/>
      <c r="BG549" s="380"/>
      <c r="BH549" s="380"/>
      <c r="BI549" s="380"/>
      <c r="BJ549" s="380"/>
      <c r="BK549" s="380"/>
      <c r="BL549" s="380"/>
      <c r="BM549" s="403"/>
      <c r="BS549" s="83"/>
      <c r="CA549" s="405"/>
      <c r="CG549" s="83"/>
      <c r="CO549" s="405"/>
      <c r="CU549" s="83"/>
      <c r="DC549" s="405"/>
      <c r="DI549" s="83"/>
      <c r="DQ549" s="405"/>
      <c r="DW549" s="83"/>
      <c r="EE549" s="405"/>
      <c r="EK549" s="83"/>
      <c r="ES549" s="405"/>
      <c r="EY549" s="83"/>
      <c r="FG549" s="405"/>
      <c r="FM549" s="83"/>
      <c r="FU549" s="405"/>
      <c r="GA549" s="83"/>
      <c r="GI549" s="405"/>
      <c r="GO549" s="83"/>
      <c r="GW549" s="405"/>
      <c r="HC549" s="83"/>
      <c r="HK549" s="405"/>
      <c r="HQ549" s="83"/>
      <c r="HY549" s="405"/>
      <c r="IE549" s="83"/>
      <c r="IM549" s="405"/>
      <c r="IS549" s="83"/>
      <c r="JA549" s="405"/>
      <c r="JG549" s="83"/>
      <c r="JO549" s="405"/>
      <c r="JU549" s="83"/>
      <c r="KC549" s="405"/>
      <c r="KI549" s="83"/>
      <c r="KQ549" s="405"/>
      <c r="KW549" s="83"/>
      <c r="LE549" s="405"/>
      <c r="LK549" s="83"/>
      <c r="LS549" s="405"/>
      <c r="LY549" s="83"/>
      <c r="MG549" s="405"/>
      <c r="MM549" s="83"/>
      <c r="MU549" s="405"/>
      <c r="NA549" s="83"/>
    </row>
    <row r="550">
      <c r="A550" s="483"/>
      <c r="B550" s="380"/>
      <c r="C550" s="380"/>
      <c r="D550" s="380"/>
      <c r="E550" s="380"/>
      <c r="F550" s="380"/>
      <c r="G550" s="380"/>
      <c r="H550" s="380"/>
      <c r="I550" s="403"/>
      <c r="J550" s="380"/>
      <c r="K550" s="380"/>
      <c r="L550" s="380"/>
      <c r="M550" s="380"/>
      <c r="N550" s="380"/>
      <c r="O550" s="404"/>
      <c r="P550" s="380"/>
      <c r="Q550" s="380"/>
      <c r="R550" s="380"/>
      <c r="S550" s="380"/>
      <c r="T550" s="380"/>
      <c r="U550" s="380"/>
      <c r="V550" s="380"/>
      <c r="W550" s="403"/>
      <c r="X550" s="380"/>
      <c r="Y550" s="380"/>
      <c r="Z550" s="380"/>
      <c r="AA550" s="380"/>
      <c r="AB550" s="380"/>
      <c r="AC550" s="404"/>
      <c r="AD550" s="380"/>
      <c r="AE550" s="380"/>
      <c r="AF550" s="380"/>
      <c r="AG550" s="380"/>
      <c r="AH550" s="380"/>
      <c r="AI550" s="380"/>
      <c r="AJ550" s="380"/>
      <c r="AK550" s="403"/>
      <c r="AL550" s="380"/>
      <c r="AM550" s="380"/>
      <c r="AN550" s="380"/>
      <c r="AO550" s="380"/>
      <c r="AP550" s="380"/>
      <c r="AQ550" s="404"/>
      <c r="AR550" s="380"/>
      <c r="AS550" s="380"/>
      <c r="AT550" s="380"/>
      <c r="AU550" s="380"/>
      <c r="AV550" s="380"/>
      <c r="AW550" s="380"/>
      <c r="AX550" s="380"/>
      <c r="AY550" s="403"/>
      <c r="AZ550" s="380"/>
      <c r="BA550" s="380"/>
      <c r="BB550" s="380"/>
      <c r="BC550" s="380"/>
      <c r="BD550" s="380"/>
      <c r="BE550" s="404"/>
      <c r="BF550" s="380"/>
      <c r="BG550" s="380"/>
      <c r="BH550" s="380"/>
      <c r="BI550" s="380"/>
      <c r="BJ550" s="380"/>
      <c r="BK550" s="380"/>
      <c r="BL550" s="380"/>
      <c r="BM550" s="403"/>
      <c r="BS550" s="83"/>
      <c r="CA550" s="405"/>
      <c r="CG550" s="83"/>
      <c r="CO550" s="405"/>
      <c r="CU550" s="83"/>
      <c r="DC550" s="405"/>
      <c r="DI550" s="83"/>
      <c r="DQ550" s="405"/>
      <c r="DW550" s="83"/>
      <c r="EE550" s="405"/>
      <c r="EK550" s="83"/>
      <c r="ES550" s="405"/>
      <c r="EY550" s="83"/>
      <c r="FG550" s="405"/>
      <c r="FM550" s="83"/>
      <c r="FU550" s="405"/>
      <c r="GA550" s="83"/>
      <c r="GI550" s="405"/>
      <c r="GO550" s="83"/>
      <c r="GW550" s="405"/>
      <c r="HC550" s="83"/>
      <c r="HK550" s="405"/>
      <c r="HQ550" s="83"/>
      <c r="HY550" s="405"/>
      <c r="IE550" s="83"/>
      <c r="IM550" s="405"/>
      <c r="IS550" s="83"/>
      <c r="JA550" s="405"/>
      <c r="JG550" s="83"/>
      <c r="JO550" s="405"/>
      <c r="JU550" s="83"/>
      <c r="KC550" s="405"/>
      <c r="KI550" s="83"/>
      <c r="KQ550" s="405"/>
      <c r="KW550" s="83"/>
      <c r="LE550" s="405"/>
      <c r="LK550" s="83"/>
      <c r="LS550" s="405"/>
      <c r="LY550" s="83"/>
      <c r="MG550" s="405"/>
      <c r="MM550" s="83"/>
      <c r="MU550" s="405"/>
      <c r="NA550" s="83"/>
    </row>
    <row r="551">
      <c r="A551" s="483"/>
      <c r="B551" s="380"/>
      <c r="C551" s="380"/>
      <c r="D551" s="380"/>
      <c r="E551" s="380"/>
      <c r="F551" s="380"/>
      <c r="G551" s="380"/>
      <c r="H551" s="380"/>
      <c r="I551" s="403"/>
      <c r="J551" s="380"/>
      <c r="K551" s="380"/>
      <c r="L551" s="380"/>
      <c r="M551" s="380"/>
      <c r="N551" s="380"/>
      <c r="O551" s="404"/>
      <c r="P551" s="380"/>
      <c r="Q551" s="380"/>
      <c r="R551" s="380"/>
      <c r="S551" s="380"/>
      <c r="T551" s="380"/>
      <c r="U551" s="380"/>
      <c r="V551" s="380"/>
      <c r="W551" s="403"/>
      <c r="X551" s="380"/>
      <c r="Y551" s="380"/>
      <c r="Z551" s="380"/>
      <c r="AA551" s="380"/>
      <c r="AB551" s="380"/>
      <c r="AC551" s="404"/>
      <c r="AD551" s="380"/>
      <c r="AE551" s="380"/>
      <c r="AF551" s="380"/>
      <c r="AG551" s="380"/>
      <c r="AH551" s="380"/>
      <c r="AI551" s="380"/>
      <c r="AJ551" s="380"/>
      <c r="AK551" s="403"/>
      <c r="AL551" s="380"/>
      <c r="AM551" s="380"/>
      <c r="AN551" s="380"/>
      <c r="AO551" s="380"/>
      <c r="AP551" s="380"/>
      <c r="AQ551" s="404"/>
      <c r="AR551" s="380"/>
      <c r="AS551" s="380"/>
      <c r="AT551" s="380"/>
      <c r="AU551" s="380"/>
      <c r="AV551" s="380"/>
      <c r="AW551" s="380"/>
      <c r="AX551" s="380"/>
      <c r="AY551" s="403"/>
      <c r="AZ551" s="380"/>
      <c r="BA551" s="380"/>
      <c r="BB551" s="380"/>
      <c r="BC551" s="380"/>
      <c r="BD551" s="380"/>
      <c r="BE551" s="404"/>
      <c r="BF551" s="380"/>
      <c r="BG551" s="380"/>
      <c r="BH551" s="380"/>
      <c r="BI551" s="380"/>
      <c r="BJ551" s="380"/>
      <c r="BK551" s="380"/>
      <c r="BL551" s="380"/>
      <c r="BM551" s="403"/>
      <c r="BS551" s="83"/>
      <c r="CA551" s="405"/>
      <c r="CG551" s="83"/>
      <c r="CO551" s="405"/>
      <c r="CU551" s="83"/>
      <c r="DC551" s="405"/>
      <c r="DI551" s="83"/>
      <c r="DQ551" s="405"/>
      <c r="DW551" s="83"/>
      <c r="EE551" s="405"/>
      <c r="EK551" s="83"/>
      <c r="ES551" s="405"/>
      <c r="EY551" s="83"/>
      <c r="FG551" s="405"/>
      <c r="FM551" s="83"/>
      <c r="FU551" s="405"/>
      <c r="GA551" s="83"/>
      <c r="GI551" s="405"/>
      <c r="GO551" s="83"/>
      <c r="GW551" s="405"/>
      <c r="HC551" s="83"/>
      <c r="HK551" s="405"/>
      <c r="HQ551" s="83"/>
      <c r="HY551" s="405"/>
      <c r="IE551" s="83"/>
      <c r="IM551" s="405"/>
      <c r="IS551" s="83"/>
      <c r="JA551" s="405"/>
      <c r="JG551" s="83"/>
      <c r="JO551" s="405"/>
      <c r="JU551" s="83"/>
      <c r="KC551" s="405"/>
      <c r="KI551" s="83"/>
      <c r="KQ551" s="405"/>
      <c r="KW551" s="83"/>
      <c r="LE551" s="405"/>
      <c r="LK551" s="83"/>
      <c r="LS551" s="405"/>
      <c r="LY551" s="83"/>
      <c r="MG551" s="405"/>
      <c r="MM551" s="83"/>
      <c r="MU551" s="405"/>
      <c r="NA551" s="83"/>
    </row>
    <row r="552">
      <c r="A552" s="483"/>
      <c r="B552" s="380"/>
      <c r="C552" s="380"/>
      <c r="D552" s="380"/>
      <c r="E552" s="380"/>
      <c r="F552" s="380"/>
      <c r="G552" s="380"/>
      <c r="H552" s="380"/>
      <c r="I552" s="403"/>
      <c r="J552" s="380"/>
      <c r="K552" s="380"/>
      <c r="L552" s="380"/>
      <c r="M552" s="380"/>
      <c r="N552" s="380"/>
      <c r="O552" s="404"/>
      <c r="P552" s="380"/>
      <c r="Q552" s="380"/>
      <c r="R552" s="380"/>
      <c r="S552" s="380"/>
      <c r="T552" s="380"/>
      <c r="U552" s="380"/>
      <c r="V552" s="380"/>
      <c r="W552" s="403"/>
      <c r="X552" s="380"/>
      <c r="Y552" s="380"/>
      <c r="Z552" s="380"/>
      <c r="AA552" s="380"/>
      <c r="AB552" s="380"/>
      <c r="AC552" s="404"/>
      <c r="AD552" s="380"/>
      <c r="AE552" s="380"/>
      <c r="AF552" s="380"/>
      <c r="AG552" s="380"/>
      <c r="AH552" s="380"/>
      <c r="AI552" s="380"/>
      <c r="AJ552" s="380"/>
      <c r="AK552" s="403"/>
      <c r="AL552" s="380"/>
      <c r="AM552" s="380"/>
      <c r="AN552" s="380"/>
      <c r="AO552" s="380"/>
      <c r="AP552" s="380"/>
      <c r="AQ552" s="404"/>
      <c r="AR552" s="380"/>
      <c r="AS552" s="380"/>
      <c r="AT552" s="380"/>
      <c r="AU552" s="380"/>
      <c r="AV552" s="380"/>
      <c r="AW552" s="380"/>
      <c r="AX552" s="380"/>
      <c r="AY552" s="403"/>
      <c r="AZ552" s="380"/>
      <c r="BA552" s="380"/>
      <c r="BB552" s="380"/>
      <c r="BC552" s="380"/>
      <c r="BD552" s="380"/>
      <c r="BE552" s="404"/>
      <c r="BF552" s="380"/>
      <c r="BG552" s="380"/>
      <c r="BH552" s="380"/>
      <c r="BI552" s="380"/>
      <c r="BJ552" s="380"/>
      <c r="BK552" s="380"/>
      <c r="BL552" s="380"/>
      <c r="BM552" s="403"/>
      <c r="BS552" s="83"/>
      <c r="CA552" s="405"/>
      <c r="CG552" s="83"/>
      <c r="CO552" s="405"/>
      <c r="CU552" s="83"/>
      <c r="DC552" s="405"/>
      <c r="DI552" s="83"/>
      <c r="DQ552" s="405"/>
      <c r="DW552" s="83"/>
      <c r="EE552" s="405"/>
      <c r="EK552" s="83"/>
      <c r="ES552" s="405"/>
      <c r="EY552" s="83"/>
      <c r="FG552" s="405"/>
      <c r="FM552" s="83"/>
      <c r="FU552" s="405"/>
      <c r="GA552" s="83"/>
      <c r="GI552" s="405"/>
      <c r="GO552" s="83"/>
      <c r="GW552" s="405"/>
      <c r="HC552" s="83"/>
      <c r="HK552" s="405"/>
      <c r="HQ552" s="83"/>
      <c r="HY552" s="405"/>
      <c r="IE552" s="83"/>
      <c r="IM552" s="405"/>
      <c r="IS552" s="83"/>
      <c r="JA552" s="405"/>
      <c r="JG552" s="83"/>
      <c r="JO552" s="405"/>
      <c r="JU552" s="83"/>
      <c r="KC552" s="405"/>
      <c r="KI552" s="83"/>
      <c r="KQ552" s="405"/>
      <c r="KW552" s="83"/>
      <c r="LE552" s="405"/>
      <c r="LK552" s="83"/>
      <c r="LS552" s="405"/>
      <c r="LY552" s="83"/>
      <c r="MG552" s="405"/>
      <c r="MM552" s="83"/>
      <c r="MU552" s="405"/>
      <c r="NA552" s="83"/>
    </row>
    <row r="553">
      <c r="A553" s="483"/>
      <c r="B553" s="380"/>
      <c r="C553" s="380"/>
      <c r="D553" s="380"/>
      <c r="E553" s="380"/>
      <c r="F553" s="380"/>
      <c r="G553" s="380"/>
      <c r="H553" s="380"/>
      <c r="I553" s="403"/>
      <c r="J553" s="380"/>
      <c r="K553" s="380"/>
      <c r="L553" s="380"/>
      <c r="M553" s="380"/>
      <c r="N553" s="380"/>
      <c r="O553" s="404"/>
      <c r="P553" s="380"/>
      <c r="Q553" s="380"/>
      <c r="R553" s="380"/>
      <c r="S553" s="380"/>
      <c r="T553" s="380"/>
      <c r="U553" s="380"/>
      <c r="V553" s="380"/>
      <c r="W553" s="403"/>
      <c r="X553" s="380"/>
      <c r="Y553" s="380"/>
      <c r="Z553" s="380"/>
      <c r="AA553" s="380"/>
      <c r="AB553" s="380"/>
      <c r="AC553" s="404"/>
      <c r="AD553" s="380"/>
      <c r="AE553" s="380"/>
      <c r="AF553" s="380"/>
      <c r="AG553" s="380"/>
      <c r="AH553" s="380"/>
      <c r="AI553" s="380"/>
      <c r="AJ553" s="380"/>
      <c r="AK553" s="403"/>
      <c r="AL553" s="380"/>
      <c r="AM553" s="380"/>
      <c r="AN553" s="380"/>
      <c r="AO553" s="380"/>
      <c r="AP553" s="380"/>
      <c r="AQ553" s="404"/>
      <c r="AR553" s="380"/>
      <c r="AS553" s="380"/>
      <c r="AT553" s="380"/>
      <c r="AU553" s="380"/>
      <c r="AV553" s="380"/>
      <c r="AW553" s="380"/>
      <c r="AX553" s="380"/>
      <c r="AY553" s="403"/>
      <c r="AZ553" s="380"/>
      <c r="BA553" s="380"/>
      <c r="BB553" s="380"/>
      <c r="BC553" s="380"/>
      <c r="BD553" s="380"/>
      <c r="BE553" s="404"/>
      <c r="BF553" s="380"/>
      <c r="BG553" s="380"/>
      <c r="BH553" s="380"/>
      <c r="BI553" s="380"/>
      <c r="BJ553" s="380"/>
      <c r="BK553" s="380"/>
      <c r="BL553" s="380"/>
      <c r="BM553" s="403"/>
      <c r="BS553" s="83"/>
      <c r="CA553" s="405"/>
      <c r="CG553" s="83"/>
      <c r="CO553" s="405"/>
      <c r="CU553" s="83"/>
      <c r="DC553" s="405"/>
      <c r="DI553" s="83"/>
      <c r="DQ553" s="405"/>
      <c r="DW553" s="83"/>
      <c r="EE553" s="405"/>
      <c r="EK553" s="83"/>
      <c r="ES553" s="405"/>
      <c r="EY553" s="83"/>
      <c r="FG553" s="405"/>
      <c r="FM553" s="83"/>
      <c r="FU553" s="405"/>
      <c r="GA553" s="83"/>
      <c r="GI553" s="405"/>
      <c r="GO553" s="83"/>
      <c r="GW553" s="405"/>
      <c r="HC553" s="83"/>
      <c r="HK553" s="405"/>
      <c r="HQ553" s="83"/>
      <c r="HY553" s="405"/>
      <c r="IE553" s="83"/>
      <c r="IM553" s="405"/>
      <c r="IS553" s="83"/>
      <c r="JA553" s="405"/>
      <c r="JG553" s="83"/>
      <c r="JO553" s="405"/>
      <c r="JU553" s="83"/>
      <c r="KC553" s="405"/>
      <c r="KI553" s="83"/>
      <c r="KQ553" s="405"/>
      <c r="KW553" s="83"/>
      <c r="LE553" s="405"/>
      <c r="LK553" s="83"/>
      <c r="LS553" s="405"/>
      <c r="LY553" s="83"/>
      <c r="MG553" s="405"/>
      <c r="MM553" s="83"/>
      <c r="MU553" s="405"/>
      <c r="NA553" s="83"/>
    </row>
    <row r="554">
      <c r="A554" s="483"/>
      <c r="B554" s="380"/>
      <c r="C554" s="380"/>
      <c r="D554" s="380"/>
      <c r="E554" s="380"/>
      <c r="F554" s="380"/>
      <c r="G554" s="380"/>
      <c r="H554" s="380"/>
      <c r="I554" s="403"/>
      <c r="J554" s="380"/>
      <c r="K554" s="380"/>
      <c r="L554" s="380"/>
      <c r="M554" s="380"/>
      <c r="N554" s="380"/>
      <c r="O554" s="404"/>
      <c r="P554" s="380"/>
      <c r="Q554" s="380"/>
      <c r="R554" s="380"/>
      <c r="S554" s="380"/>
      <c r="T554" s="380"/>
      <c r="U554" s="380"/>
      <c r="V554" s="380"/>
      <c r="W554" s="403"/>
      <c r="X554" s="380"/>
      <c r="Y554" s="380"/>
      <c r="Z554" s="380"/>
      <c r="AA554" s="380"/>
      <c r="AB554" s="380"/>
      <c r="AC554" s="404"/>
      <c r="AD554" s="380"/>
      <c r="AE554" s="380"/>
      <c r="AF554" s="380"/>
      <c r="AG554" s="380"/>
      <c r="AH554" s="380"/>
      <c r="AI554" s="380"/>
      <c r="AJ554" s="380"/>
      <c r="AK554" s="403"/>
      <c r="AL554" s="380"/>
      <c r="AM554" s="380"/>
      <c r="AN554" s="380"/>
      <c r="AO554" s="380"/>
      <c r="AP554" s="380"/>
      <c r="AQ554" s="404"/>
      <c r="AR554" s="380"/>
      <c r="AS554" s="380"/>
      <c r="AT554" s="380"/>
      <c r="AU554" s="380"/>
      <c r="AV554" s="380"/>
      <c r="AW554" s="380"/>
      <c r="AX554" s="380"/>
      <c r="AY554" s="403"/>
      <c r="AZ554" s="380"/>
      <c r="BA554" s="380"/>
      <c r="BB554" s="380"/>
      <c r="BC554" s="380"/>
      <c r="BD554" s="380"/>
      <c r="BE554" s="404"/>
      <c r="BF554" s="380"/>
      <c r="BG554" s="380"/>
      <c r="BH554" s="380"/>
      <c r="BI554" s="380"/>
      <c r="BJ554" s="380"/>
      <c r="BK554" s="380"/>
      <c r="BL554" s="380"/>
      <c r="BM554" s="403"/>
      <c r="BS554" s="83"/>
      <c r="CA554" s="405"/>
      <c r="CG554" s="83"/>
      <c r="CO554" s="405"/>
      <c r="CU554" s="83"/>
      <c r="DC554" s="405"/>
      <c r="DI554" s="83"/>
      <c r="DQ554" s="405"/>
      <c r="DW554" s="83"/>
      <c r="EE554" s="405"/>
      <c r="EK554" s="83"/>
      <c r="ES554" s="405"/>
      <c r="EY554" s="83"/>
      <c r="FG554" s="405"/>
      <c r="FM554" s="83"/>
      <c r="FU554" s="405"/>
      <c r="GA554" s="83"/>
      <c r="GI554" s="405"/>
      <c r="GO554" s="83"/>
      <c r="GW554" s="405"/>
      <c r="HC554" s="83"/>
      <c r="HK554" s="405"/>
      <c r="HQ554" s="83"/>
      <c r="HY554" s="405"/>
      <c r="IE554" s="83"/>
      <c r="IM554" s="405"/>
      <c r="IS554" s="83"/>
      <c r="JA554" s="405"/>
      <c r="JG554" s="83"/>
      <c r="JO554" s="405"/>
      <c r="JU554" s="83"/>
      <c r="KC554" s="405"/>
      <c r="KI554" s="83"/>
      <c r="KQ554" s="405"/>
      <c r="KW554" s="83"/>
      <c r="LE554" s="405"/>
      <c r="LK554" s="83"/>
      <c r="LS554" s="405"/>
      <c r="LY554" s="83"/>
      <c r="MG554" s="405"/>
      <c r="MM554" s="83"/>
      <c r="MU554" s="405"/>
      <c r="NA554" s="83"/>
    </row>
    <row r="555">
      <c r="A555" s="483"/>
      <c r="B555" s="380"/>
      <c r="C555" s="380"/>
      <c r="D555" s="380"/>
      <c r="E555" s="380"/>
      <c r="F555" s="380"/>
      <c r="G555" s="380"/>
      <c r="H555" s="380"/>
      <c r="I555" s="403"/>
      <c r="J555" s="380"/>
      <c r="K555" s="380"/>
      <c r="L555" s="380"/>
      <c r="M555" s="380"/>
      <c r="N555" s="380"/>
      <c r="O555" s="404"/>
      <c r="P555" s="380"/>
      <c r="Q555" s="380"/>
      <c r="R555" s="380"/>
      <c r="S555" s="380"/>
      <c r="T555" s="380"/>
      <c r="U555" s="380"/>
      <c r="V555" s="380"/>
      <c r="W555" s="403"/>
      <c r="X555" s="380"/>
      <c r="Y555" s="380"/>
      <c r="Z555" s="380"/>
      <c r="AA555" s="380"/>
      <c r="AB555" s="380"/>
      <c r="AC555" s="404"/>
      <c r="AD555" s="380"/>
      <c r="AE555" s="380"/>
      <c r="AF555" s="380"/>
      <c r="AG555" s="380"/>
      <c r="AH555" s="380"/>
      <c r="AI555" s="380"/>
      <c r="AJ555" s="380"/>
      <c r="AK555" s="403"/>
      <c r="AL555" s="380"/>
      <c r="AM555" s="380"/>
      <c r="AN555" s="380"/>
      <c r="AO555" s="380"/>
      <c r="AP555" s="380"/>
      <c r="AQ555" s="404"/>
      <c r="AR555" s="380"/>
      <c r="AS555" s="380"/>
      <c r="AT555" s="380"/>
      <c r="AU555" s="380"/>
      <c r="AV555" s="380"/>
      <c r="AW555" s="380"/>
      <c r="AX555" s="380"/>
      <c r="AY555" s="403"/>
      <c r="AZ555" s="380"/>
      <c r="BA555" s="380"/>
      <c r="BB555" s="380"/>
      <c r="BC555" s="380"/>
      <c r="BD555" s="380"/>
      <c r="BE555" s="404"/>
      <c r="BF555" s="380"/>
      <c r="BG555" s="380"/>
      <c r="BH555" s="380"/>
      <c r="BI555" s="380"/>
      <c r="BJ555" s="380"/>
      <c r="BK555" s="380"/>
      <c r="BL555" s="380"/>
      <c r="BM555" s="403"/>
      <c r="BS555" s="83"/>
      <c r="CA555" s="405"/>
      <c r="CG555" s="83"/>
      <c r="CO555" s="405"/>
      <c r="CU555" s="83"/>
      <c r="DC555" s="405"/>
      <c r="DI555" s="83"/>
      <c r="DQ555" s="405"/>
      <c r="DW555" s="83"/>
      <c r="EE555" s="405"/>
      <c r="EK555" s="83"/>
      <c r="ES555" s="405"/>
      <c r="EY555" s="83"/>
      <c r="FG555" s="405"/>
      <c r="FM555" s="83"/>
      <c r="FU555" s="405"/>
      <c r="GA555" s="83"/>
      <c r="GI555" s="405"/>
      <c r="GO555" s="83"/>
      <c r="GW555" s="405"/>
      <c r="HC555" s="83"/>
      <c r="HK555" s="405"/>
      <c r="HQ555" s="83"/>
      <c r="HY555" s="405"/>
      <c r="IE555" s="83"/>
      <c r="IM555" s="405"/>
      <c r="IS555" s="83"/>
      <c r="JA555" s="405"/>
      <c r="JG555" s="83"/>
      <c r="JO555" s="405"/>
      <c r="JU555" s="83"/>
      <c r="KC555" s="405"/>
      <c r="KI555" s="83"/>
      <c r="KQ555" s="405"/>
      <c r="KW555" s="83"/>
      <c r="LE555" s="405"/>
      <c r="LK555" s="83"/>
      <c r="LS555" s="405"/>
      <c r="LY555" s="83"/>
      <c r="MG555" s="405"/>
      <c r="MM555" s="83"/>
      <c r="MU555" s="405"/>
      <c r="NA555" s="83"/>
    </row>
    <row r="556">
      <c r="A556" s="483"/>
      <c r="B556" s="380"/>
      <c r="C556" s="380"/>
      <c r="D556" s="380"/>
      <c r="E556" s="380"/>
      <c r="F556" s="380"/>
      <c r="G556" s="380"/>
      <c r="H556" s="380"/>
      <c r="I556" s="403"/>
      <c r="J556" s="380"/>
      <c r="K556" s="380"/>
      <c r="L556" s="380"/>
      <c r="M556" s="380"/>
      <c r="N556" s="380"/>
      <c r="O556" s="404"/>
      <c r="P556" s="380"/>
      <c r="Q556" s="380"/>
      <c r="R556" s="380"/>
      <c r="S556" s="380"/>
      <c r="T556" s="380"/>
      <c r="U556" s="380"/>
      <c r="V556" s="380"/>
      <c r="W556" s="403"/>
      <c r="X556" s="380"/>
      <c r="Y556" s="380"/>
      <c r="Z556" s="380"/>
      <c r="AA556" s="380"/>
      <c r="AB556" s="380"/>
      <c r="AC556" s="404"/>
      <c r="AD556" s="380"/>
      <c r="AE556" s="380"/>
      <c r="AF556" s="380"/>
      <c r="AG556" s="380"/>
      <c r="AH556" s="380"/>
      <c r="AI556" s="380"/>
      <c r="AJ556" s="380"/>
      <c r="AK556" s="403"/>
      <c r="AL556" s="380"/>
      <c r="AM556" s="380"/>
      <c r="AN556" s="380"/>
      <c r="AO556" s="380"/>
      <c r="AP556" s="380"/>
      <c r="AQ556" s="404"/>
      <c r="AR556" s="380"/>
      <c r="AS556" s="380"/>
      <c r="AT556" s="380"/>
      <c r="AU556" s="380"/>
      <c r="AV556" s="380"/>
      <c r="AW556" s="380"/>
      <c r="AX556" s="380"/>
      <c r="AY556" s="403"/>
      <c r="AZ556" s="380"/>
      <c r="BA556" s="380"/>
      <c r="BB556" s="380"/>
      <c r="BC556" s="380"/>
      <c r="BD556" s="380"/>
      <c r="BE556" s="404"/>
      <c r="BF556" s="380"/>
      <c r="BG556" s="380"/>
      <c r="BH556" s="380"/>
      <c r="BI556" s="380"/>
      <c r="BJ556" s="380"/>
      <c r="BK556" s="380"/>
      <c r="BL556" s="380"/>
      <c r="BM556" s="403"/>
      <c r="BS556" s="83"/>
      <c r="CA556" s="405"/>
      <c r="CG556" s="83"/>
      <c r="CO556" s="405"/>
      <c r="CU556" s="83"/>
      <c r="DC556" s="405"/>
      <c r="DI556" s="83"/>
      <c r="DQ556" s="405"/>
      <c r="DW556" s="83"/>
      <c r="EE556" s="405"/>
      <c r="EK556" s="83"/>
      <c r="ES556" s="405"/>
      <c r="EY556" s="83"/>
      <c r="FG556" s="405"/>
      <c r="FM556" s="83"/>
      <c r="FU556" s="405"/>
      <c r="GA556" s="83"/>
      <c r="GI556" s="405"/>
      <c r="GO556" s="83"/>
      <c r="GW556" s="405"/>
      <c r="HC556" s="83"/>
      <c r="HK556" s="405"/>
      <c r="HQ556" s="83"/>
      <c r="HY556" s="405"/>
      <c r="IE556" s="83"/>
      <c r="IM556" s="405"/>
      <c r="IS556" s="83"/>
      <c r="JA556" s="405"/>
      <c r="JG556" s="83"/>
      <c r="JO556" s="405"/>
      <c r="JU556" s="83"/>
      <c r="KC556" s="405"/>
      <c r="KI556" s="83"/>
      <c r="KQ556" s="405"/>
      <c r="KW556" s="83"/>
      <c r="LE556" s="405"/>
      <c r="LK556" s="83"/>
      <c r="LS556" s="405"/>
      <c r="LY556" s="83"/>
      <c r="MG556" s="405"/>
      <c r="MM556" s="83"/>
      <c r="MU556" s="405"/>
      <c r="NA556" s="83"/>
    </row>
    <row r="557">
      <c r="A557" s="483"/>
      <c r="B557" s="380"/>
      <c r="C557" s="380"/>
      <c r="D557" s="380"/>
      <c r="E557" s="380"/>
      <c r="F557" s="380"/>
      <c r="G557" s="380"/>
      <c r="H557" s="380"/>
      <c r="I557" s="403"/>
      <c r="J557" s="380"/>
      <c r="K557" s="380"/>
      <c r="L557" s="380"/>
      <c r="M557" s="380"/>
      <c r="N557" s="380"/>
      <c r="O557" s="404"/>
      <c r="P557" s="380"/>
      <c r="Q557" s="380"/>
      <c r="R557" s="380"/>
      <c r="S557" s="380"/>
      <c r="T557" s="380"/>
      <c r="U557" s="380"/>
      <c r="V557" s="380"/>
      <c r="W557" s="403"/>
      <c r="X557" s="380"/>
      <c r="Y557" s="380"/>
      <c r="Z557" s="380"/>
      <c r="AA557" s="380"/>
      <c r="AB557" s="380"/>
      <c r="AC557" s="404"/>
      <c r="AD557" s="380"/>
      <c r="AE557" s="380"/>
      <c r="AF557" s="380"/>
      <c r="AG557" s="380"/>
      <c r="AH557" s="380"/>
      <c r="AI557" s="380"/>
      <c r="AJ557" s="380"/>
      <c r="AK557" s="403"/>
      <c r="AL557" s="380"/>
      <c r="AM557" s="380"/>
      <c r="AN557" s="380"/>
      <c r="AO557" s="380"/>
      <c r="AP557" s="380"/>
      <c r="AQ557" s="404"/>
      <c r="AR557" s="380"/>
      <c r="AS557" s="380"/>
      <c r="AT557" s="380"/>
      <c r="AU557" s="380"/>
      <c r="AV557" s="380"/>
      <c r="AW557" s="380"/>
      <c r="AX557" s="380"/>
      <c r="AY557" s="403"/>
      <c r="AZ557" s="380"/>
      <c r="BA557" s="380"/>
      <c r="BB557" s="380"/>
      <c r="BC557" s="380"/>
      <c r="BD557" s="380"/>
      <c r="BE557" s="404"/>
      <c r="BF557" s="380"/>
      <c r="BG557" s="380"/>
      <c r="BH557" s="380"/>
      <c r="BI557" s="380"/>
      <c r="BJ557" s="380"/>
      <c r="BK557" s="380"/>
      <c r="BL557" s="380"/>
      <c r="BM557" s="403"/>
      <c r="BS557" s="83"/>
      <c r="CA557" s="405"/>
      <c r="CG557" s="83"/>
      <c r="CO557" s="405"/>
      <c r="CU557" s="83"/>
      <c r="DC557" s="405"/>
      <c r="DI557" s="83"/>
      <c r="DQ557" s="405"/>
      <c r="DW557" s="83"/>
      <c r="EE557" s="405"/>
      <c r="EK557" s="83"/>
      <c r="ES557" s="405"/>
      <c r="EY557" s="83"/>
      <c r="FG557" s="405"/>
      <c r="FM557" s="83"/>
      <c r="FU557" s="405"/>
      <c r="GA557" s="83"/>
      <c r="GI557" s="405"/>
      <c r="GO557" s="83"/>
      <c r="GW557" s="405"/>
      <c r="HC557" s="83"/>
      <c r="HK557" s="405"/>
      <c r="HQ557" s="83"/>
      <c r="HY557" s="405"/>
      <c r="IE557" s="83"/>
      <c r="IM557" s="405"/>
      <c r="IS557" s="83"/>
      <c r="JA557" s="405"/>
      <c r="JG557" s="83"/>
      <c r="JO557" s="405"/>
      <c r="JU557" s="83"/>
      <c r="KC557" s="405"/>
      <c r="KI557" s="83"/>
      <c r="KQ557" s="405"/>
      <c r="KW557" s="83"/>
      <c r="LE557" s="405"/>
      <c r="LK557" s="83"/>
      <c r="LS557" s="405"/>
      <c r="LY557" s="83"/>
      <c r="MG557" s="405"/>
      <c r="MM557" s="83"/>
      <c r="MU557" s="405"/>
      <c r="NA557" s="83"/>
    </row>
    <row r="558">
      <c r="A558" s="483"/>
      <c r="B558" s="380"/>
      <c r="C558" s="380"/>
      <c r="D558" s="380"/>
      <c r="E558" s="380"/>
      <c r="F558" s="380"/>
      <c r="G558" s="380"/>
      <c r="H558" s="380"/>
      <c r="I558" s="403"/>
      <c r="J558" s="380"/>
      <c r="K558" s="380"/>
      <c r="L558" s="380"/>
      <c r="M558" s="380"/>
      <c r="N558" s="380"/>
      <c r="O558" s="404"/>
      <c r="P558" s="380"/>
      <c r="Q558" s="380"/>
      <c r="R558" s="380"/>
      <c r="S558" s="380"/>
      <c r="T558" s="380"/>
      <c r="U558" s="380"/>
      <c r="V558" s="380"/>
      <c r="W558" s="403"/>
      <c r="X558" s="380"/>
      <c r="Y558" s="380"/>
      <c r="Z558" s="380"/>
      <c r="AA558" s="380"/>
      <c r="AB558" s="380"/>
      <c r="AC558" s="404"/>
      <c r="AD558" s="380"/>
      <c r="AE558" s="380"/>
      <c r="AF558" s="380"/>
      <c r="AG558" s="380"/>
      <c r="AH558" s="380"/>
      <c r="AI558" s="380"/>
      <c r="AJ558" s="380"/>
      <c r="AK558" s="403"/>
      <c r="AL558" s="380"/>
      <c r="AM558" s="380"/>
      <c r="AN558" s="380"/>
      <c r="AO558" s="380"/>
      <c r="AP558" s="380"/>
      <c r="AQ558" s="404"/>
      <c r="AR558" s="380"/>
      <c r="AS558" s="380"/>
      <c r="AT558" s="380"/>
      <c r="AU558" s="380"/>
      <c r="AV558" s="380"/>
      <c r="AW558" s="380"/>
      <c r="AX558" s="380"/>
      <c r="AY558" s="403"/>
      <c r="AZ558" s="380"/>
      <c r="BA558" s="380"/>
      <c r="BB558" s="380"/>
      <c r="BC558" s="380"/>
      <c r="BD558" s="380"/>
      <c r="BE558" s="404"/>
      <c r="BF558" s="380"/>
      <c r="BG558" s="380"/>
      <c r="BH558" s="380"/>
      <c r="BI558" s="380"/>
      <c r="BJ558" s="380"/>
      <c r="BK558" s="380"/>
      <c r="BL558" s="380"/>
      <c r="BM558" s="403"/>
      <c r="BS558" s="83"/>
      <c r="CA558" s="405"/>
      <c r="CG558" s="83"/>
      <c r="CO558" s="405"/>
      <c r="CU558" s="83"/>
      <c r="DC558" s="405"/>
      <c r="DI558" s="83"/>
      <c r="DQ558" s="405"/>
      <c r="DW558" s="83"/>
      <c r="EE558" s="405"/>
      <c r="EK558" s="83"/>
      <c r="ES558" s="405"/>
      <c r="EY558" s="83"/>
      <c r="FG558" s="405"/>
      <c r="FM558" s="83"/>
      <c r="FU558" s="405"/>
      <c r="GA558" s="83"/>
      <c r="GI558" s="405"/>
      <c r="GO558" s="83"/>
      <c r="GW558" s="405"/>
      <c r="HC558" s="83"/>
      <c r="HK558" s="405"/>
      <c r="HQ558" s="83"/>
      <c r="HY558" s="405"/>
      <c r="IE558" s="83"/>
      <c r="IM558" s="405"/>
      <c r="IS558" s="83"/>
      <c r="JA558" s="405"/>
      <c r="JG558" s="83"/>
      <c r="JO558" s="405"/>
      <c r="JU558" s="83"/>
      <c r="KC558" s="405"/>
      <c r="KI558" s="83"/>
      <c r="KQ558" s="405"/>
      <c r="KW558" s="83"/>
      <c r="LE558" s="405"/>
      <c r="LK558" s="83"/>
      <c r="LS558" s="405"/>
      <c r="LY558" s="83"/>
      <c r="MG558" s="405"/>
      <c r="MM558" s="83"/>
      <c r="MU558" s="405"/>
      <c r="NA558" s="83"/>
    </row>
    <row r="559">
      <c r="A559" s="483"/>
      <c r="B559" s="380"/>
      <c r="C559" s="380"/>
      <c r="D559" s="380"/>
      <c r="E559" s="380"/>
      <c r="F559" s="380"/>
      <c r="G559" s="380"/>
      <c r="H559" s="380"/>
      <c r="I559" s="403"/>
      <c r="J559" s="380"/>
      <c r="K559" s="380"/>
      <c r="L559" s="380"/>
      <c r="M559" s="380"/>
      <c r="N559" s="380"/>
      <c r="O559" s="404"/>
      <c r="P559" s="380"/>
      <c r="Q559" s="380"/>
      <c r="R559" s="380"/>
      <c r="S559" s="380"/>
      <c r="T559" s="380"/>
      <c r="U559" s="380"/>
      <c r="V559" s="380"/>
      <c r="W559" s="403"/>
      <c r="X559" s="380"/>
      <c r="Y559" s="380"/>
      <c r="Z559" s="380"/>
      <c r="AA559" s="380"/>
      <c r="AB559" s="380"/>
      <c r="AC559" s="404"/>
      <c r="AD559" s="380"/>
      <c r="AE559" s="380"/>
      <c r="AF559" s="380"/>
      <c r="AG559" s="380"/>
      <c r="AH559" s="380"/>
      <c r="AI559" s="380"/>
      <c r="AJ559" s="380"/>
      <c r="AK559" s="403"/>
      <c r="AL559" s="380"/>
      <c r="AM559" s="380"/>
      <c r="AN559" s="380"/>
      <c r="AO559" s="380"/>
      <c r="AP559" s="380"/>
      <c r="AQ559" s="404"/>
      <c r="AR559" s="380"/>
      <c r="AS559" s="380"/>
      <c r="AT559" s="380"/>
      <c r="AU559" s="380"/>
      <c r="AV559" s="380"/>
      <c r="AW559" s="380"/>
      <c r="AX559" s="380"/>
      <c r="AY559" s="403"/>
      <c r="AZ559" s="380"/>
      <c r="BA559" s="380"/>
      <c r="BB559" s="380"/>
      <c r="BC559" s="380"/>
      <c r="BD559" s="380"/>
      <c r="BE559" s="404"/>
      <c r="BF559" s="380"/>
      <c r="BG559" s="380"/>
      <c r="BH559" s="380"/>
      <c r="BI559" s="380"/>
      <c r="BJ559" s="380"/>
      <c r="BK559" s="380"/>
      <c r="BL559" s="380"/>
      <c r="BM559" s="403"/>
      <c r="BS559" s="83"/>
      <c r="CA559" s="405"/>
      <c r="CG559" s="83"/>
      <c r="CO559" s="405"/>
      <c r="CU559" s="83"/>
      <c r="DC559" s="405"/>
      <c r="DI559" s="83"/>
      <c r="DQ559" s="405"/>
      <c r="DW559" s="83"/>
      <c r="EE559" s="405"/>
      <c r="EK559" s="83"/>
      <c r="ES559" s="405"/>
      <c r="EY559" s="83"/>
      <c r="FG559" s="405"/>
      <c r="FM559" s="83"/>
      <c r="FU559" s="405"/>
      <c r="GA559" s="83"/>
      <c r="GI559" s="405"/>
      <c r="GO559" s="83"/>
      <c r="GW559" s="405"/>
      <c r="HC559" s="83"/>
      <c r="HK559" s="405"/>
      <c r="HQ559" s="83"/>
      <c r="HY559" s="405"/>
      <c r="IE559" s="83"/>
      <c r="IM559" s="405"/>
      <c r="IS559" s="83"/>
      <c r="JA559" s="405"/>
      <c r="JG559" s="83"/>
      <c r="JO559" s="405"/>
      <c r="JU559" s="83"/>
      <c r="KC559" s="405"/>
      <c r="KI559" s="83"/>
      <c r="KQ559" s="405"/>
      <c r="KW559" s="83"/>
      <c r="LE559" s="405"/>
      <c r="LK559" s="83"/>
      <c r="LS559" s="405"/>
      <c r="LY559" s="83"/>
      <c r="MG559" s="405"/>
      <c r="MM559" s="83"/>
      <c r="MU559" s="405"/>
      <c r="NA559" s="83"/>
    </row>
    <row r="560">
      <c r="A560" s="483"/>
      <c r="B560" s="380"/>
      <c r="C560" s="380"/>
      <c r="D560" s="380"/>
      <c r="E560" s="380"/>
      <c r="F560" s="380"/>
      <c r="G560" s="380"/>
      <c r="H560" s="380"/>
      <c r="I560" s="403"/>
      <c r="J560" s="380"/>
      <c r="K560" s="380"/>
      <c r="L560" s="380"/>
      <c r="M560" s="380"/>
      <c r="N560" s="380"/>
      <c r="O560" s="404"/>
      <c r="P560" s="380"/>
      <c r="Q560" s="380"/>
      <c r="R560" s="380"/>
      <c r="S560" s="380"/>
      <c r="T560" s="380"/>
      <c r="U560" s="380"/>
      <c r="V560" s="380"/>
      <c r="W560" s="403"/>
      <c r="X560" s="380"/>
      <c r="Y560" s="380"/>
      <c r="Z560" s="380"/>
      <c r="AA560" s="380"/>
      <c r="AB560" s="380"/>
      <c r="AC560" s="404"/>
      <c r="AD560" s="380"/>
      <c r="AE560" s="380"/>
      <c r="AF560" s="380"/>
      <c r="AG560" s="380"/>
      <c r="AH560" s="380"/>
      <c r="AI560" s="380"/>
      <c r="AJ560" s="380"/>
      <c r="AK560" s="403"/>
      <c r="AL560" s="380"/>
      <c r="AM560" s="380"/>
      <c r="AN560" s="380"/>
      <c r="AO560" s="380"/>
      <c r="AP560" s="380"/>
      <c r="AQ560" s="404"/>
      <c r="AR560" s="380"/>
      <c r="AS560" s="380"/>
      <c r="AT560" s="380"/>
      <c r="AU560" s="380"/>
      <c r="AV560" s="380"/>
      <c r="AW560" s="380"/>
      <c r="AX560" s="380"/>
      <c r="AY560" s="403"/>
      <c r="AZ560" s="380"/>
      <c r="BA560" s="380"/>
      <c r="BB560" s="380"/>
      <c r="BC560" s="380"/>
      <c r="BD560" s="380"/>
      <c r="BE560" s="404"/>
      <c r="BF560" s="380"/>
      <c r="BG560" s="380"/>
      <c r="BH560" s="380"/>
      <c r="BI560" s="380"/>
      <c r="BJ560" s="380"/>
      <c r="BK560" s="380"/>
      <c r="BL560" s="380"/>
      <c r="BM560" s="403"/>
      <c r="BS560" s="83"/>
      <c r="CA560" s="405"/>
      <c r="CG560" s="83"/>
      <c r="CO560" s="405"/>
      <c r="CU560" s="83"/>
      <c r="DC560" s="405"/>
      <c r="DI560" s="83"/>
      <c r="DQ560" s="405"/>
      <c r="DW560" s="83"/>
      <c r="EE560" s="405"/>
      <c r="EK560" s="83"/>
      <c r="ES560" s="405"/>
      <c r="EY560" s="83"/>
      <c r="FG560" s="405"/>
      <c r="FM560" s="83"/>
      <c r="FU560" s="405"/>
      <c r="GA560" s="83"/>
      <c r="GI560" s="405"/>
      <c r="GO560" s="83"/>
      <c r="GW560" s="405"/>
      <c r="HC560" s="83"/>
      <c r="HK560" s="405"/>
      <c r="HQ560" s="83"/>
      <c r="HY560" s="405"/>
      <c r="IE560" s="83"/>
      <c r="IM560" s="405"/>
      <c r="IS560" s="83"/>
      <c r="JA560" s="405"/>
      <c r="JG560" s="83"/>
      <c r="JO560" s="405"/>
      <c r="JU560" s="83"/>
      <c r="KC560" s="405"/>
      <c r="KI560" s="83"/>
      <c r="KQ560" s="405"/>
      <c r="KW560" s="83"/>
      <c r="LE560" s="405"/>
      <c r="LK560" s="83"/>
      <c r="LS560" s="405"/>
      <c r="LY560" s="83"/>
      <c r="MG560" s="405"/>
      <c r="MM560" s="83"/>
      <c r="MU560" s="405"/>
      <c r="NA560" s="83"/>
    </row>
    <row r="561">
      <c r="A561" s="483"/>
      <c r="B561" s="380"/>
      <c r="C561" s="380"/>
      <c r="D561" s="380"/>
      <c r="E561" s="380"/>
      <c r="F561" s="380"/>
      <c r="G561" s="380"/>
      <c r="H561" s="380"/>
      <c r="I561" s="403"/>
      <c r="J561" s="380"/>
      <c r="K561" s="380"/>
      <c r="L561" s="380"/>
      <c r="M561" s="380"/>
      <c r="N561" s="380"/>
      <c r="O561" s="404"/>
      <c r="P561" s="380"/>
      <c r="Q561" s="380"/>
      <c r="R561" s="380"/>
      <c r="S561" s="380"/>
      <c r="T561" s="380"/>
      <c r="U561" s="380"/>
      <c r="V561" s="380"/>
      <c r="W561" s="403"/>
      <c r="X561" s="380"/>
      <c r="Y561" s="380"/>
      <c r="Z561" s="380"/>
      <c r="AA561" s="380"/>
      <c r="AB561" s="380"/>
      <c r="AC561" s="404"/>
      <c r="AD561" s="380"/>
      <c r="AE561" s="380"/>
      <c r="AF561" s="380"/>
      <c r="AG561" s="380"/>
      <c r="AH561" s="380"/>
      <c r="AI561" s="380"/>
      <c r="AJ561" s="380"/>
      <c r="AK561" s="403"/>
      <c r="AL561" s="380"/>
      <c r="AM561" s="380"/>
      <c r="AN561" s="380"/>
      <c r="AO561" s="380"/>
      <c r="AP561" s="380"/>
      <c r="AQ561" s="404"/>
      <c r="AR561" s="380"/>
      <c r="AS561" s="380"/>
      <c r="AT561" s="380"/>
      <c r="AU561" s="380"/>
      <c r="AV561" s="380"/>
      <c r="AW561" s="380"/>
      <c r="AX561" s="380"/>
      <c r="AY561" s="403"/>
      <c r="AZ561" s="380"/>
      <c r="BA561" s="380"/>
      <c r="BB561" s="380"/>
      <c r="BC561" s="380"/>
      <c r="BD561" s="380"/>
      <c r="BE561" s="404"/>
      <c r="BF561" s="380"/>
      <c r="BG561" s="380"/>
      <c r="BH561" s="380"/>
      <c r="BI561" s="380"/>
      <c r="BJ561" s="380"/>
      <c r="BK561" s="380"/>
      <c r="BL561" s="380"/>
      <c r="BM561" s="403"/>
      <c r="BS561" s="83"/>
      <c r="CA561" s="405"/>
      <c r="CG561" s="83"/>
      <c r="CO561" s="405"/>
      <c r="CU561" s="83"/>
      <c r="DC561" s="405"/>
      <c r="DI561" s="83"/>
      <c r="DQ561" s="405"/>
      <c r="DW561" s="83"/>
      <c r="EE561" s="405"/>
      <c r="EK561" s="83"/>
      <c r="ES561" s="405"/>
      <c r="EY561" s="83"/>
      <c r="FG561" s="405"/>
      <c r="FM561" s="83"/>
      <c r="FU561" s="405"/>
      <c r="GA561" s="83"/>
      <c r="GI561" s="405"/>
      <c r="GO561" s="83"/>
      <c r="GW561" s="405"/>
      <c r="HC561" s="83"/>
      <c r="HK561" s="405"/>
      <c r="HQ561" s="83"/>
      <c r="HY561" s="405"/>
      <c r="IE561" s="83"/>
      <c r="IM561" s="405"/>
      <c r="IS561" s="83"/>
      <c r="JA561" s="405"/>
      <c r="JG561" s="83"/>
      <c r="JO561" s="405"/>
      <c r="JU561" s="83"/>
      <c r="KC561" s="405"/>
      <c r="KI561" s="83"/>
      <c r="KQ561" s="405"/>
      <c r="KW561" s="83"/>
      <c r="LE561" s="405"/>
      <c r="LK561" s="83"/>
      <c r="LS561" s="405"/>
      <c r="LY561" s="83"/>
      <c r="MG561" s="405"/>
      <c r="MM561" s="83"/>
      <c r="MU561" s="405"/>
      <c r="NA561" s="83"/>
    </row>
    <row r="562">
      <c r="A562" s="483"/>
      <c r="B562" s="380"/>
      <c r="C562" s="380"/>
      <c r="D562" s="380"/>
      <c r="E562" s="380"/>
      <c r="F562" s="380"/>
      <c r="G562" s="380"/>
      <c r="H562" s="380"/>
      <c r="I562" s="403"/>
      <c r="J562" s="380"/>
      <c r="K562" s="380"/>
      <c r="L562" s="380"/>
      <c r="M562" s="380"/>
      <c r="N562" s="380"/>
      <c r="O562" s="404"/>
      <c r="P562" s="380"/>
      <c r="Q562" s="380"/>
      <c r="R562" s="380"/>
      <c r="S562" s="380"/>
      <c r="T562" s="380"/>
      <c r="U562" s="380"/>
      <c r="V562" s="380"/>
      <c r="W562" s="403"/>
      <c r="X562" s="380"/>
      <c r="Y562" s="380"/>
      <c r="Z562" s="380"/>
      <c r="AA562" s="380"/>
      <c r="AB562" s="380"/>
      <c r="AC562" s="404"/>
      <c r="AD562" s="380"/>
      <c r="AE562" s="380"/>
      <c r="AF562" s="380"/>
      <c r="AG562" s="380"/>
      <c r="AH562" s="380"/>
      <c r="AI562" s="380"/>
      <c r="AJ562" s="380"/>
      <c r="AK562" s="403"/>
      <c r="AL562" s="380"/>
      <c r="AM562" s="380"/>
      <c r="AN562" s="380"/>
      <c r="AO562" s="380"/>
      <c r="AP562" s="380"/>
      <c r="AQ562" s="404"/>
      <c r="AR562" s="380"/>
      <c r="AS562" s="380"/>
      <c r="AT562" s="380"/>
      <c r="AU562" s="380"/>
      <c r="AV562" s="380"/>
      <c r="AW562" s="380"/>
      <c r="AX562" s="380"/>
      <c r="AY562" s="403"/>
      <c r="AZ562" s="380"/>
      <c r="BA562" s="380"/>
      <c r="BB562" s="380"/>
      <c r="BC562" s="380"/>
      <c r="BD562" s="380"/>
      <c r="BE562" s="404"/>
      <c r="BF562" s="380"/>
      <c r="BG562" s="380"/>
      <c r="BH562" s="380"/>
      <c r="BI562" s="380"/>
      <c r="BJ562" s="380"/>
      <c r="BK562" s="380"/>
      <c r="BL562" s="380"/>
      <c r="BM562" s="403"/>
      <c r="BS562" s="83"/>
      <c r="CA562" s="405"/>
      <c r="CG562" s="83"/>
      <c r="CO562" s="405"/>
      <c r="CU562" s="83"/>
      <c r="DC562" s="405"/>
      <c r="DI562" s="83"/>
      <c r="DQ562" s="405"/>
      <c r="DW562" s="83"/>
      <c r="EE562" s="405"/>
      <c r="EK562" s="83"/>
      <c r="ES562" s="405"/>
      <c r="EY562" s="83"/>
      <c r="FG562" s="405"/>
      <c r="FM562" s="83"/>
      <c r="FU562" s="405"/>
      <c r="GA562" s="83"/>
      <c r="GI562" s="405"/>
      <c r="GO562" s="83"/>
      <c r="GW562" s="405"/>
      <c r="HC562" s="83"/>
      <c r="HK562" s="405"/>
      <c r="HQ562" s="83"/>
      <c r="HY562" s="405"/>
      <c r="IE562" s="83"/>
      <c r="IM562" s="405"/>
      <c r="IS562" s="83"/>
      <c r="JA562" s="405"/>
      <c r="JG562" s="83"/>
      <c r="JO562" s="405"/>
      <c r="JU562" s="83"/>
      <c r="KC562" s="405"/>
      <c r="KI562" s="83"/>
      <c r="KQ562" s="405"/>
      <c r="KW562" s="83"/>
      <c r="LE562" s="405"/>
      <c r="LK562" s="83"/>
      <c r="LS562" s="405"/>
      <c r="LY562" s="83"/>
      <c r="MG562" s="405"/>
      <c r="MM562" s="83"/>
      <c r="MU562" s="405"/>
      <c r="NA562" s="83"/>
    </row>
    <row r="563">
      <c r="A563" s="483"/>
      <c r="B563" s="380"/>
      <c r="C563" s="380"/>
      <c r="D563" s="380"/>
      <c r="E563" s="380"/>
      <c r="F563" s="380"/>
      <c r="G563" s="380"/>
      <c r="H563" s="380"/>
      <c r="I563" s="403"/>
      <c r="J563" s="380"/>
      <c r="K563" s="380"/>
      <c r="L563" s="380"/>
      <c r="M563" s="380"/>
      <c r="N563" s="380"/>
      <c r="O563" s="404"/>
      <c r="P563" s="380"/>
      <c r="Q563" s="380"/>
      <c r="R563" s="380"/>
      <c r="S563" s="380"/>
      <c r="T563" s="380"/>
      <c r="U563" s="380"/>
      <c r="V563" s="380"/>
      <c r="W563" s="403"/>
      <c r="X563" s="380"/>
      <c r="Y563" s="380"/>
      <c r="Z563" s="380"/>
      <c r="AA563" s="380"/>
      <c r="AB563" s="380"/>
      <c r="AC563" s="404"/>
      <c r="AD563" s="380"/>
      <c r="AE563" s="380"/>
      <c r="AF563" s="380"/>
      <c r="AG563" s="380"/>
      <c r="AH563" s="380"/>
      <c r="AI563" s="380"/>
      <c r="AJ563" s="380"/>
      <c r="AK563" s="403"/>
      <c r="AL563" s="380"/>
      <c r="AM563" s="380"/>
      <c r="AN563" s="380"/>
      <c r="AO563" s="380"/>
      <c r="AP563" s="380"/>
      <c r="AQ563" s="404"/>
      <c r="AR563" s="380"/>
      <c r="AS563" s="380"/>
      <c r="AT563" s="380"/>
      <c r="AU563" s="380"/>
      <c r="AV563" s="380"/>
      <c r="AW563" s="380"/>
      <c r="AX563" s="380"/>
      <c r="AY563" s="403"/>
      <c r="AZ563" s="380"/>
      <c r="BA563" s="380"/>
      <c r="BB563" s="380"/>
      <c r="BC563" s="380"/>
      <c r="BD563" s="380"/>
      <c r="BE563" s="404"/>
      <c r="BF563" s="380"/>
      <c r="BG563" s="380"/>
      <c r="BH563" s="380"/>
      <c r="BI563" s="380"/>
      <c r="BJ563" s="380"/>
      <c r="BK563" s="380"/>
      <c r="BL563" s="380"/>
      <c r="BM563" s="403"/>
      <c r="BS563" s="83"/>
      <c r="CA563" s="405"/>
      <c r="CG563" s="83"/>
      <c r="CO563" s="405"/>
      <c r="CU563" s="83"/>
      <c r="DC563" s="405"/>
      <c r="DI563" s="83"/>
      <c r="DQ563" s="405"/>
      <c r="DW563" s="83"/>
      <c r="EE563" s="405"/>
      <c r="EK563" s="83"/>
      <c r="ES563" s="405"/>
      <c r="EY563" s="83"/>
      <c r="FG563" s="405"/>
      <c r="FM563" s="83"/>
      <c r="FU563" s="405"/>
      <c r="GA563" s="83"/>
      <c r="GI563" s="405"/>
      <c r="GO563" s="83"/>
      <c r="GW563" s="405"/>
      <c r="HC563" s="83"/>
      <c r="HK563" s="405"/>
      <c r="HQ563" s="83"/>
      <c r="HY563" s="405"/>
      <c r="IE563" s="83"/>
      <c r="IM563" s="405"/>
      <c r="IS563" s="83"/>
      <c r="JA563" s="405"/>
      <c r="JG563" s="83"/>
      <c r="JO563" s="405"/>
      <c r="JU563" s="83"/>
      <c r="KC563" s="405"/>
      <c r="KI563" s="83"/>
      <c r="KQ563" s="405"/>
      <c r="KW563" s="83"/>
      <c r="LE563" s="405"/>
      <c r="LK563" s="83"/>
      <c r="LS563" s="405"/>
      <c r="LY563" s="83"/>
      <c r="MG563" s="405"/>
      <c r="MM563" s="83"/>
      <c r="MU563" s="405"/>
      <c r="NA563" s="83"/>
    </row>
    <row r="564">
      <c r="A564" s="483"/>
      <c r="B564" s="380"/>
      <c r="C564" s="380"/>
      <c r="D564" s="380"/>
      <c r="E564" s="380"/>
      <c r="F564" s="380"/>
      <c r="G564" s="380"/>
      <c r="H564" s="380"/>
      <c r="I564" s="403"/>
      <c r="J564" s="380"/>
      <c r="K564" s="380"/>
      <c r="L564" s="380"/>
      <c r="M564" s="380"/>
      <c r="N564" s="380"/>
      <c r="O564" s="404"/>
      <c r="P564" s="380"/>
      <c r="Q564" s="380"/>
      <c r="R564" s="380"/>
      <c r="S564" s="380"/>
      <c r="T564" s="380"/>
      <c r="U564" s="380"/>
      <c r="V564" s="380"/>
      <c r="W564" s="403"/>
      <c r="X564" s="380"/>
      <c r="Y564" s="380"/>
      <c r="Z564" s="380"/>
      <c r="AA564" s="380"/>
      <c r="AB564" s="380"/>
      <c r="AC564" s="404"/>
      <c r="AD564" s="380"/>
      <c r="AE564" s="380"/>
      <c r="AF564" s="380"/>
      <c r="AG564" s="380"/>
      <c r="AH564" s="380"/>
      <c r="AI564" s="380"/>
      <c r="AJ564" s="380"/>
      <c r="AK564" s="403"/>
      <c r="AL564" s="380"/>
      <c r="AM564" s="380"/>
      <c r="AN564" s="380"/>
      <c r="AO564" s="380"/>
      <c r="AP564" s="380"/>
      <c r="AQ564" s="404"/>
      <c r="AR564" s="380"/>
      <c r="AS564" s="380"/>
      <c r="AT564" s="380"/>
      <c r="AU564" s="380"/>
      <c r="AV564" s="380"/>
      <c r="AW564" s="380"/>
      <c r="AX564" s="380"/>
      <c r="AY564" s="403"/>
      <c r="AZ564" s="380"/>
      <c r="BA564" s="380"/>
      <c r="BB564" s="380"/>
      <c r="BC564" s="380"/>
      <c r="BD564" s="380"/>
      <c r="BE564" s="404"/>
      <c r="BF564" s="380"/>
      <c r="BG564" s="380"/>
      <c r="BH564" s="380"/>
      <c r="BI564" s="380"/>
      <c r="BJ564" s="380"/>
      <c r="BK564" s="380"/>
      <c r="BL564" s="380"/>
      <c r="BM564" s="403"/>
      <c r="BS564" s="83"/>
      <c r="CA564" s="405"/>
      <c r="CG564" s="83"/>
      <c r="CO564" s="405"/>
      <c r="CU564" s="83"/>
      <c r="DC564" s="405"/>
      <c r="DI564" s="83"/>
      <c r="DQ564" s="405"/>
      <c r="DW564" s="83"/>
      <c r="EE564" s="405"/>
      <c r="EK564" s="83"/>
      <c r="ES564" s="405"/>
      <c r="EY564" s="83"/>
      <c r="FG564" s="405"/>
      <c r="FM564" s="83"/>
      <c r="FU564" s="405"/>
      <c r="GA564" s="83"/>
      <c r="GI564" s="405"/>
      <c r="GO564" s="83"/>
      <c r="GW564" s="405"/>
      <c r="HC564" s="83"/>
      <c r="HK564" s="405"/>
      <c r="HQ564" s="83"/>
      <c r="HY564" s="405"/>
      <c r="IE564" s="83"/>
      <c r="IM564" s="405"/>
      <c r="IS564" s="83"/>
      <c r="JA564" s="405"/>
      <c r="JG564" s="83"/>
      <c r="JO564" s="405"/>
      <c r="JU564" s="83"/>
      <c r="KC564" s="405"/>
      <c r="KI564" s="83"/>
      <c r="KQ564" s="405"/>
      <c r="KW564" s="83"/>
      <c r="LE564" s="405"/>
      <c r="LK564" s="83"/>
      <c r="LS564" s="405"/>
      <c r="LY564" s="83"/>
      <c r="MG564" s="405"/>
      <c r="MM564" s="83"/>
      <c r="MU564" s="405"/>
      <c r="NA564" s="83"/>
    </row>
    <row r="565">
      <c r="A565" s="483"/>
      <c r="B565" s="380"/>
      <c r="C565" s="380"/>
      <c r="D565" s="380"/>
      <c r="E565" s="380"/>
      <c r="F565" s="380"/>
      <c r="G565" s="380"/>
      <c r="H565" s="380"/>
      <c r="I565" s="403"/>
      <c r="J565" s="380"/>
      <c r="K565" s="380"/>
      <c r="L565" s="380"/>
      <c r="M565" s="380"/>
      <c r="N565" s="380"/>
      <c r="O565" s="404"/>
      <c r="P565" s="380"/>
      <c r="Q565" s="380"/>
      <c r="R565" s="380"/>
      <c r="S565" s="380"/>
      <c r="T565" s="380"/>
      <c r="U565" s="380"/>
      <c r="V565" s="380"/>
      <c r="W565" s="403"/>
      <c r="X565" s="380"/>
      <c r="Y565" s="380"/>
      <c r="Z565" s="380"/>
      <c r="AA565" s="380"/>
      <c r="AB565" s="380"/>
      <c r="AC565" s="404"/>
      <c r="AD565" s="380"/>
      <c r="AE565" s="380"/>
      <c r="AF565" s="380"/>
      <c r="AG565" s="380"/>
      <c r="AH565" s="380"/>
      <c r="AI565" s="380"/>
      <c r="AJ565" s="380"/>
      <c r="AK565" s="403"/>
      <c r="AL565" s="380"/>
      <c r="AM565" s="380"/>
      <c r="AN565" s="380"/>
      <c r="AO565" s="380"/>
      <c r="AP565" s="380"/>
      <c r="AQ565" s="404"/>
      <c r="AR565" s="380"/>
      <c r="AS565" s="380"/>
      <c r="AT565" s="380"/>
      <c r="AU565" s="380"/>
      <c r="AV565" s="380"/>
      <c r="AW565" s="380"/>
      <c r="AX565" s="380"/>
      <c r="AY565" s="403"/>
      <c r="AZ565" s="380"/>
      <c r="BA565" s="380"/>
      <c r="BB565" s="380"/>
      <c r="BC565" s="380"/>
      <c r="BD565" s="380"/>
      <c r="BE565" s="404"/>
      <c r="BF565" s="380"/>
      <c r="BG565" s="380"/>
      <c r="BH565" s="380"/>
      <c r="BI565" s="380"/>
      <c r="BJ565" s="380"/>
      <c r="BK565" s="380"/>
      <c r="BL565" s="380"/>
      <c r="BM565" s="403"/>
      <c r="BS565" s="83"/>
      <c r="CA565" s="405"/>
      <c r="CG565" s="83"/>
      <c r="CO565" s="405"/>
      <c r="CU565" s="83"/>
      <c r="DC565" s="405"/>
      <c r="DI565" s="83"/>
      <c r="DQ565" s="405"/>
      <c r="DW565" s="83"/>
      <c r="EE565" s="405"/>
      <c r="EK565" s="83"/>
      <c r="ES565" s="405"/>
      <c r="EY565" s="83"/>
      <c r="FG565" s="405"/>
      <c r="FM565" s="83"/>
      <c r="FU565" s="405"/>
      <c r="GA565" s="83"/>
      <c r="GI565" s="405"/>
      <c r="GO565" s="83"/>
      <c r="GW565" s="405"/>
      <c r="HC565" s="83"/>
      <c r="HK565" s="405"/>
      <c r="HQ565" s="83"/>
      <c r="HY565" s="405"/>
      <c r="IE565" s="83"/>
      <c r="IM565" s="405"/>
      <c r="IS565" s="83"/>
      <c r="JA565" s="405"/>
      <c r="JG565" s="83"/>
      <c r="JO565" s="405"/>
      <c r="JU565" s="83"/>
      <c r="KC565" s="405"/>
      <c r="KI565" s="83"/>
      <c r="KQ565" s="405"/>
      <c r="KW565" s="83"/>
      <c r="LE565" s="405"/>
      <c r="LK565" s="83"/>
      <c r="LS565" s="405"/>
      <c r="LY565" s="83"/>
      <c r="MG565" s="405"/>
      <c r="MM565" s="83"/>
      <c r="MU565" s="405"/>
      <c r="NA565" s="83"/>
    </row>
    <row r="566">
      <c r="A566" s="483"/>
      <c r="B566" s="380"/>
      <c r="C566" s="380"/>
      <c r="D566" s="380"/>
      <c r="E566" s="380"/>
      <c r="F566" s="380"/>
      <c r="G566" s="380"/>
      <c r="H566" s="380"/>
      <c r="I566" s="403"/>
      <c r="J566" s="380"/>
      <c r="K566" s="380"/>
      <c r="L566" s="380"/>
      <c r="M566" s="380"/>
      <c r="N566" s="380"/>
      <c r="O566" s="404"/>
      <c r="P566" s="380"/>
      <c r="Q566" s="380"/>
      <c r="R566" s="380"/>
      <c r="S566" s="380"/>
      <c r="T566" s="380"/>
      <c r="U566" s="380"/>
      <c r="V566" s="380"/>
      <c r="W566" s="403"/>
      <c r="X566" s="380"/>
      <c r="Y566" s="380"/>
      <c r="Z566" s="380"/>
      <c r="AA566" s="380"/>
      <c r="AB566" s="380"/>
      <c r="AC566" s="404"/>
      <c r="AD566" s="380"/>
      <c r="AE566" s="380"/>
      <c r="AF566" s="380"/>
      <c r="AG566" s="380"/>
      <c r="AH566" s="380"/>
      <c r="AI566" s="380"/>
      <c r="AJ566" s="380"/>
      <c r="AK566" s="403"/>
      <c r="AL566" s="380"/>
      <c r="AM566" s="380"/>
      <c r="AN566" s="380"/>
      <c r="AO566" s="380"/>
      <c r="AP566" s="380"/>
      <c r="AQ566" s="404"/>
      <c r="AR566" s="380"/>
      <c r="AS566" s="380"/>
      <c r="AT566" s="380"/>
      <c r="AU566" s="380"/>
      <c r="AV566" s="380"/>
      <c r="AW566" s="380"/>
      <c r="AX566" s="380"/>
      <c r="AY566" s="403"/>
      <c r="AZ566" s="380"/>
      <c r="BA566" s="380"/>
      <c r="BB566" s="380"/>
      <c r="BC566" s="380"/>
      <c r="BD566" s="380"/>
      <c r="BE566" s="404"/>
      <c r="BF566" s="380"/>
      <c r="BG566" s="380"/>
      <c r="BH566" s="380"/>
      <c r="BI566" s="380"/>
      <c r="BJ566" s="380"/>
      <c r="BK566" s="380"/>
      <c r="BL566" s="380"/>
      <c r="BM566" s="403"/>
      <c r="BS566" s="83"/>
      <c r="CA566" s="405"/>
      <c r="CG566" s="83"/>
      <c r="CO566" s="405"/>
      <c r="CU566" s="83"/>
      <c r="DC566" s="405"/>
      <c r="DI566" s="83"/>
      <c r="DQ566" s="405"/>
      <c r="DW566" s="83"/>
      <c r="EE566" s="405"/>
      <c r="EK566" s="83"/>
      <c r="ES566" s="405"/>
      <c r="EY566" s="83"/>
      <c r="FG566" s="405"/>
      <c r="FM566" s="83"/>
      <c r="FU566" s="405"/>
      <c r="GA566" s="83"/>
      <c r="GI566" s="405"/>
      <c r="GO566" s="83"/>
      <c r="GW566" s="405"/>
      <c r="HC566" s="83"/>
      <c r="HK566" s="405"/>
      <c r="HQ566" s="83"/>
      <c r="HY566" s="405"/>
      <c r="IE566" s="83"/>
      <c r="IM566" s="405"/>
      <c r="IS566" s="83"/>
      <c r="JA566" s="405"/>
      <c r="JG566" s="83"/>
      <c r="JO566" s="405"/>
      <c r="JU566" s="83"/>
      <c r="KC566" s="405"/>
      <c r="KI566" s="83"/>
      <c r="KQ566" s="405"/>
      <c r="KW566" s="83"/>
      <c r="LE566" s="405"/>
      <c r="LK566" s="83"/>
      <c r="LS566" s="405"/>
      <c r="LY566" s="83"/>
      <c r="MG566" s="405"/>
      <c r="MM566" s="83"/>
      <c r="MU566" s="405"/>
      <c r="NA566" s="83"/>
    </row>
    <row r="567">
      <c r="A567" s="483"/>
      <c r="B567" s="380"/>
      <c r="C567" s="380"/>
      <c r="D567" s="380"/>
      <c r="E567" s="380"/>
      <c r="F567" s="380"/>
      <c r="G567" s="380"/>
      <c r="H567" s="380"/>
      <c r="I567" s="403"/>
      <c r="J567" s="380"/>
      <c r="K567" s="380"/>
      <c r="L567" s="380"/>
      <c r="M567" s="380"/>
      <c r="N567" s="380"/>
      <c r="O567" s="404"/>
      <c r="P567" s="380"/>
      <c r="Q567" s="380"/>
      <c r="R567" s="380"/>
      <c r="S567" s="380"/>
      <c r="T567" s="380"/>
      <c r="U567" s="380"/>
      <c r="V567" s="380"/>
      <c r="W567" s="403"/>
      <c r="X567" s="380"/>
      <c r="Y567" s="380"/>
      <c r="Z567" s="380"/>
      <c r="AA567" s="380"/>
      <c r="AB567" s="380"/>
      <c r="AC567" s="404"/>
      <c r="AD567" s="380"/>
      <c r="AE567" s="380"/>
      <c r="AF567" s="380"/>
      <c r="AG567" s="380"/>
      <c r="AH567" s="380"/>
      <c r="AI567" s="380"/>
      <c r="AJ567" s="380"/>
      <c r="AK567" s="403"/>
      <c r="AL567" s="380"/>
      <c r="AM567" s="380"/>
      <c r="AN567" s="380"/>
      <c r="AO567" s="380"/>
      <c r="AP567" s="380"/>
      <c r="AQ567" s="404"/>
      <c r="AR567" s="380"/>
      <c r="AS567" s="380"/>
      <c r="AT567" s="380"/>
      <c r="AU567" s="380"/>
      <c r="AV567" s="380"/>
      <c r="AW567" s="380"/>
      <c r="AX567" s="380"/>
      <c r="AY567" s="403"/>
      <c r="AZ567" s="380"/>
      <c r="BA567" s="380"/>
      <c r="BB567" s="380"/>
      <c r="BC567" s="380"/>
      <c r="BD567" s="380"/>
      <c r="BE567" s="404"/>
      <c r="BF567" s="380"/>
      <c r="BG567" s="380"/>
      <c r="BH567" s="380"/>
      <c r="BI567" s="380"/>
      <c r="BJ567" s="380"/>
      <c r="BK567" s="380"/>
      <c r="BL567" s="380"/>
      <c r="BM567" s="403"/>
      <c r="BS567" s="83"/>
      <c r="CA567" s="405"/>
      <c r="CG567" s="83"/>
      <c r="CO567" s="405"/>
      <c r="CU567" s="83"/>
      <c r="DC567" s="405"/>
      <c r="DI567" s="83"/>
      <c r="DQ567" s="405"/>
      <c r="DW567" s="83"/>
      <c r="EE567" s="405"/>
      <c r="EK567" s="83"/>
      <c r="ES567" s="405"/>
      <c r="EY567" s="83"/>
      <c r="FG567" s="405"/>
      <c r="FM567" s="83"/>
      <c r="FU567" s="405"/>
      <c r="GA567" s="83"/>
      <c r="GI567" s="405"/>
      <c r="GO567" s="83"/>
      <c r="GW567" s="405"/>
      <c r="HC567" s="83"/>
      <c r="HK567" s="405"/>
      <c r="HQ567" s="83"/>
      <c r="HY567" s="405"/>
      <c r="IE567" s="83"/>
      <c r="IM567" s="405"/>
      <c r="IS567" s="83"/>
      <c r="JA567" s="405"/>
      <c r="JG567" s="83"/>
      <c r="JO567" s="405"/>
      <c r="JU567" s="83"/>
      <c r="KC567" s="405"/>
      <c r="KI567" s="83"/>
      <c r="KQ567" s="405"/>
      <c r="KW567" s="83"/>
      <c r="LE567" s="405"/>
      <c r="LK567" s="83"/>
      <c r="LS567" s="405"/>
      <c r="LY567" s="83"/>
      <c r="MG567" s="405"/>
      <c r="MM567" s="83"/>
      <c r="MU567" s="405"/>
      <c r="NA567" s="83"/>
    </row>
    <row r="568">
      <c r="A568" s="483"/>
      <c r="B568" s="380"/>
      <c r="C568" s="380"/>
      <c r="D568" s="380"/>
      <c r="E568" s="380"/>
      <c r="F568" s="380"/>
      <c r="G568" s="380"/>
      <c r="H568" s="380"/>
      <c r="I568" s="403"/>
      <c r="J568" s="380"/>
      <c r="K568" s="380"/>
      <c r="L568" s="380"/>
      <c r="M568" s="380"/>
      <c r="N568" s="380"/>
      <c r="O568" s="404"/>
      <c r="P568" s="380"/>
      <c r="Q568" s="380"/>
      <c r="R568" s="380"/>
      <c r="S568" s="380"/>
      <c r="T568" s="380"/>
      <c r="U568" s="380"/>
      <c r="V568" s="380"/>
      <c r="W568" s="403"/>
      <c r="X568" s="380"/>
      <c r="Y568" s="380"/>
      <c r="Z568" s="380"/>
      <c r="AA568" s="380"/>
      <c r="AB568" s="380"/>
      <c r="AC568" s="404"/>
      <c r="AD568" s="380"/>
      <c r="AE568" s="380"/>
      <c r="AF568" s="380"/>
      <c r="AG568" s="380"/>
      <c r="AH568" s="380"/>
      <c r="AI568" s="380"/>
      <c r="AJ568" s="380"/>
      <c r="AK568" s="403"/>
      <c r="AL568" s="380"/>
      <c r="AM568" s="380"/>
      <c r="AN568" s="380"/>
      <c r="AO568" s="380"/>
      <c r="AP568" s="380"/>
      <c r="AQ568" s="404"/>
      <c r="AR568" s="380"/>
      <c r="AS568" s="380"/>
      <c r="AT568" s="380"/>
      <c r="AU568" s="380"/>
      <c r="AV568" s="380"/>
      <c r="AW568" s="380"/>
      <c r="AX568" s="380"/>
      <c r="AY568" s="403"/>
      <c r="AZ568" s="380"/>
      <c r="BA568" s="380"/>
      <c r="BB568" s="380"/>
      <c r="BC568" s="380"/>
      <c r="BD568" s="380"/>
      <c r="BE568" s="404"/>
      <c r="BF568" s="380"/>
      <c r="BG568" s="380"/>
      <c r="BH568" s="380"/>
      <c r="BI568" s="380"/>
      <c r="BJ568" s="380"/>
      <c r="BK568" s="380"/>
      <c r="BL568" s="380"/>
      <c r="BM568" s="403"/>
      <c r="BS568" s="83"/>
      <c r="CA568" s="405"/>
      <c r="CG568" s="83"/>
      <c r="CO568" s="405"/>
      <c r="CU568" s="83"/>
      <c r="DC568" s="405"/>
      <c r="DI568" s="83"/>
      <c r="DQ568" s="405"/>
      <c r="DW568" s="83"/>
      <c r="EE568" s="405"/>
      <c r="EK568" s="83"/>
      <c r="ES568" s="405"/>
      <c r="EY568" s="83"/>
      <c r="FG568" s="405"/>
      <c r="FM568" s="83"/>
      <c r="FU568" s="405"/>
      <c r="GA568" s="83"/>
      <c r="GI568" s="405"/>
      <c r="GO568" s="83"/>
      <c r="GW568" s="405"/>
      <c r="HC568" s="83"/>
      <c r="HK568" s="405"/>
      <c r="HQ568" s="83"/>
      <c r="HY568" s="405"/>
      <c r="IE568" s="83"/>
      <c r="IM568" s="405"/>
      <c r="IS568" s="83"/>
      <c r="JA568" s="405"/>
      <c r="JG568" s="83"/>
      <c r="JO568" s="405"/>
      <c r="JU568" s="83"/>
      <c r="KC568" s="405"/>
      <c r="KI568" s="83"/>
      <c r="KQ568" s="405"/>
      <c r="KW568" s="83"/>
      <c r="LE568" s="405"/>
      <c r="LK568" s="83"/>
      <c r="LS568" s="405"/>
      <c r="LY568" s="83"/>
      <c r="MG568" s="405"/>
      <c r="MM568" s="83"/>
      <c r="MU568" s="405"/>
      <c r="NA568" s="83"/>
    </row>
    <row r="569">
      <c r="A569" s="483"/>
      <c r="B569" s="380"/>
      <c r="C569" s="380"/>
      <c r="D569" s="380"/>
      <c r="E569" s="380"/>
      <c r="F569" s="380"/>
      <c r="G569" s="380"/>
      <c r="H569" s="380"/>
      <c r="I569" s="403"/>
      <c r="J569" s="380"/>
      <c r="K569" s="380"/>
      <c r="L569" s="380"/>
      <c r="M569" s="380"/>
      <c r="N569" s="380"/>
      <c r="O569" s="404"/>
      <c r="P569" s="380"/>
      <c r="Q569" s="380"/>
      <c r="R569" s="380"/>
      <c r="S569" s="380"/>
      <c r="T569" s="380"/>
      <c r="U569" s="380"/>
      <c r="V569" s="380"/>
      <c r="W569" s="403"/>
      <c r="X569" s="380"/>
      <c r="Y569" s="380"/>
      <c r="Z569" s="380"/>
      <c r="AA569" s="380"/>
      <c r="AB569" s="380"/>
      <c r="AC569" s="404"/>
      <c r="AD569" s="380"/>
      <c r="AE569" s="380"/>
      <c r="AF569" s="380"/>
      <c r="AG569" s="380"/>
      <c r="AH569" s="380"/>
      <c r="AI569" s="380"/>
      <c r="AJ569" s="380"/>
      <c r="AK569" s="403"/>
      <c r="AL569" s="380"/>
      <c r="AM569" s="380"/>
      <c r="AN569" s="380"/>
      <c r="AO569" s="380"/>
      <c r="AP569" s="380"/>
      <c r="AQ569" s="404"/>
      <c r="AR569" s="380"/>
      <c r="AS569" s="380"/>
      <c r="AT569" s="380"/>
      <c r="AU569" s="380"/>
      <c r="AV569" s="380"/>
      <c r="AW569" s="380"/>
      <c r="AX569" s="380"/>
      <c r="AY569" s="403"/>
      <c r="AZ569" s="380"/>
      <c r="BA569" s="380"/>
      <c r="BB569" s="380"/>
      <c r="BC569" s="380"/>
      <c r="BD569" s="380"/>
      <c r="BE569" s="404"/>
      <c r="BF569" s="380"/>
      <c r="BG569" s="380"/>
      <c r="BH569" s="380"/>
      <c r="BI569" s="380"/>
      <c r="BJ569" s="380"/>
      <c r="BK569" s="380"/>
      <c r="BL569" s="380"/>
      <c r="BM569" s="403"/>
      <c r="BS569" s="83"/>
      <c r="CA569" s="405"/>
      <c r="CG569" s="83"/>
      <c r="CO569" s="405"/>
      <c r="CU569" s="83"/>
      <c r="DC569" s="405"/>
      <c r="DI569" s="83"/>
      <c r="DQ569" s="405"/>
      <c r="DW569" s="83"/>
      <c r="EE569" s="405"/>
      <c r="EK569" s="83"/>
      <c r="ES569" s="405"/>
      <c r="EY569" s="83"/>
      <c r="FG569" s="405"/>
      <c r="FM569" s="83"/>
      <c r="FU569" s="405"/>
      <c r="GA569" s="83"/>
      <c r="GI569" s="405"/>
      <c r="GO569" s="83"/>
      <c r="GW569" s="405"/>
      <c r="HC569" s="83"/>
      <c r="HK569" s="405"/>
      <c r="HQ569" s="83"/>
      <c r="HY569" s="405"/>
      <c r="IE569" s="83"/>
      <c r="IM569" s="405"/>
      <c r="IS569" s="83"/>
      <c r="JA569" s="405"/>
      <c r="JG569" s="83"/>
      <c r="JO569" s="405"/>
      <c r="JU569" s="83"/>
      <c r="KC569" s="405"/>
      <c r="KI569" s="83"/>
      <c r="KQ569" s="405"/>
      <c r="KW569" s="83"/>
      <c r="LE569" s="405"/>
      <c r="LK569" s="83"/>
      <c r="LS569" s="405"/>
      <c r="LY569" s="83"/>
      <c r="MG569" s="405"/>
      <c r="MM569" s="83"/>
      <c r="MU569" s="405"/>
      <c r="NA569" s="83"/>
    </row>
    <row r="570">
      <c r="A570" s="483"/>
      <c r="B570" s="380"/>
      <c r="C570" s="380"/>
      <c r="D570" s="380"/>
      <c r="E570" s="380"/>
      <c r="F570" s="380"/>
      <c r="G570" s="380"/>
      <c r="H570" s="380"/>
      <c r="I570" s="403"/>
      <c r="J570" s="380"/>
      <c r="K570" s="380"/>
      <c r="L570" s="380"/>
      <c r="M570" s="380"/>
      <c r="N570" s="380"/>
      <c r="O570" s="404"/>
      <c r="P570" s="380"/>
      <c r="Q570" s="380"/>
      <c r="R570" s="380"/>
      <c r="S570" s="380"/>
      <c r="T570" s="380"/>
      <c r="U570" s="380"/>
      <c r="V570" s="380"/>
      <c r="W570" s="403"/>
      <c r="X570" s="380"/>
      <c r="Y570" s="380"/>
      <c r="Z570" s="380"/>
      <c r="AA570" s="380"/>
      <c r="AB570" s="380"/>
      <c r="AC570" s="404"/>
      <c r="AD570" s="380"/>
      <c r="AE570" s="380"/>
      <c r="AF570" s="380"/>
      <c r="AG570" s="380"/>
      <c r="AH570" s="380"/>
      <c r="AI570" s="380"/>
      <c r="AJ570" s="380"/>
      <c r="AK570" s="403"/>
      <c r="AL570" s="380"/>
      <c r="AM570" s="380"/>
      <c r="AN570" s="380"/>
      <c r="AO570" s="380"/>
      <c r="AP570" s="380"/>
      <c r="AQ570" s="404"/>
      <c r="AR570" s="380"/>
      <c r="AS570" s="380"/>
      <c r="AT570" s="380"/>
      <c r="AU570" s="380"/>
      <c r="AV570" s="380"/>
      <c r="AW570" s="380"/>
      <c r="AX570" s="380"/>
      <c r="AY570" s="403"/>
      <c r="AZ570" s="380"/>
      <c r="BA570" s="380"/>
      <c r="BB570" s="380"/>
      <c r="BC570" s="380"/>
      <c r="BD570" s="380"/>
      <c r="BE570" s="404"/>
      <c r="BF570" s="380"/>
      <c r="BG570" s="380"/>
      <c r="BH570" s="380"/>
      <c r="BI570" s="380"/>
      <c r="BJ570" s="380"/>
      <c r="BK570" s="380"/>
      <c r="BL570" s="380"/>
      <c r="BM570" s="403"/>
      <c r="BS570" s="83"/>
      <c r="CA570" s="405"/>
      <c r="CG570" s="83"/>
      <c r="CO570" s="405"/>
      <c r="CU570" s="83"/>
      <c r="DC570" s="405"/>
      <c r="DI570" s="83"/>
      <c r="DQ570" s="405"/>
      <c r="DW570" s="83"/>
      <c r="EE570" s="405"/>
      <c r="EK570" s="83"/>
      <c r="ES570" s="405"/>
      <c r="EY570" s="83"/>
      <c r="FG570" s="405"/>
      <c r="FM570" s="83"/>
      <c r="FU570" s="405"/>
      <c r="GA570" s="83"/>
      <c r="GI570" s="405"/>
      <c r="GO570" s="83"/>
      <c r="GW570" s="405"/>
      <c r="HC570" s="83"/>
      <c r="HK570" s="405"/>
      <c r="HQ570" s="83"/>
      <c r="HY570" s="405"/>
      <c r="IE570" s="83"/>
      <c r="IM570" s="405"/>
      <c r="IS570" s="83"/>
      <c r="JA570" s="405"/>
      <c r="JG570" s="83"/>
      <c r="JO570" s="405"/>
      <c r="JU570" s="83"/>
      <c r="KC570" s="405"/>
      <c r="KI570" s="83"/>
      <c r="KQ570" s="405"/>
      <c r="KW570" s="83"/>
      <c r="LE570" s="405"/>
      <c r="LK570" s="83"/>
      <c r="LS570" s="405"/>
      <c r="LY570" s="83"/>
      <c r="MG570" s="405"/>
      <c r="MM570" s="83"/>
      <c r="MU570" s="405"/>
      <c r="NA570" s="83"/>
    </row>
    <row r="571">
      <c r="A571" s="483"/>
      <c r="B571" s="380"/>
      <c r="C571" s="380"/>
      <c r="D571" s="380"/>
      <c r="E571" s="380"/>
      <c r="F571" s="380"/>
      <c r="G571" s="380"/>
      <c r="H571" s="380"/>
      <c r="I571" s="403"/>
      <c r="J571" s="380"/>
      <c r="K571" s="380"/>
      <c r="L571" s="380"/>
      <c r="M571" s="380"/>
      <c r="N571" s="380"/>
      <c r="O571" s="404"/>
      <c r="P571" s="380"/>
      <c r="Q571" s="380"/>
      <c r="R571" s="380"/>
      <c r="S571" s="380"/>
      <c r="T571" s="380"/>
      <c r="U571" s="380"/>
      <c r="V571" s="380"/>
      <c r="W571" s="403"/>
      <c r="X571" s="380"/>
      <c r="Y571" s="380"/>
      <c r="Z571" s="380"/>
      <c r="AA571" s="380"/>
      <c r="AB571" s="380"/>
      <c r="AC571" s="404"/>
      <c r="AD571" s="380"/>
      <c r="AE571" s="380"/>
      <c r="AF571" s="380"/>
      <c r="AG571" s="380"/>
      <c r="AH571" s="380"/>
      <c r="AI571" s="380"/>
      <c r="AJ571" s="380"/>
      <c r="AK571" s="403"/>
      <c r="AL571" s="380"/>
      <c r="AM571" s="380"/>
      <c r="AN571" s="380"/>
      <c r="AO571" s="380"/>
      <c r="AP571" s="380"/>
      <c r="AQ571" s="404"/>
      <c r="AR571" s="380"/>
      <c r="AS571" s="380"/>
      <c r="AT571" s="380"/>
      <c r="AU571" s="380"/>
      <c r="AV571" s="380"/>
      <c r="AW571" s="380"/>
      <c r="AX571" s="380"/>
      <c r="AY571" s="403"/>
      <c r="AZ571" s="380"/>
      <c r="BA571" s="380"/>
      <c r="BB571" s="380"/>
      <c r="BC571" s="380"/>
      <c r="BD571" s="380"/>
      <c r="BE571" s="404"/>
      <c r="BF571" s="380"/>
      <c r="BG571" s="380"/>
      <c r="BH571" s="380"/>
      <c r="BI571" s="380"/>
      <c r="BJ571" s="380"/>
      <c r="BK571" s="380"/>
      <c r="BL571" s="380"/>
      <c r="BM571" s="403"/>
      <c r="BS571" s="83"/>
      <c r="CA571" s="405"/>
      <c r="CG571" s="83"/>
      <c r="CO571" s="405"/>
      <c r="CU571" s="83"/>
      <c r="DC571" s="405"/>
      <c r="DI571" s="83"/>
      <c r="DQ571" s="405"/>
      <c r="DW571" s="83"/>
      <c r="EE571" s="405"/>
      <c r="EK571" s="83"/>
      <c r="ES571" s="405"/>
      <c r="EY571" s="83"/>
      <c r="FG571" s="405"/>
      <c r="FM571" s="83"/>
      <c r="FU571" s="405"/>
      <c r="GA571" s="83"/>
      <c r="GI571" s="405"/>
      <c r="GO571" s="83"/>
      <c r="GW571" s="405"/>
      <c r="HC571" s="83"/>
      <c r="HK571" s="405"/>
      <c r="HQ571" s="83"/>
      <c r="HY571" s="405"/>
      <c r="IE571" s="83"/>
      <c r="IM571" s="405"/>
      <c r="IS571" s="83"/>
      <c r="JA571" s="405"/>
      <c r="JG571" s="83"/>
      <c r="JO571" s="405"/>
      <c r="JU571" s="83"/>
      <c r="KC571" s="405"/>
      <c r="KI571" s="83"/>
      <c r="KQ571" s="405"/>
      <c r="KW571" s="83"/>
      <c r="LE571" s="405"/>
      <c r="LK571" s="83"/>
      <c r="LS571" s="405"/>
      <c r="LY571" s="83"/>
      <c r="MG571" s="405"/>
      <c r="MM571" s="83"/>
      <c r="MU571" s="405"/>
      <c r="NA571" s="83"/>
    </row>
    <row r="572">
      <c r="A572" s="483"/>
      <c r="B572" s="380"/>
      <c r="C572" s="380"/>
      <c r="D572" s="380"/>
      <c r="E572" s="380"/>
      <c r="F572" s="380"/>
      <c r="G572" s="380"/>
      <c r="H572" s="380"/>
      <c r="I572" s="403"/>
      <c r="J572" s="380"/>
      <c r="K572" s="380"/>
      <c r="L572" s="380"/>
      <c r="M572" s="380"/>
      <c r="N572" s="380"/>
      <c r="O572" s="404"/>
      <c r="P572" s="380"/>
      <c r="Q572" s="380"/>
      <c r="R572" s="380"/>
      <c r="S572" s="380"/>
      <c r="T572" s="380"/>
      <c r="U572" s="380"/>
      <c r="V572" s="380"/>
      <c r="W572" s="403"/>
      <c r="X572" s="380"/>
      <c r="Y572" s="380"/>
      <c r="Z572" s="380"/>
      <c r="AA572" s="380"/>
      <c r="AB572" s="380"/>
      <c r="AC572" s="404"/>
      <c r="AD572" s="380"/>
      <c r="AE572" s="380"/>
      <c r="AF572" s="380"/>
      <c r="AG572" s="380"/>
      <c r="AH572" s="380"/>
      <c r="AI572" s="380"/>
      <c r="AJ572" s="380"/>
      <c r="AK572" s="403"/>
      <c r="AL572" s="380"/>
      <c r="AM572" s="380"/>
      <c r="AN572" s="380"/>
      <c r="AO572" s="380"/>
      <c r="AP572" s="380"/>
      <c r="AQ572" s="404"/>
      <c r="AR572" s="380"/>
      <c r="AS572" s="380"/>
      <c r="AT572" s="380"/>
      <c r="AU572" s="380"/>
      <c r="AV572" s="380"/>
      <c r="AW572" s="380"/>
      <c r="AX572" s="380"/>
      <c r="AY572" s="403"/>
      <c r="AZ572" s="380"/>
      <c r="BA572" s="380"/>
      <c r="BB572" s="380"/>
      <c r="BC572" s="380"/>
      <c r="BD572" s="380"/>
      <c r="BE572" s="404"/>
      <c r="BF572" s="380"/>
      <c r="BG572" s="380"/>
      <c r="BH572" s="380"/>
      <c r="BI572" s="380"/>
      <c r="BJ572" s="380"/>
      <c r="BK572" s="380"/>
      <c r="BL572" s="380"/>
      <c r="BM572" s="403"/>
      <c r="BS572" s="83"/>
      <c r="CA572" s="405"/>
      <c r="CG572" s="83"/>
      <c r="CO572" s="405"/>
      <c r="CU572" s="83"/>
      <c r="DC572" s="405"/>
      <c r="DI572" s="83"/>
      <c r="DQ572" s="405"/>
      <c r="DW572" s="83"/>
      <c r="EE572" s="405"/>
      <c r="EK572" s="83"/>
      <c r="ES572" s="405"/>
      <c r="EY572" s="83"/>
      <c r="FG572" s="405"/>
      <c r="FM572" s="83"/>
      <c r="FU572" s="405"/>
      <c r="GA572" s="83"/>
      <c r="GI572" s="405"/>
      <c r="GO572" s="83"/>
      <c r="GW572" s="405"/>
      <c r="HC572" s="83"/>
      <c r="HK572" s="405"/>
      <c r="HQ572" s="83"/>
      <c r="HY572" s="405"/>
      <c r="IE572" s="83"/>
      <c r="IM572" s="405"/>
      <c r="IS572" s="83"/>
      <c r="JA572" s="405"/>
      <c r="JG572" s="83"/>
      <c r="JO572" s="405"/>
      <c r="JU572" s="83"/>
      <c r="KC572" s="405"/>
      <c r="KI572" s="83"/>
      <c r="KQ572" s="405"/>
      <c r="KW572" s="83"/>
      <c r="LE572" s="405"/>
      <c r="LK572" s="83"/>
      <c r="LS572" s="405"/>
      <c r="LY572" s="83"/>
      <c r="MG572" s="405"/>
      <c r="MM572" s="83"/>
      <c r="MU572" s="405"/>
      <c r="NA572" s="83"/>
    </row>
    <row r="573">
      <c r="A573" s="483"/>
      <c r="B573" s="380"/>
      <c r="C573" s="380"/>
      <c r="D573" s="380"/>
      <c r="E573" s="380"/>
      <c r="F573" s="380"/>
      <c r="G573" s="380"/>
      <c r="H573" s="380"/>
      <c r="I573" s="403"/>
      <c r="J573" s="380"/>
      <c r="K573" s="380"/>
      <c r="L573" s="380"/>
      <c r="M573" s="380"/>
      <c r="N573" s="380"/>
      <c r="O573" s="404"/>
      <c r="P573" s="380"/>
      <c r="Q573" s="380"/>
      <c r="R573" s="380"/>
      <c r="S573" s="380"/>
      <c r="T573" s="380"/>
      <c r="U573" s="380"/>
      <c r="V573" s="380"/>
      <c r="W573" s="403"/>
      <c r="X573" s="380"/>
      <c r="Y573" s="380"/>
      <c r="Z573" s="380"/>
      <c r="AA573" s="380"/>
      <c r="AB573" s="380"/>
      <c r="AC573" s="404"/>
      <c r="AD573" s="380"/>
      <c r="AE573" s="380"/>
      <c r="AF573" s="380"/>
      <c r="AG573" s="380"/>
      <c r="AH573" s="380"/>
      <c r="AI573" s="380"/>
      <c r="AJ573" s="380"/>
      <c r="AK573" s="403"/>
      <c r="AL573" s="380"/>
      <c r="AM573" s="380"/>
      <c r="AN573" s="380"/>
      <c r="AO573" s="380"/>
      <c r="AP573" s="380"/>
      <c r="AQ573" s="404"/>
      <c r="AR573" s="380"/>
      <c r="AS573" s="380"/>
      <c r="AT573" s="380"/>
      <c r="AU573" s="380"/>
      <c r="AV573" s="380"/>
      <c r="AW573" s="380"/>
      <c r="AX573" s="380"/>
      <c r="AY573" s="403"/>
      <c r="AZ573" s="380"/>
      <c r="BA573" s="380"/>
      <c r="BB573" s="380"/>
      <c r="BC573" s="380"/>
      <c r="BD573" s="380"/>
      <c r="BE573" s="404"/>
      <c r="BF573" s="380"/>
      <c r="BG573" s="380"/>
      <c r="BH573" s="380"/>
      <c r="BI573" s="380"/>
      <c r="BJ573" s="380"/>
      <c r="BK573" s="380"/>
      <c r="BL573" s="380"/>
      <c r="BM573" s="403"/>
      <c r="BS573" s="83"/>
      <c r="CA573" s="405"/>
      <c r="CG573" s="83"/>
      <c r="CO573" s="405"/>
      <c r="CU573" s="83"/>
      <c r="DC573" s="405"/>
      <c r="DI573" s="83"/>
      <c r="DQ573" s="405"/>
      <c r="DW573" s="83"/>
      <c r="EE573" s="405"/>
      <c r="EK573" s="83"/>
      <c r="ES573" s="405"/>
      <c r="EY573" s="83"/>
      <c r="FG573" s="405"/>
      <c r="FM573" s="83"/>
      <c r="FU573" s="405"/>
      <c r="GA573" s="83"/>
      <c r="GI573" s="405"/>
      <c r="GO573" s="83"/>
      <c r="GW573" s="405"/>
      <c r="HC573" s="83"/>
      <c r="HK573" s="405"/>
      <c r="HQ573" s="83"/>
      <c r="HY573" s="405"/>
      <c r="IE573" s="83"/>
      <c r="IM573" s="405"/>
      <c r="IS573" s="83"/>
      <c r="JA573" s="405"/>
      <c r="JG573" s="83"/>
      <c r="JO573" s="405"/>
      <c r="JU573" s="83"/>
      <c r="KC573" s="405"/>
      <c r="KI573" s="83"/>
      <c r="KQ573" s="405"/>
      <c r="KW573" s="83"/>
      <c r="LE573" s="405"/>
      <c r="LK573" s="83"/>
      <c r="LS573" s="405"/>
      <c r="LY573" s="83"/>
      <c r="MG573" s="405"/>
      <c r="MM573" s="83"/>
      <c r="MU573" s="405"/>
      <c r="NA573" s="83"/>
    </row>
    <row r="574">
      <c r="A574" s="483"/>
      <c r="B574" s="380"/>
      <c r="C574" s="380"/>
      <c r="D574" s="380"/>
      <c r="E574" s="380"/>
      <c r="F574" s="380"/>
      <c r="G574" s="380"/>
      <c r="H574" s="380"/>
      <c r="I574" s="403"/>
      <c r="J574" s="380"/>
      <c r="K574" s="380"/>
      <c r="L574" s="380"/>
      <c r="M574" s="380"/>
      <c r="N574" s="380"/>
      <c r="O574" s="404"/>
      <c r="P574" s="380"/>
      <c r="Q574" s="380"/>
      <c r="R574" s="380"/>
      <c r="S574" s="380"/>
      <c r="T574" s="380"/>
      <c r="U574" s="380"/>
      <c r="V574" s="380"/>
      <c r="W574" s="403"/>
      <c r="X574" s="380"/>
      <c r="Y574" s="380"/>
      <c r="Z574" s="380"/>
      <c r="AA574" s="380"/>
      <c r="AB574" s="380"/>
      <c r="AC574" s="404"/>
      <c r="AD574" s="380"/>
      <c r="AE574" s="380"/>
      <c r="AF574" s="380"/>
      <c r="AG574" s="380"/>
      <c r="AH574" s="380"/>
      <c r="AI574" s="380"/>
      <c r="AJ574" s="380"/>
      <c r="AK574" s="403"/>
      <c r="AL574" s="380"/>
      <c r="AM574" s="380"/>
      <c r="AN574" s="380"/>
      <c r="AO574" s="380"/>
      <c r="AP574" s="380"/>
      <c r="AQ574" s="404"/>
      <c r="AR574" s="380"/>
      <c r="AS574" s="380"/>
      <c r="AT574" s="380"/>
      <c r="AU574" s="380"/>
      <c r="AV574" s="380"/>
      <c r="AW574" s="380"/>
      <c r="AX574" s="380"/>
      <c r="AY574" s="403"/>
      <c r="AZ574" s="380"/>
      <c r="BA574" s="380"/>
      <c r="BB574" s="380"/>
      <c r="BC574" s="380"/>
      <c r="BD574" s="380"/>
      <c r="BE574" s="404"/>
      <c r="BF574" s="380"/>
      <c r="BG574" s="380"/>
      <c r="BH574" s="380"/>
      <c r="BI574" s="380"/>
      <c r="BJ574" s="380"/>
      <c r="BK574" s="380"/>
      <c r="BL574" s="380"/>
      <c r="BM574" s="403"/>
      <c r="BS574" s="83"/>
      <c r="CA574" s="405"/>
      <c r="CG574" s="83"/>
      <c r="CO574" s="405"/>
      <c r="CU574" s="83"/>
      <c r="DC574" s="405"/>
      <c r="DI574" s="83"/>
      <c r="DQ574" s="405"/>
      <c r="DW574" s="83"/>
      <c r="EE574" s="405"/>
      <c r="EK574" s="83"/>
      <c r="ES574" s="405"/>
      <c r="EY574" s="83"/>
      <c r="FG574" s="405"/>
      <c r="FM574" s="83"/>
      <c r="FU574" s="405"/>
      <c r="GA574" s="83"/>
      <c r="GI574" s="405"/>
      <c r="GO574" s="83"/>
      <c r="GW574" s="405"/>
      <c r="HC574" s="83"/>
      <c r="HK574" s="405"/>
      <c r="HQ574" s="83"/>
      <c r="HY574" s="405"/>
      <c r="IE574" s="83"/>
      <c r="IM574" s="405"/>
      <c r="IS574" s="83"/>
      <c r="JA574" s="405"/>
      <c r="JG574" s="83"/>
      <c r="JO574" s="405"/>
      <c r="JU574" s="83"/>
      <c r="KC574" s="405"/>
      <c r="KI574" s="83"/>
      <c r="KQ574" s="405"/>
      <c r="KW574" s="83"/>
      <c r="LE574" s="405"/>
      <c r="LK574" s="83"/>
      <c r="LS574" s="405"/>
      <c r="LY574" s="83"/>
      <c r="MG574" s="405"/>
      <c r="MM574" s="83"/>
      <c r="MU574" s="405"/>
      <c r="NA574" s="83"/>
    </row>
    <row r="575">
      <c r="A575" s="483"/>
      <c r="B575" s="380"/>
      <c r="C575" s="380"/>
      <c r="D575" s="380"/>
      <c r="E575" s="380"/>
      <c r="F575" s="380"/>
      <c r="G575" s="380"/>
      <c r="H575" s="380"/>
      <c r="I575" s="403"/>
      <c r="J575" s="380"/>
      <c r="K575" s="380"/>
      <c r="L575" s="380"/>
      <c r="M575" s="380"/>
      <c r="N575" s="380"/>
      <c r="O575" s="404"/>
      <c r="P575" s="380"/>
      <c r="Q575" s="380"/>
      <c r="R575" s="380"/>
      <c r="S575" s="380"/>
      <c r="T575" s="380"/>
      <c r="U575" s="380"/>
      <c r="V575" s="380"/>
      <c r="W575" s="403"/>
      <c r="X575" s="380"/>
      <c r="Y575" s="380"/>
      <c r="Z575" s="380"/>
      <c r="AA575" s="380"/>
      <c r="AB575" s="380"/>
      <c r="AC575" s="404"/>
      <c r="AD575" s="380"/>
      <c r="AE575" s="380"/>
      <c r="AF575" s="380"/>
      <c r="AG575" s="380"/>
      <c r="AH575" s="380"/>
      <c r="AI575" s="380"/>
      <c r="AJ575" s="380"/>
      <c r="AK575" s="403"/>
      <c r="AL575" s="380"/>
      <c r="AM575" s="380"/>
      <c r="AN575" s="380"/>
      <c r="AO575" s="380"/>
      <c r="AP575" s="380"/>
      <c r="AQ575" s="404"/>
      <c r="AR575" s="380"/>
      <c r="AS575" s="380"/>
      <c r="AT575" s="380"/>
      <c r="AU575" s="380"/>
      <c r="AV575" s="380"/>
      <c r="AW575" s="380"/>
      <c r="AX575" s="380"/>
      <c r="AY575" s="403"/>
      <c r="AZ575" s="380"/>
      <c r="BA575" s="380"/>
      <c r="BB575" s="380"/>
      <c r="BC575" s="380"/>
      <c r="BD575" s="380"/>
      <c r="BE575" s="404"/>
      <c r="BF575" s="380"/>
      <c r="BG575" s="380"/>
      <c r="BH575" s="380"/>
      <c r="BI575" s="380"/>
      <c r="BJ575" s="380"/>
      <c r="BK575" s="380"/>
      <c r="BL575" s="380"/>
      <c r="BM575" s="403"/>
      <c r="BS575" s="83"/>
      <c r="CA575" s="405"/>
      <c r="CG575" s="83"/>
      <c r="CO575" s="405"/>
      <c r="CU575" s="83"/>
      <c r="DC575" s="405"/>
      <c r="DI575" s="83"/>
      <c r="DQ575" s="405"/>
      <c r="DW575" s="83"/>
      <c r="EE575" s="405"/>
      <c r="EK575" s="83"/>
      <c r="ES575" s="405"/>
      <c r="EY575" s="83"/>
      <c r="FG575" s="405"/>
      <c r="FM575" s="83"/>
      <c r="FU575" s="405"/>
      <c r="GA575" s="83"/>
      <c r="GI575" s="405"/>
      <c r="GO575" s="83"/>
      <c r="GW575" s="405"/>
      <c r="HC575" s="83"/>
      <c r="HK575" s="405"/>
      <c r="HQ575" s="83"/>
      <c r="HY575" s="405"/>
      <c r="IE575" s="83"/>
      <c r="IM575" s="405"/>
      <c r="IS575" s="83"/>
      <c r="JA575" s="405"/>
      <c r="JG575" s="83"/>
      <c r="JO575" s="405"/>
      <c r="JU575" s="83"/>
      <c r="KC575" s="405"/>
      <c r="KI575" s="83"/>
      <c r="KQ575" s="405"/>
      <c r="KW575" s="83"/>
      <c r="LE575" s="405"/>
      <c r="LK575" s="83"/>
      <c r="LS575" s="405"/>
      <c r="LY575" s="83"/>
      <c r="MG575" s="405"/>
      <c r="MM575" s="83"/>
      <c r="MU575" s="405"/>
      <c r="NA575" s="83"/>
    </row>
    <row r="576">
      <c r="A576" s="483"/>
      <c r="B576" s="380"/>
      <c r="C576" s="380"/>
      <c r="D576" s="380"/>
      <c r="E576" s="380"/>
      <c r="F576" s="380"/>
      <c r="G576" s="380"/>
      <c r="H576" s="380"/>
      <c r="I576" s="403"/>
      <c r="J576" s="380"/>
      <c r="K576" s="380"/>
      <c r="L576" s="380"/>
      <c r="M576" s="380"/>
      <c r="N576" s="380"/>
      <c r="O576" s="404"/>
      <c r="P576" s="380"/>
      <c r="Q576" s="380"/>
      <c r="R576" s="380"/>
      <c r="S576" s="380"/>
      <c r="T576" s="380"/>
      <c r="U576" s="380"/>
      <c r="V576" s="380"/>
      <c r="W576" s="403"/>
      <c r="X576" s="380"/>
      <c r="Y576" s="380"/>
      <c r="Z576" s="380"/>
      <c r="AA576" s="380"/>
      <c r="AB576" s="380"/>
      <c r="AC576" s="404"/>
      <c r="AD576" s="380"/>
      <c r="AE576" s="380"/>
      <c r="AF576" s="380"/>
      <c r="AG576" s="380"/>
      <c r="AH576" s="380"/>
      <c r="AI576" s="380"/>
      <c r="AJ576" s="380"/>
      <c r="AK576" s="403"/>
      <c r="AL576" s="380"/>
      <c r="AM576" s="380"/>
      <c r="AN576" s="380"/>
      <c r="AO576" s="380"/>
      <c r="AP576" s="380"/>
      <c r="AQ576" s="404"/>
      <c r="AR576" s="380"/>
      <c r="AS576" s="380"/>
      <c r="AT576" s="380"/>
      <c r="AU576" s="380"/>
      <c r="AV576" s="380"/>
      <c r="AW576" s="380"/>
      <c r="AX576" s="380"/>
      <c r="AY576" s="403"/>
      <c r="AZ576" s="380"/>
      <c r="BA576" s="380"/>
      <c r="BB576" s="380"/>
      <c r="BC576" s="380"/>
      <c r="BD576" s="380"/>
      <c r="BE576" s="404"/>
      <c r="BF576" s="380"/>
      <c r="BG576" s="380"/>
      <c r="BH576" s="380"/>
      <c r="BI576" s="380"/>
      <c r="BJ576" s="380"/>
      <c r="BK576" s="380"/>
      <c r="BL576" s="380"/>
      <c r="BM576" s="403"/>
      <c r="BS576" s="83"/>
      <c r="CA576" s="405"/>
      <c r="CG576" s="83"/>
      <c r="CO576" s="405"/>
      <c r="CU576" s="83"/>
      <c r="DC576" s="405"/>
      <c r="DI576" s="83"/>
      <c r="DQ576" s="405"/>
      <c r="DW576" s="83"/>
      <c r="EE576" s="405"/>
      <c r="EK576" s="83"/>
      <c r="ES576" s="405"/>
      <c r="EY576" s="83"/>
      <c r="FG576" s="405"/>
      <c r="FM576" s="83"/>
      <c r="FU576" s="405"/>
      <c r="GA576" s="83"/>
      <c r="GI576" s="405"/>
      <c r="GO576" s="83"/>
      <c r="GW576" s="405"/>
      <c r="HC576" s="83"/>
      <c r="HK576" s="405"/>
      <c r="HQ576" s="83"/>
      <c r="HY576" s="405"/>
      <c r="IE576" s="83"/>
      <c r="IM576" s="405"/>
      <c r="IS576" s="83"/>
      <c r="JA576" s="405"/>
      <c r="JG576" s="83"/>
      <c r="JO576" s="405"/>
      <c r="JU576" s="83"/>
      <c r="KC576" s="405"/>
      <c r="KI576" s="83"/>
      <c r="KQ576" s="405"/>
      <c r="KW576" s="83"/>
      <c r="LE576" s="405"/>
      <c r="LK576" s="83"/>
      <c r="LS576" s="405"/>
      <c r="LY576" s="83"/>
      <c r="MG576" s="405"/>
      <c r="MM576" s="83"/>
      <c r="MU576" s="405"/>
      <c r="NA576" s="83"/>
    </row>
    <row r="577">
      <c r="A577" s="483"/>
      <c r="B577" s="380"/>
      <c r="C577" s="380"/>
      <c r="D577" s="380"/>
      <c r="E577" s="380"/>
      <c r="F577" s="380"/>
      <c r="G577" s="380"/>
      <c r="H577" s="380"/>
      <c r="I577" s="403"/>
      <c r="J577" s="380"/>
      <c r="K577" s="380"/>
      <c r="L577" s="380"/>
      <c r="M577" s="380"/>
      <c r="N577" s="380"/>
      <c r="O577" s="404"/>
      <c r="P577" s="380"/>
      <c r="Q577" s="380"/>
      <c r="R577" s="380"/>
      <c r="S577" s="380"/>
      <c r="T577" s="380"/>
      <c r="U577" s="380"/>
      <c r="V577" s="380"/>
      <c r="W577" s="403"/>
      <c r="X577" s="380"/>
      <c r="Y577" s="380"/>
      <c r="Z577" s="380"/>
      <c r="AA577" s="380"/>
      <c r="AB577" s="380"/>
      <c r="AC577" s="404"/>
      <c r="AD577" s="380"/>
      <c r="AE577" s="380"/>
      <c r="AF577" s="380"/>
      <c r="AG577" s="380"/>
      <c r="AH577" s="380"/>
      <c r="AI577" s="380"/>
      <c r="AJ577" s="380"/>
      <c r="AK577" s="403"/>
      <c r="AL577" s="380"/>
      <c r="AM577" s="380"/>
      <c r="AN577" s="380"/>
      <c r="AO577" s="380"/>
      <c r="AP577" s="380"/>
      <c r="AQ577" s="404"/>
      <c r="AR577" s="380"/>
      <c r="AS577" s="380"/>
      <c r="AT577" s="380"/>
      <c r="AU577" s="380"/>
      <c r="AV577" s="380"/>
      <c r="AW577" s="380"/>
      <c r="AX577" s="380"/>
      <c r="AY577" s="403"/>
      <c r="AZ577" s="380"/>
      <c r="BA577" s="380"/>
      <c r="BB577" s="380"/>
      <c r="BC577" s="380"/>
      <c r="BD577" s="380"/>
      <c r="BE577" s="404"/>
      <c r="BF577" s="380"/>
      <c r="BG577" s="380"/>
      <c r="BH577" s="380"/>
      <c r="BI577" s="380"/>
      <c r="BJ577" s="380"/>
      <c r="BK577" s="380"/>
      <c r="BL577" s="380"/>
      <c r="BM577" s="403"/>
      <c r="BS577" s="83"/>
      <c r="CA577" s="405"/>
      <c r="CG577" s="83"/>
      <c r="CO577" s="405"/>
      <c r="CU577" s="83"/>
      <c r="DC577" s="405"/>
      <c r="DI577" s="83"/>
      <c r="DQ577" s="405"/>
      <c r="DW577" s="83"/>
      <c r="EE577" s="405"/>
      <c r="EK577" s="83"/>
      <c r="ES577" s="405"/>
      <c r="EY577" s="83"/>
      <c r="FG577" s="405"/>
      <c r="FM577" s="83"/>
      <c r="FU577" s="405"/>
      <c r="GA577" s="83"/>
      <c r="GI577" s="405"/>
      <c r="GO577" s="83"/>
      <c r="GW577" s="405"/>
      <c r="HC577" s="83"/>
      <c r="HK577" s="405"/>
      <c r="HQ577" s="83"/>
      <c r="HY577" s="405"/>
      <c r="IE577" s="83"/>
      <c r="IM577" s="405"/>
      <c r="IS577" s="83"/>
      <c r="JA577" s="405"/>
      <c r="JG577" s="83"/>
      <c r="JO577" s="405"/>
      <c r="JU577" s="83"/>
      <c r="KC577" s="405"/>
      <c r="KI577" s="83"/>
      <c r="KQ577" s="405"/>
      <c r="KW577" s="83"/>
      <c r="LE577" s="405"/>
      <c r="LK577" s="83"/>
      <c r="LS577" s="405"/>
      <c r="LY577" s="83"/>
      <c r="MG577" s="405"/>
      <c r="MM577" s="83"/>
      <c r="MU577" s="405"/>
      <c r="NA577" s="83"/>
    </row>
    <row r="578">
      <c r="A578" s="483"/>
      <c r="B578" s="380"/>
      <c r="C578" s="380"/>
      <c r="D578" s="380"/>
      <c r="E578" s="380"/>
      <c r="F578" s="380"/>
      <c r="G578" s="380"/>
      <c r="H578" s="380"/>
      <c r="I578" s="403"/>
      <c r="J578" s="380"/>
      <c r="K578" s="380"/>
      <c r="L578" s="380"/>
      <c r="M578" s="380"/>
      <c r="N578" s="380"/>
      <c r="O578" s="404"/>
      <c r="P578" s="380"/>
      <c r="Q578" s="380"/>
      <c r="R578" s="380"/>
      <c r="S578" s="380"/>
      <c r="T578" s="380"/>
      <c r="U578" s="380"/>
      <c r="V578" s="380"/>
      <c r="W578" s="403"/>
      <c r="X578" s="380"/>
      <c r="Y578" s="380"/>
      <c r="Z578" s="380"/>
      <c r="AA578" s="380"/>
      <c r="AB578" s="380"/>
      <c r="AC578" s="404"/>
      <c r="AD578" s="380"/>
      <c r="AE578" s="380"/>
      <c r="AF578" s="380"/>
      <c r="AG578" s="380"/>
      <c r="AH578" s="380"/>
      <c r="AI578" s="380"/>
      <c r="AJ578" s="380"/>
      <c r="AK578" s="403"/>
      <c r="AL578" s="380"/>
      <c r="AM578" s="380"/>
      <c r="AN578" s="380"/>
      <c r="AO578" s="380"/>
      <c r="AP578" s="380"/>
      <c r="AQ578" s="404"/>
      <c r="AR578" s="380"/>
      <c r="AS578" s="380"/>
      <c r="AT578" s="380"/>
      <c r="AU578" s="380"/>
      <c r="AV578" s="380"/>
      <c r="AW578" s="380"/>
      <c r="AX578" s="380"/>
      <c r="AY578" s="403"/>
      <c r="AZ578" s="380"/>
      <c r="BA578" s="380"/>
      <c r="BB578" s="380"/>
      <c r="BC578" s="380"/>
      <c r="BD578" s="380"/>
      <c r="BE578" s="404"/>
      <c r="BF578" s="380"/>
      <c r="BG578" s="380"/>
      <c r="BH578" s="380"/>
      <c r="BI578" s="380"/>
      <c r="BJ578" s="380"/>
      <c r="BK578" s="380"/>
      <c r="BL578" s="380"/>
      <c r="BM578" s="403"/>
      <c r="BS578" s="83"/>
      <c r="CA578" s="405"/>
      <c r="CG578" s="83"/>
      <c r="CO578" s="405"/>
      <c r="CU578" s="83"/>
      <c r="DC578" s="405"/>
      <c r="DI578" s="83"/>
      <c r="DQ578" s="405"/>
      <c r="DW578" s="83"/>
      <c r="EE578" s="405"/>
      <c r="EK578" s="83"/>
      <c r="ES578" s="405"/>
      <c r="EY578" s="83"/>
      <c r="FG578" s="405"/>
      <c r="FM578" s="83"/>
      <c r="FU578" s="405"/>
      <c r="GA578" s="83"/>
      <c r="GI578" s="405"/>
      <c r="GO578" s="83"/>
      <c r="GW578" s="405"/>
      <c r="HC578" s="83"/>
      <c r="HK578" s="405"/>
      <c r="HQ578" s="83"/>
      <c r="HY578" s="405"/>
      <c r="IE578" s="83"/>
      <c r="IM578" s="405"/>
      <c r="IS578" s="83"/>
      <c r="JA578" s="405"/>
      <c r="JG578" s="83"/>
      <c r="JO578" s="405"/>
      <c r="JU578" s="83"/>
      <c r="KC578" s="405"/>
      <c r="KI578" s="83"/>
      <c r="KQ578" s="405"/>
      <c r="KW578" s="83"/>
      <c r="LE578" s="405"/>
      <c r="LK578" s="83"/>
      <c r="LS578" s="405"/>
      <c r="LY578" s="83"/>
      <c r="MG578" s="405"/>
      <c r="MM578" s="83"/>
      <c r="MU578" s="405"/>
      <c r="NA578" s="83"/>
    </row>
    <row r="579">
      <c r="A579" s="483"/>
      <c r="B579" s="380"/>
      <c r="C579" s="380"/>
      <c r="D579" s="380"/>
      <c r="E579" s="380"/>
      <c r="F579" s="380"/>
      <c r="G579" s="380"/>
      <c r="H579" s="380"/>
      <c r="I579" s="403"/>
      <c r="J579" s="380"/>
      <c r="K579" s="380"/>
      <c r="L579" s="380"/>
      <c r="M579" s="380"/>
      <c r="N579" s="380"/>
      <c r="O579" s="404"/>
      <c r="P579" s="380"/>
      <c r="Q579" s="380"/>
      <c r="R579" s="380"/>
      <c r="S579" s="380"/>
      <c r="T579" s="380"/>
      <c r="U579" s="380"/>
      <c r="V579" s="380"/>
      <c r="W579" s="403"/>
      <c r="X579" s="380"/>
      <c r="Y579" s="380"/>
      <c r="Z579" s="380"/>
      <c r="AA579" s="380"/>
      <c r="AB579" s="380"/>
      <c r="AC579" s="404"/>
      <c r="AD579" s="380"/>
      <c r="AE579" s="380"/>
      <c r="AF579" s="380"/>
      <c r="AG579" s="380"/>
      <c r="AH579" s="380"/>
      <c r="AI579" s="380"/>
      <c r="AJ579" s="380"/>
      <c r="AK579" s="403"/>
      <c r="AL579" s="380"/>
      <c r="AM579" s="380"/>
      <c r="AN579" s="380"/>
      <c r="AO579" s="380"/>
      <c r="AP579" s="380"/>
      <c r="AQ579" s="404"/>
      <c r="AR579" s="380"/>
      <c r="AS579" s="380"/>
      <c r="AT579" s="380"/>
      <c r="AU579" s="380"/>
      <c r="AV579" s="380"/>
      <c r="AW579" s="380"/>
      <c r="AX579" s="380"/>
      <c r="AY579" s="403"/>
      <c r="AZ579" s="380"/>
      <c r="BA579" s="380"/>
      <c r="BB579" s="380"/>
      <c r="BC579" s="380"/>
      <c r="BD579" s="380"/>
      <c r="BE579" s="404"/>
      <c r="BF579" s="380"/>
      <c r="BG579" s="380"/>
      <c r="BH579" s="380"/>
      <c r="BI579" s="380"/>
      <c r="BJ579" s="380"/>
      <c r="BK579" s="380"/>
      <c r="BL579" s="380"/>
      <c r="BM579" s="403"/>
      <c r="BS579" s="83"/>
      <c r="CA579" s="405"/>
      <c r="CG579" s="83"/>
      <c r="CO579" s="405"/>
      <c r="CU579" s="83"/>
      <c r="DC579" s="405"/>
      <c r="DI579" s="83"/>
      <c r="DQ579" s="405"/>
      <c r="DW579" s="83"/>
      <c r="EE579" s="405"/>
      <c r="EK579" s="83"/>
      <c r="ES579" s="405"/>
      <c r="EY579" s="83"/>
      <c r="FG579" s="405"/>
      <c r="FM579" s="83"/>
      <c r="FU579" s="405"/>
      <c r="GA579" s="83"/>
      <c r="GI579" s="405"/>
      <c r="GO579" s="83"/>
      <c r="GW579" s="405"/>
      <c r="HC579" s="83"/>
      <c r="HK579" s="405"/>
      <c r="HQ579" s="83"/>
      <c r="HY579" s="405"/>
      <c r="IE579" s="83"/>
      <c r="IM579" s="405"/>
      <c r="IS579" s="83"/>
      <c r="JA579" s="405"/>
      <c r="JG579" s="83"/>
      <c r="JO579" s="405"/>
      <c r="JU579" s="83"/>
      <c r="KC579" s="405"/>
      <c r="KI579" s="83"/>
      <c r="KQ579" s="405"/>
      <c r="KW579" s="83"/>
      <c r="LE579" s="405"/>
      <c r="LK579" s="83"/>
      <c r="LS579" s="405"/>
      <c r="LY579" s="83"/>
      <c r="MG579" s="405"/>
      <c r="MM579" s="83"/>
      <c r="MU579" s="405"/>
      <c r="NA579" s="83"/>
    </row>
    <row r="580">
      <c r="A580" s="483"/>
      <c r="B580" s="380"/>
      <c r="C580" s="380"/>
      <c r="D580" s="380"/>
      <c r="E580" s="380"/>
      <c r="F580" s="380"/>
      <c r="G580" s="380"/>
      <c r="H580" s="380"/>
      <c r="I580" s="403"/>
      <c r="J580" s="380"/>
      <c r="K580" s="380"/>
      <c r="L580" s="380"/>
      <c r="M580" s="380"/>
      <c r="N580" s="380"/>
      <c r="O580" s="404"/>
      <c r="P580" s="380"/>
      <c r="Q580" s="380"/>
      <c r="R580" s="380"/>
      <c r="S580" s="380"/>
      <c r="T580" s="380"/>
      <c r="U580" s="380"/>
      <c r="V580" s="380"/>
      <c r="W580" s="403"/>
      <c r="X580" s="380"/>
      <c r="Y580" s="380"/>
      <c r="Z580" s="380"/>
      <c r="AA580" s="380"/>
      <c r="AB580" s="380"/>
      <c r="AC580" s="404"/>
      <c r="AD580" s="380"/>
      <c r="AE580" s="380"/>
      <c r="AF580" s="380"/>
      <c r="AG580" s="380"/>
      <c r="AH580" s="380"/>
      <c r="AI580" s="380"/>
      <c r="AJ580" s="380"/>
      <c r="AK580" s="403"/>
      <c r="AL580" s="380"/>
      <c r="AM580" s="380"/>
      <c r="AN580" s="380"/>
      <c r="AO580" s="380"/>
      <c r="AP580" s="380"/>
      <c r="AQ580" s="404"/>
      <c r="AR580" s="380"/>
      <c r="AS580" s="380"/>
      <c r="AT580" s="380"/>
      <c r="AU580" s="380"/>
      <c r="AV580" s="380"/>
      <c r="AW580" s="380"/>
      <c r="AX580" s="380"/>
      <c r="AY580" s="403"/>
      <c r="AZ580" s="380"/>
      <c r="BA580" s="380"/>
      <c r="BB580" s="380"/>
      <c r="BC580" s="380"/>
      <c r="BD580" s="380"/>
      <c r="BE580" s="404"/>
      <c r="BF580" s="380"/>
      <c r="BG580" s="380"/>
      <c r="BH580" s="380"/>
      <c r="BI580" s="380"/>
      <c r="BJ580" s="380"/>
      <c r="BK580" s="380"/>
      <c r="BL580" s="380"/>
      <c r="BM580" s="403"/>
      <c r="BS580" s="83"/>
      <c r="CA580" s="405"/>
      <c r="CG580" s="83"/>
      <c r="CO580" s="405"/>
      <c r="CU580" s="83"/>
      <c r="DC580" s="405"/>
      <c r="DI580" s="83"/>
      <c r="DQ580" s="405"/>
      <c r="DW580" s="83"/>
      <c r="EE580" s="405"/>
      <c r="EK580" s="83"/>
      <c r="ES580" s="405"/>
      <c r="EY580" s="83"/>
      <c r="FG580" s="405"/>
      <c r="FM580" s="83"/>
      <c r="FU580" s="405"/>
      <c r="GA580" s="83"/>
      <c r="GI580" s="405"/>
      <c r="GO580" s="83"/>
      <c r="GW580" s="405"/>
      <c r="HC580" s="83"/>
      <c r="HK580" s="405"/>
      <c r="HQ580" s="83"/>
      <c r="HY580" s="405"/>
      <c r="IE580" s="83"/>
      <c r="IM580" s="405"/>
      <c r="IS580" s="83"/>
      <c r="JA580" s="405"/>
      <c r="JG580" s="83"/>
      <c r="JO580" s="405"/>
      <c r="JU580" s="83"/>
      <c r="KC580" s="405"/>
      <c r="KI580" s="83"/>
      <c r="KQ580" s="405"/>
      <c r="KW580" s="83"/>
      <c r="LE580" s="405"/>
      <c r="LK580" s="83"/>
      <c r="LS580" s="405"/>
      <c r="LY580" s="83"/>
      <c r="MG580" s="405"/>
      <c r="MM580" s="83"/>
      <c r="MU580" s="405"/>
      <c r="NA580" s="83"/>
    </row>
    <row r="581">
      <c r="A581" s="483"/>
      <c r="B581" s="380"/>
      <c r="C581" s="380"/>
      <c r="D581" s="380"/>
      <c r="E581" s="380"/>
      <c r="F581" s="380"/>
      <c r="G581" s="380"/>
      <c r="H581" s="380"/>
      <c r="I581" s="403"/>
      <c r="J581" s="380"/>
      <c r="K581" s="380"/>
      <c r="L581" s="380"/>
      <c r="M581" s="380"/>
      <c r="N581" s="380"/>
      <c r="O581" s="404"/>
      <c r="P581" s="380"/>
      <c r="Q581" s="380"/>
      <c r="R581" s="380"/>
      <c r="S581" s="380"/>
      <c r="T581" s="380"/>
      <c r="U581" s="380"/>
      <c r="V581" s="380"/>
      <c r="W581" s="403"/>
      <c r="X581" s="380"/>
      <c r="Y581" s="380"/>
      <c r="Z581" s="380"/>
      <c r="AA581" s="380"/>
      <c r="AB581" s="380"/>
      <c r="AC581" s="404"/>
      <c r="AD581" s="380"/>
      <c r="AE581" s="380"/>
      <c r="AF581" s="380"/>
      <c r="AG581" s="380"/>
      <c r="AH581" s="380"/>
      <c r="AI581" s="380"/>
      <c r="AJ581" s="380"/>
      <c r="AK581" s="403"/>
      <c r="AL581" s="380"/>
      <c r="AM581" s="380"/>
      <c r="AN581" s="380"/>
      <c r="AO581" s="380"/>
      <c r="AP581" s="380"/>
      <c r="AQ581" s="404"/>
      <c r="AR581" s="380"/>
      <c r="AS581" s="380"/>
      <c r="AT581" s="380"/>
      <c r="AU581" s="380"/>
      <c r="AV581" s="380"/>
      <c r="AW581" s="380"/>
      <c r="AX581" s="380"/>
      <c r="AY581" s="403"/>
      <c r="AZ581" s="380"/>
      <c r="BA581" s="380"/>
      <c r="BB581" s="380"/>
      <c r="BC581" s="380"/>
      <c r="BD581" s="380"/>
      <c r="BE581" s="404"/>
      <c r="BF581" s="380"/>
      <c r="BG581" s="380"/>
      <c r="BH581" s="380"/>
      <c r="BI581" s="380"/>
      <c r="BJ581" s="380"/>
      <c r="BK581" s="380"/>
      <c r="BL581" s="380"/>
      <c r="BM581" s="403"/>
      <c r="BS581" s="83"/>
      <c r="CA581" s="405"/>
      <c r="CG581" s="83"/>
      <c r="CO581" s="405"/>
      <c r="CU581" s="83"/>
      <c r="DC581" s="405"/>
      <c r="DI581" s="83"/>
      <c r="DQ581" s="405"/>
      <c r="DW581" s="83"/>
      <c r="EE581" s="405"/>
      <c r="EK581" s="83"/>
      <c r="ES581" s="405"/>
      <c r="EY581" s="83"/>
      <c r="FG581" s="405"/>
      <c r="FM581" s="83"/>
      <c r="FU581" s="405"/>
      <c r="GA581" s="83"/>
      <c r="GI581" s="405"/>
      <c r="GO581" s="83"/>
      <c r="GW581" s="405"/>
      <c r="HC581" s="83"/>
      <c r="HK581" s="405"/>
      <c r="HQ581" s="83"/>
      <c r="HY581" s="405"/>
      <c r="IE581" s="83"/>
      <c r="IM581" s="405"/>
      <c r="IS581" s="83"/>
      <c r="JA581" s="405"/>
      <c r="JG581" s="83"/>
      <c r="JO581" s="405"/>
      <c r="JU581" s="83"/>
      <c r="KC581" s="405"/>
      <c r="KI581" s="83"/>
      <c r="KQ581" s="405"/>
      <c r="KW581" s="83"/>
      <c r="LE581" s="405"/>
      <c r="LK581" s="83"/>
      <c r="LS581" s="405"/>
      <c r="LY581" s="83"/>
      <c r="MG581" s="405"/>
      <c r="MM581" s="83"/>
      <c r="MU581" s="405"/>
      <c r="NA581" s="83"/>
    </row>
    <row r="582">
      <c r="A582" s="483"/>
      <c r="B582" s="380"/>
      <c r="C582" s="380"/>
      <c r="D582" s="380"/>
      <c r="E582" s="380"/>
      <c r="F582" s="380"/>
      <c r="G582" s="380"/>
      <c r="H582" s="380"/>
      <c r="I582" s="403"/>
      <c r="J582" s="380"/>
      <c r="K582" s="380"/>
      <c r="L582" s="380"/>
      <c r="M582" s="380"/>
      <c r="N582" s="380"/>
      <c r="O582" s="404"/>
      <c r="P582" s="380"/>
      <c r="Q582" s="380"/>
      <c r="R582" s="380"/>
      <c r="S582" s="380"/>
      <c r="T582" s="380"/>
      <c r="U582" s="380"/>
      <c r="V582" s="380"/>
      <c r="W582" s="403"/>
      <c r="X582" s="380"/>
      <c r="Y582" s="380"/>
      <c r="Z582" s="380"/>
      <c r="AA582" s="380"/>
      <c r="AB582" s="380"/>
      <c r="AC582" s="404"/>
      <c r="AD582" s="380"/>
      <c r="AE582" s="380"/>
      <c r="AF582" s="380"/>
      <c r="AG582" s="380"/>
      <c r="AH582" s="380"/>
      <c r="AI582" s="380"/>
      <c r="AJ582" s="380"/>
      <c r="AK582" s="403"/>
      <c r="AL582" s="380"/>
      <c r="AM582" s="380"/>
      <c r="AN582" s="380"/>
      <c r="AO582" s="380"/>
      <c r="AP582" s="380"/>
      <c r="AQ582" s="404"/>
      <c r="AR582" s="380"/>
      <c r="AS582" s="380"/>
      <c r="AT582" s="380"/>
      <c r="AU582" s="380"/>
      <c r="AV582" s="380"/>
      <c r="AW582" s="380"/>
      <c r="AX582" s="380"/>
      <c r="AY582" s="403"/>
      <c r="AZ582" s="380"/>
      <c r="BA582" s="380"/>
      <c r="BB582" s="380"/>
      <c r="BC582" s="380"/>
      <c r="BD582" s="380"/>
      <c r="BE582" s="404"/>
      <c r="BF582" s="380"/>
      <c r="BG582" s="380"/>
      <c r="BH582" s="380"/>
      <c r="BI582" s="380"/>
      <c r="BJ582" s="380"/>
      <c r="BK582" s="380"/>
      <c r="BL582" s="380"/>
      <c r="BM582" s="403"/>
      <c r="BS582" s="83"/>
      <c r="CA582" s="405"/>
      <c r="CG582" s="83"/>
      <c r="CO582" s="405"/>
      <c r="CU582" s="83"/>
      <c r="DC582" s="405"/>
      <c r="DI582" s="83"/>
      <c r="DQ582" s="405"/>
      <c r="DW582" s="83"/>
      <c r="EE582" s="405"/>
      <c r="EK582" s="83"/>
      <c r="ES582" s="405"/>
      <c r="EY582" s="83"/>
      <c r="FG582" s="405"/>
      <c r="FM582" s="83"/>
      <c r="FU582" s="405"/>
      <c r="GA582" s="83"/>
      <c r="GI582" s="405"/>
      <c r="GO582" s="83"/>
      <c r="GW582" s="405"/>
      <c r="HC582" s="83"/>
      <c r="HK582" s="405"/>
      <c r="HQ582" s="83"/>
      <c r="HY582" s="405"/>
      <c r="IE582" s="83"/>
      <c r="IM582" s="405"/>
      <c r="IS582" s="83"/>
      <c r="JA582" s="405"/>
      <c r="JG582" s="83"/>
      <c r="JO582" s="405"/>
      <c r="JU582" s="83"/>
      <c r="KC582" s="405"/>
      <c r="KI582" s="83"/>
      <c r="KQ582" s="405"/>
      <c r="KW582" s="83"/>
      <c r="LE582" s="405"/>
      <c r="LK582" s="83"/>
      <c r="LS582" s="405"/>
      <c r="LY582" s="83"/>
      <c r="MG582" s="405"/>
      <c r="MM582" s="83"/>
      <c r="MU582" s="405"/>
      <c r="NA582" s="83"/>
    </row>
    <row r="583">
      <c r="A583" s="483"/>
      <c r="B583" s="380"/>
      <c r="C583" s="380"/>
      <c r="D583" s="380"/>
      <c r="E583" s="380"/>
      <c r="F583" s="380"/>
      <c r="G583" s="380"/>
      <c r="H583" s="380"/>
      <c r="I583" s="403"/>
      <c r="J583" s="380"/>
      <c r="K583" s="380"/>
      <c r="L583" s="380"/>
      <c r="M583" s="380"/>
      <c r="N583" s="380"/>
      <c r="O583" s="404"/>
      <c r="P583" s="380"/>
      <c r="Q583" s="380"/>
      <c r="R583" s="380"/>
      <c r="S583" s="380"/>
      <c r="T583" s="380"/>
      <c r="U583" s="380"/>
      <c r="V583" s="380"/>
      <c r="W583" s="403"/>
      <c r="X583" s="380"/>
      <c r="Y583" s="380"/>
      <c r="Z583" s="380"/>
      <c r="AA583" s="380"/>
      <c r="AB583" s="380"/>
      <c r="AC583" s="404"/>
      <c r="AD583" s="380"/>
      <c r="AE583" s="380"/>
      <c r="AF583" s="380"/>
      <c r="AG583" s="380"/>
      <c r="AH583" s="380"/>
      <c r="AI583" s="380"/>
      <c r="AJ583" s="380"/>
      <c r="AK583" s="403"/>
      <c r="AL583" s="380"/>
      <c r="AM583" s="380"/>
      <c r="AN583" s="380"/>
      <c r="AO583" s="380"/>
      <c r="AP583" s="380"/>
      <c r="AQ583" s="404"/>
      <c r="AR583" s="380"/>
      <c r="AS583" s="380"/>
      <c r="AT583" s="380"/>
      <c r="AU583" s="380"/>
      <c r="AV583" s="380"/>
      <c r="AW583" s="380"/>
      <c r="AX583" s="380"/>
      <c r="AY583" s="403"/>
      <c r="AZ583" s="380"/>
      <c r="BA583" s="380"/>
      <c r="BB583" s="380"/>
      <c r="BC583" s="380"/>
      <c r="BD583" s="380"/>
      <c r="BE583" s="404"/>
      <c r="BF583" s="380"/>
      <c r="BG583" s="380"/>
      <c r="BH583" s="380"/>
      <c r="BI583" s="380"/>
      <c r="BJ583" s="380"/>
      <c r="BK583" s="380"/>
      <c r="BL583" s="380"/>
      <c r="BM583" s="403"/>
      <c r="BS583" s="83"/>
      <c r="CA583" s="405"/>
      <c r="CG583" s="83"/>
      <c r="CO583" s="405"/>
      <c r="CU583" s="83"/>
      <c r="DC583" s="405"/>
      <c r="DI583" s="83"/>
      <c r="DQ583" s="405"/>
      <c r="DW583" s="83"/>
      <c r="EE583" s="405"/>
      <c r="EK583" s="83"/>
      <c r="ES583" s="405"/>
      <c r="EY583" s="83"/>
      <c r="FG583" s="405"/>
      <c r="FM583" s="83"/>
      <c r="FU583" s="405"/>
      <c r="GA583" s="83"/>
      <c r="GI583" s="405"/>
      <c r="GO583" s="83"/>
      <c r="GW583" s="405"/>
      <c r="HC583" s="83"/>
      <c r="HK583" s="405"/>
      <c r="HQ583" s="83"/>
      <c r="HY583" s="405"/>
      <c r="IE583" s="83"/>
      <c r="IM583" s="405"/>
      <c r="IS583" s="83"/>
      <c r="JA583" s="405"/>
      <c r="JG583" s="83"/>
      <c r="JO583" s="405"/>
      <c r="JU583" s="83"/>
      <c r="KC583" s="405"/>
      <c r="KI583" s="83"/>
      <c r="KQ583" s="405"/>
      <c r="KW583" s="83"/>
      <c r="LE583" s="405"/>
      <c r="LK583" s="83"/>
      <c r="LS583" s="405"/>
      <c r="LY583" s="83"/>
      <c r="MG583" s="405"/>
      <c r="MM583" s="83"/>
      <c r="MU583" s="405"/>
      <c r="NA583" s="83"/>
    </row>
    <row r="584">
      <c r="A584" s="483"/>
      <c r="B584" s="380"/>
      <c r="C584" s="380"/>
      <c r="D584" s="380"/>
      <c r="E584" s="380"/>
      <c r="F584" s="380"/>
      <c r="G584" s="380"/>
      <c r="H584" s="380"/>
      <c r="I584" s="403"/>
      <c r="J584" s="380"/>
      <c r="K584" s="380"/>
      <c r="L584" s="380"/>
      <c r="M584" s="380"/>
      <c r="N584" s="380"/>
      <c r="O584" s="404"/>
      <c r="P584" s="380"/>
      <c r="Q584" s="380"/>
      <c r="R584" s="380"/>
      <c r="S584" s="380"/>
      <c r="T584" s="380"/>
      <c r="U584" s="380"/>
      <c r="V584" s="380"/>
      <c r="W584" s="403"/>
      <c r="X584" s="380"/>
      <c r="Y584" s="380"/>
      <c r="Z584" s="380"/>
      <c r="AA584" s="380"/>
      <c r="AB584" s="380"/>
      <c r="AC584" s="404"/>
      <c r="AD584" s="380"/>
      <c r="AE584" s="380"/>
      <c r="AF584" s="380"/>
      <c r="AG584" s="380"/>
      <c r="AH584" s="380"/>
      <c r="AI584" s="380"/>
      <c r="AJ584" s="380"/>
      <c r="AK584" s="403"/>
      <c r="AL584" s="380"/>
      <c r="AM584" s="380"/>
      <c r="AN584" s="380"/>
      <c r="AO584" s="380"/>
      <c r="AP584" s="380"/>
      <c r="AQ584" s="404"/>
      <c r="AR584" s="380"/>
      <c r="AS584" s="380"/>
      <c r="AT584" s="380"/>
      <c r="AU584" s="380"/>
      <c r="AV584" s="380"/>
      <c r="AW584" s="380"/>
      <c r="AX584" s="380"/>
      <c r="AY584" s="403"/>
      <c r="AZ584" s="380"/>
      <c r="BA584" s="380"/>
      <c r="BB584" s="380"/>
      <c r="BC584" s="380"/>
      <c r="BD584" s="380"/>
      <c r="BE584" s="404"/>
      <c r="BF584" s="380"/>
      <c r="BG584" s="380"/>
      <c r="BH584" s="380"/>
      <c r="BI584" s="380"/>
      <c r="BJ584" s="380"/>
      <c r="BK584" s="380"/>
      <c r="BL584" s="380"/>
      <c r="BM584" s="403"/>
      <c r="BS584" s="83"/>
      <c r="CA584" s="405"/>
      <c r="CG584" s="83"/>
      <c r="CO584" s="405"/>
      <c r="CU584" s="83"/>
      <c r="DC584" s="405"/>
      <c r="DI584" s="83"/>
      <c r="DQ584" s="405"/>
      <c r="DW584" s="83"/>
      <c r="EE584" s="405"/>
      <c r="EK584" s="83"/>
      <c r="ES584" s="405"/>
      <c r="EY584" s="83"/>
      <c r="FG584" s="405"/>
      <c r="FM584" s="83"/>
      <c r="FU584" s="405"/>
      <c r="GA584" s="83"/>
      <c r="GI584" s="405"/>
      <c r="GO584" s="83"/>
      <c r="GW584" s="405"/>
      <c r="HC584" s="83"/>
      <c r="HK584" s="405"/>
      <c r="HQ584" s="83"/>
      <c r="HY584" s="405"/>
      <c r="IE584" s="83"/>
      <c r="IM584" s="405"/>
      <c r="IS584" s="83"/>
      <c r="JA584" s="405"/>
      <c r="JG584" s="83"/>
      <c r="JO584" s="405"/>
      <c r="JU584" s="83"/>
      <c r="KC584" s="405"/>
      <c r="KI584" s="83"/>
      <c r="KQ584" s="405"/>
      <c r="KW584" s="83"/>
      <c r="LE584" s="405"/>
      <c r="LK584" s="83"/>
      <c r="LS584" s="405"/>
      <c r="LY584" s="83"/>
      <c r="MG584" s="405"/>
      <c r="MM584" s="83"/>
      <c r="MU584" s="405"/>
      <c r="NA584" s="83"/>
    </row>
    <row r="585">
      <c r="A585" s="483"/>
      <c r="B585" s="380"/>
      <c r="C585" s="380"/>
      <c r="D585" s="380"/>
      <c r="E585" s="380"/>
      <c r="F585" s="380"/>
      <c r="G585" s="380"/>
      <c r="H585" s="380"/>
      <c r="I585" s="403"/>
      <c r="J585" s="380"/>
      <c r="K585" s="380"/>
      <c r="L585" s="380"/>
      <c r="M585" s="380"/>
      <c r="N585" s="380"/>
      <c r="O585" s="404"/>
      <c r="P585" s="380"/>
      <c r="Q585" s="380"/>
      <c r="R585" s="380"/>
      <c r="S585" s="380"/>
      <c r="T585" s="380"/>
      <c r="U585" s="380"/>
      <c r="V585" s="380"/>
      <c r="W585" s="403"/>
      <c r="X585" s="380"/>
      <c r="Y585" s="380"/>
      <c r="Z585" s="380"/>
      <c r="AA585" s="380"/>
      <c r="AB585" s="380"/>
      <c r="AC585" s="404"/>
      <c r="AD585" s="380"/>
      <c r="AE585" s="380"/>
      <c r="AF585" s="380"/>
      <c r="AG585" s="380"/>
      <c r="AH585" s="380"/>
      <c r="AI585" s="380"/>
      <c r="AJ585" s="380"/>
      <c r="AK585" s="403"/>
      <c r="AL585" s="380"/>
      <c r="AM585" s="380"/>
      <c r="AN585" s="380"/>
      <c r="AO585" s="380"/>
      <c r="AP585" s="380"/>
      <c r="AQ585" s="404"/>
      <c r="AR585" s="380"/>
      <c r="AS585" s="380"/>
      <c r="AT585" s="380"/>
      <c r="AU585" s="380"/>
      <c r="AV585" s="380"/>
      <c r="AW585" s="380"/>
      <c r="AX585" s="380"/>
      <c r="AY585" s="403"/>
      <c r="AZ585" s="380"/>
      <c r="BA585" s="380"/>
      <c r="BB585" s="380"/>
      <c r="BC585" s="380"/>
      <c r="BD585" s="380"/>
      <c r="BE585" s="404"/>
      <c r="BF585" s="380"/>
      <c r="BG585" s="380"/>
      <c r="BH585" s="380"/>
      <c r="BI585" s="380"/>
      <c r="BJ585" s="380"/>
      <c r="BK585" s="380"/>
      <c r="BL585" s="380"/>
      <c r="BM585" s="403"/>
      <c r="BS585" s="83"/>
      <c r="CA585" s="405"/>
      <c r="CG585" s="83"/>
      <c r="CO585" s="405"/>
      <c r="CU585" s="83"/>
      <c r="DC585" s="405"/>
      <c r="DI585" s="83"/>
      <c r="DQ585" s="405"/>
      <c r="DW585" s="83"/>
      <c r="EE585" s="405"/>
      <c r="EK585" s="83"/>
      <c r="ES585" s="405"/>
      <c r="EY585" s="83"/>
      <c r="FG585" s="405"/>
      <c r="FM585" s="83"/>
      <c r="FU585" s="405"/>
      <c r="GA585" s="83"/>
      <c r="GI585" s="405"/>
      <c r="GO585" s="83"/>
      <c r="GW585" s="405"/>
      <c r="HC585" s="83"/>
      <c r="HK585" s="405"/>
      <c r="HQ585" s="83"/>
      <c r="HY585" s="405"/>
      <c r="IE585" s="83"/>
      <c r="IM585" s="405"/>
      <c r="IS585" s="83"/>
      <c r="JA585" s="405"/>
      <c r="JG585" s="83"/>
      <c r="JO585" s="405"/>
      <c r="JU585" s="83"/>
      <c r="KC585" s="405"/>
      <c r="KI585" s="83"/>
      <c r="KQ585" s="405"/>
      <c r="KW585" s="83"/>
      <c r="LE585" s="405"/>
      <c r="LK585" s="83"/>
      <c r="LS585" s="405"/>
      <c r="LY585" s="83"/>
      <c r="MG585" s="405"/>
      <c r="MM585" s="83"/>
      <c r="MU585" s="405"/>
      <c r="NA585" s="83"/>
    </row>
    <row r="586">
      <c r="A586" s="483"/>
      <c r="B586" s="380"/>
      <c r="C586" s="380"/>
      <c r="D586" s="380"/>
      <c r="E586" s="380"/>
      <c r="F586" s="380"/>
      <c r="G586" s="380"/>
      <c r="H586" s="380"/>
      <c r="I586" s="403"/>
      <c r="J586" s="380"/>
      <c r="K586" s="380"/>
      <c r="L586" s="380"/>
      <c r="M586" s="380"/>
      <c r="N586" s="380"/>
      <c r="O586" s="404"/>
      <c r="P586" s="380"/>
      <c r="Q586" s="380"/>
      <c r="R586" s="380"/>
      <c r="S586" s="380"/>
      <c r="T586" s="380"/>
      <c r="U586" s="380"/>
      <c r="V586" s="380"/>
      <c r="W586" s="403"/>
      <c r="X586" s="380"/>
      <c r="Y586" s="380"/>
      <c r="Z586" s="380"/>
      <c r="AA586" s="380"/>
      <c r="AB586" s="380"/>
      <c r="AC586" s="404"/>
      <c r="AD586" s="380"/>
      <c r="AE586" s="380"/>
      <c r="AF586" s="380"/>
      <c r="AG586" s="380"/>
      <c r="AH586" s="380"/>
      <c r="AI586" s="380"/>
      <c r="AJ586" s="380"/>
      <c r="AK586" s="403"/>
      <c r="AL586" s="380"/>
      <c r="AM586" s="380"/>
      <c r="AN586" s="380"/>
      <c r="AO586" s="380"/>
      <c r="AP586" s="380"/>
      <c r="AQ586" s="404"/>
      <c r="AR586" s="380"/>
      <c r="AS586" s="380"/>
      <c r="AT586" s="380"/>
      <c r="AU586" s="380"/>
      <c r="AV586" s="380"/>
      <c r="AW586" s="380"/>
      <c r="AX586" s="380"/>
      <c r="AY586" s="403"/>
      <c r="AZ586" s="380"/>
      <c r="BA586" s="380"/>
      <c r="BB586" s="380"/>
      <c r="BC586" s="380"/>
      <c r="BD586" s="380"/>
      <c r="BE586" s="404"/>
      <c r="BF586" s="380"/>
      <c r="BG586" s="380"/>
      <c r="BH586" s="380"/>
      <c r="BI586" s="380"/>
      <c r="BJ586" s="380"/>
      <c r="BK586" s="380"/>
      <c r="BL586" s="380"/>
      <c r="BM586" s="403"/>
      <c r="BS586" s="83"/>
      <c r="CA586" s="405"/>
      <c r="CG586" s="83"/>
      <c r="CO586" s="405"/>
      <c r="CU586" s="83"/>
      <c r="DC586" s="405"/>
      <c r="DI586" s="83"/>
      <c r="DQ586" s="405"/>
      <c r="DW586" s="83"/>
      <c r="EE586" s="405"/>
      <c r="EK586" s="83"/>
      <c r="ES586" s="405"/>
      <c r="EY586" s="83"/>
      <c r="FG586" s="405"/>
      <c r="FM586" s="83"/>
      <c r="FU586" s="405"/>
      <c r="GA586" s="83"/>
      <c r="GI586" s="405"/>
      <c r="GO586" s="83"/>
      <c r="GW586" s="405"/>
      <c r="HC586" s="83"/>
      <c r="HK586" s="405"/>
      <c r="HQ586" s="83"/>
      <c r="HY586" s="405"/>
      <c r="IE586" s="83"/>
      <c r="IM586" s="405"/>
      <c r="IS586" s="83"/>
      <c r="JA586" s="405"/>
      <c r="JG586" s="83"/>
      <c r="JO586" s="405"/>
      <c r="JU586" s="83"/>
      <c r="KC586" s="405"/>
      <c r="KI586" s="83"/>
      <c r="KQ586" s="405"/>
      <c r="KW586" s="83"/>
      <c r="LE586" s="405"/>
      <c r="LK586" s="83"/>
      <c r="LS586" s="405"/>
      <c r="LY586" s="83"/>
      <c r="MG586" s="405"/>
      <c r="MM586" s="83"/>
      <c r="MU586" s="405"/>
      <c r="NA586" s="83"/>
    </row>
    <row r="587">
      <c r="A587" s="483"/>
      <c r="B587" s="380"/>
      <c r="C587" s="380"/>
      <c r="D587" s="380"/>
      <c r="E587" s="380"/>
      <c r="F587" s="380"/>
      <c r="G587" s="380"/>
      <c r="H587" s="380"/>
      <c r="I587" s="403"/>
      <c r="J587" s="380"/>
      <c r="K587" s="380"/>
      <c r="L587" s="380"/>
      <c r="M587" s="380"/>
      <c r="N587" s="380"/>
      <c r="O587" s="404"/>
      <c r="P587" s="380"/>
      <c r="Q587" s="380"/>
      <c r="R587" s="380"/>
      <c r="S587" s="380"/>
      <c r="T587" s="380"/>
      <c r="U587" s="380"/>
      <c r="V587" s="380"/>
      <c r="W587" s="403"/>
      <c r="X587" s="380"/>
      <c r="Y587" s="380"/>
      <c r="Z587" s="380"/>
      <c r="AA587" s="380"/>
      <c r="AB587" s="380"/>
      <c r="AC587" s="404"/>
      <c r="AD587" s="380"/>
      <c r="AE587" s="380"/>
      <c r="AF587" s="380"/>
      <c r="AG587" s="380"/>
      <c r="AH587" s="380"/>
      <c r="AI587" s="380"/>
      <c r="AJ587" s="380"/>
      <c r="AK587" s="403"/>
      <c r="AL587" s="380"/>
      <c r="AM587" s="380"/>
      <c r="AN587" s="380"/>
      <c r="AO587" s="380"/>
      <c r="AP587" s="380"/>
      <c r="AQ587" s="404"/>
      <c r="AR587" s="380"/>
      <c r="AS587" s="380"/>
      <c r="AT587" s="380"/>
      <c r="AU587" s="380"/>
      <c r="AV587" s="380"/>
      <c r="AW587" s="380"/>
      <c r="AX587" s="380"/>
      <c r="AY587" s="403"/>
      <c r="AZ587" s="380"/>
      <c r="BA587" s="380"/>
      <c r="BB587" s="380"/>
      <c r="BC587" s="380"/>
      <c r="BD587" s="380"/>
      <c r="BE587" s="404"/>
      <c r="BF587" s="380"/>
      <c r="BG587" s="380"/>
      <c r="BH587" s="380"/>
      <c r="BI587" s="380"/>
      <c r="BJ587" s="380"/>
      <c r="BK587" s="380"/>
      <c r="BL587" s="380"/>
      <c r="BM587" s="403"/>
      <c r="BS587" s="83"/>
      <c r="CA587" s="405"/>
      <c r="CG587" s="83"/>
      <c r="CO587" s="405"/>
      <c r="CU587" s="83"/>
      <c r="DC587" s="405"/>
      <c r="DI587" s="83"/>
      <c r="DQ587" s="405"/>
      <c r="DW587" s="83"/>
      <c r="EE587" s="405"/>
      <c r="EK587" s="83"/>
      <c r="ES587" s="405"/>
      <c r="EY587" s="83"/>
      <c r="FG587" s="405"/>
      <c r="FM587" s="83"/>
      <c r="FU587" s="405"/>
      <c r="GA587" s="83"/>
      <c r="GI587" s="405"/>
      <c r="GO587" s="83"/>
      <c r="GW587" s="405"/>
      <c r="HC587" s="83"/>
      <c r="HK587" s="405"/>
      <c r="HQ587" s="83"/>
      <c r="HY587" s="405"/>
      <c r="IE587" s="83"/>
      <c r="IM587" s="405"/>
      <c r="IS587" s="83"/>
      <c r="JA587" s="405"/>
      <c r="JG587" s="83"/>
      <c r="JO587" s="405"/>
      <c r="JU587" s="83"/>
      <c r="KC587" s="405"/>
      <c r="KI587" s="83"/>
      <c r="KQ587" s="405"/>
      <c r="KW587" s="83"/>
      <c r="LE587" s="405"/>
      <c r="LK587" s="83"/>
      <c r="LS587" s="405"/>
      <c r="LY587" s="83"/>
      <c r="MG587" s="405"/>
      <c r="MM587" s="83"/>
      <c r="MU587" s="405"/>
      <c r="NA587" s="83"/>
    </row>
    <row r="588">
      <c r="A588" s="483"/>
      <c r="B588" s="380"/>
      <c r="C588" s="380"/>
      <c r="D588" s="380"/>
      <c r="E588" s="380"/>
      <c r="F588" s="380"/>
      <c r="G588" s="380"/>
      <c r="H588" s="380"/>
      <c r="I588" s="403"/>
      <c r="J588" s="380"/>
      <c r="K588" s="380"/>
      <c r="L588" s="380"/>
      <c r="M588" s="380"/>
      <c r="N588" s="380"/>
      <c r="O588" s="404"/>
      <c r="P588" s="380"/>
      <c r="Q588" s="380"/>
      <c r="R588" s="380"/>
      <c r="S588" s="380"/>
      <c r="T588" s="380"/>
      <c r="U588" s="380"/>
      <c r="V588" s="380"/>
      <c r="W588" s="403"/>
      <c r="X588" s="380"/>
      <c r="Y588" s="380"/>
      <c r="Z588" s="380"/>
      <c r="AA588" s="380"/>
      <c r="AB588" s="380"/>
      <c r="AC588" s="404"/>
      <c r="AD588" s="380"/>
      <c r="AE588" s="380"/>
      <c r="AF588" s="380"/>
      <c r="AG588" s="380"/>
      <c r="AH588" s="380"/>
      <c r="AI588" s="380"/>
      <c r="AJ588" s="380"/>
      <c r="AK588" s="403"/>
      <c r="AL588" s="380"/>
      <c r="AM588" s="380"/>
      <c r="AN588" s="380"/>
      <c r="AO588" s="380"/>
      <c r="AP588" s="380"/>
      <c r="AQ588" s="404"/>
      <c r="AR588" s="380"/>
      <c r="AS588" s="380"/>
      <c r="AT588" s="380"/>
      <c r="AU588" s="380"/>
      <c r="AV588" s="380"/>
      <c r="AW588" s="380"/>
      <c r="AX588" s="380"/>
      <c r="AY588" s="403"/>
      <c r="AZ588" s="380"/>
      <c r="BA588" s="380"/>
      <c r="BB588" s="380"/>
      <c r="BC588" s="380"/>
      <c r="BD588" s="380"/>
      <c r="BE588" s="404"/>
      <c r="BF588" s="380"/>
      <c r="BG588" s="380"/>
      <c r="BH588" s="380"/>
      <c r="BI588" s="380"/>
      <c r="BJ588" s="380"/>
      <c r="BK588" s="380"/>
      <c r="BL588" s="380"/>
      <c r="BM588" s="403"/>
      <c r="BS588" s="83"/>
      <c r="CA588" s="405"/>
      <c r="CG588" s="83"/>
      <c r="CO588" s="405"/>
      <c r="CU588" s="83"/>
      <c r="DC588" s="405"/>
      <c r="DI588" s="83"/>
      <c r="DQ588" s="405"/>
      <c r="DW588" s="83"/>
      <c r="EE588" s="405"/>
      <c r="EK588" s="83"/>
      <c r="ES588" s="405"/>
      <c r="EY588" s="83"/>
      <c r="FG588" s="405"/>
      <c r="FM588" s="83"/>
      <c r="FU588" s="405"/>
      <c r="GA588" s="83"/>
      <c r="GI588" s="405"/>
      <c r="GO588" s="83"/>
      <c r="GW588" s="405"/>
      <c r="HC588" s="83"/>
      <c r="HK588" s="405"/>
      <c r="HQ588" s="83"/>
      <c r="HY588" s="405"/>
      <c r="IE588" s="83"/>
      <c r="IM588" s="405"/>
      <c r="IS588" s="83"/>
      <c r="JA588" s="405"/>
      <c r="JG588" s="83"/>
      <c r="JO588" s="405"/>
      <c r="JU588" s="83"/>
      <c r="KC588" s="405"/>
      <c r="KI588" s="83"/>
      <c r="KQ588" s="405"/>
      <c r="KW588" s="83"/>
      <c r="LE588" s="405"/>
      <c r="LK588" s="83"/>
      <c r="LS588" s="405"/>
      <c r="LY588" s="83"/>
      <c r="MG588" s="405"/>
      <c r="MM588" s="83"/>
      <c r="MU588" s="405"/>
      <c r="NA588" s="83"/>
    </row>
    <row r="589">
      <c r="A589" s="483"/>
      <c r="B589" s="380"/>
      <c r="C589" s="380"/>
      <c r="D589" s="380"/>
      <c r="E589" s="380"/>
      <c r="F589" s="380"/>
      <c r="G589" s="380"/>
      <c r="H589" s="380"/>
      <c r="I589" s="403"/>
      <c r="J589" s="380"/>
      <c r="K589" s="380"/>
      <c r="L589" s="380"/>
      <c r="M589" s="380"/>
      <c r="N589" s="380"/>
      <c r="O589" s="404"/>
      <c r="P589" s="380"/>
      <c r="Q589" s="380"/>
      <c r="R589" s="380"/>
      <c r="S589" s="380"/>
      <c r="T589" s="380"/>
      <c r="U589" s="380"/>
      <c r="V589" s="380"/>
      <c r="W589" s="403"/>
      <c r="X589" s="380"/>
      <c r="Y589" s="380"/>
      <c r="Z589" s="380"/>
      <c r="AA589" s="380"/>
      <c r="AB589" s="380"/>
      <c r="AC589" s="404"/>
      <c r="AD589" s="380"/>
      <c r="AE589" s="380"/>
      <c r="AF589" s="380"/>
      <c r="AG589" s="380"/>
      <c r="AH589" s="380"/>
      <c r="AI589" s="380"/>
      <c r="AJ589" s="380"/>
      <c r="AK589" s="403"/>
      <c r="AL589" s="380"/>
      <c r="AM589" s="380"/>
      <c r="AN589" s="380"/>
      <c r="AO589" s="380"/>
      <c r="AP589" s="380"/>
      <c r="AQ589" s="404"/>
      <c r="AR589" s="380"/>
      <c r="AS589" s="380"/>
      <c r="AT589" s="380"/>
      <c r="AU589" s="380"/>
      <c r="AV589" s="380"/>
      <c r="AW589" s="380"/>
      <c r="AX589" s="380"/>
      <c r="AY589" s="403"/>
      <c r="AZ589" s="380"/>
      <c r="BA589" s="380"/>
      <c r="BB589" s="380"/>
      <c r="BC589" s="380"/>
      <c r="BD589" s="380"/>
      <c r="BE589" s="404"/>
      <c r="BF589" s="380"/>
      <c r="BG589" s="380"/>
      <c r="BH589" s="380"/>
      <c r="BI589" s="380"/>
      <c r="BJ589" s="380"/>
      <c r="BK589" s="380"/>
      <c r="BL589" s="380"/>
      <c r="BM589" s="403"/>
      <c r="BS589" s="83"/>
      <c r="CA589" s="405"/>
      <c r="CG589" s="83"/>
      <c r="CO589" s="405"/>
      <c r="CU589" s="83"/>
      <c r="DC589" s="405"/>
      <c r="DI589" s="83"/>
      <c r="DQ589" s="405"/>
      <c r="DW589" s="83"/>
      <c r="EE589" s="405"/>
      <c r="EK589" s="83"/>
      <c r="ES589" s="405"/>
      <c r="EY589" s="83"/>
      <c r="FG589" s="405"/>
      <c r="FM589" s="83"/>
      <c r="FU589" s="405"/>
      <c r="GA589" s="83"/>
      <c r="GI589" s="405"/>
      <c r="GO589" s="83"/>
      <c r="GW589" s="405"/>
      <c r="HC589" s="83"/>
      <c r="HK589" s="405"/>
      <c r="HQ589" s="83"/>
      <c r="HY589" s="405"/>
      <c r="IE589" s="83"/>
      <c r="IM589" s="405"/>
      <c r="IS589" s="83"/>
      <c r="JA589" s="405"/>
      <c r="JG589" s="83"/>
      <c r="JO589" s="405"/>
      <c r="JU589" s="83"/>
      <c r="KC589" s="405"/>
      <c r="KI589" s="83"/>
      <c r="KQ589" s="405"/>
      <c r="KW589" s="83"/>
      <c r="LE589" s="405"/>
      <c r="LK589" s="83"/>
      <c r="LS589" s="405"/>
      <c r="LY589" s="83"/>
      <c r="MG589" s="405"/>
      <c r="MM589" s="83"/>
      <c r="MU589" s="405"/>
      <c r="NA589" s="83"/>
    </row>
    <row r="590">
      <c r="A590" s="483"/>
      <c r="B590" s="380"/>
      <c r="C590" s="380"/>
      <c r="D590" s="380"/>
      <c r="E590" s="380"/>
      <c r="F590" s="380"/>
      <c r="G590" s="380"/>
      <c r="H590" s="380"/>
      <c r="I590" s="403"/>
      <c r="J590" s="380"/>
      <c r="K590" s="380"/>
      <c r="L590" s="380"/>
      <c r="M590" s="380"/>
      <c r="N590" s="380"/>
      <c r="O590" s="404"/>
      <c r="P590" s="380"/>
      <c r="Q590" s="380"/>
      <c r="R590" s="380"/>
      <c r="S590" s="380"/>
      <c r="T590" s="380"/>
      <c r="U590" s="380"/>
      <c r="V590" s="380"/>
      <c r="W590" s="403"/>
      <c r="X590" s="380"/>
      <c r="Y590" s="380"/>
      <c r="Z590" s="380"/>
      <c r="AA590" s="380"/>
      <c r="AB590" s="380"/>
      <c r="AC590" s="404"/>
      <c r="AD590" s="380"/>
      <c r="AE590" s="380"/>
      <c r="AF590" s="380"/>
      <c r="AG590" s="380"/>
      <c r="AH590" s="380"/>
      <c r="AI590" s="380"/>
      <c r="AJ590" s="380"/>
      <c r="AK590" s="403"/>
      <c r="AL590" s="380"/>
      <c r="AM590" s="380"/>
      <c r="AN590" s="380"/>
      <c r="AO590" s="380"/>
      <c r="AP590" s="380"/>
      <c r="AQ590" s="404"/>
      <c r="AR590" s="380"/>
      <c r="AS590" s="380"/>
      <c r="AT590" s="380"/>
      <c r="AU590" s="380"/>
      <c r="AV590" s="380"/>
      <c r="AW590" s="380"/>
      <c r="AX590" s="380"/>
      <c r="AY590" s="403"/>
      <c r="AZ590" s="380"/>
      <c r="BA590" s="380"/>
      <c r="BB590" s="380"/>
      <c r="BC590" s="380"/>
      <c r="BD590" s="380"/>
      <c r="BE590" s="404"/>
      <c r="BF590" s="380"/>
      <c r="BG590" s="380"/>
      <c r="BH590" s="380"/>
      <c r="BI590" s="380"/>
      <c r="BJ590" s="380"/>
      <c r="BK590" s="380"/>
      <c r="BL590" s="380"/>
      <c r="BM590" s="403"/>
      <c r="BS590" s="83"/>
      <c r="CA590" s="405"/>
      <c r="CG590" s="83"/>
      <c r="CO590" s="405"/>
      <c r="CU590" s="83"/>
      <c r="DC590" s="405"/>
      <c r="DI590" s="83"/>
      <c r="DQ590" s="405"/>
      <c r="DW590" s="83"/>
      <c r="EE590" s="405"/>
      <c r="EK590" s="83"/>
      <c r="ES590" s="405"/>
      <c r="EY590" s="83"/>
      <c r="FG590" s="405"/>
      <c r="FM590" s="83"/>
      <c r="FU590" s="405"/>
      <c r="GA590" s="83"/>
      <c r="GI590" s="405"/>
      <c r="GO590" s="83"/>
      <c r="GW590" s="405"/>
      <c r="HC590" s="83"/>
      <c r="HK590" s="405"/>
      <c r="HQ590" s="83"/>
      <c r="HY590" s="405"/>
      <c r="IE590" s="83"/>
      <c r="IM590" s="405"/>
      <c r="IS590" s="83"/>
      <c r="JA590" s="405"/>
      <c r="JG590" s="83"/>
      <c r="JO590" s="405"/>
      <c r="JU590" s="83"/>
      <c r="KC590" s="405"/>
      <c r="KI590" s="83"/>
      <c r="KQ590" s="405"/>
      <c r="KW590" s="83"/>
      <c r="LE590" s="405"/>
      <c r="LK590" s="83"/>
      <c r="LS590" s="405"/>
      <c r="LY590" s="83"/>
      <c r="MG590" s="405"/>
      <c r="MM590" s="83"/>
      <c r="MU590" s="405"/>
      <c r="NA590" s="83"/>
    </row>
    <row r="591">
      <c r="A591" s="483"/>
      <c r="B591" s="380"/>
      <c r="C591" s="380"/>
      <c r="D591" s="380"/>
      <c r="E591" s="380"/>
      <c r="F591" s="380"/>
      <c r="G591" s="380"/>
      <c r="H591" s="380"/>
      <c r="I591" s="403"/>
      <c r="J591" s="380"/>
      <c r="K591" s="380"/>
      <c r="L591" s="380"/>
      <c r="M591" s="380"/>
      <c r="N591" s="380"/>
      <c r="O591" s="404"/>
      <c r="P591" s="380"/>
      <c r="Q591" s="380"/>
      <c r="R591" s="380"/>
      <c r="S591" s="380"/>
      <c r="T591" s="380"/>
      <c r="U591" s="380"/>
      <c r="V591" s="380"/>
      <c r="W591" s="403"/>
      <c r="X591" s="380"/>
      <c r="Y591" s="380"/>
      <c r="Z591" s="380"/>
      <c r="AA591" s="380"/>
      <c r="AB591" s="380"/>
      <c r="AC591" s="404"/>
      <c r="AD591" s="380"/>
      <c r="AE591" s="380"/>
      <c r="AF591" s="380"/>
      <c r="AG591" s="380"/>
      <c r="AH591" s="380"/>
      <c r="AI591" s="380"/>
      <c r="AJ591" s="380"/>
      <c r="AK591" s="403"/>
      <c r="AL591" s="380"/>
      <c r="AM591" s="380"/>
      <c r="AN591" s="380"/>
      <c r="AO591" s="380"/>
      <c r="AP591" s="380"/>
      <c r="AQ591" s="404"/>
      <c r="AR591" s="380"/>
      <c r="AS591" s="380"/>
      <c r="AT591" s="380"/>
      <c r="AU591" s="380"/>
      <c r="AV591" s="380"/>
      <c r="AW591" s="380"/>
      <c r="AX591" s="380"/>
      <c r="AY591" s="403"/>
      <c r="AZ591" s="380"/>
      <c r="BA591" s="380"/>
      <c r="BB591" s="380"/>
      <c r="BC591" s="380"/>
      <c r="BD591" s="380"/>
      <c r="BE591" s="404"/>
      <c r="BF591" s="380"/>
      <c r="BG591" s="380"/>
      <c r="BH591" s="380"/>
      <c r="BI591" s="380"/>
      <c r="BJ591" s="380"/>
      <c r="BK591" s="380"/>
      <c r="BL591" s="380"/>
      <c r="BM591" s="403"/>
      <c r="BS591" s="83"/>
      <c r="CA591" s="405"/>
      <c r="CG591" s="83"/>
      <c r="CO591" s="405"/>
      <c r="CU591" s="83"/>
      <c r="DC591" s="405"/>
      <c r="DI591" s="83"/>
      <c r="DQ591" s="405"/>
      <c r="DW591" s="83"/>
      <c r="EE591" s="405"/>
      <c r="EK591" s="83"/>
      <c r="ES591" s="405"/>
      <c r="EY591" s="83"/>
      <c r="FG591" s="405"/>
      <c r="FM591" s="83"/>
      <c r="FU591" s="405"/>
      <c r="GA591" s="83"/>
      <c r="GI591" s="405"/>
      <c r="GO591" s="83"/>
      <c r="GW591" s="405"/>
      <c r="HC591" s="83"/>
      <c r="HK591" s="405"/>
      <c r="HQ591" s="83"/>
      <c r="HY591" s="405"/>
      <c r="IE591" s="83"/>
      <c r="IM591" s="405"/>
      <c r="IS591" s="83"/>
      <c r="JA591" s="405"/>
      <c r="JG591" s="83"/>
      <c r="JO591" s="405"/>
      <c r="JU591" s="83"/>
      <c r="KC591" s="405"/>
      <c r="KI591" s="83"/>
      <c r="KQ591" s="405"/>
      <c r="KW591" s="83"/>
      <c r="LE591" s="405"/>
      <c r="LK591" s="83"/>
      <c r="LS591" s="405"/>
      <c r="LY591" s="83"/>
      <c r="MG591" s="405"/>
      <c r="MM591" s="83"/>
      <c r="MU591" s="405"/>
      <c r="NA591" s="83"/>
    </row>
    <row r="592">
      <c r="A592" s="483"/>
      <c r="B592" s="380"/>
      <c r="C592" s="380"/>
      <c r="D592" s="380"/>
      <c r="E592" s="380"/>
      <c r="F592" s="380"/>
      <c r="G592" s="380"/>
      <c r="H592" s="380"/>
      <c r="I592" s="403"/>
      <c r="J592" s="380"/>
      <c r="K592" s="380"/>
      <c r="L592" s="380"/>
      <c r="M592" s="380"/>
      <c r="N592" s="380"/>
      <c r="O592" s="404"/>
      <c r="P592" s="380"/>
      <c r="Q592" s="380"/>
      <c r="R592" s="380"/>
      <c r="S592" s="380"/>
      <c r="T592" s="380"/>
      <c r="U592" s="380"/>
      <c r="V592" s="380"/>
      <c r="W592" s="403"/>
      <c r="X592" s="380"/>
      <c r="Y592" s="380"/>
      <c r="Z592" s="380"/>
      <c r="AA592" s="380"/>
      <c r="AB592" s="380"/>
      <c r="AC592" s="404"/>
      <c r="AD592" s="380"/>
      <c r="AE592" s="380"/>
      <c r="AF592" s="380"/>
      <c r="AG592" s="380"/>
      <c r="AH592" s="380"/>
      <c r="AI592" s="380"/>
      <c r="AJ592" s="380"/>
      <c r="AK592" s="403"/>
      <c r="AL592" s="380"/>
      <c r="AM592" s="380"/>
      <c r="AN592" s="380"/>
      <c r="AO592" s="380"/>
      <c r="AP592" s="380"/>
      <c r="AQ592" s="404"/>
      <c r="AR592" s="380"/>
      <c r="AS592" s="380"/>
      <c r="AT592" s="380"/>
      <c r="AU592" s="380"/>
      <c r="AV592" s="380"/>
      <c r="AW592" s="380"/>
      <c r="AX592" s="380"/>
      <c r="AY592" s="403"/>
      <c r="AZ592" s="380"/>
      <c r="BA592" s="380"/>
      <c r="BB592" s="380"/>
      <c r="BC592" s="380"/>
      <c r="BD592" s="380"/>
      <c r="BE592" s="404"/>
      <c r="BF592" s="380"/>
      <c r="BG592" s="380"/>
      <c r="BH592" s="380"/>
      <c r="BI592" s="380"/>
      <c r="BJ592" s="380"/>
      <c r="BK592" s="380"/>
      <c r="BL592" s="380"/>
      <c r="BM592" s="403"/>
      <c r="BS592" s="83"/>
      <c r="CA592" s="405"/>
      <c r="CG592" s="83"/>
      <c r="CO592" s="405"/>
      <c r="CU592" s="83"/>
      <c r="DC592" s="405"/>
      <c r="DI592" s="83"/>
      <c r="DQ592" s="405"/>
      <c r="DW592" s="83"/>
      <c r="EE592" s="405"/>
      <c r="EK592" s="83"/>
      <c r="ES592" s="405"/>
      <c r="EY592" s="83"/>
      <c r="FG592" s="405"/>
      <c r="FM592" s="83"/>
      <c r="FU592" s="405"/>
      <c r="GA592" s="83"/>
      <c r="GI592" s="405"/>
      <c r="GO592" s="83"/>
      <c r="GW592" s="405"/>
      <c r="HC592" s="83"/>
      <c r="HK592" s="405"/>
      <c r="HQ592" s="83"/>
      <c r="HY592" s="405"/>
      <c r="IE592" s="83"/>
      <c r="IM592" s="405"/>
      <c r="IS592" s="83"/>
      <c r="JA592" s="405"/>
      <c r="JG592" s="83"/>
      <c r="JO592" s="405"/>
      <c r="JU592" s="83"/>
      <c r="KC592" s="405"/>
      <c r="KI592" s="83"/>
      <c r="KQ592" s="405"/>
      <c r="KW592" s="83"/>
      <c r="LE592" s="405"/>
      <c r="LK592" s="83"/>
      <c r="LS592" s="405"/>
      <c r="LY592" s="83"/>
      <c r="MG592" s="405"/>
      <c r="MM592" s="83"/>
      <c r="MU592" s="405"/>
      <c r="NA592" s="83"/>
    </row>
    <row r="593">
      <c r="A593" s="483"/>
      <c r="B593" s="380"/>
      <c r="C593" s="380"/>
      <c r="D593" s="380"/>
      <c r="E593" s="380"/>
      <c r="F593" s="380"/>
      <c r="G593" s="380"/>
      <c r="H593" s="380"/>
      <c r="I593" s="403"/>
      <c r="J593" s="380"/>
      <c r="K593" s="380"/>
      <c r="L593" s="380"/>
      <c r="M593" s="380"/>
      <c r="N593" s="380"/>
      <c r="O593" s="404"/>
      <c r="P593" s="380"/>
      <c r="Q593" s="380"/>
      <c r="R593" s="380"/>
      <c r="S593" s="380"/>
      <c r="T593" s="380"/>
      <c r="U593" s="380"/>
      <c r="V593" s="380"/>
      <c r="W593" s="403"/>
      <c r="X593" s="380"/>
      <c r="Y593" s="380"/>
      <c r="Z593" s="380"/>
      <c r="AA593" s="380"/>
      <c r="AB593" s="380"/>
      <c r="AC593" s="404"/>
      <c r="AD593" s="380"/>
      <c r="AE593" s="380"/>
      <c r="AF593" s="380"/>
      <c r="AG593" s="380"/>
      <c r="AH593" s="380"/>
      <c r="AI593" s="380"/>
      <c r="AJ593" s="380"/>
      <c r="AK593" s="403"/>
      <c r="AL593" s="380"/>
      <c r="AM593" s="380"/>
      <c r="AN593" s="380"/>
      <c r="AO593" s="380"/>
      <c r="AP593" s="380"/>
      <c r="AQ593" s="404"/>
      <c r="AR593" s="380"/>
      <c r="AS593" s="380"/>
      <c r="AT593" s="380"/>
      <c r="AU593" s="380"/>
      <c r="AV593" s="380"/>
      <c r="AW593" s="380"/>
      <c r="AX593" s="380"/>
      <c r="AY593" s="403"/>
      <c r="AZ593" s="380"/>
      <c r="BA593" s="380"/>
      <c r="BB593" s="380"/>
      <c r="BC593" s="380"/>
      <c r="BD593" s="380"/>
      <c r="BE593" s="404"/>
      <c r="BF593" s="380"/>
      <c r="BG593" s="380"/>
      <c r="BH593" s="380"/>
      <c r="BI593" s="380"/>
      <c r="BJ593" s="380"/>
      <c r="BK593" s="380"/>
      <c r="BL593" s="380"/>
      <c r="BM593" s="403"/>
      <c r="BS593" s="83"/>
      <c r="CA593" s="405"/>
      <c r="CG593" s="83"/>
      <c r="CO593" s="405"/>
      <c r="CU593" s="83"/>
      <c r="DC593" s="405"/>
      <c r="DI593" s="83"/>
      <c r="DQ593" s="405"/>
      <c r="DW593" s="83"/>
      <c r="EE593" s="405"/>
      <c r="EK593" s="83"/>
      <c r="ES593" s="405"/>
      <c r="EY593" s="83"/>
      <c r="FG593" s="405"/>
      <c r="FM593" s="83"/>
      <c r="FU593" s="405"/>
      <c r="GA593" s="83"/>
      <c r="GI593" s="405"/>
      <c r="GO593" s="83"/>
      <c r="GW593" s="405"/>
      <c r="HC593" s="83"/>
      <c r="HK593" s="405"/>
      <c r="HQ593" s="83"/>
      <c r="HY593" s="405"/>
      <c r="IE593" s="83"/>
      <c r="IM593" s="405"/>
      <c r="IS593" s="83"/>
      <c r="JA593" s="405"/>
      <c r="JG593" s="83"/>
      <c r="JO593" s="405"/>
      <c r="JU593" s="83"/>
      <c r="KC593" s="405"/>
      <c r="KI593" s="83"/>
      <c r="KQ593" s="405"/>
      <c r="KW593" s="83"/>
      <c r="LE593" s="405"/>
      <c r="LK593" s="83"/>
      <c r="LS593" s="405"/>
      <c r="LY593" s="83"/>
      <c r="MG593" s="405"/>
      <c r="MM593" s="83"/>
      <c r="MU593" s="405"/>
      <c r="NA593" s="83"/>
    </row>
    <row r="594">
      <c r="A594" s="483"/>
      <c r="B594" s="380"/>
      <c r="C594" s="380"/>
      <c r="D594" s="380"/>
      <c r="E594" s="380"/>
      <c r="F594" s="380"/>
      <c r="G594" s="380"/>
      <c r="H594" s="380"/>
      <c r="I594" s="403"/>
      <c r="J594" s="380"/>
      <c r="K594" s="380"/>
      <c r="L594" s="380"/>
      <c r="M594" s="380"/>
      <c r="N594" s="380"/>
      <c r="O594" s="404"/>
      <c r="P594" s="380"/>
      <c r="Q594" s="380"/>
      <c r="R594" s="380"/>
      <c r="S594" s="380"/>
      <c r="T594" s="380"/>
      <c r="U594" s="380"/>
      <c r="V594" s="380"/>
      <c r="W594" s="403"/>
      <c r="X594" s="380"/>
      <c r="Y594" s="380"/>
      <c r="Z594" s="380"/>
      <c r="AA594" s="380"/>
      <c r="AB594" s="380"/>
      <c r="AC594" s="404"/>
      <c r="AD594" s="380"/>
      <c r="AE594" s="380"/>
      <c r="AF594" s="380"/>
      <c r="AG594" s="380"/>
      <c r="AH594" s="380"/>
      <c r="AI594" s="380"/>
      <c r="AJ594" s="380"/>
      <c r="AK594" s="403"/>
      <c r="AL594" s="380"/>
      <c r="AM594" s="380"/>
      <c r="AN594" s="380"/>
      <c r="AO594" s="380"/>
      <c r="AP594" s="380"/>
      <c r="AQ594" s="404"/>
      <c r="AR594" s="380"/>
      <c r="AS594" s="380"/>
      <c r="AT594" s="380"/>
      <c r="AU594" s="380"/>
      <c r="AV594" s="380"/>
      <c r="AW594" s="380"/>
      <c r="AX594" s="380"/>
      <c r="AY594" s="403"/>
      <c r="AZ594" s="380"/>
      <c r="BA594" s="380"/>
      <c r="BB594" s="380"/>
      <c r="BC594" s="380"/>
      <c r="BD594" s="380"/>
      <c r="BE594" s="404"/>
      <c r="BF594" s="380"/>
      <c r="BG594" s="380"/>
      <c r="BH594" s="380"/>
      <c r="BI594" s="380"/>
      <c r="BJ594" s="380"/>
      <c r="BK594" s="380"/>
      <c r="BL594" s="380"/>
      <c r="BM594" s="403"/>
      <c r="BS594" s="83"/>
      <c r="CA594" s="405"/>
      <c r="CG594" s="83"/>
      <c r="CO594" s="405"/>
      <c r="CU594" s="83"/>
      <c r="DC594" s="405"/>
      <c r="DI594" s="83"/>
      <c r="DQ594" s="405"/>
      <c r="DW594" s="83"/>
      <c r="EE594" s="405"/>
      <c r="EK594" s="83"/>
      <c r="ES594" s="405"/>
      <c r="EY594" s="83"/>
      <c r="FG594" s="405"/>
      <c r="FM594" s="83"/>
      <c r="FU594" s="405"/>
      <c r="GA594" s="83"/>
      <c r="GI594" s="405"/>
      <c r="GO594" s="83"/>
      <c r="GW594" s="405"/>
      <c r="HC594" s="83"/>
      <c r="HK594" s="405"/>
      <c r="HQ594" s="83"/>
      <c r="HY594" s="405"/>
      <c r="IE594" s="83"/>
      <c r="IM594" s="405"/>
      <c r="IS594" s="83"/>
      <c r="JA594" s="405"/>
      <c r="JG594" s="83"/>
      <c r="JO594" s="405"/>
      <c r="JU594" s="83"/>
      <c r="KC594" s="405"/>
      <c r="KI594" s="83"/>
      <c r="KQ594" s="405"/>
      <c r="KW594" s="83"/>
      <c r="LE594" s="405"/>
      <c r="LK594" s="83"/>
      <c r="LS594" s="405"/>
      <c r="LY594" s="83"/>
      <c r="MG594" s="405"/>
      <c r="MM594" s="83"/>
      <c r="MU594" s="405"/>
      <c r="NA594" s="83"/>
    </row>
    <row r="595">
      <c r="A595" s="483"/>
      <c r="B595" s="380"/>
      <c r="C595" s="380"/>
      <c r="D595" s="380"/>
      <c r="E595" s="380"/>
      <c r="F595" s="380"/>
      <c r="G595" s="380"/>
      <c r="H595" s="380"/>
      <c r="I595" s="403"/>
      <c r="J595" s="380"/>
      <c r="K595" s="380"/>
      <c r="L595" s="380"/>
      <c r="M595" s="380"/>
      <c r="N595" s="380"/>
      <c r="O595" s="404"/>
      <c r="P595" s="380"/>
      <c r="Q595" s="380"/>
      <c r="R595" s="380"/>
      <c r="S595" s="380"/>
      <c r="T595" s="380"/>
      <c r="U595" s="380"/>
      <c r="V595" s="380"/>
      <c r="W595" s="403"/>
      <c r="X595" s="380"/>
      <c r="Y595" s="380"/>
      <c r="Z595" s="380"/>
      <c r="AA595" s="380"/>
      <c r="AB595" s="380"/>
      <c r="AC595" s="404"/>
      <c r="AD595" s="380"/>
      <c r="AE595" s="380"/>
      <c r="AF595" s="380"/>
      <c r="AG595" s="380"/>
      <c r="AH595" s="380"/>
      <c r="AI595" s="380"/>
      <c r="AJ595" s="380"/>
      <c r="AK595" s="403"/>
      <c r="AL595" s="380"/>
      <c r="AM595" s="380"/>
      <c r="AN595" s="380"/>
      <c r="AO595" s="380"/>
      <c r="AP595" s="380"/>
      <c r="AQ595" s="404"/>
      <c r="AR595" s="380"/>
      <c r="AS595" s="380"/>
      <c r="AT595" s="380"/>
      <c r="AU595" s="380"/>
      <c r="AV595" s="380"/>
      <c r="AW595" s="380"/>
      <c r="AX595" s="380"/>
      <c r="AY595" s="403"/>
      <c r="AZ595" s="380"/>
      <c r="BA595" s="380"/>
      <c r="BB595" s="380"/>
      <c r="BC595" s="380"/>
      <c r="BD595" s="380"/>
      <c r="BE595" s="404"/>
      <c r="BF595" s="380"/>
      <c r="BG595" s="380"/>
      <c r="BH595" s="380"/>
      <c r="BI595" s="380"/>
      <c r="BJ595" s="380"/>
      <c r="BK595" s="380"/>
      <c r="BL595" s="380"/>
      <c r="BM595" s="403"/>
      <c r="BS595" s="83"/>
      <c r="CA595" s="405"/>
      <c r="CG595" s="83"/>
      <c r="CO595" s="405"/>
      <c r="CU595" s="83"/>
      <c r="DC595" s="405"/>
      <c r="DI595" s="83"/>
      <c r="DQ595" s="405"/>
      <c r="DW595" s="83"/>
      <c r="EE595" s="405"/>
      <c r="EK595" s="83"/>
      <c r="ES595" s="405"/>
      <c r="EY595" s="83"/>
      <c r="FG595" s="405"/>
      <c r="FM595" s="83"/>
      <c r="FU595" s="405"/>
      <c r="GA595" s="83"/>
      <c r="GI595" s="405"/>
      <c r="GO595" s="83"/>
      <c r="GW595" s="405"/>
      <c r="HC595" s="83"/>
      <c r="HK595" s="405"/>
      <c r="HQ595" s="83"/>
      <c r="HY595" s="405"/>
      <c r="IE595" s="83"/>
      <c r="IM595" s="405"/>
      <c r="IS595" s="83"/>
      <c r="JA595" s="405"/>
      <c r="JG595" s="83"/>
      <c r="JO595" s="405"/>
      <c r="JU595" s="83"/>
      <c r="KC595" s="405"/>
      <c r="KI595" s="83"/>
      <c r="KQ595" s="405"/>
      <c r="KW595" s="83"/>
      <c r="LE595" s="405"/>
      <c r="LK595" s="83"/>
      <c r="LS595" s="405"/>
      <c r="LY595" s="83"/>
      <c r="MG595" s="405"/>
      <c r="MM595" s="83"/>
      <c r="MU595" s="405"/>
      <c r="NA595" s="83"/>
    </row>
    <row r="596">
      <c r="A596" s="483"/>
      <c r="B596" s="380"/>
      <c r="C596" s="380"/>
      <c r="D596" s="380"/>
      <c r="E596" s="380"/>
      <c r="F596" s="380"/>
      <c r="G596" s="380"/>
      <c r="H596" s="380"/>
      <c r="I596" s="403"/>
      <c r="J596" s="380"/>
      <c r="K596" s="380"/>
      <c r="L596" s="380"/>
      <c r="M596" s="380"/>
      <c r="N596" s="380"/>
      <c r="O596" s="404"/>
      <c r="P596" s="380"/>
      <c r="Q596" s="380"/>
      <c r="R596" s="380"/>
      <c r="S596" s="380"/>
      <c r="T596" s="380"/>
      <c r="U596" s="380"/>
      <c r="V596" s="380"/>
      <c r="W596" s="403"/>
      <c r="X596" s="380"/>
      <c r="Y596" s="380"/>
      <c r="Z596" s="380"/>
      <c r="AA596" s="380"/>
      <c r="AB596" s="380"/>
      <c r="AC596" s="404"/>
      <c r="AD596" s="380"/>
      <c r="AE596" s="380"/>
      <c r="AF596" s="380"/>
      <c r="AG596" s="380"/>
      <c r="AH596" s="380"/>
      <c r="AI596" s="380"/>
      <c r="AJ596" s="380"/>
      <c r="AK596" s="403"/>
      <c r="AL596" s="380"/>
      <c r="AM596" s="380"/>
      <c r="AN596" s="380"/>
      <c r="AO596" s="380"/>
      <c r="AP596" s="380"/>
      <c r="AQ596" s="404"/>
      <c r="AR596" s="380"/>
      <c r="AS596" s="380"/>
      <c r="AT596" s="380"/>
      <c r="AU596" s="380"/>
      <c r="AV596" s="380"/>
      <c r="AW596" s="380"/>
      <c r="AX596" s="380"/>
      <c r="AY596" s="403"/>
      <c r="AZ596" s="380"/>
      <c r="BA596" s="380"/>
      <c r="BB596" s="380"/>
      <c r="BC596" s="380"/>
      <c r="BD596" s="380"/>
      <c r="BE596" s="404"/>
      <c r="BF596" s="380"/>
      <c r="BG596" s="380"/>
      <c r="BH596" s="380"/>
      <c r="BI596" s="380"/>
      <c r="BJ596" s="380"/>
      <c r="BK596" s="380"/>
      <c r="BL596" s="380"/>
      <c r="BM596" s="403"/>
      <c r="BS596" s="83"/>
      <c r="CA596" s="405"/>
      <c r="CG596" s="83"/>
      <c r="CO596" s="405"/>
      <c r="CU596" s="83"/>
      <c r="DC596" s="405"/>
      <c r="DI596" s="83"/>
      <c r="DQ596" s="405"/>
      <c r="DW596" s="83"/>
      <c r="EE596" s="405"/>
      <c r="EK596" s="83"/>
      <c r="ES596" s="405"/>
      <c r="EY596" s="83"/>
      <c r="FG596" s="405"/>
      <c r="FM596" s="83"/>
      <c r="FU596" s="405"/>
      <c r="GA596" s="83"/>
      <c r="GI596" s="405"/>
      <c r="GO596" s="83"/>
      <c r="GW596" s="405"/>
      <c r="HC596" s="83"/>
      <c r="HK596" s="405"/>
      <c r="HQ596" s="83"/>
      <c r="HY596" s="405"/>
      <c r="IE596" s="83"/>
      <c r="IM596" s="405"/>
      <c r="IS596" s="83"/>
      <c r="JA596" s="405"/>
      <c r="JG596" s="83"/>
      <c r="JO596" s="405"/>
      <c r="JU596" s="83"/>
      <c r="KC596" s="405"/>
      <c r="KI596" s="83"/>
      <c r="KQ596" s="405"/>
      <c r="KW596" s="83"/>
      <c r="LE596" s="405"/>
      <c r="LK596" s="83"/>
      <c r="LS596" s="405"/>
      <c r="LY596" s="83"/>
      <c r="MG596" s="405"/>
      <c r="MM596" s="83"/>
      <c r="MU596" s="405"/>
      <c r="NA596" s="83"/>
    </row>
    <row r="597">
      <c r="A597" s="483"/>
      <c r="B597" s="380"/>
      <c r="C597" s="380"/>
      <c r="D597" s="380"/>
      <c r="E597" s="380"/>
      <c r="F597" s="380"/>
      <c r="G597" s="380"/>
      <c r="H597" s="380"/>
      <c r="I597" s="403"/>
      <c r="J597" s="380"/>
      <c r="K597" s="380"/>
      <c r="L597" s="380"/>
      <c r="M597" s="380"/>
      <c r="N597" s="380"/>
      <c r="O597" s="404"/>
      <c r="P597" s="380"/>
      <c r="Q597" s="380"/>
      <c r="R597" s="380"/>
      <c r="S597" s="380"/>
      <c r="T597" s="380"/>
      <c r="U597" s="380"/>
      <c r="V597" s="380"/>
      <c r="W597" s="403"/>
      <c r="X597" s="380"/>
      <c r="Y597" s="380"/>
      <c r="Z597" s="380"/>
      <c r="AA597" s="380"/>
      <c r="AB597" s="380"/>
      <c r="AC597" s="404"/>
      <c r="AD597" s="380"/>
      <c r="AE597" s="380"/>
      <c r="AF597" s="380"/>
      <c r="AG597" s="380"/>
      <c r="AH597" s="380"/>
      <c r="AI597" s="380"/>
      <c r="AJ597" s="380"/>
      <c r="AK597" s="403"/>
      <c r="AL597" s="380"/>
      <c r="AM597" s="380"/>
      <c r="AN597" s="380"/>
      <c r="AO597" s="380"/>
      <c r="AP597" s="380"/>
      <c r="AQ597" s="404"/>
      <c r="AR597" s="380"/>
      <c r="AS597" s="380"/>
      <c r="AT597" s="380"/>
      <c r="AU597" s="380"/>
      <c r="AV597" s="380"/>
      <c r="AW597" s="380"/>
      <c r="AX597" s="380"/>
      <c r="AY597" s="403"/>
      <c r="AZ597" s="380"/>
      <c r="BA597" s="380"/>
      <c r="BB597" s="380"/>
      <c r="BC597" s="380"/>
      <c r="BD597" s="380"/>
      <c r="BE597" s="404"/>
      <c r="BF597" s="380"/>
      <c r="BG597" s="380"/>
      <c r="BH597" s="380"/>
      <c r="BI597" s="380"/>
      <c r="BJ597" s="380"/>
      <c r="BK597" s="380"/>
      <c r="BL597" s="380"/>
      <c r="BM597" s="403"/>
      <c r="BS597" s="83"/>
      <c r="CA597" s="405"/>
      <c r="CG597" s="83"/>
      <c r="CO597" s="405"/>
      <c r="CU597" s="83"/>
      <c r="DC597" s="405"/>
      <c r="DI597" s="83"/>
      <c r="DQ597" s="405"/>
      <c r="DW597" s="83"/>
      <c r="EE597" s="405"/>
      <c r="EK597" s="83"/>
      <c r="ES597" s="405"/>
      <c r="EY597" s="83"/>
      <c r="FG597" s="405"/>
      <c r="FM597" s="83"/>
      <c r="FU597" s="405"/>
      <c r="GA597" s="83"/>
      <c r="GI597" s="405"/>
      <c r="GO597" s="83"/>
      <c r="GW597" s="405"/>
      <c r="HC597" s="83"/>
      <c r="HK597" s="405"/>
      <c r="HQ597" s="83"/>
      <c r="HY597" s="405"/>
      <c r="IE597" s="83"/>
      <c r="IM597" s="405"/>
      <c r="IS597" s="83"/>
      <c r="JA597" s="405"/>
      <c r="JG597" s="83"/>
      <c r="JO597" s="405"/>
      <c r="JU597" s="83"/>
      <c r="KC597" s="405"/>
      <c r="KI597" s="83"/>
      <c r="KQ597" s="405"/>
      <c r="KW597" s="83"/>
      <c r="LE597" s="405"/>
      <c r="LK597" s="83"/>
      <c r="LS597" s="405"/>
      <c r="LY597" s="83"/>
      <c r="MG597" s="405"/>
      <c r="MM597" s="83"/>
      <c r="MU597" s="405"/>
      <c r="NA597" s="83"/>
    </row>
    <row r="598">
      <c r="A598" s="483"/>
      <c r="B598" s="380"/>
      <c r="C598" s="380"/>
      <c r="D598" s="380"/>
      <c r="E598" s="380"/>
      <c r="F598" s="380"/>
      <c r="G598" s="380"/>
      <c r="H598" s="380"/>
      <c r="I598" s="403"/>
      <c r="J598" s="380"/>
      <c r="K598" s="380"/>
      <c r="L598" s="380"/>
      <c r="M598" s="380"/>
      <c r="N598" s="380"/>
      <c r="O598" s="404"/>
      <c r="P598" s="380"/>
      <c r="Q598" s="380"/>
      <c r="R598" s="380"/>
      <c r="S598" s="380"/>
      <c r="T598" s="380"/>
      <c r="U598" s="380"/>
      <c r="V598" s="380"/>
      <c r="W598" s="403"/>
      <c r="X598" s="380"/>
      <c r="Y598" s="380"/>
      <c r="Z598" s="380"/>
      <c r="AA598" s="380"/>
      <c r="AB598" s="380"/>
      <c r="AC598" s="404"/>
      <c r="AD598" s="380"/>
      <c r="AE598" s="380"/>
      <c r="AF598" s="380"/>
      <c r="AG598" s="380"/>
      <c r="AH598" s="380"/>
      <c r="AI598" s="380"/>
      <c r="AJ598" s="380"/>
      <c r="AK598" s="403"/>
      <c r="AL598" s="380"/>
      <c r="AM598" s="380"/>
      <c r="AN598" s="380"/>
      <c r="AO598" s="380"/>
      <c r="AP598" s="380"/>
      <c r="AQ598" s="404"/>
      <c r="AR598" s="380"/>
      <c r="AS598" s="380"/>
      <c r="AT598" s="380"/>
      <c r="AU598" s="380"/>
      <c r="AV598" s="380"/>
      <c r="AW598" s="380"/>
      <c r="AX598" s="380"/>
      <c r="AY598" s="403"/>
      <c r="AZ598" s="380"/>
      <c r="BA598" s="380"/>
      <c r="BB598" s="380"/>
      <c r="BC598" s="380"/>
      <c r="BD598" s="380"/>
      <c r="BE598" s="404"/>
      <c r="BF598" s="380"/>
      <c r="BG598" s="380"/>
      <c r="BH598" s="380"/>
      <c r="BI598" s="380"/>
      <c r="BJ598" s="380"/>
      <c r="BK598" s="380"/>
      <c r="BL598" s="380"/>
      <c r="BM598" s="403"/>
      <c r="BS598" s="83"/>
      <c r="CA598" s="405"/>
      <c r="CG598" s="83"/>
      <c r="CO598" s="405"/>
      <c r="CU598" s="83"/>
      <c r="DC598" s="405"/>
      <c r="DI598" s="83"/>
      <c r="DQ598" s="405"/>
      <c r="DW598" s="83"/>
      <c r="EE598" s="405"/>
      <c r="EK598" s="83"/>
      <c r="ES598" s="405"/>
      <c r="EY598" s="83"/>
      <c r="FG598" s="405"/>
      <c r="FM598" s="83"/>
      <c r="FU598" s="405"/>
      <c r="GA598" s="83"/>
      <c r="GI598" s="405"/>
      <c r="GO598" s="83"/>
      <c r="GW598" s="405"/>
      <c r="HC598" s="83"/>
      <c r="HK598" s="405"/>
      <c r="HQ598" s="83"/>
      <c r="HY598" s="405"/>
      <c r="IE598" s="83"/>
      <c r="IM598" s="405"/>
      <c r="IS598" s="83"/>
      <c r="JA598" s="405"/>
      <c r="JG598" s="83"/>
      <c r="JO598" s="405"/>
      <c r="JU598" s="83"/>
      <c r="KC598" s="405"/>
      <c r="KI598" s="83"/>
      <c r="KQ598" s="405"/>
      <c r="KW598" s="83"/>
      <c r="LE598" s="405"/>
      <c r="LK598" s="83"/>
      <c r="LS598" s="405"/>
      <c r="LY598" s="83"/>
      <c r="MG598" s="405"/>
      <c r="MM598" s="83"/>
      <c r="MU598" s="405"/>
      <c r="NA598" s="83"/>
    </row>
    <row r="599">
      <c r="A599" s="483"/>
      <c r="B599" s="380"/>
      <c r="C599" s="380"/>
      <c r="D599" s="380"/>
      <c r="E599" s="380"/>
      <c r="F599" s="380"/>
      <c r="G599" s="380"/>
      <c r="H599" s="380"/>
      <c r="I599" s="403"/>
      <c r="J599" s="380"/>
      <c r="K599" s="380"/>
      <c r="L599" s="380"/>
      <c r="M599" s="380"/>
      <c r="N599" s="380"/>
      <c r="O599" s="404"/>
      <c r="P599" s="380"/>
      <c r="Q599" s="380"/>
      <c r="R599" s="380"/>
      <c r="S599" s="380"/>
      <c r="T599" s="380"/>
      <c r="U599" s="380"/>
      <c r="V599" s="380"/>
      <c r="W599" s="403"/>
      <c r="X599" s="380"/>
      <c r="Y599" s="380"/>
      <c r="Z599" s="380"/>
      <c r="AA599" s="380"/>
      <c r="AB599" s="380"/>
      <c r="AC599" s="404"/>
      <c r="AD599" s="380"/>
      <c r="AE599" s="380"/>
      <c r="AF599" s="380"/>
      <c r="AG599" s="380"/>
      <c r="AH599" s="380"/>
      <c r="AI599" s="380"/>
      <c r="AJ599" s="380"/>
      <c r="AK599" s="403"/>
      <c r="AL599" s="380"/>
      <c r="AM599" s="380"/>
      <c r="AN599" s="380"/>
      <c r="AO599" s="380"/>
      <c r="AP599" s="380"/>
      <c r="AQ599" s="404"/>
      <c r="AR599" s="380"/>
      <c r="AS599" s="380"/>
      <c r="AT599" s="380"/>
      <c r="AU599" s="380"/>
      <c r="AV599" s="380"/>
      <c r="AW599" s="380"/>
      <c r="AX599" s="380"/>
      <c r="AY599" s="403"/>
      <c r="AZ599" s="380"/>
      <c r="BA599" s="380"/>
      <c r="BB599" s="380"/>
      <c r="BC599" s="380"/>
      <c r="BD599" s="380"/>
      <c r="BE599" s="404"/>
      <c r="BF599" s="380"/>
      <c r="BG599" s="380"/>
      <c r="BH599" s="380"/>
      <c r="BI599" s="380"/>
      <c r="BJ599" s="380"/>
      <c r="BK599" s="380"/>
      <c r="BL599" s="380"/>
      <c r="BM599" s="403"/>
      <c r="BS599" s="83"/>
      <c r="CA599" s="405"/>
      <c r="CG599" s="83"/>
      <c r="CO599" s="405"/>
      <c r="CU599" s="83"/>
      <c r="DC599" s="405"/>
      <c r="DI599" s="83"/>
      <c r="DQ599" s="405"/>
      <c r="DW599" s="83"/>
      <c r="EE599" s="405"/>
      <c r="EK599" s="83"/>
      <c r="ES599" s="405"/>
      <c r="EY599" s="83"/>
      <c r="FG599" s="405"/>
      <c r="FM599" s="83"/>
      <c r="FU599" s="405"/>
      <c r="GA599" s="83"/>
      <c r="GI599" s="405"/>
      <c r="GO599" s="83"/>
      <c r="GW599" s="405"/>
      <c r="HC599" s="83"/>
      <c r="HK599" s="405"/>
      <c r="HQ599" s="83"/>
      <c r="HY599" s="405"/>
      <c r="IE599" s="83"/>
      <c r="IM599" s="405"/>
      <c r="IS599" s="83"/>
      <c r="JA599" s="405"/>
      <c r="JG599" s="83"/>
      <c r="JO599" s="405"/>
      <c r="JU599" s="83"/>
      <c r="KC599" s="405"/>
      <c r="KI599" s="83"/>
      <c r="KQ599" s="405"/>
      <c r="KW599" s="83"/>
      <c r="LE599" s="405"/>
      <c r="LK599" s="83"/>
      <c r="LS599" s="405"/>
      <c r="LY599" s="83"/>
      <c r="MG599" s="405"/>
      <c r="MM599" s="83"/>
      <c r="MU599" s="405"/>
      <c r="NA599" s="83"/>
    </row>
    <row r="600">
      <c r="A600" s="483"/>
      <c r="B600" s="380"/>
      <c r="C600" s="380"/>
      <c r="D600" s="380"/>
      <c r="E600" s="380"/>
      <c r="F600" s="380"/>
      <c r="G600" s="380"/>
      <c r="H600" s="380"/>
      <c r="I600" s="403"/>
      <c r="J600" s="380"/>
      <c r="K600" s="380"/>
      <c r="L600" s="380"/>
      <c r="M600" s="380"/>
      <c r="N600" s="380"/>
      <c r="O600" s="404"/>
      <c r="P600" s="380"/>
      <c r="Q600" s="380"/>
      <c r="R600" s="380"/>
      <c r="S600" s="380"/>
      <c r="T600" s="380"/>
      <c r="U600" s="380"/>
      <c r="V600" s="380"/>
      <c r="W600" s="403"/>
      <c r="X600" s="380"/>
      <c r="Y600" s="380"/>
      <c r="Z600" s="380"/>
      <c r="AA600" s="380"/>
      <c r="AB600" s="380"/>
      <c r="AC600" s="404"/>
      <c r="AD600" s="380"/>
      <c r="AE600" s="380"/>
      <c r="AF600" s="380"/>
      <c r="AG600" s="380"/>
      <c r="AH600" s="380"/>
      <c r="AI600" s="380"/>
      <c r="AJ600" s="380"/>
      <c r="AK600" s="403"/>
      <c r="AL600" s="380"/>
      <c r="AM600" s="380"/>
      <c r="AN600" s="380"/>
      <c r="AO600" s="380"/>
      <c r="AP600" s="380"/>
      <c r="AQ600" s="404"/>
      <c r="AR600" s="380"/>
      <c r="AS600" s="380"/>
      <c r="AT600" s="380"/>
      <c r="AU600" s="380"/>
      <c r="AV600" s="380"/>
      <c r="AW600" s="380"/>
      <c r="AX600" s="380"/>
      <c r="AY600" s="403"/>
      <c r="AZ600" s="380"/>
      <c r="BA600" s="380"/>
      <c r="BB600" s="380"/>
      <c r="BC600" s="380"/>
      <c r="BD600" s="380"/>
      <c r="BE600" s="404"/>
      <c r="BF600" s="380"/>
      <c r="BG600" s="380"/>
      <c r="BH600" s="380"/>
      <c r="BI600" s="380"/>
      <c r="BJ600" s="380"/>
      <c r="BK600" s="380"/>
      <c r="BL600" s="380"/>
      <c r="BM600" s="403"/>
      <c r="BS600" s="83"/>
      <c r="CA600" s="405"/>
      <c r="CG600" s="83"/>
      <c r="CO600" s="405"/>
      <c r="CU600" s="83"/>
      <c r="DC600" s="405"/>
      <c r="DI600" s="83"/>
      <c r="DQ600" s="405"/>
      <c r="DW600" s="83"/>
      <c r="EE600" s="405"/>
      <c r="EK600" s="83"/>
      <c r="ES600" s="405"/>
      <c r="EY600" s="83"/>
      <c r="FG600" s="405"/>
      <c r="FM600" s="83"/>
      <c r="FU600" s="405"/>
      <c r="GA600" s="83"/>
      <c r="GI600" s="405"/>
      <c r="GO600" s="83"/>
      <c r="GW600" s="405"/>
      <c r="HC600" s="83"/>
      <c r="HK600" s="405"/>
      <c r="HQ600" s="83"/>
      <c r="HY600" s="405"/>
      <c r="IE600" s="83"/>
      <c r="IM600" s="405"/>
      <c r="IS600" s="83"/>
      <c r="JA600" s="405"/>
      <c r="JG600" s="83"/>
      <c r="JO600" s="405"/>
      <c r="JU600" s="83"/>
      <c r="KC600" s="405"/>
      <c r="KI600" s="83"/>
      <c r="KQ600" s="405"/>
      <c r="KW600" s="83"/>
      <c r="LE600" s="405"/>
      <c r="LK600" s="83"/>
      <c r="LS600" s="405"/>
      <c r="LY600" s="83"/>
      <c r="MG600" s="405"/>
      <c r="MM600" s="83"/>
      <c r="MU600" s="405"/>
      <c r="NA600" s="83"/>
    </row>
    <row r="601">
      <c r="A601" s="483"/>
      <c r="B601" s="380"/>
      <c r="C601" s="380"/>
      <c r="D601" s="380"/>
      <c r="E601" s="380"/>
      <c r="F601" s="380"/>
      <c r="G601" s="380"/>
      <c r="H601" s="380"/>
      <c r="I601" s="403"/>
      <c r="J601" s="380"/>
      <c r="K601" s="380"/>
      <c r="L601" s="380"/>
      <c r="M601" s="380"/>
      <c r="N601" s="380"/>
      <c r="O601" s="404"/>
      <c r="P601" s="380"/>
      <c r="Q601" s="380"/>
      <c r="R601" s="380"/>
      <c r="S601" s="380"/>
      <c r="T601" s="380"/>
      <c r="U601" s="380"/>
      <c r="V601" s="380"/>
      <c r="W601" s="403"/>
      <c r="X601" s="380"/>
      <c r="Y601" s="380"/>
      <c r="Z601" s="380"/>
      <c r="AA601" s="380"/>
      <c r="AB601" s="380"/>
      <c r="AC601" s="404"/>
      <c r="AD601" s="380"/>
      <c r="AE601" s="380"/>
      <c r="AF601" s="380"/>
      <c r="AG601" s="380"/>
      <c r="AH601" s="380"/>
      <c r="AI601" s="380"/>
      <c r="AJ601" s="380"/>
      <c r="AK601" s="403"/>
      <c r="AL601" s="380"/>
      <c r="AM601" s="380"/>
      <c r="AN601" s="380"/>
      <c r="AO601" s="380"/>
      <c r="AP601" s="380"/>
      <c r="AQ601" s="404"/>
      <c r="AR601" s="380"/>
      <c r="AS601" s="380"/>
      <c r="AT601" s="380"/>
      <c r="AU601" s="380"/>
      <c r="AV601" s="380"/>
      <c r="AW601" s="380"/>
      <c r="AX601" s="380"/>
      <c r="AY601" s="403"/>
      <c r="AZ601" s="380"/>
      <c r="BA601" s="380"/>
      <c r="BB601" s="380"/>
      <c r="BC601" s="380"/>
      <c r="BD601" s="380"/>
      <c r="BE601" s="404"/>
      <c r="BF601" s="380"/>
      <c r="BG601" s="380"/>
      <c r="BH601" s="380"/>
      <c r="BI601" s="380"/>
      <c r="BJ601" s="380"/>
      <c r="BK601" s="380"/>
      <c r="BL601" s="380"/>
      <c r="BM601" s="403"/>
      <c r="BS601" s="83"/>
      <c r="CA601" s="405"/>
      <c r="CG601" s="83"/>
      <c r="CO601" s="405"/>
      <c r="CU601" s="83"/>
      <c r="DC601" s="405"/>
      <c r="DI601" s="83"/>
      <c r="DQ601" s="405"/>
      <c r="DW601" s="83"/>
      <c r="EE601" s="405"/>
      <c r="EK601" s="83"/>
      <c r="ES601" s="405"/>
      <c r="EY601" s="83"/>
      <c r="FG601" s="405"/>
      <c r="FM601" s="83"/>
      <c r="FU601" s="405"/>
      <c r="GA601" s="83"/>
      <c r="GI601" s="405"/>
      <c r="GO601" s="83"/>
      <c r="GW601" s="405"/>
      <c r="HC601" s="83"/>
      <c r="HK601" s="405"/>
      <c r="HQ601" s="83"/>
      <c r="HY601" s="405"/>
      <c r="IE601" s="83"/>
      <c r="IM601" s="405"/>
      <c r="IS601" s="83"/>
      <c r="JA601" s="405"/>
      <c r="JG601" s="83"/>
      <c r="JO601" s="405"/>
      <c r="JU601" s="83"/>
      <c r="KC601" s="405"/>
      <c r="KI601" s="83"/>
      <c r="KQ601" s="405"/>
      <c r="KW601" s="83"/>
      <c r="LE601" s="405"/>
      <c r="LK601" s="83"/>
      <c r="LS601" s="405"/>
      <c r="LY601" s="83"/>
      <c r="MG601" s="405"/>
      <c r="MM601" s="83"/>
      <c r="MU601" s="405"/>
      <c r="NA601" s="83"/>
    </row>
    <row r="602">
      <c r="A602" s="483"/>
      <c r="B602" s="380"/>
      <c r="C602" s="380"/>
      <c r="D602" s="380"/>
      <c r="E602" s="380"/>
      <c r="F602" s="380"/>
      <c r="G602" s="380"/>
      <c r="H602" s="380"/>
      <c r="I602" s="403"/>
      <c r="J602" s="380"/>
      <c r="K602" s="380"/>
      <c r="L602" s="380"/>
      <c r="M602" s="380"/>
      <c r="N602" s="380"/>
      <c r="O602" s="404"/>
      <c r="P602" s="380"/>
      <c r="Q602" s="380"/>
      <c r="R602" s="380"/>
      <c r="S602" s="380"/>
      <c r="T602" s="380"/>
      <c r="U602" s="380"/>
      <c r="V602" s="380"/>
      <c r="W602" s="403"/>
      <c r="X602" s="380"/>
      <c r="Y602" s="380"/>
      <c r="Z602" s="380"/>
      <c r="AA602" s="380"/>
      <c r="AB602" s="380"/>
      <c r="AC602" s="404"/>
      <c r="AD602" s="380"/>
      <c r="AE602" s="380"/>
      <c r="AF602" s="380"/>
      <c r="AG602" s="380"/>
      <c r="AH602" s="380"/>
      <c r="AI602" s="380"/>
      <c r="AJ602" s="380"/>
      <c r="AK602" s="403"/>
      <c r="AL602" s="380"/>
      <c r="AM602" s="380"/>
      <c r="AN602" s="380"/>
      <c r="AO602" s="380"/>
      <c r="AP602" s="380"/>
      <c r="AQ602" s="404"/>
      <c r="AR602" s="380"/>
      <c r="AS602" s="380"/>
      <c r="AT602" s="380"/>
      <c r="AU602" s="380"/>
      <c r="AV602" s="380"/>
      <c r="AW602" s="380"/>
      <c r="AX602" s="380"/>
      <c r="AY602" s="403"/>
      <c r="AZ602" s="380"/>
      <c r="BA602" s="380"/>
      <c r="BB602" s="380"/>
      <c r="BC602" s="380"/>
      <c r="BD602" s="380"/>
      <c r="BE602" s="404"/>
      <c r="BF602" s="380"/>
      <c r="BG602" s="380"/>
      <c r="BH602" s="380"/>
      <c r="BI602" s="380"/>
      <c r="BJ602" s="380"/>
      <c r="BK602" s="380"/>
      <c r="BL602" s="380"/>
      <c r="BM602" s="403"/>
      <c r="BS602" s="83"/>
      <c r="CA602" s="405"/>
      <c r="CG602" s="83"/>
      <c r="CO602" s="405"/>
      <c r="CU602" s="83"/>
      <c r="DC602" s="405"/>
      <c r="DI602" s="83"/>
      <c r="DQ602" s="405"/>
      <c r="DW602" s="83"/>
      <c r="EE602" s="405"/>
      <c r="EK602" s="83"/>
      <c r="ES602" s="405"/>
      <c r="EY602" s="83"/>
      <c r="FG602" s="405"/>
      <c r="FM602" s="83"/>
      <c r="FU602" s="405"/>
      <c r="GA602" s="83"/>
      <c r="GI602" s="405"/>
      <c r="GO602" s="83"/>
      <c r="GW602" s="405"/>
      <c r="HC602" s="83"/>
      <c r="HK602" s="405"/>
      <c r="HQ602" s="83"/>
      <c r="HY602" s="405"/>
      <c r="IE602" s="83"/>
      <c r="IM602" s="405"/>
      <c r="IS602" s="83"/>
      <c r="JA602" s="405"/>
      <c r="JG602" s="83"/>
      <c r="JO602" s="405"/>
      <c r="JU602" s="83"/>
      <c r="KC602" s="405"/>
      <c r="KI602" s="83"/>
      <c r="KQ602" s="405"/>
      <c r="KW602" s="83"/>
      <c r="LE602" s="405"/>
      <c r="LK602" s="83"/>
      <c r="LS602" s="405"/>
      <c r="LY602" s="83"/>
      <c r="MG602" s="405"/>
      <c r="MM602" s="83"/>
      <c r="MU602" s="405"/>
      <c r="NA602" s="83"/>
    </row>
    <row r="603">
      <c r="A603" s="483"/>
      <c r="B603" s="380"/>
      <c r="C603" s="380"/>
      <c r="D603" s="380"/>
      <c r="E603" s="380"/>
      <c r="F603" s="380"/>
      <c r="G603" s="380"/>
      <c r="H603" s="380"/>
      <c r="I603" s="403"/>
      <c r="J603" s="380"/>
      <c r="K603" s="380"/>
      <c r="L603" s="380"/>
      <c r="M603" s="380"/>
      <c r="N603" s="380"/>
      <c r="O603" s="404"/>
      <c r="P603" s="380"/>
      <c r="Q603" s="380"/>
      <c r="R603" s="380"/>
      <c r="S603" s="380"/>
      <c r="T603" s="380"/>
      <c r="U603" s="380"/>
      <c r="V603" s="380"/>
      <c r="W603" s="403"/>
      <c r="X603" s="380"/>
      <c r="Y603" s="380"/>
      <c r="Z603" s="380"/>
      <c r="AA603" s="380"/>
      <c r="AB603" s="380"/>
      <c r="AC603" s="404"/>
      <c r="AD603" s="380"/>
      <c r="AE603" s="380"/>
      <c r="AF603" s="380"/>
      <c r="AG603" s="380"/>
      <c r="AH603" s="380"/>
      <c r="AI603" s="380"/>
      <c r="AJ603" s="380"/>
      <c r="AK603" s="403"/>
      <c r="AL603" s="380"/>
      <c r="AM603" s="380"/>
      <c r="AN603" s="380"/>
      <c r="AO603" s="380"/>
      <c r="AP603" s="380"/>
      <c r="AQ603" s="404"/>
      <c r="AR603" s="380"/>
      <c r="AS603" s="380"/>
      <c r="AT603" s="380"/>
      <c r="AU603" s="380"/>
      <c r="AV603" s="380"/>
      <c r="AW603" s="380"/>
      <c r="AX603" s="380"/>
      <c r="AY603" s="403"/>
      <c r="AZ603" s="380"/>
      <c r="BA603" s="380"/>
      <c r="BB603" s="380"/>
      <c r="BC603" s="380"/>
      <c r="BD603" s="380"/>
      <c r="BE603" s="404"/>
      <c r="BF603" s="380"/>
      <c r="BG603" s="380"/>
      <c r="BH603" s="380"/>
      <c r="BI603" s="380"/>
      <c r="BJ603" s="380"/>
      <c r="BK603" s="380"/>
      <c r="BL603" s="380"/>
      <c r="BM603" s="403"/>
      <c r="BS603" s="83"/>
      <c r="CA603" s="405"/>
      <c r="CG603" s="83"/>
      <c r="CO603" s="405"/>
      <c r="CU603" s="83"/>
      <c r="DC603" s="405"/>
      <c r="DI603" s="83"/>
      <c r="DQ603" s="405"/>
      <c r="DW603" s="83"/>
      <c r="EE603" s="405"/>
      <c r="EK603" s="83"/>
      <c r="ES603" s="405"/>
      <c r="EY603" s="83"/>
      <c r="FG603" s="405"/>
      <c r="FM603" s="83"/>
      <c r="FU603" s="405"/>
      <c r="GA603" s="83"/>
      <c r="GI603" s="405"/>
      <c r="GO603" s="83"/>
      <c r="GW603" s="405"/>
      <c r="HC603" s="83"/>
      <c r="HK603" s="405"/>
      <c r="HQ603" s="83"/>
      <c r="HY603" s="405"/>
      <c r="IE603" s="83"/>
      <c r="IM603" s="405"/>
      <c r="IS603" s="83"/>
      <c r="JA603" s="405"/>
      <c r="JG603" s="83"/>
      <c r="JO603" s="405"/>
      <c r="JU603" s="83"/>
      <c r="KC603" s="405"/>
      <c r="KI603" s="83"/>
      <c r="KQ603" s="405"/>
      <c r="KW603" s="83"/>
      <c r="LE603" s="405"/>
      <c r="LK603" s="83"/>
      <c r="LS603" s="405"/>
      <c r="LY603" s="83"/>
      <c r="MG603" s="405"/>
      <c r="MM603" s="83"/>
      <c r="MU603" s="405"/>
      <c r="NA603" s="83"/>
    </row>
    <row r="604">
      <c r="A604" s="483"/>
      <c r="B604" s="380"/>
      <c r="C604" s="380"/>
      <c r="D604" s="380"/>
      <c r="E604" s="380"/>
      <c r="F604" s="380"/>
      <c r="G604" s="380"/>
      <c r="H604" s="380"/>
      <c r="I604" s="403"/>
      <c r="J604" s="380"/>
      <c r="K604" s="380"/>
      <c r="L604" s="380"/>
      <c r="M604" s="380"/>
      <c r="N604" s="380"/>
      <c r="O604" s="404"/>
      <c r="P604" s="380"/>
      <c r="Q604" s="380"/>
      <c r="R604" s="380"/>
      <c r="S604" s="380"/>
      <c r="T604" s="380"/>
      <c r="U604" s="380"/>
      <c r="V604" s="380"/>
      <c r="W604" s="403"/>
      <c r="X604" s="380"/>
      <c r="Y604" s="380"/>
      <c r="Z604" s="380"/>
      <c r="AA604" s="380"/>
      <c r="AB604" s="380"/>
      <c r="AC604" s="404"/>
      <c r="AD604" s="380"/>
      <c r="AE604" s="380"/>
      <c r="AF604" s="380"/>
      <c r="AG604" s="380"/>
      <c r="AH604" s="380"/>
      <c r="AI604" s="380"/>
      <c r="AJ604" s="380"/>
      <c r="AK604" s="403"/>
      <c r="AL604" s="380"/>
      <c r="AM604" s="380"/>
      <c r="AN604" s="380"/>
      <c r="AO604" s="380"/>
      <c r="AP604" s="380"/>
      <c r="AQ604" s="404"/>
      <c r="AR604" s="380"/>
      <c r="AS604" s="380"/>
      <c r="AT604" s="380"/>
      <c r="AU604" s="380"/>
      <c r="AV604" s="380"/>
      <c r="AW604" s="380"/>
      <c r="AX604" s="380"/>
      <c r="AY604" s="403"/>
      <c r="AZ604" s="380"/>
      <c r="BA604" s="380"/>
      <c r="BB604" s="380"/>
      <c r="BC604" s="380"/>
      <c r="BD604" s="380"/>
      <c r="BE604" s="404"/>
      <c r="BF604" s="380"/>
      <c r="BG604" s="380"/>
      <c r="BH604" s="380"/>
      <c r="BI604" s="380"/>
      <c r="BJ604" s="380"/>
      <c r="BK604" s="380"/>
      <c r="BL604" s="380"/>
      <c r="BM604" s="403"/>
      <c r="BS604" s="83"/>
      <c r="CA604" s="405"/>
      <c r="CG604" s="83"/>
      <c r="CO604" s="405"/>
      <c r="CU604" s="83"/>
      <c r="DC604" s="405"/>
      <c r="DI604" s="83"/>
      <c r="DQ604" s="405"/>
      <c r="DW604" s="83"/>
      <c r="EE604" s="405"/>
      <c r="EK604" s="83"/>
      <c r="ES604" s="405"/>
      <c r="EY604" s="83"/>
      <c r="FG604" s="405"/>
      <c r="FM604" s="83"/>
      <c r="FU604" s="405"/>
      <c r="GA604" s="83"/>
      <c r="GI604" s="405"/>
      <c r="GO604" s="83"/>
      <c r="GW604" s="405"/>
      <c r="HC604" s="83"/>
      <c r="HK604" s="405"/>
      <c r="HQ604" s="83"/>
      <c r="HY604" s="405"/>
      <c r="IE604" s="83"/>
      <c r="IM604" s="405"/>
      <c r="IS604" s="83"/>
      <c r="JA604" s="405"/>
      <c r="JG604" s="83"/>
      <c r="JO604" s="405"/>
      <c r="JU604" s="83"/>
      <c r="KC604" s="405"/>
      <c r="KI604" s="83"/>
      <c r="KQ604" s="405"/>
      <c r="KW604" s="83"/>
      <c r="LE604" s="405"/>
      <c r="LK604" s="83"/>
      <c r="LS604" s="405"/>
      <c r="LY604" s="83"/>
      <c r="MG604" s="405"/>
      <c r="MM604" s="83"/>
      <c r="MU604" s="405"/>
      <c r="NA604" s="83"/>
    </row>
    <row r="605">
      <c r="A605" s="483"/>
      <c r="B605" s="380"/>
      <c r="C605" s="380"/>
      <c r="D605" s="380"/>
      <c r="E605" s="380"/>
      <c r="F605" s="380"/>
      <c r="G605" s="380"/>
      <c r="H605" s="380"/>
      <c r="I605" s="403"/>
      <c r="J605" s="380"/>
      <c r="K605" s="380"/>
      <c r="L605" s="380"/>
      <c r="M605" s="380"/>
      <c r="N605" s="380"/>
      <c r="O605" s="404"/>
      <c r="P605" s="380"/>
      <c r="Q605" s="380"/>
      <c r="R605" s="380"/>
      <c r="S605" s="380"/>
      <c r="T605" s="380"/>
      <c r="U605" s="380"/>
      <c r="V605" s="380"/>
      <c r="W605" s="403"/>
      <c r="X605" s="380"/>
      <c r="Y605" s="380"/>
      <c r="Z605" s="380"/>
      <c r="AA605" s="380"/>
      <c r="AB605" s="380"/>
      <c r="AC605" s="404"/>
      <c r="AD605" s="380"/>
      <c r="AE605" s="380"/>
      <c r="AF605" s="380"/>
      <c r="AG605" s="380"/>
      <c r="AH605" s="380"/>
      <c r="AI605" s="380"/>
      <c r="AJ605" s="380"/>
      <c r="AK605" s="403"/>
      <c r="AL605" s="380"/>
      <c r="AM605" s="380"/>
      <c r="AN605" s="380"/>
      <c r="AO605" s="380"/>
      <c r="AP605" s="380"/>
      <c r="AQ605" s="404"/>
      <c r="AR605" s="380"/>
      <c r="AS605" s="380"/>
      <c r="AT605" s="380"/>
      <c r="AU605" s="380"/>
      <c r="AV605" s="380"/>
      <c r="AW605" s="380"/>
      <c r="AX605" s="380"/>
      <c r="AY605" s="403"/>
      <c r="AZ605" s="380"/>
      <c r="BA605" s="380"/>
      <c r="BB605" s="380"/>
      <c r="BC605" s="380"/>
      <c r="BD605" s="380"/>
      <c r="BE605" s="404"/>
      <c r="BF605" s="380"/>
      <c r="BG605" s="380"/>
      <c r="BH605" s="380"/>
      <c r="BI605" s="380"/>
      <c r="BJ605" s="380"/>
      <c r="BK605" s="380"/>
      <c r="BL605" s="380"/>
      <c r="BM605" s="403"/>
      <c r="BS605" s="83"/>
      <c r="CA605" s="405"/>
      <c r="CG605" s="83"/>
      <c r="CO605" s="405"/>
      <c r="CU605" s="83"/>
      <c r="DC605" s="405"/>
      <c r="DI605" s="83"/>
      <c r="DQ605" s="405"/>
      <c r="DW605" s="83"/>
      <c r="EE605" s="405"/>
      <c r="EK605" s="83"/>
      <c r="ES605" s="405"/>
      <c r="EY605" s="83"/>
      <c r="FG605" s="405"/>
      <c r="FM605" s="83"/>
      <c r="FU605" s="405"/>
      <c r="GA605" s="83"/>
      <c r="GI605" s="405"/>
      <c r="GO605" s="83"/>
      <c r="GW605" s="405"/>
      <c r="HC605" s="83"/>
      <c r="HK605" s="405"/>
      <c r="HQ605" s="83"/>
      <c r="HY605" s="405"/>
      <c r="IE605" s="83"/>
      <c r="IM605" s="405"/>
      <c r="IS605" s="83"/>
      <c r="JA605" s="405"/>
      <c r="JG605" s="83"/>
      <c r="JO605" s="405"/>
      <c r="JU605" s="83"/>
      <c r="KC605" s="405"/>
      <c r="KI605" s="83"/>
      <c r="KQ605" s="405"/>
      <c r="KW605" s="83"/>
      <c r="LE605" s="405"/>
      <c r="LK605" s="83"/>
      <c r="LS605" s="405"/>
      <c r="LY605" s="83"/>
      <c r="MG605" s="405"/>
      <c r="MM605" s="83"/>
      <c r="MU605" s="405"/>
      <c r="NA605" s="83"/>
    </row>
    <row r="606">
      <c r="A606" s="483"/>
      <c r="B606" s="380"/>
      <c r="C606" s="380"/>
      <c r="D606" s="380"/>
      <c r="E606" s="380"/>
      <c r="F606" s="380"/>
      <c r="G606" s="380"/>
      <c r="H606" s="380"/>
      <c r="I606" s="403"/>
      <c r="J606" s="380"/>
      <c r="K606" s="380"/>
      <c r="L606" s="380"/>
      <c r="M606" s="380"/>
      <c r="N606" s="380"/>
      <c r="O606" s="404"/>
      <c r="P606" s="380"/>
      <c r="Q606" s="380"/>
      <c r="R606" s="380"/>
      <c r="S606" s="380"/>
      <c r="T606" s="380"/>
      <c r="U606" s="380"/>
      <c r="V606" s="380"/>
      <c r="W606" s="403"/>
      <c r="X606" s="380"/>
      <c r="Y606" s="380"/>
      <c r="Z606" s="380"/>
      <c r="AA606" s="380"/>
      <c r="AB606" s="380"/>
      <c r="AC606" s="404"/>
      <c r="AD606" s="380"/>
      <c r="AE606" s="380"/>
      <c r="AF606" s="380"/>
      <c r="AG606" s="380"/>
      <c r="AH606" s="380"/>
      <c r="AI606" s="380"/>
      <c r="AJ606" s="380"/>
      <c r="AK606" s="403"/>
      <c r="AL606" s="380"/>
      <c r="AM606" s="380"/>
      <c r="AN606" s="380"/>
      <c r="AO606" s="380"/>
      <c r="AP606" s="380"/>
      <c r="AQ606" s="404"/>
      <c r="AR606" s="380"/>
      <c r="AS606" s="380"/>
      <c r="AT606" s="380"/>
      <c r="AU606" s="380"/>
      <c r="AV606" s="380"/>
      <c r="AW606" s="380"/>
      <c r="AX606" s="380"/>
      <c r="AY606" s="403"/>
      <c r="AZ606" s="380"/>
      <c r="BA606" s="380"/>
      <c r="BB606" s="380"/>
      <c r="BC606" s="380"/>
      <c r="BD606" s="380"/>
      <c r="BE606" s="404"/>
      <c r="BF606" s="380"/>
      <c r="BG606" s="380"/>
      <c r="BH606" s="380"/>
      <c r="BI606" s="380"/>
      <c r="BJ606" s="380"/>
      <c r="BK606" s="380"/>
      <c r="BL606" s="380"/>
      <c r="BM606" s="403"/>
      <c r="BS606" s="83"/>
      <c r="CA606" s="405"/>
      <c r="CG606" s="83"/>
      <c r="CO606" s="405"/>
      <c r="CU606" s="83"/>
      <c r="DC606" s="405"/>
      <c r="DI606" s="83"/>
      <c r="DQ606" s="405"/>
      <c r="DW606" s="83"/>
      <c r="EE606" s="405"/>
      <c r="EK606" s="83"/>
      <c r="ES606" s="405"/>
      <c r="EY606" s="83"/>
      <c r="FG606" s="405"/>
      <c r="FM606" s="83"/>
      <c r="FU606" s="405"/>
      <c r="GA606" s="83"/>
      <c r="GI606" s="405"/>
      <c r="GO606" s="83"/>
      <c r="GW606" s="405"/>
      <c r="HC606" s="83"/>
      <c r="HK606" s="405"/>
      <c r="HQ606" s="83"/>
      <c r="HY606" s="405"/>
      <c r="IE606" s="83"/>
      <c r="IM606" s="405"/>
      <c r="IS606" s="83"/>
      <c r="JA606" s="405"/>
      <c r="JG606" s="83"/>
      <c r="JO606" s="405"/>
      <c r="JU606" s="83"/>
      <c r="KC606" s="405"/>
      <c r="KI606" s="83"/>
      <c r="KQ606" s="405"/>
      <c r="KW606" s="83"/>
      <c r="LE606" s="405"/>
      <c r="LK606" s="83"/>
      <c r="LS606" s="405"/>
      <c r="LY606" s="83"/>
      <c r="MG606" s="405"/>
      <c r="MM606" s="83"/>
      <c r="MU606" s="405"/>
      <c r="NA606" s="83"/>
    </row>
    <row r="607">
      <c r="A607" s="483"/>
      <c r="B607" s="380"/>
      <c r="C607" s="380"/>
      <c r="D607" s="380"/>
      <c r="E607" s="380"/>
      <c r="F607" s="380"/>
      <c r="G607" s="380"/>
      <c r="H607" s="380"/>
      <c r="I607" s="403"/>
      <c r="J607" s="380"/>
      <c r="K607" s="380"/>
      <c r="L607" s="380"/>
      <c r="M607" s="380"/>
      <c r="N607" s="380"/>
      <c r="O607" s="404"/>
      <c r="P607" s="380"/>
      <c r="Q607" s="380"/>
      <c r="R607" s="380"/>
      <c r="S607" s="380"/>
      <c r="T607" s="380"/>
      <c r="U607" s="380"/>
      <c r="V607" s="380"/>
      <c r="W607" s="403"/>
      <c r="X607" s="380"/>
      <c r="Y607" s="380"/>
      <c r="Z607" s="380"/>
      <c r="AA607" s="380"/>
      <c r="AB607" s="380"/>
      <c r="AC607" s="404"/>
      <c r="AD607" s="380"/>
      <c r="AE607" s="380"/>
      <c r="AF607" s="380"/>
      <c r="AG607" s="380"/>
      <c r="AH607" s="380"/>
      <c r="AI607" s="380"/>
      <c r="AJ607" s="380"/>
      <c r="AK607" s="403"/>
      <c r="AL607" s="380"/>
      <c r="AM607" s="380"/>
      <c r="AN607" s="380"/>
      <c r="AO607" s="380"/>
      <c r="AP607" s="380"/>
      <c r="AQ607" s="404"/>
      <c r="AR607" s="380"/>
      <c r="AS607" s="380"/>
      <c r="AT607" s="380"/>
      <c r="AU607" s="380"/>
      <c r="AV607" s="380"/>
      <c r="AW607" s="380"/>
      <c r="AX607" s="380"/>
      <c r="AY607" s="403"/>
      <c r="AZ607" s="380"/>
      <c r="BA607" s="380"/>
      <c r="BB607" s="380"/>
      <c r="BC607" s="380"/>
      <c r="BD607" s="380"/>
      <c r="BE607" s="404"/>
      <c r="BF607" s="380"/>
      <c r="BG607" s="380"/>
      <c r="BH607" s="380"/>
      <c r="BI607" s="380"/>
      <c r="BJ607" s="380"/>
      <c r="BK607" s="380"/>
      <c r="BL607" s="380"/>
      <c r="BM607" s="403"/>
      <c r="BS607" s="83"/>
      <c r="CA607" s="405"/>
      <c r="CG607" s="83"/>
      <c r="CO607" s="405"/>
      <c r="CU607" s="83"/>
      <c r="DC607" s="405"/>
      <c r="DI607" s="83"/>
      <c r="DQ607" s="405"/>
      <c r="DW607" s="83"/>
      <c r="EE607" s="405"/>
      <c r="EK607" s="83"/>
      <c r="ES607" s="405"/>
      <c r="EY607" s="83"/>
      <c r="FG607" s="405"/>
      <c r="FM607" s="83"/>
      <c r="FU607" s="405"/>
      <c r="GA607" s="83"/>
      <c r="GI607" s="405"/>
      <c r="GO607" s="83"/>
      <c r="GW607" s="405"/>
      <c r="HC607" s="83"/>
      <c r="HK607" s="405"/>
      <c r="HQ607" s="83"/>
      <c r="HY607" s="405"/>
      <c r="IE607" s="83"/>
      <c r="IM607" s="405"/>
      <c r="IS607" s="83"/>
      <c r="JA607" s="405"/>
      <c r="JG607" s="83"/>
      <c r="JO607" s="405"/>
      <c r="JU607" s="83"/>
      <c r="KC607" s="405"/>
      <c r="KI607" s="83"/>
      <c r="KQ607" s="405"/>
      <c r="KW607" s="83"/>
      <c r="LE607" s="405"/>
      <c r="LK607" s="83"/>
      <c r="LS607" s="405"/>
      <c r="LY607" s="83"/>
      <c r="MG607" s="405"/>
      <c r="MM607" s="83"/>
      <c r="MU607" s="405"/>
      <c r="NA607" s="83"/>
    </row>
    <row r="608">
      <c r="A608" s="483"/>
      <c r="B608" s="380"/>
      <c r="C608" s="380"/>
      <c r="D608" s="380"/>
      <c r="E608" s="380"/>
      <c r="F608" s="380"/>
      <c r="G608" s="380"/>
      <c r="H608" s="380"/>
      <c r="I608" s="403"/>
      <c r="J608" s="380"/>
      <c r="K608" s="380"/>
      <c r="L608" s="380"/>
      <c r="M608" s="380"/>
      <c r="N608" s="380"/>
      <c r="O608" s="404"/>
      <c r="P608" s="380"/>
      <c r="Q608" s="380"/>
      <c r="R608" s="380"/>
      <c r="S608" s="380"/>
      <c r="T608" s="380"/>
      <c r="U608" s="380"/>
      <c r="V608" s="380"/>
      <c r="W608" s="403"/>
      <c r="X608" s="380"/>
      <c r="Y608" s="380"/>
      <c r="Z608" s="380"/>
      <c r="AA608" s="380"/>
      <c r="AB608" s="380"/>
      <c r="AC608" s="404"/>
      <c r="AD608" s="380"/>
      <c r="AE608" s="380"/>
      <c r="AF608" s="380"/>
      <c r="AG608" s="380"/>
      <c r="AH608" s="380"/>
      <c r="AI608" s="380"/>
      <c r="AJ608" s="380"/>
      <c r="AK608" s="403"/>
      <c r="AL608" s="380"/>
      <c r="AM608" s="380"/>
      <c r="AN608" s="380"/>
      <c r="AO608" s="380"/>
      <c r="AP608" s="380"/>
      <c r="AQ608" s="404"/>
      <c r="AR608" s="380"/>
      <c r="AS608" s="380"/>
      <c r="AT608" s="380"/>
      <c r="AU608" s="380"/>
      <c r="AV608" s="380"/>
      <c r="AW608" s="380"/>
      <c r="AX608" s="380"/>
      <c r="AY608" s="403"/>
      <c r="AZ608" s="380"/>
      <c r="BA608" s="380"/>
      <c r="BB608" s="380"/>
      <c r="BC608" s="380"/>
      <c r="BD608" s="380"/>
      <c r="BE608" s="404"/>
      <c r="BF608" s="380"/>
      <c r="BG608" s="380"/>
      <c r="BH608" s="380"/>
      <c r="BI608" s="380"/>
      <c r="BJ608" s="380"/>
      <c r="BK608" s="380"/>
      <c r="BL608" s="380"/>
      <c r="BM608" s="403"/>
      <c r="BS608" s="83"/>
      <c r="CA608" s="405"/>
      <c r="CG608" s="83"/>
      <c r="CO608" s="405"/>
      <c r="CU608" s="83"/>
      <c r="DC608" s="405"/>
      <c r="DI608" s="83"/>
      <c r="DQ608" s="405"/>
      <c r="DW608" s="83"/>
      <c r="EE608" s="405"/>
      <c r="EK608" s="83"/>
      <c r="ES608" s="405"/>
      <c r="EY608" s="83"/>
      <c r="FG608" s="405"/>
      <c r="FM608" s="83"/>
      <c r="FU608" s="405"/>
      <c r="GA608" s="83"/>
      <c r="GI608" s="405"/>
      <c r="GO608" s="83"/>
      <c r="GW608" s="405"/>
      <c r="HC608" s="83"/>
      <c r="HK608" s="405"/>
      <c r="HQ608" s="83"/>
      <c r="HY608" s="405"/>
      <c r="IE608" s="83"/>
      <c r="IM608" s="405"/>
      <c r="IS608" s="83"/>
      <c r="JA608" s="405"/>
      <c r="JG608" s="83"/>
      <c r="JO608" s="405"/>
      <c r="JU608" s="83"/>
      <c r="KC608" s="405"/>
      <c r="KI608" s="83"/>
      <c r="KQ608" s="405"/>
      <c r="KW608" s="83"/>
      <c r="LE608" s="405"/>
      <c r="LK608" s="83"/>
      <c r="LS608" s="405"/>
      <c r="LY608" s="83"/>
      <c r="MG608" s="405"/>
      <c r="MM608" s="83"/>
      <c r="MU608" s="405"/>
      <c r="NA608" s="83"/>
    </row>
    <row r="609">
      <c r="A609" s="483"/>
      <c r="B609" s="380"/>
      <c r="C609" s="380"/>
      <c r="D609" s="380"/>
      <c r="E609" s="380"/>
      <c r="F609" s="380"/>
      <c r="G609" s="380"/>
      <c r="H609" s="380"/>
      <c r="I609" s="403"/>
      <c r="J609" s="380"/>
      <c r="K609" s="380"/>
      <c r="L609" s="380"/>
      <c r="M609" s="380"/>
      <c r="N609" s="380"/>
      <c r="O609" s="404"/>
      <c r="P609" s="380"/>
      <c r="Q609" s="380"/>
      <c r="R609" s="380"/>
      <c r="S609" s="380"/>
      <c r="T609" s="380"/>
      <c r="U609" s="380"/>
      <c r="V609" s="380"/>
      <c r="W609" s="403"/>
      <c r="X609" s="380"/>
      <c r="Y609" s="380"/>
      <c r="Z609" s="380"/>
      <c r="AA609" s="380"/>
      <c r="AB609" s="380"/>
      <c r="AC609" s="404"/>
      <c r="AD609" s="380"/>
      <c r="AE609" s="380"/>
      <c r="AF609" s="380"/>
      <c r="AG609" s="380"/>
      <c r="AH609" s="380"/>
      <c r="AI609" s="380"/>
      <c r="AJ609" s="380"/>
      <c r="AK609" s="403"/>
      <c r="AL609" s="380"/>
      <c r="AM609" s="380"/>
      <c r="AN609" s="380"/>
      <c r="AO609" s="380"/>
      <c r="AP609" s="380"/>
      <c r="AQ609" s="404"/>
      <c r="AR609" s="380"/>
      <c r="AS609" s="380"/>
      <c r="AT609" s="380"/>
      <c r="AU609" s="380"/>
      <c r="AV609" s="380"/>
      <c r="AW609" s="380"/>
      <c r="AX609" s="380"/>
      <c r="AY609" s="403"/>
      <c r="AZ609" s="380"/>
      <c r="BA609" s="380"/>
      <c r="BB609" s="380"/>
      <c r="BC609" s="380"/>
      <c r="BD609" s="380"/>
      <c r="BE609" s="404"/>
      <c r="BF609" s="380"/>
      <c r="BG609" s="380"/>
      <c r="BH609" s="380"/>
      <c r="BI609" s="380"/>
      <c r="BJ609" s="380"/>
      <c r="BK609" s="380"/>
      <c r="BL609" s="380"/>
      <c r="BM609" s="403"/>
      <c r="BS609" s="83"/>
      <c r="CA609" s="405"/>
      <c r="CG609" s="83"/>
      <c r="CO609" s="405"/>
      <c r="CU609" s="83"/>
      <c r="DC609" s="405"/>
      <c r="DI609" s="83"/>
      <c r="DQ609" s="405"/>
      <c r="DW609" s="83"/>
      <c r="EE609" s="405"/>
      <c r="EK609" s="83"/>
      <c r="ES609" s="405"/>
      <c r="EY609" s="83"/>
      <c r="FG609" s="405"/>
      <c r="FM609" s="83"/>
      <c r="FU609" s="405"/>
      <c r="GA609" s="83"/>
      <c r="GI609" s="405"/>
      <c r="GO609" s="83"/>
      <c r="GW609" s="405"/>
      <c r="HC609" s="83"/>
      <c r="HK609" s="405"/>
      <c r="HQ609" s="83"/>
      <c r="HY609" s="405"/>
      <c r="IE609" s="83"/>
      <c r="IM609" s="405"/>
      <c r="IS609" s="83"/>
      <c r="JA609" s="405"/>
      <c r="JG609" s="83"/>
      <c r="JO609" s="405"/>
      <c r="JU609" s="83"/>
      <c r="KC609" s="405"/>
      <c r="KI609" s="83"/>
      <c r="KQ609" s="405"/>
      <c r="KW609" s="83"/>
      <c r="LE609" s="405"/>
      <c r="LK609" s="83"/>
      <c r="LS609" s="405"/>
      <c r="LY609" s="83"/>
      <c r="MG609" s="405"/>
      <c r="MM609" s="83"/>
      <c r="MU609" s="405"/>
      <c r="NA609" s="83"/>
    </row>
    <row r="610">
      <c r="A610" s="483"/>
      <c r="B610" s="380"/>
      <c r="C610" s="380"/>
      <c r="D610" s="380"/>
      <c r="E610" s="380"/>
      <c r="F610" s="380"/>
      <c r="G610" s="380"/>
      <c r="H610" s="380"/>
      <c r="I610" s="403"/>
      <c r="J610" s="380"/>
      <c r="K610" s="380"/>
      <c r="L610" s="380"/>
      <c r="M610" s="380"/>
      <c r="N610" s="380"/>
      <c r="O610" s="404"/>
      <c r="P610" s="380"/>
      <c r="Q610" s="380"/>
      <c r="R610" s="380"/>
      <c r="S610" s="380"/>
      <c r="T610" s="380"/>
      <c r="U610" s="380"/>
      <c r="V610" s="380"/>
      <c r="W610" s="403"/>
      <c r="X610" s="380"/>
      <c r="Y610" s="380"/>
      <c r="Z610" s="380"/>
      <c r="AA610" s="380"/>
      <c r="AB610" s="380"/>
      <c r="AC610" s="404"/>
      <c r="AD610" s="380"/>
      <c r="AE610" s="380"/>
      <c r="AF610" s="380"/>
      <c r="AG610" s="380"/>
      <c r="AH610" s="380"/>
      <c r="AI610" s="380"/>
      <c r="AJ610" s="380"/>
      <c r="AK610" s="403"/>
      <c r="AL610" s="380"/>
      <c r="AM610" s="380"/>
      <c r="AN610" s="380"/>
      <c r="AO610" s="380"/>
      <c r="AP610" s="380"/>
      <c r="AQ610" s="404"/>
      <c r="AR610" s="380"/>
      <c r="AS610" s="380"/>
      <c r="AT610" s="380"/>
      <c r="AU610" s="380"/>
      <c r="AV610" s="380"/>
      <c r="AW610" s="380"/>
      <c r="AX610" s="380"/>
      <c r="AY610" s="403"/>
      <c r="AZ610" s="380"/>
      <c r="BA610" s="380"/>
      <c r="BB610" s="380"/>
      <c r="BC610" s="380"/>
      <c r="BD610" s="380"/>
      <c r="BE610" s="404"/>
      <c r="BF610" s="380"/>
      <c r="BG610" s="380"/>
      <c r="BH610" s="380"/>
      <c r="BI610" s="380"/>
      <c r="BJ610" s="380"/>
      <c r="BK610" s="380"/>
      <c r="BL610" s="380"/>
      <c r="BM610" s="403"/>
      <c r="BS610" s="83"/>
      <c r="CA610" s="405"/>
      <c r="CG610" s="83"/>
      <c r="CO610" s="405"/>
      <c r="CU610" s="83"/>
      <c r="DC610" s="405"/>
      <c r="DI610" s="83"/>
      <c r="DQ610" s="405"/>
      <c r="DW610" s="83"/>
      <c r="EE610" s="405"/>
      <c r="EK610" s="83"/>
      <c r="ES610" s="405"/>
      <c r="EY610" s="83"/>
      <c r="FG610" s="405"/>
      <c r="FM610" s="83"/>
      <c r="FU610" s="405"/>
      <c r="GA610" s="83"/>
      <c r="GI610" s="405"/>
      <c r="GO610" s="83"/>
      <c r="GW610" s="405"/>
      <c r="HC610" s="83"/>
      <c r="HK610" s="405"/>
      <c r="HQ610" s="83"/>
      <c r="HY610" s="405"/>
      <c r="IE610" s="83"/>
      <c r="IM610" s="405"/>
      <c r="IS610" s="83"/>
      <c r="JA610" s="405"/>
      <c r="JG610" s="83"/>
      <c r="JO610" s="405"/>
      <c r="JU610" s="83"/>
      <c r="KC610" s="405"/>
      <c r="KI610" s="83"/>
      <c r="KQ610" s="405"/>
      <c r="KW610" s="83"/>
      <c r="LE610" s="405"/>
      <c r="LK610" s="83"/>
      <c r="LS610" s="405"/>
      <c r="LY610" s="83"/>
      <c r="MG610" s="405"/>
      <c r="MM610" s="83"/>
      <c r="MU610" s="405"/>
      <c r="NA610" s="83"/>
    </row>
    <row r="611">
      <c r="A611" s="483"/>
      <c r="B611" s="380"/>
      <c r="C611" s="380"/>
      <c r="D611" s="380"/>
      <c r="E611" s="380"/>
      <c r="F611" s="380"/>
      <c r="G611" s="380"/>
      <c r="H611" s="380"/>
      <c r="I611" s="403"/>
      <c r="J611" s="380"/>
      <c r="K611" s="380"/>
      <c r="L611" s="380"/>
      <c r="M611" s="380"/>
      <c r="N611" s="380"/>
      <c r="O611" s="404"/>
      <c r="P611" s="380"/>
      <c r="Q611" s="380"/>
      <c r="R611" s="380"/>
      <c r="S611" s="380"/>
      <c r="T611" s="380"/>
      <c r="U611" s="380"/>
      <c r="V611" s="380"/>
      <c r="W611" s="403"/>
      <c r="X611" s="380"/>
      <c r="Y611" s="380"/>
      <c r="Z611" s="380"/>
      <c r="AA611" s="380"/>
      <c r="AB611" s="380"/>
      <c r="AC611" s="404"/>
      <c r="AD611" s="380"/>
      <c r="AE611" s="380"/>
      <c r="AF611" s="380"/>
      <c r="AG611" s="380"/>
      <c r="AH611" s="380"/>
      <c r="AI611" s="380"/>
      <c r="AJ611" s="380"/>
      <c r="AK611" s="403"/>
      <c r="AL611" s="380"/>
      <c r="AM611" s="380"/>
      <c r="AN611" s="380"/>
      <c r="AO611" s="380"/>
      <c r="AP611" s="380"/>
      <c r="AQ611" s="404"/>
      <c r="AR611" s="380"/>
      <c r="AS611" s="380"/>
      <c r="AT611" s="380"/>
      <c r="AU611" s="380"/>
      <c r="AV611" s="380"/>
      <c r="AW611" s="380"/>
      <c r="AX611" s="380"/>
      <c r="AY611" s="403"/>
      <c r="AZ611" s="380"/>
      <c r="BA611" s="380"/>
      <c r="BB611" s="380"/>
      <c r="BC611" s="380"/>
      <c r="BD611" s="380"/>
      <c r="BE611" s="404"/>
      <c r="BF611" s="380"/>
      <c r="BG611" s="380"/>
      <c r="BH611" s="380"/>
      <c r="BI611" s="380"/>
      <c r="BJ611" s="380"/>
      <c r="BK611" s="380"/>
      <c r="BL611" s="380"/>
      <c r="BM611" s="403"/>
      <c r="BS611" s="83"/>
      <c r="CA611" s="405"/>
      <c r="CG611" s="83"/>
      <c r="CO611" s="405"/>
      <c r="CU611" s="83"/>
      <c r="DC611" s="405"/>
      <c r="DI611" s="83"/>
      <c r="DQ611" s="405"/>
      <c r="DW611" s="83"/>
      <c r="EE611" s="405"/>
      <c r="EK611" s="83"/>
      <c r="ES611" s="405"/>
      <c r="EY611" s="83"/>
      <c r="FG611" s="405"/>
      <c r="FM611" s="83"/>
      <c r="FU611" s="405"/>
      <c r="GA611" s="83"/>
      <c r="GI611" s="405"/>
      <c r="GO611" s="83"/>
      <c r="GW611" s="405"/>
      <c r="HC611" s="83"/>
      <c r="HK611" s="405"/>
      <c r="HQ611" s="83"/>
      <c r="HY611" s="405"/>
      <c r="IE611" s="83"/>
      <c r="IM611" s="405"/>
      <c r="IS611" s="83"/>
      <c r="JA611" s="405"/>
      <c r="JG611" s="83"/>
      <c r="JO611" s="405"/>
      <c r="JU611" s="83"/>
      <c r="KC611" s="405"/>
      <c r="KI611" s="83"/>
      <c r="KQ611" s="405"/>
      <c r="KW611" s="83"/>
      <c r="LE611" s="405"/>
      <c r="LK611" s="83"/>
      <c r="LS611" s="405"/>
      <c r="LY611" s="83"/>
      <c r="MG611" s="405"/>
      <c r="MM611" s="83"/>
      <c r="MU611" s="405"/>
      <c r="NA611" s="83"/>
    </row>
    <row r="612">
      <c r="A612" s="483"/>
      <c r="B612" s="380"/>
      <c r="C612" s="380"/>
      <c r="D612" s="380"/>
      <c r="E612" s="380"/>
      <c r="F612" s="380"/>
      <c r="G612" s="380"/>
      <c r="H612" s="380"/>
      <c r="I612" s="403"/>
      <c r="J612" s="380"/>
      <c r="K612" s="380"/>
      <c r="L612" s="380"/>
      <c r="M612" s="380"/>
      <c r="N612" s="380"/>
      <c r="O612" s="404"/>
      <c r="P612" s="380"/>
      <c r="Q612" s="380"/>
      <c r="R612" s="380"/>
      <c r="S612" s="380"/>
      <c r="T612" s="380"/>
      <c r="U612" s="380"/>
      <c r="V612" s="380"/>
      <c r="W612" s="403"/>
      <c r="X612" s="380"/>
      <c r="Y612" s="380"/>
      <c r="Z612" s="380"/>
      <c r="AA612" s="380"/>
      <c r="AB612" s="380"/>
      <c r="AC612" s="404"/>
      <c r="AD612" s="380"/>
      <c r="AE612" s="380"/>
      <c r="AF612" s="380"/>
      <c r="AG612" s="380"/>
      <c r="AH612" s="380"/>
      <c r="AI612" s="380"/>
      <c r="AJ612" s="380"/>
      <c r="AK612" s="403"/>
      <c r="AL612" s="380"/>
      <c r="AM612" s="380"/>
      <c r="AN612" s="380"/>
      <c r="AO612" s="380"/>
      <c r="AP612" s="380"/>
      <c r="AQ612" s="404"/>
      <c r="AR612" s="380"/>
      <c r="AS612" s="380"/>
      <c r="AT612" s="380"/>
      <c r="AU612" s="380"/>
      <c r="AV612" s="380"/>
      <c r="AW612" s="380"/>
      <c r="AX612" s="380"/>
      <c r="AY612" s="403"/>
      <c r="AZ612" s="380"/>
      <c r="BA612" s="380"/>
      <c r="BB612" s="380"/>
      <c r="BC612" s="380"/>
      <c r="BD612" s="380"/>
      <c r="BE612" s="404"/>
      <c r="BF612" s="380"/>
      <c r="BG612" s="380"/>
      <c r="BH612" s="380"/>
      <c r="BI612" s="380"/>
      <c r="BJ612" s="380"/>
      <c r="BK612" s="380"/>
      <c r="BL612" s="380"/>
      <c r="BM612" s="403"/>
      <c r="BS612" s="83"/>
      <c r="CA612" s="405"/>
      <c r="CG612" s="83"/>
      <c r="CO612" s="405"/>
      <c r="CU612" s="83"/>
      <c r="DC612" s="405"/>
      <c r="DI612" s="83"/>
      <c r="DQ612" s="405"/>
      <c r="DW612" s="83"/>
      <c r="EE612" s="405"/>
      <c r="EK612" s="83"/>
      <c r="ES612" s="405"/>
      <c r="EY612" s="83"/>
      <c r="FG612" s="405"/>
      <c r="FM612" s="83"/>
      <c r="FU612" s="405"/>
      <c r="GA612" s="83"/>
      <c r="GI612" s="405"/>
      <c r="GO612" s="83"/>
      <c r="GW612" s="405"/>
      <c r="HC612" s="83"/>
      <c r="HK612" s="405"/>
      <c r="HQ612" s="83"/>
      <c r="HY612" s="405"/>
      <c r="IE612" s="83"/>
      <c r="IM612" s="405"/>
      <c r="IS612" s="83"/>
      <c r="JA612" s="405"/>
      <c r="JG612" s="83"/>
      <c r="JO612" s="405"/>
      <c r="JU612" s="83"/>
      <c r="KC612" s="405"/>
      <c r="KI612" s="83"/>
      <c r="KQ612" s="405"/>
      <c r="KW612" s="83"/>
      <c r="LE612" s="405"/>
      <c r="LK612" s="83"/>
      <c r="LS612" s="405"/>
      <c r="LY612" s="83"/>
      <c r="MG612" s="405"/>
      <c r="MM612" s="83"/>
      <c r="MU612" s="405"/>
      <c r="NA612" s="83"/>
    </row>
    <row r="613">
      <c r="A613" s="483"/>
      <c r="B613" s="380"/>
      <c r="C613" s="380"/>
      <c r="D613" s="380"/>
      <c r="E613" s="380"/>
      <c r="F613" s="380"/>
      <c r="G613" s="380"/>
      <c r="H613" s="380"/>
      <c r="I613" s="403"/>
      <c r="J613" s="380"/>
      <c r="K613" s="380"/>
      <c r="L613" s="380"/>
      <c r="M613" s="380"/>
      <c r="N613" s="380"/>
      <c r="O613" s="404"/>
      <c r="P613" s="380"/>
      <c r="Q613" s="380"/>
      <c r="R613" s="380"/>
      <c r="S613" s="380"/>
      <c r="T613" s="380"/>
      <c r="U613" s="380"/>
      <c r="V613" s="380"/>
      <c r="W613" s="403"/>
      <c r="X613" s="380"/>
      <c r="Y613" s="380"/>
      <c r="Z613" s="380"/>
      <c r="AA613" s="380"/>
      <c r="AB613" s="380"/>
      <c r="AC613" s="404"/>
      <c r="AD613" s="380"/>
      <c r="AE613" s="380"/>
      <c r="AF613" s="380"/>
      <c r="AG613" s="380"/>
      <c r="AH613" s="380"/>
      <c r="AI613" s="380"/>
      <c r="AJ613" s="380"/>
      <c r="AK613" s="403"/>
      <c r="AL613" s="380"/>
      <c r="AM613" s="380"/>
      <c r="AN613" s="380"/>
      <c r="AO613" s="380"/>
      <c r="AP613" s="380"/>
      <c r="AQ613" s="404"/>
      <c r="AR613" s="380"/>
      <c r="AS613" s="380"/>
      <c r="AT613" s="380"/>
      <c r="AU613" s="380"/>
      <c r="AV613" s="380"/>
      <c r="AW613" s="380"/>
      <c r="AX613" s="380"/>
      <c r="AY613" s="403"/>
      <c r="AZ613" s="380"/>
      <c r="BA613" s="380"/>
      <c r="BB613" s="380"/>
      <c r="BC613" s="380"/>
      <c r="BD613" s="380"/>
      <c r="BE613" s="404"/>
      <c r="BF613" s="380"/>
      <c r="BG613" s="380"/>
      <c r="BH613" s="380"/>
      <c r="BI613" s="380"/>
      <c r="BJ613" s="380"/>
      <c r="BK613" s="380"/>
      <c r="BL613" s="380"/>
      <c r="BM613" s="403"/>
      <c r="BS613" s="83"/>
      <c r="CA613" s="405"/>
      <c r="CG613" s="83"/>
      <c r="CO613" s="405"/>
      <c r="CU613" s="83"/>
      <c r="DC613" s="405"/>
      <c r="DI613" s="83"/>
      <c r="DQ613" s="405"/>
      <c r="DW613" s="83"/>
      <c r="EE613" s="405"/>
      <c r="EK613" s="83"/>
      <c r="ES613" s="405"/>
      <c r="EY613" s="83"/>
      <c r="FG613" s="405"/>
      <c r="FM613" s="83"/>
      <c r="FU613" s="405"/>
      <c r="GA613" s="83"/>
      <c r="GI613" s="405"/>
      <c r="GO613" s="83"/>
      <c r="GW613" s="405"/>
      <c r="HC613" s="83"/>
      <c r="HK613" s="405"/>
      <c r="HQ613" s="83"/>
      <c r="HY613" s="405"/>
      <c r="IE613" s="83"/>
      <c r="IM613" s="405"/>
      <c r="IS613" s="83"/>
      <c r="JA613" s="405"/>
      <c r="JG613" s="83"/>
      <c r="JO613" s="405"/>
      <c r="JU613" s="83"/>
      <c r="KC613" s="405"/>
      <c r="KI613" s="83"/>
      <c r="KQ613" s="405"/>
      <c r="KW613" s="83"/>
      <c r="LE613" s="405"/>
      <c r="LK613" s="83"/>
      <c r="LS613" s="405"/>
      <c r="LY613" s="83"/>
      <c r="MG613" s="405"/>
      <c r="MM613" s="83"/>
      <c r="MU613" s="405"/>
      <c r="NA613" s="83"/>
    </row>
    <row r="614">
      <c r="A614" s="483"/>
      <c r="B614" s="380"/>
      <c r="C614" s="380"/>
      <c r="D614" s="380"/>
      <c r="E614" s="380"/>
      <c r="F614" s="380"/>
      <c r="G614" s="380"/>
      <c r="H614" s="380"/>
      <c r="I614" s="403"/>
      <c r="J614" s="380"/>
      <c r="K614" s="380"/>
      <c r="L614" s="380"/>
      <c r="M614" s="380"/>
      <c r="N614" s="380"/>
      <c r="O614" s="404"/>
      <c r="P614" s="380"/>
      <c r="Q614" s="380"/>
      <c r="R614" s="380"/>
      <c r="S614" s="380"/>
      <c r="T614" s="380"/>
      <c r="U614" s="380"/>
      <c r="V614" s="380"/>
      <c r="W614" s="403"/>
      <c r="X614" s="380"/>
      <c r="Y614" s="380"/>
      <c r="Z614" s="380"/>
      <c r="AA614" s="380"/>
      <c r="AB614" s="380"/>
      <c r="AC614" s="404"/>
      <c r="AD614" s="380"/>
      <c r="AE614" s="380"/>
      <c r="AF614" s="380"/>
      <c r="AG614" s="380"/>
      <c r="AH614" s="380"/>
      <c r="AI614" s="380"/>
      <c r="AJ614" s="380"/>
      <c r="AK614" s="403"/>
      <c r="AL614" s="380"/>
      <c r="AM614" s="380"/>
      <c r="AN614" s="380"/>
      <c r="AO614" s="380"/>
      <c r="AP614" s="380"/>
      <c r="AQ614" s="404"/>
      <c r="AR614" s="380"/>
      <c r="AS614" s="380"/>
      <c r="AT614" s="380"/>
      <c r="AU614" s="380"/>
      <c r="AV614" s="380"/>
      <c r="AW614" s="380"/>
      <c r="AX614" s="380"/>
      <c r="AY614" s="403"/>
      <c r="AZ614" s="380"/>
      <c r="BA614" s="380"/>
      <c r="BB614" s="380"/>
      <c r="BC614" s="380"/>
      <c r="BD614" s="380"/>
      <c r="BE614" s="404"/>
      <c r="BF614" s="380"/>
      <c r="BG614" s="380"/>
      <c r="BH614" s="380"/>
      <c r="BI614" s="380"/>
      <c r="BJ614" s="380"/>
      <c r="BK614" s="380"/>
      <c r="BL614" s="380"/>
      <c r="BM614" s="403"/>
      <c r="BS614" s="83"/>
      <c r="CA614" s="405"/>
      <c r="CG614" s="83"/>
      <c r="CO614" s="405"/>
      <c r="CU614" s="83"/>
      <c r="DC614" s="405"/>
      <c r="DI614" s="83"/>
      <c r="DQ614" s="405"/>
      <c r="DW614" s="83"/>
      <c r="EE614" s="405"/>
      <c r="EK614" s="83"/>
      <c r="ES614" s="405"/>
      <c r="EY614" s="83"/>
      <c r="FG614" s="405"/>
      <c r="FM614" s="83"/>
      <c r="FU614" s="405"/>
      <c r="GA614" s="83"/>
      <c r="GI614" s="405"/>
      <c r="GO614" s="83"/>
      <c r="GW614" s="405"/>
      <c r="HC614" s="83"/>
      <c r="HK614" s="405"/>
      <c r="HQ614" s="83"/>
      <c r="HY614" s="405"/>
      <c r="IE614" s="83"/>
      <c r="IM614" s="405"/>
      <c r="IS614" s="83"/>
      <c r="JA614" s="405"/>
      <c r="JG614" s="83"/>
      <c r="JO614" s="405"/>
      <c r="JU614" s="83"/>
      <c r="KC614" s="405"/>
      <c r="KI614" s="83"/>
      <c r="KQ614" s="405"/>
      <c r="KW614" s="83"/>
      <c r="LE614" s="405"/>
      <c r="LK614" s="83"/>
      <c r="LS614" s="405"/>
      <c r="LY614" s="83"/>
      <c r="MG614" s="405"/>
      <c r="MM614" s="83"/>
      <c r="MU614" s="405"/>
      <c r="NA614" s="83"/>
    </row>
    <row r="615">
      <c r="A615" s="483"/>
      <c r="B615" s="380"/>
      <c r="C615" s="380"/>
      <c r="D615" s="380"/>
      <c r="E615" s="380"/>
      <c r="F615" s="380"/>
      <c r="G615" s="380"/>
      <c r="H615" s="380"/>
      <c r="I615" s="403"/>
      <c r="J615" s="380"/>
      <c r="K615" s="380"/>
      <c r="L615" s="380"/>
      <c r="M615" s="380"/>
      <c r="N615" s="380"/>
      <c r="O615" s="404"/>
      <c r="P615" s="380"/>
      <c r="Q615" s="380"/>
      <c r="R615" s="380"/>
      <c r="S615" s="380"/>
      <c r="T615" s="380"/>
      <c r="U615" s="380"/>
      <c r="V615" s="380"/>
      <c r="W615" s="403"/>
      <c r="X615" s="380"/>
      <c r="Y615" s="380"/>
      <c r="Z615" s="380"/>
      <c r="AA615" s="380"/>
      <c r="AB615" s="380"/>
      <c r="AC615" s="404"/>
      <c r="AD615" s="380"/>
      <c r="AE615" s="380"/>
      <c r="AF615" s="380"/>
      <c r="AG615" s="380"/>
      <c r="AH615" s="380"/>
      <c r="AI615" s="380"/>
      <c r="AJ615" s="380"/>
      <c r="AK615" s="403"/>
      <c r="AL615" s="380"/>
      <c r="AM615" s="380"/>
      <c r="AN615" s="380"/>
      <c r="AO615" s="380"/>
      <c r="AP615" s="380"/>
      <c r="AQ615" s="404"/>
      <c r="AR615" s="380"/>
      <c r="AS615" s="380"/>
      <c r="AT615" s="380"/>
      <c r="AU615" s="380"/>
      <c r="AV615" s="380"/>
      <c r="AW615" s="380"/>
      <c r="AX615" s="380"/>
      <c r="AY615" s="403"/>
      <c r="AZ615" s="380"/>
      <c r="BA615" s="380"/>
      <c r="BB615" s="380"/>
      <c r="BC615" s="380"/>
      <c r="BD615" s="380"/>
      <c r="BE615" s="404"/>
      <c r="BF615" s="380"/>
      <c r="BG615" s="380"/>
      <c r="BH615" s="380"/>
      <c r="BI615" s="380"/>
      <c r="BJ615" s="380"/>
      <c r="BK615" s="380"/>
      <c r="BL615" s="380"/>
      <c r="BM615" s="403"/>
      <c r="BS615" s="83"/>
      <c r="CA615" s="405"/>
      <c r="CG615" s="83"/>
      <c r="CO615" s="405"/>
      <c r="CU615" s="83"/>
      <c r="DC615" s="405"/>
      <c r="DI615" s="83"/>
      <c r="DQ615" s="405"/>
      <c r="DW615" s="83"/>
      <c r="EE615" s="405"/>
      <c r="EK615" s="83"/>
      <c r="ES615" s="405"/>
      <c r="EY615" s="83"/>
      <c r="FG615" s="405"/>
      <c r="FM615" s="83"/>
      <c r="FU615" s="405"/>
      <c r="GA615" s="83"/>
      <c r="GI615" s="405"/>
      <c r="GO615" s="83"/>
      <c r="GW615" s="405"/>
      <c r="HC615" s="83"/>
      <c r="HK615" s="405"/>
      <c r="HQ615" s="83"/>
      <c r="HY615" s="405"/>
      <c r="IE615" s="83"/>
      <c r="IM615" s="405"/>
      <c r="IS615" s="83"/>
      <c r="JA615" s="405"/>
      <c r="JG615" s="83"/>
      <c r="JO615" s="405"/>
      <c r="JU615" s="83"/>
      <c r="KC615" s="405"/>
      <c r="KI615" s="83"/>
      <c r="KQ615" s="405"/>
      <c r="KW615" s="83"/>
      <c r="LE615" s="405"/>
      <c r="LK615" s="83"/>
      <c r="LS615" s="405"/>
      <c r="LY615" s="83"/>
      <c r="MG615" s="405"/>
      <c r="MM615" s="83"/>
      <c r="MU615" s="405"/>
      <c r="NA615" s="83"/>
    </row>
    <row r="616">
      <c r="A616" s="483"/>
      <c r="B616" s="380"/>
      <c r="C616" s="380"/>
      <c r="D616" s="380"/>
      <c r="E616" s="380"/>
      <c r="F616" s="380"/>
      <c r="G616" s="380"/>
      <c r="H616" s="380"/>
      <c r="I616" s="403"/>
      <c r="J616" s="380"/>
      <c r="K616" s="380"/>
      <c r="L616" s="380"/>
      <c r="M616" s="380"/>
      <c r="N616" s="380"/>
      <c r="O616" s="404"/>
      <c r="P616" s="380"/>
      <c r="Q616" s="380"/>
      <c r="R616" s="380"/>
      <c r="S616" s="380"/>
      <c r="T616" s="380"/>
      <c r="U616" s="380"/>
      <c r="V616" s="380"/>
      <c r="W616" s="403"/>
      <c r="X616" s="380"/>
      <c r="Y616" s="380"/>
      <c r="Z616" s="380"/>
      <c r="AA616" s="380"/>
      <c r="AB616" s="380"/>
      <c r="AC616" s="404"/>
      <c r="AD616" s="380"/>
      <c r="AE616" s="380"/>
      <c r="AF616" s="380"/>
      <c r="AG616" s="380"/>
      <c r="AH616" s="380"/>
      <c r="AI616" s="380"/>
      <c r="AJ616" s="380"/>
      <c r="AK616" s="403"/>
      <c r="AL616" s="380"/>
      <c r="AM616" s="380"/>
      <c r="AN616" s="380"/>
      <c r="AO616" s="380"/>
      <c r="AP616" s="380"/>
      <c r="AQ616" s="404"/>
      <c r="AR616" s="380"/>
      <c r="AS616" s="380"/>
      <c r="AT616" s="380"/>
      <c r="AU616" s="380"/>
      <c r="AV616" s="380"/>
      <c r="AW616" s="380"/>
      <c r="AX616" s="380"/>
      <c r="AY616" s="403"/>
      <c r="AZ616" s="380"/>
      <c r="BA616" s="380"/>
      <c r="BB616" s="380"/>
      <c r="BC616" s="380"/>
      <c r="BD616" s="380"/>
      <c r="BE616" s="404"/>
      <c r="BF616" s="380"/>
      <c r="BG616" s="380"/>
      <c r="BH616" s="380"/>
      <c r="BI616" s="380"/>
      <c r="BJ616" s="380"/>
      <c r="BK616" s="380"/>
      <c r="BL616" s="380"/>
      <c r="BM616" s="403"/>
      <c r="BS616" s="83"/>
      <c r="CA616" s="405"/>
      <c r="CG616" s="83"/>
      <c r="CO616" s="405"/>
      <c r="CU616" s="83"/>
      <c r="DC616" s="405"/>
      <c r="DI616" s="83"/>
      <c r="DQ616" s="405"/>
      <c r="DW616" s="83"/>
      <c r="EE616" s="405"/>
      <c r="EK616" s="83"/>
      <c r="ES616" s="405"/>
      <c r="EY616" s="83"/>
      <c r="FG616" s="405"/>
      <c r="FM616" s="83"/>
      <c r="FU616" s="405"/>
      <c r="GA616" s="83"/>
      <c r="GI616" s="405"/>
      <c r="GO616" s="83"/>
      <c r="GW616" s="405"/>
      <c r="HC616" s="83"/>
      <c r="HK616" s="405"/>
      <c r="HQ616" s="83"/>
      <c r="HY616" s="405"/>
      <c r="IE616" s="83"/>
      <c r="IM616" s="405"/>
      <c r="IS616" s="83"/>
      <c r="JA616" s="405"/>
      <c r="JG616" s="83"/>
      <c r="JO616" s="405"/>
      <c r="JU616" s="83"/>
      <c r="KC616" s="405"/>
      <c r="KI616" s="83"/>
      <c r="KQ616" s="405"/>
      <c r="KW616" s="83"/>
      <c r="LE616" s="405"/>
      <c r="LK616" s="83"/>
      <c r="LS616" s="405"/>
      <c r="LY616" s="83"/>
      <c r="MG616" s="405"/>
      <c r="MM616" s="83"/>
      <c r="MU616" s="405"/>
      <c r="NA616" s="83"/>
    </row>
    <row r="617">
      <c r="A617" s="483"/>
      <c r="B617" s="380"/>
      <c r="C617" s="380"/>
      <c r="D617" s="380"/>
      <c r="E617" s="380"/>
      <c r="F617" s="380"/>
      <c r="G617" s="380"/>
      <c r="H617" s="380"/>
      <c r="I617" s="403"/>
      <c r="J617" s="380"/>
      <c r="K617" s="380"/>
      <c r="L617" s="380"/>
      <c r="M617" s="380"/>
      <c r="N617" s="380"/>
      <c r="O617" s="404"/>
      <c r="P617" s="380"/>
      <c r="Q617" s="380"/>
      <c r="R617" s="380"/>
      <c r="S617" s="380"/>
      <c r="T617" s="380"/>
      <c r="U617" s="380"/>
      <c r="V617" s="380"/>
      <c r="W617" s="403"/>
      <c r="X617" s="380"/>
      <c r="Y617" s="380"/>
      <c r="Z617" s="380"/>
      <c r="AA617" s="380"/>
      <c r="AB617" s="380"/>
      <c r="AC617" s="404"/>
      <c r="AD617" s="380"/>
      <c r="AE617" s="380"/>
      <c r="AF617" s="380"/>
      <c r="AG617" s="380"/>
      <c r="AH617" s="380"/>
      <c r="AI617" s="380"/>
      <c r="AJ617" s="380"/>
      <c r="AK617" s="403"/>
      <c r="AL617" s="380"/>
      <c r="AM617" s="380"/>
      <c r="AN617" s="380"/>
      <c r="AO617" s="380"/>
      <c r="AP617" s="380"/>
      <c r="AQ617" s="404"/>
      <c r="AR617" s="380"/>
      <c r="AS617" s="380"/>
      <c r="AT617" s="380"/>
      <c r="AU617" s="380"/>
      <c r="AV617" s="380"/>
      <c r="AW617" s="380"/>
      <c r="AX617" s="380"/>
      <c r="AY617" s="403"/>
      <c r="AZ617" s="380"/>
      <c r="BA617" s="380"/>
      <c r="BB617" s="380"/>
      <c r="BC617" s="380"/>
      <c r="BD617" s="380"/>
      <c r="BE617" s="404"/>
      <c r="BF617" s="380"/>
      <c r="BG617" s="380"/>
      <c r="BH617" s="380"/>
      <c r="BI617" s="380"/>
      <c r="BJ617" s="380"/>
      <c r="BK617" s="380"/>
      <c r="BL617" s="380"/>
      <c r="BM617" s="403"/>
      <c r="BS617" s="83"/>
      <c r="CA617" s="405"/>
      <c r="CG617" s="83"/>
      <c r="CO617" s="405"/>
      <c r="CU617" s="83"/>
      <c r="DC617" s="405"/>
      <c r="DI617" s="83"/>
      <c r="DQ617" s="405"/>
      <c r="DW617" s="83"/>
      <c r="EE617" s="405"/>
      <c r="EK617" s="83"/>
      <c r="ES617" s="405"/>
      <c r="EY617" s="83"/>
      <c r="FG617" s="405"/>
      <c r="FM617" s="83"/>
      <c r="FU617" s="405"/>
      <c r="GA617" s="83"/>
      <c r="GI617" s="405"/>
      <c r="GO617" s="83"/>
      <c r="GW617" s="405"/>
      <c r="HC617" s="83"/>
      <c r="HK617" s="405"/>
      <c r="HQ617" s="83"/>
      <c r="HY617" s="405"/>
      <c r="IE617" s="83"/>
      <c r="IM617" s="405"/>
      <c r="IS617" s="83"/>
      <c r="JA617" s="405"/>
      <c r="JG617" s="83"/>
      <c r="JO617" s="405"/>
      <c r="JU617" s="83"/>
      <c r="KC617" s="405"/>
      <c r="KI617" s="83"/>
      <c r="KQ617" s="405"/>
      <c r="KW617" s="83"/>
      <c r="LE617" s="405"/>
      <c r="LK617" s="83"/>
      <c r="LS617" s="405"/>
      <c r="LY617" s="83"/>
      <c r="MG617" s="405"/>
      <c r="MM617" s="83"/>
      <c r="MU617" s="405"/>
      <c r="NA617" s="83"/>
    </row>
    <row r="618">
      <c r="A618" s="483"/>
      <c r="B618" s="380"/>
      <c r="C618" s="380"/>
      <c r="D618" s="380"/>
      <c r="E618" s="380"/>
      <c r="F618" s="380"/>
      <c r="G618" s="380"/>
      <c r="H618" s="380"/>
      <c r="I618" s="403"/>
      <c r="J618" s="380"/>
      <c r="K618" s="380"/>
      <c r="L618" s="380"/>
      <c r="M618" s="380"/>
      <c r="N618" s="380"/>
      <c r="O618" s="404"/>
      <c r="P618" s="380"/>
      <c r="Q618" s="380"/>
      <c r="R618" s="380"/>
      <c r="S618" s="380"/>
      <c r="T618" s="380"/>
      <c r="U618" s="380"/>
      <c r="V618" s="380"/>
      <c r="W618" s="403"/>
      <c r="X618" s="380"/>
      <c r="Y618" s="380"/>
      <c r="Z618" s="380"/>
      <c r="AA618" s="380"/>
      <c r="AB618" s="380"/>
      <c r="AC618" s="404"/>
      <c r="AD618" s="380"/>
      <c r="AE618" s="380"/>
      <c r="AF618" s="380"/>
      <c r="AG618" s="380"/>
      <c r="AH618" s="380"/>
      <c r="AI618" s="380"/>
      <c r="AJ618" s="380"/>
      <c r="AK618" s="403"/>
      <c r="AL618" s="380"/>
      <c r="AM618" s="380"/>
      <c r="AN618" s="380"/>
      <c r="AO618" s="380"/>
      <c r="AP618" s="380"/>
      <c r="AQ618" s="404"/>
      <c r="AR618" s="380"/>
      <c r="AS618" s="380"/>
      <c r="AT618" s="380"/>
      <c r="AU618" s="380"/>
      <c r="AV618" s="380"/>
      <c r="AW618" s="380"/>
      <c r="AX618" s="380"/>
      <c r="AY618" s="403"/>
      <c r="AZ618" s="380"/>
      <c r="BA618" s="380"/>
      <c r="BB618" s="380"/>
      <c r="BC618" s="380"/>
      <c r="BD618" s="380"/>
      <c r="BE618" s="404"/>
      <c r="BF618" s="380"/>
      <c r="BG618" s="380"/>
      <c r="BH618" s="380"/>
      <c r="BI618" s="380"/>
      <c r="BJ618" s="380"/>
      <c r="BK618" s="380"/>
      <c r="BL618" s="380"/>
      <c r="BM618" s="403"/>
      <c r="BS618" s="83"/>
      <c r="CA618" s="405"/>
      <c r="CG618" s="83"/>
      <c r="CO618" s="405"/>
      <c r="CU618" s="83"/>
      <c r="DC618" s="405"/>
      <c r="DI618" s="83"/>
      <c r="DQ618" s="405"/>
      <c r="DW618" s="83"/>
      <c r="EE618" s="405"/>
      <c r="EK618" s="83"/>
      <c r="ES618" s="405"/>
      <c r="EY618" s="83"/>
      <c r="FG618" s="405"/>
      <c r="FM618" s="83"/>
      <c r="FU618" s="405"/>
      <c r="GA618" s="83"/>
      <c r="GI618" s="405"/>
      <c r="GO618" s="83"/>
      <c r="GW618" s="405"/>
      <c r="HC618" s="83"/>
      <c r="HK618" s="405"/>
      <c r="HQ618" s="83"/>
      <c r="HY618" s="405"/>
      <c r="IE618" s="83"/>
      <c r="IM618" s="405"/>
      <c r="IS618" s="83"/>
      <c r="JA618" s="405"/>
      <c r="JG618" s="83"/>
      <c r="JO618" s="405"/>
      <c r="JU618" s="83"/>
      <c r="KC618" s="405"/>
      <c r="KI618" s="83"/>
      <c r="KQ618" s="405"/>
      <c r="KW618" s="83"/>
      <c r="LE618" s="405"/>
      <c r="LK618" s="83"/>
      <c r="LS618" s="405"/>
      <c r="LY618" s="83"/>
      <c r="MG618" s="405"/>
      <c r="MM618" s="83"/>
      <c r="MU618" s="405"/>
      <c r="NA618" s="83"/>
    </row>
    <row r="619">
      <c r="A619" s="483"/>
      <c r="B619" s="380"/>
      <c r="C619" s="380"/>
      <c r="D619" s="380"/>
      <c r="E619" s="380"/>
      <c r="F619" s="380"/>
      <c r="G619" s="380"/>
      <c r="H619" s="380"/>
      <c r="I619" s="403"/>
      <c r="J619" s="380"/>
      <c r="K619" s="380"/>
      <c r="L619" s="380"/>
      <c r="M619" s="380"/>
      <c r="N619" s="380"/>
      <c r="O619" s="404"/>
      <c r="P619" s="380"/>
      <c r="Q619" s="380"/>
      <c r="R619" s="380"/>
      <c r="S619" s="380"/>
      <c r="T619" s="380"/>
      <c r="U619" s="380"/>
      <c r="V619" s="380"/>
      <c r="W619" s="403"/>
      <c r="X619" s="380"/>
      <c r="Y619" s="380"/>
      <c r="Z619" s="380"/>
      <c r="AA619" s="380"/>
      <c r="AB619" s="380"/>
      <c r="AC619" s="404"/>
      <c r="AD619" s="380"/>
      <c r="AE619" s="380"/>
      <c r="AF619" s="380"/>
      <c r="AG619" s="380"/>
      <c r="AH619" s="380"/>
      <c r="AI619" s="380"/>
      <c r="AJ619" s="380"/>
      <c r="AK619" s="403"/>
      <c r="AL619" s="380"/>
      <c r="AM619" s="380"/>
      <c r="AN619" s="380"/>
      <c r="AO619" s="380"/>
      <c r="AP619" s="380"/>
      <c r="AQ619" s="404"/>
      <c r="AR619" s="380"/>
      <c r="AS619" s="380"/>
      <c r="AT619" s="380"/>
      <c r="AU619" s="380"/>
      <c r="AV619" s="380"/>
      <c r="AW619" s="380"/>
      <c r="AX619" s="380"/>
      <c r="AY619" s="403"/>
      <c r="AZ619" s="380"/>
      <c r="BA619" s="380"/>
      <c r="BB619" s="380"/>
      <c r="BC619" s="380"/>
      <c r="BD619" s="380"/>
      <c r="BE619" s="404"/>
      <c r="BF619" s="380"/>
      <c r="BG619" s="380"/>
      <c r="BH619" s="380"/>
      <c r="BI619" s="380"/>
      <c r="BJ619" s="380"/>
      <c r="BK619" s="380"/>
      <c r="BL619" s="380"/>
      <c r="BM619" s="403"/>
      <c r="BS619" s="83"/>
      <c r="CA619" s="405"/>
      <c r="CG619" s="83"/>
      <c r="CO619" s="405"/>
      <c r="CU619" s="83"/>
      <c r="DC619" s="405"/>
      <c r="DI619" s="83"/>
      <c r="DQ619" s="405"/>
      <c r="DW619" s="83"/>
      <c r="EE619" s="405"/>
      <c r="EK619" s="83"/>
      <c r="ES619" s="405"/>
      <c r="EY619" s="83"/>
      <c r="FG619" s="405"/>
      <c r="FM619" s="83"/>
      <c r="FU619" s="405"/>
      <c r="GA619" s="83"/>
      <c r="GI619" s="405"/>
      <c r="GO619" s="83"/>
      <c r="GW619" s="405"/>
      <c r="HC619" s="83"/>
      <c r="HK619" s="405"/>
      <c r="HQ619" s="83"/>
      <c r="HY619" s="405"/>
      <c r="IE619" s="83"/>
      <c r="IM619" s="405"/>
      <c r="IS619" s="83"/>
      <c r="JA619" s="405"/>
      <c r="JG619" s="83"/>
      <c r="JO619" s="405"/>
      <c r="JU619" s="83"/>
      <c r="KC619" s="405"/>
      <c r="KI619" s="83"/>
      <c r="KQ619" s="405"/>
      <c r="KW619" s="83"/>
      <c r="LE619" s="405"/>
      <c r="LK619" s="83"/>
      <c r="LS619" s="405"/>
      <c r="LY619" s="83"/>
      <c r="MG619" s="405"/>
      <c r="MM619" s="83"/>
      <c r="MU619" s="405"/>
      <c r="NA619" s="83"/>
    </row>
    <row r="620">
      <c r="A620" s="483"/>
      <c r="B620" s="380"/>
      <c r="C620" s="380"/>
      <c r="D620" s="380"/>
      <c r="E620" s="380"/>
      <c r="F620" s="380"/>
      <c r="G620" s="380"/>
      <c r="H620" s="380"/>
      <c r="I620" s="403"/>
      <c r="J620" s="380"/>
      <c r="K620" s="380"/>
      <c r="L620" s="380"/>
      <c r="M620" s="380"/>
      <c r="N620" s="380"/>
      <c r="O620" s="404"/>
      <c r="P620" s="380"/>
      <c r="Q620" s="380"/>
      <c r="R620" s="380"/>
      <c r="S620" s="380"/>
      <c r="T620" s="380"/>
      <c r="U620" s="380"/>
      <c r="V620" s="380"/>
      <c r="W620" s="403"/>
      <c r="X620" s="380"/>
      <c r="Y620" s="380"/>
      <c r="Z620" s="380"/>
      <c r="AA620" s="380"/>
      <c r="AB620" s="380"/>
      <c r="AC620" s="404"/>
      <c r="AD620" s="380"/>
      <c r="AE620" s="380"/>
      <c r="AF620" s="380"/>
      <c r="AG620" s="380"/>
      <c r="AH620" s="380"/>
      <c r="AI620" s="380"/>
      <c r="AJ620" s="380"/>
      <c r="AK620" s="403"/>
      <c r="AL620" s="380"/>
      <c r="AM620" s="380"/>
      <c r="AN620" s="380"/>
      <c r="AO620" s="380"/>
      <c r="AP620" s="380"/>
      <c r="AQ620" s="404"/>
      <c r="AR620" s="380"/>
      <c r="AS620" s="380"/>
      <c r="AT620" s="380"/>
      <c r="AU620" s="380"/>
      <c r="AV620" s="380"/>
      <c r="AW620" s="380"/>
      <c r="AX620" s="380"/>
      <c r="AY620" s="403"/>
      <c r="AZ620" s="380"/>
      <c r="BA620" s="380"/>
      <c r="BB620" s="380"/>
      <c r="BC620" s="380"/>
      <c r="BD620" s="380"/>
      <c r="BE620" s="404"/>
      <c r="BF620" s="380"/>
      <c r="BG620" s="380"/>
      <c r="BH620" s="380"/>
      <c r="BI620" s="380"/>
      <c r="BJ620" s="380"/>
      <c r="BK620" s="380"/>
      <c r="BL620" s="380"/>
      <c r="BM620" s="403"/>
      <c r="BS620" s="83"/>
      <c r="CA620" s="405"/>
      <c r="CG620" s="83"/>
      <c r="CO620" s="405"/>
      <c r="CU620" s="83"/>
      <c r="DC620" s="405"/>
      <c r="DI620" s="83"/>
      <c r="DQ620" s="405"/>
      <c r="DW620" s="83"/>
      <c r="EE620" s="405"/>
      <c r="EK620" s="83"/>
      <c r="ES620" s="405"/>
      <c r="EY620" s="83"/>
      <c r="FG620" s="405"/>
      <c r="FM620" s="83"/>
      <c r="FU620" s="405"/>
      <c r="GA620" s="83"/>
      <c r="GI620" s="405"/>
      <c r="GO620" s="83"/>
      <c r="GW620" s="405"/>
      <c r="HC620" s="83"/>
      <c r="HK620" s="405"/>
      <c r="HQ620" s="83"/>
      <c r="HY620" s="405"/>
      <c r="IE620" s="83"/>
      <c r="IM620" s="405"/>
      <c r="IS620" s="83"/>
      <c r="JA620" s="405"/>
      <c r="JG620" s="83"/>
      <c r="JO620" s="405"/>
      <c r="JU620" s="83"/>
      <c r="KC620" s="405"/>
      <c r="KI620" s="83"/>
      <c r="KQ620" s="405"/>
      <c r="KW620" s="83"/>
      <c r="LE620" s="405"/>
      <c r="LK620" s="83"/>
      <c r="LS620" s="405"/>
      <c r="LY620" s="83"/>
      <c r="MG620" s="405"/>
      <c r="MM620" s="83"/>
      <c r="MU620" s="405"/>
      <c r="NA620" s="83"/>
    </row>
    <row r="621">
      <c r="A621" s="483"/>
      <c r="B621" s="380"/>
      <c r="C621" s="380"/>
      <c r="D621" s="380"/>
      <c r="E621" s="380"/>
      <c r="F621" s="380"/>
      <c r="G621" s="380"/>
      <c r="H621" s="380"/>
      <c r="I621" s="403"/>
      <c r="J621" s="380"/>
      <c r="K621" s="380"/>
      <c r="L621" s="380"/>
      <c r="M621" s="380"/>
      <c r="N621" s="380"/>
      <c r="O621" s="404"/>
      <c r="P621" s="380"/>
      <c r="Q621" s="380"/>
      <c r="R621" s="380"/>
      <c r="S621" s="380"/>
      <c r="T621" s="380"/>
      <c r="U621" s="380"/>
      <c r="V621" s="380"/>
      <c r="W621" s="403"/>
      <c r="X621" s="380"/>
      <c r="Y621" s="380"/>
      <c r="Z621" s="380"/>
      <c r="AA621" s="380"/>
      <c r="AB621" s="380"/>
      <c r="AC621" s="404"/>
      <c r="AD621" s="380"/>
      <c r="AE621" s="380"/>
      <c r="AF621" s="380"/>
      <c r="AG621" s="380"/>
      <c r="AH621" s="380"/>
      <c r="AI621" s="380"/>
      <c r="AJ621" s="380"/>
      <c r="AK621" s="403"/>
      <c r="AL621" s="380"/>
      <c r="AM621" s="380"/>
      <c r="AN621" s="380"/>
      <c r="AO621" s="380"/>
      <c r="AP621" s="380"/>
      <c r="AQ621" s="404"/>
      <c r="AR621" s="380"/>
      <c r="AS621" s="380"/>
      <c r="AT621" s="380"/>
      <c r="AU621" s="380"/>
      <c r="AV621" s="380"/>
      <c r="AW621" s="380"/>
      <c r="AX621" s="380"/>
      <c r="AY621" s="403"/>
      <c r="AZ621" s="380"/>
      <c r="BA621" s="380"/>
      <c r="BB621" s="380"/>
      <c r="BC621" s="380"/>
      <c r="BD621" s="380"/>
      <c r="BE621" s="404"/>
      <c r="BF621" s="380"/>
      <c r="BG621" s="380"/>
      <c r="BH621" s="380"/>
      <c r="BI621" s="380"/>
      <c r="BJ621" s="380"/>
      <c r="BK621" s="380"/>
      <c r="BL621" s="380"/>
      <c r="BM621" s="403"/>
      <c r="BS621" s="83"/>
      <c r="CA621" s="405"/>
      <c r="CG621" s="83"/>
      <c r="CO621" s="405"/>
      <c r="CU621" s="83"/>
      <c r="DC621" s="405"/>
      <c r="DI621" s="83"/>
      <c r="DQ621" s="405"/>
      <c r="DW621" s="83"/>
      <c r="EE621" s="405"/>
      <c r="EK621" s="83"/>
      <c r="ES621" s="405"/>
      <c r="EY621" s="83"/>
      <c r="FG621" s="405"/>
      <c r="FM621" s="83"/>
      <c r="FU621" s="405"/>
      <c r="GA621" s="83"/>
      <c r="GI621" s="405"/>
      <c r="GO621" s="83"/>
      <c r="GW621" s="405"/>
      <c r="HC621" s="83"/>
      <c r="HK621" s="405"/>
      <c r="HQ621" s="83"/>
      <c r="HY621" s="405"/>
      <c r="IE621" s="83"/>
      <c r="IM621" s="405"/>
      <c r="IS621" s="83"/>
      <c r="JA621" s="405"/>
      <c r="JG621" s="83"/>
      <c r="JO621" s="405"/>
      <c r="JU621" s="83"/>
      <c r="KC621" s="405"/>
      <c r="KI621" s="83"/>
      <c r="KQ621" s="405"/>
      <c r="KW621" s="83"/>
      <c r="LE621" s="405"/>
      <c r="LK621" s="83"/>
      <c r="LS621" s="405"/>
      <c r="LY621" s="83"/>
      <c r="MG621" s="405"/>
      <c r="MM621" s="83"/>
      <c r="MU621" s="405"/>
      <c r="NA621" s="83"/>
    </row>
    <row r="622">
      <c r="A622" s="483"/>
      <c r="B622" s="380"/>
      <c r="C622" s="380"/>
      <c r="D622" s="380"/>
      <c r="E622" s="380"/>
      <c r="F622" s="380"/>
      <c r="G622" s="380"/>
      <c r="H622" s="380"/>
      <c r="I622" s="403"/>
      <c r="J622" s="380"/>
      <c r="K622" s="380"/>
      <c r="L622" s="380"/>
      <c r="M622" s="380"/>
      <c r="N622" s="380"/>
      <c r="O622" s="404"/>
      <c r="P622" s="380"/>
      <c r="Q622" s="380"/>
      <c r="R622" s="380"/>
      <c r="S622" s="380"/>
      <c r="T622" s="380"/>
      <c r="U622" s="380"/>
      <c r="V622" s="380"/>
      <c r="W622" s="403"/>
      <c r="X622" s="380"/>
      <c r="Y622" s="380"/>
      <c r="Z622" s="380"/>
      <c r="AA622" s="380"/>
      <c r="AB622" s="380"/>
      <c r="AC622" s="404"/>
      <c r="AD622" s="380"/>
      <c r="AE622" s="380"/>
      <c r="AF622" s="380"/>
      <c r="AG622" s="380"/>
      <c r="AH622" s="380"/>
      <c r="AI622" s="380"/>
      <c r="AJ622" s="380"/>
      <c r="AK622" s="403"/>
      <c r="AL622" s="380"/>
      <c r="AM622" s="380"/>
      <c r="AN622" s="380"/>
      <c r="AO622" s="380"/>
      <c r="AP622" s="380"/>
      <c r="AQ622" s="404"/>
      <c r="AR622" s="380"/>
      <c r="AS622" s="380"/>
      <c r="AT622" s="380"/>
      <c r="AU622" s="380"/>
      <c r="AV622" s="380"/>
      <c r="AW622" s="380"/>
      <c r="AX622" s="380"/>
      <c r="AY622" s="403"/>
      <c r="AZ622" s="380"/>
      <c r="BA622" s="380"/>
      <c r="BB622" s="380"/>
      <c r="BC622" s="380"/>
      <c r="BD622" s="380"/>
      <c r="BE622" s="404"/>
      <c r="BF622" s="380"/>
      <c r="BG622" s="380"/>
      <c r="BH622" s="380"/>
      <c r="BI622" s="380"/>
      <c r="BJ622" s="380"/>
      <c r="BK622" s="380"/>
      <c r="BL622" s="380"/>
      <c r="BM622" s="403"/>
      <c r="BS622" s="83"/>
      <c r="CA622" s="405"/>
      <c r="CG622" s="83"/>
      <c r="CO622" s="405"/>
      <c r="CU622" s="83"/>
      <c r="DC622" s="405"/>
      <c r="DI622" s="83"/>
      <c r="DQ622" s="405"/>
      <c r="DW622" s="83"/>
      <c r="EE622" s="405"/>
      <c r="EK622" s="83"/>
      <c r="ES622" s="405"/>
      <c r="EY622" s="83"/>
      <c r="FG622" s="405"/>
      <c r="FM622" s="83"/>
      <c r="FU622" s="405"/>
      <c r="GA622" s="83"/>
      <c r="GI622" s="405"/>
      <c r="GO622" s="83"/>
      <c r="GW622" s="405"/>
      <c r="HC622" s="83"/>
      <c r="HK622" s="405"/>
      <c r="HQ622" s="83"/>
      <c r="HY622" s="405"/>
      <c r="IE622" s="83"/>
      <c r="IM622" s="405"/>
      <c r="IS622" s="83"/>
      <c r="JA622" s="405"/>
      <c r="JG622" s="83"/>
      <c r="JO622" s="405"/>
      <c r="JU622" s="83"/>
      <c r="KC622" s="405"/>
      <c r="KI622" s="83"/>
      <c r="KQ622" s="405"/>
      <c r="KW622" s="83"/>
      <c r="LE622" s="405"/>
      <c r="LK622" s="83"/>
      <c r="LS622" s="405"/>
      <c r="LY622" s="83"/>
      <c r="MG622" s="405"/>
      <c r="MM622" s="83"/>
      <c r="MU622" s="405"/>
      <c r="NA622" s="83"/>
    </row>
    <row r="623">
      <c r="A623" s="483"/>
      <c r="B623" s="380"/>
      <c r="C623" s="380"/>
      <c r="D623" s="380"/>
      <c r="E623" s="380"/>
      <c r="F623" s="380"/>
      <c r="G623" s="380"/>
      <c r="H623" s="380"/>
      <c r="I623" s="403"/>
      <c r="J623" s="380"/>
      <c r="K623" s="380"/>
      <c r="L623" s="380"/>
      <c r="M623" s="380"/>
      <c r="N623" s="380"/>
      <c r="O623" s="404"/>
      <c r="P623" s="380"/>
      <c r="Q623" s="380"/>
      <c r="R623" s="380"/>
      <c r="S623" s="380"/>
      <c r="T623" s="380"/>
      <c r="U623" s="380"/>
      <c r="V623" s="380"/>
      <c r="W623" s="403"/>
      <c r="X623" s="380"/>
      <c r="Y623" s="380"/>
      <c r="Z623" s="380"/>
      <c r="AA623" s="380"/>
      <c r="AB623" s="380"/>
      <c r="AC623" s="404"/>
      <c r="AD623" s="380"/>
      <c r="AE623" s="380"/>
      <c r="AF623" s="380"/>
      <c r="AG623" s="380"/>
      <c r="AH623" s="380"/>
      <c r="AI623" s="380"/>
      <c r="AJ623" s="380"/>
      <c r="AK623" s="403"/>
      <c r="AL623" s="380"/>
      <c r="AM623" s="380"/>
      <c r="AN623" s="380"/>
      <c r="AO623" s="380"/>
      <c r="AP623" s="380"/>
      <c r="AQ623" s="404"/>
      <c r="AR623" s="380"/>
      <c r="AS623" s="380"/>
      <c r="AT623" s="380"/>
      <c r="AU623" s="380"/>
      <c r="AV623" s="380"/>
      <c r="AW623" s="380"/>
      <c r="AX623" s="380"/>
      <c r="AY623" s="403"/>
      <c r="AZ623" s="380"/>
      <c r="BA623" s="380"/>
      <c r="BB623" s="380"/>
      <c r="BC623" s="380"/>
      <c r="BD623" s="380"/>
      <c r="BE623" s="404"/>
      <c r="BF623" s="380"/>
      <c r="BG623" s="380"/>
      <c r="BH623" s="380"/>
      <c r="BI623" s="380"/>
      <c r="BJ623" s="380"/>
      <c r="BK623" s="380"/>
      <c r="BL623" s="380"/>
      <c r="BM623" s="403"/>
      <c r="BS623" s="83"/>
      <c r="CA623" s="405"/>
      <c r="CG623" s="83"/>
      <c r="CO623" s="405"/>
      <c r="CU623" s="83"/>
      <c r="DC623" s="405"/>
      <c r="DI623" s="83"/>
      <c r="DQ623" s="405"/>
      <c r="DW623" s="83"/>
      <c r="EE623" s="405"/>
      <c r="EK623" s="83"/>
      <c r="ES623" s="405"/>
      <c r="EY623" s="83"/>
      <c r="FG623" s="405"/>
      <c r="FM623" s="83"/>
      <c r="FU623" s="405"/>
      <c r="GA623" s="83"/>
      <c r="GI623" s="405"/>
      <c r="GO623" s="83"/>
      <c r="GW623" s="405"/>
      <c r="HC623" s="83"/>
      <c r="HK623" s="405"/>
      <c r="HQ623" s="83"/>
      <c r="HY623" s="405"/>
      <c r="IE623" s="83"/>
      <c r="IM623" s="405"/>
      <c r="IS623" s="83"/>
      <c r="JA623" s="405"/>
      <c r="JG623" s="83"/>
      <c r="JO623" s="405"/>
      <c r="JU623" s="83"/>
      <c r="KC623" s="405"/>
      <c r="KI623" s="83"/>
      <c r="KQ623" s="405"/>
      <c r="KW623" s="83"/>
      <c r="LE623" s="405"/>
      <c r="LK623" s="83"/>
      <c r="LS623" s="405"/>
      <c r="LY623" s="83"/>
      <c r="MG623" s="405"/>
      <c r="MM623" s="83"/>
      <c r="MU623" s="405"/>
      <c r="NA623" s="83"/>
    </row>
    <row r="624">
      <c r="A624" s="483"/>
      <c r="B624" s="380"/>
      <c r="C624" s="380"/>
      <c r="D624" s="380"/>
      <c r="E624" s="380"/>
      <c r="F624" s="380"/>
      <c r="G624" s="380"/>
      <c r="H624" s="380"/>
      <c r="I624" s="403"/>
      <c r="J624" s="380"/>
      <c r="K624" s="380"/>
      <c r="L624" s="380"/>
      <c r="M624" s="380"/>
      <c r="N624" s="380"/>
      <c r="O624" s="404"/>
      <c r="P624" s="380"/>
      <c r="Q624" s="380"/>
      <c r="R624" s="380"/>
      <c r="S624" s="380"/>
      <c r="T624" s="380"/>
      <c r="U624" s="380"/>
      <c r="V624" s="380"/>
      <c r="W624" s="403"/>
      <c r="X624" s="380"/>
      <c r="Y624" s="380"/>
      <c r="Z624" s="380"/>
      <c r="AA624" s="380"/>
      <c r="AB624" s="380"/>
      <c r="AC624" s="404"/>
      <c r="AD624" s="380"/>
      <c r="AE624" s="380"/>
      <c r="AF624" s="380"/>
      <c r="AG624" s="380"/>
      <c r="AH624" s="380"/>
      <c r="AI624" s="380"/>
      <c r="AJ624" s="380"/>
      <c r="AK624" s="403"/>
      <c r="AL624" s="380"/>
      <c r="AM624" s="380"/>
      <c r="AN624" s="380"/>
      <c r="AO624" s="380"/>
      <c r="AP624" s="380"/>
      <c r="AQ624" s="404"/>
      <c r="AR624" s="380"/>
      <c r="AS624" s="380"/>
      <c r="AT624" s="380"/>
      <c r="AU624" s="380"/>
      <c r="AV624" s="380"/>
      <c r="AW624" s="380"/>
      <c r="AX624" s="380"/>
      <c r="AY624" s="403"/>
      <c r="AZ624" s="380"/>
      <c r="BA624" s="380"/>
      <c r="BB624" s="380"/>
      <c r="BC624" s="380"/>
      <c r="BD624" s="380"/>
      <c r="BE624" s="404"/>
      <c r="BF624" s="380"/>
      <c r="BG624" s="380"/>
      <c r="BH624" s="380"/>
      <c r="BI624" s="380"/>
      <c r="BJ624" s="380"/>
      <c r="BK624" s="380"/>
      <c r="BL624" s="380"/>
      <c r="BM624" s="403"/>
      <c r="BS624" s="83"/>
      <c r="CA624" s="405"/>
      <c r="CG624" s="83"/>
      <c r="CO624" s="405"/>
      <c r="CU624" s="83"/>
      <c r="DC624" s="405"/>
      <c r="DI624" s="83"/>
      <c r="DQ624" s="405"/>
      <c r="DW624" s="83"/>
      <c r="EE624" s="405"/>
      <c r="EK624" s="83"/>
      <c r="ES624" s="405"/>
      <c r="EY624" s="83"/>
      <c r="FG624" s="405"/>
      <c r="FM624" s="83"/>
      <c r="FU624" s="405"/>
      <c r="GA624" s="83"/>
      <c r="GI624" s="405"/>
      <c r="GO624" s="83"/>
      <c r="GW624" s="405"/>
      <c r="HC624" s="83"/>
      <c r="HK624" s="405"/>
      <c r="HQ624" s="83"/>
      <c r="HY624" s="405"/>
      <c r="IE624" s="83"/>
      <c r="IM624" s="405"/>
      <c r="IS624" s="83"/>
      <c r="JA624" s="405"/>
      <c r="JG624" s="83"/>
      <c r="JO624" s="405"/>
      <c r="JU624" s="83"/>
      <c r="KC624" s="405"/>
      <c r="KI624" s="83"/>
      <c r="KQ624" s="405"/>
      <c r="KW624" s="83"/>
      <c r="LE624" s="405"/>
      <c r="LK624" s="83"/>
      <c r="LS624" s="405"/>
      <c r="LY624" s="83"/>
      <c r="MG624" s="405"/>
      <c r="MM624" s="83"/>
      <c r="MU624" s="405"/>
      <c r="NA624" s="83"/>
    </row>
    <row r="625">
      <c r="A625" s="483"/>
      <c r="B625" s="380"/>
      <c r="C625" s="380"/>
      <c r="D625" s="380"/>
      <c r="E625" s="380"/>
      <c r="F625" s="380"/>
      <c r="G625" s="380"/>
      <c r="H625" s="380"/>
      <c r="I625" s="403"/>
      <c r="J625" s="380"/>
      <c r="K625" s="380"/>
      <c r="L625" s="380"/>
      <c r="M625" s="380"/>
      <c r="N625" s="380"/>
      <c r="O625" s="404"/>
      <c r="P625" s="380"/>
      <c r="Q625" s="380"/>
      <c r="R625" s="380"/>
      <c r="S625" s="380"/>
      <c r="T625" s="380"/>
      <c r="U625" s="380"/>
      <c r="V625" s="380"/>
      <c r="W625" s="403"/>
      <c r="X625" s="380"/>
      <c r="Y625" s="380"/>
      <c r="Z625" s="380"/>
      <c r="AA625" s="380"/>
      <c r="AB625" s="380"/>
      <c r="AC625" s="404"/>
      <c r="AD625" s="380"/>
      <c r="AE625" s="380"/>
      <c r="AF625" s="380"/>
      <c r="AG625" s="380"/>
      <c r="AH625" s="380"/>
      <c r="AI625" s="380"/>
      <c r="AJ625" s="380"/>
      <c r="AK625" s="403"/>
      <c r="AL625" s="380"/>
      <c r="AM625" s="380"/>
      <c r="AN625" s="380"/>
      <c r="AO625" s="380"/>
      <c r="AP625" s="380"/>
      <c r="AQ625" s="404"/>
      <c r="AR625" s="380"/>
      <c r="AS625" s="380"/>
      <c r="AT625" s="380"/>
      <c r="AU625" s="380"/>
      <c r="AV625" s="380"/>
      <c r="AW625" s="380"/>
      <c r="AX625" s="380"/>
      <c r="AY625" s="403"/>
      <c r="AZ625" s="380"/>
      <c r="BA625" s="380"/>
      <c r="BB625" s="380"/>
      <c r="BC625" s="380"/>
      <c r="BD625" s="380"/>
      <c r="BE625" s="404"/>
      <c r="BF625" s="380"/>
      <c r="BG625" s="380"/>
      <c r="BH625" s="380"/>
      <c r="BI625" s="380"/>
      <c r="BJ625" s="380"/>
      <c r="BK625" s="380"/>
      <c r="BL625" s="380"/>
      <c r="BM625" s="403"/>
      <c r="BS625" s="83"/>
      <c r="CA625" s="405"/>
      <c r="CG625" s="83"/>
      <c r="CO625" s="405"/>
      <c r="CU625" s="83"/>
      <c r="DC625" s="405"/>
      <c r="DI625" s="83"/>
      <c r="DQ625" s="405"/>
      <c r="DW625" s="83"/>
      <c r="EE625" s="405"/>
      <c r="EK625" s="83"/>
      <c r="ES625" s="405"/>
      <c r="EY625" s="83"/>
      <c r="FG625" s="405"/>
      <c r="FM625" s="83"/>
      <c r="FU625" s="405"/>
      <c r="GA625" s="83"/>
      <c r="GI625" s="405"/>
      <c r="GO625" s="83"/>
      <c r="GW625" s="405"/>
      <c r="HC625" s="83"/>
      <c r="HK625" s="405"/>
      <c r="HQ625" s="83"/>
      <c r="HY625" s="405"/>
      <c r="IE625" s="83"/>
      <c r="IM625" s="405"/>
      <c r="IS625" s="83"/>
      <c r="JA625" s="405"/>
      <c r="JG625" s="83"/>
      <c r="JO625" s="405"/>
      <c r="JU625" s="83"/>
      <c r="KC625" s="405"/>
      <c r="KI625" s="83"/>
      <c r="KQ625" s="405"/>
      <c r="KW625" s="83"/>
      <c r="LE625" s="405"/>
      <c r="LK625" s="83"/>
      <c r="LS625" s="405"/>
      <c r="LY625" s="83"/>
      <c r="MG625" s="405"/>
      <c r="MM625" s="83"/>
      <c r="MU625" s="405"/>
      <c r="NA625" s="83"/>
    </row>
    <row r="626">
      <c r="A626" s="483"/>
      <c r="B626" s="380"/>
      <c r="C626" s="380"/>
      <c r="D626" s="380"/>
      <c r="E626" s="380"/>
      <c r="F626" s="380"/>
      <c r="G626" s="380"/>
      <c r="H626" s="380"/>
      <c r="I626" s="403"/>
      <c r="J626" s="380"/>
      <c r="K626" s="380"/>
      <c r="L626" s="380"/>
      <c r="M626" s="380"/>
      <c r="N626" s="380"/>
      <c r="O626" s="404"/>
      <c r="P626" s="380"/>
      <c r="Q626" s="380"/>
      <c r="R626" s="380"/>
      <c r="S626" s="380"/>
      <c r="T626" s="380"/>
      <c r="U626" s="380"/>
      <c r="V626" s="380"/>
      <c r="W626" s="403"/>
      <c r="X626" s="380"/>
      <c r="Y626" s="380"/>
      <c r="Z626" s="380"/>
      <c r="AA626" s="380"/>
      <c r="AB626" s="380"/>
      <c r="AC626" s="404"/>
      <c r="AD626" s="380"/>
      <c r="AE626" s="380"/>
      <c r="AF626" s="380"/>
      <c r="AG626" s="380"/>
      <c r="AH626" s="380"/>
      <c r="AI626" s="380"/>
      <c r="AJ626" s="380"/>
      <c r="AK626" s="403"/>
      <c r="AL626" s="380"/>
      <c r="AM626" s="380"/>
      <c r="AN626" s="380"/>
      <c r="AO626" s="380"/>
      <c r="AP626" s="380"/>
      <c r="AQ626" s="404"/>
      <c r="AR626" s="380"/>
      <c r="AS626" s="380"/>
      <c r="AT626" s="380"/>
      <c r="AU626" s="380"/>
      <c r="AV626" s="380"/>
      <c r="AW626" s="380"/>
      <c r="AX626" s="380"/>
      <c r="AY626" s="403"/>
      <c r="AZ626" s="380"/>
      <c r="BA626" s="380"/>
      <c r="BB626" s="380"/>
      <c r="BC626" s="380"/>
      <c r="BD626" s="380"/>
      <c r="BE626" s="404"/>
      <c r="BF626" s="380"/>
      <c r="BG626" s="380"/>
      <c r="BH626" s="380"/>
      <c r="BI626" s="380"/>
      <c r="BJ626" s="380"/>
      <c r="BK626" s="380"/>
      <c r="BL626" s="380"/>
      <c r="BM626" s="403"/>
      <c r="BS626" s="83"/>
      <c r="CA626" s="405"/>
      <c r="CG626" s="83"/>
      <c r="CO626" s="405"/>
      <c r="CU626" s="83"/>
      <c r="DC626" s="405"/>
      <c r="DI626" s="83"/>
      <c r="DQ626" s="405"/>
      <c r="DW626" s="83"/>
      <c r="EE626" s="405"/>
      <c r="EK626" s="83"/>
      <c r="ES626" s="405"/>
      <c r="EY626" s="83"/>
      <c r="FG626" s="405"/>
      <c r="FM626" s="83"/>
      <c r="FU626" s="405"/>
      <c r="GA626" s="83"/>
      <c r="GI626" s="405"/>
      <c r="GO626" s="83"/>
      <c r="GW626" s="405"/>
      <c r="HC626" s="83"/>
      <c r="HK626" s="405"/>
      <c r="HQ626" s="83"/>
      <c r="HY626" s="405"/>
      <c r="IE626" s="83"/>
      <c r="IM626" s="405"/>
      <c r="IS626" s="83"/>
      <c r="JA626" s="405"/>
      <c r="JG626" s="83"/>
      <c r="JO626" s="405"/>
      <c r="JU626" s="83"/>
      <c r="KC626" s="405"/>
      <c r="KI626" s="83"/>
      <c r="KQ626" s="405"/>
      <c r="KW626" s="83"/>
      <c r="LE626" s="405"/>
      <c r="LK626" s="83"/>
      <c r="LS626" s="405"/>
      <c r="LY626" s="83"/>
      <c r="MG626" s="405"/>
      <c r="MM626" s="83"/>
      <c r="MU626" s="405"/>
      <c r="NA626" s="83"/>
    </row>
    <row r="627">
      <c r="A627" s="483"/>
      <c r="B627" s="380"/>
      <c r="C627" s="380"/>
      <c r="D627" s="380"/>
      <c r="E627" s="380"/>
      <c r="F627" s="380"/>
      <c r="G627" s="380"/>
      <c r="H627" s="380"/>
      <c r="I627" s="403"/>
      <c r="J627" s="380"/>
      <c r="K627" s="380"/>
      <c r="L627" s="380"/>
      <c r="M627" s="380"/>
      <c r="N627" s="380"/>
      <c r="O627" s="404"/>
      <c r="P627" s="380"/>
      <c r="Q627" s="380"/>
      <c r="R627" s="380"/>
      <c r="S627" s="380"/>
      <c r="T627" s="380"/>
      <c r="U627" s="380"/>
      <c r="V627" s="380"/>
      <c r="W627" s="403"/>
      <c r="X627" s="380"/>
      <c r="Y627" s="380"/>
      <c r="Z627" s="380"/>
      <c r="AA627" s="380"/>
      <c r="AB627" s="380"/>
      <c r="AC627" s="404"/>
      <c r="AD627" s="380"/>
      <c r="AE627" s="380"/>
      <c r="AF627" s="380"/>
      <c r="AG627" s="380"/>
      <c r="AH627" s="380"/>
      <c r="AI627" s="380"/>
      <c r="AJ627" s="380"/>
      <c r="AK627" s="403"/>
      <c r="AL627" s="380"/>
      <c r="AM627" s="380"/>
      <c r="AN627" s="380"/>
      <c r="AO627" s="380"/>
      <c r="AP627" s="380"/>
      <c r="AQ627" s="404"/>
      <c r="AR627" s="380"/>
      <c r="AS627" s="380"/>
      <c r="AT627" s="380"/>
      <c r="AU627" s="380"/>
      <c r="AV627" s="380"/>
      <c r="AW627" s="380"/>
      <c r="AX627" s="380"/>
      <c r="AY627" s="403"/>
      <c r="AZ627" s="380"/>
      <c r="BA627" s="380"/>
      <c r="BB627" s="380"/>
      <c r="BC627" s="380"/>
      <c r="BD627" s="380"/>
      <c r="BE627" s="404"/>
      <c r="BF627" s="380"/>
      <c r="BG627" s="380"/>
      <c r="BH627" s="380"/>
      <c r="BI627" s="380"/>
      <c r="BJ627" s="380"/>
      <c r="BK627" s="380"/>
      <c r="BL627" s="380"/>
      <c r="BM627" s="403"/>
      <c r="BS627" s="83"/>
      <c r="CA627" s="405"/>
      <c r="CG627" s="83"/>
      <c r="CO627" s="405"/>
      <c r="CU627" s="83"/>
      <c r="DC627" s="405"/>
      <c r="DI627" s="83"/>
      <c r="DQ627" s="405"/>
      <c r="DW627" s="83"/>
      <c r="EE627" s="405"/>
      <c r="EK627" s="83"/>
      <c r="ES627" s="405"/>
      <c r="EY627" s="83"/>
      <c r="FG627" s="405"/>
      <c r="FM627" s="83"/>
      <c r="FU627" s="405"/>
      <c r="GA627" s="83"/>
      <c r="GI627" s="405"/>
      <c r="GO627" s="83"/>
      <c r="GW627" s="405"/>
      <c r="HC627" s="83"/>
      <c r="HK627" s="405"/>
      <c r="HQ627" s="83"/>
      <c r="HY627" s="405"/>
      <c r="IE627" s="83"/>
      <c r="IM627" s="405"/>
      <c r="IS627" s="83"/>
      <c r="JA627" s="405"/>
      <c r="JG627" s="83"/>
      <c r="JO627" s="405"/>
      <c r="JU627" s="83"/>
      <c r="KC627" s="405"/>
      <c r="KI627" s="83"/>
      <c r="KQ627" s="405"/>
      <c r="KW627" s="83"/>
      <c r="LE627" s="405"/>
      <c r="LK627" s="83"/>
      <c r="LS627" s="405"/>
      <c r="LY627" s="83"/>
      <c r="MG627" s="405"/>
      <c r="MM627" s="83"/>
      <c r="MU627" s="405"/>
      <c r="NA627" s="83"/>
    </row>
    <row r="628">
      <c r="A628" s="483"/>
      <c r="B628" s="380"/>
      <c r="C628" s="380"/>
      <c r="D628" s="380"/>
      <c r="E628" s="380"/>
      <c r="F628" s="380"/>
      <c r="G628" s="380"/>
      <c r="H628" s="380"/>
      <c r="I628" s="403"/>
      <c r="J628" s="380"/>
      <c r="K628" s="380"/>
      <c r="L628" s="380"/>
      <c r="M628" s="380"/>
      <c r="N628" s="380"/>
      <c r="O628" s="404"/>
      <c r="P628" s="380"/>
      <c r="Q628" s="380"/>
      <c r="R628" s="380"/>
      <c r="S628" s="380"/>
      <c r="T628" s="380"/>
      <c r="U628" s="380"/>
      <c r="V628" s="380"/>
      <c r="W628" s="403"/>
      <c r="X628" s="380"/>
      <c r="Y628" s="380"/>
      <c r="Z628" s="380"/>
      <c r="AA628" s="380"/>
      <c r="AB628" s="380"/>
      <c r="AC628" s="404"/>
      <c r="AD628" s="380"/>
      <c r="AE628" s="380"/>
      <c r="AF628" s="380"/>
      <c r="AG628" s="380"/>
      <c r="AH628" s="380"/>
      <c r="AI628" s="380"/>
      <c r="AJ628" s="380"/>
      <c r="AK628" s="403"/>
      <c r="AL628" s="380"/>
      <c r="AM628" s="380"/>
      <c r="AN628" s="380"/>
      <c r="AO628" s="380"/>
      <c r="AP628" s="380"/>
      <c r="AQ628" s="404"/>
      <c r="AR628" s="380"/>
      <c r="AS628" s="380"/>
      <c r="AT628" s="380"/>
      <c r="AU628" s="380"/>
      <c r="AV628" s="380"/>
      <c r="AW628" s="380"/>
      <c r="AX628" s="380"/>
      <c r="AY628" s="403"/>
      <c r="AZ628" s="380"/>
      <c r="BA628" s="380"/>
      <c r="BB628" s="380"/>
      <c r="BC628" s="380"/>
      <c r="BD628" s="380"/>
      <c r="BE628" s="404"/>
      <c r="BF628" s="380"/>
      <c r="BG628" s="380"/>
      <c r="BH628" s="380"/>
      <c r="BI628" s="380"/>
      <c r="BJ628" s="380"/>
      <c r="BK628" s="380"/>
      <c r="BL628" s="380"/>
      <c r="BM628" s="403"/>
      <c r="BS628" s="83"/>
      <c r="CA628" s="405"/>
      <c r="CG628" s="83"/>
      <c r="CO628" s="405"/>
      <c r="CU628" s="83"/>
      <c r="DC628" s="405"/>
      <c r="DI628" s="83"/>
      <c r="DQ628" s="405"/>
      <c r="DW628" s="83"/>
      <c r="EE628" s="405"/>
      <c r="EK628" s="83"/>
      <c r="ES628" s="405"/>
      <c r="EY628" s="83"/>
      <c r="FG628" s="405"/>
      <c r="FM628" s="83"/>
      <c r="FU628" s="405"/>
      <c r="GA628" s="83"/>
      <c r="GI628" s="405"/>
      <c r="GO628" s="83"/>
      <c r="GW628" s="405"/>
      <c r="HC628" s="83"/>
      <c r="HK628" s="405"/>
      <c r="HQ628" s="83"/>
      <c r="HY628" s="405"/>
      <c r="IE628" s="83"/>
      <c r="IM628" s="405"/>
      <c r="IS628" s="83"/>
      <c r="JA628" s="405"/>
      <c r="JG628" s="83"/>
      <c r="JO628" s="405"/>
      <c r="JU628" s="83"/>
      <c r="KC628" s="405"/>
      <c r="KI628" s="83"/>
      <c r="KQ628" s="405"/>
      <c r="KW628" s="83"/>
      <c r="LE628" s="405"/>
      <c r="LK628" s="83"/>
      <c r="LS628" s="405"/>
      <c r="LY628" s="83"/>
      <c r="MG628" s="405"/>
      <c r="MM628" s="83"/>
      <c r="MU628" s="405"/>
      <c r="NA628" s="83"/>
    </row>
    <row r="629">
      <c r="A629" s="483"/>
      <c r="B629" s="380"/>
      <c r="C629" s="380"/>
      <c r="D629" s="380"/>
      <c r="E629" s="380"/>
      <c r="F629" s="380"/>
      <c r="G629" s="380"/>
      <c r="H629" s="380"/>
      <c r="I629" s="403"/>
      <c r="J629" s="380"/>
      <c r="K629" s="380"/>
      <c r="L629" s="380"/>
      <c r="M629" s="380"/>
      <c r="N629" s="380"/>
      <c r="O629" s="404"/>
      <c r="P629" s="380"/>
      <c r="Q629" s="380"/>
      <c r="R629" s="380"/>
      <c r="S629" s="380"/>
      <c r="T629" s="380"/>
      <c r="U629" s="380"/>
      <c r="V629" s="380"/>
      <c r="W629" s="403"/>
      <c r="X629" s="380"/>
      <c r="Y629" s="380"/>
      <c r="Z629" s="380"/>
      <c r="AA629" s="380"/>
      <c r="AB629" s="380"/>
      <c r="AC629" s="404"/>
      <c r="AD629" s="380"/>
      <c r="AE629" s="380"/>
      <c r="AF629" s="380"/>
      <c r="AG629" s="380"/>
      <c r="AH629" s="380"/>
      <c r="AI629" s="380"/>
      <c r="AJ629" s="380"/>
      <c r="AK629" s="403"/>
      <c r="AL629" s="380"/>
      <c r="AM629" s="380"/>
      <c r="AN629" s="380"/>
      <c r="AO629" s="380"/>
      <c r="AP629" s="380"/>
      <c r="AQ629" s="404"/>
      <c r="AR629" s="380"/>
      <c r="AS629" s="380"/>
      <c r="AT629" s="380"/>
      <c r="AU629" s="380"/>
      <c r="AV629" s="380"/>
      <c r="AW629" s="380"/>
      <c r="AX629" s="380"/>
      <c r="AY629" s="403"/>
      <c r="AZ629" s="380"/>
      <c r="BA629" s="380"/>
      <c r="BB629" s="380"/>
      <c r="BC629" s="380"/>
      <c r="BD629" s="380"/>
      <c r="BE629" s="404"/>
      <c r="BF629" s="380"/>
      <c r="BG629" s="380"/>
      <c r="BH629" s="380"/>
      <c r="BI629" s="380"/>
      <c r="BJ629" s="380"/>
      <c r="BK629" s="380"/>
      <c r="BL629" s="380"/>
      <c r="BM629" s="403"/>
      <c r="BS629" s="83"/>
      <c r="CA629" s="405"/>
      <c r="CG629" s="83"/>
      <c r="CO629" s="405"/>
      <c r="CU629" s="83"/>
      <c r="DC629" s="405"/>
      <c r="DI629" s="83"/>
      <c r="DQ629" s="405"/>
      <c r="DW629" s="83"/>
      <c r="EE629" s="405"/>
      <c r="EK629" s="83"/>
      <c r="ES629" s="405"/>
      <c r="EY629" s="83"/>
      <c r="FG629" s="405"/>
      <c r="FM629" s="83"/>
      <c r="FU629" s="405"/>
      <c r="GA629" s="83"/>
      <c r="GI629" s="405"/>
      <c r="GO629" s="83"/>
      <c r="GW629" s="405"/>
      <c r="HC629" s="83"/>
      <c r="HK629" s="405"/>
      <c r="HQ629" s="83"/>
      <c r="HY629" s="405"/>
      <c r="IE629" s="83"/>
      <c r="IM629" s="405"/>
      <c r="IS629" s="83"/>
      <c r="JA629" s="405"/>
      <c r="JG629" s="83"/>
      <c r="JO629" s="405"/>
      <c r="JU629" s="83"/>
      <c r="KC629" s="405"/>
      <c r="KI629" s="83"/>
      <c r="KQ629" s="405"/>
      <c r="KW629" s="83"/>
      <c r="LE629" s="405"/>
      <c r="LK629" s="83"/>
      <c r="LS629" s="405"/>
      <c r="LY629" s="83"/>
      <c r="MG629" s="405"/>
      <c r="MM629" s="83"/>
      <c r="MU629" s="405"/>
      <c r="NA629" s="83"/>
    </row>
    <row r="630">
      <c r="A630" s="483"/>
      <c r="B630" s="380"/>
      <c r="C630" s="380"/>
      <c r="D630" s="380"/>
      <c r="E630" s="380"/>
      <c r="F630" s="380"/>
      <c r="G630" s="380"/>
      <c r="H630" s="380"/>
      <c r="I630" s="403"/>
      <c r="J630" s="380"/>
      <c r="K630" s="380"/>
      <c r="L630" s="380"/>
      <c r="M630" s="380"/>
      <c r="N630" s="380"/>
      <c r="O630" s="404"/>
      <c r="P630" s="380"/>
      <c r="Q630" s="380"/>
      <c r="R630" s="380"/>
      <c r="S630" s="380"/>
      <c r="T630" s="380"/>
      <c r="U630" s="380"/>
      <c r="V630" s="380"/>
      <c r="W630" s="403"/>
      <c r="X630" s="380"/>
      <c r="Y630" s="380"/>
      <c r="Z630" s="380"/>
      <c r="AA630" s="380"/>
      <c r="AB630" s="380"/>
      <c r="AC630" s="404"/>
      <c r="AD630" s="380"/>
      <c r="AE630" s="380"/>
      <c r="AF630" s="380"/>
      <c r="AG630" s="380"/>
      <c r="AH630" s="380"/>
      <c r="AI630" s="380"/>
      <c r="AJ630" s="380"/>
      <c r="AK630" s="403"/>
      <c r="AL630" s="380"/>
      <c r="AM630" s="380"/>
      <c r="AN630" s="380"/>
      <c r="AO630" s="380"/>
      <c r="AP630" s="380"/>
      <c r="AQ630" s="404"/>
      <c r="AR630" s="380"/>
      <c r="AS630" s="380"/>
      <c r="AT630" s="380"/>
      <c r="AU630" s="380"/>
      <c r="AV630" s="380"/>
      <c r="AW630" s="380"/>
      <c r="AX630" s="380"/>
      <c r="AY630" s="403"/>
      <c r="AZ630" s="380"/>
      <c r="BA630" s="380"/>
      <c r="BB630" s="380"/>
      <c r="BC630" s="380"/>
      <c r="BD630" s="380"/>
      <c r="BE630" s="404"/>
      <c r="BF630" s="380"/>
      <c r="BG630" s="380"/>
      <c r="BH630" s="380"/>
      <c r="BI630" s="380"/>
      <c r="BJ630" s="380"/>
      <c r="BK630" s="380"/>
      <c r="BL630" s="380"/>
      <c r="BM630" s="403"/>
      <c r="BS630" s="83"/>
      <c r="CA630" s="405"/>
      <c r="CG630" s="83"/>
      <c r="CO630" s="405"/>
      <c r="CU630" s="83"/>
      <c r="DC630" s="405"/>
      <c r="DI630" s="83"/>
      <c r="DQ630" s="405"/>
      <c r="DW630" s="83"/>
      <c r="EE630" s="405"/>
      <c r="EK630" s="83"/>
      <c r="ES630" s="405"/>
      <c r="EY630" s="83"/>
      <c r="FG630" s="405"/>
      <c r="FM630" s="83"/>
      <c r="FU630" s="405"/>
      <c r="GA630" s="83"/>
      <c r="GI630" s="405"/>
      <c r="GO630" s="83"/>
      <c r="GW630" s="405"/>
      <c r="HC630" s="83"/>
      <c r="HK630" s="405"/>
      <c r="HQ630" s="83"/>
      <c r="HY630" s="405"/>
      <c r="IE630" s="83"/>
      <c r="IM630" s="405"/>
      <c r="IS630" s="83"/>
      <c r="JA630" s="405"/>
      <c r="JG630" s="83"/>
      <c r="JO630" s="405"/>
      <c r="JU630" s="83"/>
      <c r="KC630" s="405"/>
      <c r="KI630" s="83"/>
      <c r="KQ630" s="405"/>
      <c r="KW630" s="83"/>
      <c r="LE630" s="405"/>
      <c r="LK630" s="83"/>
      <c r="LS630" s="405"/>
      <c r="LY630" s="83"/>
      <c r="MG630" s="405"/>
      <c r="MM630" s="83"/>
      <c r="MU630" s="405"/>
      <c r="NA630" s="83"/>
    </row>
    <row r="631">
      <c r="A631" s="483"/>
      <c r="B631" s="380"/>
      <c r="C631" s="380"/>
      <c r="D631" s="380"/>
      <c r="E631" s="380"/>
      <c r="F631" s="380"/>
      <c r="G631" s="380"/>
      <c r="H631" s="380"/>
      <c r="I631" s="403"/>
      <c r="J631" s="380"/>
      <c r="K631" s="380"/>
      <c r="L631" s="380"/>
      <c r="M631" s="380"/>
      <c r="N631" s="380"/>
      <c r="O631" s="404"/>
      <c r="P631" s="380"/>
      <c r="Q631" s="380"/>
      <c r="R631" s="380"/>
      <c r="S631" s="380"/>
      <c r="T631" s="380"/>
      <c r="U631" s="380"/>
      <c r="V631" s="380"/>
      <c r="W631" s="403"/>
      <c r="X631" s="380"/>
      <c r="Y631" s="380"/>
      <c r="Z631" s="380"/>
      <c r="AA631" s="380"/>
      <c r="AB631" s="380"/>
      <c r="AC631" s="404"/>
      <c r="AD631" s="380"/>
      <c r="AE631" s="380"/>
      <c r="AF631" s="380"/>
      <c r="AG631" s="380"/>
      <c r="AH631" s="380"/>
      <c r="AI631" s="380"/>
      <c r="AJ631" s="380"/>
      <c r="AK631" s="403"/>
      <c r="AL631" s="380"/>
      <c r="AM631" s="380"/>
      <c r="AN631" s="380"/>
      <c r="AO631" s="380"/>
      <c r="AP631" s="380"/>
      <c r="AQ631" s="404"/>
      <c r="AR631" s="380"/>
      <c r="AS631" s="380"/>
      <c r="AT631" s="380"/>
      <c r="AU631" s="380"/>
      <c r="AV631" s="380"/>
      <c r="AW631" s="380"/>
      <c r="AX631" s="380"/>
      <c r="AY631" s="403"/>
      <c r="AZ631" s="380"/>
      <c r="BA631" s="380"/>
      <c r="BB631" s="380"/>
      <c r="BC631" s="380"/>
      <c r="BD631" s="380"/>
      <c r="BE631" s="404"/>
      <c r="BF631" s="380"/>
      <c r="BG631" s="380"/>
      <c r="BH631" s="380"/>
      <c r="BI631" s="380"/>
      <c r="BJ631" s="380"/>
      <c r="BK631" s="380"/>
      <c r="BL631" s="380"/>
      <c r="BM631" s="403"/>
      <c r="BS631" s="83"/>
      <c r="CA631" s="405"/>
      <c r="CG631" s="83"/>
      <c r="CO631" s="405"/>
      <c r="CU631" s="83"/>
      <c r="DC631" s="405"/>
      <c r="DI631" s="83"/>
      <c r="DQ631" s="405"/>
      <c r="DW631" s="83"/>
      <c r="EE631" s="405"/>
      <c r="EK631" s="83"/>
      <c r="ES631" s="405"/>
      <c r="EY631" s="83"/>
      <c r="FG631" s="405"/>
      <c r="FM631" s="83"/>
      <c r="FU631" s="405"/>
      <c r="GA631" s="83"/>
      <c r="GI631" s="405"/>
      <c r="GO631" s="83"/>
      <c r="GW631" s="405"/>
      <c r="HC631" s="83"/>
      <c r="HK631" s="405"/>
      <c r="HQ631" s="83"/>
      <c r="HY631" s="405"/>
      <c r="IE631" s="83"/>
      <c r="IM631" s="405"/>
      <c r="IS631" s="83"/>
      <c r="JA631" s="405"/>
      <c r="JG631" s="83"/>
      <c r="JO631" s="405"/>
      <c r="JU631" s="83"/>
      <c r="KC631" s="405"/>
      <c r="KI631" s="83"/>
      <c r="KQ631" s="405"/>
      <c r="KW631" s="83"/>
      <c r="LE631" s="405"/>
      <c r="LK631" s="83"/>
      <c r="LS631" s="405"/>
      <c r="LY631" s="83"/>
      <c r="MG631" s="405"/>
      <c r="MM631" s="83"/>
      <c r="MU631" s="405"/>
      <c r="NA631" s="83"/>
    </row>
    <row r="632">
      <c r="A632" s="483"/>
      <c r="B632" s="380"/>
      <c r="C632" s="380"/>
      <c r="D632" s="380"/>
      <c r="E632" s="380"/>
      <c r="F632" s="380"/>
      <c r="G632" s="380"/>
      <c r="H632" s="380"/>
      <c r="I632" s="403"/>
      <c r="J632" s="380"/>
      <c r="K632" s="380"/>
      <c r="L632" s="380"/>
      <c r="M632" s="380"/>
      <c r="N632" s="380"/>
      <c r="O632" s="404"/>
      <c r="P632" s="380"/>
      <c r="Q632" s="380"/>
      <c r="R632" s="380"/>
      <c r="S632" s="380"/>
      <c r="T632" s="380"/>
      <c r="U632" s="380"/>
      <c r="V632" s="380"/>
      <c r="W632" s="403"/>
      <c r="X632" s="380"/>
      <c r="Y632" s="380"/>
      <c r="Z632" s="380"/>
      <c r="AA632" s="380"/>
      <c r="AB632" s="380"/>
      <c r="AC632" s="404"/>
      <c r="AD632" s="380"/>
      <c r="AE632" s="380"/>
      <c r="AF632" s="380"/>
      <c r="AG632" s="380"/>
      <c r="AH632" s="380"/>
      <c r="AI632" s="380"/>
      <c r="AJ632" s="380"/>
      <c r="AK632" s="403"/>
      <c r="AL632" s="380"/>
      <c r="AM632" s="380"/>
      <c r="AN632" s="380"/>
      <c r="AO632" s="380"/>
      <c r="AP632" s="380"/>
      <c r="AQ632" s="404"/>
      <c r="AR632" s="380"/>
      <c r="AS632" s="380"/>
      <c r="AT632" s="380"/>
      <c r="AU632" s="380"/>
      <c r="AV632" s="380"/>
      <c r="AW632" s="380"/>
      <c r="AX632" s="380"/>
      <c r="AY632" s="403"/>
      <c r="AZ632" s="380"/>
      <c r="BA632" s="380"/>
      <c r="BB632" s="380"/>
      <c r="BC632" s="380"/>
      <c r="BD632" s="380"/>
      <c r="BE632" s="404"/>
      <c r="BF632" s="380"/>
      <c r="BG632" s="380"/>
      <c r="BH632" s="380"/>
      <c r="BI632" s="380"/>
      <c r="BJ632" s="380"/>
      <c r="BK632" s="380"/>
      <c r="BL632" s="380"/>
      <c r="BM632" s="403"/>
      <c r="BS632" s="83"/>
      <c r="CA632" s="405"/>
      <c r="CG632" s="83"/>
      <c r="CO632" s="405"/>
      <c r="CU632" s="83"/>
      <c r="DC632" s="405"/>
      <c r="DI632" s="83"/>
      <c r="DQ632" s="405"/>
      <c r="DW632" s="83"/>
      <c r="EE632" s="405"/>
      <c r="EK632" s="83"/>
      <c r="ES632" s="405"/>
      <c r="EY632" s="83"/>
      <c r="FG632" s="405"/>
      <c r="FM632" s="83"/>
      <c r="FU632" s="405"/>
      <c r="GA632" s="83"/>
      <c r="GI632" s="405"/>
      <c r="GO632" s="83"/>
      <c r="GW632" s="405"/>
      <c r="HC632" s="83"/>
      <c r="HK632" s="405"/>
      <c r="HQ632" s="83"/>
      <c r="HY632" s="405"/>
      <c r="IE632" s="83"/>
      <c r="IM632" s="405"/>
      <c r="IS632" s="83"/>
      <c r="JA632" s="405"/>
      <c r="JG632" s="83"/>
      <c r="JO632" s="405"/>
      <c r="JU632" s="83"/>
      <c r="KC632" s="405"/>
      <c r="KI632" s="83"/>
      <c r="KQ632" s="405"/>
      <c r="KW632" s="83"/>
      <c r="LE632" s="405"/>
      <c r="LK632" s="83"/>
      <c r="LS632" s="405"/>
      <c r="LY632" s="83"/>
      <c r="MG632" s="405"/>
      <c r="MM632" s="83"/>
      <c r="MU632" s="405"/>
      <c r="NA632" s="83"/>
    </row>
    <row r="633">
      <c r="A633" s="483"/>
      <c r="B633" s="380"/>
      <c r="C633" s="380"/>
      <c r="D633" s="380"/>
      <c r="E633" s="380"/>
      <c r="F633" s="380"/>
      <c r="G633" s="380"/>
      <c r="H633" s="380"/>
      <c r="I633" s="403"/>
      <c r="J633" s="380"/>
      <c r="K633" s="380"/>
      <c r="L633" s="380"/>
      <c r="M633" s="380"/>
      <c r="N633" s="380"/>
      <c r="O633" s="404"/>
      <c r="P633" s="380"/>
      <c r="Q633" s="380"/>
      <c r="R633" s="380"/>
      <c r="S633" s="380"/>
      <c r="T633" s="380"/>
      <c r="U633" s="380"/>
      <c r="V633" s="380"/>
      <c r="W633" s="403"/>
      <c r="X633" s="380"/>
      <c r="Y633" s="380"/>
      <c r="Z633" s="380"/>
      <c r="AA633" s="380"/>
      <c r="AB633" s="380"/>
      <c r="AC633" s="404"/>
      <c r="AD633" s="380"/>
      <c r="AE633" s="380"/>
      <c r="AF633" s="380"/>
      <c r="AG633" s="380"/>
      <c r="AH633" s="380"/>
      <c r="AI633" s="380"/>
      <c r="AJ633" s="380"/>
      <c r="AK633" s="403"/>
      <c r="AL633" s="380"/>
      <c r="AM633" s="380"/>
      <c r="AN633" s="380"/>
      <c r="AO633" s="380"/>
      <c r="AP633" s="380"/>
      <c r="AQ633" s="404"/>
      <c r="AR633" s="380"/>
      <c r="AS633" s="380"/>
      <c r="AT633" s="380"/>
      <c r="AU633" s="380"/>
      <c r="AV633" s="380"/>
      <c r="AW633" s="380"/>
      <c r="AX633" s="380"/>
      <c r="AY633" s="403"/>
      <c r="AZ633" s="380"/>
      <c r="BA633" s="380"/>
      <c r="BB633" s="380"/>
      <c r="BC633" s="380"/>
      <c r="BD633" s="380"/>
      <c r="BE633" s="404"/>
      <c r="BF633" s="380"/>
      <c r="BG633" s="380"/>
      <c r="BH633" s="380"/>
      <c r="BI633" s="380"/>
      <c r="BJ633" s="380"/>
      <c r="BK633" s="380"/>
      <c r="BL633" s="380"/>
      <c r="BM633" s="403"/>
      <c r="BS633" s="83"/>
      <c r="CA633" s="405"/>
      <c r="CG633" s="83"/>
      <c r="CO633" s="405"/>
      <c r="CU633" s="83"/>
      <c r="DC633" s="405"/>
      <c r="DI633" s="83"/>
      <c r="DQ633" s="405"/>
      <c r="DW633" s="83"/>
      <c r="EE633" s="405"/>
      <c r="EK633" s="83"/>
      <c r="ES633" s="405"/>
      <c r="EY633" s="83"/>
      <c r="FG633" s="405"/>
      <c r="FM633" s="83"/>
      <c r="FU633" s="405"/>
      <c r="GA633" s="83"/>
      <c r="GI633" s="405"/>
      <c r="GO633" s="83"/>
      <c r="GW633" s="405"/>
      <c r="HC633" s="83"/>
      <c r="HK633" s="405"/>
      <c r="HQ633" s="83"/>
      <c r="HY633" s="405"/>
      <c r="IE633" s="83"/>
      <c r="IM633" s="405"/>
      <c r="IS633" s="83"/>
      <c r="JA633" s="405"/>
      <c r="JG633" s="83"/>
      <c r="JO633" s="405"/>
      <c r="JU633" s="83"/>
      <c r="KC633" s="405"/>
      <c r="KI633" s="83"/>
      <c r="KQ633" s="405"/>
      <c r="KW633" s="83"/>
      <c r="LE633" s="405"/>
      <c r="LK633" s="83"/>
      <c r="LS633" s="405"/>
      <c r="LY633" s="83"/>
      <c r="MG633" s="405"/>
      <c r="MM633" s="83"/>
      <c r="MU633" s="405"/>
      <c r="NA633" s="83"/>
    </row>
    <row r="634">
      <c r="A634" s="483"/>
      <c r="B634" s="380"/>
      <c r="C634" s="380"/>
      <c r="D634" s="380"/>
      <c r="E634" s="380"/>
      <c r="F634" s="380"/>
      <c r="G634" s="380"/>
      <c r="H634" s="380"/>
      <c r="I634" s="403"/>
      <c r="J634" s="380"/>
      <c r="K634" s="380"/>
      <c r="L634" s="380"/>
      <c r="M634" s="380"/>
      <c r="N634" s="380"/>
      <c r="O634" s="404"/>
      <c r="P634" s="380"/>
      <c r="Q634" s="380"/>
      <c r="R634" s="380"/>
      <c r="S634" s="380"/>
      <c r="T634" s="380"/>
      <c r="U634" s="380"/>
      <c r="V634" s="380"/>
      <c r="W634" s="403"/>
      <c r="X634" s="380"/>
      <c r="Y634" s="380"/>
      <c r="Z634" s="380"/>
      <c r="AA634" s="380"/>
      <c r="AB634" s="380"/>
      <c r="AC634" s="404"/>
      <c r="AD634" s="380"/>
      <c r="AE634" s="380"/>
      <c r="AF634" s="380"/>
      <c r="AG634" s="380"/>
      <c r="AH634" s="380"/>
      <c r="AI634" s="380"/>
      <c r="AJ634" s="380"/>
      <c r="AK634" s="403"/>
      <c r="AL634" s="380"/>
      <c r="AM634" s="380"/>
      <c r="AN634" s="380"/>
      <c r="AO634" s="380"/>
      <c r="AP634" s="380"/>
      <c r="AQ634" s="404"/>
      <c r="AR634" s="380"/>
      <c r="AS634" s="380"/>
      <c r="AT634" s="380"/>
      <c r="AU634" s="380"/>
      <c r="AV634" s="380"/>
      <c r="AW634" s="380"/>
      <c r="AX634" s="380"/>
      <c r="AY634" s="403"/>
      <c r="AZ634" s="380"/>
      <c r="BA634" s="380"/>
      <c r="BB634" s="380"/>
      <c r="BC634" s="380"/>
      <c r="BD634" s="380"/>
      <c r="BE634" s="404"/>
      <c r="BF634" s="380"/>
      <c r="BG634" s="380"/>
      <c r="BH634" s="380"/>
      <c r="BI634" s="380"/>
      <c r="BJ634" s="380"/>
      <c r="BK634" s="380"/>
      <c r="BL634" s="380"/>
      <c r="BM634" s="403"/>
      <c r="BS634" s="83"/>
      <c r="CA634" s="405"/>
      <c r="CG634" s="83"/>
      <c r="CO634" s="405"/>
      <c r="CU634" s="83"/>
      <c r="DC634" s="405"/>
      <c r="DI634" s="83"/>
      <c r="DQ634" s="405"/>
      <c r="DW634" s="83"/>
      <c r="EE634" s="405"/>
      <c r="EK634" s="83"/>
      <c r="ES634" s="405"/>
      <c r="EY634" s="83"/>
      <c r="FG634" s="405"/>
      <c r="FM634" s="83"/>
      <c r="FU634" s="405"/>
      <c r="GA634" s="83"/>
      <c r="GI634" s="405"/>
      <c r="GO634" s="83"/>
      <c r="GW634" s="405"/>
      <c r="HC634" s="83"/>
      <c r="HK634" s="405"/>
      <c r="HQ634" s="83"/>
      <c r="HY634" s="405"/>
      <c r="IE634" s="83"/>
      <c r="IM634" s="405"/>
      <c r="IS634" s="83"/>
      <c r="JA634" s="405"/>
      <c r="JG634" s="83"/>
      <c r="JO634" s="405"/>
      <c r="JU634" s="83"/>
      <c r="KC634" s="405"/>
      <c r="KI634" s="83"/>
      <c r="KQ634" s="405"/>
      <c r="KW634" s="83"/>
      <c r="LE634" s="405"/>
      <c r="LK634" s="83"/>
      <c r="LS634" s="405"/>
      <c r="LY634" s="83"/>
      <c r="MG634" s="405"/>
      <c r="MM634" s="83"/>
      <c r="MU634" s="405"/>
      <c r="NA634" s="83"/>
    </row>
    <row r="635">
      <c r="A635" s="483"/>
      <c r="B635" s="380"/>
      <c r="C635" s="380"/>
      <c r="D635" s="380"/>
      <c r="E635" s="380"/>
      <c r="F635" s="380"/>
      <c r="G635" s="380"/>
      <c r="H635" s="380"/>
      <c r="I635" s="403"/>
      <c r="J635" s="380"/>
      <c r="K635" s="380"/>
      <c r="L635" s="380"/>
      <c r="M635" s="380"/>
      <c r="N635" s="380"/>
      <c r="O635" s="404"/>
      <c r="P635" s="380"/>
      <c r="Q635" s="380"/>
      <c r="R635" s="380"/>
      <c r="S635" s="380"/>
      <c r="T635" s="380"/>
      <c r="U635" s="380"/>
      <c r="V635" s="380"/>
      <c r="W635" s="403"/>
      <c r="X635" s="380"/>
      <c r="Y635" s="380"/>
      <c r="Z635" s="380"/>
      <c r="AA635" s="380"/>
      <c r="AB635" s="380"/>
      <c r="AC635" s="404"/>
      <c r="AD635" s="380"/>
      <c r="AE635" s="380"/>
      <c r="AF635" s="380"/>
      <c r="AG635" s="380"/>
      <c r="AH635" s="380"/>
      <c r="AI635" s="380"/>
      <c r="AJ635" s="380"/>
      <c r="AK635" s="403"/>
      <c r="AL635" s="380"/>
      <c r="AM635" s="380"/>
      <c r="AN635" s="380"/>
      <c r="AO635" s="380"/>
      <c r="AP635" s="380"/>
      <c r="AQ635" s="404"/>
      <c r="AR635" s="380"/>
      <c r="AS635" s="380"/>
      <c r="AT635" s="380"/>
      <c r="AU635" s="380"/>
      <c r="AV635" s="380"/>
      <c r="AW635" s="380"/>
      <c r="AX635" s="380"/>
      <c r="AY635" s="403"/>
      <c r="AZ635" s="380"/>
      <c r="BA635" s="380"/>
      <c r="BB635" s="380"/>
      <c r="BC635" s="380"/>
      <c r="BD635" s="380"/>
      <c r="BE635" s="404"/>
      <c r="BF635" s="380"/>
      <c r="BG635" s="380"/>
      <c r="BH635" s="380"/>
      <c r="BI635" s="380"/>
      <c r="BJ635" s="380"/>
      <c r="BK635" s="380"/>
      <c r="BL635" s="380"/>
      <c r="BM635" s="403"/>
      <c r="BS635" s="83"/>
      <c r="CA635" s="405"/>
      <c r="CG635" s="83"/>
      <c r="CO635" s="405"/>
      <c r="CU635" s="83"/>
      <c r="DC635" s="405"/>
      <c r="DI635" s="83"/>
      <c r="DQ635" s="405"/>
      <c r="DW635" s="83"/>
      <c r="EE635" s="405"/>
      <c r="EK635" s="83"/>
      <c r="ES635" s="405"/>
      <c r="EY635" s="83"/>
      <c r="FG635" s="405"/>
      <c r="FM635" s="83"/>
      <c r="FU635" s="405"/>
      <c r="GA635" s="83"/>
      <c r="GI635" s="405"/>
      <c r="GO635" s="83"/>
      <c r="GW635" s="405"/>
      <c r="HC635" s="83"/>
      <c r="HK635" s="405"/>
      <c r="HQ635" s="83"/>
      <c r="HY635" s="405"/>
      <c r="IE635" s="83"/>
      <c r="IM635" s="405"/>
      <c r="IS635" s="83"/>
      <c r="JA635" s="405"/>
      <c r="JG635" s="83"/>
      <c r="JO635" s="405"/>
      <c r="JU635" s="83"/>
      <c r="KC635" s="405"/>
      <c r="KI635" s="83"/>
      <c r="KQ635" s="405"/>
      <c r="KW635" s="83"/>
      <c r="LE635" s="405"/>
      <c r="LK635" s="83"/>
      <c r="LS635" s="405"/>
      <c r="LY635" s="83"/>
      <c r="MG635" s="405"/>
      <c r="MM635" s="83"/>
      <c r="MU635" s="405"/>
      <c r="NA635" s="83"/>
    </row>
    <row r="636">
      <c r="A636" s="483"/>
      <c r="B636" s="380"/>
      <c r="C636" s="380"/>
      <c r="D636" s="380"/>
      <c r="E636" s="380"/>
      <c r="F636" s="380"/>
      <c r="G636" s="380"/>
      <c r="H636" s="380"/>
      <c r="I636" s="403"/>
      <c r="J636" s="380"/>
      <c r="K636" s="380"/>
      <c r="L636" s="380"/>
      <c r="M636" s="380"/>
      <c r="N636" s="380"/>
      <c r="O636" s="404"/>
      <c r="P636" s="380"/>
      <c r="Q636" s="380"/>
      <c r="R636" s="380"/>
      <c r="S636" s="380"/>
      <c r="T636" s="380"/>
      <c r="U636" s="380"/>
      <c r="V636" s="380"/>
      <c r="W636" s="403"/>
      <c r="X636" s="380"/>
      <c r="Y636" s="380"/>
      <c r="Z636" s="380"/>
      <c r="AA636" s="380"/>
      <c r="AB636" s="380"/>
      <c r="AC636" s="404"/>
      <c r="AD636" s="380"/>
      <c r="AE636" s="380"/>
      <c r="AF636" s="380"/>
      <c r="AG636" s="380"/>
      <c r="AH636" s="380"/>
      <c r="AI636" s="380"/>
      <c r="AJ636" s="380"/>
      <c r="AK636" s="403"/>
      <c r="AL636" s="380"/>
      <c r="AM636" s="380"/>
      <c r="AN636" s="380"/>
      <c r="AO636" s="380"/>
      <c r="AP636" s="380"/>
      <c r="AQ636" s="404"/>
      <c r="AR636" s="380"/>
      <c r="AS636" s="380"/>
      <c r="AT636" s="380"/>
      <c r="AU636" s="380"/>
      <c r="AV636" s="380"/>
      <c r="AW636" s="380"/>
      <c r="AX636" s="380"/>
      <c r="AY636" s="403"/>
      <c r="AZ636" s="380"/>
      <c r="BA636" s="380"/>
      <c r="BB636" s="380"/>
      <c r="BC636" s="380"/>
      <c r="BD636" s="380"/>
      <c r="BE636" s="404"/>
      <c r="BF636" s="380"/>
      <c r="BG636" s="380"/>
      <c r="BH636" s="380"/>
      <c r="BI636" s="380"/>
      <c r="BJ636" s="380"/>
      <c r="BK636" s="380"/>
      <c r="BL636" s="380"/>
      <c r="BM636" s="403"/>
      <c r="BS636" s="83"/>
      <c r="CA636" s="405"/>
      <c r="CG636" s="83"/>
      <c r="CO636" s="405"/>
      <c r="CU636" s="83"/>
      <c r="DC636" s="405"/>
      <c r="DI636" s="83"/>
      <c r="DQ636" s="405"/>
      <c r="DW636" s="83"/>
      <c r="EE636" s="405"/>
      <c r="EK636" s="83"/>
      <c r="ES636" s="405"/>
      <c r="EY636" s="83"/>
      <c r="FG636" s="405"/>
      <c r="FM636" s="83"/>
      <c r="FU636" s="405"/>
      <c r="GA636" s="83"/>
      <c r="GI636" s="405"/>
      <c r="GO636" s="83"/>
      <c r="GW636" s="405"/>
      <c r="HC636" s="83"/>
      <c r="HK636" s="405"/>
      <c r="HQ636" s="83"/>
      <c r="HY636" s="405"/>
      <c r="IE636" s="83"/>
      <c r="IM636" s="405"/>
      <c r="IS636" s="83"/>
      <c r="JA636" s="405"/>
      <c r="JG636" s="83"/>
      <c r="JO636" s="405"/>
      <c r="JU636" s="83"/>
      <c r="KC636" s="405"/>
      <c r="KI636" s="83"/>
      <c r="KQ636" s="405"/>
      <c r="KW636" s="83"/>
      <c r="LE636" s="405"/>
      <c r="LK636" s="83"/>
      <c r="LS636" s="405"/>
      <c r="LY636" s="83"/>
      <c r="MG636" s="405"/>
      <c r="MM636" s="83"/>
      <c r="MU636" s="405"/>
      <c r="NA636" s="83"/>
    </row>
    <row r="637">
      <c r="A637" s="483"/>
      <c r="B637" s="380"/>
      <c r="C637" s="380"/>
      <c r="D637" s="380"/>
      <c r="E637" s="380"/>
      <c r="F637" s="380"/>
      <c r="G637" s="380"/>
      <c r="H637" s="380"/>
      <c r="I637" s="403"/>
      <c r="J637" s="380"/>
      <c r="K637" s="380"/>
      <c r="L637" s="380"/>
      <c r="M637" s="380"/>
      <c r="N637" s="380"/>
      <c r="O637" s="404"/>
      <c r="P637" s="380"/>
      <c r="Q637" s="380"/>
      <c r="R637" s="380"/>
      <c r="S637" s="380"/>
      <c r="T637" s="380"/>
      <c r="U637" s="380"/>
      <c r="V637" s="380"/>
      <c r="W637" s="403"/>
      <c r="X637" s="380"/>
      <c r="Y637" s="380"/>
      <c r="Z637" s="380"/>
      <c r="AA637" s="380"/>
      <c r="AB637" s="380"/>
      <c r="AC637" s="404"/>
      <c r="AD637" s="380"/>
      <c r="AE637" s="380"/>
      <c r="AF637" s="380"/>
      <c r="AG637" s="380"/>
      <c r="AH637" s="380"/>
      <c r="AI637" s="380"/>
      <c r="AJ637" s="380"/>
      <c r="AK637" s="403"/>
      <c r="AL637" s="380"/>
      <c r="AM637" s="380"/>
      <c r="AN637" s="380"/>
      <c r="AO637" s="380"/>
      <c r="AP637" s="380"/>
      <c r="AQ637" s="404"/>
      <c r="AR637" s="380"/>
      <c r="AS637" s="380"/>
      <c r="AT637" s="380"/>
      <c r="AU637" s="380"/>
      <c r="AV637" s="380"/>
      <c r="AW637" s="380"/>
      <c r="AX637" s="380"/>
      <c r="AY637" s="403"/>
      <c r="AZ637" s="380"/>
      <c r="BA637" s="380"/>
      <c r="BB637" s="380"/>
      <c r="BC637" s="380"/>
      <c r="BD637" s="380"/>
      <c r="BE637" s="404"/>
      <c r="BF637" s="380"/>
      <c r="BG637" s="380"/>
      <c r="BH637" s="380"/>
      <c r="BI637" s="380"/>
      <c r="BJ637" s="380"/>
      <c r="BK637" s="380"/>
      <c r="BL637" s="380"/>
      <c r="BM637" s="403"/>
      <c r="BS637" s="83"/>
      <c r="CA637" s="405"/>
      <c r="CG637" s="83"/>
      <c r="CO637" s="405"/>
      <c r="CU637" s="83"/>
      <c r="DC637" s="405"/>
      <c r="DI637" s="83"/>
      <c r="DQ637" s="405"/>
      <c r="DW637" s="83"/>
      <c r="EE637" s="405"/>
      <c r="EK637" s="83"/>
      <c r="ES637" s="405"/>
      <c r="EY637" s="83"/>
      <c r="FG637" s="405"/>
      <c r="FM637" s="83"/>
      <c r="FU637" s="405"/>
      <c r="GA637" s="83"/>
      <c r="GI637" s="405"/>
      <c r="GO637" s="83"/>
      <c r="GW637" s="405"/>
      <c r="HC637" s="83"/>
      <c r="HK637" s="405"/>
      <c r="HQ637" s="83"/>
      <c r="HY637" s="405"/>
      <c r="IE637" s="83"/>
      <c r="IM637" s="405"/>
      <c r="IS637" s="83"/>
      <c r="JA637" s="405"/>
      <c r="JG637" s="83"/>
      <c r="JO637" s="405"/>
      <c r="JU637" s="83"/>
      <c r="KC637" s="405"/>
      <c r="KI637" s="83"/>
      <c r="KQ637" s="405"/>
      <c r="KW637" s="83"/>
      <c r="LE637" s="405"/>
      <c r="LK637" s="83"/>
      <c r="LS637" s="405"/>
      <c r="LY637" s="83"/>
      <c r="MG637" s="405"/>
      <c r="MM637" s="83"/>
      <c r="MU637" s="405"/>
      <c r="NA637" s="83"/>
    </row>
    <row r="638">
      <c r="A638" s="483"/>
      <c r="B638" s="380"/>
      <c r="C638" s="380"/>
      <c r="D638" s="380"/>
      <c r="E638" s="380"/>
      <c r="F638" s="380"/>
      <c r="G638" s="380"/>
      <c r="H638" s="380"/>
      <c r="I638" s="403"/>
      <c r="J638" s="380"/>
      <c r="K638" s="380"/>
      <c r="L638" s="380"/>
      <c r="M638" s="380"/>
      <c r="N638" s="380"/>
      <c r="O638" s="404"/>
      <c r="P638" s="380"/>
      <c r="Q638" s="380"/>
      <c r="R638" s="380"/>
      <c r="S638" s="380"/>
      <c r="T638" s="380"/>
      <c r="U638" s="380"/>
      <c r="V638" s="380"/>
      <c r="W638" s="403"/>
      <c r="X638" s="380"/>
      <c r="Y638" s="380"/>
      <c r="Z638" s="380"/>
      <c r="AA638" s="380"/>
      <c r="AB638" s="380"/>
      <c r="AC638" s="404"/>
      <c r="AD638" s="380"/>
      <c r="AE638" s="380"/>
      <c r="AF638" s="380"/>
      <c r="AG638" s="380"/>
      <c r="AH638" s="380"/>
      <c r="AI638" s="380"/>
      <c r="AJ638" s="380"/>
      <c r="AK638" s="403"/>
      <c r="AL638" s="380"/>
      <c r="AM638" s="380"/>
      <c r="AN638" s="380"/>
      <c r="AO638" s="380"/>
      <c r="AP638" s="380"/>
      <c r="AQ638" s="404"/>
      <c r="AR638" s="380"/>
      <c r="AS638" s="380"/>
      <c r="AT638" s="380"/>
      <c r="AU638" s="380"/>
      <c r="AV638" s="380"/>
      <c r="AW638" s="380"/>
      <c r="AX638" s="380"/>
      <c r="AY638" s="403"/>
      <c r="AZ638" s="380"/>
      <c r="BA638" s="380"/>
      <c r="BB638" s="380"/>
      <c r="BC638" s="380"/>
      <c r="BD638" s="380"/>
      <c r="BE638" s="404"/>
      <c r="BF638" s="380"/>
      <c r="BG638" s="380"/>
      <c r="BH638" s="380"/>
      <c r="BI638" s="380"/>
      <c r="BJ638" s="380"/>
      <c r="BK638" s="380"/>
      <c r="BL638" s="380"/>
      <c r="BM638" s="403"/>
      <c r="BS638" s="83"/>
      <c r="CA638" s="405"/>
      <c r="CG638" s="83"/>
      <c r="CO638" s="405"/>
      <c r="CU638" s="83"/>
      <c r="DC638" s="405"/>
      <c r="DI638" s="83"/>
      <c r="DQ638" s="405"/>
      <c r="DW638" s="83"/>
      <c r="EE638" s="405"/>
      <c r="EK638" s="83"/>
      <c r="ES638" s="405"/>
      <c r="EY638" s="83"/>
      <c r="FG638" s="405"/>
      <c r="FM638" s="83"/>
      <c r="FU638" s="405"/>
      <c r="GA638" s="83"/>
      <c r="GI638" s="405"/>
      <c r="GO638" s="83"/>
      <c r="GW638" s="405"/>
      <c r="HC638" s="83"/>
      <c r="HK638" s="405"/>
      <c r="HQ638" s="83"/>
      <c r="HY638" s="405"/>
      <c r="IE638" s="83"/>
      <c r="IM638" s="405"/>
      <c r="IS638" s="83"/>
      <c r="JA638" s="405"/>
      <c r="JG638" s="83"/>
      <c r="JO638" s="405"/>
      <c r="JU638" s="83"/>
      <c r="KC638" s="405"/>
      <c r="KI638" s="83"/>
      <c r="KQ638" s="405"/>
      <c r="KW638" s="83"/>
      <c r="LE638" s="405"/>
      <c r="LK638" s="83"/>
      <c r="LS638" s="405"/>
      <c r="LY638" s="83"/>
      <c r="MG638" s="405"/>
      <c r="MM638" s="83"/>
      <c r="MU638" s="405"/>
      <c r="NA638" s="83"/>
    </row>
    <row r="639">
      <c r="A639" s="483"/>
      <c r="B639" s="380"/>
      <c r="C639" s="380"/>
      <c r="D639" s="380"/>
      <c r="E639" s="380"/>
      <c r="F639" s="380"/>
      <c r="G639" s="380"/>
      <c r="H639" s="380"/>
      <c r="I639" s="403"/>
      <c r="J639" s="380"/>
      <c r="K639" s="380"/>
      <c r="L639" s="380"/>
      <c r="M639" s="380"/>
      <c r="N639" s="380"/>
      <c r="O639" s="404"/>
      <c r="P639" s="380"/>
      <c r="Q639" s="380"/>
      <c r="R639" s="380"/>
      <c r="S639" s="380"/>
      <c r="T639" s="380"/>
      <c r="U639" s="380"/>
      <c r="V639" s="380"/>
      <c r="W639" s="403"/>
      <c r="X639" s="380"/>
      <c r="Y639" s="380"/>
      <c r="Z639" s="380"/>
      <c r="AA639" s="380"/>
      <c r="AB639" s="380"/>
      <c r="AC639" s="404"/>
      <c r="AD639" s="380"/>
      <c r="AE639" s="380"/>
      <c r="AF639" s="380"/>
      <c r="AG639" s="380"/>
      <c r="AH639" s="380"/>
      <c r="AI639" s="380"/>
      <c r="AJ639" s="380"/>
      <c r="AK639" s="403"/>
      <c r="AL639" s="380"/>
      <c r="AM639" s="380"/>
      <c r="AN639" s="380"/>
      <c r="AO639" s="380"/>
      <c r="AP639" s="380"/>
      <c r="AQ639" s="404"/>
      <c r="AR639" s="380"/>
      <c r="AS639" s="380"/>
      <c r="AT639" s="380"/>
      <c r="AU639" s="380"/>
      <c r="AV639" s="380"/>
      <c r="AW639" s="380"/>
      <c r="AX639" s="380"/>
      <c r="AY639" s="403"/>
      <c r="AZ639" s="380"/>
      <c r="BA639" s="380"/>
      <c r="BB639" s="380"/>
      <c r="BC639" s="380"/>
      <c r="BD639" s="380"/>
      <c r="BE639" s="404"/>
      <c r="BF639" s="380"/>
      <c r="BG639" s="380"/>
      <c r="BH639" s="380"/>
      <c r="BI639" s="380"/>
      <c r="BJ639" s="380"/>
      <c r="BK639" s="380"/>
      <c r="BL639" s="380"/>
      <c r="BM639" s="403"/>
      <c r="BS639" s="83"/>
      <c r="CA639" s="405"/>
      <c r="CG639" s="83"/>
      <c r="CO639" s="405"/>
      <c r="CU639" s="83"/>
      <c r="DC639" s="405"/>
      <c r="DI639" s="83"/>
      <c r="DQ639" s="405"/>
      <c r="DW639" s="83"/>
      <c r="EE639" s="405"/>
      <c r="EK639" s="83"/>
      <c r="ES639" s="405"/>
      <c r="EY639" s="83"/>
      <c r="FG639" s="405"/>
      <c r="FM639" s="83"/>
      <c r="FU639" s="405"/>
      <c r="GA639" s="83"/>
      <c r="GI639" s="405"/>
      <c r="GO639" s="83"/>
      <c r="GW639" s="405"/>
      <c r="HC639" s="83"/>
      <c r="HK639" s="405"/>
      <c r="HQ639" s="83"/>
      <c r="HY639" s="405"/>
      <c r="IE639" s="83"/>
      <c r="IM639" s="405"/>
      <c r="IS639" s="83"/>
      <c r="JA639" s="405"/>
      <c r="JG639" s="83"/>
      <c r="JO639" s="405"/>
      <c r="JU639" s="83"/>
      <c r="KC639" s="405"/>
      <c r="KI639" s="83"/>
      <c r="KQ639" s="405"/>
      <c r="KW639" s="83"/>
      <c r="LE639" s="405"/>
      <c r="LK639" s="83"/>
      <c r="LS639" s="405"/>
      <c r="LY639" s="83"/>
      <c r="MG639" s="405"/>
      <c r="MM639" s="83"/>
      <c r="MU639" s="405"/>
      <c r="NA639" s="83"/>
    </row>
    <row r="640">
      <c r="A640" s="483"/>
      <c r="B640" s="380"/>
      <c r="C640" s="380"/>
      <c r="D640" s="380"/>
      <c r="E640" s="380"/>
      <c r="F640" s="380"/>
      <c r="G640" s="380"/>
      <c r="H640" s="380"/>
      <c r="I640" s="403"/>
      <c r="J640" s="380"/>
      <c r="K640" s="380"/>
      <c r="L640" s="380"/>
      <c r="M640" s="380"/>
      <c r="N640" s="380"/>
      <c r="O640" s="404"/>
      <c r="P640" s="380"/>
      <c r="Q640" s="380"/>
      <c r="R640" s="380"/>
      <c r="S640" s="380"/>
      <c r="T640" s="380"/>
      <c r="U640" s="380"/>
      <c r="V640" s="380"/>
      <c r="W640" s="403"/>
      <c r="X640" s="380"/>
      <c r="Y640" s="380"/>
      <c r="Z640" s="380"/>
      <c r="AA640" s="380"/>
      <c r="AB640" s="380"/>
      <c r="AC640" s="404"/>
      <c r="AD640" s="380"/>
      <c r="AE640" s="380"/>
      <c r="AF640" s="380"/>
      <c r="AG640" s="380"/>
      <c r="AH640" s="380"/>
      <c r="AI640" s="380"/>
      <c r="AJ640" s="380"/>
      <c r="AK640" s="403"/>
      <c r="AL640" s="380"/>
      <c r="AM640" s="380"/>
      <c r="AN640" s="380"/>
      <c r="AO640" s="380"/>
      <c r="AP640" s="380"/>
      <c r="AQ640" s="404"/>
      <c r="AR640" s="380"/>
      <c r="AS640" s="380"/>
      <c r="AT640" s="380"/>
      <c r="AU640" s="380"/>
      <c r="AV640" s="380"/>
      <c r="AW640" s="380"/>
      <c r="AX640" s="380"/>
      <c r="AY640" s="403"/>
      <c r="AZ640" s="380"/>
      <c r="BA640" s="380"/>
      <c r="BB640" s="380"/>
      <c r="BC640" s="380"/>
      <c r="BD640" s="380"/>
      <c r="BE640" s="404"/>
      <c r="BF640" s="380"/>
      <c r="BG640" s="380"/>
      <c r="BH640" s="380"/>
      <c r="BI640" s="380"/>
      <c r="BJ640" s="380"/>
      <c r="BK640" s="380"/>
      <c r="BL640" s="380"/>
      <c r="BM640" s="403"/>
      <c r="BS640" s="83"/>
      <c r="CA640" s="405"/>
      <c r="CG640" s="83"/>
      <c r="CO640" s="405"/>
      <c r="CU640" s="83"/>
      <c r="DC640" s="405"/>
      <c r="DI640" s="83"/>
      <c r="DQ640" s="405"/>
      <c r="DW640" s="83"/>
      <c r="EE640" s="405"/>
      <c r="EK640" s="83"/>
      <c r="ES640" s="405"/>
      <c r="EY640" s="83"/>
      <c r="FG640" s="405"/>
      <c r="FM640" s="83"/>
      <c r="FU640" s="405"/>
      <c r="GA640" s="83"/>
      <c r="GI640" s="405"/>
      <c r="GO640" s="83"/>
      <c r="GW640" s="405"/>
      <c r="HC640" s="83"/>
      <c r="HK640" s="405"/>
      <c r="HQ640" s="83"/>
      <c r="HY640" s="405"/>
      <c r="IE640" s="83"/>
      <c r="IM640" s="405"/>
      <c r="IS640" s="83"/>
      <c r="JA640" s="405"/>
      <c r="JG640" s="83"/>
      <c r="JO640" s="405"/>
      <c r="JU640" s="83"/>
      <c r="KC640" s="405"/>
      <c r="KI640" s="83"/>
      <c r="KQ640" s="405"/>
      <c r="KW640" s="83"/>
      <c r="LE640" s="405"/>
      <c r="LK640" s="83"/>
      <c r="LS640" s="405"/>
      <c r="LY640" s="83"/>
      <c r="MG640" s="405"/>
      <c r="MM640" s="83"/>
      <c r="MU640" s="405"/>
      <c r="NA640" s="83"/>
    </row>
    <row r="641">
      <c r="A641" s="483"/>
      <c r="B641" s="380"/>
      <c r="C641" s="380"/>
      <c r="D641" s="380"/>
      <c r="E641" s="380"/>
      <c r="F641" s="380"/>
      <c r="G641" s="380"/>
      <c r="H641" s="380"/>
      <c r="I641" s="403"/>
      <c r="J641" s="380"/>
      <c r="K641" s="380"/>
      <c r="L641" s="380"/>
      <c r="M641" s="380"/>
      <c r="N641" s="380"/>
      <c r="O641" s="404"/>
      <c r="P641" s="380"/>
      <c r="Q641" s="380"/>
      <c r="R641" s="380"/>
      <c r="S641" s="380"/>
      <c r="T641" s="380"/>
      <c r="U641" s="380"/>
      <c r="V641" s="380"/>
      <c r="W641" s="403"/>
      <c r="X641" s="380"/>
      <c r="Y641" s="380"/>
      <c r="Z641" s="380"/>
      <c r="AA641" s="380"/>
      <c r="AB641" s="380"/>
      <c r="AC641" s="404"/>
      <c r="AD641" s="380"/>
      <c r="AE641" s="380"/>
      <c r="AF641" s="380"/>
      <c r="AG641" s="380"/>
      <c r="AH641" s="380"/>
      <c r="AI641" s="380"/>
      <c r="AJ641" s="380"/>
      <c r="AK641" s="403"/>
      <c r="AL641" s="380"/>
      <c r="AM641" s="380"/>
      <c r="AN641" s="380"/>
      <c r="AO641" s="380"/>
      <c r="AP641" s="380"/>
      <c r="AQ641" s="404"/>
      <c r="AR641" s="380"/>
      <c r="AS641" s="380"/>
      <c r="AT641" s="380"/>
      <c r="AU641" s="380"/>
      <c r="AV641" s="380"/>
      <c r="AW641" s="380"/>
      <c r="AX641" s="380"/>
      <c r="AY641" s="403"/>
      <c r="AZ641" s="380"/>
      <c r="BA641" s="380"/>
      <c r="BB641" s="380"/>
      <c r="BC641" s="380"/>
      <c r="BD641" s="380"/>
      <c r="BE641" s="404"/>
      <c r="BF641" s="380"/>
      <c r="BG641" s="380"/>
      <c r="BH641" s="380"/>
      <c r="BI641" s="380"/>
      <c r="BJ641" s="380"/>
      <c r="BK641" s="380"/>
      <c r="BL641" s="380"/>
      <c r="BM641" s="403"/>
      <c r="BS641" s="83"/>
      <c r="CA641" s="405"/>
      <c r="CG641" s="83"/>
      <c r="CO641" s="405"/>
      <c r="CU641" s="83"/>
      <c r="DC641" s="405"/>
      <c r="DI641" s="83"/>
      <c r="DQ641" s="405"/>
      <c r="DW641" s="83"/>
      <c r="EE641" s="405"/>
      <c r="EK641" s="83"/>
      <c r="ES641" s="405"/>
      <c r="EY641" s="83"/>
      <c r="FG641" s="405"/>
      <c r="FM641" s="83"/>
      <c r="FU641" s="405"/>
      <c r="GA641" s="83"/>
      <c r="GI641" s="405"/>
      <c r="GO641" s="83"/>
      <c r="GW641" s="405"/>
      <c r="HC641" s="83"/>
      <c r="HK641" s="405"/>
      <c r="HQ641" s="83"/>
      <c r="HY641" s="405"/>
      <c r="IE641" s="83"/>
      <c r="IM641" s="405"/>
      <c r="IS641" s="83"/>
      <c r="JA641" s="405"/>
      <c r="JG641" s="83"/>
      <c r="JO641" s="405"/>
      <c r="JU641" s="83"/>
      <c r="KC641" s="405"/>
      <c r="KI641" s="83"/>
      <c r="KQ641" s="405"/>
      <c r="KW641" s="83"/>
      <c r="LE641" s="405"/>
      <c r="LK641" s="83"/>
      <c r="LS641" s="405"/>
      <c r="LY641" s="83"/>
      <c r="MG641" s="405"/>
      <c r="MM641" s="83"/>
      <c r="MU641" s="405"/>
      <c r="NA641" s="83"/>
    </row>
    <row r="642">
      <c r="A642" s="483"/>
      <c r="B642" s="380"/>
      <c r="C642" s="380"/>
      <c r="D642" s="380"/>
      <c r="E642" s="380"/>
      <c r="F642" s="380"/>
      <c r="G642" s="380"/>
      <c r="H642" s="380"/>
      <c r="I642" s="403"/>
      <c r="J642" s="380"/>
      <c r="K642" s="380"/>
      <c r="L642" s="380"/>
      <c r="M642" s="380"/>
      <c r="N642" s="380"/>
      <c r="O642" s="404"/>
      <c r="P642" s="380"/>
      <c r="Q642" s="380"/>
      <c r="R642" s="380"/>
      <c r="S642" s="380"/>
      <c r="T642" s="380"/>
      <c r="U642" s="380"/>
      <c r="V642" s="380"/>
      <c r="W642" s="403"/>
      <c r="X642" s="380"/>
      <c r="Y642" s="380"/>
      <c r="Z642" s="380"/>
      <c r="AA642" s="380"/>
      <c r="AB642" s="380"/>
      <c r="AC642" s="404"/>
      <c r="AD642" s="380"/>
      <c r="AE642" s="380"/>
      <c r="AF642" s="380"/>
      <c r="AG642" s="380"/>
      <c r="AH642" s="380"/>
      <c r="AI642" s="380"/>
      <c r="AJ642" s="380"/>
      <c r="AK642" s="403"/>
      <c r="AL642" s="380"/>
      <c r="AM642" s="380"/>
      <c r="AN642" s="380"/>
      <c r="AO642" s="380"/>
      <c r="AP642" s="380"/>
      <c r="AQ642" s="404"/>
      <c r="AR642" s="380"/>
      <c r="AS642" s="380"/>
      <c r="AT642" s="380"/>
      <c r="AU642" s="380"/>
      <c r="AV642" s="380"/>
      <c r="AW642" s="380"/>
      <c r="AX642" s="380"/>
      <c r="AY642" s="403"/>
      <c r="AZ642" s="380"/>
      <c r="BA642" s="380"/>
      <c r="BB642" s="380"/>
      <c r="BC642" s="380"/>
      <c r="BD642" s="380"/>
      <c r="BE642" s="404"/>
      <c r="BF642" s="380"/>
      <c r="BG642" s="380"/>
      <c r="BH642" s="380"/>
      <c r="BI642" s="380"/>
      <c r="BJ642" s="380"/>
      <c r="BK642" s="380"/>
      <c r="BL642" s="380"/>
      <c r="BM642" s="403"/>
      <c r="BS642" s="83"/>
      <c r="CA642" s="405"/>
      <c r="CG642" s="83"/>
      <c r="CO642" s="405"/>
      <c r="CU642" s="83"/>
      <c r="DC642" s="405"/>
      <c r="DI642" s="83"/>
      <c r="DQ642" s="405"/>
      <c r="DW642" s="83"/>
      <c r="EE642" s="405"/>
      <c r="EK642" s="83"/>
      <c r="ES642" s="405"/>
      <c r="EY642" s="83"/>
      <c r="FG642" s="405"/>
      <c r="FM642" s="83"/>
      <c r="FU642" s="405"/>
      <c r="GA642" s="83"/>
      <c r="GI642" s="405"/>
      <c r="GO642" s="83"/>
      <c r="GW642" s="405"/>
      <c r="HC642" s="83"/>
      <c r="HK642" s="405"/>
      <c r="HQ642" s="83"/>
      <c r="HY642" s="405"/>
      <c r="IE642" s="83"/>
      <c r="IM642" s="405"/>
      <c r="IS642" s="83"/>
      <c r="JA642" s="405"/>
      <c r="JG642" s="83"/>
      <c r="JO642" s="405"/>
      <c r="JU642" s="83"/>
      <c r="KC642" s="405"/>
      <c r="KI642" s="83"/>
      <c r="KQ642" s="405"/>
      <c r="KW642" s="83"/>
      <c r="LE642" s="405"/>
      <c r="LK642" s="83"/>
      <c r="LS642" s="405"/>
      <c r="LY642" s="83"/>
      <c r="MG642" s="405"/>
      <c r="MM642" s="83"/>
      <c r="MU642" s="405"/>
      <c r="NA642" s="83"/>
    </row>
    <row r="643">
      <c r="A643" s="483"/>
      <c r="B643" s="380"/>
      <c r="C643" s="380"/>
      <c r="D643" s="380"/>
      <c r="E643" s="380"/>
      <c r="F643" s="380"/>
      <c r="G643" s="380"/>
      <c r="H643" s="380"/>
      <c r="I643" s="403"/>
      <c r="J643" s="380"/>
      <c r="K643" s="380"/>
      <c r="L643" s="380"/>
      <c r="M643" s="380"/>
      <c r="N643" s="380"/>
      <c r="O643" s="404"/>
      <c r="P643" s="380"/>
      <c r="Q643" s="380"/>
      <c r="R643" s="380"/>
      <c r="S643" s="380"/>
      <c r="T643" s="380"/>
      <c r="U643" s="380"/>
      <c r="V643" s="380"/>
      <c r="W643" s="403"/>
      <c r="X643" s="380"/>
      <c r="Y643" s="380"/>
      <c r="Z643" s="380"/>
      <c r="AA643" s="380"/>
      <c r="AB643" s="380"/>
      <c r="AC643" s="404"/>
      <c r="AD643" s="380"/>
      <c r="AE643" s="380"/>
      <c r="AF643" s="380"/>
      <c r="AG643" s="380"/>
      <c r="AH643" s="380"/>
      <c r="AI643" s="380"/>
      <c r="AJ643" s="380"/>
      <c r="AK643" s="403"/>
      <c r="AL643" s="380"/>
      <c r="AM643" s="380"/>
      <c r="AN643" s="380"/>
      <c r="AO643" s="380"/>
      <c r="AP643" s="380"/>
      <c r="AQ643" s="404"/>
      <c r="AR643" s="380"/>
      <c r="AS643" s="380"/>
      <c r="AT643" s="380"/>
      <c r="AU643" s="380"/>
      <c r="AV643" s="380"/>
      <c r="AW643" s="380"/>
      <c r="AX643" s="380"/>
      <c r="AY643" s="403"/>
      <c r="AZ643" s="380"/>
      <c r="BA643" s="380"/>
      <c r="BB643" s="380"/>
      <c r="BC643" s="380"/>
      <c r="BD643" s="380"/>
      <c r="BE643" s="404"/>
      <c r="BF643" s="380"/>
      <c r="BG643" s="380"/>
      <c r="BH643" s="380"/>
      <c r="BI643" s="380"/>
      <c r="BJ643" s="380"/>
      <c r="BK643" s="380"/>
      <c r="BL643" s="380"/>
      <c r="BM643" s="403"/>
      <c r="BS643" s="83"/>
      <c r="CA643" s="405"/>
      <c r="CG643" s="83"/>
      <c r="CO643" s="405"/>
      <c r="CU643" s="83"/>
      <c r="DC643" s="405"/>
      <c r="DI643" s="83"/>
      <c r="DQ643" s="405"/>
      <c r="DW643" s="83"/>
      <c r="EE643" s="405"/>
      <c r="EK643" s="83"/>
      <c r="ES643" s="405"/>
      <c r="EY643" s="83"/>
      <c r="FG643" s="405"/>
      <c r="FM643" s="83"/>
      <c r="FU643" s="405"/>
      <c r="GA643" s="83"/>
      <c r="GI643" s="405"/>
      <c r="GO643" s="83"/>
      <c r="GW643" s="405"/>
      <c r="HC643" s="83"/>
      <c r="HK643" s="405"/>
      <c r="HQ643" s="83"/>
      <c r="HY643" s="405"/>
      <c r="IE643" s="83"/>
      <c r="IM643" s="405"/>
      <c r="IS643" s="83"/>
      <c r="JA643" s="405"/>
      <c r="JG643" s="83"/>
      <c r="JO643" s="405"/>
      <c r="JU643" s="83"/>
      <c r="KC643" s="405"/>
      <c r="KI643" s="83"/>
      <c r="KQ643" s="405"/>
      <c r="KW643" s="83"/>
      <c r="LE643" s="405"/>
      <c r="LK643" s="83"/>
      <c r="LS643" s="405"/>
      <c r="LY643" s="83"/>
      <c r="MG643" s="405"/>
      <c r="MM643" s="83"/>
      <c r="MU643" s="405"/>
      <c r="NA643" s="83"/>
    </row>
    <row r="644">
      <c r="A644" s="483"/>
      <c r="B644" s="380"/>
      <c r="C644" s="380"/>
      <c r="D644" s="380"/>
      <c r="E644" s="380"/>
      <c r="F644" s="380"/>
      <c r="G644" s="380"/>
      <c r="H644" s="380"/>
      <c r="I644" s="403"/>
      <c r="J644" s="380"/>
      <c r="K644" s="380"/>
      <c r="L644" s="380"/>
      <c r="M644" s="380"/>
      <c r="N644" s="380"/>
      <c r="O644" s="404"/>
      <c r="P644" s="380"/>
      <c r="Q644" s="380"/>
      <c r="R644" s="380"/>
      <c r="S644" s="380"/>
      <c r="T644" s="380"/>
      <c r="U644" s="380"/>
      <c r="V644" s="380"/>
      <c r="W644" s="403"/>
      <c r="X644" s="380"/>
      <c r="Y644" s="380"/>
      <c r="Z644" s="380"/>
      <c r="AA644" s="380"/>
      <c r="AB644" s="380"/>
      <c r="AC644" s="404"/>
      <c r="AD644" s="380"/>
      <c r="AE644" s="380"/>
      <c r="AF644" s="380"/>
      <c r="AG644" s="380"/>
      <c r="AH644" s="380"/>
      <c r="AI644" s="380"/>
      <c r="AJ644" s="380"/>
      <c r="AK644" s="403"/>
      <c r="AL644" s="380"/>
      <c r="AM644" s="380"/>
      <c r="AN644" s="380"/>
      <c r="AO644" s="380"/>
      <c r="AP644" s="380"/>
      <c r="AQ644" s="404"/>
      <c r="AR644" s="380"/>
      <c r="AS644" s="380"/>
      <c r="AT644" s="380"/>
      <c r="AU644" s="380"/>
      <c r="AV644" s="380"/>
      <c r="AW644" s="380"/>
      <c r="AX644" s="380"/>
      <c r="AY644" s="403"/>
      <c r="AZ644" s="380"/>
      <c r="BA644" s="380"/>
      <c r="BB644" s="380"/>
      <c r="BC644" s="380"/>
      <c r="BD644" s="380"/>
      <c r="BE644" s="404"/>
      <c r="BF644" s="380"/>
      <c r="BG644" s="380"/>
      <c r="BH644" s="380"/>
      <c r="BI644" s="380"/>
      <c r="BJ644" s="380"/>
      <c r="BK644" s="380"/>
      <c r="BL644" s="380"/>
      <c r="BM644" s="403"/>
      <c r="BS644" s="83"/>
      <c r="CA644" s="405"/>
      <c r="CG644" s="83"/>
      <c r="CO644" s="405"/>
      <c r="CU644" s="83"/>
      <c r="DC644" s="405"/>
      <c r="DI644" s="83"/>
      <c r="DQ644" s="405"/>
      <c r="DW644" s="83"/>
      <c r="EE644" s="405"/>
      <c r="EK644" s="83"/>
      <c r="ES644" s="405"/>
      <c r="EY644" s="83"/>
      <c r="FG644" s="405"/>
      <c r="FM644" s="83"/>
      <c r="FU644" s="405"/>
      <c r="GA644" s="83"/>
      <c r="GI644" s="405"/>
      <c r="GO644" s="83"/>
      <c r="GW644" s="405"/>
      <c r="HC644" s="83"/>
      <c r="HK644" s="405"/>
      <c r="HQ644" s="83"/>
      <c r="HY644" s="405"/>
      <c r="IE644" s="83"/>
      <c r="IM644" s="405"/>
      <c r="IS644" s="83"/>
      <c r="JA644" s="405"/>
      <c r="JG644" s="83"/>
      <c r="JO644" s="405"/>
      <c r="JU644" s="83"/>
      <c r="KC644" s="405"/>
      <c r="KI644" s="83"/>
      <c r="KQ644" s="405"/>
      <c r="KW644" s="83"/>
      <c r="LE644" s="405"/>
      <c r="LK644" s="83"/>
      <c r="LS644" s="405"/>
      <c r="LY644" s="83"/>
      <c r="MG644" s="405"/>
      <c r="MM644" s="83"/>
      <c r="MU644" s="405"/>
      <c r="NA644" s="83"/>
    </row>
    <row r="645">
      <c r="A645" s="483"/>
      <c r="B645" s="380"/>
      <c r="C645" s="380"/>
      <c r="D645" s="380"/>
      <c r="E645" s="380"/>
      <c r="F645" s="380"/>
      <c r="G645" s="380"/>
      <c r="H645" s="380"/>
      <c r="I645" s="403"/>
      <c r="J645" s="380"/>
      <c r="K645" s="380"/>
      <c r="L645" s="380"/>
      <c r="M645" s="380"/>
      <c r="N645" s="380"/>
      <c r="O645" s="404"/>
      <c r="P645" s="380"/>
      <c r="Q645" s="380"/>
      <c r="R645" s="380"/>
      <c r="S645" s="380"/>
      <c r="T645" s="380"/>
      <c r="U645" s="380"/>
      <c r="V645" s="380"/>
      <c r="W645" s="403"/>
      <c r="X645" s="380"/>
      <c r="Y645" s="380"/>
      <c r="Z645" s="380"/>
      <c r="AA645" s="380"/>
      <c r="AB645" s="380"/>
      <c r="AC645" s="404"/>
      <c r="AD645" s="380"/>
      <c r="AE645" s="380"/>
      <c r="AF645" s="380"/>
      <c r="AG645" s="380"/>
      <c r="AH645" s="380"/>
      <c r="AI645" s="380"/>
      <c r="AJ645" s="380"/>
      <c r="AK645" s="403"/>
      <c r="AL645" s="380"/>
      <c r="AM645" s="380"/>
      <c r="AN645" s="380"/>
      <c r="AO645" s="380"/>
      <c r="AP645" s="380"/>
      <c r="AQ645" s="404"/>
      <c r="AR645" s="380"/>
      <c r="AS645" s="380"/>
      <c r="AT645" s="380"/>
      <c r="AU645" s="380"/>
      <c r="AV645" s="380"/>
      <c r="AW645" s="380"/>
      <c r="AX645" s="380"/>
      <c r="AY645" s="403"/>
      <c r="AZ645" s="380"/>
      <c r="BA645" s="380"/>
      <c r="BB645" s="380"/>
      <c r="BC645" s="380"/>
      <c r="BD645" s="380"/>
      <c r="BE645" s="404"/>
      <c r="BF645" s="380"/>
      <c r="BG645" s="380"/>
      <c r="BH645" s="380"/>
      <c r="BI645" s="380"/>
      <c r="BJ645" s="380"/>
      <c r="BK645" s="380"/>
      <c r="BL645" s="380"/>
      <c r="BM645" s="403"/>
      <c r="BS645" s="83"/>
      <c r="CA645" s="405"/>
      <c r="CG645" s="83"/>
      <c r="CO645" s="405"/>
      <c r="CU645" s="83"/>
      <c r="DC645" s="405"/>
      <c r="DI645" s="83"/>
      <c r="DQ645" s="405"/>
      <c r="DW645" s="83"/>
      <c r="EE645" s="405"/>
      <c r="EK645" s="83"/>
      <c r="ES645" s="405"/>
      <c r="EY645" s="83"/>
      <c r="FG645" s="405"/>
      <c r="FM645" s="83"/>
      <c r="FU645" s="405"/>
      <c r="GA645" s="83"/>
      <c r="GI645" s="405"/>
      <c r="GO645" s="83"/>
      <c r="GW645" s="405"/>
      <c r="HC645" s="83"/>
      <c r="HK645" s="405"/>
      <c r="HQ645" s="83"/>
      <c r="HY645" s="405"/>
      <c r="IE645" s="83"/>
      <c r="IM645" s="405"/>
      <c r="IS645" s="83"/>
      <c r="JA645" s="405"/>
      <c r="JG645" s="83"/>
      <c r="JO645" s="405"/>
      <c r="JU645" s="83"/>
      <c r="KC645" s="405"/>
      <c r="KI645" s="83"/>
      <c r="KQ645" s="405"/>
      <c r="KW645" s="83"/>
      <c r="LE645" s="405"/>
      <c r="LK645" s="83"/>
      <c r="LS645" s="405"/>
      <c r="LY645" s="83"/>
      <c r="MG645" s="405"/>
      <c r="MM645" s="83"/>
      <c r="MU645" s="405"/>
      <c r="NA645" s="83"/>
    </row>
    <row r="646">
      <c r="A646" s="483"/>
      <c r="B646" s="380"/>
      <c r="C646" s="380"/>
      <c r="D646" s="380"/>
      <c r="E646" s="380"/>
      <c r="F646" s="380"/>
      <c r="G646" s="380"/>
      <c r="H646" s="380"/>
      <c r="I646" s="403"/>
      <c r="J646" s="380"/>
      <c r="K646" s="380"/>
      <c r="L646" s="380"/>
      <c r="M646" s="380"/>
      <c r="N646" s="380"/>
      <c r="O646" s="404"/>
      <c r="P646" s="380"/>
      <c r="Q646" s="380"/>
      <c r="R646" s="380"/>
      <c r="S646" s="380"/>
      <c r="T646" s="380"/>
      <c r="U646" s="380"/>
      <c r="V646" s="380"/>
      <c r="W646" s="403"/>
      <c r="X646" s="380"/>
      <c r="Y646" s="380"/>
      <c r="Z646" s="380"/>
      <c r="AA646" s="380"/>
      <c r="AB646" s="380"/>
      <c r="AC646" s="404"/>
      <c r="AD646" s="380"/>
      <c r="AE646" s="380"/>
      <c r="AF646" s="380"/>
      <c r="AG646" s="380"/>
      <c r="AH646" s="380"/>
      <c r="AI646" s="380"/>
      <c r="AJ646" s="380"/>
      <c r="AK646" s="403"/>
      <c r="AL646" s="380"/>
      <c r="AM646" s="380"/>
      <c r="AN646" s="380"/>
      <c r="AO646" s="380"/>
      <c r="AP646" s="380"/>
      <c r="AQ646" s="404"/>
      <c r="AR646" s="380"/>
      <c r="AS646" s="380"/>
      <c r="AT646" s="380"/>
      <c r="AU646" s="380"/>
      <c r="AV646" s="380"/>
      <c r="AW646" s="380"/>
      <c r="AX646" s="380"/>
      <c r="AY646" s="403"/>
      <c r="AZ646" s="380"/>
      <c r="BA646" s="380"/>
      <c r="BB646" s="380"/>
      <c r="BC646" s="380"/>
      <c r="BD646" s="380"/>
      <c r="BE646" s="404"/>
      <c r="BF646" s="380"/>
      <c r="BG646" s="380"/>
      <c r="BH646" s="380"/>
      <c r="BI646" s="380"/>
      <c r="BJ646" s="380"/>
      <c r="BK646" s="380"/>
      <c r="BL646" s="380"/>
      <c r="BM646" s="403"/>
      <c r="BS646" s="83"/>
      <c r="CA646" s="405"/>
      <c r="CG646" s="83"/>
      <c r="CO646" s="405"/>
      <c r="CU646" s="83"/>
      <c r="DC646" s="405"/>
      <c r="DI646" s="83"/>
      <c r="DQ646" s="405"/>
      <c r="DW646" s="83"/>
      <c r="EE646" s="405"/>
      <c r="EK646" s="83"/>
      <c r="ES646" s="405"/>
      <c r="EY646" s="83"/>
      <c r="FG646" s="405"/>
      <c r="FM646" s="83"/>
      <c r="FU646" s="405"/>
      <c r="GA646" s="83"/>
      <c r="GI646" s="405"/>
      <c r="GO646" s="83"/>
      <c r="GW646" s="405"/>
      <c r="HC646" s="83"/>
      <c r="HK646" s="405"/>
      <c r="HQ646" s="83"/>
      <c r="HY646" s="405"/>
      <c r="IE646" s="83"/>
      <c r="IM646" s="405"/>
      <c r="IS646" s="83"/>
      <c r="JA646" s="405"/>
      <c r="JG646" s="83"/>
      <c r="JO646" s="405"/>
      <c r="JU646" s="83"/>
      <c r="KC646" s="405"/>
      <c r="KI646" s="83"/>
      <c r="KQ646" s="405"/>
      <c r="KW646" s="83"/>
      <c r="LE646" s="405"/>
      <c r="LK646" s="83"/>
      <c r="LS646" s="405"/>
      <c r="LY646" s="83"/>
      <c r="MG646" s="405"/>
      <c r="MM646" s="83"/>
      <c r="MU646" s="405"/>
      <c r="NA646" s="83"/>
    </row>
    <row r="647">
      <c r="A647" s="483"/>
      <c r="B647" s="380"/>
      <c r="C647" s="380"/>
      <c r="D647" s="380"/>
      <c r="E647" s="380"/>
      <c r="F647" s="380"/>
      <c r="G647" s="380"/>
      <c r="H647" s="380"/>
      <c r="I647" s="403"/>
      <c r="J647" s="380"/>
      <c r="K647" s="380"/>
      <c r="L647" s="380"/>
      <c r="M647" s="380"/>
      <c r="N647" s="380"/>
      <c r="O647" s="404"/>
      <c r="P647" s="380"/>
      <c r="Q647" s="380"/>
      <c r="R647" s="380"/>
      <c r="S647" s="380"/>
      <c r="T647" s="380"/>
      <c r="U647" s="380"/>
      <c r="V647" s="380"/>
      <c r="W647" s="403"/>
      <c r="X647" s="380"/>
      <c r="Y647" s="380"/>
      <c r="Z647" s="380"/>
      <c r="AA647" s="380"/>
      <c r="AB647" s="380"/>
      <c r="AC647" s="404"/>
      <c r="AD647" s="380"/>
      <c r="AE647" s="380"/>
      <c r="AF647" s="380"/>
      <c r="AG647" s="380"/>
      <c r="AH647" s="380"/>
      <c r="AI647" s="380"/>
      <c r="AJ647" s="380"/>
      <c r="AK647" s="403"/>
      <c r="AL647" s="380"/>
      <c r="AM647" s="380"/>
      <c r="AN647" s="380"/>
      <c r="AO647" s="380"/>
      <c r="AP647" s="380"/>
      <c r="AQ647" s="404"/>
      <c r="AR647" s="380"/>
      <c r="AS647" s="380"/>
      <c r="AT647" s="380"/>
      <c r="AU647" s="380"/>
      <c r="AV647" s="380"/>
      <c r="AW647" s="380"/>
      <c r="AX647" s="380"/>
      <c r="AY647" s="403"/>
      <c r="AZ647" s="380"/>
      <c r="BA647" s="380"/>
      <c r="BB647" s="380"/>
      <c r="BC647" s="380"/>
      <c r="BD647" s="380"/>
      <c r="BE647" s="404"/>
      <c r="BF647" s="380"/>
      <c r="BG647" s="380"/>
      <c r="BH647" s="380"/>
      <c r="BI647" s="380"/>
      <c r="BJ647" s="380"/>
      <c r="BK647" s="380"/>
      <c r="BL647" s="380"/>
      <c r="BM647" s="403"/>
      <c r="BS647" s="83"/>
      <c r="CA647" s="405"/>
      <c r="CG647" s="83"/>
      <c r="CO647" s="405"/>
      <c r="CU647" s="83"/>
      <c r="DC647" s="405"/>
      <c r="DI647" s="83"/>
      <c r="DQ647" s="405"/>
      <c r="DW647" s="83"/>
      <c r="EE647" s="405"/>
      <c r="EK647" s="83"/>
      <c r="ES647" s="405"/>
      <c r="EY647" s="83"/>
      <c r="FG647" s="405"/>
      <c r="FM647" s="83"/>
      <c r="FU647" s="405"/>
      <c r="GA647" s="83"/>
      <c r="GI647" s="405"/>
      <c r="GO647" s="83"/>
      <c r="GW647" s="405"/>
      <c r="HC647" s="83"/>
      <c r="HK647" s="405"/>
      <c r="HQ647" s="83"/>
      <c r="HY647" s="405"/>
      <c r="IE647" s="83"/>
      <c r="IM647" s="405"/>
      <c r="IS647" s="83"/>
      <c r="JA647" s="405"/>
      <c r="JG647" s="83"/>
      <c r="JO647" s="405"/>
      <c r="JU647" s="83"/>
      <c r="KC647" s="405"/>
      <c r="KI647" s="83"/>
      <c r="KQ647" s="405"/>
      <c r="KW647" s="83"/>
      <c r="LE647" s="405"/>
      <c r="LK647" s="83"/>
      <c r="LS647" s="405"/>
      <c r="LY647" s="83"/>
      <c r="MG647" s="405"/>
      <c r="MM647" s="83"/>
      <c r="MU647" s="405"/>
      <c r="NA647" s="83"/>
    </row>
    <row r="648">
      <c r="A648" s="483"/>
      <c r="B648" s="380"/>
      <c r="C648" s="380"/>
      <c r="D648" s="380"/>
      <c r="E648" s="380"/>
      <c r="F648" s="380"/>
      <c r="G648" s="380"/>
      <c r="H648" s="380"/>
      <c r="I648" s="403"/>
      <c r="J648" s="380"/>
      <c r="K648" s="380"/>
      <c r="L648" s="380"/>
      <c r="M648" s="380"/>
      <c r="N648" s="380"/>
      <c r="O648" s="404"/>
      <c r="P648" s="380"/>
      <c r="Q648" s="380"/>
      <c r="R648" s="380"/>
      <c r="S648" s="380"/>
      <c r="T648" s="380"/>
      <c r="U648" s="380"/>
      <c r="V648" s="380"/>
      <c r="W648" s="403"/>
      <c r="X648" s="380"/>
      <c r="Y648" s="380"/>
      <c r="Z648" s="380"/>
      <c r="AA648" s="380"/>
      <c r="AB648" s="380"/>
      <c r="AC648" s="404"/>
      <c r="AD648" s="380"/>
      <c r="AE648" s="380"/>
      <c r="AF648" s="380"/>
      <c r="AG648" s="380"/>
      <c r="AH648" s="380"/>
      <c r="AI648" s="380"/>
      <c r="AJ648" s="380"/>
      <c r="AK648" s="403"/>
      <c r="AL648" s="380"/>
      <c r="AM648" s="380"/>
      <c r="AN648" s="380"/>
      <c r="AO648" s="380"/>
      <c r="AP648" s="380"/>
      <c r="AQ648" s="404"/>
      <c r="AR648" s="380"/>
      <c r="AS648" s="380"/>
      <c r="AT648" s="380"/>
      <c r="AU648" s="380"/>
      <c r="AV648" s="380"/>
      <c r="AW648" s="380"/>
      <c r="AX648" s="380"/>
      <c r="AY648" s="403"/>
      <c r="AZ648" s="380"/>
      <c r="BA648" s="380"/>
      <c r="BB648" s="380"/>
      <c r="BC648" s="380"/>
      <c r="BD648" s="380"/>
      <c r="BE648" s="404"/>
      <c r="BF648" s="380"/>
      <c r="BG648" s="380"/>
      <c r="BH648" s="380"/>
      <c r="BI648" s="380"/>
      <c r="BJ648" s="380"/>
      <c r="BK648" s="380"/>
      <c r="BL648" s="380"/>
      <c r="BM648" s="403"/>
      <c r="BS648" s="83"/>
      <c r="CA648" s="405"/>
      <c r="CG648" s="83"/>
      <c r="CO648" s="405"/>
      <c r="CU648" s="83"/>
      <c r="DC648" s="405"/>
      <c r="DI648" s="83"/>
      <c r="DQ648" s="405"/>
      <c r="DW648" s="83"/>
      <c r="EE648" s="405"/>
      <c r="EK648" s="83"/>
      <c r="ES648" s="405"/>
      <c r="EY648" s="83"/>
      <c r="FG648" s="405"/>
      <c r="FM648" s="83"/>
      <c r="FU648" s="405"/>
      <c r="GA648" s="83"/>
      <c r="GI648" s="405"/>
      <c r="GO648" s="83"/>
      <c r="GW648" s="405"/>
      <c r="HC648" s="83"/>
      <c r="HK648" s="405"/>
      <c r="HQ648" s="83"/>
      <c r="HY648" s="405"/>
      <c r="IE648" s="83"/>
      <c r="IM648" s="405"/>
      <c r="IS648" s="83"/>
      <c r="JA648" s="405"/>
      <c r="JG648" s="83"/>
      <c r="JO648" s="405"/>
      <c r="JU648" s="83"/>
      <c r="KC648" s="405"/>
      <c r="KI648" s="83"/>
      <c r="KQ648" s="405"/>
      <c r="KW648" s="83"/>
      <c r="LE648" s="405"/>
      <c r="LK648" s="83"/>
      <c r="LS648" s="405"/>
      <c r="LY648" s="83"/>
      <c r="MG648" s="405"/>
      <c r="MM648" s="83"/>
      <c r="MU648" s="405"/>
      <c r="NA648" s="83"/>
    </row>
    <row r="649">
      <c r="A649" s="483"/>
      <c r="B649" s="380"/>
      <c r="C649" s="380"/>
      <c r="D649" s="380"/>
      <c r="E649" s="380"/>
      <c r="F649" s="380"/>
      <c r="G649" s="380"/>
      <c r="H649" s="380"/>
      <c r="I649" s="403"/>
      <c r="J649" s="380"/>
      <c r="K649" s="380"/>
      <c r="L649" s="380"/>
      <c r="M649" s="380"/>
      <c r="N649" s="380"/>
      <c r="O649" s="404"/>
      <c r="P649" s="380"/>
      <c r="Q649" s="380"/>
      <c r="R649" s="380"/>
      <c r="S649" s="380"/>
      <c r="T649" s="380"/>
      <c r="U649" s="380"/>
      <c r="V649" s="380"/>
      <c r="W649" s="403"/>
      <c r="X649" s="380"/>
      <c r="Y649" s="380"/>
      <c r="Z649" s="380"/>
      <c r="AA649" s="380"/>
      <c r="AB649" s="380"/>
      <c r="AC649" s="404"/>
      <c r="AD649" s="380"/>
      <c r="AE649" s="380"/>
      <c r="AF649" s="380"/>
      <c r="AG649" s="380"/>
      <c r="AH649" s="380"/>
      <c r="AI649" s="380"/>
      <c r="AJ649" s="380"/>
      <c r="AK649" s="403"/>
      <c r="AL649" s="380"/>
      <c r="AM649" s="380"/>
      <c r="AN649" s="380"/>
      <c r="AO649" s="380"/>
      <c r="AP649" s="380"/>
      <c r="AQ649" s="404"/>
      <c r="AR649" s="380"/>
      <c r="AS649" s="380"/>
      <c r="AT649" s="380"/>
      <c r="AU649" s="380"/>
      <c r="AV649" s="380"/>
      <c r="AW649" s="380"/>
      <c r="AX649" s="380"/>
      <c r="AY649" s="403"/>
      <c r="AZ649" s="380"/>
      <c r="BA649" s="380"/>
      <c r="BB649" s="380"/>
      <c r="BC649" s="380"/>
      <c r="BD649" s="380"/>
      <c r="BE649" s="404"/>
      <c r="BF649" s="380"/>
      <c r="BG649" s="380"/>
      <c r="BH649" s="380"/>
      <c r="BI649" s="380"/>
      <c r="BJ649" s="380"/>
      <c r="BK649" s="380"/>
      <c r="BL649" s="380"/>
      <c r="BM649" s="403"/>
      <c r="BS649" s="83"/>
      <c r="CA649" s="405"/>
      <c r="CG649" s="83"/>
      <c r="CO649" s="405"/>
      <c r="CU649" s="83"/>
      <c r="DC649" s="405"/>
      <c r="DI649" s="83"/>
      <c r="DQ649" s="405"/>
      <c r="DW649" s="83"/>
      <c r="EE649" s="405"/>
      <c r="EK649" s="83"/>
      <c r="ES649" s="405"/>
      <c r="EY649" s="83"/>
      <c r="FG649" s="405"/>
      <c r="FM649" s="83"/>
      <c r="FU649" s="405"/>
      <c r="GA649" s="83"/>
      <c r="GI649" s="405"/>
      <c r="GO649" s="83"/>
      <c r="GW649" s="405"/>
      <c r="HC649" s="83"/>
      <c r="HK649" s="405"/>
      <c r="HQ649" s="83"/>
      <c r="HY649" s="405"/>
      <c r="IE649" s="83"/>
      <c r="IM649" s="405"/>
      <c r="IS649" s="83"/>
      <c r="JA649" s="405"/>
      <c r="JG649" s="83"/>
      <c r="JO649" s="405"/>
      <c r="JU649" s="83"/>
      <c r="KC649" s="405"/>
      <c r="KI649" s="83"/>
      <c r="KQ649" s="405"/>
      <c r="KW649" s="83"/>
      <c r="LE649" s="405"/>
      <c r="LK649" s="83"/>
      <c r="LS649" s="405"/>
      <c r="LY649" s="83"/>
      <c r="MG649" s="405"/>
      <c r="MM649" s="83"/>
      <c r="MU649" s="405"/>
      <c r="NA649" s="83"/>
    </row>
    <row r="650">
      <c r="A650" s="483"/>
      <c r="B650" s="380"/>
      <c r="C650" s="380"/>
      <c r="D650" s="380"/>
      <c r="E650" s="380"/>
      <c r="F650" s="380"/>
      <c r="G650" s="380"/>
      <c r="H650" s="380"/>
      <c r="I650" s="403"/>
      <c r="J650" s="380"/>
      <c r="K650" s="380"/>
      <c r="L650" s="380"/>
      <c r="M650" s="380"/>
      <c r="N650" s="380"/>
      <c r="O650" s="404"/>
      <c r="P650" s="380"/>
      <c r="Q650" s="380"/>
      <c r="R650" s="380"/>
      <c r="S650" s="380"/>
      <c r="T650" s="380"/>
      <c r="U650" s="380"/>
      <c r="V650" s="380"/>
      <c r="W650" s="403"/>
      <c r="X650" s="380"/>
      <c r="Y650" s="380"/>
      <c r="Z650" s="380"/>
      <c r="AA650" s="380"/>
      <c r="AB650" s="380"/>
      <c r="AC650" s="404"/>
      <c r="AD650" s="380"/>
      <c r="AE650" s="380"/>
      <c r="AF650" s="380"/>
      <c r="AG650" s="380"/>
      <c r="AH650" s="380"/>
      <c r="AI650" s="380"/>
      <c r="AJ650" s="380"/>
      <c r="AK650" s="403"/>
      <c r="AL650" s="380"/>
      <c r="AM650" s="380"/>
      <c r="AN650" s="380"/>
      <c r="AO650" s="380"/>
      <c r="AP650" s="380"/>
      <c r="AQ650" s="404"/>
      <c r="AR650" s="380"/>
      <c r="AS650" s="380"/>
      <c r="AT650" s="380"/>
      <c r="AU650" s="380"/>
      <c r="AV650" s="380"/>
      <c r="AW650" s="380"/>
      <c r="AX650" s="380"/>
      <c r="AY650" s="403"/>
      <c r="AZ650" s="380"/>
      <c r="BA650" s="380"/>
      <c r="BB650" s="380"/>
      <c r="BC650" s="380"/>
      <c r="BD650" s="380"/>
      <c r="BE650" s="404"/>
      <c r="BF650" s="380"/>
      <c r="BG650" s="380"/>
      <c r="BH650" s="380"/>
      <c r="BI650" s="380"/>
      <c r="BJ650" s="380"/>
      <c r="BK650" s="380"/>
      <c r="BL650" s="380"/>
      <c r="BM650" s="403"/>
      <c r="BS650" s="83"/>
      <c r="CA650" s="405"/>
      <c r="CG650" s="83"/>
      <c r="CO650" s="405"/>
      <c r="CU650" s="83"/>
      <c r="DC650" s="405"/>
      <c r="DI650" s="83"/>
      <c r="DQ650" s="405"/>
      <c r="DW650" s="83"/>
      <c r="EE650" s="405"/>
      <c r="EK650" s="83"/>
      <c r="ES650" s="405"/>
      <c r="EY650" s="83"/>
      <c r="FG650" s="405"/>
      <c r="FM650" s="83"/>
      <c r="FU650" s="405"/>
      <c r="GA650" s="83"/>
      <c r="GI650" s="405"/>
      <c r="GO650" s="83"/>
      <c r="GW650" s="405"/>
      <c r="HC650" s="83"/>
      <c r="HK650" s="405"/>
      <c r="HQ650" s="83"/>
      <c r="HY650" s="405"/>
      <c r="IE650" s="83"/>
      <c r="IM650" s="405"/>
      <c r="IS650" s="83"/>
      <c r="JA650" s="405"/>
      <c r="JG650" s="83"/>
      <c r="JO650" s="405"/>
      <c r="JU650" s="83"/>
      <c r="KC650" s="405"/>
      <c r="KI650" s="83"/>
      <c r="KQ650" s="405"/>
      <c r="KW650" s="83"/>
      <c r="LE650" s="405"/>
      <c r="LK650" s="83"/>
      <c r="LS650" s="405"/>
      <c r="LY650" s="83"/>
      <c r="MG650" s="405"/>
      <c r="MM650" s="83"/>
      <c r="MU650" s="405"/>
      <c r="NA650" s="83"/>
    </row>
    <row r="651">
      <c r="A651" s="483"/>
      <c r="B651" s="380"/>
      <c r="C651" s="380"/>
      <c r="D651" s="380"/>
      <c r="E651" s="380"/>
      <c r="F651" s="380"/>
      <c r="G651" s="380"/>
      <c r="H651" s="380"/>
      <c r="I651" s="403"/>
      <c r="J651" s="380"/>
      <c r="K651" s="380"/>
      <c r="L651" s="380"/>
      <c r="M651" s="380"/>
      <c r="N651" s="380"/>
      <c r="O651" s="404"/>
      <c r="P651" s="380"/>
      <c r="Q651" s="380"/>
      <c r="R651" s="380"/>
      <c r="S651" s="380"/>
      <c r="T651" s="380"/>
      <c r="U651" s="380"/>
      <c r="V651" s="380"/>
      <c r="W651" s="403"/>
      <c r="X651" s="380"/>
      <c r="Y651" s="380"/>
      <c r="Z651" s="380"/>
      <c r="AA651" s="380"/>
      <c r="AB651" s="380"/>
      <c r="AC651" s="404"/>
      <c r="AD651" s="380"/>
      <c r="AE651" s="380"/>
      <c r="AF651" s="380"/>
      <c r="AG651" s="380"/>
      <c r="AH651" s="380"/>
      <c r="AI651" s="380"/>
      <c r="AJ651" s="380"/>
      <c r="AK651" s="403"/>
      <c r="AL651" s="380"/>
      <c r="AM651" s="380"/>
      <c r="AN651" s="380"/>
      <c r="AO651" s="380"/>
      <c r="AP651" s="380"/>
      <c r="AQ651" s="404"/>
      <c r="AR651" s="380"/>
      <c r="AS651" s="380"/>
      <c r="AT651" s="380"/>
      <c r="AU651" s="380"/>
      <c r="AV651" s="380"/>
      <c r="AW651" s="380"/>
      <c r="AX651" s="380"/>
      <c r="AY651" s="403"/>
      <c r="AZ651" s="380"/>
      <c r="BA651" s="380"/>
      <c r="BB651" s="380"/>
      <c r="BC651" s="380"/>
      <c r="BD651" s="380"/>
      <c r="BE651" s="404"/>
      <c r="BF651" s="380"/>
      <c r="BG651" s="380"/>
      <c r="BH651" s="380"/>
      <c r="BI651" s="380"/>
      <c r="BJ651" s="380"/>
      <c r="BK651" s="380"/>
      <c r="BL651" s="380"/>
      <c r="BM651" s="403"/>
      <c r="BS651" s="83"/>
      <c r="CA651" s="405"/>
      <c r="CG651" s="83"/>
      <c r="CO651" s="405"/>
      <c r="CU651" s="83"/>
      <c r="DC651" s="405"/>
      <c r="DI651" s="83"/>
      <c r="DQ651" s="405"/>
      <c r="DW651" s="83"/>
      <c r="EE651" s="405"/>
      <c r="EK651" s="83"/>
      <c r="ES651" s="405"/>
      <c r="EY651" s="83"/>
      <c r="FG651" s="405"/>
      <c r="FM651" s="83"/>
      <c r="FU651" s="405"/>
      <c r="GA651" s="83"/>
      <c r="GI651" s="405"/>
      <c r="GO651" s="83"/>
      <c r="GW651" s="405"/>
      <c r="HC651" s="83"/>
      <c r="HK651" s="405"/>
      <c r="HQ651" s="83"/>
      <c r="HY651" s="405"/>
      <c r="IE651" s="83"/>
      <c r="IM651" s="405"/>
      <c r="IS651" s="83"/>
      <c r="JA651" s="405"/>
      <c r="JG651" s="83"/>
      <c r="JO651" s="405"/>
      <c r="JU651" s="83"/>
      <c r="KC651" s="405"/>
      <c r="KI651" s="83"/>
      <c r="KQ651" s="405"/>
      <c r="KW651" s="83"/>
      <c r="LE651" s="405"/>
      <c r="LK651" s="83"/>
      <c r="LS651" s="405"/>
      <c r="LY651" s="83"/>
      <c r="MG651" s="405"/>
      <c r="MM651" s="83"/>
      <c r="MU651" s="405"/>
      <c r="NA651" s="83"/>
    </row>
    <row r="652">
      <c r="A652" s="483"/>
      <c r="B652" s="380"/>
      <c r="C652" s="380"/>
      <c r="D652" s="380"/>
      <c r="E652" s="380"/>
      <c r="F652" s="380"/>
      <c r="G652" s="380"/>
      <c r="H652" s="380"/>
      <c r="I652" s="403"/>
      <c r="J652" s="380"/>
      <c r="K652" s="380"/>
      <c r="L652" s="380"/>
      <c r="M652" s="380"/>
      <c r="N652" s="380"/>
      <c r="O652" s="404"/>
      <c r="P652" s="380"/>
      <c r="Q652" s="380"/>
      <c r="R652" s="380"/>
      <c r="S652" s="380"/>
      <c r="T652" s="380"/>
      <c r="U652" s="380"/>
      <c r="V652" s="380"/>
      <c r="W652" s="403"/>
      <c r="X652" s="380"/>
      <c r="Y652" s="380"/>
      <c r="Z652" s="380"/>
      <c r="AA652" s="380"/>
      <c r="AB652" s="380"/>
      <c r="AC652" s="404"/>
      <c r="AD652" s="380"/>
      <c r="AE652" s="380"/>
      <c r="AF652" s="380"/>
      <c r="AG652" s="380"/>
      <c r="AH652" s="380"/>
      <c r="AI652" s="380"/>
      <c r="AJ652" s="380"/>
      <c r="AK652" s="403"/>
      <c r="AL652" s="380"/>
      <c r="AM652" s="380"/>
      <c r="AN652" s="380"/>
      <c r="AO652" s="380"/>
      <c r="AP652" s="380"/>
      <c r="AQ652" s="404"/>
      <c r="AR652" s="380"/>
      <c r="AS652" s="380"/>
      <c r="AT652" s="380"/>
      <c r="AU652" s="380"/>
      <c r="AV652" s="380"/>
      <c r="AW652" s="380"/>
      <c r="AX652" s="380"/>
      <c r="AY652" s="403"/>
      <c r="AZ652" s="380"/>
      <c r="BA652" s="380"/>
      <c r="BB652" s="380"/>
      <c r="BC652" s="380"/>
      <c r="BD652" s="380"/>
      <c r="BE652" s="404"/>
      <c r="BF652" s="380"/>
      <c r="BG652" s="380"/>
      <c r="BH652" s="380"/>
      <c r="BI652" s="380"/>
      <c r="BJ652" s="380"/>
      <c r="BK652" s="380"/>
      <c r="BL652" s="380"/>
      <c r="BM652" s="403"/>
      <c r="BS652" s="83"/>
      <c r="CA652" s="405"/>
      <c r="CG652" s="83"/>
      <c r="CO652" s="405"/>
      <c r="CU652" s="83"/>
      <c r="DC652" s="405"/>
      <c r="DI652" s="83"/>
      <c r="DQ652" s="405"/>
      <c r="DW652" s="83"/>
      <c r="EE652" s="405"/>
      <c r="EK652" s="83"/>
      <c r="ES652" s="405"/>
      <c r="EY652" s="83"/>
      <c r="FG652" s="405"/>
      <c r="FM652" s="83"/>
      <c r="FU652" s="405"/>
      <c r="GA652" s="83"/>
      <c r="GI652" s="405"/>
      <c r="GO652" s="83"/>
      <c r="GW652" s="405"/>
      <c r="HC652" s="83"/>
      <c r="HK652" s="405"/>
      <c r="HQ652" s="83"/>
      <c r="HY652" s="405"/>
      <c r="IE652" s="83"/>
      <c r="IM652" s="405"/>
      <c r="IS652" s="83"/>
      <c r="JA652" s="405"/>
      <c r="JG652" s="83"/>
      <c r="JO652" s="405"/>
      <c r="JU652" s="83"/>
      <c r="KC652" s="405"/>
      <c r="KI652" s="83"/>
      <c r="KQ652" s="405"/>
      <c r="KW652" s="83"/>
      <c r="LE652" s="405"/>
      <c r="LK652" s="83"/>
      <c r="LS652" s="405"/>
      <c r="LY652" s="83"/>
      <c r="MG652" s="405"/>
      <c r="MM652" s="83"/>
      <c r="MU652" s="405"/>
      <c r="NA652" s="83"/>
    </row>
    <row r="653">
      <c r="A653" s="483"/>
      <c r="B653" s="380"/>
      <c r="C653" s="380"/>
      <c r="D653" s="380"/>
      <c r="E653" s="380"/>
      <c r="F653" s="380"/>
      <c r="G653" s="380"/>
      <c r="H653" s="380"/>
      <c r="I653" s="403"/>
      <c r="J653" s="380"/>
      <c r="K653" s="380"/>
      <c r="L653" s="380"/>
      <c r="M653" s="380"/>
      <c r="N653" s="380"/>
      <c r="O653" s="404"/>
      <c r="P653" s="380"/>
      <c r="Q653" s="380"/>
      <c r="R653" s="380"/>
      <c r="S653" s="380"/>
      <c r="T653" s="380"/>
      <c r="U653" s="380"/>
      <c r="V653" s="380"/>
      <c r="W653" s="403"/>
      <c r="X653" s="380"/>
      <c r="Y653" s="380"/>
      <c r="Z653" s="380"/>
      <c r="AA653" s="380"/>
      <c r="AB653" s="380"/>
      <c r="AC653" s="404"/>
      <c r="AD653" s="380"/>
      <c r="AE653" s="380"/>
      <c r="AF653" s="380"/>
      <c r="AG653" s="380"/>
      <c r="AH653" s="380"/>
      <c r="AI653" s="380"/>
      <c r="AJ653" s="380"/>
      <c r="AK653" s="403"/>
      <c r="AL653" s="380"/>
      <c r="AM653" s="380"/>
      <c r="AN653" s="380"/>
      <c r="AO653" s="380"/>
      <c r="AP653" s="380"/>
      <c r="AQ653" s="404"/>
      <c r="AR653" s="380"/>
      <c r="AS653" s="380"/>
      <c r="AT653" s="380"/>
      <c r="AU653" s="380"/>
      <c r="AV653" s="380"/>
      <c r="AW653" s="380"/>
      <c r="AX653" s="380"/>
      <c r="AY653" s="403"/>
      <c r="AZ653" s="380"/>
      <c r="BA653" s="380"/>
      <c r="BB653" s="380"/>
      <c r="BC653" s="380"/>
      <c r="BD653" s="380"/>
      <c r="BE653" s="404"/>
      <c r="BF653" s="380"/>
      <c r="BG653" s="380"/>
      <c r="BH653" s="380"/>
      <c r="BI653" s="380"/>
      <c r="BJ653" s="380"/>
      <c r="BK653" s="380"/>
      <c r="BL653" s="380"/>
      <c r="BM653" s="403"/>
      <c r="BS653" s="83"/>
      <c r="CA653" s="405"/>
      <c r="CG653" s="83"/>
      <c r="CO653" s="405"/>
      <c r="CU653" s="83"/>
      <c r="DC653" s="405"/>
      <c r="DI653" s="83"/>
      <c r="DQ653" s="405"/>
      <c r="DW653" s="83"/>
      <c r="EE653" s="405"/>
      <c r="EK653" s="83"/>
      <c r="ES653" s="405"/>
      <c r="EY653" s="83"/>
      <c r="FG653" s="405"/>
      <c r="FM653" s="83"/>
      <c r="FU653" s="405"/>
      <c r="GA653" s="83"/>
      <c r="GI653" s="405"/>
      <c r="GO653" s="83"/>
      <c r="GW653" s="405"/>
      <c r="HC653" s="83"/>
      <c r="HK653" s="405"/>
      <c r="HQ653" s="83"/>
      <c r="HY653" s="405"/>
      <c r="IE653" s="83"/>
      <c r="IM653" s="405"/>
      <c r="IS653" s="83"/>
      <c r="JA653" s="405"/>
      <c r="JG653" s="83"/>
      <c r="JO653" s="405"/>
      <c r="JU653" s="83"/>
      <c r="KC653" s="405"/>
      <c r="KI653" s="83"/>
      <c r="KQ653" s="405"/>
      <c r="KW653" s="83"/>
      <c r="LE653" s="405"/>
      <c r="LK653" s="83"/>
      <c r="LS653" s="405"/>
      <c r="LY653" s="83"/>
      <c r="MG653" s="405"/>
      <c r="MM653" s="83"/>
      <c r="MU653" s="405"/>
      <c r="NA653" s="83"/>
    </row>
    <row r="654">
      <c r="A654" s="483"/>
      <c r="B654" s="380"/>
      <c r="C654" s="380"/>
      <c r="D654" s="380"/>
      <c r="E654" s="380"/>
      <c r="F654" s="380"/>
      <c r="G654" s="380"/>
      <c r="H654" s="380"/>
      <c r="I654" s="403"/>
      <c r="J654" s="380"/>
      <c r="K654" s="380"/>
      <c r="L654" s="380"/>
      <c r="M654" s="380"/>
      <c r="N654" s="380"/>
      <c r="O654" s="404"/>
      <c r="P654" s="380"/>
      <c r="Q654" s="380"/>
      <c r="R654" s="380"/>
      <c r="S654" s="380"/>
      <c r="T654" s="380"/>
      <c r="U654" s="380"/>
      <c r="V654" s="380"/>
      <c r="W654" s="403"/>
      <c r="X654" s="380"/>
      <c r="Y654" s="380"/>
      <c r="Z654" s="380"/>
      <c r="AA654" s="380"/>
      <c r="AB654" s="380"/>
      <c r="AC654" s="404"/>
      <c r="AD654" s="380"/>
      <c r="AE654" s="380"/>
      <c r="AF654" s="380"/>
      <c r="AG654" s="380"/>
      <c r="AH654" s="380"/>
      <c r="AI654" s="380"/>
      <c r="AJ654" s="380"/>
      <c r="AK654" s="403"/>
      <c r="AL654" s="380"/>
      <c r="AM654" s="380"/>
      <c r="AN654" s="380"/>
      <c r="AO654" s="380"/>
      <c r="AP654" s="380"/>
      <c r="AQ654" s="404"/>
      <c r="AR654" s="380"/>
      <c r="AS654" s="380"/>
      <c r="AT654" s="380"/>
      <c r="AU654" s="380"/>
      <c r="AV654" s="380"/>
      <c r="AW654" s="380"/>
      <c r="AX654" s="380"/>
      <c r="AY654" s="403"/>
      <c r="AZ654" s="380"/>
      <c r="BA654" s="380"/>
      <c r="BB654" s="380"/>
      <c r="BC654" s="380"/>
      <c r="BD654" s="380"/>
      <c r="BE654" s="404"/>
      <c r="BF654" s="380"/>
      <c r="BG654" s="380"/>
      <c r="BH654" s="380"/>
      <c r="BI654" s="380"/>
      <c r="BJ654" s="380"/>
      <c r="BK654" s="380"/>
      <c r="BL654" s="380"/>
      <c r="BM654" s="403"/>
      <c r="BS654" s="83"/>
      <c r="CA654" s="405"/>
      <c r="CG654" s="83"/>
      <c r="CO654" s="405"/>
      <c r="CU654" s="83"/>
      <c r="DC654" s="405"/>
      <c r="DI654" s="83"/>
      <c r="DQ654" s="405"/>
      <c r="DW654" s="83"/>
      <c r="EE654" s="405"/>
      <c r="EK654" s="83"/>
      <c r="ES654" s="405"/>
      <c r="EY654" s="83"/>
      <c r="FG654" s="405"/>
      <c r="FM654" s="83"/>
      <c r="FU654" s="405"/>
      <c r="GA654" s="83"/>
      <c r="GI654" s="405"/>
      <c r="GO654" s="83"/>
      <c r="GW654" s="405"/>
      <c r="HC654" s="83"/>
      <c r="HK654" s="405"/>
      <c r="HQ654" s="83"/>
      <c r="HY654" s="405"/>
      <c r="IE654" s="83"/>
      <c r="IM654" s="405"/>
      <c r="IS654" s="83"/>
      <c r="JA654" s="405"/>
      <c r="JG654" s="83"/>
      <c r="JO654" s="405"/>
      <c r="JU654" s="83"/>
      <c r="KC654" s="405"/>
      <c r="KI654" s="83"/>
      <c r="KQ654" s="405"/>
      <c r="KW654" s="83"/>
      <c r="LE654" s="405"/>
      <c r="LK654" s="83"/>
      <c r="LS654" s="405"/>
      <c r="LY654" s="83"/>
      <c r="MG654" s="405"/>
      <c r="MM654" s="83"/>
      <c r="MU654" s="405"/>
      <c r="NA654" s="83"/>
    </row>
    <row r="655">
      <c r="A655" s="483"/>
      <c r="B655" s="380"/>
      <c r="C655" s="380"/>
      <c r="D655" s="380"/>
      <c r="E655" s="380"/>
      <c r="F655" s="380"/>
      <c r="G655" s="380"/>
      <c r="H655" s="380"/>
      <c r="I655" s="403"/>
      <c r="J655" s="380"/>
      <c r="K655" s="380"/>
      <c r="L655" s="380"/>
      <c r="M655" s="380"/>
      <c r="N655" s="380"/>
      <c r="O655" s="404"/>
      <c r="P655" s="380"/>
      <c r="Q655" s="380"/>
      <c r="R655" s="380"/>
      <c r="S655" s="380"/>
      <c r="T655" s="380"/>
      <c r="U655" s="380"/>
      <c r="V655" s="380"/>
      <c r="W655" s="403"/>
      <c r="X655" s="380"/>
      <c r="Y655" s="380"/>
      <c r="Z655" s="380"/>
      <c r="AA655" s="380"/>
      <c r="AB655" s="380"/>
      <c r="AC655" s="404"/>
      <c r="AD655" s="380"/>
      <c r="AE655" s="380"/>
      <c r="AF655" s="380"/>
      <c r="AG655" s="380"/>
      <c r="AH655" s="380"/>
      <c r="AI655" s="380"/>
      <c r="AJ655" s="380"/>
      <c r="AK655" s="403"/>
      <c r="AL655" s="380"/>
      <c r="AM655" s="380"/>
      <c r="AN655" s="380"/>
      <c r="AO655" s="380"/>
      <c r="AP655" s="380"/>
      <c r="AQ655" s="404"/>
      <c r="AR655" s="380"/>
      <c r="AS655" s="380"/>
      <c r="AT655" s="380"/>
      <c r="AU655" s="380"/>
      <c r="AV655" s="380"/>
      <c r="AW655" s="380"/>
      <c r="AX655" s="380"/>
      <c r="AY655" s="403"/>
      <c r="AZ655" s="380"/>
      <c r="BA655" s="380"/>
      <c r="BB655" s="380"/>
      <c r="BC655" s="380"/>
      <c r="BD655" s="380"/>
      <c r="BE655" s="404"/>
      <c r="BF655" s="380"/>
      <c r="BG655" s="380"/>
      <c r="BH655" s="380"/>
      <c r="BI655" s="380"/>
      <c r="BJ655" s="380"/>
      <c r="BK655" s="380"/>
      <c r="BL655" s="380"/>
      <c r="BM655" s="403"/>
      <c r="BS655" s="83"/>
      <c r="CA655" s="405"/>
      <c r="CG655" s="83"/>
      <c r="CO655" s="405"/>
      <c r="CU655" s="83"/>
      <c r="DC655" s="405"/>
      <c r="DI655" s="83"/>
      <c r="DQ655" s="405"/>
      <c r="DW655" s="83"/>
      <c r="EE655" s="405"/>
      <c r="EK655" s="83"/>
      <c r="ES655" s="405"/>
      <c r="EY655" s="83"/>
      <c r="FG655" s="405"/>
      <c r="FM655" s="83"/>
      <c r="FU655" s="405"/>
      <c r="GA655" s="83"/>
      <c r="GI655" s="405"/>
      <c r="GO655" s="83"/>
      <c r="GW655" s="405"/>
      <c r="HC655" s="83"/>
      <c r="HK655" s="405"/>
      <c r="HQ655" s="83"/>
      <c r="HY655" s="405"/>
      <c r="IE655" s="83"/>
      <c r="IM655" s="405"/>
      <c r="IS655" s="83"/>
      <c r="JA655" s="405"/>
      <c r="JG655" s="83"/>
      <c r="JO655" s="405"/>
      <c r="JU655" s="83"/>
      <c r="KC655" s="405"/>
      <c r="KI655" s="83"/>
      <c r="KQ655" s="405"/>
      <c r="KW655" s="83"/>
      <c r="LE655" s="405"/>
      <c r="LK655" s="83"/>
      <c r="LS655" s="405"/>
      <c r="LY655" s="83"/>
      <c r="MG655" s="405"/>
      <c r="MM655" s="83"/>
      <c r="MU655" s="405"/>
      <c r="NA655" s="83"/>
    </row>
    <row r="656">
      <c r="A656" s="483"/>
      <c r="B656" s="380"/>
      <c r="C656" s="380"/>
      <c r="D656" s="380"/>
      <c r="E656" s="380"/>
      <c r="F656" s="380"/>
      <c r="G656" s="380"/>
      <c r="H656" s="380"/>
      <c r="I656" s="403"/>
      <c r="J656" s="380"/>
      <c r="K656" s="380"/>
      <c r="L656" s="380"/>
      <c r="M656" s="380"/>
      <c r="N656" s="380"/>
      <c r="O656" s="404"/>
      <c r="P656" s="380"/>
      <c r="Q656" s="380"/>
      <c r="R656" s="380"/>
      <c r="S656" s="380"/>
      <c r="T656" s="380"/>
      <c r="U656" s="380"/>
      <c r="V656" s="380"/>
      <c r="W656" s="403"/>
      <c r="X656" s="380"/>
      <c r="Y656" s="380"/>
      <c r="Z656" s="380"/>
      <c r="AA656" s="380"/>
      <c r="AB656" s="380"/>
      <c r="AC656" s="404"/>
      <c r="AD656" s="380"/>
      <c r="AE656" s="380"/>
      <c r="AF656" s="380"/>
      <c r="AG656" s="380"/>
      <c r="AH656" s="380"/>
      <c r="AI656" s="380"/>
      <c r="AJ656" s="380"/>
      <c r="AK656" s="403"/>
      <c r="AL656" s="380"/>
      <c r="AM656" s="380"/>
      <c r="AN656" s="380"/>
      <c r="AO656" s="380"/>
      <c r="AP656" s="380"/>
      <c r="AQ656" s="404"/>
      <c r="AR656" s="380"/>
      <c r="AS656" s="380"/>
      <c r="AT656" s="380"/>
      <c r="AU656" s="380"/>
      <c r="AV656" s="380"/>
      <c r="AW656" s="380"/>
      <c r="AX656" s="380"/>
      <c r="AY656" s="403"/>
      <c r="AZ656" s="380"/>
      <c r="BA656" s="380"/>
      <c r="BB656" s="380"/>
      <c r="BC656" s="380"/>
      <c r="BD656" s="380"/>
      <c r="BE656" s="404"/>
      <c r="BF656" s="380"/>
      <c r="BG656" s="380"/>
      <c r="BH656" s="380"/>
      <c r="BI656" s="380"/>
      <c r="BJ656" s="380"/>
      <c r="BK656" s="380"/>
      <c r="BL656" s="380"/>
      <c r="BM656" s="403"/>
      <c r="BS656" s="83"/>
      <c r="CA656" s="405"/>
      <c r="CG656" s="83"/>
      <c r="CO656" s="405"/>
      <c r="CU656" s="83"/>
      <c r="DC656" s="405"/>
      <c r="DI656" s="83"/>
      <c r="DQ656" s="405"/>
      <c r="DW656" s="83"/>
      <c r="EE656" s="405"/>
      <c r="EK656" s="83"/>
      <c r="ES656" s="405"/>
      <c r="EY656" s="83"/>
      <c r="FG656" s="405"/>
      <c r="FM656" s="83"/>
      <c r="FU656" s="405"/>
      <c r="GA656" s="83"/>
      <c r="GI656" s="405"/>
      <c r="GO656" s="83"/>
      <c r="GW656" s="405"/>
      <c r="HC656" s="83"/>
      <c r="HK656" s="405"/>
      <c r="HQ656" s="83"/>
      <c r="HY656" s="405"/>
      <c r="IE656" s="83"/>
      <c r="IM656" s="405"/>
      <c r="IS656" s="83"/>
      <c r="JA656" s="405"/>
      <c r="JG656" s="83"/>
      <c r="JO656" s="405"/>
      <c r="JU656" s="83"/>
      <c r="KC656" s="405"/>
      <c r="KI656" s="83"/>
      <c r="KQ656" s="405"/>
      <c r="KW656" s="83"/>
      <c r="LE656" s="405"/>
      <c r="LK656" s="83"/>
      <c r="LS656" s="405"/>
      <c r="LY656" s="83"/>
      <c r="MG656" s="405"/>
      <c r="MM656" s="83"/>
      <c r="MU656" s="405"/>
      <c r="NA656" s="83"/>
    </row>
    <row r="657">
      <c r="A657" s="483"/>
      <c r="B657" s="380"/>
      <c r="C657" s="380"/>
      <c r="D657" s="380"/>
      <c r="E657" s="380"/>
      <c r="F657" s="380"/>
      <c r="G657" s="380"/>
      <c r="H657" s="380"/>
      <c r="I657" s="403"/>
      <c r="J657" s="380"/>
      <c r="K657" s="380"/>
      <c r="L657" s="380"/>
      <c r="M657" s="380"/>
      <c r="N657" s="380"/>
      <c r="O657" s="404"/>
      <c r="P657" s="380"/>
      <c r="Q657" s="380"/>
      <c r="R657" s="380"/>
      <c r="S657" s="380"/>
      <c r="T657" s="380"/>
      <c r="U657" s="380"/>
      <c r="V657" s="380"/>
      <c r="W657" s="403"/>
      <c r="X657" s="380"/>
      <c r="Y657" s="380"/>
      <c r="Z657" s="380"/>
      <c r="AA657" s="380"/>
      <c r="AB657" s="380"/>
      <c r="AC657" s="404"/>
      <c r="AD657" s="380"/>
      <c r="AE657" s="380"/>
      <c r="AF657" s="380"/>
      <c r="AG657" s="380"/>
      <c r="AH657" s="380"/>
      <c r="AI657" s="380"/>
      <c r="AJ657" s="380"/>
      <c r="AK657" s="403"/>
      <c r="AL657" s="380"/>
      <c r="AM657" s="380"/>
      <c r="AN657" s="380"/>
      <c r="AO657" s="380"/>
      <c r="AP657" s="380"/>
      <c r="AQ657" s="404"/>
      <c r="AR657" s="380"/>
      <c r="AS657" s="380"/>
      <c r="AT657" s="380"/>
      <c r="AU657" s="380"/>
      <c r="AV657" s="380"/>
      <c r="AW657" s="380"/>
      <c r="AX657" s="380"/>
      <c r="AY657" s="403"/>
      <c r="AZ657" s="380"/>
      <c r="BA657" s="380"/>
      <c r="BB657" s="380"/>
      <c r="BC657" s="380"/>
      <c r="BD657" s="380"/>
      <c r="BE657" s="404"/>
      <c r="BF657" s="380"/>
      <c r="BG657" s="380"/>
      <c r="BH657" s="380"/>
      <c r="BI657" s="380"/>
      <c r="BJ657" s="380"/>
      <c r="BK657" s="380"/>
      <c r="BL657" s="380"/>
      <c r="BM657" s="403"/>
      <c r="BS657" s="83"/>
      <c r="CA657" s="405"/>
      <c r="CG657" s="83"/>
      <c r="CO657" s="405"/>
      <c r="CU657" s="83"/>
      <c r="DC657" s="405"/>
      <c r="DI657" s="83"/>
      <c r="DQ657" s="405"/>
      <c r="DW657" s="83"/>
      <c r="EE657" s="405"/>
      <c r="EK657" s="83"/>
      <c r="ES657" s="405"/>
      <c r="EY657" s="83"/>
      <c r="FG657" s="405"/>
      <c r="FM657" s="83"/>
      <c r="FU657" s="405"/>
      <c r="GA657" s="83"/>
      <c r="GI657" s="405"/>
      <c r="GO657" s="83"/>
      <c r="GW657" s="405"/>
      <c r="HC657" s="83"/>
      <c r="HK657" s="405"/>
      <c r="HQ657" s="83"/>
      <c r="HY657" s="405"/>
      <c r="IE657" s="83"/>
      <c r="IM657" s="405"/>
      <c r="IS657" s="83"/>
      <c r="JA657" s="405"/>
      <c r="JG657" s="83"/>
      <c r="JO657" s="405"/>
      <c r="JU657" s="83"/>
      <c r="KC657" s="405"/>
      <c r="KI657" s="83"/>
      <c r="KQ657" s="405"/>
      <c r="KW657" s="83"/>
      <c r="LE657" s="405"/>
      <c r="LK657" s="83"/>
      <c r="LS657" s="405"/>
      <c r="LY657" s="83"/>
      <c r="MG657" s="405"/>
      <c r="MM657" s="83"/>
      <c r="MU657" s="405"/>
      <c r="NA657" s="83"/>
    </row>
    <row r="658">
      <c r="A658" s="483"/>
      <c r="B658" s="380"/>
      <c r="C658" s="380"/>
      <c r="D658" s="380"/>
      <c r="E658" s="380"/>
      <c r="F658" s="380"/>
      <c r="G658" s="380"/>
      <c r="H658" s="380"/>
      <c r="I658" s="403"/>
      <c r="J658" s="380"/>
      <c r="K658" s="380"/>
      <c r="L658" s="380"/>
      <c r="M658" s="380"/>
      <c r="N658" s="380"/>
      <c r="O658" s="404"/>
      <c r="P658" s="380"/>
      <c r="Q658" s="380"/>
      <c r="R658" s="380"/>
      <c r="S658" s="380"/>
      <c r="T658" s="380"/>
      <c r="U658" s="380"/>
      <c r="V658" s="380"/>
      <c r="W658" s="403"/>
      <c r="X658" s="380"/>
      <c r="Y658" s="380"/>
      <c r="Z658" s="380"/>
      <c r="AA658" s="380"/>
      <c r="AB658" s="380"/>
      <c r="AC658" s="404"/>
      <c r="AD658" s="380"/>
      <c r="AE658" s="380"/>
      <c r="AF658" s="380"/>
      <c r="AG658" s="380"/>
      <c r="AH658" s="380"/>
      <c r="AI658" s="380"/>
      <c r="AJ658" s="380"/>
      <c r="AK658" s="403"/>
      <c r="AL658" s="380"/>
      <c r="AM658" s="380"/>
      <c r="AN658" s="380"/>
      <c r="AO658" s="380"/>
      <c r="AP658" s="380"/>
      <c r="AQ658" s="404"/>
      <c r="AR658" s="380"/>
      <c r="AS658" s="380"/>
      <c r="AT658" s="380"/>
      <c r="AU658" s="380"/>
      <c r="AV658" s="380"/>
      <c r="AW658" s="380"/>
      <c r="AX658" s="380"/>
      <c r="AY658" s="403"/>
      <c r="AZ658" s="380"/>
      <c r="BA658" s="380"/>
      <c r="BB658" s="380"/>
      <c r="BC658" s="380"/>
      <c r="BD658" s="380"/>
      <c r="BE658" s="404"/>
      <c r="BF658" s="380"/>
      <c r="BG658" s="380"/>
      <c r="BH658" s="380"/>
      <c r="BI658" s="380"/>
      <c r="BJ658" s="380"/>
      <c r="BK658" s="380"/>
      <c r="BL658" s="380"/>
      <c r="BM658" s="403"/>
      <c r="BS658" s="83"/>
      <c r="CA658" s="405"/>
      <c r="CG658" s="83"/>
      <c r="CO658" s="405"/>
      <c r="CU658" s="83"/>
      <c r="DC658" s="405"/>
      <c r="DI658" s="83"/>
      <c r="DQ658" s="405"/>
      <c r="DW658" s="83"/>
      <c r="EE658" s="405"/>
      <c r="EK658" s="83"/>
      <c r="ES658" s="405"/>
      <c r="EY658" s="83"/>
      <c r="FG658" s="405"/>
      <c r="FM658" s="83"/>
      <c r="FU658" s="405"/>
      <c r="GA658" s="83"/>
      <c r="GI658" s="405"/>
      <c r="GO658" s="83"/>
      <c r="GW658" s="405"/>
      <c r="HC658" s="83"/>
      <c r="HK658" s="405"/>
      <c r="HQ658" s="83"/>
      <c r="HY658" s="405"/>
      <c r="IE658" s="83"/>
      <c r="IM658" s="405"/>
      <c r="IS658" s="83"/>
      <c r="JA658" s="405"/>
      <c r="JG658" s="83"/>
      <c r="JO658" s="405"/>
      <c r="JU658" s="83"/>
      <c r="KC658" s="405"/>
      <c r="KI658" s="83"/>
      <c r="KQ658" s="405"/>
      <c r="KW658" s="83"/>
      <c r="LE658" s="405"/>
      <c r="LK658" s="83"/>
      <c r="LS658" s="405"/>
      <c r="LY658" s="83"/>
      <c r="MG658" s="405"/>
      <c r="MM658" s="83"/>
      <c r="MU658" s="405"/>
      <c r="NA658" s="83"/>
    </row>
    <row r="659">
      <c r="A659" s="483"/>
      <c r="B659" s="380"/>
      <c r="C659" s="380"/>
      <c r="D659" s="380"/>
      <c r="E659" s="380"/>
      <c r="F659" s="380"/>
      <c r="G659" s="380"/>
      <c r="H659" s="380"/>
      <c r="I659" s="403"/>
      <c r="J659" s="380"/>
      <c r="K659" s="380"/>
      <c r="L659" s="380"/>
      <c r="M659" s="380"/>
      <c r="N659" s="380"/>
      <c r="O659" s="404"/>
      <c r="P659" s="380"/>
      <c r="Q659" s="380"/>
      <c r="R659" s="380"/>
      <c r="S659" s="380"/>
      <c r="T659" s="380"/>
      <c r="U659" s="380"/>
      <c r="V659" s="380"/>
      <c r="W659" s="403"/>
      <c r="X659" s="380"/>
      <c r="Y659" s="380"/>
      <c r="Z659" s="380"/>
      <c r="AA659" s="380"/>
      <c r="AB659" s="380"/>
      <c r="AC659" s="404"/>
      <c r="AD659" s="380"/>
      <c r="AE659" s="380"/>
      <c r="AF659" s="380"/>
      <c r="AG659" s="380"/>
      <c r="AH659" s="380"/>
      <c r="AI659" s="380"/>
      <c r="AJ659" s="380"/>
      <c r="AK659" s="403"/>
      <c r="AL659" s="380"/>
      <c r="AM659" s="380"/>
      <c r="AN659" s="380"/>
      <c r="AO659" s="380"/>
      <c r="AP659" s="380"/>
      <c r="AQ659" s="404"/>
      <c r="AR659" s="380"/>
      <c r="AS659" s="380"/>
      <c r="AT659" s="380"/>
      <c r="AU659" s="380"/>
      <c r="AV659" s="380"/>
      <c r="AW659" s="380"/>
      <c r="AX659" s="380"/>
      <c r="AY659" s="403"/>
      <c r="AZ659" s="380"/>
      <c r="BA659" s="380"/>
      <c r="BB659" s="380"/>
      <c r="BC659" s="380"/>
      <c r="BD659" s="380"/>
      <c r="BE659" s="404"/>
      <c r="BF659" s="380"/>
      <c r="BG659" s="380"/>
      <c r="BH659" s="380"/>
      <c r="BI659" s="380"/>
      <c r="BJ659" s="380"/>
      <c r="BK659" s="380"/>
      <c r="BL659" s="380"/>
      <c r="BM659" s="403"/>
      <c r="BS659" s="83"/>
      <c r="CA659" s="405"/>
      <c r="CG659" s="83"/>
      <c r="CO659" s="405"/>
      <c r="CU659" s="83"/>
      <c r="DC659" s="405"/>
      <c r="DI659" s="83"/>
      <c r="DQ659" s="405"/>
      <c r="DW659" s="83"/>
      <c r="EE659" s="405"/>
      <c r="EK659" s="83"/>
      <c r="ES659" s="405"/>
      <c r="EY659" s="83"/>
      <c r="FG659" s="405"/>
      <c r="FM659" s="83"/>
      <c r="FU659" s="405"/>
      <c r="GA659" s="83"/>
      <c r="GI659" s="405"/>
      <c r="GO659" s="83"/>
      <c r="GW659" s="405"/>
      <c r="HC659" s="83"/>
      <c r="HK659" s="405"/>
      <c r="HQ659" s="83"/>
      <c r="HY659" s="405"/>
      <c r="IE659" s="83"/>
      <c r="IM659" s="405"/>
      <c r="IS659" s="83"/>
      <c r="JA659" s="405"/>
      <c r="JG659" s="83"/>
      <c r="JO659" s="405"/>
      <c r="JU659" s="83"/>
      <c r="KC659" s="405"/>
      <c r="KI659" s="83"/>
      <c r="KQ659" s="405"/>
      <c r="KW659" s="83"/>
      <c r="LE659" s="405"/>
      <c r="LK659" s="83"/>
      <c r="LS659" s="405"/>
      <c r="LY659" s="83"/>
      <c r="MG659" s="405"/>
      <c r="MM659" s="83"/>
      <c r="MU659" s="405"/>
      <c r="NA659" s="83"/>
    </row>
    <row r="660">
      <c r="A660" s="483"/>
      <c r="B660" s="380"/>
      <c r="C660" s="380"/>
      <c r="D660" s="380"/>
      <c r="E660" s="380"/>
      <c r="F660" s="380"/>
      <c r="G660" s="380"/>
      <c r="H660" s="380"/>
      <c r="I660" s="403"/>
      <c r="J660" s="380"/>
      <c r="K660" s="380"/>
      <c r="L660" s="380"/>
      <c r="M660" s="380"/>
      <c r="N660" s="380"/>
      <c r="O660" s="404"/>
      <c r="P660" s="380"/>
      <c r="Q660" s="380"/>
      <c r="R660" s="380"/>
      <c r="S660" s="380"/>
      <c r="T660" s="380"/>
      <c r="U660" s="380"/>
      <c r="V660" s="380"/>
      <c r="W660" s="403"/>
      <c r="X660" s="380"/>
      <c r="Y660" s="380"/>
      <c r="Z660" s="380"/>
      <c r="AA660" s="380"/>
      <c r="AB660" s="380"/>
      <c r="AC660" s="404"/>
      <c r="AD660" s="380"/>
      <c r="AE660" s="380"/>
      <c r="AF660" s="380"/>
      <c r="AG660" s="380"/>
      <c r="AH660" s="380"/>
      <c r="AI660" s="380"/>
      <c r="AJ660" s="380"/>
      <c r="AK660" s="403"/>
      <c r="AL660" s="380"/>
      <c r="AM660" s="380"/>
      <c r="AN660" s="380"/>
      <c r="AO660" s="380"/>
      <c r="AP660" s="380"/>
      <c r="AQ660" s="404"/>
      <c r="AR660" s="380"/>
      <c r="AS660" s="380"/>
      <c r="AT660" s="380"/>
      <c r="AU660" s="380"/>
      <c r="AV660" s="380"/>
      <c r="AW660" s="380"/>
      <c r="AX660" s="380"/>
      <c r="AY660" s="403"/>
      <c r="AZ660" s="380"/>
      <c r="BA660" s="380"/>
      <c r="BB660" s="380"/>
      <c r="BC660" s="380"/>
      <c r="BD660" s="380"/>
      <c r="BE660" s="404"/>
      <c r="BF660" s="380"/>
      <c r="BG660" s="380"/>
      <c r="BH660" s="380"/>
      <c r="BI660" s="380"/>
      <c r="BJ660" s="380"/>
      <c r="BK660" s="380"/>
      <c r="BL660" s="380"/>
      <c r="BM660" s="403"/>
      <c r="BS660" s="83"/>
      <c r="CA660" s="405"/>
      <c r="CG660" s="83"/>
      <c r="CO660" s="405"/>
      <c r="CU660" s="83"/>
      <c r="DC660" s="405"/>
      <c r="DI660" s="83"/>
      <c r="DQ660" s="405"/>
      <c r="DW660" s="83"/>
      <c r="EE660" s="405"/>
      <c r="EK660" s="83"/>
      <c r="ES660" s="405"/>
      <c r="EY660" s="83"/>
      <c r="FG660" s="405"/>
      <c r="FM660" s="83"/>
      <c r="FU660" s="405"/>
      <c r="GA660" s="83"/>
      <c r="GI660" s="405"/>
      <c r="GO660" s="83"/>
      <c r="GW660" s="405"/>
      <c r="HC660" s="83"/>
      <c r="HK660" s="405"/>
      <c r="HQ660" s="83"/>
      <c r="HY660" s="405"/>
      <c r="IE660" s="83"/>
      <c r="IM660" s="405"/>
      <c r="IS660" s="83"/>
      <c r="JA660" s="405"/>
      <c r="JG660" s="83"/>
      <c r="JO660" s="405"/>
      <c r="JU660" s="83"/>
      <c r="KC660" s="405"/>
      <c r="KI660" s="83"/>
      <c r="KQ660" s="405"/>
      <c r="KW660" s="83"/>
      <c r="LE660" s="405"/>
      <c r="LK660" s="83"/>
      <c r="LS660" s="405"/>
      <c r="LY660" s="83"/>
      <c r="MG660" s="405"/>
      <c r="MM660" s="83"/>
      <c r="MU660" s="405"/>
      <c r="NA660" s="83"/>
    </row>
    <row r="661">
      <c r="A661" s="483"/>
      <c r="B661" s="380"/>
      <c r="C661" s="380"/>
      <c r="D661" s="380"/>
      <c r="E661" s="380"/>
      <c r="F661" s="380"/>
      <c r="G661" s="380"/>
      <c r="H661" s="380"/>
      <c r="I661" s="403"/>
      <c r="J661" s="380"/>
      <c r="K661" s="380"/>
      <c r="L661" s="380"/>
      <c r="M661" s="380"/>
      <c r="N661" s="380"/>
      <c r="O661" s="404"/>
      <c r="P661" s="380"/>
      <c r="Q661" s="380"/>
      <c r="R661" s="380"/>
      <c r="S661" s="380"/>
      <c r="T661" s="380"/>
      <c r="U661" s="380"/>
      <c r="V661" s="380"/>
      <c r="W661" s="403"/>
      <c r="X661" s="380"/>
      <c r="Y661" s="380"/>
      <c r="Z661" s="380"/>
      <c r="AA661" s="380"/>
      <c r="AB661" s="380"/>
      <c r="AC661" s="404"/>
      <c r="AD661" s="380"/>
      <c r="AE661" s="380"/>
      <c r="AF661" s="380"/>
      <c r="AG661" s="380"/>
      <c r="AH661" s="380"/>
      <c r="AI661" s="380"/>
      <c r="AJ661" s="380"/>
      <c r="AK661" s="403"/>
      <c r="AL661" s="380"/>
      <c r="AM661" s="380"/>
      <c r="AN661" s="380"/>
      <c r="AO661" s="380"/>
      <c r="AP661" s="380"/>
      <c r="AQ661" s="404"/>
      <c r="AR661" s="380"/>
      <c r="AS661" s="380"/>
      <c r="AT661" s="380"/>
      <c r="AU661" s="380"/>
      <c r="AV661" s="380"/>
      <c r="AW661" s="380"/>
      <c r="AX661" s="380"/>
      <c r="AY661" s="403"/>
      <c r="AZ661" s="380"/>
      <c r="BA661" s="380"/>
      <c r="BB661" s="380"/>
      <c r="BC661" s="380"/>
      <c r="BD661" s="380"/>
      <c r="BE661" s="404"/>
      <c r="BF661" s="380"/>
      <c r="BG661" s="380"/>
      <c r="BH661" s="380"/>
      <c r="BI661" s="380"/>
      <c r="BJ661" s="380"/>
      <c r="BK661" s="380"/>
      <c r="BL661" s="380"/>
      <c r="BM661" s="403"/>
      <c r="BS661" s="83"/>
      <c r="CA661" s="405"/>
      <c r="CG661" s="83"/>
      <c r="CO661" s="405"/>
      <c r="CU661" s="83"/>
      <c r="DC661" s="405"/>
      <c r="DI661" s="83"/>
      <c r="DQ661" s="405"/>
      <c r="DW661" s="83"/>
      <c r="EE661" s="405"/>
      <c r="EK661" s="83"/>
      <c r="ES661" s="405"/>
      <c r="EY661" s="83"/>
      <c r="FG661" s="405"/>
      <c r="FM661" s="83"/>
      <c r="FU661" s="405"/>
      <c r="GA661" s="83"/>
      <c r="GI661" s="405"/>
      <c r="GO661" s="83"/>
      <c r="GW661" s="405"/>
      <c r="HC661" s="83"/>
      <c r="HK661" s="405"/>
      <c r="HQ661" s="83"/>
      <c r="HY661" s="405"/>
      <c r="IE661" s="83"/>
      <c r="IM661" s="405"/>
      <c r="IS661" s="83"/>
      <c r="JA661" s="405"/>
      <c r="JG661" s="83"/>
      <c r="JO661" s="405"/>
      <c r="JU661" s="83"/>
      <c r="KC661" s="405"/>
      <c r="KI661" s="83"/>
      <c r="KQ661" s="405"/>
      <c r="KW661" s="83"/>
      <c r="LE661" s="405"/>
      <c r="LK661" s="83"/>
      <c r="LS661" s="405"/>
      <c r="LY661" s="83"/>
      <c r="MG661" s="405"/>
      <c r="MM661" s="83"/>
      <c r="MU661" s="405"/>
      <c r="NA661" s="83"/>
    </row>
    <row r="662">
      <c r="A662" s="483"/>
      <c r="B662" s="380"/>
      <c r="C662" s="380"/>
      <c r="D662" s="380"/>
      <c r="E662" s="380"/>
      <c r="F662" s="380"/>
      <c r="G662" s="380"/>
      <c r="H662" s="380"/>
      <c r="I662" s="403"/>
      <c r="J662" s="380"/>
      <c r="K662" s="380"/>
      <c r="L662" s="380"/>
      <c r="M662" s="380"/>
      <c r="N662" s="380"/>
      <c r="O662" s="404"/>
      <c r="P662" s="380"/>
      <c r="Q662" s="380"/>
      <c r="R662" s="380"/>
      <c r="S662" s="380"/>
      <c r="T662" s="380"/>
      <c r="U662" s="380"/>
      <c r="V662" s="380"/>
      <c r="W662" s="403"/>
      <c r="X662" s="380"/>
      <c r="Y662" s="380"/>
      <c r="Z662" s="380"/>
      <c r="AA662" s="380"/>
      <c r="AB662" s="380"/>
      <c r="AC662" s="404"/>
      <c r="AD662" s="380"/>
      <c r="AE662" s="380"/>
      <c r="AF662" s="380"/>
      <c r="AG662" s="380"/>
      <c r="AH662" s="380"/>
      <c r="AI662" s="380"/>
      <c r="AJ662" s="380"/>
      <c r="AK662" s="403"/>
      <c r="AL662" s="380"/>
      <c r="AM662" s="380"/>
      <c r="AN662" s="380"/>
      <c r="AO662" s="380"/>
      <c r="AP662" s="380"/>
      <c r="AQ662" s="404"/>
      <c r="AR662" s="380"/>
      <c r="AS662" s="380"/>
      <c r="AT662" s="380"/>
      <c r="AU662" s="380"/>
      <c r="AV662" s="380"/>
      <c r="AW662" s="380"/>
      <c r="AX662" s="380"/>
      <c r="AY662" s="403"/>
      <c r="AZ662" s="380"/>
      <c r="BA662" s="380"/>
      <c r="BB662" s="380"/>
      <c r="BC662" s="380"/>
      <c r="BD662" s="380"/>
      <c r="BE662" s="404"/>
      <c r="BF662" s="380"/>
      <c r="BG662" s="380"/>
      <c r="BH662" s="380"/>
      <c r="BI662" s="380"/>
      <c r="BJ662" s="380"/>
      <c r="BK662" s="380"/>
      <c r="BL662" s="380"/>
      <c r="BM662" s="403"/>
      <c r="BS662" s="83"/>
      <c r="CA662" s="405"/>
      <c r="CG662" s="83"/>
      <c r="CO662" s="405"/>
      <c r="CU662" s="83"/>
      <c r="DC662" s="405"/>
      <c r="DI662" s="83"/>
      <c r="DQ662" s="405"/>
      <c r="DW662" s="83"/>
      <c r="EE662" s="405"/>
      <c r="EK662" s="83"/>
      <c r="ES662" s="405"/>
      <c r="EY662" s="83"/>
      <c r="FG662" s="405"/>
      <c r="FM662" s="83"/>
      <c r="FU662" s="405"/>
      <c r="GA662" s="83"/>
      <c r="GI662" s="405"/>
      <c r="GO662" s="83"/>
      <c r="GW662" s="405"/>
      <c r="HC662" s="83"/>
      <c r="HK662" s="405"/>
      <c r="HQ662" s="83"/>
      <c r="HY662" s="405"/>
      <c r="IE662" s="83"/>
      <c r="IM662" s="405"/>
      <c r="IS662" s="83"/>
      <c r="JA662" s="405"/>
      <c r="JG662" s="83"/>
      <c r="JO662" s="405"/>
      <c r="JU662" s="83"/>
      <c r="KC662" s="405"/>
      <c r="KI662" s="83"/>
      <c r="KQ662" s="405"/>
      <c r="KW662" s="83"/>
      <c r="LE662" s="405"/>
      <c r="LK662" s="83"/>
      <c r="LS662" s="405"/>
      <c r="LY662" s="83"/>
      <c r="MG662" s="405"/>
      <c r="MM662" s="83"/>
      <c r="MU662" s="405"/>
      <c r="NA662" s="83"/>
    </row>
    <row r="663">
      <c r="A663" s="483"/>
      <c r="B663" s="380"/>
      <c r="C663" s="380"/>
      <c r="D663" s="380"/>
      <c r="E663" s="380"/>
      <c r="F663" s="380"/>
      <c r="G663" s="380"/>
      <c r="H663" s="380"/>
      <c r="I663" s="403"/>
      <c r="J663" s="380"/>
      <c r="K663" s="380"/>
      <c r="L663" s="380"/>
      <c r="M663" s="380"/>
      <c r="N663" s="380"/>
      <c r="O663" s="404"/>
      <c r="P663" s="380"/>
      <c r="Q663" s="380"/>
      <c r="R663" s="380"/>
      <c r="S663" s="380"/>
      <c r="T663" s="380"/>
      <c r="U663" s="380"/>
      <c r="V663" s="380"/>
      <c r="W663" s="403"/>
      <c r="X663" s="380"/>
      <c r="Y663" s="380"/>
      <c r="Z663" s="380"/>
      <c r="AA663" s="380"/>
      <c r="AB663" s="380"/>
      <c r="AC663" s="404"/>
      <c r="AD663" s="380"/>
      <c r="AE663" s="380"/>
      <c r="AF663" s="380"/>
      <c r="AG663" s="380"/>
      <c r="AH663" s="380"/>
      <c r="AI663" s="380"/>
      <c r="AJ663" s="380"/>
      <c r="AK663" s="403"/>
      <c r="AL663" s="380"/>
      <c r="AM663" s="380"/>
      <c r="AN663" s="380"/>
      <c r="AO663" s="380"/>
      <c r="AP663" s="380"/>
      <c r="AQ663" s="404"/>
      <c r="AR663" s="380"/>
      <c r="AS663" s="380"/>
      <c r="AT663" s="380"/>
      <c r="AU663" s="380"/>
      <c r="AV663" s="380"/>
      <c r="AW663" s="380"/>
      <c r="AX663" s="380"/>
      <c r="AY663" s="403"/>
      <c r="AZ663" s="380"/>
      <c r="BA663" s="380"/>
      <c r="BB663" s="380"/>
      <c r="BC663" s="380"/>
      <c r="BD663" s="380"/>
      <c r="BE663" s="404"/>
      <c r="BF663" s="380"/>
      <c r="BG663" s="380"/>
      <c r="BH663" s="380"/>
      <c r="BI663" s="380"/>
      <c r="BJ663" s="380"/>
      <c r="BK663" s="380"/>
      <c r="BL663" s="380"/>
      <c r="BM663" s="403"/>
      <c r="BS663" s="83"/>
      <c r="CA663" s="405"/>
      <c r="CG663" s="83"/>
      <c r="CO663" s="405"/>
      <c r="CU663" s="83"/>
      <c r="DC663" s="405"/>
      <c r="DI663" s="83"/>
      <c r="DQ663" s="405"/>
      <c r="DW663" s="83"/>
      <c r="EE663" s="405"/>
      <c r="EK663" s="83"/>
      <c r="ES663" s="405"/>
      <c r="EY663" s="83"/>
      <c r="FG663" s="405"/>
      <c r="FM663" s="83"/>
      <c r="FU663" s="405"/>
      <c r="GA663" s="83"/>
      <c r="GI663" s="405"/>
      <c r="GO663" s="83"/>
      <c r="GW663" s="405"/>
      <c r="HC663" s="83"/>
      <c r="HK663" s="405"/>
      <c r="HQ663" s="83"/>
      <c r="HY663" s="405"/>
      <c r="IE663" s="83"/>
      <c r="IM663" s="405"/>
      <c r="IS663" s="83"/>
      <c r="JA663" s="405"/>
      <c r="JG663" s="83"/>
      <c r="JO663" s="405"/>
      <c r="JU663" s="83"/>
      <c r="KC663" s="405"/>
      <c r="KI663" s="83"/>
      <c r="KQ663" s="405"/>
      <c r="KW663" s="83"/>
      <c r="LE663" s="405"/>
      <c r="LK663" s="83"/>
      <c r="LS663" s="405"/>
      <c r="LY663" s="83"/>
      <c r="MG663" s="405"/>
      <c r="MM663" s="83"/>
      <c r="MU663" s="405"/>
      <c r="NA663" s="83"/>
    </row>
    <row r="664">
      <c r="A664" s="483"/>
      <c r="B664" s="380"/>
      <c r="C664" s="380"/>
      <c r="D664" s="380"/>
      <c r="E664" s="380"/>
      <c r="F664" s="380"/>
      <c r="G664" s="380"/>
      <c r="H664" s="380"/>
      <c r="I664" s="403"/>
      <c r="J664" s="380"/>
      <c r="K664" s="380"/>
      <c r="L664" s="380"/>
      <c r="M664" s="380"/>
      <c r="N664" s="380"/>
      <c r="O664" s="404"/>
      <c r="P664" s="380"/>
      <c r="Q664" s="380"/>
      <c r="R664" s="380"/>
      <c r="S664" s="380"/>
      <c r="T664" s="380"/>
      <c r="U664" s="380"/>
      <c r="V664" s="380"/>
      <c r="W664" s="403"/>
      <c r="X664" s="380"/>
      <c r="Y664" s="380"/>
      <c r="Z664" s="380"/>
      <c r="AA664" s="380"/>
      <c r="AB664" s="380"/>
      <c r="AC664" s="404"/>
      <c r="AD664" s="380"/>
      <c r="AE664" s="380"/>
      <c r="AF664" s="380"/>
      <c r="AG664" s="380"/>
      <c r="AH664" s="380"/>
      <c r="AI664" s="380"/>
      <c r="AJ664" s="380"/>
      <c r="AK664" s="403"/>
      <c r="AL664" s="380"/>
      <c r="AM664" s="380"/>
      <c r="AN664" s="380"/>
      <c r="AO664" s="380"/>
      <c r="AP664" s="380"/>
      <c r="AQ664" s="404"/>
      <c r="AR664" s="380"/>
      <c r="AS664" s="380"/>
      <c r="AT664" s="380"/>
      <c r="AU664" s="380"/>
      <c r="AV664" s="380"/>
      <c r="AW664" s="380"/>
      <c r="AX664" s="380"/>
      <c r="AY664" s="403"/>
      <c r="AZ664" s="380"/>
      <c r="BA664" s="380"/>
      <c r="BB664" s="380"/>
      <c r="BC664" s="380"/>
      <c r="BD664" s="380"/>
      <c r="BE664" s="404"/>
      <c r="BF664" s="380"/>
      <c r="BG664" s="380"/>
      <c r="BH664" s="380"/>
      <c r="BI664" s="380"/>
      <c r="BJ664" s="380"/>
      <c r="BK664" s="380"/>
      <c r="BL664" s="380"/>
      <c r="BM664" s="403"/>
      <c r="BS664" s="83"/>
      <c r="CA664" s="405"/>
      <c r="CG664" s="83"/>
      <c r="CO664" s="405"/>
      <c r="CU664" s="83"/>
      <c r="DC664" s="405"/>
      <c r="DI664" s="83"/>
      <c r="DQ664" s="405"/>
      <c r="DW664" s="83"/>
      <c r="EE664" s="405"/>
      <c r="EK664" s="83"/>
      <c r="ES664" s="405"/>
      <c r="EY664" s="83"/>
      <c r="FG664" s="405"/>
      <c r="FM664" s="83"/>
      <c r="FU664" s="405"/>
      <c r="GA664" s="83"/>
      <c r="GI664" s="405"/>
      <c r="GO664" s="83"/>
      <c r="GW664" s="405"/>
      <c r="HC664" s="83"/>
      <c r="HK664" s="405"/>
      <c r="HQ664" s="83"/>
      <c r="HY664" s="405"/>
      <c r="IE664" s="83"/>
      <c r="IM664" s="405"/>
      <c r="IS664" s="83"/>
      <c r="JA664" s="405"/>
      <c r="JG664" s="83"/>
      <c r="JO664" s="405"/>
      <c r="JU664" s="83"/>
      <c r="KC664" s="405"/>
      <c r="KI664" s="83"/>
      <c r="KQ664" s="405"/>
      <c r="KW664" s="83"/>
      <c r="LE664" s="405"/>
      <c r="LK664" s="83"/>
      <c r="LS664" s="405"/>
      <c r="LY664" s="83"/>
      <c r="MG664" s="405"/>
      <c r="MM664" s="83"/>
      <c r="MU664" s="405"/>
      <c r="NA664" s="83"/>
    </row>
    <row r="665">
      <c r="A665" s="483"/>
      <c r="B665" s="380"/>
      <c r="C665" s="380"/>
      <c r="D665" s="380"/>
      <c r="E665" s="380"/>
      <c r="F665" s="380"/>
      <c r="G665" s="380"/>
      <c r="H665" s="380"/>
      <c r="I665" s="403"/>
      <c r="J665" s="380"/>
      <c r="K665" s="380"/>
      <c r="L665" s="380"/>
      <c r="M665" s="380"/>
      <c r="N665" s="380"/>
      <c r="O665" s="404"/>
      <c r="P665" s="380"/>
      <c r="Q665" s="380"/>
      <c r="R665" s="380"/>
      <c r="S665" s="380"/>
      <c r="T665" s="380"/>
      <c r="U665" s="380"/>
      <c r="V665" s="380"/>
      <c r="W665" s="403"/>
      <c r="X665" s="380"/>
      <c r="Y665" s="380"/>
      <c r="Z665" s="380"/>
      <c r="AA665" s="380"/>
      <c r="AB665" s="380"/>
      <c r="AC665" s="404"/>
      <c r="AD665" s="380"/>
      <c r="AE665" s="380"/>
      <c r="AF665" s="380"/>
      <c r="AG665" s="380"/>
      <c r="AH665" s="380"/>
      <c r="AI665" s="380"/>
      <c r="AJ665" s="380"/>
      <c r="AK665" s="403"/>
      <c r="AL665" s="380"/>
      <c r="AM665" s="380"/>
      <c r="AN665" s="380"/>
      <c r="AO665" s="380"/>
      <c r="AP665" s="380"/>
      <c r="AQ665" s="404"/>
      <c r="AR665" s="380"/>
      <c r="AS665" s="380"/>
      <c r="AT665" s="380"/>
      <c r="AU665" s="380"/>
      <c r="AV665" s="380"/>
      <c r="AW665" s="380"/>
      <c r="AX665" s="380"/>
      <c r="AY665" s="403"/>
      <c r="AZ665" s="380"/>
      <c r="BA665" s="380"/>
      <c r="BB665" s="380"/>
      <c r="BC665" s="380"/>
      <c r="BD665" s="380"/>
      <c r="BE665" s="404"/>
      <c r="BF665" s="380"/>
      <c r="BG665" s="380"/>
      <c r="BH665" s="380"/>
      <c r="BI665" s="380"/>
      <c r="BJ665" s="380"/>
      <c r="BK665" s="380"/>
      <c r="BL665" s="380"/>
      <c r="BM665" s="403"/>
      <c r="BS665" s="83"/>
      <c r="CA665" s="405"/>
      <c r="CG665" s="83"/>
      <c r="CO665" s="405"/>
      <c r="CU665" s="83"/>
      <c r="DC665" s="405"/>
      <c r="DI665" s="83"/>
      <c r="DQ665" s="405"/>
      <c r="DW665" s="83"/>
      <c r="EE665" s="405"/>
      <c r="EK665" s="83"/>
      <c r="ES665" s="405"/>
      <c r="EY665" s="83"/>
      <c r="FG665" s="405"/>
      <c r="FM665" s="83"/>
      <c r="FU665" s="405"/>
      <c r="GA665" s="83"/>
      <c r="GI665" s="405"/>
      <c r="GO665" s="83"/>
      <c r="GW665" s="405"/>
      <c r="HC665" s="83"/>
      <c r="HK665" s="405"/>
      <c r="HQ665" s="83"/>
      <c r="HY665" s="405"/>
      <c r="IE665" s="83"/>
      <c r="IM665" s="405"/>
      <c r="IS665" s="83"/>
      <c r="JA665" s="405"/>
      <c r="JG665" s="83"/>
      <c r="JO665" s="405"/>
      <c r="JU665" s="83"/>
      <c r="KC665" s="405"/>
      <c r="KI665" s="83"/>
      <c r="KQ665" s="405"/>
      <c r="KW665" s="83"/>
      <c r="LE665" s="405"/>
      <c r="LK665" s="83"/>
      <c r="LS665" s="405"/>
      <c r="LY665" s="83"/>
      <c r="MG665" s="405"/>
      <c r="MM665" s="83"/>
      <c r="MU665" s="405"/>
      <c r="NA665" s="83"/>
    </row>
    <row r="666">
      <c r="A666" s="483"/>
      <c r="B666" s="380"/>
      <c r="C666" s="380"/>
      <c r="D666" s="380"/>
      <c r="E666" s="380"/>
      <c r="F666" s="380"/>
      <c r="G666" s="380"/>
      <c r="H666" s="380"/>
      <c r="I666" s="403"/>
      <c r="J666" s="380"/>
      <c r="K666" s="380"/>
      <c r="L666" s="380"/>
      <c r="M666" s="380"/>
      <c r="N666" s="380"/>
      <c r="O666" s="404"/>
      <c r="P666" s="380"/>
      <c r="Q666" s="380"/>
      <c r="R666" s="380"/>
      <c r="S666" s="380"/>
      <c r="T666" s="380"/>
      <c r="U666" s="380"/>
      <c r="V666" s="380"/>
      <c r="W666" s="403"/>
      <c r="X666" s="380"/>
      <c r="Y666" s="380"/>
      <c r="Z666" s="380"/>
      <c r="AA666" s="380"/>
      <c r="AB666" s="380"/>
      <c r="AC666" s="404"/>
      <c r="AD666" s="380"/>
      <c r="AE666" s="380"/>
      <c r="AF666" s="380"/>
      <c r="AG666" s="380"/>
      <c r="AH666" s="380"/>
      <c r="AI666" s="380"/>
      <c r="AJ666" s="380"/>
      <c r="AK666" s="403"/>
      <c r="AL666" s="380"/>
      <c r="AM666" s="380"/>
      <c r="AN666" s="380"/>
      <c r="AO666" s="380"/>
      <c r="AP666" s="380"/>
      <c r="AQ666" s="404"/>
      <c r="AR666" s="380"/>
      <c r="AS666" s="380"/>
      <c r="AT666" s="380"/>
      <c r="AU666" s="380"/>
      <c r="AV666" s="380"/>
      <c r="AW666" s="380"/>
      <c r="AX666" s="380"/>
      <c r="AY666" s="403"/>
      <c r="AZ666" s="380"/>
      <c r="BA666" s="380"/>
      <c r="BB666" s="380"/>
      <c r="BC666" s="380"/>
      <c r="BD666" s="380"/>
      <c r="BE666" s="404"/>
      <c r="BF666" s="380"/>
      <c r="BG666" s="380"/>
      <c r="BH666" s="380"/>
      <c r="BI666" s="380"/>
      <c r="BJ666" s="380"/>
      <c r="BK666" s="380"/>
      <c r="BL666" s="380"/>
      <c r="BM666" s="403"/>
      <c r="BS666" s="83"/>
      <c r="CA666" s="405"/>
      <c r="CG666" s="83"/>
      <c r="CO666" s="405"/>
      <c r="CU666" s="83"/>
      <c r="DC666" s="405"/>
      <c r="DI666" s="83"/>
      <c r="DQ666" s="405"/>
      <c r="DW666" s="83"/>
      <c r="EE666" s="405"/>
      <c r="EK666" s="83"/>
      <c r="ES666" s="405"/>
      <c r="EY666" s="83"/>
      <c r="FG666" s="405"/>
      <c r="FM666" s="83"/>
      <c r="FU666" s="405"/>
      <c r="GA666" s="83"/>
      <c r="GI666" s="405"/>
      <c r="GO666" s="83"/>
      <c r="GW666" s="405"/>
      <c r="HC666" s="83"/>
      <c r="HK666" s="405"/>
      <c r="HQ666" s="83"/>
      <c r="HY666" s="405"/>
      <c r="IE666" s="83"/>
      <c r="IM666" s="405"/>
      <c r="IS666" s="83"/>
      <c r="JA666" s="405"/>
      <c r="JG666" s="83"/>
      <c r="JO666" s="405"/>
      <c r="JU666" s="83"/>
      <c r="KC666" s="405"/>
      <c r="KI666" s="83"/>
      <c r="KQ666" s="405"/>
      <c r="KW666" s="83"/>
      <c r="LE666" s="405"/>
      <c r="LK666" s="83"/>
      <c r="LS666" s="405"/>
      <c r="LY666" s="83"/>
      <c r="MG666" s="405"/>
      <c r="MM666" s="83"/>
      <c r="MU666" s="405"/>
      <c r="NA666" s="83"/>
    </row>
    <row r="667">
      <c r="A667" s="483"/>
      <c r="B667" s="380"/>
      <c r="C667" s="380"/>
      <c r="D667" s="380"/>
      <c r="E667" s="380"/>
      <c r="F667" s="380"/>
      <c r="G667" s="380"/>
      <c r="H667" s="380"/>
      <c r="I667" s="403"/>
      <c r="J667" s="380"/>
      <c r="K667" s="380"/>
      <c r="L667" s="380"/>
      <c r="M667" s="380"/>
      <c r="N667" s="380"/>
      <c r="O667" s="404"/>
      <c r="P667" s="380"/>
      <c r="Q667" s="380"/>
      <c r="R667" s="380"/>
      <c r="S667" s="380"/>
      <c r="T667" s="380"/>
      <c r="U667" s="380"/>
      <c r="V667" s="380"/>
      <c r="W667" s="403"/>
      <c r="X667" s="380"/>
      <c r="Y667" s="380"/>
      <c r="Z667" s="380"/>
      <c r="AA667" s="380"/>
      <c r="AB667" s="380"/>
      <c r="AC667" s="404"/>
      <c r="AD667" s="380"/>
      <c r="AE667" s="380"/>
      <c r="AF667" s="380"/>
      <c r="AG667" s="380"/>
      <c r="AH667" s="380"/>
      <c r="AI667" s="380"/>
      <c r="AJ667" s="380"/>
      <c r="AK667" s="403"/>
      <c r="AL667" s="380"/>
      <c r="AM667" s="380"/>
      <c r="AN667" s="380"/>
      <c r="AO667" s="380"/>
      <c r="AP667" s="380"/>
      <c r="AQ667" s="404"/>
      <c r="AR667" s="380"/>
      <c r="AS667" s="380"/>
      <c r="AT667" s="380"/>
      <c r="AU667" s="380"/>
      <c r="AV667" s="380"/>
      <c r="AW667" s="380"/>
      <c r="AX667" s="380"/>
      <c r="AY667" s="403"/>
      <c r="AZ667" s="380"/>
      <c r="BA667" s="380"/>
      <c r="BB667" s="380"/>
      <c r="BC667" s="380"/>
      <c r="BD667" s="380"/>
      <c r="BE667" s="404"/>
      <c r="BF667" s="380"/>
      <c r="BG667" s="380"/>
      <c r="BH667" s="380"/>
      <c r="BI667" s="380"/>
      <c r="BJ667" s="380"/>
      <c r="BK667" s="380"/>
      <c r="BL667" s="380"/>
      <c r="BM667" s="403"/>
      <c r="BS667" s="83"/>
      <c r="CA667" s="405"/>
      <c r="CG667" s="83"/>
      <c r="CO667" s="405"/>
      <c r="CU667" s="83"/>
      <c r="DC667" s="405"/>
      <c r="DI667" s="83"/>
      <c r="DQ667" s="405"/>
      <c r="DW667" s="83"/>
      <c r="EE667" s="405"/>
      <c r="EK667" s="83"/>
      <c r="ES667" s="405"/>
      <c r="EY667" s="83"/>
      <c r="FG667" s="405"/>
      <c r="FM667" s="83"/>
      <c r="FU667" s="405"/>
      <c r="GA667" s="83"/>
      <c r="GI667" s="405"/>
      <c r="GO667" s="83"/>
      <c r="GW667" s="405"/>
      <c r="HC667" s="83"/>
      <c r="HK667" s="405"/>
      <c r="HQ667" s="83"/>
      <c r="HY667" s="405"/>
      <c r="IE667" s="83"/>
      <c r="IM667" s="405"/>
      <c r="IS667" s="83"/>
      <c r="JA667" s="405"/>
      <c r="JG667" s="83"/>
      <c r="JO667" s="405"/>
      <c r="JU667" s="83"/>
      <c r="KC667" s="405"/>
      <c r="KI667" s="83"/>
      <c r="KQ667" s="405"/>
      <c r="KW667" s="83"/>
      <c r="LE667" s="405"/>
      <c r="LK667" s="83"/>
      <c r="LS667" s="405"/>
      <c r="LY667" s="83"/>
      <c r="MG667" s="405"/>
      <c r="MM667" s="83"/>
      <c r="MU667" s="405"/>
      <c r="NA667" s="83"/>
    </row>
    <row r="668">
      <c r="A668" s="483"/>
      <c r="B668" s="380"/>
      <c r="C668" s="380"/>
      <c r="D668" s="380"/>
      <c r="E668" s="380"/>
      <c r="F668" s="380"/>
      <c r="G668" s="380"/>
      <c r="H668" s="380"/>
      <c r="I668" s="403"/>
      <c r="J668" s="380"/>
      <c r="K668" s="380"/>
      <c r="L668" s="380"/>
      <c r="M668" s="380"/>
      <c r="N668" s="380"/>
      <c r="O668" s="404"/>
      <c r="P668" s="380"/>
      <c r="Q668" s="380"/>
      <c r="R668" s="380"/>
      <c r="S668" s="380"/>
      <c r="T668" s="380"/>
      <c r="U668" s="380"/>
      <c r="V668" s="380"/>
      <c r="W668" s="403"/>
      <c r="X668" s="380"/>
      <c r="Y668" s="380"/>
      <c r="Z668" s="380"/>
      <c r="AA668" s="380"/>
      <c r="AB668" s="380"/>
      <c r="AC668" s="404"/>
      <c r="AD668" s="380"/>
      <c r="AE668" s="380"/>
      <c r="AF668" s="380"/>
      <c r="AG668" s="380"/>
      <c r="AH668" s="380"/>
      <c r="AI668" s="380"/>
      <c r="AJ668" s="380"/>
      <c r="AK668" s="403"/>
      <c r="AL668" s="380"/>
      <c r="AM668" s="380"/>
      <c r="AN668" s="380"/>
      <c r="AO668" s="380"/>
      <c r="AP668" s="380"/>
      <c r="AQ668" s="404"/>
      <c r="AR668" s="380"/>
      <c r="AS668" s="380"/>
      <c r="AT668" s="380"/>
      <c r="AU668" s="380"/>
      <c r="AV668" s="380"/>
      <c r="AW668" s="380"/>
      <c r="AX668" s="380"/>
      <c r="AY668" s="403"/>
      <c r="AZ668" s="380"/>
      <c r="BA668" s="380"/>
      <c r="BB668" s="380"/>
      <c r="BC668" s="380"/>
      <c r="BD668" s="380"/>
      <c r="BE668" s="404"/>
      <c r="BF668" s="380"/>
      <c r="BG668" s="380"/>
      <c r="BH668" s="380"/>
      <c r="BI668" s="380"/>
      <c r="BJ668" s="380"/>
      <c r="BK668" s="380"/>
      <c r="BL668" s="380"/>
      <c r="BM668" s="403"/>
      <c r="BS668" s="83"/>
      <c r="CA668" s="405"/>
      <c r="CG668" s="83"/>
      <c r="CO668" s="405"/>
      <c r="CU668" s="83"/>
      <c r="DC668" s="405"/>
      <c r="DI668" s="83"/>
      <c r="DQ668" s="405"/>
      <c r="DW668" s="83"/>
      <c r="EE668" s="405"/>
      <c r="EK668" s="83"/>
      <c r="ES668" s="405"/>
      <c r="EY668" s="83"/>
      <c r="FG668" s="405"/>
      <c r="FM668" s="83"/>
      <c r="FU668" s="405"/>
      <c r="GA668" s="83"/>
      <c r="GI668" s="405"/>
      <c r="GO668" s="83"/>
      <c r="GW668" s="405"/>
      <c r="HC668" s="83"/>
      <c r="HK668" s="405"/>
      <c r="HQ668" s="83"/>
      <c r="HY668" s="405"/>
      <c r="IE668" s="83"/>
      <c r="IM668" s="405"/>
      <c r="IS668" s="83"/>
      <c r="JA668" s="405"/>
      <c r="JG668" s="83"/>
      <c r="JO668" s="405"/>
      <c r="JU668" s="83"/>
      <c r="KC668" s="405"/>
      <c r="KI668" s="83"/>
      <c r="KQ668" s="405"/>
      <c r="KW668" s="83"/>
      <c r="LE668" s="405"/>
      <c r="LK668" s="83"/>
      <c r="LS668" s="405"/>
      <c r="LY668" s="83"/>
      <c r="MG668" s="405"/>
      <c r="MM668" s="83"/>
      <c r="MU668" s="405"/>
      <c r="NA668" s="83"/>
    </row>
    <row r="669">
      <c r="A669" s="483"/>
      <c r="B669" s="380"/>
      <c r="C669" s="380"/>
      <c r="D669" s="380"/>
      <c r="E669" s="380"/>
      <c r="F669" s="380"/>
      <c r="G669" s="380"/>
      <c r="H669" s="380"/>
      <c r="I669" s="403"/>
      <c r="J669" s="380"/>
      <c r="K669" s="380"/>
      <c r="L669" s="380"/>
      <c r="M669" s="380"/>
      <c r="N669" s="380"/>
      <c r="O669" s="404"/>
      <c r="P669" s="380"/>
      <c r="Q669" s="380"/>
      <c r="R669" s="380"/>
      <c r="S669" s="380"/>
      <c r="T669" s="380"/>
      <c r="U669" s="380"/>
      <c r="V669" s="380"/>
      <c r="W669" s="403"/>
      <c r="X669" s="380"/>
      <c r="Y669" s="380"/>
      <c r="Z669" s="380"/>
      <c r="AA669" s="380"/>
      <c r="AB669" s="380"/>
      <c r="AC669" s="404"/>
      <c r="AD669" s="380"/>
      <c r="AE669" s="380"/>
      <c r="AF669" s="380"/>
      <c r="AG669" s="380"/>
      <c r="AH669" s="380"/>
      <c r="AI669" s="380"/>
      <c r="AJ669" s="380"/>
      <c r="AK669" s="403"/>
      <c r="AL669" s="380"/>
      <c r="AM669" s="380"/>
      <c r="AN669" s="380"/>
      <c r="AO669" s="380"/>
      <c r="AP669" s="380"/>
      <c r="AQ669" s="404"/>
      <c r="AR669" s="380"/>
      <c r="AS669" s="380"/>
      <c r="AT669" s="380"/>
      <c r="AU669" s="380"/>
      <c r="AV669" s="380"/>
      <c r="AW669" s="380"/>
      <c r="AX669" s="380"/>
      <c r="AY669" s="403"/>
      <c r="AZ669" s="380"/>
      <c r="BA669" s="380"/>
      <c r="BB669" s="380"/>
      <c r="BC669" s="380"/>
      <c r="BD669" s="380"/>
      <c r="BE669" s="404"/>
      <c r="BF669" s="380"/>
      <c r="BG669" s="380"/>
      <c r="BH669" s="380"/>
      <c r="BI669" s="380"/>
      <c r="BJ669" s="380"/>
      <c r="BK669" s="380"/>
      <c r="BL669" s="380"/>
      <c r="BM669" s="403"/>
      <c r="BS669" s="83"/>
      <c r="CA669" s="405"/>
      <c r="CG669" s="83"/>
      <c r="CO669" s="405"/>
      <c r="CU669" s="83"/>
      <c r="DC669" s="405"/>
      <c r="DI669" s="83"/>
      <c r="DQ669" s="405"/>
      <c r="DW669" s="83"/>
      <c r="EE669" s="405"/>
      <c r="EK669" s="83"/>
      <c r="ES669" s="405"/>
      <c r="EY669" s="83"/>
      <c r="FG669" s="405"/>
      <c r="FM669" s="83"/>
      <c r="FU669" s="405"/>
      <c r="GA669" s="83"/>
      <c r="GI669" s="405"/>
      <c r="GO669" s="83"/>
      <c r="GW669" s="405"/>
      <c r="HC669" s="83"/>
      <c r="HK669" s="405"/>
      <c r="HQ669" s="83"/>
      <c r="HY669" s="405"/>
      <c r="IE669" s="83"/>
      <c r="IM669" s="405"/>
      <c r="IS669" s="83"/>
      <c r="JA669" s="405"/>
      <c r="JG669" s="83"/>
      <c r="JO669" s="405"/>
      <c r="JU669" s="83"/>
      <c r="KC669" s="405"/>
      <c r="KI669" s="83"/>
      <c r="KQ669" s="405"/>
      <c r="KW669" s="83"/>
      <c r="LE669" s="405"/>
      <c r="LK669" s="83"/>
      <c r="LS669" s="405"/>
      <c r="LY669" s="83"/>
      <c r="MG669" s="405"/>
      <c r="MM669" s="83"/>
      <c r="MU669" s="405"/>
      <c r="NA669" s="83"/>
    </row>
    <row r="670">
      <c r="A670" s="483"/>
      <c r="B670" s="380"/>
      <c r="C670" s="380"/>
      <c r="D670" s="380"/>
      <c r="E670" s="380"/>
      <c r="F670" s="380"/>
      <c r="G670" s="380"/>
      <c r="H670" s="380"/>
      <c r="I670" s="403"/>
      <c r="J670" s="380"/>
      <c r="K670" s="380"/>
      <c r="L670" s="380"/>
      <c r="M670" s="380"/>
      <c r="N670" s="380"/>
      <c r="O670" s="404"/>
      <c r="P670" s="380"/>
      <c r="Q670" s="380"/>
      <c r="R670" s="380"/>
      <c r="S670" s="380"/>
      <c r="T670" s="380"/>
      <c r="U670" s="380"/>
      <c r="V670" s="380"/>
      <c r="W670" s="403"/>
      <c r="X670" s="380"/>
      <c r="Y670" s="380"/>
      <c r="Z670" s="380"/>
      <c r="AA670" s="380"/>
      <c r="AB670" s="380"/>
      <c r="AC670" s="404"/>
      <c r="AD670" s="380"/>
      <c r="AE670" s="380"/>
      <c r="AF670" s="380"/>
      <c r="AG670" s="380"/>
      <c r="AH670" s="380"/>
      <c r="AI670" s="380"/>
      <c r="AJ670" s="380"/>
      <c r="AK670" s="403"/>
      <c r="AL670" s="380"/>
      <c r="AM670" s="380"/>
      <c r="AN670" s="380"/>
      <c r="AO670" s="380"/>
      <c r="AP670" s="380"/>
      <c r="AQ670" s="404"/>
      <c r="AR670" s="380"/>
      <c r="AS670" s="380"/>
      <c r="AT670" s="380"/>
      <c r="AU670" s="380"/>
      <c r="AV670" s="380"/>
      <c r="AW670" s="380"/>
      <c r="AX670" s="380"/>
      <c r="AY670" s="403"/>
      <c r="AZ670" s="380"/>
      <c r="BA670" s="380"/>
      <c r="BB670" s="380"/>
      <c r="BC670" s="380"/>
      <c r="BD670" s="380"/>
      <c r="BE670" s="404"/>
      <c r="BF670" s="380"/>
      <c r="BG670" s="380"/>
      <c r="BH670" s="380"/>
      <c r="BI670" s="380"/>
      <c r="BJ670" s="380"/>
      <c r="BK670" s="380"/>
      <c r="BL670" s="380"/>
      <c r="BM670" s="403"/>
      <c r="BS670" s="83"/>
      <c r="CA670" s="405"/>
      <c r="CG670" s="83"/>
      <c r="CO670" s="405"/>
      <c r="CU670" s="83"/>
      <c r="DC670" s="405"/>
      <c r="DI670" s="83"/>
      <c r="DQ670" s="405"/>
      <c r="DW670" s="83"/>
      <c r="EE670" s="405"/>
      <c r="EK670" s="83"/>
      <c r="ES670" s="405"/>
      <c r="EY670" s="83"/>
      <c r="FG670" s="405"/>
      <c r="FM670" s="83"/>
      <c r="FU670" s="405"/>
      <c r="GA670" s="83"/>
      <c r="GI670" s="405"/>
      <c r="GO670" s="83"/>
      <c r="GW670" s="405"/>
      <c r="HC670" s="83"/>
      <c r="HK670" s="405"/>
      <c r="HQ670" s="83"/>
      <c r="HY670" s="405"/>
      <c r="IE670" s="83"/>
      <c r="IM670" s="405"/>
      <c r="IS670" s="83"/>
      <c r="JA670" s="405"/>
      <c r="JG670" s="83"/>
      <c r="JO670" s="405"/>
      <c r="JU670" s="83"/>
      <c r="KC670" s="405"/>
      <c r="KI670" s="83"/>
      <c r="KQ670" s="405"/>
      <c r="KW670" s="83"/>
      <c r="LE670" s="405"/>
      <c r="LK670" s="83"/>
      <c r="LS670" s="405"/>
      <c r="LY670" s="83"/>
      <c r="MG670" s="405"/>
      <c r="MM670" s="83"/>
      <c r="MU670" s="405"/>
      <c r="NA670" s="83"/>
    </row>
    <row r="671">
      <c r="A671" s="483"/>
      <c r="B671" s="380"/>
      <c r="C671" s="380"/>
      <c r="D671" s="380"/>
      <c r="E671" s="380"/>
      <c r="F671" s="380"/>
      <c r="G671" s="380"/>
      <c r="H671" s="380"/>
      <c r="I671" s="403"/>
      <c r="J671" s="380"/>
      <c r="K671" s="380"/>
      <c r="L671" s="380"/>
      <c r="M671" s="380"/>
      <c r="N671" s="380"/>
      <c r="O671" s="404"/>
      <c r="P671" s="380"/>
      <c r="Q671" s="380"/>
      <c r="R671" s="380"/>
      <c r="S671" s="380"/>
      <c r="T671" s="380"/>
      <c r="U671" s="380"/>
      <c r="V671" s="380"/>
      <c r="W671" s="403"/>
      <c r="X671" s="380"/>
      <c r="Y671" s="380"/>
      <c r="Z671" s="380"/>
      <c r="AA671" s="380"/>
      <c r="AB671" s="380"/>
      <c r="AC671" s="404"/>
      <c r="AD671" s="380"/>
      <c r="AE671" s="380"/>
      <c r="AF671" s="380"/>
      <c r="AG671" s="380"/>
      <c r="AH671" s="380"/>
      <c r="AI671" s="380"/>
      <c r="AJ671" s="380"/>
      <c r="AK671" s="403"/>
      <c r="AL671" s="380"/>
      <c r="AM671" s="380"/>
      <c r="AN671" s="380"/>
      <c r="AO671" s="380"/>
      <c r="AP671" s="380"/>
      <c r="AQ671" s="404"/>
      <c r="AR671" s="380"/>
      <c r="AS671" s="380"/>
      <c r="AT671" s="380"/>
      <c r="AU671" s="380"/>
      <c r="AV671" s="380"/>
      <c r="AW671" s="380"/>
      <c r="AX671" s="380"/>
      <c r="AY671" s="403"/>
      <c r="AZ671" s="380"/>
      <c r="BA671" s="380"/>
      <c r="BB671" s="380"/>
      <c r="BC671" s="380"/>
      <c r="BD671" s="380"/>
      <c r="BE671" s="404"/>
      <c r="BF671" s="380"/>
      <c r="BG671" s="380"/>
      <c r="BH671" s="380"/>
      <c r="BI671" s="380"/>
      <c r="BJ671" s="380"/>
      <c r="BK671" s="380"/>
      <c r="BL671" s="380"/>
      <c r="BM671" s="403"/>
      <c r="BS671" s="83"/>
      <c r="CA671" s="405"/>
      <c r="CG671" s="83"/>
      <c r="CO671" s="405"/>
      <c r="CU671" s="83"/>
      <c r="DC671" s="405"/>
      <c r="DI671" s="83"/>
      <c r="DQ671" s="405"/>
      <c r="DW671" s="83"/>
      <c r="EE671" s="405"/>
      <c r="EK671" s="83"/>
      <c r="ES671" s="405"/>
      <c r="EY671" s="83"/>
      <c r="FG671" s="405"/>
      <c r="FM671" s="83"/>
      <c r="FU671" s="405"/>
      <c r="GA671" s="83"/>
      <c r="GI671" s="405"/>
      <c r="GO671" s="83"/>
      <c r="GW671" s="405"/>
      <c r="HC671" s="83"/>
      <c r="HK671" s="405"/>
      <c r="HQ671" s="83"/>
      <c r="HY671" s="405"/>
      <c r="IE671" s="83"/>
      <c r="IM671" s="405"/>
      <c r="IS671" s="83"/>
      <c r="JA671" s="405"/>
      <c r="JG671" s="83"/>
      <c r="JO671" s="405"/>
      <c r="JU671" s="83"/>
      <c r="KC671" s="405"/>
      <c r="KI671" s="83"/>
      <c r="KQ671" s="405"/>
      <c r="KW671" s="83"/>
      <c r="LE671" s="405"/>
      <c r="LK671" s="83"/>
      <c r="LS671" s="405"/>
      <c r="LY671" s="83"/>
      <c r="MG671" s="405"/>
      <c r="MM671" s="83"/>
      <c r="MU671" s="405"/>
      <c r="NA671" s="83"/>
    </row>
    <row r="672">
      <c r="A672" s="483"/>
      <c r="B672" s="380"/>
      <c r="C672" s="380"/>
      <c r="D672" s="380"/>
      <c r="E672" s="380"/>
      <c r="F672" s="380"/>
      <c r="G672" s="380"/>
      <c r="H672" s="380"/>
      <c r="I672" s="403"/>
      <c r="J672" s="380"/>
      <c r="K672" s="380"/>
      <c r="L672" s="380"/>
      <c r="M672" s="380"/>
      <c r="N672" s="380"/>
      <c r="O672" s="404"/>
      <c r="P672" s="380"/>
      <c r="Q672" s="380"/>
      <c r="R672" s="380"/>
      <c r="S672" s="380"/>
      <c r="T672" s="380"/>
      <c r="U672" s="380"/>
      <c r="V672" s="380"/>
      <c r="W672" s="403"/>
      <c r="X672" s="380"/>
      <c r="Y672" s="380"/>
      <c r="Z672" s="380"/>
      <c r="AA672" s="380"/>
      <c r="AB672" s="380"/>
      <c r="AC672" s="404"/>
      <c r="AD672" s="380"/>
      <c r="AE672" s="380"/>
      <c r="AF672" s="380"/>
      <c r="AG672" s="380"/>
      <c r="AH672" s="380"/>
      <c r="AI672" s="380"/>
      <c r="AJ672" s="380"/>
      <c r="AK672" s="403"/>
      <c r="AL672" s="380"/>
      <c r="AM672" s="380"/>
      <c r="AN672" s="380"/>
      <c r="AO672" s="380"/>
      <c r="AP672" s="380"/>
      <c r="AQ672" s="404"/>
      <c r="AR672" s="380"/>
      <c r="AS672" s="380"/>
      <c r="AT672" s="380"/>
      <c r="AU672" s="380"/>
      <c r="AV672" s="380"/>
      <c r="AW672" s="380"/>
      <c r="AX672" s="380"/>
      <c r="AY672" s="403"/>
      <c r="AZ672" s="380"/>
      <c r="BA672" s="380"/>
      <c r="BB672" s="380"/>
      <c r="BC672" s="380"/>
      <c r="BD672" s="380"/>
      <c r="BE672" s="404"/>
      <c r="BF672" s="380"/>
      <c r="BG672" s="380"/>
      <c r="BH672" s="380"/>
      <c r="BI672" s="380"/>
      <c r="BJ672" s="380"/>
      <c r="BK672" s="380"/>
      <c r="BL672" s="380"/>
      <c r="BM672" s="403"/>
      <c r="BS672" s="83"/>
      <c r="CA672" s="405"/>
      <c r="CG672" s="83"/>
      <c r="CO672" s="405"/>
      <c r="CU672" s="83"/>
      <c r="DC672" s="405"/>
      <c r="DI672" s="83"/>
      <c r="DQ672" s="405"/>
      <c r="DW672" s="83"/>
      <c r="EE672" s="405"/>
      <c r="EK672" s="83"/>
      <c r="ES672" s="405"/>
      <c r="EY672" s="83"/>
      <c r="FG672" s="405"/>
      <c r="FM672" s="83"/>
      <c r="FU672" s="405"/>
      <c r="GA672" s="83"/>
      <c r="GI672" s="405"/>
      <c r="GO672" s="83"/>
      <c r="GW672" s="405"/>
      <c r="HC672" s="83"/>
      <c r="HK672" s="405"/>
      <c r="HQ672" s="83"/>
      <c r="HY672" s="405"/>
      <c r="IE672" s="83"/>
      <c r="IM672" s="405"/>
      <c r="IS672" s="83"/>
      <c r="JA672" s="405"/>
      <c r="JG672" s="83"/>
      <c r="JO672" s="405"/>
      <c r="JU672" s="83"/>
      <c r="KC672" s="405"/>
      <c r="KI672" s="83"/>
      <c r="KQ672" s="405"/>
      <c r="KW672" s="83"/>
      <c r="LE672" s="405"/>
      <c r="LK672" s="83"/>
      <c r="LS672" s="405"/>
      <c r="LY672" s="83"/>
      <c r="MG672" s="405"/>
      <c r="MM672" s="83"/>
      <c r="MU672" s="405"/>
      <c r="NA672" s="83"/>
    </row>
    <row r="673">
      <c r="A673" s="483"/>
      <c r="B673" s="380"/>
      <c r="C673" s="380"/>
      <c r="D673" s="380"/>
      <c r="E673" s="380"/>
      <c r="F673" s="380"/>
      <c r="G673" s="380"/>
      <c r="H673" s="380"/>
      <c r="I673" s="403"/>
      <c r="J673" s="380"/>
      <c r="K673" s="380"/>
      <c r="L673" s="380"/>
      <c r="M673" s="380"/>
      <c r="N673" s="380"/>
      <c r="O673" s="404"/>
      <c r="P673" s="380"/>
      <c r="Q673" s="380"/>
      <c r="R673" s="380"/>
      <c r="S673" s="380"/>
      <c r="T673" s="380"/>
      <c r="U673" s="380"/>
      <c r="V673" s="380"/>
      <c r="W673" s="403"/>
      <c r="X673" s="380"/>
      <c r="Y673" s="380"/>
      <c r="Z673" s="380"/>
      <c r="AA673" s="380"/>
      <c r="AB673" s="380"/>
      <c r="AC673" s="404"/>
      <c r="AD673" s="380"/>
      <c r="AE673" s="380"/>
      <c r="AF673" s="380"/>
      <c r="AG673" s="380"/>
      <c r="AH673" s="380"/>
      <c r="AI673" s="380"/>
      <c r="AJ673" s="380"/>
      <c r="AK673" s="403"/>
      <c r="AL673" s="380"/>
      <c r="AM673" s="380"/>
      <c r="AN673" s="380"/>
      <c r="AO673" s="380"/>
      <c r="AP673" s="380"/>
      <c r="AQ673" s="404"/>
      <c r="AR673" s="380"/>
      <c r="AS673" s="380"/>
      <c r="AT673" s="380"/>
      <c r="AU673" s="380"/>
      <c r="AV673" s="380"/>
      <c r="AW673" s="380"/>
      <c r="AX673" s="380"/>
      <c r="AY673" s="403"/>
      <c r="AZ673" s="380"/>
      <c r="BA673" s="380"/>
      <c r="BB673" s="380"/>
      <c r="BC673" s="380"/>
      <c r="BD673" s="380"/>
      <c r="BE673" s="404"/>
      <c r="BF673" s="380"/>
      <c r="BG673" s="380"/>
      <c r="BH673" s="380"/>
      <c r="BI673" s="380"/>
      <c r="BJ673" s="380"/>
      <c r="BK673" s="380"/>
      <c r="BL673" s="380"/>
      <c r="BM673" s="403"/>
      <c r="BS673" s="83"/>
      <c r="CA673" s="405"/>
      <c r="CG673" s="83"/>
      <c r="CO673" s="405"/>
      <c r="CU673" s="83"/>
      <c r="DC673" s="405"/>
      <c r="DI673" s="83"/>
      <c r="DQ673" s="405"/>
      <c r="DW673" s="83"/>
      <c r="EE673" s="405"/>
      <c r="EK673" s="83"/>
      <c r="ES673" s="405"/>
      <c r="EY673" s="83"/>
      <c r="FG673" s="405"/>
      <c r="FM673" s="83"/>
      <c r="FU673" s="405"/>
      <c r="GA673" s="83"/>
      <c r="GI673" s="405"/>
      <c r="GO673" s="83"/>
      <c r="GW673" s="405"/>
      <c r="HC673" s="83"/>
      <c r="HK673" s="405"/>
      <c r="HQ673" s="83"/>
      <c r="HY673" s="405"/>
      <c r="IE673" s="83"/>
      <c r="IM673" s="405"/>
      <c r="IS673" s="83"/>
      <c r="JA673" s="405"/>
      <c r="JG673" s="83"/>
      <c r="JO673" s="405"/>
      <c r="JU673" s="83"/>
      <c r="KC673" s="405"/>
      <c r="KI673" s="83"/>
      <c r="KQ673" s="405"/>
      <c r="KW673" s="83"/>
      <c r="LE673" s="405"/>
      <c r="LK673" s="83"/>
      <c r="LS673" s="405"/>
      <c r="LY673" s="83"/>
      <c r="MG673" s="405"/>
      <c r="MM673" s="83"/>
      <c r="MU673" s="405"/>
      <c r="NA673" s="83"/>
    </row>
    <row r="674">
      <c r="A674" s="483"/>
      <c r="B674" s="380"/>
      <c r="C674" s="380"/>
      <c r="D674" s="380"/>
      <c r="E674" s="380"/>
      <c r="F674" s="380"/>
      <c r="G674" s="380"/>
      <c r="H674" s="380"/>
      <c r="I674" s="403"/>
      <c r="J674" s="380"/>
      <c r="K674" s="380"/>
      <c r="L674" s="380"/>
      <c r="M674" s="380"/>
      <c r="N674" s="380"/>
      <c r="O674" s="404"/>
      <c r="P674" s="380"/>
      <c r="Q674" s="380"/>
      <c r="R674" s="380"/>
      <c r="S674" s="380"/>
      <c r="T674" s="380"/>
      <c r="U674" s="380"/>
      <c r="V674" s="380"/>
      <c r="W674" s="403"/>
      <c r="X674" s="380"/>
      <c r="Y674" s="380"/>
      <c r="Z674" s="380"/>
      <c r="AA674" s="380"/>
      <c r="AB674" s="380"/>
      <c r="AC674" s="404"/>
      <c r="AD674" s="380"/>
      <c r="AE674" s="380"/>
      <c r="AF674" s="380"/>
      <c r="AG674" s="380"/>
      <c r="AH674" s="380"/>
      <c r="AI674" s="380"/>
      <c r="AJ674" s="380"/>
      <c r="AK674" s="403"/>
      <c r="AL674" s="380"/>
      <c r="AM674" s="380"/>
      <c r="AN674" s="380"/>
      <c r="AO674" s="380"/>
      <c r="AP674" s="380"/>
      <c r="AQ674" s="404"/>
      <c r="AR674" s="380"/>
      <c r="AS674" s="380"/>
      <c r="AT674" s="380"/>
      <c r="AU674" s="380"/>
      <c r="AV674" s="380"/>
      <c r="AW674" s="380"/>
      <c r="AX674" s="380"/>
      <c r="AY674" s="403"/>
      <c r="AZ674" s="380"/>
      <c r="BA674" s="380"/>
      <c r="BB674" s="380"/>
      <c r="BC674" s="380"/>
      <c r="BD674" s="380"/>
      <c r="BE674" s="404"/>
      <c r="BF674" s="380"/>
      <c r="BG674" s="380"/>
      <c r="BH674" s="380"/>
      <c r="BI674" s="380"/>
      <c r="BJ674" s="380"/>
      <c r="BK674" s="380"/>
      <c r="BL674" s="380"/>
      <c r="BM674" s="403"/>
      <c r="BS674" s="83"/>
      <c r="CA674" s="405"/>
      <c r="CG674" s="83"/>
      <c r="CO674" s="405"/>
      <c r="CU674" s="83"/>
      <c r="DC674" s="405"/>
      <c r="DI674" s="83"/>
      <c r="DQ674" s="405"/>
      <c r="DW674" s="83"/>
      <c r="EE674" s="405"/>
      <c r="EK674" s="83"/>
      <c r="ES674" s="405"/>
      <c r="EY674" s="83"/>
      <c r="FG674" s="405"/>
      <c r="FM674" s="83"/>
      <c r="FU674" s="405"/>
      <c r="GA674" s="83"/>
      <c r="GI674" s="405"/>
      <c r="GO674" s="83"/>
      <c r="GW674" s="405"/>
      <c r="HC674" s="83"/>
      <c r="HK674" s="405"/>
      <c r="HQ674" s="83"/>
      <c r="HY674" s="405"/>
      <c r="IE674" s="83"/>
      <c r="IM674" s="405"/>
      <c r="IS674" s="83"/>
      <c r="JA674" s="405"/>
      <c r="JG674" s="83"/>
      <c r="JO674" s="405"/>
      <c r="JU674" s="83"/>
      <c r="KC674" s="405"/>
      <c r="KI674" s="83"/>
      <c r="KQ674" s="405"/>
      <c r="KW674" s="83"/>
      <c r="LE674" s="405"/>
      <c r="LK674" s="83"/>
      <c r="LS674" s="405"/>
      <c r="LY674" s="83"/>
      <c r="MG674" s="405"/>
      <c r="MM674" s="83"/>
      <c r="MU674" s="405"/>
      <c r="NA674" s="83"/>
    </row>
    <row r="675">
      <c r="A675" s="483"/>
      <c r="B675" s="380"/>
      <c r="C675" s="380"/>
      <c r="D675" s="380"/>
      <c r="E675" s="380"/>
      <c r="F675" s="380"/>
      <c r="G675" s="380"/>
      <c r="H675" s="380"/>
      <c r="I675" s="403"/>
      <c r="J675" s="380"/>
      <c r="K675" s="380"/>
      <c r="L675" s="380"/>
      <c r="M675" s="380"/>
      <c r="N675" s="380"/>
      <c r="O675" s="404"/>
      <c r="P675" s="380"/>
      <c r="Q675" s="380"/>
      <c r="R675" s="380"/>
      <c r="S675" s="380"/>
      <c r="T675" s="380"/>
      <c r="U675" s="380"/>
      <c r="V675" s="380"/>
      <c r="W675" s="403"/>
      <c r="X675" s="380"/>
      <c r="Y675" s="380"/>
      <c r="Z675" s="380"/>
      <c r="AA675" s="380"/>
      <c r="AB675" s="380"/>
      <c r="AC675" s="404"/>
      <c r="AD675" s="380"/>
      <c r="AE675" s="380"/>
      <c r="AF675" s="380"/>
      <c r="AG675" s="380"/>
      <c r="AH675" s="380"/>
      <c r="AI675" s="380"/>
      <c r="AJ675" s="380"/>
      <c r="AK675" s="403"/>
      <c r="AL675" s="380"/>
      <c r="AM675" s="380"/>
      <c r="AN675" s="380"/>
      <c r="AO675" s="380"/>
      <c r="AP675" s="380"/>
      <c r="AQ675" s="404"/>
      <c r="AR675" s="380"/>
      <c r="AS675" s="380"/>
      <c r="AT675" s="380"/>
      <c r="AU675" s="380"/>
      <c r="AV675" s="380"/>
      <c r="AW675" s="380"/>
      <c r="AX675" s="380"/>
      <c r="AY675" s="403"/>
      <c r="AZ675" s="380"/>
      <c r="BA675" s="380"/>
      <c r="BB675" s="380"/>
      <c r="BC675" s="380"/>
      <c r="BD675" s="380"/>
      <c r="BE675" s="404"/>
      <c r="BF675" s="380"/>
      <c r="BG675" s="380"/>
      <c r="BH675" s="380"/>
      <c r="BI675" s="380"/>
      <c r="BJ675" s="380"/>
      <c r="BK675" s="380"/>
      <c r="BL675" s="380"/>
      <c r="BM675" s="403"/>
      <c r="BS675" s="83"/>
      <c r="CA675" s="405"/>
      <c r="CG675" s="83"/>
      <c r="CO675" s="405"/>
      <c r="CU675" s="83"/>
      <c r="DC675" s="405"/>
      <c r="DI675" s="83"/>
      <c r="DQ675" s="405"/>
      <c r="DW675" s="83"/>
      <c r="EE675" s="405"/>
      <c r="EK675" s="83"/>
      <c r="ES675" s="405"/>
      <c r="EY675" s="83"/>
      <c r="FG675" s="405"/>
      <c r="FM675" s="83"/>
      <c r="FU675" s="405"/>
      <c r="GA675" s="83"/>
      <c r="GI675" s="405"/>
      <c r="GO675" s="83"/>
      <c r="GW675" s="405"/>
      <c r="HC675" s="83"/>
      <c r="HK675" s="405"/>
      <c r="HQ675" s="83"/>
      <c r="HY675" s="405"/>
      <c r="IE675" s="83"/>
      <c r="IM675" s="405"/>
      <c r="IS675" s="83"/>
      <c r="JA675" s="405"/>
      <c r="JG675" s="83"/>
      <c r="JO675" s="405"/>
      <c r="JU675" s="83"/>
      <c r="KC675" s="405"/>
      <c r="KI675" s="83"/>
      <c r="KQ675" s="405"/>
      <c r="KW675" s="83"/>
      <c r="LE675" s="405"/>
      <c r="LK675" s="83"/>
      <c r="LS675" s="405"/>
      <c r="LY675" s="83"/>
      <c r="MG675" s="405"/>
      <c r="MM675" s="83"/>
      <c r="MU675" s="405"/>
      <c r="NA675" s="83"/>
    </row>
    <row r="676">
      <c r="A676" s="483"/>
      <c r="B676" s="380"/>
      <c r="C676" s="380"/>
      <c r="D676" s="380"/>
      <c r="E676" s="380"/>
      <c r="F676" s="380"/>
      <c r="G676" s="380"/>
      <c r="H676" s="380"/>
      <c r="I676" s="403"/>
      <c r="J676" s="380"/>
      <c r="K676" s="380"/>
      <c r="L676" s="380"/>
      <c r="M676" s="380"/>
      <c r="N676" s="380"/>
      <c r="O676" s="404"/>
      <c r="P676" s="380"/>
      <c r="Q676" s="380"/>
      <c r="R676" s="380"/>
      <c r="S676" s="380"/>
      <c r="T676" s="380"/>
      <c r="U676" s="380"/>
      <c r="V676" s="380"/>
      <c r="W676" s="403"/>
      <c r="X676" s="380"/>
      <c r="Y676" s="380"/>
      <c r="Z676" s="380"/>
      <c r="AA676" s="380"/>
      <c r="AB676" s="380"/>
      <c r="AC676" s="404"/>
      <c r="AD676" s="380"/>
      <c r="AE676" s="380"/>
      <c r="AF676" s="380"/>
      <c r="AG676" s="380"/>
      <c r="AH676" s="380"/>
      <c r="AI676" s="380"/>
      <c r="AJ676" s="380"/>
      <c r="AK676" s="403"/>
      <c r="AL676" s="380"/>
      <c r="AM676" s="380"/>
      <c r="AN676" s="380"/>
      <c r="AO676" s="380"/>
      <c r="AP676" s="380"/>
      <c r="AQ676" s="404"/>
      <c r="AR676" s="380"/>
      <c r="AS676" s="380"/>
      <c r="AT676" s="380"/>
      <c r="AU676" s="380"/>
      <c r="AV676" s="380"/>
      <c r="AW676" s="380"/>
      <c r="AX676" s="380"/>
      <c r="AY676" s="403"/>
      <c r="AZ676" s="380"/>
      <c r="BA676" s="380"/>
      <c r="BB676" s="380"/>
      <c r="BC676" s="380"/>
      <c r="BD676" s="380"/>
      <c r="BE676" s="404"/>
      <c r="BF676" s="380"/>
      <c r="BG676" s="380"/>
      <c r="BH676" s="380"/>
      <c r="BI676" s="380"/>
      <c r="BJ676" s="380"/>
      <c r="BK676" s="380"/>
      <c r="BL676" s="380"/>
      <c r="BM676" s="403"/>
      <c r="BS676" s="83"/>
      <c r="CA676" s="405"/>
      <c r="CG676" s="83"/>
      <c r="CO676" s="405"/>
      <c r="CU676" s="83"/>
      <c r="DC676" s="405"/>
      <c r="DI676" s="83"/>
      <c r="DQ676" s="405"/>
      <c r="DW676" s="83"/>
      <c r="EE676" s="405"/>
      <c r="EK676" s="83"/>
      <c r="ES676" s="405"/>
      <c r="EY676" s="83"/>
      <c r="FG676" s="405"/>
      <c r="FM676" s="83"/>
      <c r="FU676" s="405"/>
      <c r="GA676" s="83"/>
      <c r="GI676" s="405"/>
      <c r="GO676" s="83"/>
      <c r="GW676" s="405"/>
      <c r="HC676" s="83"/>
      <c r="HK676" s="405"/>
      <c r="HQ676" s="83"/>
      <c r="HY676" s="405"/>
      <c r="IE676" s="83"/>
      <c r="IM676" s="405"/>
      <c r="IS676" s="83"/>
      <c r="JA676" s="405"/>
      <c r="JG676" s="83"/>
      <c r="JO676" s="405"/>
      <c r="JU676" s="83"/>
      <c r="KC676" s="405"/>
      <c r="KI676" s="83"/>
      <c r="KQ676" s="405"/>
      <c r="KW676" s="83"/>
      <c r="LE676" s="405"/>
      <c r="LK676" s="83"/>
      <c r="LS676" s="405"/>
      <c r="LY676" s="83"/>
      <c r="MG676" s="405"/>
      <c r="MM676" s="83"/>
      <c r="MU676" s="405"/>
      <c r="NA676" s="83"/>
    </row>
    <row r="677">
      <c r="A677" s="483"/>
      <c r="B677" s="380"/>
      <c r="C677" s="380"/>
      <c r="D677" s="380"/>
      <c r="E677" s="380"/>
      <c r="F677" s="380"/>
      <c r="G677" s="380"/>
      <c r="H677" s="380"/>
      <c r="I677" s="403"/>
      <c r="J677" s="380"/>
      <c r="K677" s="380"/>
      <c r="L677" s="380"/>
      <c r="M677" s="380"/>
      <c r="N677" s="380"/>
      <c r="O677" s="404"/>
      <c r="P677" s="380"/>
      <c r="Q677" s="380"/>
      <c r="R677" s="380"/>
      <c r="S677" s="380"/>
      <c r="T677" s="380"/>
      <c r="U677" s="380"/>
      <c r="V677" s="380"/>
      <c r="W677" s="403"/>
      <c r="X677" s="380"/>
      <c r="Y677" s="380"/>
      <c r="Z677" s="380"/>
      <c r="AA677" s="380"/>
      <c r="AB677" s="380"/>
      <c r="AC677" s="404"/>
      <c r="AD677" s="380"/>
      <c r="AE677" s="380"/>
      <c r="AF677" s="380"/>
      <c r="AG677" s="380"/>
      <c r="AH677" s="380"/>
      <c r="AI677" s="380"/>
      <c r="AJ677" s="380"/>
      <c r="AK677" s="403"/>
      <c r="AL677" s="380"/>
      <c r="AM677" s="380"/>
      <c r="AN677" s="380"/>
      <c r="AO677" s="380"/>
      <c r="AP677" s="380"/>
      <c r="AQ677" s="404"/>
      <c r="AR677" s="380"/>
      <c r="AS677" s="380"/>
      <c r="AT677" s="380"/>
      <c r="AU677" s="380"/>
      <c r="AV677" s="380"/>
      <c r="AW677" s="380"/>
      <c r="AX677" s="380"/>
      <c r="AY677" s="403"/>
      <c r="AZ677" s="380"/>
      <c r="BA677" s="380"/>
      <c r="BB677" s="380"/>
      <c r="BC677" s="380"/>
      <c r="BD677" s="380"/>
      <c r="BE677" s="404"/>
      <c r="BF677" s="380"/>
      <c r="BG677" s="380"/>
      <c r="BH677" s="380"/>
      <c r="BI677" s="380"/>
      <c r="BJ677" s="380"/>
      <c r="BK677" s="380"/>
      <c r="BL677" s="380"/>
      <c r="BM677" s="403"/>
      <c r="BS677" s="83"/>
      <c r="CA677" s="405"/>
      <c r="CG677" s="83"/>
      <c r="CO677" s="405"/>
      <c r="CU677" s="83"/>
      <c r="DC677" s="405"/>
      <c r="DI677" s="83"/>
      <c r="DQ677" s="405"/>
      <c r="DW677" s="83"/>
      <c r="EE677" s="405"/>
      <c r="EK677" s="83"/>
      <c r="ES677" s="405"/>
      <c r="EY677" s="83"/>
      <c r="FG677" s="405"/>
      <c r="FM677" s="83"/>
      <c r="FU677" s="405"/>
      <c r="GA677" s="83"/>
      <c r="GI677" s="405"/>
      <c r="GO677" s="83"/>
      <c r="GW677" s="405"/>
      <c r="HC677" s="83"/>
      <c r="HK677" s="405"/>
      <c r="HQ677" s="83"/>
      <c r="HY677" s="405"/>
      <c r="IE677" s="83"/>
      <c r="IM677" s="405"/>
      <c r="IS677" s="83"/>
      <c r="JA677" s="405"/>
      <c r="JG677" s="83"/>
      <c r="JO677" s="405"/>
      <c r="JU677" s="83"/>
      <c r="KC677" s="405"/>
      <c r="KI677" s="83"/>
      <c r="KQ677" s="405"/>
      <c r="KW677" s="83"/>
      <c r="LE677" s="405"/>
      <c r="LK677" s="83"/>
      <c r="LS677" s="405"/>
      <c r="LY677" s="83"/>
      <c r="MG677" s="405"/>
      <c r="MM677" s="83"/>
      <c r="MU677" s="405"/>
      <c r="NA677" s="83"/>
    </row>
    <row r="678">
      <c r="A678" s="483"/>
      <c r="B678" s="380"/>
      <c r="C678" s="380"/>
      <c r="D678" s="380"/>
      <c r="E678" s="380"/>
      <c r="F678" s="380"/>
      <c r="G678" s="380"/>
      <c r="H678" s="380"/>
      <c r="I678" s="403"/>
      <c r="J678" s="380"/>
      <c r="K678" s="380"/>
      <c r="L678" s="380"/>
      <c r="M678" s="380"/>
      <c r="N678" s="380"/>
      <c r="O678" s="404"/>
      <c r="P678" s="380"/>
      <c r="Q678" s="380"/>
      <c r="R678" s="380"/>
      <c r="S678" s="380"/>
      <c r="T678" s="380"/>
      <c r="U678" s="380"/>
      <c r="V678" s="380"/>
      <c r="W678" s="403"/>
      <c r="X678" s="380"/>
      <c r="Y678" s="380"/>
      <c r="Z678" s="380"/>
      <c r="AA678" s="380"/>
      <c r="AB678" s="380"/>
      <c r="AC678" s="404"/>
      <c r="AD678" s="380"/>
      <c r="AE678" s="380"/>
      <c r="AF678" s="380"/>
      <c r="AG678" s="380"/>
      <c r="AH678" s="380"/>
      <c r="AI678" s="380"/>
      <c r="AJ678" s="380"/>
      <c r="AK678" s="403"/>
      <c r="AL678" s="380"/>
      <c r="AM678" s="380"/>
      <c r="AN678" s="380"/>
      <c r="AO678" s="380"/>
      <c r="AP678" s="380"/>
      <c r="AQ678" s="404"/>
      <c r="AR678" s="380"/>
      <c r="AS678" s="380"/>
      <c r="AT678" s="380"/>
      <c r="AU678" s="380"/>
      <c r="AV678" s="380"/>
      <c r="AW678" s="380"/>
      <c r="AX678" s="380"/>
      <c r="AY678" s="403"/>
      <c r="AZ678" s="380"/>
      <c r="BA678" s="380"/>
      <c r="BB678" s="380"/>
      <c r="BC678" s="380"/>
      <c r="BD678" s="380"/>
      <c r="BE678" s="404"/>
      <c r="BF678" s="380"/>
      <c r="BG678" s="380"/>
      <c r="BH678" s="380"/>
      <c r="BI678" s="380"/>
      <c r="BJ678" s="380"/>
      <c r="BK678" s="380"/>
      <c r="BL678" s="380"/>
      <c r="BM678" s="403"/>
      <c r="BS678" s="83"/>
      <c r="CA678" s="405"/>
      <c r="CG678" s="83"/>
      <c r="CO678" s="405"/>
      <c r="CU678" s="83"/>
      <c r="DC678" s="405"/>
      <c r="DI678" s="83"/>
      <c r="DQ678" s="405"/>
      <c r="DW678" s="83"/>
      <c r="EE678" s="405"/>
      <c r="EK678" s="83"/>
      <c r="ES678" s="405"/>
      <c r="EY678" s="83"/>
      <c r="FG678" s="405"/>
      <c r="FM678" s="83"/>
      <c r="FU678" s="405"/>
      <c r="GA678" s="83"/>
      <c r="GI678" s="405"/>
      <c r="GO678" s="83"/>
      <c r="GW678" s="405"/>
      <c r="HC678" s="83"/>
      <c r="HK678" s="405"/>
      <c r="HQ678" s="83"/>
      <c r="HY678" s="405"/>
      <c r="IE678" s="83"/>
      <c r="IM678" s="405"/>
      <c r="IS678" s="83"/>
      <c r="JA678" s="405"/>
      <c r="JG678" s="83"/>
      <c r="JO678" s="405"/>
      <c r="JU678" s="83"/>
      <c r="KC678" s="405"/>
      <c r="KI678" s="83"/>
      <c r="KQ678" s="405"/>
      <c r="KW678" s="83"/>
      <c r="LE678" s="405"/>
      <c r="LK678" s="83"/>
      <c r="LS678" s="405"/>
      <c r="LY678" s="83"/>
      <c r="MG678" s="405"/>
      <c r="MM678" s="83"/>
      <c r="MU678" s="405"/>
      <c r="NA678" s="83"/>
    </row>
    <row r="679">
      <c r="A679" s="483"/>
      <c r="B679" s="380"/>
      <c r="C679" s="380"/>
      <c r="D679" s="380"/>
      <c r="E679" s="380"/>
      <c r="F679" s="380"/>
      <c r="G679" s="380"/>
      <c r="H679" s="380"/>
      <c r="I679" s="403"/>
      <c r="J679" s="380"/>
      <c r="K679" s="380"/>
      <c r="L679" s="380"/>
      <c r="M679" s="380"/>
      <c r="N679" s="380"/>
      <c r="O679" s="404"/>
      <c r="P679" s="380"/>
      <c r="Q679" s="380"/>
      <c r="R679" s="380"/>
      <c r="S679" s="380"/>
      <c r="T679" s="380"/>
      <c r="U679" s="380"/>
      <c r="V679" s="380"/>
      <c r="W679" s="403"/>
      <c r="X679" s="380"/>
      <c r="Y679" s="380"/>
      <c r="Z679" s="380"/>
      <c r="AA679" s="380"/>
      <c r="AB679" s="380"/>
      <c r="AC679" s="404"/>
      <c r="AD679" s="380"/>
      <c r="AE679" s="380"/>
      <c r="AF679" s="380"/>
      <c r="AG679" s="380"/>
      <c r="AH679" s="380"/>
      <c r="AI679" s="380"/>
      <c r="AJ679" s="380"/>
      <c r="AK679" s="403"/>
      <c r="AL679" s="380"/>
      <c r="AM679" s="380"/>
      <c r="AN679" s="380"/>
      <c r="AO679" s="380"/>
      <c r="AP679" s="380"/>
      <c r="AQ679" s="404"/>
      <c r="AR679" s="380"/>
      <c r="AS679" s="380"/>
      <c r="AT679" s="380"/>
      <c r="AU679" s="380"/>
      <c r="AV679" s="380"/>
      <c r="AW679" s="380"/>
      <c r="AX679" s="380"/>
      <c r="AY679" s="403"/>
      <c r="AZ679" s="380"/>
      <c r="BA679" s="380"/>
      <c r="BB679" s="380"/>
      <c r="BC679" s="380"/>
      <c r="BD679" s="380"/>
      <c r="BE679" s="404"/>
      <c r="BF679" s="380"/>
      <c r="BG679" s="380"/>
      <c r="BH679" s="380"/>
      <c r="BI679" s="380"/>
      <c r="BJ679" s="380"/>
      <c r="BK679" s="380"/>
      <c r="BL679" s="380"/>
      <c r="BM679" s="403"/>
      <c r="BS679" s="83"/>
      <c r="CA679" s="405"/>
      <c r="CG679" s="83"/>
      <c r="CO679" s="405"/>
      <c r="CU679" s="83"/>
      <c r="DC679" s="405"/>
      <c r="DI679" s="83"/>
      <c r="DQ679" s="405"/>
      <c r="DW679" s="83"/>
      <c r="EE679" s="405"/>
      <c r="EK679" s="83"/>
      <c r="ES679" s="405"/>
      <c r="EY679" s="83"/>
      <c r="FG679" s="405"/>
      <c r="FM679" s="83"/>
      <c r="FU679" s="405"/>
      <c r="GA679" s="83"/>
      <c r="GI679" s="405"/>
      <c r="GO679" s="83"/>
      <c r="GW679" s="405"/>
      <c r="HC679" s="83"/>
      <c r="HK679" s="405"/>
      <c r="HQ679" s="83"/>
      <c r="HY679" s="405"/>
      <c r="IE679" s="83"/>
      <c r="IM679" s="405"/>
      <c r="IS679" s="83"/>
      <c r="JA679" s="405"/>
      <c r="JG679" s="83"/>
      <c r="JO679" s="405"/>
      <c r="JU679" s="83"/>
      <c r="KC679" s="405"/>
      <c r="KI679" s="83"/>
      <c r="KQ679" s="405"/>
      <c r="KW679" s="83"/>
      <c r="LE679" s="405"/>
      <c r="LK679" s="83"/>
      <c r="LS679" s="405"/>
      <c r="LY679" s="83"/>
      <c r="MG679" s="405"/>
      <c r="MM679" s="83"/>
      <c r="MU679" s="405"/>
      <c r="NA679" s="83"/>
    </row>
    <row r="680">
      <c r="A680" s="483"/>
      <c r="B680" s="380"/>
      <c r="C680" s="380"/>
      <c r="D680" s="380"/>
      <c r="E680" s="380"/>
      <c r="F680" s="380"/>
      <c r="G680" s="380"/>
      <c r="H680" s="380"/>
      <c r="I680" s="403"/>
      <c r="J680" s="380"/>
      <c r="K680" s="380"/>
      <c r="L680" s="380"/>
      <c r="M680" s="380"/>
      <c r="N680" s="380"/>
      <c r="O680" s="404"/>
      <c r="P680" s="380"/>
      <c r="Q680" s="380"/>
      <c r="R680" s="380"/>
      <c r="S680" s="380"/>
      <c r="T680" s="380"/>
      <c r="U680" s="380"/>
      <c r="V680" s="380"/>
      <c r="W680" s="403"/>
      <c r="X680" s="380"/>
      <c r="Y680" s="380"/>
      <c r="Z680" s="380"/>
      <c r="AA680" s="380"/>
      <c r="AB680" s="380"/>
      <c r="AC680" s="404"/>
      <c r="AD680" s="380"/>
      <c r="AE680" s="380"/>
      <c r="AF680" s="380"/>
      <c r="AG680" s="380"/>
      <c r="AH680" s="380"/>
      <c r="AI680" s="380"/>
      <c r="AJ680" s="380"/>
      <c r="AK680" s="403"/>
      <c r="AL680" s="380"/>
      <c r="AM680" s="380"/>
      <c r="AN680" s="380"/>
      <c r="AO680" s="380"/>
      <c r="AP680" s="380"/>
      <c r="AQ680" s="404"/>
      <c r="AR680" s="380"/>
      <c r="AS680" s="380"/>
      <c r="AT680" s="380"/>
      <c r="AU680" s="380"/>
      <c r="AV680" s="380"/>
      <c r="AW680" s="380"/>
      <c r="AX680" s="380"/>
      <c r="AY680" s="403"/>
      <c r="AZ680" s="380"/>
      <c r="BA680" s="380"/>
      <c r="BB680" s="380"/>
      <c r="BC680" s="380"/>
      <c r="BD680" s="380"/>
      <c r="BE680" s="404"/>
      <c r="BF680" s="380"/>
      <c r="BG680" s="380"/>
      <c r="BH680" s="380"/>
      <c r="BI680" s="380"/>
      <c r="BJ680" s="380"/>
      <c r="BK680" s="380"/>
      <c r="BL680" s="380"/>
      <c r="BM680" s="403"/>
      <c r="BS680" s="83"/>
      <c r="CA680" s="405"/>
      <c r="CG680" s="83"/>
      <c r="CO680" s="405"/>
      <c r="CU680" s="83"/>
      <c r="DC680" s="405"/>
      <c r="DI680" s="83"/>
      <c r="DQ680" s="405"/>
      <c r="DW680" s="83"/>
      <c r="EE680" s="405"/>
      <c r="EK680" s="83"/>
      <c r="ES680" s="405"/>
      <c r="EY680" s="83"/>
      <c r="FG680" s="405"/>
      <c r="FM680" s="83"/>
      <c r="FU680" s="405"/>
      <c r="GA680" s="83"/>
      <c r="GI680" s="405"/>
      <c r="GO680" s="83"/>
      <c r="GW680" s="405"/>
      <c r="HC680" s="83"/>
      <c r="HK680" s="405"/>
      <c r="HQ680" s="83"/>
      <c r="HY680" s="405"/>
      <c r="IE680" s="83"/>
      <c r="IM680" s="405"/>
      <c r="IS680" s="83"/>
      <c r="JA680" s="405"/>
      <c r="JG680" s="83"/>
      <c r="JO680" s="405"/>
      <c r="JU680" s="83"/>
      <c r="KC680" s="405"/>
      <c r="KI680" s="83"/>
      <c r="KQ680" s="405"/>
      <c r="KW680" s="83"/>
      <c r="LE680" s="405"/>
      <c r="LK680" s="83"/>
      <c r="LS680" s="405"/>
      <c r="LY680" s="83"/>
      <c r="MG680" s="405"/>
      <c r="MM680" s="83"/>
      <c r="MU680" s="405"/>
      <c r="NA680" s="83"/>
    </row>
    <row r="681">
      <c r="A681" s="483"/>
      <c r="B681" s="380"/>
      <c r="C681" s="380"/>
      <c r="D681" s="380"/>
      <c r="E681" s="380"/>
      <c r="F681" s="380"/>
      <c r="G681" s="380"/>
      <c r="H681" s="380"/>
      <c r="I681" s="403"/>
      <c r="J681" s="380"/>
      <c r="K681" s="380"/>
      <c r="L681" s="380"/>
      <c r="M681" s="380"/>
      <c r="N681" s="380"/>
      <c r="O681" s="404"/>
      <c r="P681" s="380"/>
      <c r="Q681" s="380"/>
      <c r="R681" s="380"/>
      <c r="S681" s="380"/>
      <c r="T681" s="380"/>
      <c r="U681" s="380"/>
      <c r="V681" s="380"/>
      <c r="W681" s="403"/>
      <c r="X681" s="380"/>
      <c r="Y681" s="380"/>
      <c r="Z681" s="380"/>
      <c r="AA681" s="380"/>
      <c r="AB681" s="380"/>
      <c r="AC681" s="404"/>
      <c r="AD681" s="380"/>
      <c r="AE681" s="380"/>
      <c r="AF681" s="380"/>
      <c r="AG681" s="380"/>
      <c r="AH681" s="380"/>
      <c r="AI681" s="380"/>
      <c r="AJ681" s="380"/>
      <c r="AK681" s="403"/>
      <c r="AL681" s="380"/>
      <c r="AM681" s="380"/>
      <c r="AN681" s="380"/>
      <c r="AO681" s="380"/>
      <c r="AP681" s="380"/>
      <c r="AQ681" s="404"/>
      <c r="AR681" s="380"/>
      <c r="AS681" s="380"/>
      <c r="AT681" s="380"/>
      <c r="AU681" s="380"/>
      <c r="AV681" s="380"/>
      <c r="AW681" s="380"/>
      <c r="AX681" s="380"/>
      <c r="AY681" s="403"/>
      <c r="AZ681" s="380"/>
      <c r="BA681" s="380"/>
      <c r="BB681" s="380"/>
      <c r="BC681" s="380"/>
      <c r="BD681" s="380"/>
      <c r="BE681" s="404"/>
      <c r="BF681" s="380"/>
      <c r="BG681" s="380"/>
      <c r="BH681" s="380"/>
      <c r="BI681" s="380"/>
      <c r="BJ681" s="380"/>
      <c r="BK681" s="380"/>
      <c r="BL681" s="380"/>
      <c r="BM681" s="403"/>
      <c r="BS681" s="83"/>
      <c r="CA681" s="405"/>
      <c r="CG681" s="83"/>
      <c r="CO681" s="405"/>
      <c r="CU681" s="83"/>
      <c r="DC681" s="405"/>
      <c r="DI681" s="83"/>
      <c r="DQ681" s="405"/>
      <c r="DW681" s="83"/>
      <c r="EE681" s="405"/>
      <c r="EK681" s="83"/>
      <c r="ES681" s="405"/>
      <c r="EY681" s="83"/>
      <c r="FG681" s="405"/>
      <c r="FM681" s="83"/>
      <c r="FU681" s="405"/>
      <c r="GA681" s="83"/>
      <c r="GI681" s="405"/>
      <c r="GO681" s="83"/>
      <c r="GW681" s="405"/>
      <c r="HC681" s="83"/>
      <c r="HK681" s="405"/>
      <c r="HQ681" s="83"/>
      <c r="HY681" s="405"/>
      <c r="IE681" s="83"/>
      <c r="IM681" s="405"/>
      <c r="IS681" s="83"/>
      <c r="JA681" s="405"/>
      <c r="JG681" s="83"/>
      <c r="JO681" s="405"/>
      <c r="JU681" s="83"/>
      <c r="KC681" s="405"/>
      <c r="KI681" s="83"/>
      <c r="KQ681" s="405"/>
      <c r="KW681" s="83"/>
      <c r="LE681" s="405"/>
      <c r="LK681" s="83"/>
      <c r="LS681" s="405"/>
      <c r="LY681" s="83"/>
      <c r="MG681" s="405"/>
      <c r="MM681" s="83"/>
      <c r="MU681" s="405"/>
      <c r="NA681" s="83"/>
    </row>
    <row r="682">
      <c r="A682" s="483"/>
      <c r="B682" s="380"/>
      <c r="C682" s="380"/>
      <c r="D682" s="380"/>
      <c r="E682" s="380"/>
      <c r="F682" s="380"/>
      <c r="G682" s="380"/>
      <c r="H682" s="380"/>
      <c r="I682" s="403"/>
      <c r="J682" s="380"/>
      <c r="K682" s="380"/>
      <c r="L682" s="380"/>
      <c r="M682" s="380"/>
      <c r="N682" s="380"/>
      <c r="O682" s="404"/>
      <c r="P682" s="380"/>
      <c r="Q682" s="380"/>
      <c r="R682" s="380"/>
      <c r="S682" s="380"/>
      <c r="T682" s="380"/>
      <c r="U682" s="380"/>
      <c r="V682" s="380"/>
      <c r="W682" s="403"/>
      <c r="X682" s="380"/>
      <c r="Y682" s="380"/>
      <c r="Z682" s="380"/>
      <c r="AA682" s="380"/>
      <c r="AB682" s="380"/>
      <c r="AC682" s="404"/>
      <c r="AD682" s="380"/>
      <c r="AE682" s="380"/>
      <c r="AF682" s="380"/>
      <c r="AG682" s="380"/>
      <c r="AH682" s="380"/>
      <c r="AI682" s="380"/>
      <c r="AJ682" s="380"/>
      <c r="AK682" s="403"/>
      <c r="AL682" s="380"/>
      <c r="AM682" s="380"/>
      <c r="AN682" s="380"/>
      <c r="AO682" s="380"/>
      <c r="AP682" s="380"/>
      <c r="AQ682" s="404"/>
      <c r="AR682" s="380"/>
      <c r="AS682" s="380"/>
      <c r="AT682" s="380"/>
      <c r="AU682" s="380"/>
      <c r="AV682" s="380"/>
      <c r="AW682" s="380"/>
      <c r="AX682" s="380"/>
      <c r="AY682" s="403"/>
      <c r="AZ682" s="380"/>
      <c r="BA682" s="380"/>
      <c r="BB682" s="380"/>
      <c r="BC682" s="380"/>
      <c r="BD682" s="380"/>
      <c r="BE682" s="404"/>
      <c r="BF682" s="380"/>
      <c r="BG682" s="380"/>
      <c r="BH682" s="380"/>
      <c r="BI682" s="380"/>
      <c r="BJ682" s="380"/>
      <c r="BK682" s="380"/>
      <c r="BL682" s="380"/>
      <c r="BM682" s="403"/>
      <c r="BS682" s="83"/>
      <c r="CA682" s="405"/>
      <c r="CG682" s="83"/>
      <c r="CO682" s="405"/>
      <c r="CU682" s="83"/>
      <c r="DC682" s="405"/>
      <c r="DI682" s="83"/>
      <c r="DQ682" s="405"/>
      <c r="DW682" s="83"/>
      <c r="EE682" s="405"/>
      <c r="EK682" s="83"/>
      <c r="ES682" s="405"/>
      <c r="EY682" s="83"/>
      <c r="FG682" s="405"/>
      <c r="FM682" s="83"/>
      <c r="FU682" s="405"/>
      <c r="GA682" s="83"/>
      <c r="GI682" s="405"/>
      <c r="GO682" s="83"/>
      <c r="GW682" s="405"/>
      <c r="HC682" s="83"/>
      <c r="HK682" s="405"/>
      <c r="HQ682" s="83"/>
      <c r="HY682" s="405"/>
      <c r="IE682" s="83"/>
      <c r="IM682" s="405"/>
      <c r="IS682" s="83"/>
      <c r="JA682" s="405"/>
      <c r="JG682" s="83"/>
      <c r="JO682" s="405"/>
      <c r="JU682" s="83"/>
      <c r="KC682" s="405"/>
      <c r="KI682" s="83"/>
      <c r="KQ682" s="405"/>
      <c r="KW682" s="83"/>
      <c r="LE682" s="405"/>
      <c r="LK682" s="83"/>
      <c r="LS682" s="405"/>
      <c r="LY682" s="83"/>
      <c r="MG682" s="405"/>
      <c r="MM682" s="83"/>
      <c r="MU682" s="405"/>
      <c r="NA682" s="83"/>
    </row>
    <row r="683">
      <c r="A683" s="483"/>
      <c r="B683" s="380"/>
      <c r="C683" s="380"/>
      <c r="D683" s="380"/>
      <c r="E683" s="380"/>
      <c r="F683" s="380"/>
      <c r="G683" s="380"/>
      <c r="H683" s="380"/>
      <c r="I683" s="403"/>
      <c r="J683" s="380"/>
      <c r="K683" s="380"/>
      <c r="L683" s="380"/>
      <c r="M683" s="380"/>
      <c r="N683" s="380"/>
      <c r="O683" s="404"/>
      <c r="P683" s="380"/>
      <c r="Q683" s="380"/>
      <c r="R683" s="380"/>
      <c r="S683" s="380"/>
      <c r="T683" s="380"/>
      <c r="U683" s="380"/>
      <c r="V683" s="380"/>
      <c r="W683" s="403"/>
      <c r="X683" s="380"/>
      <c r="Y683" s="380"/>
      <c r="Z683" s="380"/>
      <c r="AA683" s="380"/>
      <c r="AB683" s="380"/>
      <c r="AC683" s="404"/>
      <c r="AD683" s="380"/>
      <c r="AE683" s="380"/>
      <c r="AF683" s="380"/>
      <c r="AG683" s="380"/>
      <c r="AH683" s="380"/>
      <c r="AI683" s="380"/>
      <c r="AJ683" s="380"/>
      <c r="AK683" s="403"/>
      <c r="AL683" s="380"/>
      <c r="AM683" s="380"/>
      <c r="AN683" s="380"/>
      <c r="AO683" s="380"/>
      <c r="AP683" s="380"/>
      <c r="AQ683" s="404"/>
      <c r="AR683" s="380"/>
      <c r="AS683" s="380"/>
      <c r="AT683" s="380"/>
      <c r="AU683" s="380"/>
      <c r="AV683" s="380"/>
      <c r="AW683" s="380"/>
      <c r="AX683" s="380"/>
      <c r="AY683" s="403"/>
      <c r="AZ683" s="380"/>
      <c r="BA683" s="380"/>
      <c r="BB683" s="380"/>
      <c r="BC683" s="380"/>
      <c r="BD683" s="380"/>
      <c r="BE683" s="404"/>
      <c r="BF683" s="380"/>
      <c r="BG683" s="380"/>
      <c r="BH683" s="380"/>
      <c r="BI683" s="380"/>
      <c r="BJ683" s="380"/>
      <c r="BK683" s="380"/>
      <c r="BL683" s="380"/>
      <c r="BM683" s="403"/>
      <c r="BS683" s="83"/>
      <c r="CA683" s="405"/>
      <c r="CG683" s="83"/>
      <c r="CO683" s="405"/>
      <c r="CU683" s="83"/>
      <c r="DC683" s="405"/>
      <c r="DI683" s="83"/>
      <c r="DQ683" s="405"/>
      <c r="DW683" s="83"/>
      <c r="EE683" s="405"/>
      <c r="EK683" s="83"/>
      <c r="ES683" s="405"/>
      <c r="EY683" s="83"/>
      <c r="FG683" s="405"/>
      <c r="FM683" s="83"/>
      <c r="FU683" s="405"/>
      <c r="GA683" s="83"/>
      <c r="GI683" s="405"/>
      <c r="GO683" s="83"/>
      <c r="GW683" s="405"/>
      <c r="HC683" s="83"/>
      <c r="HK683" s="405"/>
      <c r="HQ683" s="83"/>
      <c r="HY683" s="405"/>
      <c r="IE683" s="83"/>
      <c r="IM683" s="405"/>
      <c r="IS683" s="83"/>
      <c r="JA683" s="405"/>
      <c r="JG683" s="83"/>
      <c r="JO683" s="405"/>
      <c r="JU683" s="83"/>
      <c r="KC683" s="405"/>
      <c r="KI683" s="83"/>
      <c r="KQ683" s="405"/>
      <c r="KW683" s="83"/>
      <c r="LE683" s="405"/>
      <c r="LK683" s="83"/>
      <c r="LS683" s="405"/>
      <c r="LY683" s="83"/>
      <c r="MG683" s="405"/>
      <c r="MM683" s="83"/>
      <c r="MU683" s="405"/>
      <c r="NA683" s="83"/>
    </row>
    <row r="684">
      <c r="A684" s="483"/>
      <c r="B684" s="380"/>
      <c r="C684" s="380"/>
      <c r="D684" s="380"/>
      <c r="E684" s="380"/>
      <c r="F684" s="380"/>
      <c r="G684" s="380"/>
      <c r="H684" s="380"/>
      <c r="I684" s="403"/>
      <c r="J684" s="380"/>
      <c r="K684" s="380"/>
      <c r="L684" s="380"/>
      <c r="M684" s="380"/>
      <c r="N684" s="380"/>
      <c r="O684" s="404"/>
      <c r="P684" s="380"/>
      <c r="Q684" s="380"/>
      <c r="R684" s="380"/>
      <c r="S684" s="380"/>
      <c r="T684" s="380"/>
      <c r="U684" s="380"/>
      <c r="V684" s="380"/>
      <c r="W684" s="403"/>
      <c r="X684" s="380"/>
      <c r="Y684" s="380"/>
      <c r="Z684" s="380"/>
      <c r="AA684" s="380"/>
      <c r="AB684" s="380"/>
      <c r="AC684" s="404"/>
      <c r="AD684" s="380"/>
      <c r="AE684" s="380"/>
      <c r="AF684" s="380"/>
      <c r="AG684" s="380"/>
      <c r="AH684" s="380"/>
      <c r="AI684" s="380"/>
      <c r="AJ684" s="380"/>
      <c r="AK684" s="403"/>
      <c r="AL684" s="380"/>
      <c r="AM684" s="380"/>
      <c r="AN684" s="380"/>
      <c r="AO684" s="380"/>
      <c r="AP684" s="380"/>
      <c r="AQ684" s="404"/>
      <c r="AR684" s="380"/>
      <c r="AS684" s="380"/>
      <c r="AT684" s="380"/>
      <c r="AU684" s="380"/>
      <c r="AV684" s="380"/>
      <c r="AW684" s="380"/>
      <c r="AX684" s="380"/>
      <c r="AY684" s="403"/>
      <c r="AZ684" s="380"/>
      <c r="BA684" s="380"/>
      <c r="BB684" s="380"/>
      <c r="BC684" s="380"/>
      <c r="BD684" s="380"/>
      <c r="BE684" s="404"/>
      <c r="BF684" s="380"/>
      <c r="BG684" s="380"/>
      <c r="BH684" s="380"/>
      <c r="BI684" s="380"/>
      <c r="BJ684" s="380"/>
      <c r="BK684" s="380"/>
      <c r="BL684" s="380"/>
      <c r="BM684" s="403"/>
      <c r="BS684" s="83"/>
      <c r="CA684" s="405"/>
      <c r="CG684" s="83"/>
      <c r="CO684" s="405"/>
      <c r="CU684" s="83"/>
      <c r="DC684" s="405"/>
      <c r="DI684" s="83"/>
      <c r="DQ684" s="405"/>
      <c r="DW684" s="83"/>
      <c r="EE684" s="405"/>
      <c r="EK684" s="83"/>
      <c r="ES684" s="405"/>
      <c r="EY684" s="83"/>
      <c r="FG684" s="405"/>
      <c r="FM684" s="83"/>
      <c r="FU684" s="405"/>
      <c r="GA684" s="83"/>
      <c r="GI684" s="405"/>
      <c r="GO684" s="83"/>
      <c r="GW684" s="405"/>
      <c r="HC684" s="83"/>
      <c r="HK684" s="405"/>
      <c r="HQ684" s="83"/>
      <c r="HY684" s="405"/>
      <c r="IE684" s="83"/>
      <c r="IM684" s="405"/>
      <c r="IS684" s="83"/>
      <c r="JA684" s="405"/>
      <c r="JG684" s="83"/>
      <c r="JO684" s="405"/>
      <c r="JU684" s="83"/>
      <c r="KC684" s="405"/>
      <c r="KI684" s="83"/>
      <c r="KQ684" s="405"/>
      <c r="KW684" s="83"/>
      <c r="LE684" s="405"/>
      <c r="LK684" s="83"/>
      <c r="LS684" s="405"/>
      <c r="LY684" s="83"/>
      <c r="MG684" s="405"/>
      <c r="MM684" s="83"/>
      <c r="MU684" s="405"/>
      <c r="NA684" s="83"/>
    </row>
    <row r="685">
      <c r="A685" s="483"/>
      <c r="B685" s="380"/>
      <c r="C685" s="380"/>
      <c r="D685" s="380"/>
      <c r="E685" s="380"/>
      <c r="F685" s="380"/>
      <c r="G685" s="380"/>
      <c r="H685" s="380"/>
      <c r="I685" s="403"/>
      <c r="J685" s="380"/>
      <c r="K685" s="380"/>
      <c r="L685" s="380"/>
      <c r="M685" s="380"/>
      <c r="N685" s="380"/>
      <c r="O685" s="404"/>
      <c r="P685" s="380"/>
      <c r="Q685" s="380"/>
      <c r="R685" s="380"/>
      <c r="S685" s="380"/>
      <c r="T685" s="380"/>
      <c r="U685" s="380"/>
      <c r="V685" s="380"/>
      <c r="W685" s="403"/>
      <c r="X685" s="380"/>
      <c r="Y685" s="380"/>
      <c r="Z685" s="380"/>
      <c r="AA685" s="380"/>
      <c r="AB685" s="380"/>
      <c r="AC685" s="404"/>
      <c r="AD685" s="380"/>
      <c r="AE685" s="380"/>
      <c r="AF685" s="380"/>
      <c r="AG685" s="380"/>
      <c r="AH685" s="380"/>
      <c r="AI685" s="380"/>
      <c r="AJ685" s="380"/>
      <c r="AK685" s="403"/>
      <c r="AL685" s="380"/>
      <c r="AM685" s="380"/>
      <c r="AN685" s="380"/>
      <c r="AO685" s="380"/>
      <c r="AP685" s="380"/>
      <c r="AQ685" s="404"/>
      <c r="AR685" s="380"/>
      <c r="AS685" s="380"/>
      <c r="AT685" s="380"/>
      <c r="AU685" s="380"/>
      <c r="AV685" s="380"/>
      <c r="AW685" s="380"/>
      <c r="AX685" s="380"/>
      <c r="AY685" s="403"/>
      <c r="AZ685" s="380"/>
      <c r="BA685" s="380"/>
      <c r="BB685" s="380"/>
      <c r="BC685" s="380"/>
      <c r="BD685" s="380"/>
      <c r="BE685" s="404"/>
      <c r="BF685" s="380"/>
      <c r="BG685" s="380"/>
      <c r="BH685" s="380"/>
      <c r="BI685" s="380"/>
      <c r="BJ685" s="380"/>
      <c r="BK685" s="380"/>
      <c r="BL685" s="380"/>
      <c r="BM685" s="403"/>
      <c r="BS685" s="83"/>
      <c r="CA685" s="405"/>
      <c r="CG685" s="83"/>
      <c r="CO685" s="405"/>
      <c r="CU685" s="83"/>
      <c r="DC685" s="405"/>
      <c r="DI685" s="83"/>
      <c r="DQ685" s="405"/>
      <c r="DW685" s="83"/>
      <c r="EE685" s="405"/>
      <c r="EK685" s="83"/>
      <c r="ES685" s="405"/>
      <c r="EY685" s="83"/>
      <c r="FG685" s="405"/>
      <c r="FM685" s="83"/>
      <c r="FU685" s="405"/>
      <c r="GA685" s="83"/>
      <c r="GI685" s="405"/>
      <c r="GO685" s="83"/>
      <c r="GW685" s="405"/>
      <c r="HC685" s="83"/>
      <c r="HK685" s="405"/>
      <c r="HQ685" s="83"/>
      <c r="HY685" s="405"/>
      <c r="IE685" s="83"/>
      <c r="IM685" s="405"/>
      <c r="IS685" s="83"/>
      <c r="JA685" s="405"/>
      <c r="JG685" s="83"/>
      <c r="JO685" s="405"/>
      <c r="JU685" s="83"/>
      <c r="KC685" s="405"/>
      <c r="KI685" s="83"/>
      <c r="KQ685" s="405"/>
      <c r="KW685" s="83"/>
      <c r="LE685" s="405"/>
      <c r="LK685" s="83"/>
      <c r="LS685" s="405"/>
      <c r="LY685" s="83"/>
      <c r="MG685" s="405"/>
      <c r="MM685" s="83"/>
      <c r="MU685" s="405"/>
      <c r="NA685" s="83"/>
    </row>
    <row r="686">
      <c r="A686" s="483"/>
      <c r="B686" s="380"/>
      <c r="C686" s="380"/>
      <c r="D686" s="380"/>
      <c r="E686" s="380"/>
      <c r="F686" s="380"/>
      <c r="G686" s="380"/>
      <c r="H686" s="380"/>
      <c r="I686" s="403"/>
      <c r="J686" s="380"/>
      <c r="K686" s="380"/>
      <c r="L686" s="380"/>
      <c r="M686" s="380"/>
      <c r="N686" s="380"/>
      <c r="O686" s="404"/>
      <c r="P686" s="380"/>
      <c r="Q686" s="380"/>
      <c r="R686" s="380"/>
      <c r="S686" s="380"/>
      <c r="T686" s="380"/>
      <c r="U686" s="380"/>
      <c r="V686" s="380"/>
      <c r="W686" s="403"/>
      <c r="X686" s="380"/>
      <c r="Y686" s="380"/>
      <c r="Z686" s="380"/>
      <c r="AA686" s="380"/>
      <c r="AB686" s="380"/>
      <c r="AC686" s="404"/>
      <c r="AD686" s="380"/>
      <c r="AE686" s="380"/>
      <c r="AF686" s="380"/>
      <c r="AG686" s="380"/>
      <c r="AH686" s="380"/>
      <c r="AI686" s="380"/>
      <c r="AJ686" s="380"/>
      <c r="AK686" s="403"/>
      <c r="AL686" s="380"/>
      <c r="AM686" s="380"/>
      <c r="AN686" s="380"/>
      <c r="AO686" s="380"/>
      <c r="AP686" s="380"/>
      <c r="AQ686" s="404"/>
      <c r="AR686" s="380"/>
      <c r="AS686" s="380"/>
      <c r="AT686" s="380"/>
      <c r="AU686" s="380"/>
      <c r="AV686" s="380"/>
      <c r="AW686" s="380"/>
      <c r="AX686" s="380"/>
      <c r="AY686" s="403"/>
      <c r="AZ686" s="380"/>
      <c r="BA686" s="380"/>
      <c r="BB686" s="380"/>
      <c r="BC686" s="380"/>
      <c r="BD686" s="380"/>
      <c r="BE686" s="404"/>
      <c r="BF686" s="380"/>
      <c r="BG686" s="380"/>
      <c r="BH686" s="380"/>
      <c r="BI686" s="380"/>
      <c r="BJ686" s="380"/>
      <c r="BK686" s="380"/>
      <c r="BL686" s="380"/>
      <c r="BM686" s="403"/>
      <c r="BS686" s="83"/>
      <c r="CA686" s="405"/>
      <c r="CG686" s="83"/>
      <c r="CO686" s="405"/>
      <c r="CU686" s="83"/>
      <c r="DC686" s="405"/>
      <c r="DI686" s="83"/>
      <c r="DQ686" s="405"/>
      <c r="DW686" s="83"/>
      <c r="EE686" s="405"/>
      <c r="EK686" s="83"/>
      <c r="ES686" s="405"/>
      <c r="EY686" s="83"/>
      <c r="FG686" s="405"/>
      <c r="FM686" s="83"/>
      <c r="FU686" s="405"/>
      <c r="GA686" s="83"/>
      <c r="GI686" s="405"/>
      <c r="GO686" s="83"/>
      <c r="GW686" s="405"/>
      <c r="HC686" s="83"/>
      <c r="HK686" s="405"/>
      <c r="HQ686" s="83"/>
      <c r="HY686" s="405"/>
      <c r="IE686" s="83"/>
      <c r="IM686" s="405"/>
      <c r="IS686" s="83"/>
      <c r="JA686" s="405"/>
      <c r="JG686" s="83"/>
      <c r="JO686" s="405"/>
      <c r="JU686" s="83"/>
      <c r="KC686" s="405"/>
      <c r="KI686" s="83"/>
      <c r="KQ686" s="405"/>
      <c r="KW686" s="83"/>
      <c r="LE686" s="405"/>
      <c r="LK686" s="83"/>
      <c r="LS686" s="405"/>
      <c r="LY686" s="83"/>
      <c r="MG686" s="405"/>
      <c r="MM686" s="83"/>
      <c r="MU686" s="405"/>
      <c r="NA686" s="83"/>
    </row>
    <row r="687">
      <c r="A687" s="483"/>
      <c r="B687" s="380"/>
      <c r="C687" s="380"/>
      <c r="D687" s="380"/>
      <c r="E687" s="380"/>
      <c r="F687" s="380"/>
      <c r="G687" s="380"/>
      <c r="H687" s="380"/>
      <c r="I687" s="403"/>
      <c r="J687" s="380"/>
      <c r="K687" s="380"/>
      <c r="L687" s="380"/>
      <c r="M687" s="380"/>
      <c r="N687" s="380"/>
      <c r="O687" s="404"/>
      <c r="P687" s="380"/>
      <c r="Q687" s="380"/>
      <c r="R687" s="380"/>
      <c r="S687" s="380"/>
      <c r="T687" s="380"/>
      <c r="U687" s="380"/>
      <c r="V687" s="380"/>
      <c r="W687" s="403"/>
      <c r="X687" s="380"/>
      <c r="Y687" s="380"/>
      <c r="Z687" s="380"/>
      <c r="AA687" s="380"/>
      <c r="AB687" s="380"/>
      <c r="AC687" s="404"/>
      <c r="AD687" s="380"/>
      <c r="AE687" s="380"/>
      <c r="AF687" s="380"/>
      <c r="AG687" s="380"/>
      <c r="AH687" s="380"/>
      <c r="AI687" s="380"/>
      <c r="AJ687" s="380"/>
      <c r="AK687" s="403"/>
      <c r="AL687" s="380"/>
      <c r="AM687" s="380"/>
      <c r="AN687" s="380"/>
      <c r="AO687" s="380"/>
      <c r="AP687" s="380"/>
      <c r="AQ687" s="404"/>
      <c r="AR687" s="380"/>
      <c r="AS687" s="380"/>
      <c r="AT687" s="380"/>
      <c r="AU687" s="380"/>
      <c r="AV687" s="380"/>
      <c r="AW687" s="380"/>
      <c r="AX687" s="380"/>
      <c r="AY687" s="403"/>
      <c r="AZ687" s="380"/>
      <c r="BA687" s="380"/>
      <c r="BB687" s="380"/>
      <c r="BC687" s="380"/>
      <c r="BD687" s="380"/>
      <c r="BE687" s="404"/>
      <c r="BF687" s="380"/>
      <c r="BG687" s="380"/>
      <c r="BH687" s="380"/>
      <c r="BI687" s="380"/>
      <c r="BJ687" s="380"/>
      <c r="BK687" s="380"/>
      <c r="BL687" s="380"/>
      <c r="BM687" s="403"/>
      <c r="BS687" s="83"/>
      <c r="CA687" s="405"/>
      <c r="CG687" s="83"/>
      <c r="CO687" s="405"/>
      <c r="CU687" s="83"/>
      <c r="DC687" s="405"/>
      <c r="DI687" s="83"/>
      <c r="DQ687" s="405"/>
      <c r="DW687" s="83"/>
      <c r="EE687" s="405"/>
      <c r="EK687" s="83"/>
      <c r="ES687" s="405"/>
      <c r="EY687" s="83"/>
      <c r="FG687" s="405"/>
      <c r="FM687" s="83"/>
      <c r="FU687" s="405"/>
      <c r="GA687" s="83"/>
      <c r="GI687" s="405"/>
      <c r="GO687" s="83"/>
      <c r="GW687" s="405"/>
      <c r="HC687" s="83"/>
      <c r="HK687" s="405"/>
      <c r="HQ687" s="83"/>
      <c r="HY687" s="405"/>
      <c r="IE687" s="83"/>
      <c r="IM687" s="405"/>
      <c r="IS687" s="83"/>
      <c r="JA687" s="405"/>
      <c r="JG687" s="83"/>
      <c r="JO687" s="405"/>
      <c r="JU687" s="83"/>
      <c r="KC687" s="405"/>
      <c r="KI687" s="83"/>
      <c r="KQ687" s="405"/>
      <c r="KW687" s="83"/>
      <c r="LE687" s="405"/>
      <c r="LK687" s="83"/>
      <c r="LS687" s="405"/>
      <c r="LY687" s="83"/>
      <c r="MG687" s="405"/>
      <c r="MM687" s="83"/>
      <c r="MU687" s="405"/>
      <c r="NA687" s="83"/>
    </row>
    <row r="688">
      <c r="A688" s="483"/>
      <c r="B688" s="380"/>
      <c r="C688" s="380"/>
      <c r="D688" s="380"/>
      <c r="E688" s="380"/>
      <c r="F688" s="380"/>
      <c r="G688" s="380"/>
      <c r="H688" s="380"/>
      <c r="I688" s="403"/>
      <c r="J688" s="380"/>
      <c r="K688" s="380"/>
      <c r="L688" s="380"/>
      <c r="M688" s="380"/>
      <c r="N688" s="380"/>
      <c r="O688" s="404"/>
      <c r="P688" s="380"/>
      <c r="Q688" s="380"/>
      <c r="R688" s="380"/>
      <c r="S688" s="380"/>
      <c r="T688" s="380"/>
      <c r="U688" s="380"/>
      <c r="V688" s="380"/>
      <c r="W688" s="403"/>
      <c r="X688" s="380"/>
      <c r="Y688" s="380"/>
      <c r="Z688" s="380"/>
      <c r="AA688" s="380"/>
      <c r="AB688" s="380"/>
      <c r="AC688" s="404"/>
      <c r="AD688" s="380"/>
      <c r="AE688" s="380"/>
      <c r="AF688" s="380"/>
      <c r="AG688" s="380"/>
      <c r="AH688" s="380"/>
      <c r="AI688" s="380"/>
      <c r="AJ688" s="380"/>
      <c r="AK688" s="403"/>
      <c r="AL688" s="380"/>
      <c r="AM688" s="380"/>
      <c r="AN688" s="380"/>
      <c r="AO688" s="380"/>
      <c r="AP688" s="380"/>
      <c r="AQ688" s="404"/>
      <c r="AR688" s="380"/>
      <c r="AS688" s="380"/>
      <c r="AT688" s="380"/>
      <c r="AU688" s="380"/>
      <c r="AV688" s="380"/>
      <c r="AW688" s="380"/>
      <c r="AX688" s="380"/>
      <c r="AY688" s="403"/>
      <c r="AZ688" s="380"/>
      <c r="BA688" s="380"/>
      <c r="BB688" s="380"/>
      <c r="BC688" s="380"/>
      <c r="BD688" s="380"/>
      <c r="BE688" s="404"/>
      <c r="BF688" s="380"/>
      <c r="BG688" s="380"/>
      <c r="BH688" s="380"/>
      <c r="BI688" s="380"/>
      <c r="BJ688" s="380"/>
      <c r="BK688" s="380"/>
      <c r="BL688" s="380"/>
      <c r="BM688" s="403"/>
      <c r="BS688" s="83"/>
      <c r="CA688" s="405"/>
      <c r="CG688" s="83"/>
      <c r="CO688" s="405"/>
      <c r="CU688" s="83"/>
      <c r="DC688" s="405"/>
      <c r="DI688" s="83"/>
      <c r="DQ688" s="405"/>
      <c r="DW688" s="83"/>
      <c r="EE688" s="405"/>
      <c r="EK688" s="83"/>
      <c r="ES688" s="405"/>
      <c r="EY688" s="83"/>
      <c r="FG688" s="405"/>
      <c r="FM688" s="83"/>
      <c r="FU688" s="405"/>
      <c r="GA688" s="83"/>
      <c r="GI688" s="405"/>
      <c r="GO688" s="83"/>
      <c r="GW688" s="405"/>
      <c r="HC688" s="83"/>
      <c r="HK688" s="405"/>
      <c r="HQ688" s="83"/>
      <c r="HY688" s="405"/>
      <c r="IE688" s="83"/>
      <c r="IM688" s="405"/>
      <c r="IS688" s="83"/>
      <c r="JA688" s="405"/>
      <c r="JG688" s="83"/>
      <c r="JO688" s="405"/>
      <c r="JU688" s="83"/>
      <c r="KC688" s="405"/>
      <c r="KI688" s="83"/>
      <c r="KQ688" s="405"/>
      <c r="KW688" s="83"/>
      <c r="LE688" s="405"/>
      <c r="LK688" s="83"/>
      <c r="LS688" s="405"/>
      <c r="LY688" s="83"/>
      <c r="MG688" s="405"/>
      <c r="MM688" s="83"/>
      <c r="MU688" s="405"/>
      <c r="NA688" s="83"/>
    </row>
    <row r="689">
      <c r="A689" s="483"/>
      <c r="B689" s="380"/>
      <c r="C689" s="380"/>
      <c r="D689" s="380"/>
      <c r="E689" s="380"/>
      <c r="F689" s="380"/>
      <c r="G689" s="380"/>
      <c r="H689" s="380"/>
      <c r="I689" s="403"/>
      <c r="J689" s="380"/>
      <c r="K689" s="380"/>
      <c r="L689" s="380"/>
      <c r="M689" s="380"/>
      <c r="N689" s="380"/>
      <c r="O689" s="404"/>
      <c r="P689" s="380"/>
      <c r="Q689" s="380"/>
      <c r="R689" s="380"/>
      <c r="S689" s="380"/>
      <c r="T689" s="380"/>
      <c r="U689" s="380"/>
      <c r="V689" s="380"/>
      <c r="W689" s="403"/>
      <c r="X689" s="380"/>
      <c r="Y689" s="380"/>
      <c r="Z689" s="380"/>
      <c r="AA689" s="380"/>
      <c r="AB689" s="380"/>
      <c r="AC689" s="404"/>
      <c r="AD689" s="380"/>
      <c r="AE689" s="380"/>
      <c r="AF689" s="380"/>
      <c r="AG689" s="380"/>
      <c r="AH689" s="380"/>
      <c r="AI689" s="380"/>
      <c r="AJ689" s="380"/>
      <c r="AK689" s="403"/>
      <c r="AL689" s="380"/>
      <c r="AM689" s="380"/>
      <c r="AN689" s="380"/>
      <c r="AO689" s="380"/>
      <c r="AP689" s="380"/>
      <c r="AQ689" s="404"/>
      <c r="AR689" s="380"/>
      <c r="AS689" s="380"/>
      <c r="AT689" s="380"/>
      <c r="AU689" s="380"/>
      <c r="AV689" s="380"/>
      <c r="AW689" s="380"/>
      <c r="AX689" s="380"/>
      <c r="AY689" s="403"/>
      <c r="AZ689" s="380"/>
      <c r="BA689" s="380"/>
      <c r="BB689" s="380"/>
      <c r="BC689" s="380"/>
      <c r="BD689" s="380"/>
      <c r="BE689" s="404"/>
      <c r="BF689" s="380"/>
      <c r="BG689" s="380"/>
      <c r="BH689" s="380"/>
      <c r="BI689" s="380"/>
      <c r="BJ689" s="380"/>
      <c r="BK689" s="380"/>
      <c r="BL689" s="380"/>
      <c r="BM689" s="403"/>
      <c r="BS689" s="83"/>
      <c r="CA689" s="405"/>
      <c r="CG689" s="83"/>
      <c r="CO689" s="405"/>
      <c r="CU689" s="83"/>
      <c r="DC689" s="405"/>
      <c r="DI689" s="83"/>
      <c r="DQ689" s="405"/>
      <c r="DW689" s="83"/>
      <c r="EE689" s="405"/>
      <c r="EK689" s="83"/>
      <c r="ES689" s="405"/>
      <c r="EY689" s="83"/>
      <c r="FG689" s="405"/>
      <c r="FM689" s="83"/>
      <c r="FU689" s="405"/>
      <c r="GA689" s="83"/>
      <c r="GI689" s="405"/>
      <c r="GO689" s="83"/>
      <c r="GW689" s="405"/>
      <c r="HC689" s="83"/>
      <c r="HK689" s="405"/>
      <c r="HQ689" s="83"/>
      <c r="HY689" s="405"/>
      <c r="IE689" s="83"/>
      <c r="IM689" s="405"/>
      <c r="IS689" s="83"/>
      <c r="JA689" s="405"/>
      <c r="JG689" s="83"/>
      <c r="JO689" s="405"/>
      <c r="JU689" s="83"/>
      <c r="KC689" s="405"/>
      <c r="KI689" s="83"/>
      <c r="KQ689" s="405"/>
      <c r="KW689" s="83"/>
      <c r="LE689" s="405"/>
      <c r="LK689" s="83"/>
      <c r="LS689" s="405"/>
      <c r="LY689" s="83"/>
      <c r="MG689" s="405"/>
      <c r="MM689" s="83"/>
      <c r="MU689" s="405"/>
      <c r="NA689" s="83"/>
    </row>
    <row r="690">
      <c r="A690" s="483"/>
      <c r="B690" s="380"/>
      <c r="C690" s="380"/>
      <c r="D690" s="380"/>
      <c r="E690" s="380"/>
      <c r="F690" s="380"/>
      <c r="G690" s="380"/>
      <c r="H690" s="380"/>
      <c r="I690" s="403"/>
      <c r="J690" s="380"/>
      <c r="K690" s="380"/>
      <c r="L690" s="380"/>
      <c r="M690" s="380"/>
      <c r="N690" s="380"/>
      <c r="O690" s="404"/>
      <c r="P690" s="380"/>
      <c r="Q690" s="380"/>
      <c r="R690" s="380"/>
      <c r="S690" s="380"/>
      <c r="T690" s="380"/>
      <c r="U690" s="380"/>
      <c r="V690" s="380"/>
      <c r="W690" s="403"/>
      <c r="X690" s="380"/>
      <c r="Y690" s="380"/>
      <c r="Z690" s="380"/>
      <c r="AA690" s="380"/>
      <c r="AB690" s="380"/>
      <c r="AC690" s="404"/>
      <c r="AD690" s="380"/>
      <c r="AE690" s="380"/>
      <c r="AF690" s="380"/>
      <c r="AG690" s="380"/>
      <c r="AH690" s="380"/>
      <c r="AI690" s="380"/>
      <c r="AJ690" s="380"/>
      <c r="AK690" s="403"/>
      <c r="AL690" s="380"/>
      <c r="AM690" s="380"/>
      <c r="AN690" s="380"/>
      <c r="AO690" s="380"/>
      <c r="AP690" s="380"/>
      <c r="AQ690" s="404"/>
      <c r="AR690" s="380"/>
      <c r="AS690" s="380"/>
      <c r="AT690" s="380"/>
      <c r="AU690" s="380"/>
      <c r="AV690" s="380"/>
      <c r="AW690" s="380"/>
      <c r="AX690" s="380"/>
      <c r="AY690" s="403"/>
      <c r="AZ690" s="380"/>
      <c r="BA690" s="380"/>
      <c r="BB690" s="380"/>
      <c r="BC690" s="380"/>
      <c r="BD690" s="380"/>
      <c r="BE690" s="404"/>
      <c r="BF690" s="380"/>
      <c r="BG690" s="380"/>
      <c r="BH690" s="380"/>
      <c r="BI690" s="380"/>
      <c r="BJ690" s="380"/>
      <c r="BK690" s="380"/>
      <c r="BL690" s="380"/>
      <c r="BM690" s="403"/>
      <c r="BS690" s="83"/>
      <c r="CA690" s="405"/>
      <c r="CG690" s="83"/>
      <c r="CO690" s="405"/>
      <c r="CU690" s="83"/>
      <c r="DC690" s="405"/>
      <c r="DI690" s="83"/>
      <c r="DQ690" s="405"/>
      <c r="DW690" s="83"/>
      <c r="EE690" s="405"/>
      <c r="EK690" s="83"/>
      <c r="ES690" s="405"/>
      <c r="EY690" s="83"/>
      <c r="FG690" s="405"/>
      <c r="FM690" s="83"/>
      <c r="FU690" s="405"/>
      <c r="GA690" s="83"/>
      <c r="GI690" s="405"/>
      <c r="GO690" s="83"/>
      <c r="GW690" s="405"/>
      <c r="HC690" s="83"/>
      <c r="HK690" s="405"/>
      <c r="HQ690" s="83"/>
      <c r="HY690" s="405"/>
      <c r="IE690" s="83"/>
      <c r="IM690" s="405"/>
      <c r="IS690" s="83"/>
      <c r="JA690" s="405"/>
      <c r="JG690" s="83"/>
      <c r="JO690" s="405"/>
      <c r="JU690" s="83"/>
      <c r="KC690" s="405"/>
      <c r="KI690" s="83"/>
      <c r="KQ690" s="405"/>
      <c r="KW690" s="83"/>
      <c r="LE690" s="405"/>
      <c r="LK690" s="83"/>
      <c r="LS690" s="405"/>
      <c r="LY690" s="83"/>
      <c r="MG690" s="405"/>
      <c r="MM690" s="83"/>
      <c r="MU690" s="405"/>
      <c r="NA690" s="83"/>
    </row>
    <row r="691">
      <c r="A691" s="483"/>
      <c r="B691" s="380"/>
      <c r="C691" s="380"/>
      <c r="D691" s="380"/>
      <c r="E691" s="380"/>
      <c r="F691" s="380"/>
      <c r="G691" s="380"/>
      <c r="H691" s="380"/>
      <c r="I691" s="403"/>
      <c r="J691" s="380"/>
      <c r="K691" s="380"/>
      <c r="L691" s="380"/>
      <c r="M691" s="380"/>
      <c r="N691" s="380"/>
      <c r="O691" s="404"/>
      <c r="P691" s="380"/>
      <c r="Q691" s="380"/>
      <c r="R691" s="380"/>
      <c r="S691" s="380"/>
      <c r="T691" s="380"/>
      <c r="U691" s="380"/>
      <c r="V691" s="380"/>
      <c r="W691" s="403"/>
      <c r="X691" s="380"/>
      <c r="Y691" s="380"/>
      <c r="Z691" s="380"/>
      <c r="AA691" s="380"/>
      <c r="AB691" s="380"/>
      <c r="AC691" s="404"/>
      <c r="AD691" s="380"/>
      <c r="AE691" s="380"/>
      <c r="AF691" s="380"/>
      <c r="AG691" s="380"/>
      <c r="AH691" s="380"/>
      <c r="AI691" s="380"/>
      <c r="AJ691" s="380"/>
      <c r="AK691" s="403"/>
      <c r="AL691" s="380"/>
      <c r="AM691" s="380"/>
      <c r="AN691" s="380"/>
      <c r="AO691" s="380"/>
      <c r="AP691" s="380"/>
      <c r="AQ691" s="404"/>
      <c r="AR691" s="380"/>
      <c r="AS691" s="380"/>
      <c r="AT691" s="380"/>
      <c r="AU691" s="380"/>
      <c r="AV691" s="380"/>
      <c r="AW691" s="380"/>
      <c r="AX691" s="380"/>
      <c r="AY691" s="403"/>
      <c r="AZ691" s="380"/>
      <c r="BA691" s="380"/>
      <c r="BB691" s="380"/>
      <c r="BC691" s="380"/>
      <c r="BD691" s="380"/>
      <c r="BE691" s="404"/>
      <c r="BF691" s="380"/>
      <c r="BG691" s="380"/>
      <c r="BH691" s="380"/>
      <c r="BI691" s="380"/>
      <c r="BJ691" s="380"/>
      <c r="BK691" s="380"/>
      <c r="BL691" s="380"/>
      <c r="BM691" s="403"/>
      <c r="BS691" s="83"/>
      <c r="CA691" s="405"/>
      <c r="CG691" s="83"/>
      <c r="CO691" s="405"/>
      <c r="CU691" s="83"/>
      <c r="DC691" s="405"/>
      <c r="DI691" s="83"/>
      <c r="DQ691" s="405"/>
      <c r="DW691" s="83"/>
      <c r="EE691" s="405"/>
      <c r="EK691" s="83"/>
      <c r="ES691" s="405"/>
      <c r="EY691" s="83"/>
      <c r="FG691" s="405"/>
      <c r="FM691" s="83"/>
      <c r="FU691" s="405"/>
      <c r="GA691" s="83"/>
      <c r="GI691" s="405"/>
      <c r="GO691" s="83"/>
      <c r="GW691" s="405"/>
      <c r="HC691" s="83"/>
      <c r="HK691" s="405"/>
      <c r="HQ691" s="83"/>
      <c r="HY691" s="405"/>
      <c r="IE691" s="83"/>
      <c r="IM691" s="405"/>
      <c r="IS691" s="83"/>
      <c r="JA691" s="405"/>
      <c r="JG691" s="83"/>
      <c r="JO691" s="405"/>
      <c r="JU691" s="83"/>
      <c r="KC691" s="405"/>
      <c r="KI691" s="83"/>
      <c r="KQ691" s="405"/>
      <c r="KW691" s="83"/>
      <c r="LE691" s="405"/>
      <c r="LK691" s="83"/>
      <c r="LS691" s="405"/>
      <c r="LY691" s="83"/>
      <c r="MG691" s="405"/>
      <c r="MM691" s="83"/>
      <c r="MU691" s="405"/>
      <c r="NA691" s="83"/>
    </row>
    <row r="692">
      <c r="A692" s="483"/>
      <c r="B692" s="380"/>
      <c r="C692" s="380"/>
      <c r="D692" s="380"/>
      <c r="E692" s="380"/>
      <c r="F692" s="380"/>
      <c r="G692" s="380"/>
      <c r="H692" s="380"/>
      <c r="I692" s="403"/>
      <c r="J692" s="380"/>
      <c r="K692" s="380"/>
      <c r="L692" s="380"/>
      <c r="M692" s="380"/>
      <c r="N692" s="380"/>
      <c r="O692" s="404"/>
      <c r="P692" s="380"/>
      <c r="Q692" s="380"/>
      <c r="R692" s="380"/>
      <c r="S692" s="380"/>
      <c r="T692" s="380"/>
      <c r="U692" s="380"/>
      <c r="V692" s="380"/>
      <c r="W692" s="403"/>
      <c r="X692" s="380"/>
      <c r="Y692" s="380"/>
      <c r="Z692" s="380"/>
      <c r="AA692" s="380"/>
      <c r="AB692" s="380"/>
      <c r="AC692" s="404"/>
      <c r="AD692" s="380"/>
      <c r="AE692" s="380"/>
      <c r="AF692" s="380"/>
      <c r="AG692" s="380"/>
      <c r="AH692" s="380"/>
      <c r="AI692" s="380"/>
      <c r="AJ692" s="380"/>
      <c r="AK692" s="403"/>
      <c r="AL692" s="380"/>
      <c r="AM692" s="380"/>
      <c r="AN692" s="380"/>
      <c r="AO692" s="380"/>
      <c r="AP692" s="380"/>
      <c r="AQ692" s="404"/>
      <c r="AR692" s="380"/>
      <c r="AS692" s="380"/>
      <c r="AT692" s="380"/>
      <c r="AU692" s="380"/>
      <c r="AV692" s="380"/>
      <c r="AW692" s="380"/>
      <c r="AX692" s="380"/>
      <c r="AY692" s="403"/>
      <c r="AZ692" s="380"/>
      <c r="BA692" s="380"/>
      <c r="BB692" s="380"/>
      <c r="BC692" s="380"/>
      <c r="BD692" s="380"/>
      <c r="BE692" s="404"/>
      <c r="BF692" s="380"/>
      <c r="BG692" s="380"/>
      <c r="BH692" s="380"/>
      <c r="BI692" s="380"/>
      <c r="BJ692" s="380"/>
      <c r="BK692" s="380"/>
      <c r="BL692" s="380"/>
      <c r="BM692" s="403"/>
      <c r="BS692" s="83"/>
      <c r="CA692" s="405"/>
      <c r="CG692" s="83"/>
      <c r="CO692" s="405"/>
      <c r="CU692" s="83"/>
      <c r="DC692" s="405"/>
      <c r="DI692" s="83"/>
      <c r="DQ692" s="405"/>
      <c r="DW692" s="83"/>
      <c r="EE692" s="405"/>
      <c r="EK692" s="83"/>
      <c r="ES692" s="405"/>
      <c r="EY692" s="83"/>
      <c r="FG692" s="405"/>
      <c r="FM692" s="83"/>
      <c r="FU692" s="405"/>
      <c r="GA692" s="83"/>
      <c r="GI692" s="405"/>
      <c r="GO692" s="83"/>
      <c r="GW692" s="405"/>
      <c r="HC692" s="83"/>
      <c r="HK692" s="405"/>
      <c r="HQ692" s="83"/>
      <c r="HY692" s="405"/>
      <c r="IE692" s="83"/>
      <c r="IM692" s="405"/>
      <c r="IS692" s="83"/>
      <c r="JA692" s="405"/>
      <c r="JG692" s="83"/>
      <c r="JO692" s="405"/>
      <c r="JU692" s="83"/>
      <c r="KC692" s="405"/>
      <c r="KI692" s="83"/>
      <c r="KQ692" s="405"/>
      <c r="KW692" s="83"/>
      <c r="LE692" s="405"/>
      <c r="LK692" s="83"/>
      <c r="LS692" s="405"/>
      <c r="LY692" s="83"/>
      <c r="MG692" s="405"/>
      <c r="MM692" s="83"/>
      <c r="MU692" s="405"/>
      <c r="NA692" s="83"/>
    </row>
    <row r="693">
      <c r="A693" s="483"/>
      <c r="B693" s="380"/>
      <c r="C693" s="380"/>
      <c r="D693" s="380"/>
      <c r="E693" s="380"/>
      <c r="F693" s="380"/>
      <c r="G693" s="380"/>
      <c r="H693" s="380"/>
      <c r="I693" s="403"/>
      <c r="J693" s="380"/>
      <c r="K693" s="380"/>
      <c r="L693" s="380"/>
      <c r="M693" s="380"/>
      <c r="N693" s="380"/>
      <c r="O693" s="404"/>
      <c r="P693" s="380"/>
      <c r="Q693" s="380"/>
      <c r="R693" s="380"/>
      <c r="S693" s="380"/>
      <c r="T693" s="380"/>
      <c r="U693" s="380"/>
      <c r="V693" s="380"/>
      <c r="W693" s="403"/>
      <c r="X693" s="380"/>
      <c r="Y693" s="380"/>
      <c r="Z693" s="380"/>
      <c r="AA693" s="380"/>
      <c r="AB693" s="380"/>
      <c r="AC693" s="404"/>
      <c r="AD693" s="380"/>
      <c r="AE693" s="380"/>
      <c r="AF693" s="380"/>
      <c r="AG693" s="380"/>
      <c r="AH693" s="380"/>
      <c r="AI693" s="380"/>
      <c r="AJ693" s="380"/>
      <c r="AK693" s="403"/>
      <c r="AL693" s="380"/>
      <c r="AM693" s="380"/>
      <c r="AN693" s="380"/>
      <c r="AO693" s="380"/>
      <c r="AP693" s="380"/>
      <c r="AQ693" s="404"/>
      <c r="AR693" s="380"/>
      <c r="AS693" s="380"/>
      <c r="AT693" s="380"/>
      <c r="AU693" s="380"/>
      <c r="AV693" s="380"/>
      <c r="AW693" s="380"/>
      <c r="AX693" s="380"/>
      <c r="AY693" s="403"/>
      <c r="AZ693" s="380"/>
      <c r="BA693" s="380"/>
      <c r="BB693" s="380"/>
      <c r="BC693" s="380"/>
      <c r="BD693" s="380"/>
      <c r="BE693" s="404"/>
      <c r="BF693" s="380"/>
      <c r="BG693" s="380"/>
      <c r="BH693" s="380"/>
      <c r="BI693" s="380"/>
      <c r="BJ693" s="380"/>
      <c r="BK693" s="380"/>
      <c r="BL693" s="380"/>
      <c r="BM693" s="403"/>
      <c r="BS693" s="83"/>
      <c r="CA693" s="405"/>
      <c r="CG693" s="83"/>
      <c r="CO693" s="405"/>
      <c r="CU693" s="83"/>
      <c r="DC693" s="405"/>
      <c r="DI693" s="83"/>
      <c r="DQ693" s="405"/>
      <c r="DW693" s="83"/>
      <c r="EE693" s="405"/>
      <c r="EK693" s="83"/>
      <c r="ES693" s="405"/>
      <c r="EY693" s="83"/>
      <c r="FG693" s="405"/>
      <c r="FM693" s="83"/>
      <c r="FU693" s="405"/>
      <c r="GA693" s="83"/>
      <c r="GI693" s="405"/>
      <c r="GO693" s="83"/>
      <c r="GW693" s="405"/>
      <c r="HC693" s="83"/>
      <c r="HK693" s="405"/>
      <c r="HQ693" s="83"/>
      <c r="HY693" s="405"/>
      <c r="IE693" s="83"/>
      <c r="IM693" s="405"/>
      <c r="IS693" s="83"/>
      <c r="JA693" s="405"/>
      <c r="JG693" s="83"/>
      <c r="JO693" s="405"/>
      <c r="JU693" s="83"/>
      <c r="KC693" s="405"/>
      <c r="KI693" s="83"/>
      <c r="KQ693" s="405"/>
      <c r="KW693" s="83"/>
      <c r="LE693" s="405"/>
      <c r="LK693" s="83"/>
      <c r="LS693" s="405"/>
      <c r="LY693" s="83"/>
      <c r="MG693" s="405"/>
      <c r="MM693" s="83"/>
      <c r="MU693" s="405"/>
      <c r="NA693" s="83"/>
    </row>
    <row r="694">
      <c r="A694" s="483"/>
      <c r="B694" s="380"/>
      <c r="C694" s="380"/>
      <c r="D694" s="380"/>
      <c r="E694" s="380"/>
      <c r="F694" s="380"/>
      <c r="G694" s="380"/>
      <c r="H694" s="380"/>
      <c r="I694" s="403"/>
      <c r="J694" s="380"/>
      <c r="K694" s="380"/>
      <c r="L694" s="380"/>
      <c r="M694" s="380"/>
      <c r="N694" s="380"/>
      <c r="O694" s="404"/>
      <c r="P694" s="380"/>
      <c r="Q694" s="380"/>
      <c r="R694" s="380"/>
      <c r="S694" s="380"/>
      <c r="T694" s="380"/>
      <c r="U694" s="380"/>
      <c r="V694" s="380"/>
      <c r="W694" s="403"/>
      <c r="X694" s="380"/>
      <c r="Y694" s="380"/>
      <c r="Z694" s="380"/>
      <c r="AA694" s="380"/>
      <c r="AB694" s="380"/>
      <c r="AC694" s="404"/>
      <c r="AD694" s="380"/>
      <c r="AE694" s="380"/>
      <c r="AF694" s="380"/>
      <c r="AG694" s="380"/>
      <c r="AH694" s="380"/>
      <c r="AI694" s="380"/>
      <c r="AJ694" s="380"/>
      <c r="AK694" s="403"/>
      <c r="AL694" s="380"/>
      <c r="AM694" s="380"/>
      <c r="AN694" s="380"/>
      <c r="AO694" s="380"/>
      <c r="AP694" s="380"/>
      <c r="AQ694" s="404"/>
      <c r="AR694" s="380"/>
      <c r="AS694" s="380"/>
      <c r="AT694" s="380"/>
      <c r="AU694" s="380"/>
      <c r="AV694" s="380"/>
      <c r="AW694" s="380"/>
      <c r="AX694" s="380"/>
      <c r="AY694" s="403"/>
      <c r="AZ694" s="380"/>
      <c r="BA694" s="380"/>
      <c r="BB694" s="380"/>
      <c r="BC694" s="380"/>
      <c r="BD694" s="380"/>
      <c r="BE694" s="404"/>
      <c r="BF694" s="380"/>
      <c r="BG694" s="380"/>
      <c r="BH694" s="380"/>
      <c r="BI694" s="380"/>
      <c r="BJ694" s="380"/>
      <c r="BK694" s="380"/>
      <c r="BL694" s="380"/>
      <c r="BM694" s="403"/>
      <c r="BS694" s="83"/>
      <c r="CA694" s="405"/>
      <c r="CG694" s="83"/>
      <c r="CO694" s="405"/>
      <c r="CU694" s="83"/>
      <c r="DC694" s="405"/>
      <c r="DI694" s="83"/>
      <c r="DQ694" s="405"/>
      <c r="DW694" s="83"/>
      <c r="EE694" s="405"/>
      <c r="EK694" s="83"/>
      <c r="ES694" s="405"/>
      <c r="EY694" s="83"/>
      <c r="FG694" s="405"/>
      <c r="FM694" s="83"/>
      <c r="FU694" s="405"/>
      <c r="GA694" s="83"/>
      <c r="GI694" s="405"/>
      <c r="GO694" s="83"/>
      <c r="GW694" s="405"/>
      <c r="HC694" s="83"/>
      <c r="HK694" s="405"/>
      <c r="HQ694" s="83"/>
      <c r="HY694" s="405"/>
      <c r="IE694" s="83"/>
      <c r="IM694" s="405"/>
      <c r="IS694" s="83"/>
      <c r="JA694" s="405"/>
      <c r="JG694" s="83"/>
      <c r="JO694" s="405"/>
      <c r="JU694" s="83"/>
      <c r="KC694" s="405"/>
      <c r="KI694" s="83"/>
      <c r="KQ694" s="405"/>
      <c r="KW694" s="83"/>
      <c r="LE694" s="405"/>
      <c r="LK694" s="83"/>
      <c r="LS694" s="405"/>
      <c r="LY694" s="83"/>
      <c r="MG694" s="405"/>
      <c r="MM694" s="83"/>
      <c r="MU694" s="405"/>
      <c r="NA694" s="83"/>
    </row>
    <row r="695">
      <c r="A695" s="483"/>
      <c r="B695" s="380"/>
      <c r="C695" s="380"/>
      <c r="D695" s="380"/>
      <c r="E695" s="380"/>
      <c r="F695" s="380"/>
      <c r="G695" s="380"/>
      <c r="H695" s="380"/>
      <c r="I695" s="403"/>
      <c r="J695" s="380"/>
      <c r="K695" s="380"/>
      <c r="L695" s="380"/>
      <c r="M695" s="380"/>
      <c r="N695" s="380"/>
      <c r="O695" s="404"/>
      <c r="P695" s="380"/>
      <c r="Q695" s="380"/>
      <c r="R695" s="380"/>
      <c r="S695" s="380"/>
      <c r="T695" s="380"/>
      <c r="U695" s="380"/>
      <c r="V695" s="380"/>
      <c r="W695" s="403"/>
      <c r="X695" s="380"/>
      <c r="Y695" s="380"/>
      <c r="Z695" s="380"/>
      <c r="AA695" s="380"/>
      <c r="AB695" s="380"/>
      <c r="AC695" s="404"/>
      <c r="AD695" s="380"/>
      <c r="AE695" s="380"/>
      <c r="AF695" s="380"/>
      <c r="AG695" s="380"/>
      <c r="AH695" s="380"/>
      <c r="AI695" s="380"/>
      <c r="AJ695" s="380"/>
      <c r="AK695" s="403"/>
      <c r="AL695" s="380"/>
      <c r="AM695" s="380"/>
      <c r="AN695" s="380"/>
      <c r="AO695" s="380"/>
      <c r="AP695" s="380"/>
      <c r="AQ695" s="404"/>
      <c r="AR695" s="380"/>
      <c r="AS695" s="380"/>
      <c r="AT695" s="380"/>
      <c r="AU695" s="380"/>
      <c r="AV695" s="380"/>
      <c r="AW695" s="380"/>
      <c r="AX695" s="380"/>
      <c r="AY695" s="403"/>
      <c r="AZ695" s="380"/>
      <c r="BA695" s="380"/>
      <c r="BB695" s="380"/>
      <c r="BC695" s="380"/>
      <c r="BD695" s="380"/>
      <c r="BE695" s="404"/>
      <c r="BF695" s="380"/>
      <c r="BG695" s="380"/>
      <c r="BH695" s="380"/>
      <c r="BI695" s="380"/>
      <c r="BJ695" s="380"/>
      <c r="BK695" s="380"/>
      <c r="BL695" s="380"/>
      <c r="BM695" s="403"/>
      <c r="BS695" s="83"/>
      <c r="CA695" s="405"/>
      <c r="CG695" s="83"/>
      <c r="CO695" s="405"/>
      <c r="CU695" s="83"/>
      <c r="DC695" s="405"/>
      <c r="DI695" s="83"/>
      <c r="DQ695" s="405"/>
      <c r="DW695" s="83"/>
      <c r="EE695" s="405"/>
      <c r="EK695" s="83"/>
      <c r="ES695" s="405"/>
      <c r="EY695" s="83"/>
      <c r="FG695" s="405"/>
      <c r="FM695" s="83"/>
      <c r="FU695" s="405"/>
      <c r="GA695" s="83"/>
      <c r="GI695" s="405"/>
      <c r="GO695" s="83"/>
      <c r="GW695" s="405"/>
      <c r="HC695" s="83"/>
      <c r="HK695" s="405"/>
      <c r="HQ695" s="83"/>
      <c r="HY695" s="405"/>
      <c r="IE695" s="83"/>
      <c r="IM695" s="405"/>
      <c r="IS695" s="83"/>
      <c r="JA695" s="405"/>
      <c r="JG695" s="83"/>
      <c r="JO695" s="405"/>
      <c r="JU695" s="83"/>
      <c r="KC695" s="405"/>
      <c r="KI695" s="83"/>
      <c r="KQ695" s="405"/>
      <c r="KW695" s="83"/>
      <c r="LE695" s="405"/>
      <c r="LK695" s="83"/>
      <c r="LS695" s="405"/>
      <c r="LY695" s="83"/>
      <c r="MG695" s="405"/>
      <c r="MM695" s="83"/>
      <c r="MU695" s="405"/>
      <c r="NA695" s="83"/>
    </row>
    <row r="696">
      <c r="A696" s="483"/>
      <c r="B696" s="380"/>
      <c r="C696" s="380"/>
      <c r="D696" s="380"/>
      <c r="E696" s="380"/>
      <c r="F696" s="380"/>
      <c r="G696" s="380"/>
      <c r="H696" s="380"/>
      <c r="I696" s="403"/>
      <c r="J696" s="380"/>
      <c r="K696" s="380"/>
      <c r="L696" s="380"/>
      <c r="M696" s="380"/>
      <c r="N696" s="380"/>
      <c r="O696" s="404"/>
      <c r="P696" s="380"/>
      <c r="Q696" s="380"/>
      <c r="R696" s="380"/>
      <c r="S696" s="380"/>
      <c r="T696" s="380"/>
      <c r="U696" s="380"/>
      <c r="V696" s="380"/>
      <c r="W696" s="403"/>
      <c r="X696" s="380"/>
      <c r="Y696" s="380"/>
      <c r="Z696" s="380"/>
      <c r="AA696" s="380"/>
      <c r="AB696" s="380"/>
      <c r="AC696" s="404"/>
      <c r="AD696" s="380"/>
      <c r="AE696" s="380"/>
      <c r="AF696" s="380"/>
      <c r="AG696" s="380"/>
      <c r="AH696" s="380"/>
      <c r="AI696" s="380"/>
      <c r="AJ696" s="380"/>
      <c r="AK696" s="403"/>
      <c r="AL696" s="380"/>
      <c r="AM696" s="380"/>
      <c r="AN696" s="380"/>
      <c r="AO696" s="380"/>
      <c r="AP696" s="380"/>
      <c r="AQ696" s="404"/>
      <c r="AR696" s="380"/>
      <c r="AS696" s="380"/>
      <c r="AT696" s="380"/>
      <c r="AU696" s="380"/>
      <c r="AV696" s="380"/>
      <c r="AW696" s="380"/>
      <c r="AX696" s="380"/>
      <c r="AY696" s="403"/>
      <c r="AZ696" s="380"/>
      <c r="BA696" s="380"/>
      <c r="BB696" s="380"/>
      <c r="BC696" s="380"/>
      <c r="BD696" s="380"/>
      <c r="BE696" s="404"/>
      <c r="BF696" s="380"/>
      <c r="BG696" s="380"/>
      <c r="BH696" s="380"/>
      <c r="BI696" s="380"/>
      <c r="BJ696" s="380"/>
      <c r="BK696" s="380"/>
      <c r="BL696" s="380"/>
      <c r="BM696" s="403"/>
      <c r="BS696" s="83"/>
      <c r="CA696" s="405"/>
      <c r="CG696" s="83"/>
      <c r="CO696" s="405"/>
      <c r="CU696" s="83"/>
      <c r="DC696" s="405"/>
      <c r="DI696" s="83"/>
      <c r="DQ696" s="405"/>
      <c r="DW696" s="83"/>
      <c r="EE696" s="405"/>
      <c r="EK696" s="83"/>
      <c r="ES696" s="405"/>
      <c r="EY696" s="83"/>
      <c r="FG696" s="405"/>
      <c r="FM696" s="83"/>
      <c r="FU696" s="405"/>
      <c r="GA696" s="83"/>
      <c r="GI696" s="405"/>
      <c r="GO696" s="83"/>
      <c r="GW696" s="405"/>
      <c r="HC696" s="83"/>
      <c r="HK696" s="405"/>
      <c r="HQ696" s="83"/>
      <c r="HY696" s="405"/>
      <c r="IE696" s="83"/>
      <c r="IM696" s="405"/>
      <c r="IS696" s="83"/>
      <c r="JA696" s="405"/>
      <c r="JG696" s="83"/>
      <c r="JO696" s="405"/>
      <c r="JU696" s="83"/>
      <c r="KC696" s="405"/>
      <c r="KI696" s="83"/>
      <c r="KQ696" s="405"/>
      <c r="KW696" s="83"/>
      <c r="LE696" s="405"/>
      <c r="LK696" s="83"/>
      <c r="LS696" s="405"/>
      <c r="LY696" s="83"/>
      <c r="MG696" s="405"/>
      <c r="MM696" s="83"/>
      <c r="MU696" s="405"/>
      <c r="NA696" s="83"/>
    </row>
    <row r="697">
      <c r="A697" s="483"/>
      <c r="B697" s="380"/>
      <c r="C697" s="380"/>
      <c r="D697" s="380"/>
      <c r="E697" s="380"/>
      <c r="F697" s="380"/>
      <c r="G697" s="380"/>
      <c r="H697" s="380"/>
      <c r="I697" s="403"/>
      <c r="J697" s="380"/>
      <c r="K697" s="380"/>
      <c r="L697" s="380"/>
      <c r="M697" s="380"/>
      <c r="N697" s="380"/>
      <c r="O697" s="404"/>
      <c r="P697" s="380"/>
      <c r="Q697" s="380"/>
      <c r="R697" s="380"/>
      <c r="S697" s="380"/>
      <c r="T697" s="380"/>
      <c r="U697" s="380"/>
      <c r="V697" s="380"/>
      <c r="W697" s="403"/>
      <c r="X697" s="380"/>
      <c r="Y697" s="380"/>
      <c r="Z697" s="380"/>
      <c r="AA697" s="380"/>
      <c r="AB697" s="380"/>
      <c r="AC697" s="404"/>
      <c r="AD697" s="380"/>
      <c r="AE697" s="380"/>
      <c r="AF697" s="380"/>
      <c r="AG697" s="380"/>
      <c r="AH697" s="380"/>
      <c r="AI697" s="380"/>
      <c r="AJ697" s="380"/>
      <c r="AK697" s="403"/>
      <c r="AL697" s="380"/>
      <c r="AM697" s="380"/>
      <c r="AN697" s="380"/>
      <c r="AO697" s="380"/>
      <c r="AP697" s="380"/>
      <c r="AQ697" s="404"/>
      <c r="AR697" s="380"/>
      <c r="AS697" s="380"/>
      <c r="AT697" s="380"/>
      <c r="AU697" s="380"/>
      <c r="AV697" s="380"/>
      <c r="AW697" s="380"/>
      <c r="AX697" s="380"/>
      <c r="AY697" s="403"/>
      <c r="AZ697" s="380"/>
      <c r="BA697" s="380"/>
      <c r="BB697" s="380"/>
      <c r="BC697" s="380"/>
      <c r="BD697" s="380"/>
      <c r="BE697" s="404"/>
      <c r="BF697" s="380"/>
      <c r="BG697" s="380"/>
      <c r="BH697" s="380"/>
      <c r="BI697" s="380"/>
      <c r="BJ697" s="380"/>
      <c r="BK697" s="380"/>
      <c r="BL697" s="380"/>
      <c r="BM697" s="403"/>
      <c r="BS697" s="83"/>
      <c r="CA697" s="405"/>
      <c r="CG697" s="83"/>
      <c r="CO697" s="405"/>
      <c r="CU697" s="83"/>
      <c r="DC697" s="405"/>
      <c r="DI697" s="83"/>
      <c r="DQ697" s="405"/>
      <c r="DW697" s="83"/>
      <c r="EE697" s="405"/>
      <c r="EK697" s="83"/>
      <c r="ES697" s="405"/>
      <c r="EY697" s="83"/>
      <c r="FG697" s="405"/>
      <c r="FM697" s="83"/>
      <c r="FU697" s="405"/>
      <c r="GA697" s="83"/>
      <c r="GI697" s="405"/>
      <c r="GO697" s="83"/>
      <c r="GW697" s="405"/>
      <c r="HC697" s="83"/>
      <c r="HK697" s="405"/>
      <c r="HQ697" s="83"/>
      <c r="HY697" s="405"/>
      <c r="IE697" s="83"/>
      <c r="IM697" s="405"/>
      <c r="IS697" s="83"/>
      <c r="JA697" s="405"/>
      <c r="JG697" s="83"/>
      <c r="JO697" s="405"/>
      <c r="JU697" s="83"/>
      <c r="KC697" s="405"/>
      <c r="KI697" s="83"/>
      <c r="KQ697" s="405"/>
      <c r="KW697" s="83"/>
      <c r="LE697" s="405"/>
      <c r="LK697" s="83"/>
      <c r="LS697" s="405"/>
      <c r="LY697" s="83"/>
      <c r="MG697" s="405"/>
      <c r="MM697" s="83"/>
      <c r="MU697" s="405"/>
      <c r="NA697" s="83"/>
    </row>
    <row r="698">
      <c r="A698" s="483"/>
      <c r="B698" s="380"/>
      <c r="C698" s="380"/>
      <c r="D698" s="380"/>
      <c r="E698" s="380"/>
      <c r="F698" s="380"/>
      <c r="G698" s="380"/>
      <c r="H698" s="380"/>
      <c r="I698" s="403"/>
      <c r="J698" s="380"/>
      <c r="K698" s="380"/>
      <c r="L698" s="380"/>
      <c r="M698" s="380"/>
      <c r="N698" s="380"/>
      <c r="O698" s="404"/>
      <c r="P698" s="380"/>
      <c r="Q698" s="380"/>
      <c r="R698" s="380"/>
      <c r="S698" s="380"/>
      <c r="T698" s="380"/>
      <c r="U698" s="380"/>
      <c r="V698" s="380"/>
      <c r="W698" s="403"/>
      <c r="X698" s="380"/>
      <c r="Y698" s="380"/>
      <c r="Z698" s="380"/>
      <c r="AA698" s="380"/>
      <c r="AB698" s="380"/>
      <c r="AC698" s="404"/>
      <c r="AD698" s="380"/>
      <c r="AE698" s="380"/>
      <c r="AF698" s="380"/>
      <c r="AG698" s="380"/>
      <c r="AH698" s="380"/>
      <c r="AI698" s="380"/>
      <c r="AJ698" s="380"/>
      <c r="AK698" s="403"/>
      <c r="AL698" s="380"/>
      <c r="AM698" s="380"/>
      <c r="AN698" s="380"/>
      <c r="AO698" s="380"/>
      <c r="AP698" s="380"/>
      <c r="AQ698" s="404"/>
      <c r="AR698" s="380"/>
      <c r="AS698" s="380"/>
      <c r="AT698" s="380"/>
      <c r="AU698" s="380"/>
      <c r="AV698" s="380"/>
      <c r="AW698" s="380"/>
      <c r="AX698" s="380"/>
      <c r="AY698" s="403"/>
      <c r="AZ698" s="380"/>
      <c r="BA698" s="380"/>
      <c r="BB698" s="380"/>
      <c r="BC698" s="380"/>
      <c r="BD698" s="380"/>
      <c r="BE698" s="404"/>
      <c r="BF698" s="380"/>
      <c r="BG698" s="380"/>
      <c r="BH698" s="380"/>
      <c r="BI698" s="380"/>
      <c r="BJ698" s="380"/>
      <c r="BK698" s="380"/>
      <c r="BL698" s="380"/>
      <c r="BM698" s="403"/>
      <c r="BS698" s="83"/>
      <c r="CA698" s="405"/>
      <c r="CG698" s="83"/>
      <c r="CO698" s="405"/>
      <c r="CU698" s="83"/>
      <c r="DC698" s="405"/>
      <c r="DI698" s="83"/>
      <c r="DQ698" s="405"/>
      <c r="DW698" s="83"/>
      <c r="EE698" s="405"/>
      <c r="EK698" s="83"/>
      <c r="ES698" s="405"/>
      <c r="EY698" s="83"/>
      <c r="FG698" s="405"/>
      <c r="FM698" s="83"/>
      <c r="FU698" s="405"/>
      <c r="GA698" s="83"/>
      <c r="GI698" s="405"/>
      <c r="GO698" s="83"/>
      <c r="GW698" s="405"/>
      <c r="HC698" s="83"/>
      <c r="HK698" s="405"/>
      <c r="HQ698" s="83"/>
      <c r="HY698" s="405"/>
      <c r="IE698" s="83"/>
      <c r="IM698" s="405"/>
      <c r="IS698" s="83"/>
      <c r="JA698" s="405"/>
      <c r="JG698" s="83"/>
      <c r="JO698" s="405"/>
      <c r="JU698" s="83"/>
      <c r="KC698" s="405"/>
      <c r="KI698" s="83"/>
      <c r="KQ698" s="405"/>
      <c r="KW698" s="83"/>
      <c r="LE698" s="405"/>
      <c r="LK698" s="83"/>
      <c r="LS698" s="405"/>
      <c r="LY698" s="83"/>
      <c r="MG698" s="405"/>
      <c r="MM698" s="83"/>
      <c r="MU698" s="405"/>
      <c r="NA698" s="83"/>
    </row>
    <row r="699">
      <c r="A699" s="483"/>
      <c r="B699" s="380"/>
      <c r="C699" s="380"/>
      <c r="D699" s="380"/>
      <c r="E699" s="380"/>
      <c r="F699" s="380"/>
      <c r="G699" s="380"/>
      <c r="H699" s="380"/>
      <c r="I699" s="403"/>
      <c r="J699" s="380"/>
      <c r="K699" s="380"/>
      <c r="L699" s="380"/>
      <c r="M699" s="380"/>
      <c r="N699" s="380"/>
      <c r="O699" s="404"/>
      <c r="P699" s="380"/>
      <c r="Q699" s="380"/>
      <c r="R699" s="380"/>
      <c r="S699" s="380"/>
      <c r="T699" s="380"/>
      <c r="U699" s="380"/>
      <c r="V699" s="380"/>
      <c r="W699" s="403"/>
      <c r="X699" s="380"/>
      <c r="Y699" s="380"/>
      <c r="Z699" s="380"/>
      <c r="AA699" s="380"/>
      <c r="AB699" s="380"/>
      <c r="AC699" s="404"/>
      <c r="AD699" s="380"/>
      <c r="AE699" s="380"/>
      <c r="AF699" s="380"/>
      <c r="AG699" s="380"/>
      <c r="AH699" s="380"/>
      <c r="AI699" s="380"/>
      <c r="AJ699" s="380"/>
      <c r="AK699" s="403"/>
      <c r="AL699" s="380"/>
      <c r="AM699" s="380"/>
      <c r="AN699" s="380"/>
      <c r="AO699" s="380"/>
      <c r="AP699" s="380"/>
      <c r="AQ699" s="404"/>
      <c r="AR699" s="380"/>
      <c r="AS699" s="380"/>
      <c r="AT699" s="380"/>
      <c r="AU699" s="380"/>
      <c r="AV699" s="380"/>
      <c r="AW699" s="380"/>
      <c r="AX699" s="380"/>
      <c r="AY699" s="403"/>
      <c r="AZ699" s="380"/>
      <c r="BA699" s="380"/>
      <c r="BB699" s="380"/>
      <c r="BC699" s="380"/>
      <c r="BD699" s="380"/>
      <c r="BE699" s="404"/>
      <c r="BF699" s="380"/>
      <c r="BG699" s="380"/>
      <c r="BH699" s="380"/>
      <c r="BI699" s="380"/>
      <c r="BJ699" s="380"/>
      <c r="BK699" s="380"/>
      <c r="BL699" s="380"/>
      <c r="BM699" s="403"/>
      <c r="BS699" s="83"/>
      <c r="CA699" s="405"/>
      <c r="CG699" s="83"/>
      <c r="CO699" s="405"/>
      <c r="CU699" s="83"/>
      <c r="DC699" s="405"/>
      <c r="DI699" s="83"/>
      <c r="DQ699" s="405"/>
      <c r="DW699" s="83"/>
      <c r="EE699" s="405"/>
      <c r="EK699" s="83"/>
      <c r="ES699" s="405"/>
      <c r="EY699" s="83"/>
      <c r="FG699" s="405"/>
      <c r="FM699" s="83"/>
      <c r="FU699" s="405"/>
      <c r="GA699" s="83"/>
      <c r="GI699" s="405"/>
      <c r="GO699" s="83"/>
      <c r="GW699" s="405"/>
      <c r="HC699" s="83"/>
      <c r="HK699" s="405"/>
      <c r="HQ699" s="83"/>
      <c r="HY699" s="405"/>
      <c r="IE699" s="83"/>
      <c r="IM699" s="405"/>
      <c r="IS699" s="83"/>
      <c r="JA699" s="405"/>
      <c r="JG699" s="83"/>
      <c r="JO699" s="405"/>
      <c r="JU699" s="83"/>
      <c r="KC699" s="405"/>
      <c r="KI699" s="83"/>
      <c r="KQ699" s="405"/>
      <c r="KW699" s="83"/>
      <c r="LE699" s="405"/>
      <c r="LK699" s="83"/>
      <c r="LS699" s="405"/>
      <c r="LY699" s="83"/>
      <c r="MG699" s="405"/>
      <c r="MM699" s="83"/>
      <c r="MU699" s="405"/>
      <c r="NA699" s="83"/>
    </row>
    <row r="700">
      <c r="A700" s="483"/>
      <c r="B700" s="380"/>
      <c r="C700" s="380"/>
      <c r="D700" s="380"/>
      <c r="E700" s="380"/>
      <c r="F700" s="380"/>
      <c r="G700" s="380"/>
      <c r="H700" s="380"/>
      <c r="I700" s="403"/>
      <c r="J700" s="380"/>
      <c r="K700" s="380"/>
      <c r="L700" s="380"/>
      <c r="M700" s="380"/>
      <c r="N700" s="380"/>
      <c r="O700" s="404"/>
      <c r="P700" s="380"/>
      <c r="Q700" s="380"/>
      <c r="R700" s="380"/>
      <c r="S700" s="380"/>
      <c r="T700" s="380"/>
      <c r="U700" s="380"/>
      <c r="V700" s="380"/>
      <c r="W700" s="403"/>
      <c r="X700" s="380"/>
      <c r="Y700" s="380"/>
      <c r="Z700" s="380"/>
      <c r="AA700" s="380"/>
      <c r="AB700" s="380"/>
      <c r="AC700" s="404"/>
      <c r="AD700" s="380"/>
      <c r="AE700" s="380"/>
      <c r="AF700" s="380"/>
      <c r="AG700" s="380"/>
      <c r="AH700" s="380"/>
      <c r="AI700" s="380"/>
      <c r="AJ700" s="380"/>
      <c r="AK700" s="403"/>
      <c r="AL700" s="380"/>
      <c r="AM700" s="380"/>
      <c r="AN700" s="380"/>
      <c r="AO700" s="380"/>
      <c r="AP700" s="380"/>
      <c r="AQ700" s="404"/>
      <c r="AR700" s="380"/>
      <c r="AS700" s="380"/>
      <c r="AT700" s="380"/>
      <c r="AU700" s="380"/>
      <c r="AV700" s="380"/>
      <c r="AW700" s="380"/>
      <c r="AX700" s="380"/>
      <c r="AY700" s="403"/>
      <c r="AZ700" s="380"/>
      <c r="BA700" s="380"/>
      <c r="BB700" s="380"/>
      <c r="BC700" s="380"/>
      <c r="BD700" s="380"/>
      <c r="BE700" s="404"/>
      <c r="BF700" s="380"/>
      <c r="BG700" s="380"/>
      <c r="BH700" s="380"/>
      <c r="BI700" s="380"/>
      <c r="BJ700" s="380"/>
      <c r="BK700" s="380"/>
      <c r="BL700" s="380"/>
      <c r="BM700" s="403"/>
      <c r="BS700" s="83"/>
      <c r="CA700" s="405"/>
      <c r="CG700" s="83"/>
      <c r="CO700" s="405"/>
      <c r="CU700" s="83"/>
      <c r="DC700" s="405"/>
      <c r="DI700" s="83"/>
      <c r="DQ700" s="405"/>
      <c r="DW700" s="83"/>
      <c r="EE700" s="405"/>
      <c r="EK700" s="83"/>
      <c r="ES700" s="405"/>
      <c r="EY700" s="83"/>
      <c r="FG700" s="405"/>
      <c r="FM700" s="83"/>
      <c r="FU700" s="405"/>
      <c r="GA700" s="83"/>
      <c r="GI700" s="405"/>
      <c r="GO700" s="83"/>
      <c r="GW700" s="405"/>
      <c r="HC700" s="83"/>
      <c r="HK700" s="405"/>
      <c r="HQ700" s="83"/>
      <c r="HY700" s="405"/>
      <c r="IE700" s="83"/>
      <c r="IM700" s="405"/>
      <c r="IS700" s="83"/>
      <c r="JA700" s="405"/>
      <c r="JG700" s="83"/>
      <c r="JO700" s="405"/>
      <c r="JU700" s="83"/>
      <c r="KC700" s="405"/>
      <c r="KI700" s="83"/>
      <c r="KQ700" s="405"/>
      <c r="KW700" s="83"/>
      <c r="LE700" s="405"/>
      <c r="LK700" s="83"/>
      <c r="LS700" s="405"/>
      <c r="LY700" s="83"/>
      <c r="MG700" s="405"/>
      <c r="MM700" s="83"/>
      <c r="MU700" s="405"/>
      <c r="NA700" s="83"/>
    </row>
    <row r="701">
      <c r="A701" s="483"/>
      <c r="B701" s="380"/>
      <c r="C701" s="380"/>
      <c r="D701" s="380"/>
      <c r="E701" s="380"/>
      <c r="F701" s="380"/>
      <c r="G701" s="380"/>
      <c r="H701" s="380"/>
      <c r="I701" s="403"/>
      <c r="J701" s="380"/>
      <c r="K701" s="380"/>
      <c r="L701" s="380"/>
      <c r="M701" s="380"/>
      <c r="N701" s="380"/>
      <c r="O701" s="404"/>
      <c r="P701" s="380"/>
      <c r="Q701" s="380"/>
      <c r="R701" s="380"/>
      <c r="S701" s="380"/>
      <c r="T701" s="380"/>
      <c r="U701" s="380"/>
      <c r="V701" s="380"/>
      <c r="W701" s="403"/>
      <c r="X701" s="380"/>
      <c r="Y701" s="380"/>
      <c r="Z701" s="380"/>
      <c r="AA701" s="380"/>
      <c r="AB701" s="380"/>
      <c r="AC701" s="404"/>
      <c r="AD701" s="380"/>
      <c r="AE701" s="380"/>
      <c r="AF701" s="380"/>
      <c r="AG701" s="380"/>
      <c r="AH701" s="380"/>
      <c r="AI701" s="380"/>
      <c r="AJ701" s="380"/>
      <c r="AK701" s="403"/>
      <c r="AL701" s="380"/>
      <c r="AM701" s="380"/>
      <c r="AN701" s="380"/>
      <c r="AO701" s="380"/>
      <c r="AP701" s="380"/>
      <c r="AQ701" s="404"/>
      <c r="AR701" s="380"/>
      <c r="AS701" s="380"/>
      <c r="AT701" s="380"/>
      <c r="AU701" s="380"/>
      <c r="AV701" s="380"/>
      <c r="AW701" s="380"/>
      <c r="AX701" s="380"/>
      <c r="AY701" s="403"/>
      <c r="AZ701" s="380"/>
      <c r="BA701" s="380"/>
      <c r="BB701" s="380"/>
      <c r="BC701" s="380"/>
      <c r="BD701" s="380"/>
      <c r="BE701" s="404"/>
      <c r="BF701" s="380"/>
      <c r="BG701" s="380"/>
      <c r="BH701" s="380"/>
      <c r="BI701" s="380"/>
      <c r="BJ701" s="380"/>
      <c r="BK701" s="380"/>
      <c r="BL701" s="380"/>
      <c r="BM701" s="403"/>
      <c r="BS701" s="83"/>
      <c r="CA701" s="405"/>
      <c r="CG701" s="83"/>
      <c r="CO701" s="405"/>
      <c r="CU701" s="83"/>
      <c r="DC701" s="405"/>
      <c r="DI701" s="83"/>
      <c r="DQ701" s="405"/>
      <c r="DW701" s="83"/>
      <c r="EE701" s="405"/>
      <c r="EK701" s="83"/>
      <c r="ES701" s="405"/>
      <c r="EY701" s="83"/>
      <c r="FG701" s="405"/>
      <c r="FM701" s="83"/>
      <c r="FU701" s="405"/>
      <c r="GA701" s="83"/>
      <c r="GI701" s="405"/>
      <c r="GO701" s="83"/>
      <c r="GW701" s="405"/>
      <c r="HC701" s="83"/>
      <c r="HK701" s="405"/>
      <c r="HQ701" s="83"/>
      <c r="HY701" s="405"/>
      <c r="IE701" s="83"/>
      <c r="IM701" s="405"/>
      <c r="IS701" s="83"/>
      <c r="JA701" s="405"/>
      <c r="JG701" s="83"/>
      <c r="JO701" s="405"/>
      <c r="JU701" s="83"/>
      <c r="KC701" s="405"/>
      <c r="KI701" s="83"/>
      <c r="KQ701" s="405"/>
      <c r="KW701" s="83"/>
      <c r="LE701" s="405"/>
      <c r="LK701" s="83"/>
      <c r="LS701" s="405"/>
      <c r="LY701" s="83"/>
      <c r="MG701" s="405"/>
      <c r="MM701" s="83"/>
      <c r="MU701" s="405"/>
      <c r="NA701" s="83"/>
    </row>
    <row r="702">
      <c r="A702" s="483"/>
      <c r="B702" s="380"/>
      <c r="C702" s="380"/>
      <c r="D702" s="380"/>
      <c r="E702" s="380"/>
      <c r="F702" s="380"/>
      <c r="G702" s="380"/>
      <c r="H702" s="380"/>
      <c r="I702" s="403"/>
      <c r="J702" s="380"/>
      <c r="K702" s="380"/>
      <c r="L702" s="380"/>
      <c r="M702" s="380"/>
      <c r="N702" s="380"/>
      <c r="O702" s="404"/>
      <c r="P702" s="380"/>
      <c r="Q702" s="380"/>
      <c r="R702" s="380"/>
      <c r="S702" s="380"/>
      <c r="T702" s="380"/>
      <c r="U702" s="380"/>
      <c r="V702" s="380"/>
      <c r="W702" s="403"/>
      <c r="X702" s="380"/>
      <c r="Y702" s="380"/>
      <c r="Z702" s="380"/>
      <c r="AA702" s="380"/>
      <c r="AB702" s="380"/>
      <c r="AC702" s="404"/>
      <c r="AD702" s="380"/>
      <c r="AE702" s="380"/>
      <c r="AF702" s="380"/>
      <c r="AG702" s="380"/>
      <c r="AH702" s="380"/>
      <c r="AI702" s="380"/>
      <c r="AJ702" s="380"/>
      <c r="AK702" s="403"/>
      <c r="AL702" s="380"/>
      <c r="AM702" s="380"/>
      <c r="AN702" s="380"/>
      <c r="AO702" s="380"/>
      <c r="AP702" s="380"/>
      <c r="AQ702" s="404"/>
      <c r="AR702" s="380"/>
      <c r="AS702" s="380"/>
      <c r="AT702" s="380"/>
      <c r="AU702" s="380"/>
      <c r="AV702" s="380"/>
      <c r="AW702" s="380"/>
      <c r="AX702" s="380"/>
      <c r="AY702" s="403"/>
      <c r="AZ702" s="380"/>
      <c r="BA702" s="380"/>
      <c r="BB702" s="380"/>
      <c r="BC702" s="380"/>
      <c r="BD702" s="380"/>
      <c r="BE702" s="404"/>
      <c r="BF702" s="380"/>
      <c r="BG702" s="380"/>
      <c r="BH702" s="380"/>
      <c r="BI702" s="380"/>
      <c r="BJ702" s="380"/>
      <c r="BK702" s="380"/>
      <c r="BL702" s="380"/>
      <c r="BM702" s="403"/>
      <c r="BS702" s="83"/>
      <c r="CA702" s="405"/>
      <c r="CG702" s="83"/>
      <c r="CO702" s="405"/>
      <c r="CU702" s="83"/>
      <c r="DC702" s="405"/>
      <c r="DI702" s="83"/>
      <c r="DQ702" s="405"/>
      <c r="DW702" s="83"/>
      <c r="EE702" s="405"/>
      <c r="EK702" s="83"/>
      <c r="ES702" s="405"/>
      <c r="EY702" s="83"/>
      <c r="FG702" s="405"/>
      <c r="FM702" s="83"/>
      <c r="FU702" s="405"/>
      <c r="GA702" s="83"/>
      <c r="GI702" s="405"/>
      <c r="GO702" s="83"/>
      <c r="GW702" s="405"/>
      <c r="HC702" s="83"/>
      <c r="HK702" s="405"/>
      <c r="HQ702" s="83"/>
      <c r="HY702" s="405"/>
      <c r="IE702" s="83"/>
      <c r="IM702" s="405"/>
      <c r="IS702" s="83"/>
      <c r="JA702" s="405"/>
      <c r="JG702" s="83"/>
      <c r="JO702" s="405"/>
      <c r="JU702" s="83"/>
      <c r="KC702" s="405"/>
      <c r="KI702" s="83"/>
      <c r="KQ702" s="405"/>
      <c r="KW702" s="83"/>
      <c r="LE702" s="405"/>
      <c r="LK702" s="83"/>
      <c r="LS702" s="405"/>
      <c r="LY702" s="83"/>
      <c r="MG702" s="405"/>
      <c r="MM702" s="83"/>
      <c r="MU702" s="405"/>
      <c r="NA702" s="83"/>
    </row>
    <row r="703">
      <c r="A703" s="483"/>
      <c r="B703" s="380"/>
      <c r="C703" s="380"/>
      <c r="D703" s="380"/>
      <c r="E703" s="380"/>
      <c r="F703" s="380"/>
      <c r="G703" s="380"/>
      <c r="H703" s="380"/>
      <c r="I703" s="403"/>
      <c r="J703" s="380"/>
      <c r="K703" s="380"/>
      <c r="L703" s="380"/>
      <c r="M703" s="380"/>
      <c r="N703" s="380"/>
      <c r="O703" s="404"/>
      <c r="P703" s="380"/>
      <c r="Q703" s="380"/>
      <c r="R703" s="380"/>
      <c r="S703" s="380"/>
      <c r="T703" s="380"/>
      <c r="U703" s="380"/>
      <c r="V703" s="380"/>
      <c r="W703" s="403"/>
      <c r="X703" s="380"/>
      <c r="Y703" s="380"/>
      <c r="Z703" s="380"/>
      <c r="AA703" s="380"/>
      <c r="AB703" s="380"/>
      <c r="AC703" s="404"/>
      <c r="AD703" s="380"/>
      <c r="AE703" s="380"/>
      <c r="AF703" s="380"/>
      <c r="AG703" s="380"/>
      <c r="AH703" s="380"/>
      <c r="AI703" s="380"/>
      <c r="AJ703" s="380"/>
      <c r="AK703" s="403"/>
      <c r="AL703" s="380"/>
      <c r="AM703" s="380"/>
      <c r="AN703" s="380"/>
      <c r="AO703" s="380"/>
      <c r="AP703" s="380"/>
      <c r="AQ703" s="404"/>
      <c r="AR703" s="380"/>
      <c r="AS703" s="380"/>
      <c r="AT703" s="380"/>
      <c r="AU703" s="380"/>
      <c r="AV703" s="380"/>
      <c r="AW703" s="380"/>
      <c r="AX703" s="380"/>
      <c r="AY703" s="403"/>
      <c r="AZ703" s="380"/>
      <c r="BA703" s="380"/>
      <c r="BB703" s="380"/>
      <c r="BC703" s="380"/>
      <c r="BD703" s="380"/>
      <c r="BE703" s="404"/>
      <c r="BF703" s="380"/>
      <c r="BG703" s="380"/>
      <c r="BH703" s="380"/>
      <c r="BI703" s="380"/>
      <c r="BJ703" s="380"/>
      <c r="BK703" s="380"/>
      <c r="BL703" s="380"/>
      <c r="BM703" s="403"/>
      <c r="BS703" s="83"/>
      <c r="CA703" s="405"/>
      <c r="CG703" s="83"/>
      <c r="CO703" s="405"/>
      <c r="CU703" s="83"/>
      <c r="DC703" s="405"/>
      <c r="DI703" s="83"/>
      <c r="DQ703" s="405"/>
      <c r="DW703" s="83"/>
      <c r="EE703" s="405"/>
      <c r="EK703" s="83"/>
      <c r="ES703" s="405"/>
      <c r="EY703" s="83"/>
      <c r="FG703" s="405"/>
      <c r="FM703" s="83"/>
      <c r="FU703" s="405"/>
      <c r="GA703" s="83"/>
      <c r="GI703" s="405"/>
      <c r="GO703" s="83"/>
      <c r="GW703" s="405"/>
      <c r="HC703" s="83"/>
      <c r="HK703" s="405"/>
      <c r="HQ703" s="83"/>
      <c r="HY703" s="405"/>
      <c r="IE703" s="83"/>
      <c r="IM703" s="405"/>
      <c r="IS703" s="83"/>
      <c r="JA703" s="405"/>
      <c r="JG703" s="83"/>
      <c r="JO703" s="405"/>
      <c r="JU703" s="83"/>
      <c r="KC703" s="405"/>
      <c r="KI703" s="83"/>
      <c r="KQ703" s="405"/>
      <c r="KW703" s="83"/>
      <c r="LE703" s="405"/>
      <c r="LK703" s="83"/>
      <c r="LS703" s="405"/>
      <c r="LY703" s="83"/>
      <c r="MG703" s="405"/>
      <c r="MM703" s="83"/>
      <c r="MU703" s="405"/>
      <c r="NA703" s="83"/>
    </row>
    <row r="704">
      <c r="A704" s="483"/>
      <c r="B704" s="380"/>
      <c r="C704" s="380"/>
      <c r="D704" s="380"/>
      <c r="E704" s="380"/>
      <c r="F704" s="380"/>
      <c r="G704" s="380"/>
      <c r="H704" s="380"/>
      <c r="I704" s="403"/>
      <c r="J704" s="380"/>
      <c r="K704" s="380"/>
      <c r="L704" s="380"/>
      <c r="M704" s="380"/>
      <c r="N704" s="380"/>
      <c r="O704" s="404"/>
      <c r="P704" s="380"/>
      <c r="Q704" s="380"/>
      <c r="R704" s="380"/>
      <c r="S704" s="380"/>
      <c r="T704" s="380"/>
      <c r="U704" s="380"/>
      <c r="V704" s="380"/>
      <c r="W704" s="403"/>
      <c r="X704" s="380"/>
      <c r="Y704" s="380"/>
      <c r="Z704" s="380"/>
      <c r="AA704" s="380"/>
      <c r="AB704" s="380"/>
      <c r="AC704" s="404"/>
      <c r="AD704" s="380"/>
      <c r="AE704" s="380"/>
      <c r="AF704" s="380"/>
      <c r="AG704" s="380"/>
      <c r="AH704" s="380"/>
      <c r="AI704" s="380"/>
      <c r="AJ704" s="380"/>
      <c r="AK704" s="403"/>
      <c r="AL704" s="380"/>
      <c r="AM704" s="380"/>
      <c r="AN704" s="380"/>
      <c r="AO704" s="380"/>
      <c r="AP704" s="380"/>
      <c r="AQ704" s="404"/>
      <c r="AR704" s="380"/>
      <c r="AS704" s="380"/>
      <c r="AT704" s="380"/>
      <c r="AU704" s="380"/>
      <c r="AV704" s="380"/>
      <c r="AW704" s="380"/>
      <c r="AX704" s="380"/>
      <c r="AY704" s="403"/>
      <c r="AZ704" s="380"/>
      <c r="BA704" s="380"/>
      <c r="BB704" s="380"/>
      <c r="BC704" s="380"/>
      <c r="BD704" s="380"/>
      <c r="BE704" s="404"/>
      <c r="BF704" s="380"/>
      <c r="BG704" s="380"/>
      <c r="BH704" s="380"/>
      <c r="BI704" s="380"/>
      <c r="BJ704" s="380"/>
      <c r="BK704" s="380"/>
      <c r="BL704" s="380"/>
      <c r="BM704" s="403"/>
      <c r="BS704" s="83"/>
      <c r="CA704" s="405"/>
      <c r="CG704" s="83"/>
      <c r="CO704" s="405"/>
      <c r="CU704" s="83"/>
      <c r="DC704" s="405"/>
      <c r="DI704" s="83"/>
      <c r="DQ704" s="405"/>
      <c r="DW704" s="83"/>
      <c r="EE704" s="405"/>
      <c r="EK704" s="83"/>
      <c r="ES704" s="405"/>
      <c r="EY704" s="83"/>
      <c r="FG704" s="405"/>
      <c r="FM704" s="83"/>
      <c r="FU704" s="405"/>
      <c r="GA704" s="83"/>
      <c r="GI704" s="405"/>
      <c r="GO704" s="83"/>
      <c r="GW704" s="405"/>
      <c r="HC704" s="83"/>
      <c r="HK704" s="405"/>
      <c r="HQ704" s="83"/>
      <c r="HY704" s="405"/>
      <c r="IE704" s="83"/>
      <c r="IM704" s="405"/>
      <c r="IS704" s="83"/>
      <c r="JA704" s="405"/>
      <c r="JG704" s="83"/>
      <c r="JO704" s="405"/>
      <c r="JU704" s="83"/>
      <c r="KC704" s="405"/>
      <c r="KI704" s="83"/>
      <c r="KQ704" s="405"/>
      <c r="KW704" s="83"/>
      <c r="LE704" s="405"/>
      <c r="LK704" s="83"/>
      <c r="LS704" s="405"/>
      <c r="LY704" s="83"/>
      <c r="MG704" s="405"/>
      <c r="MM704" s="83"/>
      <c r="MU704" s="405"/>
      <c r="NA704" s="83"/>
    </row>
    <row r="705">
      <c r="A705" s="483"/>
      <c r="B705" s="380"/>
      <c r="C705" s="380"/>
      <c r="D705" s="380"/>
      <c r="E705" s="380"/>
      <c r="F705" s="380"/>
      <c r="G705" s="380"/>
      <c r="H705" s="380"/>
      <c r="I705" s="403"/>
      <c r="J705" s="380"/>
      <c r="K705" s="380"/>
      <c r="L705" s="380"/>
      <c r="M705" s="380"/>
      <c r="N705" s="380"/>
      <c r="O705" s="404"/>
      <c r="P705" s="380"/>
      <c r="Q705" s="380"/>
      <c r="R705" s="380"/>
      <c r="S705" s="380"/>
      <c r="T705" s="380"/>
      <c r="U705" s="380"/>
      <c r="V705" s="380"/>
      <c r="W705" s="403"/>
      <c r="X705" s="380"/>
      <c r="Y705" s="380"/>
      <c r="Z705" s="380"/>
      <c r="AA705" s="380"/>
      <c r="AB705" s="380"/>
      <c r="AC705" s="404"/>
      <c r="AD705" s="380"/>
      <c r="AE705" s="380"/>
      <c r="AF705" s="380"/>
      <c r="AG705" s="380"/>
      <c r="AH705" s="380"/>
      <c r="AI705" s="380"/>
      <c r="AJ705" s="380"/>
      <c r="AK705" s="403"/>
      <c r="AL705" s="380"/>
      <c r="AM705" s="380"/>
      <c r="AN705" s="380"/>
      <c r="AO705" s="380"/>
      <c r="AP705" s="380"/>
      <c r="AQ705" s="404"/>
      <c r="AR705" s="380"/>
      <c r="AS705" s="380"/>
      <c r="AT705" s="380"/>
      <c r="AU705" s="380"/>
      <c r="AV705" s="380"/>
      <c r="AW705" s="380"/>
      <c r="AX705" s="380"/>
      <c r="AY705" s="403"/>
      <c r="AZ705" s="380"/>
      <c r="BA705" s="380"/>
      <c r="BB705" s="380"/>
      <c r="BC705" s="380"/>
      <c r="BD705" s="380"/>
      <c r="BE705" s="404"/>
      <c r="BF705" s="380"/>
      <c r="BG705" s="380"/>
      <c r="BH705" s="380"/>
      <c r="BI705" s="380"/>
      <c r="BJ705" s="380"/>
      <c r="BK705" s="380"/>
      <c r="BL705" s="380"/>
      <c r="BM705" s="403"/>
      <c r="BS705" s="83"/>
      <c r="CA705" s="405"/>
      <c r="CG705" s="83"/>
      <c r="CO705" s="405"/>
      <c r="CU705" s="83"/>
      <c r="DC705" s="405"/>
      <c r="DI705" s="83"/>
      <c r="DQ705" s="405"/>
      <c r="DW705" s="83"/>
      <c r="EE705" s="405"/>
      <c r="EK705" s="83"/>
      <c r="ES705" s="405"/>
      <c r="EY705" s="83"/>
      <c r="FG705" s="405"/>
      <c r="FM705" s="83"/>
      <c r="FU705" s="405"/>
      <c r="GA705" s="83"/>
      <c r="GI705" s="405"/>
      <c r="GO705" s="83"/>
      <c r="GW705" s="405"/>
      <c r="HC705" s="83"/>
      <c r="HK705" s="405"/>
      <c r="HQ705" s="83"/>
      <c r="HY705" s="405"/>
      <c r="IE705" s="83"/>
      <c r="IM705" s="405"/>
      <c r="IS705" s="83"/>
      <c r="JA705" s="405"/>
      <c r="JG705" s="83"/>
      <c r="JO705" s="405"/>
      <c r="JU705" s="83"/>
      <c r="KC705" s="405"/>
      <c r="KI705" s="83"/>
      <c r="KQ705" s="405"/>
      <c r="KW705" s="83"/>
      <c r="LE705" s="405"/>
      <c r="LK705" s="83"/>
      <c r="LS705" s="405"/>
      <c r="LY705" s="83"/>
      <c r="MG705" s="405"/>
      <c r="MM705" s="83"/>
      <c r="MU705" s="405"/>
      <c r="NA705" s="83"/>
    </row>
    <row r="706">
      <c r="A706" s="483"/>
      <c r="B706" s="380"/>
      <c r="C706" s="380"/>
      <c r="D706" s="380"/>
      <c r="E706" s="380"/>
      <c r="F706" s="380"/>
      <c r="G706" s="380"/>
      <c r="H706" s="380"/>
      <c r="I706" s="403"/>
      <c r="J706" s="380"/>
      <c r="K706" s="380"/>
      <c r="L706" s="380"/>
      <c r="M706" s="380"/>
      <c r="N706" s="380"/>
      <c r="O706" s="404"/>
      <c r="P706" s="380"/>
      <c r="Q706" s="380"/>
      <c r="R706" s="380"/>
      <c r="S706" s="380"/>
      <c r="T706" s="380"/>
      <c r="U706" s="380"/>
      <c r="V706" s="380"/>
      <c r="W706" s="403"/>
      <c r="X706" s="380"/>
      <c r="Y706" s="380"/>
      <c r="Z706" s="380"/>
      <c r="AA706" s="380"/>
      <c r="AB706" s="380"/>
      <c r="AC706" s="404"/>
      <c r="AD706" s="380"/>
      <c r="AE706" s="380"/>
      <c r="AF706" s="380"/>
      <c r="AG706" s="380"/>
      <c r="AH706" s="380"/>
      <c r="AI706" s="380"/>
      <c r="AJ706" s="380"/>
      <c r="AK706" s="403"/>
      <c r="AL706" s="380"/>
      <c r="AM706" s="380"/>
      <c r="AN706" s="380"/>
      <c r="AO706" s="380"/>
      <c r="AP706" s="380"/>
      <c r="AQ706" s="404"/>
      <c r="AR706" s="380"/>
      <c r="AS706" s="380"/>
      <c r="AT706" s="380"/>
      <c r="AU706" s="380"/>
      <c r="AV706" s="380"/>
      <c r="AW706" s="380"/>
      <c r="AX706" s="380"/>
      <c r="AY706" s="403"/>
      <c r="AZ706" s="380"/>
      <c r="BA706" s="380"/>
      <c r="BB706" s="380"/>
      <c r="BC706" s="380"/>
      <c r="BD706" s="380"/>
      <c r="BE706" s="404"/>
      <c r="BF706" s="380"/>
      <c r="BG706" s="380"/>
      <c r="BH706" s="380"/>
      <c r="BI706" s="380"/>
      <c r="BJ706" s="380"/>
      <c r="BK706" s="380"/>
      <c r="BL706" s="380"/>
      <c r="BM706" s="403"/>
      <c r="BS706" s="83"/>
      <c r="CA706" s="405"/>
      <c r="CG706" s="83"/>
      <c r="CO706" s="405"/>
      <c r="CU706" s="83"/>
      <c r="DC706" s="405"/>
      <c r="DI706" s="83"/>
      <c r="DQ706" s="405"/>
      <c r="DW706" s="83"/>
      <c r="EE706" s="405"/>
      <c r="EK706" s="83"/>
      <c r="ES706" s="405"/>
      <c r="EY706" s="83"/>
      <c r="FG706" s="405"/>
      <c r="FM706" s="83"/>
      <c r="FU706" s="405"/>
      <c r="GA706" s="83"/>
      <c r="GI706" s="405"/>
      <c r="GO706" s="83"/>
      <c r="GW706" s="405"/>
      <c r="HC706" s="83"/>
      <c r="HK706" s="405"/>
      <c r="HQ706" s="83"/>
      <c r="HY706" s="405"/>
      <c r="IE706" s="83"/>
      <c r="IM706" s="405"/>
      <c r="IS706" s="83"/>
      <c r="JA706" s="405"/>
      <c r="JG706" s="83"/>
      <c r="JO706" s="405"/>
      <c r="JU706" s="83"/>
      <c r="KC706" s="405"/>
      <c r="KI706" s="83"/>
      <c r="KQ706" s="405"/>
      <c r="KW706" s="83"/>
      <c r="LE706" s="405"/>
      <c r="LK706" s="83"/>
      <c r="LS706" s="405"/>
      <c r="LY706" s="83"/>
      <c r="MG706" s="405"/>
      <c r="MM706" s="83"/>
      <c r="MU706" s="405"/>
      <c r="NA706" s="83"/>
    </row>
    <row r="707">
      <c r="A707" s="483"/>
      <c r="B707" s="380"/>
      <c r="C707" s="380"/>
      <c r="D707" s="380"/>
      <c r="E707" s="380"/>
      <c r="F707" s="380"/>
      <c r="G707" s="380"/>
      <c r="H707" s="380"/>
      <c r="I707" s="403"/>
      <c r="J707" s="380"/>
      <c r="K707" s="380"/>
      <c r="L707" s="380"/>
      <c r="M707" s="380"/>
      <c r="N707" s="380"/>
      <c r="O707" s="404"/>
      <c r="P707" s="380"/>
      <c r="Q707" s="380"/>
      <c r="R707" s="380"/>
      <c r="S707" s="380"/>
      <c r="T707" s="380"/>
      <c r="U707" s="380"/>
      <c r="V707" s="380"/>
      <c r="W707" s="403"/>
      <c r="X707" s="380"/>
      <c r="Y707" s="380"/>
      <c r="Z707" s="380"/>
      <c r="AA707" s="380"/>
      <c r="AB707" s="380"/>
      <c r="AC707" s="404"/>
      <c r="AD707" s="380"/>
      <c r="AE707" s="380"/>
      <c r="AF707" s="380"/>
      <c r="AG707" s="380"/>
      <c r="AH707" s="380"/>
      <c r="AI707" s="380"/>
      <c r="AJ707" s="380"/>
      <c r="AK707" s="403"/>
      <c r="AL707" s="380"/>
      <c r="AM707" s="380"/>
      <c r="AN707" s="380"/>
      <c r="AO707" s="380"/>
      <c r="AP707" s="380"/>
      <c r="AQ707" s="404"/>
      <c r="AR707" s="380"/>
      <c r="AS707" s="380"/>
      <c r="AT707" s="380"/>
      <c r="AU707" s="380"/>
      <c r="AV707" s="380"/>
      <c r="AW707" s="380"/>
      <c r="AX707" s="380"/>
      <c r="AY707" s="403"/>
      <c r="AZ707" s="380"/>
      <c r="BA707" s="380"/>
      <c r="BB707" s="380"/>
      <c r="BC707" s="380"/>
      <c r="BD707" s="380"/>
      <c r="BE707" s="404"/>
      <c r="BF707" s="380"/>
      <c r="BG707" s="380"/>
      <c r="BH707" s="380"/>
      <c r="BI707" s="380"/>
      <c r="BJ707" s="380"/>
      <c r="BK707" s="380"/>
      <c r="BL707" s="380"/>
      <c r="BM707" s="403"/>
      <c r="BS707" s="83"/>
      <c r="CA707" s="405"/>
      <c r="CG707" s="83"/>
      <c r="CO707" s="405"/>
      <c r="CU707" s="83"/>
      <c r="DC707" s="405"/>
      <c r="DI707" s="83"/>
      <c r="DQ707" s="405"/>
      <c r="DW707" s="83"/>
      <c r="EE707" s="405"/>
      <c r="EK707" s="83"/>
      <c r="ES707" s="405"/>
      <c r="EY707" s="83"/>
      <c r="FG707" s="405"/>
      <c r="FM707" s="83"/>
      <c r="FU707" s="405"/>
      <c r="GA707" s="83"/>
      <c r="GI707" s="405"/>
      <c r="GO707" s="83"/>
      <c r="GW707" s="405"/>
      <c r="HC707" s="83"/>
      <c r="HK707" s="405"/>
      <c r="HQ707" s="83"/>
      <c r="HY707" s="405"/>
      <c r="IE707" s="83"/>
      <c r="IM707" s="405"/>
      <c r="IS707" s="83"/>
      <c r="JA707" s="405"/>
      <c r="JG707" s="83"/>
      <c r="JO707" s="405"/>
      <c r="JU707" s="83"/>
      <c r="KC707" s="405"/>
      <c r="KI707" s="83"/>
      <c r="KQ707" s="405"/>
      <c r="KW707" s="83"/>
      <c r="LE707" s="405"/>
      <c r="LK707" s="83"/>
      <c r="LS707" s="405"/>
      <c r="LY707" s="83"/>
      <c r="MG707" s="405"/>
      <c r="MM707" s="83"/>
      <c r="MU707" s="405"/>
      <c r="NA707" s="83"/>
    </row>
    <row r="708">
      <c r="A708" s="483"/>
      <c r="B708" s="380"/>
      <c r="C708" s="380"/>
      <c r="D708" s="380"/>
      <c r="E708" s="380"/>
      <c r="F708" s="380"/>
      <c r="G708" s="380"/>
      <c r="H708" s="380"/>
      <c r="I708" s="403"/>
      <c r="J708" s="380"/>
      <c r="K708" s="380"/>
      <c r="L708" s="380"/>
      <c r="M708" s="380"/>
      <c r="N708" s="380"/>
      <c r="O708" s="404"/>
      <c r="P708" s="380"/>
      <c r="Q708" s="380"/>
      <c r="R708" s="380"/>
      <c r="S708" s="380"/>
      <c r="T708" s="380"/>
      <c r="U708" s="380"/>
      <c r="V708" s="380"/>
      <c r="W708" s="403"/>
      <c r="X708" s="380"/>
      <c r="Y708" s="380"/>
      <c r="Z708" s="380"/>
      <c r="AA708" s="380"/>
      <c r="AB708" s="380"/>
      <c r="AC708" s="404"/>
      <c r="AD708" s="380"/>
      <c r="AE708" s="380"/>
      <c r="AF708" s="380"/>
      <c r="AG708" s="380"/>
      <c r="AH708" s="380"/>
      <c r="AI708" s="380"/>
      <c r="AJ708" s="380"/>
      <c r="AK708" s="403"/>
      <c r="AL708" s="380"/>
      <c r="AM708" s="380"/>
      <c r="AN708" s="380"/>
      <c r="AO708" s="380"/>
      <c r="AP708" s="380"/>
      <c r="AQ708" s="404"/>
      <c r="AR708" s="380"/>
      <c r="AS708" s="380"/>
      <c r="AT708" s="380"/>
      <c r="AU708" s="380"/>
      <c r="AV708" s="380"/>
      <c r="AW708" s="380"/>
      <c r="AX708" s="380"/>
      <c r="AY708" s="403"/>
      <c r="AZ708" s="380"/>
      <c r="BA708" s="380"/>
      <c r="BB708" s="380"/>
      <c r="BC708" s="380"/>
      <c r="BD708" s="380"/>
      <c r="BE708" s="404"/>
      <c r="BF708" s="380"/>
      <c r="BG708" s="380"/>
      <c r="BH708" s="380"/>
      <c r="BI708" s="380"/>
      <c r="BJ708" s="380"/>
      <c r="BK708" s="380"/>
      <c r="BL708" s="380"/>
      <c r="BM708" s="403"/>
      <c r="BS708" s="83"/>
      <c r="CA708" s="405"/>
      <c r="CG708" s="83"/>
      <c r="CO708" s="405"/>
      <c r="CU708" s="83"/>
      <c r="DC708" s="405"/>
      <c r="DI708" s="83"/>
      <c r="DQ708" s="405"/>
      <c r="DW708" s="83"/>
      <c r="EE708" s="405"/>
      <c r="EK708" s="83"/>
      <c r="ES708" s="405"/>
      <c r="EY708" s="83"/>
      <c r="FG708" s="405"/>
      <c r="FM708" s="83"/>
      <c r="FU708" s="405"/>
      <c r="GA708" s="83"/>
      <c r="GI708" s="405"/>
      <c r="GO708" s="83"/>
      <c r="GW708" s="405"/>
      <c r="HC708" s="83"/>
      <c r="HK708" s="405"/>
      <c r="HQ708" s="83"/>
      <c r="HY708" s="405"/>
      <c r="IE708" s="83"/>
      <c r="IM708" s="405"/>
      <c r="IS708" s="83"/>
      <c r="JA708" s="405"/>
      <c r="JG708" s="83"/>
      <c r="JO708" s="405"/>
      <c r="JU708" s="83"/>
      <c r="KC708" s="405"/>
      <c r="KI708" s="83"/>
      <c r="KQ708" s="405"/>
      <c r="KW708" s="83"/>
      <c r="LE708" s="405"/>
      <c r="LK708" s="83"/>
      <c r="LS708" s="405"/>
      <c r="LY708" s="83"/>
      <c r="MG708" s="405"/>
      <c r="MM708" s="83"/>
      <c r="MU708" s="405"/>
      <c r="NA708" s="83"/>
    </row>
    <row r="709">
      <c r="A709" s="483"/>
      <c r="B709" s="380"/>
      <c r="C709" s="380"/>
      <c r="D709" s="380"/>
      <c r="E709" s="380"/>
      <c r="F709" s="380"/>
      <c r="G709" s="380"/>
      <c r="H709" s="380"/>
      <c r="I709" s="403"/>
      <c r="J709" s="380"/>
      <c r="K709" s="380"/>
      <c r="L709" s="380"/>
      <c r="M709" s="380"/>
      <c r="N709" s="380"/>
      <c r="O709" s="404"/>
      <c r="P709" s="380"/>
      <c r="Q709" s="380"/>
      <c r="R709" s="380"/>
      <c r="S709" s="380"/>
      <c r="T709" s="380"/>
      <c r="U709" s="380"/>
      <c r="V709" s="380"/>
      <c r="W709" s="403"/>
      <c r="X709" s="380"/>
      <c r="Y709" s="380"/>
      <c r="Z709" s="380"/>
      <c r="AA709" s="380"/>
      <c r="AB709" s="380"/>
      <c r="AC709" s="404"/>
      <c r="AD709" s="380"/>
      <c r="AE709" s="380"/>
      <c r="AF709" s="380"/>
      <c r="AG709" s="380"/>
      <c r="AH709" s="380"/>
      <c r="AI709" s="380"/>
      <c r="AJ709" s="380"/>
      <c r="AK709" s="403"/>
      <c r="AL709" s="380"/>
      <c r="AM709" s="380"/>
      <c r="AN709" s="380"/>
      <c r="AO709" s="380"/>
      <c r="AP709" s="380"/>
      <c r="AQ709" s="404"/>
      <c r="AR709" s="380"/>
      <c r="AS709" s="380"/>
      <c r="AT709" s="380"/>
      <c r="AU709" s="380"/>
      <c r="AV709" s="380"/>
      <c r="AW709" s="380"/>
      <c r="AX709" s="380"/>
      <c r="AY709" s="403"/>
      <c r="AZ709" s="380"/>
      <c r="BA709" s="380"/>
      <c r="BB709" s="380"/>
      <c r="BC709" s="380"/>
      <c r="BD709" s="380"/>
      <c r="BE709" s="404"/>
      <c r="BF709" s="380"/>
      <c r="BG709" s="380"/>
      <c r="BH709" s="380"/>
      <c r="BI709" s="380"/>
      <c r="BJ709" s="380"/>
      <c r="BK709" s="380"/>
      <c r="BL709" s="380"/>
      <c r="BM709" s="403"/>
      <c r="BS709" s="83"/>
      <c r="CA709" s="405"/>
      <c r="CG709" s="83"/>
      <c r="CO709" s="405"/>
      <c r="CU709" s="83"/>
      <c r="DC709" s="405"/>
      <c r="DI709" s="83"/>
      <c r="DQ709" s="405"/>
      <c r="DW709" s="83"/>
      <c r="EE709" s="405"/>
      <c r="EK709" s="83"/>
      <c r="ES709" s="405"/>
      <c r="EY709" s="83"/>
      <c r="FG709" s="405"/>
      <c r="FM709" s="83"/>
      <c r="FU709" s="405"/>
      <c r="GA709" s="83"/>
      <c r="GI709" s="405"/>
      <c r="GO709" s="83"/>
      <c r="GW709" s="405"/>
      <c r="HC709" s="83"/>
      <c r="HK709" s="405"/>
      <c r="HQ709" s="83"/>
      <c r="HY709" s="405"/>
      <c r="IE709" s="83"/>
      <c r="IM709" s="405"/>
      <c r="IS709" s="83"/>
      <c r="JA709" s="405"/>
      <c r="JG709" s="83"/>
      <c r="JO709" s="405"/>
      <c r="JU709" s="83"/>
      <c r="KC709" s="405"/>
      <c r="KI709" s="83"/>
      <c r="KQ709" s="405"/>
      <c r="KW709" s="83"/>
      <c r="LE709" s="405"/>
      <c r="LK709" s="83"/>
      <c r="LS709" s="405"/>
      <c r="LY709" s="83"/>
      <c r="MG709" s="405"/>
      <c r="MM709" s="83"/>
      <c r="MU709" s="405"/>
      <c r="NA709" s="83"/>
    </row>
    <row r="710">
      <c r="A710" s="483"/>
      <c r="B710" s="380"/>
      <c r="C710" s="380"/>
      <c r="D710" s="380"/>
      <c r="E710" s="380"/>
      <c r="F710" s="380"/>
      <c r="G710" s="380"/>
      <c r="H710" s="380"/>
      <c r="I710" s="403"/>
      <c r="J710" s="380"/>
      <c r="K710" s="380"/>
      <c r="L710" s="380"/>
      <c r="M710" s="380"/>
      <c r="N710" s="380"/>
      <c r="O710" s="404"/>
      <c r="P710" s="380"/>
      <c r="Q710" s="380"/>
      <c r="R710" s="380"/>
      <c r="S710" s="380"/>
      <c r="T710" s="380"/>
      <c r="U710" s="380"/>
      <c r="V710" s="380"/>
      <c r="W710" s="403"/>
      <c r="X710" s="380"/>
      <c r="Y710" s="380"/>
      <c r="Z710" s="380"/>
      <c r="AA710" s="380"/>
      <c r="AB710" s="380"/>
      <c r="AC710" s="404"/>
      <c r="AD710" s="380"/>
      <c r="AE710" s="380"/>
      <c r="AF710" s="380"/>
      <c r="AG710" s="380"/>
      <c r="AH710" s="380"/>
      <c r="AI710" s="380"/>
      <c r="AJ710" s="380"/>
      <c r="AK710" s="403"/>
      <c r="AL710" s="380"/>
      <c r="AM710" s="380"/>
      <c r="AN710" s="380"/>
      <c r="AO710" s="380"/>
      <c r="AP710" s="380"/>
      <c r="AQ710" s="404"/>
      <c r="AR710" s="380"/>
      <c r="AS710" s="380"/>
      <c r="AT710" s="380"/>
      <c r="AU710" s="380"/>
      <c r="AV710" s="380"/>
      <c r="AW710" s="380"/>
      <c r="AX710" s="380"/>
      <c r="AY710" s="403"/>
      <c r="AZ710" s="380"/>
      <c r="BA710" s="380"/>
      <c r="BB710" s="380"/>
      <c r="BC710" s="380"/>
      <c r="BD710" s="380"/>
      <c r="BE710" s="404"/>
      <c r="BF710" s="380"/>
      <c r="BG710" s="380"/>
      <c r="BH710" s="380"/>
      <c r="BI710" s="380"/>
      <c r="BJ710" s="380"/>
      <c r="BK710" s="380"/>
      <c r="BL710" s="380"/>
      <c r="BM710" s="403"/>
      <c r="BS710" s="83"/>
      <c r="CA710" s="405"/>
      <c r="CG710" s="83"/>
      <c r="CO710" s="405"/>
      <c r="CU710" s="83"/>
      <c r="DC710" s="405"/>
      <c r="DI710" s="83"/>
      <c r="DQ710" s="405"/>
      <c r="DW710" s="83"/>
      <c r="EE710" s="405"/>
      <c r="EK710" s="83"/>
      <c r="ES710" s="405"/>
      <c r="EY710" s="83"/>
      <c r="FG710" s="405"/>
      <c r="FM710" s="83"/>
      <c r="FU710" s="405"/>
      <c r="GA710" s="83"/>
      <c r="GI710" s="405"/>
      <c r="GO710" s="83"/>
      <c r="GW710" s="405"/>
      <c r="HC710" s="83"/>
      <c r="HK710" s="405"/>
      <c r="HQ710" s="83"/>
      <c r="HY710" s="405"/>
      <c r="IE710" s="83"/>
      <c r="IM710" s="405"/>
      <c r="IS710" s="83"/>
      <c r="JA710" s="405"/>
      <c r="JG710" s="83"/>
      <c r="JO710" s="405"/>
      <c r="JU710" s="83"/>
      <c r="KC710" s="405"/>
      <c r="KI710" s="83"/>
      <c r="KQ710" s="405"/>
      <c r="KW710" s="83"/>
      <c r="LE710" s="405"/>
      <c r="LK710" s="83"/>
      <c r="LS710" s="405"/>
      <c r="LY710" s="83"/>
      <c r="MG710" s="405"/>
      <c r="MM710" s="83"/>
      <c r="MU710" s="405"/>
      <c r="NA710" s="83"/>
    </row>
    <row r="711">
      <c r="A711" s="483"/>
      <c r="B711" s="380"/>
      <c r="C711" s="380"/>
      <c r="D711" s="380"/>
      <c r="E711" s="380"/>
      <c r="F711" s="380"/>
      <c r="G711" s="380"/>
      <c r="H711" s="380"/>
      <c r="I711" s="403"/>
      <c r="J711" s="380"/>
      <c r="K711" s="380"/>
      <c r="L711" s="380"/>
      <c r="M711" s="380"/>
      <c r="N711" s="380"/>
      <c r="O711" s="404"/>
      <c r="P711" s="380"/>
      <c r="Q711" s="380"/>
      <c r="R711" s="380"/>
      <c r="S711" s="380"/>
      <c r="T711" s="380"/>
      <c r="U711" s="380"/>
      <c r="V711" s="380"/>
      <c r="W711" s="403"/>
      <c r="X711" s="380"/>
      <c r="Y711" s="380"/>
      <c r="Z711" s="380"/>
      <c r="AA711" s="380"/>
      <c r="AB711" s="380"/>
      <c r="AC711" s="404"/>
      <c r="AD711" s="380"/>
      <c r="AE711" s="380"/>
      <c r="AF711" s="380"/>
      <c r="AG711" s="380"/>
      <c r="AH711" s="380"/>
      <c r="AI711" s="380"/>
      <c r="AJ711" s="380"/>
      <c r="AK711" s="403"/>
      <c r="AL711" s="380"/>
      <c r="AM711" s="380"/>
      <c r="AN711" s="380"/>
      <c r="AO711" s="380"/>
      <c r="AP711" s="380"/>
      <c r="AQ711" s="404"/>
      <c r="AR711" s="380"/>
      <c r="AS711" s="380"/>
      <c r="AT711" s="380"/>
      <c r="AU711" s="380"/>
      <c r="AV711" s="380"/>
      <c r="AW711" s="380"/>
      <c r="AX711" s="380"/>
      <c r="AY711" s="403"/>
      <c r="AZ711" s="380"/>
      <c r="BA711" s="380"/>
      <c r="BB711" s="380"/>
      <c r="BC711" s="380"/>
      <c r="BD711" s="380"/>
      <c r="BE711" s="404"/>
      <c r="BF711" s="380"/>
      <c r="BG711" s="380"/>
      <c r="BH711" s="380"/>
      <c r="BI711" s="380"/>
      <c r="BJ711" s="380"/>
      <c r="BK711" s="380"/>
      <c r="BL711" s="380"/>
      <c r="BM711" s="403"/>
      <c r="BS711" s="83"/>
      <c r="CA711" s="405"/>
      <c r="CG711" s="83"/>
      <c r="CO711" s="405"/>
      <c r="CU711" s="83"/>
      <c r="DC711" s="405"/>
      <c r="DI711" s="83"/>
      <c r="DQ711" s="405"/>
      <c r="DW711" s="83"/>
      <c r="EE711" s="405"/>
      <c r="EK711" s="83"/>
      <c r="ES711" s="405"/>
      <c r="EY711" s="83"/>
      <c r="FG711" s="405"/>
      <c r="FM711" s="83"/>
      <c r="FU711" s="405"/>
      <c r="GA711" s="83"/>
      <c r="GI711" s="405"/>
      <c r="GO711" s="83"/>
      <c r="GW711" s="405"/>
      <c r="HC711" s="83"/>
      <c r="HK711" s="405"/>
      <c r="HQ711" s="83"/>
      <c r="HY711" s="405"/>
      <c r="IE711" s="83"/>
      <c r="IM711" s="405"/>
      <c r="IS711" s="83"/>
      <c r="JA711" s="405"/>
      <c r="JG711" s="83"/>
      <c r="JO711" s="405"/>
      <c r="JU711" s="83"/>
      <c r="KC711" s="405"/>
      <c r="KI711" s="83"/>
      <c r="KQ711" s="405"/>
      <c r="KW711" s="83"/>
      <c r="LE711" s="405"/>
      <c r="LK711" s="83"/>
      <c r="LS711" s="405"/>
      <c r="LY711" s="83"/>
      <c r="MG711" s="405"/>
      <c r="MM711" s="83"/>
      <c r="MU711" s="405"/>
      <c r="NA711" s="83"/>
    </row>
    <row r="712">
      <c r="A712" s="483"/>
      <c r="B712" s="380"/>
      <c r="C712" s="380"/>
      <c r="D712" s="380"/>
      <c r="E712" s="380"/>
      <c r="F712" s="380"/>
      <c r="G712" s="380"/>
      <c r="H712" s="380"/>
      <c r="I712" s="403"/>
      <c r="J712" s="380"/>
      <c r="K712" s="380"/>
      <c r="L712" s="380"/>
      <c r="M712" s="380"/>
      <c r="N712" s="380"/>
      <c r="O712" s="404"/>
      <c r="P712" s="380"/>
      <c r="Q712" s="380"/>
      <c r="R712" s="380"/>
      <c r="S712" s="380"/>
      <c r="T712" s="380"/>
      <c r="U712" s="380"/>
      <c r="V712" s="380"/>
      <c r="W712" s="403"/>
      <c r="X712" s="380"/>
      <c r="Y712" s="380"/>
      <c r="Z712" s="380"/>
      <c r="AA712" s="380"/>
      <c r="AB712" s="380"/>
      <c r="AC712" s="404"/>
      <c r="AD712" s="380"/>
      <c r="AE712" s="380"/>
      <c r="AF712" s="380"/>
      <c r="AG712" s="380"/>
      <c r="AH712" s="380"/>
      <c r="AI712" s="380"/>
      <c r="AJ712" s="380"/>
      <c r="AK712" s="403"/>
      <c r="AL712" s="380"/>
      <c r="AM712" s="380"/>
      <c r="AN712" s="380"/>
      <c r="AO712" s="380"/>
      <c r="AP712" s="380"/>
      <c r="AQ712" s="404"/>
      <c r="AR712" s="380"/>
      <c r="AS712" s="380"/>
      <c r="AT712" s="380"/>
      <c r="AU712" s="380"/>
      <c r="AV712" s="380"/>
      <c r="AW712" s="380"/>
      <c r="AX712" s="380"/>
      <c r="AY712" s="403"/>
      <c r="AZ712" s="380"/>
      <c r="BA712" s="380"/>
      <c r="BB712" s="380"/>
      <c r="BC712" s="380"/>
      <c r="BD712" s="380"/>
      <c r="BE712" s="404"/>
      <c r="BF712" s="380"/>
      <c r="BG712" s="380"/>
      <c r="BH712" s="380"/>
      <c r="BI712" s="380"/>
      <c r="BJ712" s="380"/>
      <c r="BK712" s="380"/>
      <c r="BL712" s="380"/>
      <c r="BM712" s="403"/>
      <c r="BS712" s="83"/>
      <c r="CA712" s="405"/>
      <c r="CG712" s="83"/>
      <c r="CO712" s="405"/>
      <c r="CU712" s="83"/>
      <c r="DC712" s="405"/>
      <c r="DI712" s="83"/>
      <c r="DQ712" s="405"/>
      <c r="DW712" s="83"/>
      <c r="EE712" s="405"/>
      <c r="EK712" s="83"/>
      <c r="ES712" s="405"/>
      <c r="EY712" s="83"/>
      <c r="FG712" s="405"/>
      <c r="FM712" s="83"/>
      <c r="FU712" s="405"/>
      <c r="GA712" s="83"/>
      <c r="GI712" s="405"/>
      <c r="GO712" s="83"/>
      <c r="GW712" s="405"/>
      <c r="HC712" s="83"/>
      <c r="HK712" s="405"/>
      <c r="HQ712" s="83"/>
      <c r="HY712" s="405"/>
      <c r="IE712" s="83"/>
      <c r="IM712" s="405"/>
      <c r="IS712" s="83"/>
      <c r="JA712" s="405"/>
      <c r="JG712" s="83"/>
      <c r="JO712" s="405"/>
      <c r="JU712" s="83"/>
      <c r="KC712" s="405"/>
      <c r="KI712" s="83"/>
      <c r="KQ712" s="405"/>
      <c r="KW712" s="83"/>
      <c r="LE712" s="405"/>
      <c r="LK712" s="83"/>
      <c r="LS712" s="405"/>
      <c r="LY712" s="83"/>
      <c r="MG712" s="405"/>
      <c r="MM712" s="83"/>
      <c r="MU712" s="405"/>
      <c r="NA712" s="83"/>
    </row>
    <row r="713">
      <c r="A713" s="483"/>
      <c r="B713" s="380"/>
      <c r="C713" s="380"/>
      <c r="D713" s="380"/>
      <c r="E713" s="380"/>
      <c r="F713" s="380"/>
      <c r="G713" s="380"/>
      <c r="H713" s="380"/>
      <c r="I713" s="403"/>
      <c r="J713" s="380"/>
      <c r="K713" s="380"/>
      <c r="L713" s="380"/>
      <c r="M713" s="380"/>
      <c r="N713" s="380"/>
      <c r="O713" s="404"/>
      <c r="P713" s="380"/>
      <c r="Q713" s="380"/>
      <c r="R713" s="380"/>
      <c r="S713" s="380"/>
      <c r="T713" s="380"/>
      <c r="U713" s="380"/>
      <c r="V713" s="380"/>
      <c r="W713" s="403"/>
      <c r="X713" s="380"/>
      <c r="Y713" s="380"/>
      <c r="Z713" s="380"/>
      <c r="AA713" s="380"/>
      <c r="AB713" s="380"/>
      <c r="AC713" s="404"/>
      <c r="AD713" s="380"/>
      <c r="AE713" s="380"/>
      <c r="AF713" s="380"/>
      <c r="AG713" s="380"/>
      <c r="AH713" s="380"/>
      <c r="AI713" s="380"/>
      <c r="AJ713" s="380"/>
      <c r="AK713" s="403"/>
      <c r="AL713" s="380"/>
      <c r="AM713" s="380"/>
      <c r="AN713" s="380"/>
      <c r="AO713" s="380"/>
      <c r="AP713" s="380"/>
      <c r="AQ713" s="404"/>
      <c r="AR713" s="380"/>
      <c r="AS713" s="380"/>
      <c r="AT713" s="380"/>
      <c r="AU713" s="380"/>
      <c r="AV713" s="380"/>
      <c r="AW713" s="380"/>
      <c r="AX713" s="380"/>
      <c r="AY713" s="403"/>
      <c r="AZ713" s="380"/>
      <c r="BA713" s="380"/>
      <c r="BB713" s="380"/>
      <c r="BC713" s="380"/>
      <c r="BD713" s="380"/>
      <c r="BE713" s="404"/>
      <c r="BF713" s="380"/>
      <c r="BG713" s="380"/>
      <c r="BH713" s="380"/>
      <c r="BI713" s="380"/>
      <c r="BJ713" s="380"/>
      <c r="BK713" s="380"/>
      <c r="BL713" s="380"/>
      <c r="BM713" s="403"/>
      <c r="BS713" s="83"/>
      <c r="CA713" s="405"/>
      <c r="CG713" s="83"/>
      <c r="CO713" s="405"/>
      <c r="CU713" s="83"/>
      <c r="DC713" s="405"/>
      <c r="DI713" s="83"/>
      <c r="DQ713" s="405"/>
      <c r="DW713" s="83"/>
      <c r="EE713" s="405"/>
      <c r="EK713" s="83"/>
      <c r="ES713" s="405"/>
      <c r="EY713" s="83"/>
      <c r="FG713" s="405"/>
      <c r="FM713" s="83"/>
      <c r="FU713" s="405"/>
      <c r="GA713" s="83"/>
      <c r="GI713" s="405"/>
      <c r="GO713" s="83"/>
      <c r="GW713" s="405"/>
      <c r="HC713" s="83"/>
      <c r="HK713" s="405"/>
      <c r="HQ713" s="83"/>
      <c r="HY713" s="405"/>
      <c r="IE713" s="83"/>
      <c r="IM713" s="405"/>
      <c r="IS713" s="83"/>
      <c r="JA713" s="405"/>
      <c r="JG713" s="83"/>
      <c r="JO713" s="405"/>
      <c r="JU713" s="83"/>
      <c r="KC713" s="405"/>
      <c r="KI713" s="83"/>
      <c r="KQ713" s="405"/>
      <c r="KW713" s="83"/>
      <c r="LE713" s="405"/>
      <c r="LK713" s="83"/>
      <c r="LS713" s="405"/>
      <c r="LY713" s="83"/>
      <c r="MG713" s="405"/>
      <c r="MM713" s="83"/>
      <c r="MU713" s="405"/>
      <c r="NA713" s="83"/>
    </row>
    <row r="714">
      <c r="A714" s="483"/>
      <c r="B714" s="380"/>
      <c r="C714" s="380"/>
      <c r="D714" s="380"/>
      <c r="E714" s="380"/>
      <c r="F714" s="380"/>
      <c r="G714" s="380"/>
      <c r="H714" s="380"/>
      <c r="I714" s="403"/>
      <c r="J714" s="380"/>
      <c r="K714" s="380"/>
      <c r="L714" s="380"/>
      <c r="M714" s="380"/>
      <c r="N714" s="380"/>
      <c r="O714" s="404"/>
      <c r="P714" s="380"/>
      <c r="Q714" s="380"/>
      <c r="R714" s="380"/>
      <c r="S714" s="380"/>
      <c r="T714" s="380"/>
      <c r="U714" s="380"/>
      <c r="V714" s="380"/>
      <c r="W714" s="403"/>
      <c r="X714" s="380"/>
      <c r="Y714" s="380"/>
      <c r="Z714" s="380"/>
      <c r="AA714" s="380"/>
      <c r="AB714" s="380"/>
      <c r="AC714" s="404"/>
      <c r="AD714" s="380"/>
      <c r="AE714" s="380"/>
      <c r="AF714" s="380"/>
      <c r="AG714" s="380"/>
      <c r="AH714" s="380"/>
      <c r="AI714" s="380"/>
      <c r="AJ714" s="380"/>
      <c r="AK714" s="403"/>
      <c r="AL714" s="380"/>
      <c r="AM714" s="380"/>
      <c r="AN714" s="380"/>
      <c r="AO714" s="380"/>
      <c r="AP714" s="380"/>
      <c r="AQ714" s="404"/>
      <c r="AR714" s="380"/>
      <c r="AS714" s="380"/>
      <c r="AT714" s="380"/>
      <c r="AU714" s="380"/>
      <c r="AV714" s="380"/>
      <c r="AW714" s="380"/>
      <c r="AX714" s="380"/>
      <c r="AY714" s="403"/>
      <c r="AZ714" s="380"/>
      <c r="BA714" s="380"/>
      <c r="BB714" s="380"/>
      <c r="BC714" s="380"/>
      <c r="BD714" s="380"/>
      <c r="BE714" s="404"/>
      <c r="BF714" s="380"/>
      <c r="BG714" s="380"/>
      <c r="BH714" s="380"/>
      <c r="BI714" s="380"/>
      <c r="BJ714" s="380"/>
      <c r="BK714" s="380"/>
      <c r="BL714" s="380"/>
      <c r="BM714" s="403"/>
      <c r="BS714" s="83"/>
      <c r="CA714" s="405"/>
      <c r="CG714" s="83"/>
      <c r="CO714" s="405"/>
      <c r="CU714" s="83"/>
      <c r="DC714" s="405"/>
      <c r="DI714" s="83"/>
      <c r="DQ714" s="405"/>
      <c r="DW714" s="83"/>
      <c r="EE714" s="405"/>
      <c r="EK714" s="83"/>
      <c r="ES714" s="405"/>
      <c r="EY714" s="83"/>
      <c r="FG714" s="405"/>
      <c r="FM714" s="83"/>
      <c r="FU714" s="405"/>
      <c r="GA714" s="83"/>
      <c r="GI714" s="405"/>
      <c r="GO714" s="83"/>
      <c r="GW714" s="405"/>
      <c r="HC714" s="83"/>
      <c r="HK714" s="405"/>
      <c r="HQ714" s="83"/>
      <c r="HY714" s="405"/>
      <c r="IE714" s="83"/>
      <c r="IM714" s="405"/>
      <c r="IS714" s="83"/>
      <c r="JA714" s="405"/>
      <c r="JG714" s="83"/>
      <c r="JO714" s="405"/>
      <c r="JU714" s="83"/>
      <c r="KC714" s="405"/>
      <c r="KI714" s="83"/>
      <c r="KQ714" s="405"/>
      <c r="KW714" s="83"/>
      <c r="LE714" s="405"/>
      <c r="LK714" s="83"/>
      <c r="LS714" s="405"/>
      <c r="LY714" s="83"/>
      <c r="MG714" s="405"/>
      <c r="MM714" s="83"/>
      <c r="MU714" s="405"/>
      <c r="NA714" s="83"/>
    </row>
    <row r="715">
      <c r="A715" s="483"/>
      <c r="B715" s="380"/>
      <c r="C715" s="380"/>
      <c r="D715" s="380"/>
      <c r="E715" s="380"/>
      <c r="F715" s="380"/>
      <c r="G715" s="380"/>
      <c r="H715" s="380"/>
      <c r="I715" s="403"/>
      <c r="J715" s="380"/>
      <c r="K715" s="380"/>
      <c r="L715" s="380"/>
      <c r="M715" s="380"/>
      <c r="N715" s="380"/>
      <c r="O715" s="404"/>
      <c r="P715" s="380"/>
      <c r="Q715" s="380"/>
      <c r="R715" s="380"/>
      <c r="S715" s="380"/>
      <c r="T715" s="380"/>
      <c r="U715" s="380"/>
      <c r="V715" s="380"/>
      <c r="W715" s="403"/>
      <c r="X715" s="380"/>
      <c r="Y715" s="380"/>
      <c r="Z715" s="380"/>
      <c r="AA715" s="380"/>
      <c r="AB715" s="380"/>
      <c r="AC715" s="404"/>
      <c r="AD715" s="380"/>
      <c r="AE715" s="380"/>
      <c r="AF715" s="380"/>
      <c r="AG715" s="380"/>
      <c r="AH715" s="380"/>
      <c r="AI715" s="380"/>
      <c r="AJ715" s="380"/>
      <c r="AK715" s="403"/>
      <c r="AL715" s="380"/>
      <c r="AM715" s="380"/>
      <c r="AN715" s="380"/>
      <c r="AO715" s="380"/>
      <c r="AP715" s="380"/>
      <c r="AQ715" s="404"/>
      <c r="AR715" s="380"/>
      <c r="AS715" s="380"/>
      <c r="AT715" s="380"/>
      <c r="AU715" s="380"/>
      <c r="AV715" s="380"/>
      <c r="AW715" s="380"/>
      <c r="AX715" s="380"/>
      <c r="AY715" s="403"/>
      <c r="AZ715" s="380"/>
      <c r="BA715" s="380"/>
      <c r="BB715" s="380"/>
      <c r="BC715" s="380"/>
      <c r="BD715" s="380"/>
      <c r="BE715" s="404"/>
      <c r="BF715" s="380"/>
      <c r="BG715" s="380"/>
      <c r="BH715" s="380"/>
      <c r="BI715" s="380"/>
      <c r="BJ715" s="380"/>
      <c r="BK715" s="380"/>
      <c r="BL715" s="380"/>
      <c r="BM715" s="403"/>
      <c r="BS715" s="83"/>
      <c r="CA715" s="405"/>
      <c r="CG715" s="83"/>
      <c r="CO715" s="405"/>
      <c r="CU715" s="83"/>
      <c r="DC715" s="405"/>
      <c r="DI715" s="83"/>
      <c r="DQ715" s="405"/>
      <c r="DW715" s="83"/>
      <c r="EE715" s="405"/>
      <c r="EK715" s="83"/>
      <c r="ES715" s="405"/>
      <c r="EY715" s="83"/>
      <c r="FG715" s="405"/>
      <c r="FM715" s="83"/>
      <c r="FU715" s="405"/>
      <c r="GA715" s="83"/>
      <c r="GI715" s="405"/>
      <c r="GO715" s="83"/>
      <c r="GW715" s="405"/>
      <c r="HC715" s="83"/>
      <c r="HK715" s="405"/>
      <c r="HQ715" s="83"/>
      <c r="HY715" s="405"/>
      <c r="IE715" s="83"/>
      <c r="IM715" s="405"/>
      <c r="IS715" s="83"/>
      <c r="JA715" s="405"/>
      <c r="JG715" s="83"/>
      <c r="JO715" s="405"/>
      <c r="JU715" s="83"/>
      <c r="KC715" s="405"/>
      <c r="KI715" s="83"/>
      <c r="KQ715" s="405"/>
      <c r="KW715" s="83"/>
      <c r="LE715" s="405"/>
      <c r="LK715" s="83"/>
      <c r="LS715" s="405"/>
      <c r="LY715" s="83"/>
      <c r="MG715" s="405"/>
      <c r="MM715" s="83"/>
      <c r="MU715" s="405"/>
      <c r="NA715" s="83"/>
    </row>
    <row r="716">
      <c r="A716" s="483"/>
      <c r="B716" s="380"/>
      <c r="C716" s="380"/>
      <c r="D716" s="380"/>
      <c r="E716" s="380"/>
      <c r="F716" s="380"/>
      <c r="G716" s="380"/>
      <c r="H716" s="380"/>
      <c r="I716" s="403"/>
      <c r="J716" s="380"/>
      <c r="K716" s="380"/>
      <c r="L716" s="380"/>
      <c r="M716" s="380"/>
      <c r="N716" s="380"/>
      <c r="O716" s="404"/>
      <c r="P716" s="380"/>
      <c r="Q716" s="380"/>
      <c r="R716" s="380"/>
      <c r="S716" s="380"/>
      <c r="T716" s="380"/>
      <c r="U716" s="380"/>
      <c r="V716" s="380"/>
      <c r="W716" s="403"/>
      <c r="X716" s="380"/>
      <c r="Y716" s="380"/>
      <c r="Z716" s="380"/>
      <c r="AA716" s="380"/>
      <c r="AB716" s="380"/>
      <c r="AC716" s="404"/>
      <c r="AD716" s="380"/>
      <c r="AE716" s="380"/>
      <c r="AF716" s="380"/>
      <c r="AG716" s="380"/>
      <c r="AH716" s="380"/>
      <c r="AI716" s="380"/>
      <c r="AJ716" s="380"/>
      <c r="AK716" s="403"/>
      <c r="AL716" s="380"/>
      <c r="AM716" s="380"/>
      <c r="AN716" s="380"/>
      <c r="AO716" s="380"/>
      <c r="AP716" s="380"/>
      <c r="AQ716" s="404"/>
      <c r="AR716" s="380"/>
      <c r="AS716" s="380"/>
      <c r="AT716" s="380"/>
      <c r="AU716" s="380"/>
      <c r="AV716" s="380"/>
      <c r="AW716" s="380"/>
      <c r="AX716" s="380"/>
      <c r="AY716" s="403"/>
      <c r="AZ716" s="380"/>
      <c r="BA716" s="380"/>
      <c r="BB716" s="380"/>
      <c r="BC716" s="380"/>
      <c r="BD716" s="380"/>
      <c r="BE716" s="404"/>
      <c r="BF716" s="380"/>
      <c r="BG716" s="380"/>
      <c r="BH716" s="380"/>
      <c r="BI716" s="380"/>
      <c r="BJ716" s="380"/>
      <c r="BK716" s="380"/>
      <c r="BL716" s="380"/>
      <c r="BM716" s="403"/>
      <c r="BS716" s="83"/>
      <c r="CA716" s="405"/>
      <c r="CG716" s="83"/>
      <c r="CO716" s="405"/>
      <c r="CU716" s="83"/>
      <c r="DC716" s="405"/>
      <c r="DI716" s="83"/>
      <c r="DQ716" s="405"/>
      <c r="DW716" s="83"/>
      <c r="EE716" s="405"/>
      <c r="EK716" s="83"/>
      <c r="ES716" s="405"/>
      <c r="EY716" s="83"/>
      <c r="FG716" s="405"/>
      <c r="FM716" s="83"/>
      <c r="FU716" s="405"/>
      <c r="GA716" s="83"/>
      <c r="GI716" s="405"/>
      <c r="GO716" s="83"/>
      <c r="GW716" s="405"/>
      <c r="HC716" s="83"/>
      <c r="HK716" s="405"/>
      <c r="HQ716" s="83"/>
      <c r="HY716" s="405"/>
      <c r="IE716" s="83"/>
      <c r="IM716" s="405"/>
      <c r="IS716" s="83"/>
      <c r="JA716" s="405"/>
      <c r="JG716" s="83"/>
      <c r="JO716" s="405"/>
      <c r="JU716" s="83"/>
      <c r="KC716" s="405"/>
      <c r="KI716" s="83"/>
      <c r="KQ716" s="405"/>
      <c r="KW716" s="83"/>
      <c r="LE716" s="405"/>
      <c r="LK716" s="83"/>
      <c r="LS716" s="405"/>
      <c r="LY716" s="83"/>
      <c r="MG716" s="405"/>
      <c r="MM716" s="83"/>
      <c r="MU716" s="405"/>
      <c r="NA716" s="83"/>
    </row>
    <row r="717">
      <c r="A717" s="483"/>
      <c r="B717" s="380"/>
      <c r="C717" s="380"/>
      <c r="D717" s="380"/>
      <c r="E717" s="380"/>
      <c r="F717" s="380"/>
      <c r="G717" s="380"/>
      <c r="H717" s="380"/>
      <c r="I717" s="403"/>
      <c r="J717" s="380"/>
      <c r="K717" s="380"/>
      <c r="L717" s="380"/>
      <c r="M717" s="380"/>
      <c r="N717" s="380"/>
      <c r="O717" s="404"/>
      <c r="P717" s="380"/>
      <c r="Q717" s="380"/>
      <c r="R717" s="380"/>
      <c r="S717" s="380"/>
      <c r="T717" s="380"/>
      <c r="U717" s="380"/>
      <c r="V717" s="380"/>
      <c r="W717" s="403"/>
      <c r="X717" s="380"/>
      <c r="Y717" s="380"/>
      <c r="Z717" s="380"/>
      <c r="AA717" s="380"/>
      <c r="AB717" s="380"/>
      <c r="AC717" s="404"/>
      <c r="AD717" s="380"/>
      <c r="AE717" s="380"/>
      <c r="AF717" s="380"/>
      <c r="AG717" s="380"/>
      <c r="AH717" s="380"/>
      <c r="AI717" s="380"/>
      <c r="AJ717" s="380"/>
      <c r="AK717" s="403"/>
      <c r="AL717" s="380"/>
      <c r="AM717" s="380"/>
      <c r="AN717" s="380"/>
      <c r="AO717" s="380"/>
      <c r="AP717" s="380"/>
      <c r="AQ717" s="404"/>
      <c r="AR717" s="380"/>
      <c r="AS717" s="380"/>
      <c r="AT717" s="380"/>
      <c r="AU717" s="380"/>
      <c r="AV717" s="380"/>
      <c r="AW717" s="380"/>
      <c r="AX717" s="380"/>
      <c r="AY717" s="403"/>
      <c r="AZ717" s="380"/>
      <c r="BA717" s="380"/>
      <c r="BB717" s="380"/>
      <c r="BC717" s="380"/>
      <c r="BD717" s="380"/>
      <c r="BE717" s="404"/>
      <c r="BF717" s="380"/>
      <c r="BG717" s="380"/>
      <c r="BH717" s="380"/>
      <c r="BI717" s="380"/>
      <c r="BJ717" s="380"/>
      <c r="BK717" s="380"/>
      <c r="BL717" s="380"/>
      <c r="BM717" s="403"/>
      <c r="BS717" s="83"/>
      <c r="CA717" s="405"/>
      <c r="CG717" s="83"/>
      <c r="CO717" s="405"/>
      <c r="CU717" s="83"/>
      <c r="DC717" s="405"/>
      <c r="DI717" s="83"/>
      <c r="DQ717" s="405"/>
      <c r="DW717" s="83"/>
      <c r="EE717" s="405"/>
      <c r="EK717" s="83"/>
      <c r="ES717" s="405"/>
      <c r="EY717" s="83"/>
      <c r="FG717" s="405"/>
      <c r="FM717" s="83"/>
      <c r="FU717" s="405"/>
      <c r="GA717" s="83"/>
      <c r="GI717" s="405"/>
      <c r="GO717" s="83"/>
      <c r="GW717" s="405"/>
      <c r="HC717" s="83"/>
      <c r="HK717" s="405"/>
      <c r="HQ717" s="83"/>
      <c r="HY717" s="405"/>
      <c r="IE717" s="83"/>
      <c r="IM717" s="405"/>
      <c r="IS717" s="83"/>
      <c r="JA717" s="405"/>
      <c r="JG717" s="83"/>
      <c r="JO717" s="405"/>
      <c r="JU717" s="83"/>
      <c r="KC717" s="405"/>
      <c r="KI717" s="83"/>
      <c r="KQ717" s="405"/>
      <c r="KW717" s="83"/>
      <c r="LE717" s="405"/>
      <c r="LK717" s="83"/>
      <c r="LS717" s="405"/>
      <c r="LY717" s="83"/>
      <c r="MG717" s="405"/>
      <c r="MM717" s="83"/>
      <c r="MU717" s="405"/>
      <c r="NA717" s="83"/>
    </row>
    <row r="718">
      <c r="A718" s="483"/>
      <c r="B718" s="380"/>
      <c r="C718" s="380"/>
      <c r="D718" s="380"/>
      <c r="E718" s="380"/>
      <c r="F718" s="380"/>
      <c r="G718" s="380"/>
      <c r="H718" s="380"/>
      <c r="I718" s="403"/>
      <c r="J718" s="380"/>
      <c r="K718" s="380"/>
      <c r="L718" s="380"/>
      <c r="M718" s="380"/>
      <c r="N718" s="380"/>
      <c r="O718" s="404"/>
      <c r="P718" s="380"/>
      <c r="Q718" s="380"/>
      <c r="R718" s="380"/>
      <c r="S718" s="380"/>
      <c r="T718" s="380"/>
      <c r="U718" s="380"/>
      <c r="V718" s="380"/>
      <c r="W718" s="403"/>
      <c r="X718" s="380"/>
      <c r="Y718" s="380"/>
      <c r="Z718" s="380"/>
      <c r="AA718" s="380"/>
      <c r="AB718" s="380"/>
      <c r="AC718" s="404"/>
      <c r="AD718" s="380"/>
      <c r="AE718" s="380"/>
      <c r="AF718" s="380"/>
      <c r="AG718" s="380"/>
      <c r="AH718" s="380"/>
      <c r="AI718" s="380"/>
      <c r="AJ718" s="380"/>
      <c r="AK718" s="403"/>
      <c r="AL718" s="380"/>
      <c r="AM718" s="380"/>
      <c r="AN718" s="380"/>
      <c r="AO718" s="380"/>
      <c r="AP718" s="380"/>
      <c r="AQ718" s="404"/>
      <c r="AR718" s="380"/>
      <c r="AS718" s="380"/>
      <c r="AT718" s="380"/>
      <c r="AU718" s="380"/>
      <c r="AV718" s="380"/>
      <c r="AW718" s="380"/>
      <c r="AX718" s="380"/>
      <c r="AY718" s="403"/>
      <c r="AZ718" s="380"/>
      <c r="BA718" s="380"/>
      <c r="BB718" s="380"/>
      <c r="BC718" s="380"/>
      <c r="BD718" s="380"/>
      <c r="BE718" s="404"/>
      <c r="BF718" s="380"/>
      <c r="BG718" s="380"/>
      <c r="BH718" s="380"/>
      <c r="BI718" s="380"/>
      <c r="BJ718" s="380"/>
      <c r="BK718" s="380"/>
      <c r="BL718" s="380"/>
      <c r="BM718" s="403"/>
      <c r="BS718" s="83"/>
      <c r="CA718" s="405"/>
      <c r="CG718" s="83"/>
      <c r="CO718" s="405"/>
      <c r="CU718" s="83"/>
      <c r="DC718" s="405"/>
      <c r="DI718" s="83"/>
      <c r="DQ718" s="405"/>
      <c r="DW718" s="83"/>
      <c r="EE718" s="405"/>
      <c r="EK718" s="83"/>
      <c r="ES718" s="405"/>
      <c r="EY718" s="83"/>
      <c r="FG718" s="405"/>
      <c r="FM718" s="83"/>
      <c r="FU718" s="405"/>
      <c r="GA718" s="83"/>
      <c r="GI718" s="405"/>
      <c r="GO718" s="83"/>
      <c r="GW718" s="405"/>
      <c r="HC718" s="83"/>
      <c r="HK718" s="405"/>
      <c r="HQ718" s="83"/>
      <c r="HY718" s="405"/>
      <c r="IE718" s="83"/>
      <c r="IM718" s="405"/>
      <c r="IS718" s="83"/>
      <c r="JA718" s="405"/>
      <c r="JG718" s="83"/>
      <c r="JO718" s="405"/>
      <c r="JU718" s="83"/>
      <c r="KC718" s="405"/>
      <c r="KI718" s="83"/>
      <c r="KQ718" s="405"/>
      <c r="KW718" s="83"/>
      <c r="LE718" s="405"/>
      <c r="LK718" s="83"/>
      <c r="LS718" s="405"/>
      <c r="LY718" s="83"/>
      <c r="MG718" s="405"/>
      <c r="MM718" s="83"/>
      <c r="MU718" s="405"/>
      <c r="NA718" s="83"/>
    </row>
    <row r="719">
      <c r="A719" s="483"/>
      <c r="B719" s="380"/>
      <c r="C719" s="380"/>
      <c r="D719" s="380"/>
      <c r="E719" s="380"/>
      <c r="F719" s="380"/>
      <c r="G719" s="380"/>
      <c r="H719" s="380"/>
      <c r="I719" s="403"/>
      <c r="J719" s="380"/>
      <c r="K719" s="380"/>
      <c r="L719" s="380"/>
      <c r="M719" s="380"/>
      <c r="N719" s="380"/>
      <c r="O719" s="404"/>
      <c r="P719" s="380"/>
      <c r="Q719" s="380"/>
      <c r="R719" s="380"/>
      <c r="S719" s="380"/>
      <c r="T719" s="380"/>
      <c r="U719" s="380"/>
      <c r="V719" s="380"/>
      <c r="W719" s="403"/>
      <c r="X719" s="380"/>
      <c r="Y719" s="380"/>
      <c r="Z719" s="380"/>
      <c r="AA719" s="380"/>
      <c r="AB719" s="380"/>
      <c r="AC719" s="404"/>
      <c r="AD719" s="380"/>
      <c r="AE719" s="380"/>
      <c r="AF719" s="380"/>
      <c r="AG719" s="380"/>
      <c r="AH719" s="380"/>
      <c r="AI719" s="380"/>
      <c r="AJ719" s="380"/>
      <c r="AK719" s="403"/>
      <c r="AL719" s="380"/>
      <c r="AM719" s="380"/>
      <c r="AN719" s="380"/>
      <c r="AO719" s="380"/>
      <c r="AP719" s="380"/>
      <c r="AQ719" s="404"/>
      <c r="AR719" s="380"/>
      <c r="AS719" s="380"/>
      <c r="AT719" s="380"/>
      <c r="AU719" s="380"/>
      <c r="AV719" s="380"/>
      <c r="AW719" s="380"/>
      <c r="AX719" s="380"/>
      <c r="AY719" s="403"/>
      <c r="AZ719" s="380"/>
      <c r="BA719" s="380"/>
      <c r="BB719" s="380"/>
      <c r="BC719" s="380"/>
      <c r="BD719" s="380"/>
      <c r="BE719" s="404"/>
      <c r="BF719" s="380"/>
      <c r="BG719" s="380"/>
      <c r="BH719" s="380"/>
      <c r="BI719" s="380"/>
      <c r="BJ719" s="380"/>
      <c r="BK719" s="380"/>
      <c r="BL719" s="380"/>
      <c r="BM719" s="403"/>
      <c r="BS719" s="83"/>
      <c r="CA719" s="405"/>
      <c r="CG719" s="83"/>
      <c r="CO719" s="405"/>
      <c r="CU719" s="83"/>
      <c r="DC719" s="405"/>
      <c r="DI719" s="83"/>
      <c r="DQ719" s="405"/>
      <c r="DW719" s="83"/>
      <c r="EE719" s="405"/>
      <c r="EK719" s="83"/>
      <c r="ES719" s="405"/>
      <c r="EY719" s="83"/>
      <c r="FG719" s="405"/>
      <c r="FM719" s="83"/>
      <c r="FU719" s="405"/>
      <c r="GA719" s="83"/>
      <c r="GI719" s="405"/>
      <c r="GO719" s="83"/>
      <c r="GW719" s="405"/>
      <c r="HC719" s="83"/>
      <c r="HK719" s="405"/>
      <c r="HQ719" s="83"/>
      <c r="HY719" s="405"/>
      <c r="IE719" s="83"/>
      <c r="IM719" s="405"/>
      <c r="IS719" s="83"/>
      <c r="JA719" s="405"/>
      <c r="JG719" s="83"/>
      <c r="JO719" s="405"/>
      <c r="JU719" s="83"/>
      <c r="KC719" s="405"/>
      <c r="KI719" s="83"/>
      <c r="KQ719" s="405"/>
      <c r="KW719" s="83"/>
      <c r="LE719" s="405"/>
      <c r="LK719" s="83"/>
      <c r="LS719" s="405"/>
      <c r="LY719" s="83"/>
      <c r="MG719" s="405"/>
      <c r="MM719" s="83"/>
      <c r="MU719" s="405"/>
      <c r="NA719" s="83"/>
    </row>
    <row r="720">
      <c r="A720" s="483"/>
      <c r="B720" s="380"/>
      <c r="C720" s="380"/>
      <c r="D720" s="380"/>
      <c r="E720" s="380"/>
      <c r="F720" s="380"/>
      <c r="G720" s="380"/>
      <c r="H720" s="380"/>
      <c r="I720" s="403"/>
      <c r="J720" s="380"/>
      <c r="K720" s="380"/>
      <c r="L720" s="380"/>
      <c r="M720" s="380"/>
      <c r="N720" s="380"/>
      <c r="O720" s="404"/>
      <c r="P720" s="380"/>
      <c r="Q720" s="380"/>
      <c r="R720" s="380"/>
      <c r="S720" s="380"/>
      <c r="T720" s="380"/>
      <c r="U720" s="380"/>
      <c r="V720" s="380"/>
      <c r="W720" s="403"/>
      <c r="X720" s="380"/>
      <c r="Y720" s="380"/>
      <c r="Z720" s="380"/>
      <c r="AA720" s="380"/>
      <c r="AB720" s="380"/>
      <c r="AC720" s="404"/>
      <c r="AD720" s="380"/>
      <c r="AE720" s="380"/>
      <c r="AF720" s="380"/>
      <c r="AG720" s="380"/>
      <c r="AH720" s="380"/>
      <c r="AI720" s="380"/>
      <c r="AJ720" s="380"/>
      <c r="AK720" s="403"/>
      <c r="AL720" s="380"/>
      <c r="AM720" s="380"/>
      <c r="AN720" s="380"/>
      <c r="AO720" s="380"/>
      <c r="AP720" s="380"/>
      <c r="AQ720" s="404"/>
      <c r="AR720" s="380"/>
      <c r="AS720" s="380"/>
      <c r="AT720" s="380"/>
      <c r="AU720" s="380"/>
      <c r="AV720" s="380"/>
      <c r="AW720" s="380"/>
      <c r="AX720" s="380"/>
      <c r="AY720" s="403"/>
      <c r="AZ720" s="380"/>
      <c r="BA720" s="380"/>
      <c r="BB720" s="380"/>
      <c r="BC720" s="380"/>
      <c r="BD720" s="380"/>
      <c r="BE720" s="404"/>
      <c r="BF720" s="380"/>
      <c r="BG720" s="380"/>
      <c r="BH720" s="380"/>
      <c r="BI720" s="380"/>
      <c r="BJ720" s="380"/>
      <c r="BK720" s="380"/>
      <c r="BL720" s="380"/>
      <c r="BM720" s="403"/>
      <c r="BS720" s="83"/>
      <c r="CA720" s="405"/>
      <c r="CG720" s="83"/>
      <c r="CO720" s="405"/>
      <c r="CU720" s="83"/>
      <c r="DC720" s="405"/>
      <c r="DI720" s="83"/>
      <c r="DQ720" s="405"/>
      <c r="DW720" s="83"/>
      <c r="EE720" s="405"/>
      <c r="EK720" s="83"/>
      <c r="ES720" s="405"/>
      <c r="EY720" s="83"/>
      <c r="FG720" s="405"/>
      <c r="FM720" s="83"/>
      <c r="FU720" s="405"/>
      <c r="GA720" s="83"/>
      <c r="GI720" s="405"/>
      <c r="GO720" s="83"/>
      <c r="GW720" s="405"/>
      <c r="HC720" s="83"/>
      <c r="HK720" s="405"/>
      <c r="HQ720" s="83"/>
      <c r="HY720" s="405"/>
      <c r="IE720" s="83"/>
      <c r="IM720" s="405"/>
      <c r="IS720" s="83"/>
      <c r="JA720" s="405"/>
      <c r="JG720" s="83"/>
      <c r="JO720" s="405"/>
      <c r="JU720" s="83"/>
      <c r="KC720" s="405"/>
      <c r="KI720" s="83"/>
      <c r="KQ720" s="405"/>
      <c r="KW720" s="83"/>
      <c r="LE720" s="405"/>
      <c r="LK720" s="83"/>
      <c r="LS720" s="405"/>
      <c r="LY720" s="83"/>
      <c r="MG720" s="405"/>
      <c r="MM720" s="83"/>
      <c r="MU720" s="405"/>
      <c r="NA720" s="83"/>
    </row>
    <row r="721">
      <c r="A721" s="483"/>
      <c r="B721" s="380"/>
      <c r="C721" s="380"/>
      <c r="D721" s="380"/>
      <c r="E721" s="380"/>
      <c r="F721" s="380"/>
      <c r="G721" s="380"/>
      <c r="H721" s="380"/>
      <c r="I721" s="403"/>
      <c r="J721" s="380"/>
      <c r="K721" s="380"/>
      <c r="L721" s="380"/>
      <c r="M721" s="380"/>
      <c r="N721" s="380"/>
      <c r="O721" s="404"/>
      <c r="P721" s="380"/>
      <c r="Q721" s="380"/>
      <c r="R721" s="380"/>
      <c r="S721" s="380"/>
      <c r="T721" s="380"/>
      <c r="U721" s="380"/>
      <c r="V721" s="380"/>
      <c r="W721" s="403"/>
      <c r="X721" s="380"/>
      <c r="Y721" s="380"/>
      <c r="Z721" s="380"/>
      <c r="AA721" s="380"/>
      <c r="AB721" s="380"/>
      <c r="AC721" s="404"/>
      <c r="AD721" s="380"/>
      <c r="AE721" s="380"/>
      <c r="AF721" s="380"/>
      <c r="AG721" s="380"/>
      <c r="AH721" s="380"/>
      <c r="AI721" s="380"/>
      <c r="AJ721" s="380"/>
      <c r="AK721" s="403"/>
      <c r="AL721" s="380"/>
      <c r="AM721" s="380"/>
      <c r="AN721" s="380"/>
      <c r="AO721" s="380"/>
      <c r="AP721" s="380"/>
      <c r="AQ721" s="404"/>
      <c r="AR721" s="380"/>
      <c r="AS721" s="380"/>
      <c r="AT721" s="380"/>
      <c r="AU721" s="380"/>
      <c r="AV721" s="380"/>
      <c r="AW721" s="380"/>
      <c r="AX721" s="380"/>
      <c r="AY721" s="403"/>
      <c r="AZ721" s="380"/>
      <c r="BA721" s="380"/>
      <c r="BB721" s="380"/>
      <c r="BC721" s="380"/>
      <c r="BD721" s="380"/>
      <c r="BE721" s="404"/>
      <c r="BF721" s="380"/>
      <c r="BG721" s="380"/>
      <c r="BH721" s="380"/>
      <c r="BI721" s="380"/>
      <c r="BJ721" s="380"/>
      <c r="BK721" s="380"/>
      <c r="BL721" s="380"/>
      <c r="BM721" s="403"/>
      <c r="BS721" s="83"/>
      <c r="CA721" s="405"/>
      <c r="CG721" s="83"/>
      <c r="CO721" s="405"/>
      <c r="CU721" s="83"/>
      <c r="DC721" s="405"/>
      <c r="DI721" s="83"/>
      <c r="DQ721" s="405"/>
      <c r="DW721" s="83"/>
      <c r="EE721" s="405"/>
      <c r="EK721" s="83"/>
      <c r="ES721" s="405"/>
      <c r="EY721" s="83"/>
      <c r="FG721" s="405"/>
      <c r="FM721" s="83"/>
      <c r="FU721" s="405"/>
      <c r="GA721" s="83"/>
      <c r="GI721" s="405"/>
      <c r="GO721" s="83"/>
      <c r="GW721" s="405"/>
      <c r="HC721" s="83"/>
      <c r="HK721" s="405"/>
      <c r="HQ721" s="83"/>
      <c r="HY721" s="405"/>
      <c r="IE721" s="83"/>
      <c r="IM721" s="405"/>
      <c r="IS721" s="83"/>
      <c r="JA721" s="405"/>
      <c r="JG721" s="83"/>
      <c r="JO721" s="405"/>
      <c r="JU721" s="83"/>
      <c r="KC721" s="405"/>
      <c r="KI721" s="83"/>
      <c r="KQ721" s="405"/>
      <c r="KW721" s="83"/>
      <c r="LE721" s="405"/>
      <c r="LK721" s="83"/>
      <c r="LS721" s="405"/>
      <c r="LY721" s="83"/>
      <c r="MG721" s="405"/>
      <c r="MM721" s="83"/>
      <c r="MU721" s="405"/>
      <c r="NA721" s="83"/>
    </row>
    <row r="722">
      <c r="A722" s="483"/>
      <c r="B722" s="380"/>
      <c r="C722" s="380"/>
      <c r="D722" s="380"/>
      <c r="E722" s="380"/>
      <c r="F722" s="380"/>
      <c r="G722" s="380"/>
      <c r="H722" s="380"/>
      <c r="I722" s="403"/>
      <c r="J722" s="380"/>
      <c r="K722" s="380"/>
      <c r="L722" s="380"/>
      <c r="M722" s="380"/>
      <c r="N722" s="380"/>
      <c r="O722" s="404"/>
      <c r="P722" s="380"/>
      <c r="Q722" s="380"/>
      <c r="R722" s="380"/>
      <c r="S722" s="380"/>
      <c r="T722" s="380"/>
      <c r="U722" s="380"/>
      <c r="V722" s="380"/>
      <c r="W722" s="403"/>
      <c r="X722" s="380"/>
      <c r="Y722" s="380"/>
      <c r="Z722" s="380"/>
      <c r="AA722" s="380"/>
      <c r="AB722" s="380"/>
      <c r="AC722" s="404"/>
      <c r="AD722" s="380"/>
      <c r="AE722" s="380"/>
      <c r="AF722" s="380"/>
      <c r="AG722" s="380"/>
      <c r="AH722" s="380"/>
      <c r="AI722" s="380"/>
      <c r="AJ722" s="380"/>
      <c r="AK722" s="403"/>
      <c r="AL722" s="380"/>
      <c r="AM722" s="380"/>
      <c r="AN722" s="380"/>
      <c r="AO722" s="380"/>
      <c r="AP722" s="380"/>
      <c r="AQ722" s="404"/>
      <c r="AR722" s="380"/>
      <c r="AS722" s="380"/>
      <c r="AT722" s="380"/>
      <c r="AU722" s="380"/>
      <c r="AV722" s="380"/>
      <c r="AW722" s="380"/>
      <c r="AX722" s="380"/>
      <c r="AY722" s="403"/>
      <c r="AZ722" s="380"/>
      <c r="BA722" s="380"/>
      <c r="BB722" s="380"/>
      <c r="BC722" s="380"/>
      <c r="BD722" s="380"/>
      <c r="BE722" s="404"/>
      <c r="BF722" s="380"/>
      <c r="BG722" s="380"/>
      <c r="BH722" s="380"/>
      <c r="BI722" s="380"/>
      <c r="BJ722" s="380"/>
      <c r="BK722" s="380"/>
      <c r="BL722" s="380"/>
      <c r="BM722" s="403"/>
      <c r="BS722" s="83"/>
      <c r="CA722" s="405"/>
      <c r="CG722" s="83"/>
      <c r="CO722" s="405"/>
      <c r="CU722" s="83"/>
      <c r="DC722" s="405"/>
      <c r="DI722" s="83"/>
      <c r="DQ722" s="405"/>
      <c r="DW722" s="83"/>
      <c r="EE722" s="405"/>
      <c r="EK722" s="83"/>
      <c r="ES722" s="405"/>
      <c r="EY722" s="83"/>
      <c r="FG722" s="405"/>
      <c r="FM722" s="83"/>
      <c r="FU722" s="405"/>
      <c r="GA722" s="83"/>
      <c r="GI722" s="405"/>
      <c r="GO722" s="83"/>
      <c r="GW722" s="405"/>
      <c r="HC722" s="83"/>
      <c r="HK722" s="405"/>
      <c r="HQ722" s="83"/>
      <c r="HY722" s="405"/>
      <c r="IE722" s="83"/>
      <c r="IM722" s="405"/>
      <c r="IS722" s="83"/>
      <c r="JA722" s="405"/>
      <c r="JG722" s="83"/>
      <c r="JO722" s="405"/>
      <c r="JU722" s="83"/>
      <c r="KC722" s="405"/>
      <c r="KI722" s="83"/>
      <c r="KQ722" s="405"/>
      <c r="KW722" s="83"/>
      <c r="LE722" s="405"/>
      <c r="LK722" s="83"/>
      <c r="LS722" s="405"/>
      <c r="LY722" s="83"/>
      <c r="MG722" s="405"/>
      <c r="MM722" s="83"/>
      <c r="MU722" s="405"/>
      <c r="NA722" s="83"/>
    </row>
    <row r="723">
      <c r="A723" s="483"/>
      <c r="B723" s="380"/>
      <c r="C723" s="380"/>
      <c r="D723" s="380"/>
      <c r="E723" s="380"/>
      <c r="F723" s="380"/>
      <c r="G723" s="380"/>
      <c r="H723" s="380"/>
      <c r="I723" s="403"/>
      <c r="J723" s="380"/>
      <c r="K723" s="380"/>
      <c r="L723" s="380"/>
      <c r="M723" s="380"/>
      <c r="N723" s="380"/>
      <c r="O723" s="404"/>
      <c r="P723" s="380"/>
      <c r="Q723" s="380"/>
      <c r="R723" s="380"/>
      <c r="S723" s="380"/>
      <c r="T723" s="380"/>
      <c r="U723" s="380"/>
      <c r="V723" s="380"/>
      <c r="W723" s="403"/>
      <c r="X723" s="380"/>
      <c r="Y723" s="380"/>
      <c r="Z723" s="380"/>
      <c r="AA723" s="380"/>
      <c r="AB723" s="380"/>
      <c r="AC723" s="404"/>
      <c r="AD723" s="380"/>
      <c r="AE723" s="380"/>
      <c r="AF723" s="380"/>
      <c r="AG723" s="380"/>
      <c r="AH723" s="380"/>
      <c r="AI723" s="380"/>
      <c r="AJ723" s="380"/>
      <c r="AK723" s="403"/>
      <c r="AL723" s="380"/>
      <c r="AM723" s="380"/>
      <c r="AN723" s="380"/>
      <c r="AO723" s="380"/>
      <c r="AP723" s="380"/>
      <c r="AQ723" s="404"/>
      <c r="AR723" s="380"/>
      <c r="AS723" s="380"/>
      <c r="AT723" s="380"/>
      <c r="AU723" s="380"/>
      <c r="AV723" s="380"/>
      <c r="AW723" s="380"/>
      <c r="AX723" s="380"/>
      <c r="AY723" s="403"/>
      <c r="AZ723" s="380"/>
      <c r="BA723" s="380"/>
      <c r="BB723" s="380"/>
      <c r="BC723" s="380"/>
      <c r="BD723" s="380"/>
      <c r="BE723" s="404"/>
      <c r="BF723" s="380"/>
      <c r="BG723" s="380"/>
      <c r="BH723" s="380"/>
      <c r="BI723" s="380"/>
      <c r="BJ723" s="380"/>
      <c r="BK723" s="380"/>
      <c r="BL723" s="380"/>
      <c r="BM723" s="403"/>
      <c r="BS723" s="83"/>
      <c r="CA723" s="405"/>
      <c r="CG723" s="83"/>
      <c r="CO723" s="405"/>
      <c r="CU723" s="83"/>
      <c r="DC723" s="405"/>
      <c r="DI723" s="83"/>
      <c r="DQ723" s="405"/>
      <c r="DW723" s="83"/>
      <c r="EE723" s="405"/>
      <c r="EK723" s="83"/>
      <c r="ES723" s="405"/>
      <c r="EY723" s="83"/>
      <c r="FG723" s="405"/>
      <c r="FM723" s="83"/>
      <c r="FU723" s="405"/>
      <c r="GA723" s="83"/>
      <c r="GI723" s="405"/>
      <c r="GO723" s="83"/>
      <c r="GW723" s="405"/>
      <c r="HC723" s="83"/>
      <c r="HK723" s="405"/>
      <c r="HQ723" s="83"/>
      <c r="HY723" s="405"/>
      <c r="IE723" s="83"/>
      <c r="IM723" s="405"/>
      <c r="IS723" s="83"/>
      <c r="JA723" s="405"/>
      <c r="JG723" s="83"/>
      <c r="JO723" s="405"/>
      <c r="JU723" s="83"/>
      <c r="KC723" s="405"/>
      <c r="KI723" s="83"/>
      <c r="KQ723" s="405"/>
      <c r="KW723" s="83"/>
      <c r="LE723" s="405"/>
      <c r="LK723" s="83"/>
      <c r="LS723" s="405"/>
      <c r="LY723" s="83"/>
      <c r="MG723" s="405"/>
      <c r="MM723" s="83"/>
      <c r="MU723" s="405"/>
      <c r="NA723" s="83"/>
    </row>
    <row r="724">
      <c r="A724" s="483"/>
      <c r="B724" s="380"/>
      <c r="C724" s="380"/>
      <c r="D724" s="380"/>
      <c r="E724" s="380"/>
      <c r="F724" s="380"/>
      <c r="G724" s="380"/>
      <c r="H724" s="380"/>
      <c r="I724" s="403"/>
      <c r="J724" s="380"/>
      <c r="K724" s="380"/>
      <c r="L724" s="380"/>
      <c r="M724" s="380"/>
      <c r="N724" s="380"/>
      <c r="O724" s="404"/>
      <c r="P724" s="380"/>
      <c r="Q724" s="380"/>
      <c r="R724" s="380"/>
      <c r="S724" s="380"/>
      <c r="T724" s="380"/>
      <c r="U724" s="380"/>
      <c r="V724" s="380"/>
      <c r="W724" s="403"/>
      <c r="X724" s="380"/>
      <c r="Y724" s="380"/>
      <c r="Z724" s="380"/>
      <c r="AA724" s="380"/>
      <c r="AB724" s="380"/>
      <c r="AC724" s="404"/>
      <c r="AD724" s="380"/>
      <c r="AE724" s="380"/>
      <c r="AF724" s="380"/>
      <c r="AG724" s="380"/>
      <c r="AH724" s="380"/>
      <c r="AI724" s="380"/>
      <c r="AJ724" s="380"/>
      <c r="AK724" s="403"/>
      <c r="AL724" s="380"/>
      <c r="AM724" s="380"/>
      <c r="AN724" s="380"/>
      <c r="AO724" s="380"/>
      <c r="AP724" s="380"/>
      <c r="AQ724" s="404"/>
      <c r="AR724" s="380"/>
      <c r="AS724" s="380"/>
      <c r="AT724" s="380"/>
      <c r="AU724" s="380"/>
      <c r="AV724" s="380"/>
      <c r="AW724" s="380"/>
      <c r="AX724" s="380"/>
      <c r="AY724" s="403"/>
      <c r="AZ724" s="380"/>
      <c r="BA724" s="380"/>
      <c r="BB724" s="380"/>
      <c r="BC724" s="380"/>
      <c r="BD724" s="380"/>
      <c r="BE724" s="404"/>
      <c r="BF724" s="380"/>
      <c r="BG724" s="380"/>
      <c r="BH724" s="380"/>
      <c r="BI724" s="380"/>
      <c r="BJ724" s="380"/>
      <c r="BK724" s="380"/>
      <c r="BL724" s="380"/>
      <c r="BM724" s="403"/>
      <c r="BS724" s="83"/>
      <c r="CA724" s="405"/>
      <c r="CG724" s="83"/>
      <c r="CO724" s="405"/>
      <c r="CU724" s="83"/>
      <c r="DC724" s="405"/>
      <c r="DI724" s="83"/>
      <c r="DQ724" s="405"/>
      <c r="DW724" s="83"/>
      <c r="EE724" s="405"/>
      <c r="EK724" s="83"/>
      <c r="ES724" s="405"/>
      <c r="EY724" s="83"/>
      <c r="FG724" s="405"/>
      <c r="FM724" s="83"/>
      <c r="FU724" s="405"/>
      <c r="GA724" s="83"/>
      <c r="GI724" s="405"/>
      <c r="GO724" s="83"/>
      <c r="GW724" s="405"/>
      <c r="HC724" s="83"/>
      <c r="HK724" s="405"/>
      <c r="HQ724" s="83"/>
      <c r="HY724" s="405"/>
      <c r="IE724" s="83"/>
      <c r="IM724" s="405"/>
      <c r="IS724" s="83"/>
      <c r="JA724" s="405"/>
      <c r="JG724" s="83"/>
      <c r="JO724" s="405"/>
      <c r="JU724" s="83"/>
      <c r="KC724" s="405"/>
      <c r="KI724" s="83"/>
      <c r="KQ724" s="405"/>
      <c r="KW724" s="83"/>
      <c r="LE724" s="405"/>
      <c r="LK724" s="83"/>
      <c r="LS724" s="405"/>
      <c r="LY724" s="83"/>
      <c r="MG724" s="405"/>
      <c r="MM724" s="83"/>
      <c r="MU724" s="405"/>
      <c r="NA724" s="83"/>
    </row>
    <row r="725">
      <c r="A725" s="483"/>
      <c r="B725" s="380"/>
      <c r="C725" s="380"/>
      <c r="D725" s="380"/>
      <c r="E725" s="380"/>
      <c r="F725" s="380"/>
      <c r="G725" s="380"/>
      <c r="H725" s="380"/>
      <c r="I725" s="403"/>
      <c r="J725" s="380"/>
      <c r="K725" s="380"/>
      <c r="L725" s="380"/>
      <c r="M725" s="380"/>
      <c r="N725" s="380"/>
      <c r="O725" s="404"/>
      <c r="P725" s="380"/>
      <c r="Q725" s="380"/>
      <c r="R725" s="380"/>
      <c r="S725" s="380"/>
      <c r="T725" s="380"/>
      <c r="U725" s="380"/>
      <c r="V725" s="380"/>
      <c r="W725" s="403"/>
      <c r="X725" s="380"/>
      <c r="Y725" s="380"/>
      <c r="Z725" s="380"/>
      <c r="AA725" s="380"/>
      <c r="AB725" s="380"/>
      <c r="AC725" s="404"/>
      <c r="AD725" s="380"/>
      <c r="AE725" s="380"/>
      <c r="AF725" s="380"/>
      <c r="AG725" s="380"/>
      <c r="AH725" s="380"/>
      <c r="AI725" s="380"/>
      <c r="AJ725" s="380"/>
      <c r="AK725" s="403"/>
      <c r="AL725" s="380"/>
      <c r="AM725" s="380"/>
      <c r="AN725" s="380"/>
      <c r="AO725" s="380"/>
      <c r="AP725" s="380"/>
      <c r="AQ725" s="404"/>
      <c r="AR725" s="380"/>
      <c r="AS725" s="380"/>
      <c r="AT725" s="380"/>
      <c r="AU725" s="380"/>
      <c r="AV725" s="380"/>
      <c r="AW725" s="380"/>
      <c r="AX725" s="380"/>
      <c r="AY725" s="403"/>
      <c r="AZ725" s="380"/>
      <c r="BA725" s="380"/>
      <c r="BB725" s="380"/>
      <c r="BC725" s="380"/>
      <c r="BD725" s="380"/>
      <c r="BE725" s="404"/>
      <c r="BF725" s="380"/>
      <c r="BG725" s="380"/>
      <c r="BH725" s="380"/>
      <c r="BI725" s="380"/>
      <c r="BJ725" s="380"/>
      <c r="BK725" s="380"/>
      <c r="BL725" s="380"/>
      <c r="BM725" s="403"/>
      <c r="BS725" s="83"/>
      <c r="CA725" s="405"/>
      <c r="CG725" s="83"/>
      <c r="CO725" s="405"/>
      <c r="CU725" s="83"/>
      <c r="DC725" s="405"/>
      <c r="DI725" s="83"/>
      <c r="DQ725" s="405"/>
      <c r="DW725" s="83"/>
      <c r="EE725" s="405"/>
      <c r="EK725" s="83"/>
      <c r="ES725" s="405"/>
      <c r="EY725" s="83"/>
      <c r="FG725" s="405"/>
      <c r="FM725" s="83"/>
      <c r="FU725" s="405"/>
      <c r="GA725" s="83"/>
      <c r="GI725" s="405"/>
      <c r="GO725" s="83"/>
      <c r="GW725" s="405"/>
      <c r="HC725" s="83"/>
      <c r="HK725" s="405"/>
      <c r="HQ725" s="83"/>
      <c r="HY725" s="405"/>
      <c r="IE725" s="83"/>
      <c r="IM725" s="405"/>
      <c r="IS725" s="83"/>
      <c r="JA725" s="405"/>
      <c r="JG725" s="83"/>
      <c r="JO725" s="405"/>
      <c r="JU725" s="83"/>
      <c r="KC725" s="405"/>
      <c r="KI725" s="83"/>
      <c r="KQ725" s="405"/>
      <c r="KW725" s="83"/>
      <c r="LE725" s="405"/>
      <c r="LK725" s="83"/>
      <c r="LS725" s="405"/>
      <c r="LY725" s="83"/>
      <c r="MG725" s="405"/>
      <c r="MM725" s="83"/>
      <c r="MU725" s="405"/>
      <c r="NA725" s="83"/>
    </row>
    <row r="726">
      <c r="A726" s="483"/>
      <c r="B726" s="380"/>
      <c r="C726" s="380"/>
      <c r="D726" s="380"/>
      <c r="E726" s="380"/>
      <c r="F726" s="380"/>
      <c r="G726" s="380"/>
      <c r="H726" s="380"/>
      <c r="I726" s="403"/>
      <c r="J726" s="380"/>
      <c r="K726" s="380"/>
      <c r="L726" s="380"/>
      <c r="M726" s="380"/>
      <c r="N726" s="380"/>
      <c r="O726" s="404"/>
      <c r="P726" s="380"/>
      <c r="Q726" s="380"/>
      <c r="R726" s="380"/>
      <c r="S726" s="380"/>
      <c r="T726" s="380"/>
      <c r="U726" s="380"/>
      <c r="V726" s="380"/>
      <c r="W726" s="403"/>
      <c r="X726" s="380"/>
      <c r="Y726" s="380"/>
      <c r="Z726" s="380"/>
      <c r="AA726" s="380"/>
      <c r="AB726" s="380"/>
      <c r="AC726" s="404"/>
      <c r="AD726" s="380"/>
      <c r="AE726" s="380"/>
      <c r="AF726" s="380"/>
      <c r="AG726" s="380"/>
      <c r="AH726" s="380"/>
      <c r="AI726" s="380"/>
      <c r="AJ726" s="380"/>
      <c r="AK726" s="403"/>
      <c r="AL726" s="380"/>
      <c r="AM726" s="380"/>
      <c r="AN726" s="380"/>
      <c r="AO726" s="380"/>
      <c r="AP726" s="380"/>
      <c r="AQ726" s="404"/>
      <c r="AR726" s="380"/>
      <c r="AS726" s="380"/>
      <c r="AT726" s="380"/>
      <c r="AU726" s="380"/>
      <c r="AV726" s="380"/>
      <c r="AW726" s="380"/>
      <c r="AX726" s="380"/>
      <c r="AY726" s="403"/>
      <c r="AZ726" s="380"/>
      <c r="BA726" s="380"/>
      <c r="BB726" s="380"/>
      <c r="BC726" s="380"/>
      <c r="BD726" s="380"/>
      <c r="BE726" s="404"/>
      <c r="BF726" s="380"/>
      <c r="BG726" s="380"/>
      <c r="BH726" s="380"/>
      <c r="BI726" s="380"/>
      <c r="BJ726" s="380"/>
      <c r="BK726" s="380"/>
      <c r="BL726" s="380"/>
      <c r="BM726" s="403"/>
      <c r="BS726" s="83"/>
      <c r="CA726" s="405"/>
      <c r="CG726" s="83"/>
      <c r="CO726" s="405"/>
      <c r="CU726" s="83"/>
      <c r="DC726" s="405"/>
      <c r="DI726" s="83"/>
      <c r="DQ726" s="405"/>
      <c r="DW726" s="83"/>
      <c r="EE726" s="405"/>
      <c r="EK726" s="83"/>
      <c r="ES726" s="405"/>
      <c r="EY726" s="83"/>
      <c r="FG726" s="405"/>
      <c r="FM726" s="83"/>
      <c r="FU726" s="405"/>
      <c r="GA726" s="83"/>
      <c r="GI726" s="405"/>
      <c r="GO726" s="83"/>
      <c r="GW726" s="405"/>
      <c r="HC726" s="83"/>
      <c r="HK726" s="405"/>
      <c r="HQ726" s="83"/>
      <c r="HY726" s="405"/>
      <c r="IE726" s="83"/>
      <c r="IM726" s="405"/>
      <c r="IS726" s="83"/>
      <c r="JA726" s="405"/>
      <c r="JG726" s="83"/>
      <c r="JO726" s="405"/>
      <c r="JU726" s="83"/>
      <c r="KC726" s="405"/>
      <c r="KI726" s="83"/>
      <c r="KQ726" s="405"/>
      <c r="KW726" s="83"/>
      <c r="LE726" s="405"/>
      <c r="LK726" s="83"/>
      <c r="LS726" s="405"/>
      <c r="LY726" s="83"/>
      <c r="MG726" s="405"/>
      <c r="MM726" s="83"/>
      <c r="MU726" s="405"/>
      <c r="NA726" s="83"/>
    </row>
    <row r="727">
      <c r="A727" s="483"/>
      <c r="B727" s="380"/>
      <c r="C727" s="380"/>
      <c r="D727" s="380"/>
      <c r="E727" s="380"/>
      <c r="F727" s="380"/>
      <c r="G727" s="380"/>
      <c r="H727" s="380"/>
      <c r="I727" s="403"/>
      <c r="J727" s="380"/>
      <c r="K727" s="380"/>
      <c r="L727" s="380"/>
      <c r="M727" s="380"/>
      <c r="N727" s="380"/>
      <c r="O727" s="404"/>
      <c r="P727" s="380"/>
      <c r="Q727" s="380"/>
      <c r="R727" s="380"/>
      <c r="S727" s="380"/>
      <c r="T727" s="380"/>
      <c r="U727" s="380"/>
      <c r="V727" s="380"/>
      <c r="W727" s="403"/>
      <c r="X727" s="380"/>
      <c r="Y727" s="380"/>
      <c r="Z727" s="380"/>
      <c r="AA727" s="380"/>
      <c r="AB727" s="380"/>
      <c r="AC727" s="404"/>
      <c r="AD727" s="380"/>
      <c r="AE727" s="380"/>
      <c r="AF727" s="380"/>
      <c r="AG727" s="380"/>
      <c r="AH727" s="380"/>
      <c r="AI727" s="380"/>
      <c r="AJ727" s="380"/>
      <c r="AK727" s="403"/>
      <c r="AL727" s="380"/>
      <c r="AM727" s="380"/>
      <c r="AN727" s="380"/>
      <c r="AO727" s="380"/>
      <c r="AP727" s="380"/>
      <c r="AQ727" s="404"/>
      <c r="AR727" s="380"/>
      <c r="AS727" s="380"/>
      <c r="AT727" s="380"/>
      <c r="AU727" s="380"/>
      <c r="AV727" s="380"/>
      <c r="AW727" s="380"/>
      <c r="AX727" s="380"/>
      <c r="AY727" s="403"/>
      <c r="AZ727" s="380"/>
      <c r="BA727" s="380"/>
      <c r="BB727" s="380"/>
      <c r="BC727" s="380"/>
      <c r="BD727" s="380"/>
      <c r="BE727" s="404"/>
      <c r="BF727" s="380"/>
      <c r="BG727" s="380"/>
      <c r="BH727" s="380"/>
      <c r="BI727" s="380"/>
      <c r="BJ727" s="380"/>
      <c r="BK727" s="380"/>
      <c r="BL727" s="380"/>
      <c r="BM727" s="403"/>
      <c r="BS727" s="83"/>
      <c r="CA727" s="405"/>
      <c r="CG727" s="83"/>
      <c r="CO727" s="405"/>
      <c r="CU727" s="83"/>
      <c r="DC727" s="405"/>
      <c r="DI727" s="83"/>
      <c r="DQ727" s="405"/>
      <c r="DW727" s="83"/>
      <c r="EE727" s="405"/>
      <c r="EK727" s="83"/>
      <c r="ES727" s="405"/>
      <c r="EY727" s="83"/>
      <c r="FG727" s="405"/>
      <c r="FM727" s="83"/>
      <c r="FU727" s="405"/>
      <c r="GA727" s="83"/>
      <c r="GI727" s="405"/>
      <c r="GO727" s="83"/>
      <c r="GW727" s="405"/>
      <c r="HC727" s="83"/>
      <c r="HK727" s="405"/>
      <c r="HQ727" s="83"/>
      <c r="HY727" s="405"/>
      <c r="IE727" s="83"/>
      <c r="IM727" s="405"/>
      <c r="IS727" s="83"/>
      <c r="JA727" s="405"/>
      <c r="JG727" s="83"/>
      <c r="JO727" s="405"/>
      <c r="JU727" s="83"/>
      <c r="KC727" s="405"/>
      <c r="KI727" s="83"/>
      <c r="KQ727" s="405"/>
      <c r="KW727" s="83"/>
      <c r="LE727" s="405"/>
      <c r="LK727" s="83"/>
      <c r="LS727" s="405"/>
      <c r="LY727" s="83"/>
      <c r="MG727" s="405"/>
      <c r="MM727" s="83"/>
      <c r="MU727" s="405"/>
      <c r="NA727" s="83"/>
    </row>
    <row r="728">
      <c r="A728" s="483"/>
      <c r="B728" s="380"/>
      <c r="C728" s="380"/>
      <c r="D728" s="380"/>
      <c r="E728" s="380"/>
      <c r="F728" s="380"/>
      <c r="G728" s="380"/>
      <c r="H728" s="380"/>
      <c r="I728" s="403"/>
      <c r="J728" s="380"/>
      <c r="K728" s="380"/>
      <c r="L728" s="380"/>
      <c r="M728" s="380"/>
      <c r="N728" s="380"/>
      <c r="O728" s="404"/>
      <c r="P728" s="380"/>
      <c r="Q728" s="380"/>
      <c r="R728" s="380"/>
      <c r="S728" s="380"/>
      <c r="T728" s="380"/>
      <c r="U728" s="380"/>
      <c r="V728" s="380"/>
      <c r="W728" s="403"/>
      <c r="X728" s="380"/>
      <c r="Y728" s="380"/>
      <c r="Z728" s="380"/>
      <c r="AA728" s="380"/>
      <c r="AB728" s="380"/>
      <c r="AC728" s="404"/>
      <c r="AD728" s="380"/>
      <c r="AE728" s="380"/>
      <c r="AF728" s="380"/>
      <c r="AG728" s="380"/>
      <c r="AH728" s="380"/>
      <c r="AI728" s="380"/>
      <c r="AJ728" s="380"/>
      <c r="AK728" s="403"/>
      <c r="AL728" s="380"/>
      <c r="AM728" s="380"/>
      <c r="AN728" s="380"/>
      <c r="AO728" s="380"/>
      <c r="AP728" s="380"/>
      <c r="AQ728" s="404"/>
      <c r="AR728" s="380"/>
      <c r="AS728" s="380"/>
      <c r="AT728" s="380"/>
      <c r="AU728" s="380"/>
      <c r="AV728" s="380"/>
      <c r="AW728" s="380"/>
      <c r="AX728" s="380"/>
      <c r="AY728" s="403"/>
      <c r="AZ728" s="380"/>
      <c r="BA728" s="380"/>
      <c r="BB728" s="380"/>
      <c r="BC728" s="380"/>
      <c r="BD728" s="380"/>
      <c r="BE728" s="404"/>
      <c r="BF728" s="380"/>
      <c r="BG728" s="380"/>
      <c r="BH728" s="380"/>
      <c r="BI728" s="380"/>
      <c r="BJ728" s="380"/>
      <c r="BK728" s="380"/>
      <c r="BL728" s="380"/>
      <c r="BM728" s="403"/>
      <c r="BS728" s="83"/>
      <c r="CA728" s="405"/>
      <c r="CG728" s="83"/>
      <c r="CO728" s="405"/>
      <c r="CU728" s="83"/>
      <c r="DC728" s="405"/>
      <c r="DI728" s="83"/>
      <c r="DQ728" s="405"/>
      <c r="DW728" s="83"/>
      <c r="EE728" s="405"/>
      <c r="EK728" s="83"/>
      <c r="ES728" s="405"/>
      <c r="EY728" s="83"/>
      <c r="FG728" s="405"/>
      <c r="FM728" s="83"/>
      <c r="FU728" s="405"/>
      <c r="GA728" s="83"/>
      <c r="GI728" s="405"/>
      <c r="GO728" s="83"/>
      <c r="GW728" s="405"/>
      <c r="HC728" s="83"/>
      <c r="HK728" s="405"/>
      <c r="HQ728" s="83"/>
      <c r="HY728" s="405"/>
      <c r="IE728" s="83"/>
      <c r="IM728" s="405"/>
      <c r="IS728" s="83"/>
      <c r="JA728" s="405"/>
      <c r="JG728" s="83"/>
      <c r="JO728" s="405"/>
      <c r="JU728" s="83"/>
      <c r="KC728" s="405"/>
      <c r="KI728" s="83"/>
      <c r="KQ728" s="405"/>
      <c r="KW728" s="83"/>
      <c r="LE728" s="405"/>
      <c r="LK728" s="83"/>
      <c r="LS728" s="405"/>
      <c r="LY728" s="83"/>
      <c r="MG728" s="405"/>
      <c r="MM728" s="83"/>
      <c r="MU728" s="405"/>
      <c r="NA728" s="83"/>
    </row>
    <row r="729">
      <c r="A729" s="483"/>
      <c r="B729" s="380"/>
      <c r="C729" s="380"/>
      <c r="D729" s="380"/>
      <c r="E729" s="380"/>
      <c r="F729" s="380"/>
      <c r="G729" s="380"/>
      <c r="H729" s="380"/>
      <c r="I729" s="403"/>
      <c r="J729" s="380"/>
      <c r="K729" s="380"/>
      <c r="L729" s="380"/>
      <c r="M729" s="380"/>
      <c r="N729" s="380"/>
      <c r="O729" s="404"/>
      <c r="P729" s="380"/>
      <c r="Q729" s="380"/>
      <c r="R729" s="380"/>
      <c r="S729" s="380"/>
      <c r="T729" s="380"/>
      <c r="U729" s="380"/>
      <c r="V729" s="380"/>
      <c r="W729" s="403"/>
      <c r="X729" s="380"/>
      <c r="Y729" s="380"/>
      <c r="Z729" s="380"/>
      <c r="AA729" s="380"/>
      <c r="AB729" s="380"/>
      <c r="AC729" s="404"/>
      <c r="AD729" s="380"/>
      <c r="AE729" s="380"/>
      <c r="AF729" s="380"/>
      <c r="AG729" s="380"/>
      <c r="AH729" s="380"/>
      <c r="AI729" s="380"/>
      <c r="AJ729" s="380"/>
      <c r="AK729" s="403"/>
      <c r="AL729" s="380"/>
      <c r="AM729" s="380"/>
      <c r="AN729" s="380"/>
      <c r="AO729" s="380"/>
      <c r="AP729" s="380"/>
      <c r="AQ729" s="404"/>
      <c r="AR729" s="380"/>
      <c r="AS729" s="380"/>
      <c r="AT729" s="380"/>
      <c r="AU729" s="380"/>
      <c r="AV729" s="380"/>
      <c r="AW729" s="380"/>
      <c r="AX729" s="380"/>
      <c r="AY729" s="403"/>
      <c r="AZ729" s="380"/>
      <c r="BA729" s="380"/>
      <c r="BB729" s="380"/>
      <c r="BC729" s="380"/>
      <c r="BD729" s="380"/>
      <c r="BE729" s="404"/>
      <c r="BF729" s="380"/>
      <c r="BG729" s="380"/>
      <c r="BH729" s="380"/>
      <c r="BI729" s="380"/>
      <c r="BJ729" s="380"/>
      <c r="BK729" s="380"/>
      <c r="BL729" s="380"/>
      <c r="BM729" s="403"/>
      <c r="BS729" s="83"/>
      <c r="CA729" s="405"/>
      <c r="CG729" s="83"/>
      <c r="CO729" s="405"/>
      <c r="CU729" s="83"/>
      <c r="DC729" s="405"/>
      <c r="DI729" s="83"/>
      <c r="DQ729" s="405"/>
      <c r="DW729" s="83"/>
      <c r="EE729" s="405"/>
      <c r="EK729" s="83"/>
      <c r="ES729" s="405"/>
      <c r="EY729" s="83"/>
      <c r="FG729" s="405"/>
      <c r="FM729" s="83"/>
      <c r="FU729" s="405"/>
      <c r="GA729" s="83"/>
      <c r="GI729" s="405"/>
      <c r="GO729" s="83"/>
      <c r="GW729" s="405"/>
      <c r="HC729" s="83"/>
      <c r="HK729" s="405"/>
      <c r="HQ729" s="83"/>
      <c r="HY729" s="405"/>
      <c r="IE729" s="83"/>
      <c r="IM729" s="405"/>
      <c r="IS729" s="83"/>
      <c r="JA729" s="405"/>
      <c r="JG729" s="83"/>
      <c r="JO729" s="405"/>
      <c r="JU729" s="83"/>
      <c r="KC729" s="405"/>
      <c r="KI729" s="83"/>
      <c r="KQ729" s="405"/>
      <c r="KW729" s="83"/>
      <c r="LE729" s="405"/>
      <c r="LK729" s="83"/>
      <c r="LS729" s="405"/>
      <c r="LY729" s="83"/>
      <c r="MG729" s="405"/>
      <c r="MM729" s="83"/>
      <c r="MU729" s="405"/>
      <c r="NA729" s="83"/>
    </row>
    <row r="730">
      <c r="A730" s="483"/>
      <c r="B730" s="380"/>
      <c r="C730" s="380"/>
      <c r="D730" s="380"/>
      <c r="E730" s="380"/>
      <c r="F730" s="380"/>
      <c r="G730" s="380"/>
      <c r="H730" s="380"/>
      <c r="I730" s="403"/>
      <c r="J730" s="380"/>
      <c r="K730" s="380"/>
      <c r="L730" s="380"/>
      <c r="M730" s="380"/>
      <c r="N730" s="380"/>
      <c r="O730" s="404"/>
      <c r="P730" s="380"/>
      <c r="Q730" s="380"/>
      <c r="R730" s="380"/>
      <c r="S730" s="380"/>
      <c r="T730" s="380"/>
      <c r="U730" s="380"/>
      <c r="V730" s="380"/>
      <c r="W730" s="403"/>
      <c r="X730" s="380"/>
      <c r="Y730" s="380"/>
      <c r="Z730" s="380"/>
      <c r="AA730" s="380"/>
      <c r="AB730" s="380"/>
      <c r="AC730" s="404"/>
      <c r="AD730" s="380"/>
      <c r="AE730" s="380"/>
      <c r="AF730" s="380"/>
      <c r="AG730" s="380"/>
      <c r="AH730" s="380"/>
      <c r="AI730" s="380"/>
      <c r="AJ730" s="380"/>
      <c r="AK730" s="403"/>
      <c r="AL730" s="380"/>
      <c r="AM730" s="380"/>
      <c r="AN730" s="380"/>
      <c r="AO730" s="380"/>
      <c r="AP730" s="380"/>
      <c r="AQ730" s="404"/>
      <c r="AR730" s="380"/>
      <c r="AS730" s="380"/>
      <c r="AT730" s="380"/>
      <c r="AU730" s="380"/>
      <c r="AV730" s="380"/>
      <c r="AW730" s="380"/>
      <c r="AX730" s="380"/>
      <c r="AY730" s="403"/>
      <c r="AZ730" s="380"/>
      <c r="BA730" s="380"/>
      <c r="BB730" s="380"/>
      <c r="BC730" s="380"/>
      <c r="BD730" s="380"/>
      <c r="BE730" s="404"/>
      <c r="BF730" s="380"/>
      <c r="BG730" s="380"/>
      <c r="BH730" s="380"/>
      <c r="BI730" s="380"/>
      <c r="BJ730" s="380"/>
      <c r="BK730" s="380"/>
      <c r="BL730" s="380"/>
      <c r="BM730" s="403"/>
      <c r="BS730" s="83"/>
      <c r="CA730" s="405"/>
      <c r="CG730" s="83"/>
      <c r="CO730" s="405"/>
      <c r="CU730" s="83"/>
      <c r="DC730" s="405"/>
      <c r="DI730" s="83"/>
      <c r="DQ730" s="405"/>
      <c r="DW730" s="83"/>
      <c r="EE730" s="405"/>
      <c r="EK730" s="83"/>
      <c r="ES730" s="405"/>
      <c r="EY730" s="83"/>
      <c r="FG730" s="405"/>
      <c r="FM730" s="83"/>
      <c r="FU730" s="405"/>
      <c r="GA730" s="83"/>
      <c r="GI730" s="405"/>
      <c r="GO730" s="83"/>
      <c r="GW730" s="405"/>
      <c r="HC730" s="83"/>
      <c r="HK730" s="405"/>
      <c r="HQ730" s="83"/>
      <c r="HY730" s="405"/>
      <c r="IE730" s="83"/>
      <c r="IM730" s="405"/>
      <c r="IS730" s="83"/>
      <c r="JA730" s="405"/>
      <c r="JG730" s="83"/>
      <c r="JO730" s="405"/>
      <c r="JU730" s="83"/>
      <c r="KC730" s="405"/>
      <c r="KI730" s="83"/>
      <c r="KQ730" s="405"/>
      <c r="KW730" s="83"/>
      <c r="LE730" s="405"/>
      <c r="LK730" s="83"/>
      <c r="LS730" s="405"/>
      <c r="LY730" s="83"/>
      <c r="MG730" s="405"/>
      <c r="MM730" s="83"/>
      <c r="MU730" s="405"/>
      <c r="NA730" s="83"/>
    </row>
    <row r="731">
      <c r="A731" s="483"/>
      <c r="B731" s="380"/>
      <c r="C731" s="380"/>
      <c r="D731" s="380"/>
      <c r="E731" s="380"/>
      <c r="F731" s="380"/>
      <c r="G731" s="380"/>
      <c r="H731" s="380"/>
      <c r="I731" s="403"/>
      <c r="J731" s="380"/>
      <c r="K731" s="380"/>
      <c r="L731" s="380"/>
      <c r="M731" s="380"/>
      <c r="N731" s="380"/>
      <c r="O731" s="404"/>
      <c r="P731" s="380"/>
      <c r="Q731" s="380"/>
      <c r="R731" s="380"/>
      <c r="S731" s="380"/>
      <c r="T731" s="380"/>
      <c r="U731" s="380"/>
      <c r="V731" s="380"/>
      <c r="W731" s="403"/>
      <c r="X731" s="380"/>
      <c r="Y731" s="380"/>
      <c r="Z731" s="380"/>
      <c r="AA731" s="380"/>
      <c r="AB731" s="380"/>
      <c r="AC731" s="404"/>
      <c r="AD731" s="380"/>
      <c r="AE731" s="380"/>
      <c r="AF731" s="380"/>
      <c r="AG731" s="380"/>
      <c r="AH731" s="380"/>
      <c r="AI731" s="380"/>
      <c r="AJ731" s="380"/>
      <c r="AK731" s="403"/>
      <c r="AL731" s="380"/>
      <c r="AM731" s="380"/>
      <c r="AN731" s="380"/>
      <c r="AO731" s="380"/>
      <c r="AP731" s="380"/>
      <c r="AQ731" s="404"/>
      <c r="AR731" s="380"/>
      <c r="AS731" s="380"/>
      <c r="AT731" s="380"/>
      <c r="AU731" s="380"/>
      <c r="AV731" s="380"/>
      <c r="AW731" s="380"/>
      <c r="AX731" s="380"/>
      <c r="AY731" s="403"/>
      <c r="AZ731" s="380"/>
      <c r="BA731" s="380"/>
      <c r="BB731" s="380"/>
      <c r="BC731" s="380"/>
      <c r="BD731" s="380"/>
      <c r="BE731" s="404"/>
      <c r="BF731" s="380"/>
      <c r="BG731" s="380"/>
      <c r="BH731" s="380"/>
      <c r="BI731" s="380"/>
      <c r="BJ731" s="380"/>
      <c r="BK731" s="380"/>
      <c r="BL731" s="380"/>
      <c r="BM731" s="403"/>
      <c r="BS731" s="83"/>
      <c r="CA731" s="405"/>
      <c r="CG731" s="83"/>
      <c r="CO731" s="405"/>
      <c r="CU731" s="83"/>
      <c r="DC731" s="405"/>
      <c r="DI731" s="83"/>
      <c r="DQ731" s="405"/>
      <c r="DW731" s="83"/>
      <c r="EE731" s="405"/>
      <c r="EK731" s="83"/>
      <c r="ES731" s="405"/>
      <c r="EY731" s="83"/>
      <c r="FG731" s="405"/>
      <c r="FM731" s="83"/>
      <c r="FU731" s="405"/>
      <c r="GA731" s="83"/>
      <c r="GI731" s="405"/>
      <c r="GO731" s="83"/>
      <c r="GW731" s="405"/>
      <c r="HC731" s="83"/>
      <c r="HK731" s="405"/>
      <c r="HQ731" s="83"/>
      <c r="HY731" s="405"/>
      <c r="IE731" s="83"/>
      <c r="IM731" s="405"/>
      <c r="IS731" s="83"/>
      <c r="JA731" s="405"/>
      <c r="JG731" s="83"/>
      <c r="JO731" s="405"/>
      <c r="JU731" s="83"/>
      <c r="KC731" s="405"/>
      <c r="KI731" s="83"/>
      <c r="KQ731" s="405"/>
      <c r="KW731" s="83"/>
      <c r="LE731" s="405"/>
      <c r="LK731" s="83"/>
      <c r="LS731" s="405"/>
      <c r="LY731" s="83"/>
      <c r="MG731" s="405"/>
      <c r="MM731" s="83"/>
      <c r="MU731" s="405"/>
      <c r="NA731" s="83"/>
    </row>
    <row r="732">
      <c r="A732" s="483"/>
      <c r="B732" s="380"/>
      <c r="C732" s="380"/>
      <c r="D732" s="380"/>
      <c r="E732" s="380"/>
      <c r="F732" s="380"/>
      <c r="G732" s="380"/>
      <c r="H732" s="380"/>
      <c r="I732" s="403"/>
      <c r="J732" s="380"/>
      <c r="K732" s="380"/>
      <c r="L732" s="380"/>
      <c r="M732" s="380"/>
      <c r="N732" s="380"/>
      <c r="O732" s="404"/>
      <c r="P732" s="380"/>
      <c r="Q732" s="380"/>
      <c r="R732" s="380"/>
      <c r="S732" s="380"/>
      <c r="T732" s="380"/>
      <c r="U732" s="380"/>
      <c r="V732" s="380"/>
      <c r="W732" s="403"/>
      <c r="X732" s="380"/>
      <c r="Y732" s="380"/>
      <c r="Z732" s="380"/>
      <c r="AA732" s="380"/>
      <c r="AB732" s="380"/>
      <c r="AC732" s="404"/>
      <c r="AD732" s="380"/>
      <c r="AE732" s="380"/>
      <c r="AF732" s="380"/>
      <c r="AG732" s="380"/>
      <c r="AH732" s="380"/>
      <c r="AI732" s="380"/>
      <c r="AJ732" s="380"/>
      <c r="AK732" s="403"/>
      <c r="AL732" s="380"/>
      <c r="AM732" s="380"/>
      <c r="AN732" s="380"/>
      <c r="AO732" s="380"/>
      <c r="AP732" s="380"/>
      <c r="AQ732" s="404"/>
      <c r="AR732" s="380"/>
      <c r="AS732" s="380"/>
      <c r="AT732" s="380"/>
      <c r="AU732" s="380"/>
      <c r="AV732" s="380"/>
      <c r="AW732" s="380"/>
      <c r="AX732" s="380"/>
      <c r="AY732" s="403"/>
      <c r="AZ732" s="380"/>
      <c r="BA732" s="380"/>
      <c r="BB732" s="380"/>
      <c r="BC732" s="380"/>
      <c r="BD732" s="380"/>
      <c r="BE732" s="404"/>
      <c r="BF732" s="380"/>
      <c r="BG732" s="380"/>
      <c r="BH732" s="380"/>
      <c r="BI732" s="380"/>
      <c r="BJ732" s="380"/>
      <c r="BK732" s="380"/>
      <c r="BL732" s="380"/>
      <c r="BM732" s="403"/>
      <c r="BS732" s="83"/>
      <c r="CA732" s="405"/>
      <c r="CG732" s="83"/>
      <c r="CO732" s="405"/>
      <c r="CU732" s="83"/>
      <c r="DC732" s="405"/>
      <c r="DI732" s="83"/>
      <c r="DQ732" s="405"/>
      <c r="DW732" s="83"/>
      <c r="EE732" s="405"/>
      <c r="EK732" s="83"/>
      <c r="ES732" s="405"/>
      <c r="EY732" s="83"/>
      <c r="FG732" s="405"/>
      <c r="FM732" s="83"/>
      <c r="FU732" s="405"/>
      <c r="GA732" s="83"/>
      <c r="GI732" s="405"/>
      <c r="GO732" s="83"/>
      <c r="GW732" s="405"/>
      <c r="HC732" s="83"/>
      <c r="HK732" s="405"/>
      <c r="HQ732" s="83"/>
      <c r="HY732" s="405"/>
      <c r="IE732" s="83"/>
      <c r="IM732" s="405"/>
      <c r="IS732" s="83"/>
      <c r="JA732" s="405"/>
      <c r="JG732" s="83"/>
      <c r="JO732" s="405"/>
      <c r="JU732" s="83"/>
      <c r="KC732" s="405"/>
      <c r="KI732" s="83"/>
      <c r="KQ732" s="405"/>
      <c r="KW732" s="83"/>
      <c r="LE732" s="405"/>
      <c r="LK732" s="83"/>
      <c r="LS732" s="405"/>
      <c r="LY732" s="83"/>
      <c r="MG732" s="405"/>
      <c r="MM732" s="83"/>
      <c r="MU732" s="405"/>
      <c r="NA732" s="83"/>
    </row>
    <row r="733">
      <c r="A733" s="483"/>
      <c r="B733" s="380"/>
      <c r="C733" s="380"/>
      <c r="D733" s="380"/>
      <c r="E733" s="380"/>
      <c r="F733" s="380"/>
      <c r="G733" s="380"/>
      <c r="H733" s="380"/>
      <c r="I733" s="403"/>
      <c r="J733" s="380"/>
      <c r="K733" s="380"/>
      <c r="L733" s="380"/>
      <c r="M733" s="380"/>
      <c r="N733" s="380"/>
      <c r="O733" s="404"/>
      <c r="P733" s="380"/>
      <c r="Q733" s="380"/>
      <c r="R733" s="380"/>
      <c r="S733" s="380"/>
      <c r="T733" s="380"/>
      <c r="U733" s="380"/>
      <c r="V733" s="380"/>
      <c r="W733" s="403"/>
      <c r="X733" s="380"/>
      <c r="Y733" s="380"/>
      <c r="Z733" s="380"/>
      <c r="AA733" s="380"/>
      <c r="AB733" s="380"/>
      <c r="AC733" s="404"/>
      <c r="AD733" s="380"/>
      <c r="AE733" s="380"/>
      <c r="AF733" s="380"/>
      <c r="AG733" s="380"/>
      <c r="AH733" s="380"/>
      <c r="AI733" s="380"/>
      <c r="AJ733" s="380"/>
      <c r="AK733" s="403"/>
      <c r="AL733" s="380"/>
      <c r="AM733" s="380"/>
      <c r="AN733" s="380"/>
      <c r="AO733" s="380"/>
      <c r="AP733" s="380"/>
      <c r="AQ733" s="404"/>
      <c r="AR733" s="380"/>
      <c r="AS733" s="380"/>
      <c r="AT733" s="380"/>
      <c r="AU733" s="380"/>
      <c r="AV733" s="380"/>
      <c r="AW733" s="380"/>
      <c r="AX733" s="380"/>
      <c r="AY733" s="403"/>
      <c r="AZ733" s="380"/>
      <c r="BA733" s="380"/>
      <c r="BB733" s="380"/>
      <c r="BC733" s="380"/>
      <c r="BD733" s="380"/>
      <c r="BE733" s="404"/>
      <c r="BF733" s="380"/>
      <c r="BG733" s="380"/>
      <c r="BH733" s="380"/>
      <c r="BI733" s="380"/>
      <c r="BJ733" s="380"/>
      <c r="BK733" s="380"/>
      <c r="BL733" s="380"/>
      <c r="BM733" s="403"/>
      <c r="BS733" s="83"/>
      <c r="CA733" s="405"/>
      <c r="CG733" s="83"/>
      <c r="CO733" s="405"/>
      <c r="CU733" s="83"/>
      <c r="DC733" s="405"/>
      <c r="DI733" s="83"/>
      <c r="DQ733" s="405"/>
      <c r="DW733" s="83"/>
      <c r="EE733" s="405"/>
      <c r="EK733" s="83"/>
      <c r="ES733" s="405"/>
      <c r="EY733" s="83"/>
      <c r="FG733" s="405"/>
      <c r="FM733" s="83"/>
      <c r="FU733" s="405"/>
      <c r="GA733" s="83"/>
      <c r="GI733" s="405"/>
      <c r="GO733" s="83"/>
      <c r="GW733" s="405"/>
      <c r="HC733" s="83"/>
      <c r="HK733" s="405"/>
      <c r="HQ733" s="83"/>
      <c r="HY733" s="405"/>
      <c r="IE733" s="83"/>
      <c r="IM733" s="405"/>
      <c r="IS733" s="83"/>
      <c r="JA733" s="405"/>
      <c r="JG733" s="83"/>
      <c r="JO733" s="405"/>
      <c r="JU733" s="83"/>
      <c r="KC733" s="405"/>
      <c r="KI733" s="83"/>
      <c r="KQ733" s="405"/>
      <c r="KW733" s="83"/>
      <c r="LE733" s="405"/>
      <c r="LK733" s="83"/>
      <c r="LS733" s="405"/>
      <c r="LY733" s="83"/>
      <c r="MG733" s="405"/>
      <c r="MM733" s="83"/>
      <c r="MU733" s="405"/>
      <c r="NA733" s="83"/>
    </row>
    <row r="734">
      <c r="A734" s="483"/>
      <c r="B734" s="380"/>
      <c r="C734" s="380"/>
      <c r="D734" s="380"/>
      <c r="E734" s="380"/>
      <c r="F734" s="380"/>
      <c r="G734" s="380"/>
      <c r="H734" s="380"/>
      <c r="I734" s="403"/>
      <c r="J734" s="380"/>
      <c r="K734" s="380"/>
      <c r="L734" s="380"/>
      <c r="M734" s="380"/>
      <c r="N734" s="380"/>
      <c r="O734" s="404"/>
      <c r="P734" s="380"/>
      <c r="Q734" s="380"/>
      <c r="R734" s="380"/>
      <c r="S734" s="380"/>
      <c r="T734" s="380"/>
      <c r="U734" s="380"/>
      <c r="V734" s="380"/>
      <c r="W734" s="403"/>
      <c r="X734" s="380"/>
      <c r="Y734" s="380"/>
      <c r="Z734" s="380"/>
      <c r="AA734" s="380"/>
      <c r="AB734" s="380"/>
      <c r="AC734" s="404"/>
      <c r="AD734" s="380"/>
      <c r="AE734" s="380"/>
      <c r="AF734" s="380"/>
      <c r="AG734" s="380"/>
      <c r="AH734" s="380"/>
      <c r="AI734" s="380"/>
      <c r="AJ734" s="380"/>
      <c r="AK734" s="403"/>
      <c r="AL734" s="380"/>
      <c r="AM734" s="380"/>
      <c r="AN734" s="380"/>
      <c r="AO734" s="380"/>
      <c r="AP734" s="380"/>
      <c r="AQ734" s="404"/>
      <c r="AR734" s="380"/>
      <c r="AS734" s="380"/>
      <c r="AT734" s="380"/>
      <c r="AU734" s="380"/>
      <c r="AV734" s="380"/>
      <c r="AW734" s="380"/>
      <c r="AX734" s="380"/>
      <c r="AY734" s="403"/>
      <c r="AZ734" s="380"/>
      <c r="BA734" s="380"/>
      <c r="BB734" s="380"/>
      <c r="BC734" s="380"/>
      <c r="BD734" s="380"/>
      <c r="BE734" s="404"/>
      <c r="BF734" s="380"/>
      <c r="BG734" s="380"/>
      <c r="BH734" s="380"/>
      <c r="BI734" s="380"/>
      <c r="BJ734" s="380"/>
      <c r="BK734" s="380"/>
      <c r="BL734" s="380"/>
      <c r="BM734" s="403"/>
      <c r="BS734" s="83"/>
      <c r="CA734" s="405"/>
      <c r="CG734" s="83"/>
      <c r="CO734" s="405"/>
      <c r="CU734" s="83"/>
      <c r="DC734" s="405"/>
      <c r="DI734" s="83"/>
      <c r="DQ734" s="405"/>
      <c r="DW734" s="83"/>
      <c r="EE734" s="405"/>
      <c r="EK734" s="83"/>
      <c r="ES734" s="405"/>
      <c r="EY734" s="83"/>
      <c r="FG734" s="405"/>
      <c r="FM734" s="83"/>
      <c r="FU734" s="405"/>
      <c r="GA734" s="83"/>
      <c r="GI734" s="405"/>
      <c r="GO734" s="83"/>
      <c r="GW734" s="405"/>
      <c r="HC734" s="83"/>
      <c r="HK734" s="405"/>
      <c r="HQ734" s="83"/>
      <c r="HY734" s="405"/>
      <c r="IE734" s="83"/>
      <c r="IM734" s="405"/>
      <c r="IS734" s="83"/>
      <c r="JA734" s="405"/>
      <c r="JG734" s="83"/>
      <c r="JO734" s="405"/>
      <c r="JU734" s="83"/>
      <c r="KC734" s="405"/>
      <c r="KI734" s="83"/>
      <c r="KQ734" s="405"/>
      <c r="KW734" s="83"/>
      <c r="LE734" s="405"/>
      <c r="LK734" s="83"/>
      <c r="LS734" s="405"/>
      <c r="LY734" s="83"/>
      <c r="MG734" s="405"/>
      <c r="MM734" s="83"/>
      <c r="MU734" s="405"/>
      <c r="NA734" s="83"/>
    </row>
    <row r="735">
      <c r="A735" s="483"/>
      <c r="B735" s="380"/>
      <c r="C735" s="380"/>
      <c r="D735" s="380"/>
      <c r="E735" s="380"/>
      <c r="F735" s="380"/>
      <c r="G735" s="380"/>
      <c r="H735" s="380"/>
      <c r="I735" s="403"/>
      <c r="J735" s="380"/>
      <c r="K735" s="380"/>
      <c r="L735" s="380"/>
      <c r="M735" s="380"/>
      <c r="N735" s="380"/>
      <c r="O735" s="404"/>
      <c r="P735" s="380"/>
      <c r="Q735" s="380"/>
      <c r="R735" s="380"/>
      <c r="S735" s="380"/>
      <c r="T735" s="380"/>
      <c r="U735" s="380"/>
      <c r="V735" s="380"/>
      <c r="W735" s="403"/>
      <c r="X735" s="380"/>
      <c r="Y735" s="380"/>
      <c r="Z735" s="380"/>
      <c r="AA735" s="380"/>
      <c r="AB735" s="380"/>
      <c r="AC735" s="404"/>
      <c r="AD735" s="380"/>
      <c r="AE735" s="380"/>
      <c r="AF735" s="380"/>
      <c r="AG735" s="380"/>
      <c r="AH735" s="380"/>
      <c r="AI735" s="380"/>
      <c r="AJ735" s="380"/>
      <c r="AK735" s="403"/>
      <c r="AL735" s="380"/>
      <c r="AM735" s="380"/>
      <c r="AN735" s="380"/>
      <c r="AO735" s="380"/>
      <c r="AP735" s="380"/>
      <c r="AQ735" s="404"/>
      <c r="AR735" s="380"/>
      <c r="AS735" s="380"/>
      <c r="AT735" s="380"/>
      <c r="AU735" s="380"/>
      <c r="AV735" s="380"/>
      <c r="AW735" s="380"/>
      <c r="AX735" s="380"/>
      <c r="AY735" s="403"/>
      <c r="AZ735" s="380"/>
      <c r="BA735" s="380"/>
      <c r="BB735" s="380"/>
      <c r="BC735" s="380"/>
      <c r="BD735" s="380"/>
      <c r="BE735" s="404"/>
      <c r="BF735" s="380"/>
      <c r="BG735" s="380"/>
      <c r="BH735" s="380"/>
      <c r="BI735" s="380"/>
      <c r="BJ735" s="380"/>
      <c r="BK735" s="380"/>
      <c r="BL735" s="380"/>
      <c r="BM735" s="403"/>
      <c r="BS735" s="83"/>
      <c r="CA735" s="405"/>
      <c r="CG735" s="83"/>
      <c r="CO735" s="405"/>
      <c r="CU735" s="83"/>
      <c r="DC735" s="405"/>
      <c r="DI735" s="83"/>
      <c r="DQ735" s="405"/>
      <c r="DW735" s="83"/>
      <c r="EE735" s="405"/>
      <c r="EK735" s="83"/>
      <c r="ES735" s="405"/>
      <c r="EY735" s="83"/>
      <c r="FG735" s="405"/>
      <c r="FM735" s="83"/>
      <c r="FU735" s="405"/>
      <c r="GA735" s="83"/>
      <c r="GI735" s="405"/>
      <c r="GO735" s="83"/>
      <c r="GW735" s="405"/>
      <c r="HC735" s="83"/>
      <c r="HK735" s="405"/>
      <c r="HQ735" s="83"/>
      <c r="HY735" s="405"/>
      <c r="IE735" s="83"/>
      <c r="IM735" s="405"/>
      <c r="IS735" s="83"/>
      <c r="JA735" s="405"/>
      <c r="JG735" s="83"/>
      <c r="JO735" s="405"/>
      <c r="JU735" s="83"/>
      <c r="KC735" s="405"/>
      <c r="KI735" s="83"/>
      <c r="KQ735" s="405"/>
      <c r="KW735" s="83"/>
      <c r="LE735" s="405"/>
      <c r="LK735" s="83"/>
      <c r="LS735" s="405"/>
      <c r="LY735" s="83"/>
      <c r="MG735" s="405"/>
      <c r="MM735" s="83"/>
      <c r="MU735" s="405"/>
      <c r="NA735" s="83"/>
    </row>
    <row r="736">
      <c r="A736" s="483"/>
      <c r="B736" s="380"/>
      <c r="C736" s="380"/>
      <c r="D736" s="380"/>
      <c r="E736" s="380"/>
      <c r="F736" s="380"/>
      <c r="G736" s="380"/>
      <c r="H736" s="380"/>
      <c r="I736" s="403"/>
      <c r="J736" s="380"/>
      <c r="K736" s="380"/>
      <c r="L736" s="380"/>
      <c r="M736" s="380"/>
      <c r="N736" s="380"/>
      <c r="O736" s="404"/>
      <c r="P736" s="380"/>
      <c r="Q736" s="380"/>
      <c r="R736" s="380"/>
      <c r="S736" s="380"/>
      <c r="T736" s="380"/>
      <c r="U736" s="380"/>
      <c r="V736" s="380"/>
      <c r="W736" s="403"/>
      <c r="X736" s="380"/>
      <c r="Y736" s="380"/>
      <c r="Z736" s="380"/>
      <c r="AA736" s="380"/>
      <c r="AB736" s="380"/>
      <c r="AC736" s="404"/>
      <c r="AD736" s="380"/>
      <c r="AE736" s="380"/>
      <c r="AF736" s="380"/>
      <c r="AG736" s="380"/>
      <c r="AH736" s="380"/>
      <c r="AI736" s="380"/>
      <c r="AJ736" s="380"/>
      <c r="AK736" s="403"/>
      <c r="AL736" s="380"/>
      <c r="AM736" s="380"/>
      <c r="AN736" s="380"/>
      <c r="AO736" s="380"/>
      <c r="AP736" s="380"/>
      <c r="AQ736" s="404"/>
      <c r="AR736" s="380"/>
      <c r="AS736" s="380"/>
      <c r="AT736" s="380"/>
      <c r="AU736" s="380"/>
      <c r="AV736" s="380"/>
      <c r="AW736" s="380"/>
      <c r="AX736" s="380"/>
      <c r="AY736" s="403"/>
      <c r="AZ736" s="380"/>
      <c r="BA736" s="380"/>
      <c r="BB736" s="380"/>
      <c r="BC736" s="380"/>
      <c r="BD736" s="380"/>
      <c r="BE736" s="404"/>
      <c r="BF736" s="380"/>
      <c r="BG736" s="380"/>
      <c r="BH736" s="380"/>
      <c r="BI736" s="380"/>
      <c r="BJ736" s="380"/>
      <c r="BK736" s="380"/>
      <c r="BL736" s="380"/>
      <c r="BM736" s="403"/>
      <c r="BS736" s="83"/>
      <c r="CA736" s="405"/>
      <c r="CG736" s="83"/>
      <c r="CO736" s="405"/>
      <c r="CU736" s="83"/>
      <c r="DC736" s="405"/>
      <c r="DI736" s="83"/>
      <c r="DQ736" s="405"/>
      <c r="DW736" s="83"/>
      <c r="EE736" s="405"/>
      <c r="EK736" s="83"/>
      <c r="ES736" s="405"/>
      <c r="EY736" s="83"/>
      <c r="FG736" s="405"/>
      <c r="FM736" s="83"/>
      <c r="FU736" s="405"/>
      <c r="GA736" s="83"/>
      <c r="GI736" s="405"/>
      <c r="GO736" s="83"/>
      <c r="GW736" s="405"/>
      <c r="HC736" s="83"/>
      <c r="HK736" s="405"/>
      <c r="HQ736" s="83"/>
      <c r="HY736" s="405"/>
      <c r="IE736" s="83"/>
      <c r="IM736" s="405"/>
      <c r="IS736" s="83"/>
      <c r="JA736" s="405"/>
      <c r="JG736" s="83"/>
      <c r="JO736" s="405"/>
      <c r="JU736" s="83"/>
      <c r="KC736" s="405"/>
      <c r="KI736" s="83"/>
      <c r="KQ736" s="405"/>
      <c r="KW736" s="83"/>
      <c r="LE736" s="405"/>
      <c r="LK736" s="83"/>
      <c r="LS736" s="405"/>
      <c r="LY736" s="83"/>
      <c r="MG736" s="405"/>
      <c r="MM736" s="83"/>
      <c r="MU736" s="405"/>
      <c r="NA736" s="83"/>
    </row>
    <row r="737">
      <c r="A737" s="483"/>
      <c r="B737" s="380"/>
      <c r="C737" s="380"/>
      <c r="D737" s="380"/>
      <c r="E737" s="380"/>
      <c r="F737" s="380"/>
      <c r="G737" s="380"/>
      <c r="H737" s="380"/>
      <c r="I737" s="403"/>
      <c r="J737" s="380"/>
      <c r="K737" s="380"/>
      <c r="L737" s="380"/>
      <c r="M737" s="380"/>
      <c r="N737" s="380"/>
      <c r="O737" s="404"/>
      <c r="P737" s="380"/>
      <c r="Q737" s="380"/>
      <c r="R737" s="380"/>
      <c r="S737" s="380"/>
      <c r="T737" s="380"/>
      <c r="U737" s="380"/>
      <c r="V737" s="380"/>
      <c r="W737" s="403"/>
      <c r="X737" s="380"/>
      <c r="Y737" s="380"/>
      <c r="Z737" s="380"/>
      <c r="AA737" s="380"/>
      <c r="AB737" s="380"/>
      <c r="AC737" s="404"/>
      <c r="AD737" s="380"/>
      <c r="AE737" s="380"/>
      <c r="AF737" s="380"/>
      <c r="AG737" s="380"/>
      <c r="AH737" s="380"/>
      <c r="AI737" s="380"/>
      <c r="AJ737" s="380"/>
      <c r="AK737" s="403"/>
      <c r="AL737" s="380"/>
      <c r="AM737" s="380"/>
      <c r="AN737" s="380"/>
      <c r="AO737" s="380"/>
      <c r="AP737" s="380"/>
      <c r="AQ737" s="404"/>
      <c r="AR737" s="380"/>
      <c r="AS737" s="380"/>
      <c r="AT737" s="380"/>
      <c r="AU737" s="380"/>
      <c r="AV737" s="380"/>
      <c r="AW737" s="380"/>
      <c r="AX737" s="380"/>
      <c r="AY737" s="403"/>
      <c r="AZ737" s="380"/>
      <c r="BA737" s="380"/>
      <c r="BB737" s="380"/>
      <c r="BC737" s="380"/>
      <c r="BD737" s="380"/>
      <c r="BE737" s="404"/>
      <c r="BF737" s="380"/>
      <c r="BG737" s="380"/>
      <c r="BH737" s="380"/>
      <c r="BI737" s="380"/>
      <c r="BJ737" s="380"/>
      <c r="BK737" s="380"/>
      <c r="BL737" s="380"/>
      <c r="BM737" s="403"/>
      <c r="BS737" s="83"/>
      <c r="CA737" s="405"/>
      <c r="CG737" s="83"/>
      <c r="CO737" s="405"/>
      <c r="CU737" s="83"/>
      <c r="DC737" s="405"/>
      <c r="DI737" s="83"/>
      <c r="DQ737" s="405"/>
      <c r="DW737" s="83"/>
      <c r="EE737" s="405"/>
      <c r="EK737" s="83"/>
      <c r="ES737" s="405"/>
      <c r="EY737" s="83"/>
      <c r="FG737" s="405"/>
      <c r="FM737" s="83"/>
      <c r="FU737" s="405"/>
      <c r="GA737" s="83"/>
      <c r="GI737" s="405"/>
      <c r="GO737" s="83"/>
      <c r="GW737" s="405"/>
      <c r="HC737" s="83"/>
      <c r="HK737" s="405"/>
      <c r="HQ737" s="83"/>
      <c r="HY737" s="405"/>
      <c r="IE737" s="83"/>
      <c r="IM737" s="405"/>
      <c r="IS737" s="83"/>
      <c r="JA737" s="405"/>
      <c r="JG737" s="83"/>
      <c r="JO737" s="405"/>
      <c r="JU737" s="83"/>
      <c r="KC737" s="405"/>
      <c r="KI737" s="83"/>
      <c r="KQ737" s="405"/>
      <c r="KW737" s="83"/>
      <c r="LE737" s="405"/>
      <c r="LK737" s="83"/>
      <c r="LS737" s="405"/>
      <c r="LY737" s="83"/>
      <c r="MG737" s="405"/>
      <c r="MM737" s="83"/>
      <c r="MU737" s="405"/>
      <c r="NA737" s="83"/>
    </row>
    <row r="738">
      <c r="A738" s="483"/>
      <c r="B738" s="380"/>
      <c r="C738" s="380"/>
      <c r="D738" s="380"/>
      <c r="E738" s="380"/>
      <c r="F738" s="380"/>
      <c r="G738" s="380"/>
      <c r="H738" s="380"/>
      <c r="I738" s="403"/>
      <c r="J738" s="380"/>
      <c r="K738" s="380"/>
      <c r="L738" s="380"/>
      <c r="M738" s="380"/>
      <c r="N738" s="380"/>
      <c r="O738" s="404"/>
      <c r="P738" s="380"/>
      <c r="Q738" s="380"/>
      <c r="R738" s="380"/>
      <c r="S738" s="380"/>
      <c r="T738" s="380"/>
      <c r="U738" s="380"/>
      <c r="V738" s="380"/>
      <c r="W738" s="403"/>
      <c r="X738" s="380"/>
      <c r="Y738" s="380"/>
      <c r="Z738" s="380"/>
      <c r="AA738" s="380"/>
      <c r="AB738" s="380"/>
      <c r="AC738" s="404"/>
      <c r="AD738" s="380"/>
      <c r="AE738" s="380"/>
      <c r="AF738" s="380"/>
      <c r="AG738" s="380"/>
      <c r="AH738" s="380"/>
      <c r="AI738" s="380"/>
      <c r="AJ738" s="380"/>
      <c r="AK738" s="403"/>
      <c r="AL738" s="380"/>
      <c r="AM738" s="380"/>
      <c r="AN738" s="380"/>
      <c r="AO738" s="380"/>
      <c r="AP738" s="380"/>
      <c r="AQ738" s="404"/>
      <c r="AR738" s="380"/>
      <c r="AS738" s="380"/>
      <c r="AT738" s="380"/>
      <c r="AU738" s="380"/>
      <c r="AV738" s="380"/>
      <c r="AW738" s="380"/>
      <c r="AX738" s="380"/>
      <c r="AY738" s="403"/>
      <c r="AZ738" s="380"/>
      <c r="BA738" s="380"/>
      <c r="BB738" s="380"/>
      <c r="BC738" s="380"/>
      <c r="BD738" s="380"/>
      <c r="BE738" s="404"/>
      <c r="BF738" s="380"/>
      <c r="BG738" s="380"/>
      <c r="BH738" s="380"/>
      <c r="BI738" s="380"/>
      <c r="BJ738" s="380"/>
      <c r="BK738" s="380"/>
      <c r="BL738" s="380"/>
      <c r="BM738" s="403"/>
      <c r="BS738" s="83"/>
      <c r="CA738" s="405"/>
      <c r="CG738" s="83"/>
      <c r="CO738" s="405"/>
      <c r="CU738" s="83"/>
      <c r="DC738" s="405"/>
      <c r="DI738" s="83"/>
      <c r="DQ738" s="405"/>
      <c r="DW738" s="83"/>
      <c r="EE738" s="405"/>
      <c r="EK738" s="83"/>
      <c r="ES738" s="405"/>
      <c r="EY738" s="83"/>
      <c r="FG738" s="405"/>
      <c r="FM738" s="83"/>
      <c r="FU738" s="405"/>
      <c r="GA738" s="83"/>
      <c r="GI738" s="405"/>
      <c r="GO738" s="83"/>
      <c r="GW738" s="405"/>
      <c r="HC738" s="83"/>
      <c r="HK738" s="405"/>
      <c r="HQ738" s="83"/>
      <c r="HY738" s="405"/>
      <c r="IE738" s="83"/>
      <c r="IM738" s="405"/>
      <c r="IS738" s="83"/>
      <c r="JA738" s="405"/>
      <c r="JG738" s="83"/>
      <c r="JO738" s="405"/>
      <c r="JU738" s="83"/>
      <c r="KC738" s="405"/>
      <c r="KI738" s="83"/>
      <c r="KQ738" s="405"/>
      <c r="KW738" s="83"/>
      <c r="LE738" s="405"/>
      <c r="LK738" s="83"/>
      <c r="LS738" s="405"/>
      <c r="LY738" s="83"/>
      <c r="MG738" s="405"/>
      <c r="MM738" s="83"/>
      <c r="MU738" s="405"/>
      <c r="NA738" s="83"/>
    </row>
    <row r="739">
      <c r="A739" s="483"/>
      <c r="B739" s="380"/>
      <c r="C739" s="380"/>
      <c r="D739" s="380"/>
      <c r="E739" s="380"/>
      <c r="F739" s="380"/>
      <c r="G739" s="380"/>
      <c r="H739" s="380"/>
      <c r="I739" s="403"/>
      <c r="J739" s="380"/>
      <c r="K739" s="380"/>
      <c r="L739" s="380"/>
      <c r="M739" s="380"/>
      <c r="N739" s="380"/>
      <c r="O739" s="404"/>
      <c r="P739" s="380"/>
      <c r="Q739" s="380"/>
      <c r="R739" s="380"/>
      <c r="S739" s="380"/>
      <c r="T739" s="380"/>
      <c r="U739" s="380"/>
      <c r="V739" s="380"/>
      <c r="W739" s="403"/>
      <c r="X739" s="380"/>
      <c r="Y739" s="380"/>
      <c r="Z739" s="380"/>
      <c r="AA739" s="380"/>
      <c r="AB739" s="380"/>
      <c r="AC739" s="404"/>
      <c r="AD739" s="380"/>
      <c r="AE739" s="380"/>
      <c r="AF739" s="380"/>
      <c r="AG739" s="380"/>
      <c r="AH739" s="380"/>
      <c r="AI739" s="380"/>
      <c r="AJ739" s="380"/>
      <c r="AK739" s="403"/>
      <c r="AL739" s="380"/>
      <c r="AM739" s="380"/>
      <c r="AN739" s="380"/>
      <c r="AO739" s="380"/>
      <c r="AP739" s="380"/>
      <c r="AQ739" s="404"/>
      <c r="AR739" s="380"/>
      <c r="AS739" s="380"/>
      <c r="AT739" s="380"/>
      <c r="AU739" s="380"/>
      <c r="AV739" s="380"/>
      <c r="AW739" s="380"/>
      <c r="AX739" s="380"/>
      <c r="AY739" s="403"/>
      <c r="AZ739" s="380"/>
      <c r="BA739" s="380"/>
      <c r="BB739" s="380"/>
      <c r="BC739" s="380"/>
      <c r="BD739" s="380"/>
      <c r="BE739" s="404"/>
      <c r="BF739" s="380"/>
      <c r="BG739" s="380"/>
      <c r="BH739" s="380"/>
      <c r="BI739" s="380"/>
      <c r="BJ739" s="380"/>
      <c r="BK739" s="380"/>
      <c r="BL739" s="380"/>
      <c r="BM739" s="403"/>
      <c r="BS739" s="83"/>
      <c r="CA739" s="405"/>
      <c r="CG739" s="83"/>
      <c r="CO739" s="405"/>
      <c r="CU739" s="83"/>
      <c r="DC739" s="405"/>
      <c r="DI739" s="83"/>
      <c r="DQ739" s="405"/>
      <c r="DW739" s="83"/>
      <c r="EE739" s="405"/>
      <c r="EK739" s="83"/>
      <c r="ES739" s="405"/>
      <c r="EY739" s="83"/>
      <c r="FG739" s="405"/>
      <c r="FM739" s="83"/>
      <c r="FU739" s="405"/>
      <c r="GA739" s="83"/>
      <c r="GI739" s="405"/>
      <c r="GO739" s="83"/>
      <c r="GW739" s="405"/>
      <c r="HC739" s="83"/>
      <c r="HK739" s="405"/>
      <c r="HQ739" s="83"/>
      <c r="HY739" s="405"/>
      <c r="IE739" s="83"/>
      <c r="IM739" s="405"/>
      <c r="IS739" s="83"/>
      <c r="JA739" s="405"/>
      <c r="JG739" s="83"/>
      <c r="JO739" s="405"/>
      <c r="JU739" s="83"/>
      <c r="KC739" s="405"/>
      <c r="KI739" s="83"/>
      <c r="KQ739" s="405"/>
      <c r="KW739" s="83"/>
      <c r="LE739" s="405"/>
      <c r="LK739" s="83"/>
      <c r="LS739" s="405"/>
      <c r="LY739" s="83"/>
      <c r="MG739" s="405"/>
      <c r="MM739" s="83"/>
      <c r="MU739" s="405"/>
      <c r="NA739" s="83"/>
    </row>
    <row r="740">
      <c r="A740" s="483"/>
      <c r="B740" s="380"/>
      <c r="C740" s="380"/>
      <c r="D740" s="380"/>
      <c r="E740" s="380"/>
      <c r="F740" s="380"/>
      <c r="G740" s="380"/>
      <c r="H740" s="380"/>
      <c r="I740" s="403"/>
      <c r="J740" s="380"/>
      <c r="K740" s="380"/>
      <c r="L740" s="380"/>
      <c r="M740" s="380"/>
      <c r="N740" s="380"/>
      <c r="O740" s="404"/>
      <c r="P740" s="380"/>
      <c r="Q740" s="380"/>
      <c r="R740" s="380"/>
      <c r="S740" s="380"/>
      <c r="T740" s="380"/>
      <c r="U740" s="380"/>
      <c r="V740" s="380"/>
      <c r="W740" s="403"/>
      <c r="X740" s="380"/>
      <c r="Y740" s="380"/>
      <c r="Z740" s="380"/>
      <c r="AA740" s="380"/>
      <c r="AB740" s="380"/>
      <c r="AC740" s="404"/>
      <c r="AD740" s="380"/>
      <c r="AE740" s="380"/>
      <c r="AF740" s="380"/>
      <c r="AG740" s="380"/>
      <c r="AH740" s="380"/>
      <c r="AI740" s="380"/>
      <c r="AJ740" s="380"/>
      <c r="AK740" s="403"/>
      <c r="AL740" s="380"/>
      <c r="AM740" s="380"/>
      <c r="AN740" s="380"/>
      <c r="AO740" s="380"/>
      <c r="AP740" s="380"/>
      <c r="AQ740" s="404"/>
      <c r="AR740" s="380"/>
      <c r="AS740" s="380"/>
      <c r="AT740" s="380"/>
      <c r="AU740" s="380"/>
      <c r="AV740" s="380"/>
      <c r="AW740" s="380"/>
      <c r="AX740" s="380"/>
      <c r="AY740" s="403"/>
      <c r="AZ740" s="380"/>
      <c r="BA740" s="380"/>
      <c r="BB740" s="380"/>
      <c r="BC740" s="380"/>
      <c r="BD740" s="380"/>
      <c r="BE740" s="404"/>
      <c r="BF740" s="380"/>
      <c r="BG740" s="380"/>
      <c r="BH740" s="380"/>
      <c r="BI740" s="380"/>
      <c r="BJ740" s="380"/>
      <c r="BK740" s="380"/>
      <c r="BL740" s="380"/>
      <c r="BM740" s="403"/>
      <c r="BS740" s="83"/>
      <c r="CA740" s="405"/>
      <c r="CG740" s="83"/>
      <c r="CO740" s="405"/>
      <c r="CU740" s="83"/>
      <c r="DC740" s="405"/>
      <c r="DI740" s="83"/>
      <c r="DQ740" s="405"/>
      <c r="DW740" s="83"/>
      <c r="EE740" s="405"/>
      <c r="EK740" s="83"/>
      <c r="ES740" s="405"/>
      <c r="EY740" s="83"/>
      <c r="FG740" s="405"/>
      <c r="FM740" s="83"/>
      <c r="FU740" s="405"/>
      <c r="GA740" s="83"/>
      <c r="GI740" s="405"/>
      <c r="GO740" s="83"/>
      <c r="GW740" s="405"/>
      <c r="HC740" s="83"/>
      <c r="HK740" s="405"/>
      <c r="HQ740" s="83"/>
      <c r="HY740" s="405"/>
      <c r="IE740" s="83"/>
      <c r="IM740" s="405"/>
      <c r="IS740" s="83"/>
      <c r="JA740" s="405"/>
      <c r="JG740" s="83"/>
      <c r="JO740" s="405"/>
      <c r="JU740" s="83"/>
      <c r="KC740" s="405"/>
      <c r="KI740" s="83"/>
      <c r="KQ740" s="405"/>
      <c r="KW740" s="83"/>
      <c r="LE740" s="405"/>
      <c r="LK740" s="83"/>
      <c r="LS740" s="405"/>
      <c r="LY740" s="83"/>
      <c r="MG740" s="405"/>
      <c r="MM740" s="83"/>
      <c r="MU740" s="405"/>
      <c r="NA740" s="83"/>
    </row>
    <row r="741">
      <c r="A741" s="483"/>
      <c r="B741" s="380"/>
      <c r="C741" s="380"/>
      <c r="D741" s="380"/>
      <c r="E741" s="380"/>
      <c r="F741" s="380"/>
      <c r="G741" s="380"/>
      <c r="H741" s="380"/>
      <c r="I741" s="403"/>
      <c r="J741" s="380"/>
      <c r="K741" s="380"/>
      <c r="L741" s="380"/>
      <c r="M741" s="380"/>
      <c r="N741" s="380"/>
      <c r="O741" s="404"/>
      <c r="P741" s="380"/>
      <c r="Q741" s="380"/>
      <c r="R741" s="380"/>
      <c r="S741" s="380"/>
      <c r="T741" s="380"/>
      <c r="U741" s="380"/>
      <c r="V741" s="380"/>
      <c r="W741" s="403"/>
      <c r="X741" s="380"/>
      <c r="Y741" s="380"/>
      <c r="Z741" s="380"/>
      <c r="AA741" s="380"/>
      <c r="AB741" s="380"/>
      <c r="AC741" s="404"/>
      <c r="AD741" s="380"/>
      <c r="AE741" s="380"/>
      <c r="AF741" s="380"/>
      <c r="AG741" s="380"/>
      <c r="AH741" s="380"/>
      <c r="AI741" s="380"/>
      <c r="AJ741" s="380"/>
      <c r="AK741" s="403"/>
      <c r="AL741" s="380"/>
      <c r="AM741" s="380"/>
      <c r="AN741" s="380"/>
      <c r="AO741" s="380"/>
      <c r="AP741" s="380"/>
      <c r="AQ741" s="404"/>
      <c r="AR741" s="380"/>
      <c r="AS741" s="380"/>
      <c r="AT741" s="380"/>
      <c r="AU741" s="380"/>
      <c r="AV741" s="380"/>
      <c r="AW741" s="380"/>
      <c r="AX741" s="380"/>
      <c r="AY741" s="403"/>
      <c r="AZ741" s="380"/>
      <c r="BA741" s="380"/>
      <c r="BB741" s="380"/>
      <c r="BC741" s="380"/>
      <c r="BD741" s="380"/>
      <c r="BE741" s="404"/>
      <c r="BF741" s="380"/>
      <c r="BG741" s="380"/>
      <c r="BH741" s="380"/>
      <c r="BI741" s="380"/>
      <c r="BJ741" s="380"/>
      <c r="BK741" s="380"/>
      <c r="BL741" s="380"/>
      <c r="BM741" s="403"/>
      <c r="BS741" s="83"/>
      <c r="CA741" s="405"/>
      <c r="CG741" s="83"/>
      <c r="CO741" s="405"/>
      <c r="CU741" s="83"/>
      <c r="DC741" s="405"/>
      <c r="DI741" s="83"/>
      <c r="DQ741" s="405"/>
      <c r="DW741" s="83"/>
      <c r="EE741" s="405"/>
      <c r="EK741" s="83"/>
      <c r="ES741" s="405"/>
      <c r="EY741" s="83"/>
      <c r="FG741" s="405"/>
      <c r="FM741" s="83"/>
      <c r="FU741" s="405"/>
      <c r="GA741" s="83"/>
      <c r="GI741" s="405"/>
      <c r="GO741" s="83"/>
      <c r="GW741" s="405"/>
      <c r="HC741" s="83"/>
      <c r="HK741" s="405"/>
      <c r="HQ741" s="83"/>
      <c r="HY741" s="405"/>
      <c r="IE741" s="83"/>
      <c r="IM741" s="405"/>
      <c r="IS741" s="83"/>
      <c r="JA741" s="405"/>
      <c r="JG741" s="83"/>
      <c r="JO741" s="405"/>
      <c r="JU741" s="83"/>
      <c r="KC741" s="405"/>
      <c r="KI741" s="83"/>
      <c r="KQ741" s="405"/>
      <c r="KW741" s="83"/>
      <c r="LE741" s="405"/>
      <c r="LK741" s="83"/>
      <c r="LS741" s="405"/>
      <c r="LY741" s="83"/>
      <c r="MG741" s="405"/>
      <c r="MM741" s="83"/>
      <c r="MU741" s="405"/>
      <c r="NA741" s="83"/>
    </row>
    <row r="742">
      <c r="A742" s="483"/>
      <c r="B742" s="380"/>
      <c r="C742" s="380"/>
      <c r="D742" s="380"/>
      <c r="E742" s="380"/>
      <c r="F742" s="380"/>
      <c r="G742" s="380"/>
      <c r="H742" s="380"/>
      <c r="I742" s="403"/>
      <c r="J742" s="380"/>
      <c r="K742" s="380"/>
      <c r="L742" s="380"/>
      <c r="M742" s="380"/>
      <c r="N742" s="380"/>
      <c r="O742" s="404"/>
      <c r="P742" s="380"/>
      <c r="Q742" s="380"/>
      <c r="R742" s="380"/>
      <c r="S742" s="380"/>
      <c r="T742" s="380"/>
      <c r="U742" s="380"/>
      <c r="V742" s="380"/>
      <c r="W742" s="403"/>
      <c r="X742" s="380"/>
      <c r="Y742" s="380"/>
      <c r="Z742" s="380"/>
      <c r="AA742" s="380"/>
      <c r="AB742" s="380"/>
      <c r="AC742" s="404"/>
      <c r="AD742" s="380"/>
      <c r="AE742" s="380"/>
      <c r="AF742" s="380"/>
      <c r="AG742" s="380"/>
      <c r="AH742" s="380"/>
      <c r="AI742" s="380"/>
      <c r="AJ742" s="380"/>
      <c r="AK742" s="403"/>
      <c r="AL742" s="380"/>
      <c r="AM742" s="380"/>
      <c r="AN742" s="380"/>
      <c r="AO742" s="380"/>
      <c r="AP742" s="380"/>
      <c r="AQ742" s="404"/>
      <c r="AR742" s="380"/>
      <c r="AS742" s="380"/>
      <c r="AT742" s="380"/>
      <c r="AU742" s="380"/>
      <c r="AV742" s="380"/>
      <c r="AW742" s="380"/>
      <c r="AX742" s="380"/>
      <c r="AY742" s="403"/>
      <c r="AZ742" s="380"/>
      <c r="BA742" s="380"/>
      <c r="BB742" s="380"/>
      <c r="BC742" s="380"/>
      <c r="BD742" s="380"/>
      <c r="BE742" s="404"/>
      <c r="BF742" s="380"/>
      <c r="BG742" s="380"/>
      <c r="BH742" s="380"/>
      <c r="BI742" s="380"/>
      <c r="BJ742" s="380"/>
      <c r="BK742" s="380"/>
      <c r="BL742" s="380"/>
      <c r="BM742" s="403"/>
      <c r="BS742" s="83"/>
      <c r="CA742" s="405"/>
      <c r="CG742" s="83"/>
      <c r="CO742" s="405"/>
      <c r="CU742" s="83"/>
      <c r="DC742" s="405"/>
      <c r="DI742" s="83"/>
      <c r="DQ742" s="405"/>
      <c r="DW742" s="83"/>
      <c r="EE742" s="405"/>
      <c r="EK742" s="83"/>
      <c r="ES742" s="405"/>
      <c r="EY742" s="83"/>
      <c r="FG742" s="405"/>
      <c r="FM742" s="83"/>
      <c r="FU742" s="405"/>
      <c r="GA742" s="83"/>
      <c r="GI742" s="405"/>
      <c r="GO742" s="83"/>
      <c r="GW742" s="405"/>
      <c r="HC742" s="83"/>
      <c r="HK742" s="405"/>
      <c r="HQ742" s="83"/>
      <c r="HY742" s="405"/>
      <c r="IE742" s="83"/>
      <c r="IM742" s="405"/>
      <c r="IS742" s="83"/>
      <c r="JA742" s="405"/>
      <c r="JG742" s="83"/>
      <c r="JO742" s="405"/>
      <c r="JU742" s="83"/>
      <c r="KC742" s="405"/>
      <c r="KI742" s="83"/>
      <c r="KQ742" s="405"/>
      <c r="KW742" s="83"/>
      <c r="LE742" s="405"/>
      <c r="LK742" s="83"/>
      <c r="LS742" s="405"/>
      <c r="LY742" s="83"/>
      <c r="MG742" s="405"/>
      <c r="MM742" s="83"/>
      <c r="MU742" s="405"/>
      <c r="NA742" s="83"/>
    </row>
    <row r="743">
      <c r="A743" s="483"/>
      <c r="B743" s="380"/>
      <c r="C743" s="380"/>
      <c r="D743" s="380"/>
      <c r="E743" s="380"/>
      <c r="F743" s="380"/>
      <c r="G743" s="380"/>
      <c r="H743" s="380"/>
      <c r="I743" s="403"/>
      <c r="J743" s="380"/>
      <c r="K743" s="380"/>
      <c r="L743" s="380"/>
      <c r="M743" s="380"/>
      <c r="N743" s="380"/>
      <c r="O743" s="404"/>
      <c r="P743" s="380"/>
      <c r="Q743" s="380"/>
      <c r="R743" s="380"/>
      <c r="S743" s="380"/>
      <c r="T743" s="380"/>
      <c r="U743" s="380"/>
      <c r="V743" s="380"/>
      <c r="W743" s="403"/>
      <c r="X743" s="380"/>
      <c r="Y743" s="380"/>
      <c r="Z743" s="380"/>
      <c r="AA743" s="380"/>
      <c r="AB743" s="380"/>
      <c r="AC743" s="404"/>
      <c r="AD743" s="380"/>
      <c r="AE743" s="380"/>
      <c r="AF743" s="380"/>
      <c r="AG743" s="380"/>
      <c r="AH743" s="380"/>
      <c r="AI743" s="380"/>
      <c r="AJ743" s="380"/>
      <c r="AK743" s="403"/>
      <c r="AL743" s="380"/>
      <c r="AM743" s="380"/>
      <c r="AN743" s="380"/>
      <c r="AO743" s="380"/>
      <c r="AP743" s="380"/>
      <c r="AQ743" s="404"/>
      <c r="AR743" s="380"/>
      <c r="AS743" s="380"/>
      <c r="AT743" s="380"/>
      <c r="AU743" s="380"/>
      <c r="AV743" s="380"/>
      <c r="AW743" s="380"/>
      <c r="AX743" s="380"/>
      <c r="AY743" s="403"/>
      <c r="AZ743" s="380"/>
      <c r="BA743" s="380"/>
      <c r="BB743" s="380"/>
      <c r="BC743" s="380"/>
      <c r="BD743" s="380"/>
      <c r="BE743" s="404"/>
      <c r="BF743" s="380"/>
      <c r="BG743" s="380"/>
      <c r="BH743" s="380"/>
      <c r="BI743" s="380"/>
      <c r="BJ743" s="380"/>
      <c r="BK743" s="380"/>
      <c r="BL743" s="380"/>
      <c r="BM743" s="403"/>
      <c r="BS743" s="83"/>
      <c r="CA743" s="405"/>
      <c r="CG743" s="83"/>
      <c r="CO743" s="405"/>
      <c r="CU743" s="83"/>
      <c r="DC743" s="405"/>
      <c r="DI743" s="83"/>
      <c r="DQ743" s="405"/>
      <c r="DW743" s="83"/>
      <c r="EE743" s="405"/>
      <c r="EK743" s="83"/>
      <c r="ES743" s="405"/>
      <c r="EY743" s="83"/>
      <c r="FG743" s="405"/>
      <c r="FM743" s="83"/>
      <c r="FU743" s="405"/>
      <c r="GA743" s="83"/>
      <c r="GI743" s="405"/>
      <c r="GO743" s="83"/>
      <c r="GW743" s="405"/>
      <c r="HC743" s="83"/>
      <c r="HK743" s="405"/>
      <c r="HQ743" s="83"/>
      <c r="HY743" s="405"/>
      <c r="IE743" s="83"/>
      <c r="IM743" s="405"/>
      <c r="IS743" s="83"/>
      <c r="JA743" s="405"/>
      <c r="JG743" s="83"/>
      <c r="JO743" s="405"/>
      <c r="JU743" s="83"/>
      <c r="KC743" s="405"/>
      <c r="KI743" s="83"/>
      <c r="KQ743" s="405"/>
      <c r="KW743" s="83"/>
      <c r="LE743" s="405"/>
      <c r="LK743" s="83"/>
      <c r="LS743" s="405"/>
      <c r="LY743" s="83"/>
      <c r="MG743" s="405"/>
      <c r="MM743" s="83"/>
      <c r="MU743" s="405"/>
      <c r="NA743" s="83"/>
    </row>
    <row r="744">
      <c r="A744" s="483"/>
      <c r="B744" s="380"/>
      <c r="C744" s="380"/>
      <c r="D744" s="380"/>
      <c r="E744" s="380"/>
      <c r="F744" s="380"/>
      <c r="G744" s="380"/>
      <c r="H744" s="380"/>
      <c r="I744" s="403"/>
      <c r="J744" s="380"/>
      <c r="K744" s="380"/>
      <c r="L744" s="380"/>
      <c r="M744" s="380"/>
      <c r="N744" s="380"/>
      <c r="O744" s="404"/>
      <c r="P744" s="380"/>
      <c r="Q744" s="380"/>
      <c r="R744" s="380"/>
      <c r="S744" s="380"/>
      <c r="T744" s="380"/>
      <c r="U744" s="380"/>
      <c r="V744" s="380"/>
      <c r="W744" s="403"/>
      <c r="X744" s="380"/>
      <c r="Y744" s="380"/>
      <c r="Z744" s="380"/>
      <c r="AA744" s="380"/>
      <c r="AB744" s="380"/>
      <c r="AC744" s="404"/>
      <c r="AD744" s="380"/>
      <c r="AE744" s="380"/>
      <c r="AF744" s="380"/>
      <c r="AG744" s="380"/>
      <c r="AH744" s="380"/>
      <c r="AI744" s="380"/>
      <c r="AJ744" s="380"/>
      <c r="AK744" s="403"/>
      <c r="AL744" s="380"/>
      <c r="AM744" s="380"/>
      <c r="AN744" s="380"/>
      <c r="AO744" s="380"/>
      <c r="AP744" s="380"/>
      <c r="AQ744" s="404"/>
      <c r="AR744" s="380"/>
      <c r="AS744" s="380"/>
      <c r="AT744" s="380"/>
      <c r="AU744" s="380"/>
      <c r="AV744" s="380"/>
      <c r="AW744" s="380"/>
      <c r="AX744" s="380"/>
      <c r="AY744" s="403"/>
      <c r="AZ744" s="380"/>
      <c r="BA744" s="380"/>
      <c r="BB744" s="380"/>
      <c r="BC744" s="380"/>
      <c r="BD744" s="380"/>
      <c r="BE744" s="404"/>
      <c r="BF744" s="380"/>
      <c r="BG744" s="380"/>
      <c r="BH744" s="380"/>
      <c r="BI744" s="380"/>
      <c r="BJ744" s="380"/>
      <c r="BK744" s="380"/>
      <c r="BL744" s="380"/>
      <c r="BM744" s="403"/>
      <c r="BS744" s="83"/>
      <c r="CA744" s="405"/>
      <c r="CG744" s="83"/>
      <c r="CO744" s="405"/>
      <c r="CU744" s="83"/>
      <c r="DC744" s="405"/>
      <c r="DI744" s="83"/>
      <c r="DQ744" s="405"/>
      <c r="DW744" s="83"/>
      <c r="EE744" s="405"/>
      <c r="EK744" s="83"/>
      <c r="ES744" s="405"/>
      <c r="EY744" s="83"/>
      <c r="FG744" s="405"/>
      <c r="FM744" s="83"/>
      <c r="FU744" s="405"/>
      <c r="GA744" s="83"/>
      <c r="GI744" s="405"/>
      <c r="GO744" s="83"/>
      <c r="GW744" s="405"/>
      <c r="HC744" s="83"/>
      <c r="HK744" s="405"/>
      <c r="HQ744" s="83"/>
      <c r="HY744" s="405"/>
      <c r="IE744" s="83"/>
      <c r="IM744" s="405"/>
      <c r="IS744" s="83"/>
      <c r="JA744" s="405"/>
      <c r="JG744" s="83"/>
      <c r="JO744" s="405"/>
      <c r="JU744" s="83"/>
      <c r="KC744" s="405"/>
      <c r="KI744" s="83"/>
      <c r="KQ744" s="405"/>
      <c r="KW744" s="83"/>
      <c r="LE744" s="405"/>
      <c r="LK744" s="83"/>
      <c r="LS744" s="405"/>
      <c r="LY744" s="83"/>
      <c r="MG744" s="405"/>
      <c r="MM744" s="83"/>
      <c r="MU744" s="405"/>
      <c r="NA744" s="83"/>
    </row>
    <row r="745">
      <c r="A745" s="483"/>
      <c r="B745" s="380"/>
      <c r="C745" s="380"/>
      <c r="D745" s="380"/>
      <c r="E745" s="380"/>
      <c r="F745" s="380"/>
      <c r="G745" s="380"/>
      <c r="H745" s="380"/>
      <c r="I745" s="403"/>
      <c r="J745" s="380"/>
      <c r="K745" s="380"/>
      <c r="L745" s="380"/>
      <c r="M745" s="380"/>
      <c r="N745" s="380"/>
      <c r="O745" s="404"/>
      <c r="P745" s="380"/>
      <c r="Q745" s="380"/>
      <c r="R745" s="380"/>
      <c r="S745" s="380"/>
      <c r="T745" s="380"/>
      <c r="U745" s="380"/>
      <c r="V745" s="380"/>
      <c r="W745" s="403"/>
      <c r="X745" s="380"/>
      <c r="Y745" s="380"/>
      <c r="Z745" s="380"/>
      <c r="AA745" s="380"/>
      <c r="AB745" s="380"/>
      <c r="AC745" s="404"/>
      <c r="AD745" s="380"/>
      <c r="AE745" s="380"/>
      <c r="AF745" s="380"/>
      <c r="AG745" s="380"/>
      <c r="AH745" s="380"/>
      <c r="AI745" s="380"/>
      <c r="AJ745" s="380"/>
      <c r="AK745" s="403"/>
      <c r="AL745" s="380"/>
      <c r="AM745" s="380"/>
      <c r="AN745" s="380"/>
      <c r="AO745" s="380"/>
      <c r="AP745" s="380"/>
      <c r="AQ745" s="404"/>
      <c r="AR745" s="380"/>
      <c r="AS745" s="380"/>
      <c r="AT745" s="380"/>
      <c r="AU745" s="380"/>
      <c r="AV745" s="380"/>
      <c r="AW745" s="380"/>
      <c r="AX745" s="380"/>
      <c r="AY745" s="403"/>
      <c r="AZ745" s="380"/>
      <c r="BA745" s="380"/>
      <c r="BB745" s="380"/>
      <c r="BC745" s="380"/>
      <c r="BD745" s="380"/>
      <c r="BE745" s="404"/>
      <c r="BF745" s="380"/>
      <c r="BG745" s="380"/>
      <c r="BH745" s="380"/>
      <c r="BI745" s="380"/>
      <c r="BJ745" s="380"/>
      <c r="BK745" s="380"/>
      <c r="BL745" s="380"/>
      <c r="BM745" s="403"/>
      <c r="BS745" s="83"/>
      <c r="CA745" s="405"/>
      <c r="CG745" s="83"/>
      <c r="CO745" s="405"/>
      <c r="CU745" s="83"/>
      <c r="DC745" s="405"/>
      <c r="DI745" s="83"/>
      <c r="DQ745" s="405"/>
      <c r="DW745" s="83"/>
      <c r="EE745" s="405"/>
      <c r="EK745" s="83"/>
      <c r="ES745" s="405"/>
      <c r="EY745" s="83"/>
      <c r="FG745" s="405"/>
      <c r="FM745" s="83"/>
      <c r="FU745" s="405"/>
      <c r="GA745" s="83"/>
      <c r="GI745" s="405"/>
      <c r="GO745" s="83"/>
      <c r="GW745" s="405"/>
      <c r="HC745" s="83"/>
      <c r="HK745" s="405"/>
      <c r="HQ745" s="83"/>
      <c r="HY745" s="405"/>
      <c r="IE745" s="83"/>
      <c r="IM745" s="405"/>
      <c r="IS745" s="83"/>
      <c r="JA745" s="405"/>
      <c r="JG745" s="83"/>
      <c r="JO745" s="405"/>
      <c r="JU745" s="83"/>
      <c r="KC745" s="405"/>
      <c r="KI745" s="83"/>
      <c r="KQ745" s="405"/>
      <c r="KW745" s="83"/>
      <c r="LE745" s="405"/>
      <c r="LK745" s="83"/>
      <c r="LS745" s="405"/>
      <c r="LY745" s="83"/>
      <c r="MG745" s="405"/>
      <c r="MM745" s="83"/>
      <c r="MU745" s="405"/>
      <c r="NA745" s="83"/>
    </row>
    <row r="746">
      <c r="A746" s="483"/>
      <c r="B746" s="380"/>
      <c r="C746" s="380"/>
      <c r="D746" s="380"/>
      <c r="E746" s="380"/>
      <c r="F746" s="380"/>
      <c r="G746" s="380"/>
      <c r="H746" s="380"/>
      <c r="I746" s="403"/>
      <c r="J746" s="380"/>
      <c r="K746" s="380"/>
      <c r="L746" s="380"/>
      <c r="M746" s="380"/>
      <c r="N746" s="380"/>
      <c r="O746" s="404"/>
      <c r="P746" s="380"/>
      <c r="Q746" s="380"/>
      <c r="R746" s="380"/>
      <c r="S746" s="380"/>
      <c r="T746" s="380"/>
      <c r="U746" s="380"/>
      <c r="V746" s="380"/>
      <c r="W746" s="403"/>
      <c r="X746" s="380"/>
      <c r="Y746" s="380"/>
      <c r="Z746" s="380"/>
      <c r="AA746" s="380"/>
      <c r="AB746" s="380"/>
      <c r="AC746" s="404"/>
      <c r="AD746" s="380"/>
      <c r="AE746" s="380"/>
      <c r="AF746" s="380"/>
      <c r="AG746" s="380"/>
      <c r="AH746" s="380"/>
      <c r="AI746" s="380"/>
      <c r="AJ746" s="380"/>
      <c r="AK746" s="403"/>
      <c r="AL746" s="380"/>
      <c r="AM746" s="380"/>
      <c r="AN746" s="380"/>
      <c r="AO746" s="380"/>
      <c r="AP746" s="380"/>
      <c r="AQ746" s="404"/>
      <c r="AR746" s="380"/>
      <c r="AS746" s="380"/>
      <c r="AT746" s="380"/>
      <c r="AU746" s="380"/>
      <c r="AV746" s="380"/>
      <c r="AW746" s="380"/>
      <c r="AX746" s="380"/>
      <c r="AY746" s="403"/>
      <c r="AZ746" s="380"/>
      <c r="BA746" s="380"/>
      <c r="BB746" s="380"/>
      <c r="BC746" s="380"/>
      <c r="BD746" s="380"/>
      <c r="BE746" s="404"/>
      <c r="BF746" s="380"/>
      <c r="BG746" s="380"/>
      <c r="BH746" s="380"/>
      <c r="BI746" s="380"/>
      <c r="BJ746" s="380"/>
      <c r="BK746" s="380"/>
      <c r="BL746" s="380"/>
      <c r="BM746" s="403"/>
      <c r="BS746" s="83"/>
      <c r="CA746" s="405"/>
      <c r="CG746" s="83"/>
      <c r="CO746" s="405"/>
      <c r="CU746" s="83"/>
      <c r="DC746" s="405"/>
      <c r="DI746" s="83"/>
      <c r="DQ746" s="405"/>
      <c r="DW746" s="83"/>
      <c r="EE746" s="405"/>
      <c r="EK746" s="83"/>
      <c r="ES746" s="405"/>
      <c r="EY746" s="83"/>
      <c r="FG746" s="405"/>
      <c r="FM746" s="83"/>
      <c r="FU746" s="405"/>
      <c r="GA746" s="83"/>
      <c r="GI746" s="405"/>
      <c r="GO746" s="83"/>
      <c r="GW746" s="405"/>
      <c r="HC746" s="83"/>
      <c r="HK746" s="405"/>
      <c r="HQ746" s="83"/>
      <c r="HY746" s="405"/>
      <c r="IE746" s="83"/>
      <c r="IM746" s="405"/>
      <c r="IS746" s="83"/>
      <c r="JA746" s="405"/>
      <c r="JG746" s="83"/>
      <c r="JO746" s="405"/>
      <c r="JU746" s="83"/>
      <c r="KC746" s="405"/>
      <c r="KI746" s="83"/>
      <c r="KQ746" s="405"/>
      <c r="KW746" s="83"/>
      <c r="LE746" s="405"/>
      <c r="LK746" s="83"/>
      <c r="LS746" s="405"/>
      <c r="LY746" s="83"/>
      <c r="MG746" s="405"/>
      <c r="MM746" s="83"/>
      <c r="MU746" s="405"/>
      <c r="NA746" s="83"/>
    </row>
    <row r="747">
      <c r="A747" s="483"/>
      <c r="B747" s="380"/>
      <c r="C747" s="380"/>
      <c r="D747" s="380"/>
      <c r="E747" s="380"/>
      <c r="F747" s="380"/>
      <c r="G747" s="380"/>
      <c r="H747" s="380"/>
      <c r="I747" s="403"/>
      <c r="J747" s="380"/>
      <c r="K747" s="380"/>
      <c r="L747" s="380"/>
      <c r="M747" s="380"/>
      <c r="N747" s="380"/>
      <c r="O747" s="404"/>
      <c r="P747" s="380"/>
      <c r="Q747" s="380"/>
      <c r="R747" s="380"/>
      <c r="S747" s="380"/>
      <c r="T747" s="380"/>
      <c r="U747" s="380"/>
      <c r="V747" s="380"/>
      <c r="W747" s="403"/>
      <c r="X747" s="380"/>
      <c r="Y747" s="380"/>
      <c r="Z747" s="380"/>
      <c r="AA747" s="380"/>
      <c r="AB747" s="380"/>
      <c r="AC747" s="404"/>
      <c r="AD747" s="380"/>
      <c r="AE747" s="380"/>
      <c r="AF747" s="380"/>
      <c r="AG747" s="380"/>
      <c r="AH747" s="380"/>
      <c r="AI747" s="380"/>
      <c r="AJ747" s="380"/>
      <c r="AK747" s="403"/>
      <c r="AL747" s="380"/>
      <c r="AM747" s="380"/>
      <c r="AN747" s="380"/>
      <c r="AO747" s="380"/>
      <c r="AP747" s="380"/>
      <c r="AQ747" s="404"/>
      <c r="AR747" s="380"/>
      <c r="AS747" s="380"/>
      <c r="AT747" s="380"/>
      <c r="AU747" s="380"/>
      <c r="AV747" s="380"/>
      <c r="AW747" s="380"/>
      <c r="AX747" s="380"/>
      <c r="AY747" s="403"/>
      <c r="AZ747" s="380"/>
      <c r="BA747" s="380"/>
      <c r="BB747" s="380"/>
      <c r="BC747" s="380"/>
      <c r="BD747" s="380"/>
      <c r="BE747" s="404"/>
      <c r="BF747" s="380"/>
      <c r="BG747" s="380"/>
      <c r="BH747" s="380"/>
      <c r="BI747" s="380"/>
      <c r="BJ747" s="380"/>
      <c r="BK747" s="380"/>
      <c r="BL747" s="380"/>
      <c r="BM747" s="403"/>
      <c r="BS747" s="83"/>
      <c r="CA747" s="405"/>
      <c r="CG747" s="83"/>
      <c r="CO747" s="405"/>
      <c r="CU747" s="83"/>
      <c r="DC747" s="405"/>
      <c r="DI747" s="83"/>
      <c r="DQ747" s="405"/>
      <c r="DW747" s="83"/>
      <c r="EE747" s="405"/>
      <c r="EK747" s="83"/>
      <c r="ES747" s="405"/>
      <c r="EY747" s="83"/>
      <c r="FG747" s="405"/>
      <c r="FM747" s="83"/>
      <c r="FU747" s="405"/>
      <c r="GA747" s="83"/>
      <c r="GI747" s="405"/>
      <c r="GO747" s="83"/>
      <c r="GW747" s="405"/>
      <c r="HC747" s="83"/>
      <c r="HK747" s="405"/>
      <c r="HQ747" s="83"/>
      <c r="HY747" s="405"/>
      <c r="IE747" s="83"/>
      <c r="IM747" s="405"/>
      <c r="IS747" s="83"/>
      <c r="JA747" s="405"/>
      <c r="JG747" s="83"/>
      <c r="JO747" s="405"/>
      <c r="JU747" s="83"/>
      <c r="KC747" s="405"/>
      <c r="KI747" s="83"/>
      <c r="KQ747" s="405"/>
      <c r="KW747" s="83"/>
      <c r="LE747" s="405"/>
      <c r="LK747" s="83"/>
      <c r="LS747" s="405"/>
      <c r="LY747" s="83"/>
      <c r="MG747" s="405"/>
      <c r="MM747" s="83"/>
      <c r="MU747" s="405"/>
      <c r="NA747" s="83"/>
    </row>
    <row r="748">
      <c r="A748" s="483"/>
      <c r="B748" s="380"/>
      <c r="C748" s="380"/>
      <c r="D748" s="380"/>
      <c r="E748" s="380"/>
      <c r="F748" s="380"/>
      <c r="G748" s="380"/>
      <c r="H748" s="380"/>
      <c r="I748" s="403"/>
      <c r="J748" s="380"/>
      <c r="K748" s="380"/>
      <c r="L748" s="380"/>
      <c r="M748" s="380"/>
      <c r="N748" s="380"/>
      <c r="O748" s="404"/>
      <c r="P748" s="380"/>
      <c r="Q748" s="380"/>
      <c r="R748" s="380"/>
      <c r="S748" s="380"/>
      <c r="T748" s="380"/>
      <c r="U748" s="380"/>
      <c r="V748" s="380"/>
      <c r="W748" s="403"/>
      <c r="X748" s="380"/>
      <c r="Y748" s="380"/>
      <c r="Z748" s="380"/>
      <c r="AA748" s="380"/>
      <c r="AB748" s="380"/>
      <c r="AC748" s="404"/>
      <c r="AD748" s="380"/>
      <c r="AE748" s="380"/>
      <c r="AF748" s="380"/>
      <c r="AG748" s="380"/>
      <c r="AH748" s="380"/>
      <c r="AI748" s="380"/>
      <c r="AJ748" s="380"/>
      <c r="AK748" s="403"/>
      <c r="AL748" s="380"/>
      <c r="AM748" s="380"/>
      <c r="AN748" s="380"/>
      <c r="AO748" s="380"/>
      <c r="AP748" s="380"/>
      <c r="AQ748" s="404"/>
      <c r="AR748" s="380"/>
      <c r="AS748" s="380"/>
      <c r="AT748" s="380"/>
      <c r="AU748" s="380"/>
      <c r="AV748" s="380"/>
      <c r="AW748" s="380"/>
      <c r="AX748" s="380"/>
      <c r="AY748" s="403"/>
      <c r="AZ748" s="380"/>
      <c r="BA748" s="380"/>
      <c r="BB748" s="380"/>
      <c r="BC748" s="380"/>
      <c r="BD748" s="380"/>
      <c r="BE748" s="404"/>
      <c r="BF748" s="380"/>
      <c r="BG748" s="380"/>
      <c r="BH748" s="380"/>
      <c r="BI748" s="380"/>
      <c r="BJ748" s="380"/>
      <c r="BK748" s="380"/>
      <c r="BL748" s="380"/>
      <c r="BM748" s="403"/>
      <c r="BS748" s="83"/>
      <c r="CA748" s="405"/>
      <c r="CG748" s="83"/>
      <c r="CO748" s="405"/>
      <c r="CU748" s="83"/>
      <c r="DC748" s="405"/>
      <c r="DI748" s="83"/>
      <c r="DQ748" s="405"/>
      <c r="DW748" s="83"/>
      <c r="EE748" s="405"/>
      <c r="EK748" s="83"/>
      <c r="ES748" s="405"/>
      <c r="EY748" s="83"/>
      <c r="FG748" s="405"/>
      <c r="FM748" s="83"/>
      <c r="FU748" s="405"/>
      <c r="GA748" s="83"/>
      <c r="GI748" s="405"/>
      <c r="GO748" s="83"/>
      <c r="GW748" s="405"/>
      <c r="HC748" s="83"/>
      <c r="HK748" s="405"/>
      <c r="HQ748" s="83"/>
      <c r="HY748" s="405"/>
      <c r="IE748" s="83"/>
      <c r="IM748" s="405"/>
      <c r="IS748" s="83"/>
      <c r="JA748" s="405"/>
      <c r="JG748" s="83"/>
      <c r="JO748" s="405"/>
      <c r="JU748" s="83"/>
      <c r="KC748" s="405"/>
      <c r="KI748" s="83"/>
      <c r="KQ748" s="405"/>
      <c r="KW748" s="83"/>
      <c r="LE748" s="405"/>
      <c r="LK748" s="83"/>
      <c r="LS748" s="405"/>
      <c r="LY748" s="83"/>
      <c r="MG748" s="405"/>
      <c r="MM748" s="83"/>
      <c r="MU748" s="405"/>
      <c r="NA748" s="83"/>
    </row>
    <row r="749">
      <c r="A749" s="483"/>
      <c r="B749" s="380"/>
      <c r="C749" s="380"/>
      <c r="D749" s="380"/>
      <c r="E749" s="380"/>
      <c r="F749" s="380"/>
      <c r="G749" s="380"/>
      <c r="H749" s="380"/>
      <c r="I749" s="403"/>
      <c r="J749" s="380"/>
      <c r="K749" s="380"/>
      <c r="L749" s="380"/>
      <c r="M749" s="380"/>
      <c r="N749" s="380"/>
      <c r="O749" s="404"/>
      <c r="P749" s="380"/>
      <c r="Q749" s="380"/>
      <c r="R749" s="380"/>
      <c r="S749" s="380"/>
      <c r="T749" s="380"/>
      <c r="U749" s="380"/>
      <c r="V749" s="380"/>
      <c r="W749" s="403"/>
      <c r="X749" s="380"/>
      <c r="Y749" s="380"/>
      <c r="Z749" s="380"/>
      <c r="AA749" s="380"/>
      <c r="AB749" s="380"/>
      <c r="AC749" s="404"/>
      <c r="AD749" s="380"/>
      <c r="AE749" s="380"/>
      <c r="AF749" s="380"/>
      <c r="AG749" s="380"/>
      <c r="AH749" s="380"/>
      <c r="AI749" s="380"/>
      <c r="AJ749" s="380"/>
      <c r="AK749" s="403"/>
      <c r="AL749" s="380"/>
      <c r="AM749" s="380"/>
      <c r="AN749" s="380"/>
      <c r="AO749" s="380"/>
      <c r="AP749" s="380"/>
      <c r="AQ749" s="404"/>
      <c r="AR749" s="380"/>
      <c r="AS749" s="380"/>
      <c r="AT749" s="380"/>
      <c r="AU749" s="380"/>
      <c r="AV749" s="380"/>
      <c r="AW749" s="380"/>
      <c r="AX749" s="380"/>
      <c r="AY749" s="403"/>
      <c r="AZ749" s="380"/>
      <c r="BA749" s="380"/>
      <c r="BB749" s="380"/>
      <c r="BC749" s="380"/>
      <c r="BD749" s="380"/>
      <c r="BE749" s="404"/>
      <c r="BF749" s="380"/>
      <c r="BG749" s="380"/>
      <c r="BH749" s="380"/>
      <c r="BI749" s="380"/>
      <c r="BJ749" s="380"/>
      <c r="BK749" s="380"/>
      <c r="BL749" s="380"/>
      <c r="BM749" s="403"/>
      <c r="BS749" s="83"/>
      <c r="CA749" s="405"/>
      <c r="CG749" s="83"/>
      <c r="CO749" s="405"/>
      <c r="CU749" s="83"/>
      <c r="DC749" s="405"/>
      <c r="DI749" s="83"/>
      <c r="DQ749" s="405"/>
      <c r="DW749" s="83"/>
      <c r="EE749" s="405"/>
      <c r="EK749" s="83"/>
      <c r="ES749" s="405"/>
      <c r="EY749" s="83"/>
      <c r="FG749" s="405"/>
      <c r="FM749" s="83"/>
      <c r="FU749" s="405"/>
      <c r="GA749" s="83"/>
      <c r="GI749" s="405"/>
      <c r="GO749" s="83"/>
      <c r="GW749" s="405"/>
      <c r="HC749" s="83"/>
      <c r="HK749" s="405"/>
      <c r="HQ749" s="83"/>
      <c r="HY749" s="405"/>
      <c r="IE749" s="83"/>
      <c r="IM749" s="405"/>
      <c r="IS749" s="83"/>
      <c r="JA749" s="405"/>
      <c r="JG749" s="83"/>
      <c r="JO749" s="405"/>
      <c r="JU749" s="83"/>
      <c r="KC749" s="405"/>
      <c r="KI749" s="83"/>
      <c r="KQ749" s="405"/>
      <c r="KW749" s="83"/>
      <c r="LE749" s="405"/>
      <c r="LK749" s="83"/>
      <c r="LS749" s="405"/>
      <c r="LY749" s="83"/>
      <c r="MG749" s="405"/>
      <c r="MM749" s="83"/>
      <c r="MU749" s="405"/>
      <c r="NA749" s="83"/>
    </row>
    <row r="750">
      <c r="A750" s="483"/>
      <c r="B750" s="380"/>
      <c r="C750" s="380"/>
      <c r="D750" s="380"/>
      <c r="E750" s="380"/>
      <c r="F750" s="380"/>
      <c r="G750" s="380"/>
      <c r="H750" s="380"/>
      <c r="I750" s="403"/>
      <c r="J750" s="380"/>
      <c r="K750" s="380"/>
      <c r="L750" s="380"/>
      <c r="M750" s="380"/>
      <c r="N750" s="380"/>
      <c r="O750" s="404"/>
      <c r="P750" s="380"/>
      <c r="Q750" s="380"/>
      <c r="R750" s="380"/>
      <c r="S750" s="380"/>
      <c r="T750" s="380"/>
      <c r="U750" s="380"/>
      <c r="V750" s="380"/>
      <c r="W750" s="403"/>
      <c r="X750" s="380"/>
      <c r="Y750" s="380"/>
      <c r="Z750" s="380"/>
      <c r="AA750" s="380"/>
      <c r="AB750" s="380"/>
      <c r="AC750" s="404"/>
      <c r="AD750" s="380"/>
      <c r="AE750" s="380"/>
      <c r="AF750" s="380"/>
      <c r="AG750" s="380"/>
      <c r="AH750" s="380"/>
      <c r="AI750" s="380"/>
      <c r="AJ750" s="380"/>
      <c r="AK750" s="403"/>
      <c r="AL750" s="380"/>
      <c r="AM750" s="380"/>
      <c r="AN750" s="380"/>
      <c r="AO750" s="380"/>
      <c r="AP750" s="380"/>
      <c r="AQ750" s="404"/>
      <c r="AR750" s="380"/>
      <c r="AS750" s="380"/>
      <c r="AT750" s="380"/>
      <c r="AU750" s="380"/>
      <c r="AV750" s="380"/>
      <c r="AW750" s="380"/>
      <c r="AX750" s="380"/>
      <c r="AY750" s="403"/>
      <c r="AZ750" s="380"/>
      <c r="BA750" s="380"/>
      <c r="BB750" s="380"/>
      <c r="BC750" s="380"/>
      <c r="BD750" s="380"/>
      <c r="BE750" s="404"/>
      <c r="BF750" s="380"/>
      <c r="BG750" s="380"/>
      <c r="BH750" s="380"/>
      <c r="BI750" s="380"/>
      <c r="BJ750" s="380"/>
      <c r="BK750" s="380"/>
      <c r="BL750" s="380"/>
      <c r="BM750" s="403"/>
      <c r="BS750" s="83"/>
      <c r="CA750" s="405"/>
      <c r="CG750" s="83"/>
      <c r="CO750" s="405"/>
      <c r="CU750" s="83"/>
      <c r="DC750" s="405"/>
      <c r="DI750" s="83"/>
      <c r="DQ750" s="405"/>
      <c r="DW750" s="83"/>
      <c r="EE750" s="405"/>
      <c r="EK750" s="83"/>
      <c r="ES750" s="405"/>
      <c r="EY750" s="83"/>
      <c r="FG750" s="405"/>
      <c r="FM750" s="83"/>
      <c r="FU750" s="405"/>
      <c r="GA750" s="83"/>
      <c r="GI750" s="405"/>
      <c r="GO750" s="83"/>
      <c r="GW750" s="405"/>
      <c r="HC750" s="83"/>
      <c r="HK750" s="405"/>
      <c r="HQ750" s="83"/>
      <c r="HY750" s="405"/>
      <c r="IE750" s="83"/>
      <c r="IM750" s="405"/>
      <c r="IS750" s="83"/>
      <c r="JA750" s="405"/>
      <c r="JG750" s="83"/>
      <c r="JO750" s="405"/>
      <c r="JU750" s="83"/>
      <c r="KC750" s="405"/>
      <c r="KI750" s="83"/>
      <c r="KQ750" s="405"/>
      <c r="KW750" s="83"/>
      <c r="LE750" s="405"/>
      <c r="LK750" s="83"/>
      <c r="LS750" s="405"/>
      <c r="LY750" s="83"/>
      <c r="MG750" s="405"/>
      <c r="MM750" s="83"/>
      <c r="MU750" s="405"/>
      <c r="NA750" s="83"/>
    </row>
    <row r="751">
      <c r="A751" s="483"/>
      <c r="B751" s="380"/>
      <c r="C751" s="380"/>
      <c r="D751" s="380"/>
      <c r="E751" s="380"/>
      <c r="F751" s="380"/>
      <c r="G751" s="380"/>
      <c r="H751" s="380"/>
      <c r="I751" s="403"/>
      <c r="J751" s="380"/>
      <c r="K751" s="380"/>
      <c r="L751" s="380"/>
      <c r="M751" s="380"/>
      <c r="N751" s="380"/>
      <c r="O751" s="404"/>
      <c r="P751" s="380"/>
      <c r="Q751" s="380"/>
      <c r="R751" s="380"/>
      <c r="S751" s="380"/>
      <c r="T751" s="380"/>
      <c r="U751" s="380"/>
      <c r="V751" s="380"/>
      <c r="W751" s="403"/>
      <c r="X751" s="380"/>
      <c r="Y751" s="380"/>
      <c r="Z751" s="380"/>
      <c r="AA751" s="380"/>
      <c r="AB751" s="380"/>
      <c r="AC751" s="404"/>
      <c r="AD751" s="380"/>
      <c r="AE751" s="380"/>
      <c r="AF751" s="380"/>
      <c r="AG751" s="380"/>
      <c r="AH751" s="380"/>
      <c r="AI751" s="380"/>
      <c r="AJ751" s="380"/>
      <c r="AK751" s="403"/>
      <c r="AL751" s="380"/>
      <c r="AM751" s="380"/>
      <c r="AN751" s="380"/>
      <c r="AO751" s="380"/>
      <c r="AP751" s="380"/>
      <c r="AQ751" s="404"/>
      <c r="AR751" s="380"/>
      <c r="AS751" s="380"/>
      <c r="AT751" s="380"/>
      <c r="AU751" s="380"/>
      <c r="AV751" s="380"/>
      <c r="AW751" s="380"/>
      <c r="AX751" s="380"/>
      <c r="AY751" s="403"/>
      <c r="AZ751" s="380"/>
      <c r="BA751" s="380"/>
      <c r="BB751" s="380"/>
      <c r="BC751" s="380"/>
      <c r="BD751" s="380"/>
      <c r="BE751" s="404"/>
      <c r="BF751" s="380"/>
      <c r="BG751" s="380"/>
      <c r="BH751" s="380"/>
      <c r="BI751" s="380"/>
      <c r="BJ751" s="380"/>
      <c r="BK751" s="380"/>
      <c r="BL751" s="380"/>
      <c r="BM751" s="403"/>
      <c r="BS751" s="83"/>
      <c r="CA751" s="405"/>
      <c r="CG751" s="83"/>
      <c r="CO751" s="405"/>
      <c r="CU751" s="83"/>
      <c r="DC751" s="405"/>
      <c r="DI751" s="83"/>
      <c r="DQ751" s="405"/>
      <c r="DW751" s="83"/>
      <c r="EE751" s="405"/>
      <c r="EK751" s="83"/>
      <c r="ES751" s="405"/>
      <c r="EY751" s="83"/>
      <c r="FG751" s="405"/>
      <c r="FM751" s="83"/>
      <c r="FU751" s="405"/>
      <c r="GA751" s="83"/>
      <c r="GI751" s="405"/>
      <c r="GO751" s="83"/>
      <c r="GW751" s="405"/>
      <c r="HC751" s="83"/>
      <c r="HK751" s="405"/>
      <c r="HQ751" s="83"/>
      <c r="HY751" s="405"/>
      <c r="IE751" s="83"/>
      <c r="IM751" s="405"/>
      <c r="IS751" s="83"/>
      <c r="JA751" s="405"/>
      <c r="JG751" s="83"/>
      <c r="JO751" s="405"/>
      <c r="JU751" s="83"/>
      <c r="KC751" s="405"/>
      <c r="KI751" s="83"/>
      <c r="KQ751" s="405"/>
      <c r="KW751" s="83"/>
      <c r="LE751" s="405"/>
      <c r="LK751" s="83"/>
      <c r="LS751" s="405"/>
      <c r="LY751" s="83"/>
      <c r="MG751" s="405"/>
      <c r="MM751" s="83"/>
      <c r="MU751" s="405"/>
      <c r="NA751" s="83"/>
    </row>
    <row r="752">
      <c r="A752" s="483"/>
      <c r="B752" s="380"/>
      <c r="C752" s="380"/>
      <c r="D752" s="380"/>
      <c r="E752" s="380"/>
      <c r="F752" s="380"/>
      <c r="G752" s="380"/>
      <c r="H752" s="380"/>
      <c r="I752" s="403"/>
      <c r="J752" s="380"/>
      <c r="K752" s="380"/>
      <c r="L752" s="380"/>
      <c r="M752" s="380"/>
      <c r="N752" s="380"/>
      <c r="O752" s="404"/>
      <c r="P752" s="380"/>
      <c r="Q752" s="380"/>
      <c r="R752" s="380"/>
      <c r="S752" s="380"/>
      <c r="T752" s="380"/>
      <c r="U752" s="380"/>
      <c r="V752" s="380"/>
      <c r="W752" s="403"/>
      <c r="X752" s="380"/>
      <c r="Y752" s="380"/>
      <c r="Z752" s="380"/>
      <c r="AA752" s="380"/>
      <c r="AB752" s="380"/>
      <c r="AC752" s="404"/>
      <c r="AD752" s="380"/>
      <c r="AE752" s="380"/>
      <c r="AF752" s="380"/>
      <c r="AG752" s="380"/>
      <c r="AH752" s="380"/>
      <c r="AI752" s="380"/>
      <c r="AJ752" s="380"/>
      <c r="AK752" s="403"/>
      <c r="AL752" s="380"/>
      <c r="AM752" s="380"/>
      <c r="AN752" s="380"/>
      <c r="AO752" s="380"/>
      <c r="AP752" s="380"/>
      <c r="AQ752" s="404"/>
      <c r="AR752" s="380"/>
      <c r="AS752" s="380"/>
      <c r="AT752" s="380"/>
      <c r="AU752" s="380"/>
      <c r="AV752" s="380"/>
      <c r="AW752" s="380"/>
      <c r="AX752" s="380"/>
      <c r="AY752" s="403"/>
      <c r="AZ752" s="380"/>
      <c r="BA752" s="380"/>
      <c r="BB752" s="380"/>
      <c r="BC752" s="380"/>
      <c r="BD752" s="380"/>
      <c r="BE752" s="404"/>
      <c r="BF752" s="380"/>
      <c r="BG752" s="380"/>
      <c r="BH752" s="380"/>
      <c r="BI752" s="380"/>
      <c r="BJ752" s="380"/>
      <c r="BK752" s="380"/>
      <c r="BL752" s="380"/>
      <c r="BM752" s="403"/>
      <c r="BS752" s="83"/>
      <c r="CA752" s="405"/>
      <c r="CG752" s="83"/>
      <c r="CO752" s="405"/>
      <c r="CU752" s="83"/>
      <c r="DC752" s="405"/>
      <c r="DI752" s="83"/>
      <c r="DQ752" s="405"/>
      <c r="DW752" s="83"/>
      <c r="EE752" s="405"/>
      <c r="EK752" s="83"/>
      <c r="ES752" s="405"/>
      <c r="EY752" s="83"/>
      <c r="FG752" s="405"/>
      <c r="FM752" s="83"/>
      <c r="FU752" s="405"/>
      <c r="GA752" s="83"/>
      <c r="GI752" s="405"/>
      <c r="GO752" s="83"/>
      <c r="GW752" s="405"/>
      <c r="HC752" s="83"/>
      <c r="HK752" s="405"/>
      <c r="HQ752" s="83"/>
      <c r="HY752" s="405"/>
      <c r="IE752" s="83"/>
      <c r="IM752" s="405"/>
      <c r="IS752" s="83"/>
      <c r="JA752" s="405"/>
      <c r="JG752" s="83"/>
      <c r="JO752" s="405"/>
      <c r="JU752" s="83"/>
      <c r="KC752" s="405"/>
      <c r="KI752" s="83"/>
      <c r="KQ752" s="405"/>
      <c r="KW752" s="83"/>
      <c r="LE752" s="405"/>
      <c r="LK752" s="83"/>
      <c r="LS752" s="405"/>
      <c r="LY752" s="83"/>
      <c r="MG752" s="405"/>
      <c r="MM752" s="83"/>
      <c r="MU752" s="405"/>
      <c r="NA752" s="83"/>
    </row>
    <row r="753">
      <c r="A753" s="483"/>
      <c r="B753" s="380"/>
      <c r="C753" s="380"/>
      <c r="D753" s="380"/>
      <c r="E753" s="380"/>
      <c r="F753" s="380"/>
      <c r="G753" s="380"/>
      <c r="H753" s="380"/>
      <c r="I753" s="403"/>
      <c r="J753" s="380"/>
      <c r="K753" s="380"/>
      <c r="L753" s="380"/>
      <c r="M753" s="380"/>
      <c r="N753" s="380"/>
      <c r="O753" s="404"/>
      <c r="P753" s="380"/>
      <c r="Q753" s="380"/>
      <c r="R753" s="380"/>
      <c r="S753" s="380"/>
      <c r="T753" s="380"/>
      <c r="U753" s="380"/>
      <c r="V753" s="380"/>
      <c r="W753" s="403"/>
      <c r="X753" s="380"/>
      <c r="Y753" s="380"/>
      <c r="Z753" s="380"/>
      <c r="AA753" s="380"/>
      <c r="AB753" s="380"/>
      <c r="AC753" s="404"/>
      <c r="AD753" s="380"/>
      <c r="AE753" s="380"/>
      <c r="AF753" s="380"/>
      <c r="AG753" s="380"/>
      <c r="AH753" s="380"/>
      <c r="AI753" s="380"/>
      <c r="AJ753" s="380"/>
      <c r="AK753" s="403"/>
      <c r="AL753" s="380"/>
      <c r="AM753" s="380"/>
      <c r="AN753" s="380"/>
      <c r="AO753" s="380"/>
      <c r="AP753" s="380"/>
      <c r="AQ753" s="404"/>
      <c r="AR753" s="380"/>
      <c r="AS753" s="380"/>
      <c r="AT753" s="380"/>
      <c r="AU753" s="380"/>
      <c r="AV753" s="380"/>
      <c r="AW753" s="380"/>
      <c r="AX753" s="380"/>
      <c r="AY753" s="403"/>
      <c r="AZ753" s="380"/>
      <c r="BA753" s="380"/>
      <c r="BB753" s="380"/>
      <c r="BC753" s="380"/>
      <c r="BD753" s="380"/>
      <c r="BE753" s="404"/>
      <c r="BF753" s="380"/>
      <c r="BG753" s="380"/>
      <c r="BH753" s="380"/>
      <c r="BI753" s="380"/>
      <c r="BJ753" s="380"/>
      <c r="BK753" s="380"/>
      <c r="BL753" s="380"/>
      <c r="BM753" s="403"/>
      <c r="BS753" s="83"/>
      <c r="CA753" s="405"/>
      <c r="CG753" s="83"/>
      <c r="CO753" s="405"/>
      <c r="CU753" s="83"/>
      <c r="DC753" s="405"/>
      <c r="DI753" s="83"/>
      <c r="DQ753" s="405"/>
      <c r="DW753" s="83"/>
      <c r="EE753" s="405"/>
      <c r="EK753" s="83"/>
      <c r="ES753" s="405"/>
      <c r="EY753" s="83"/>
      <c r="FG753" s="405"/>
      <c r="FM753" s="83"/>
      <c r="FU753" s="405"/>
      <c r="GA753" s="83"/>
      <c r="GI753" s="405"/>
      <c r="GO753" s="83"/>
      <c r="GW753" s="405"/>
      <c r="HC753" s="83"/>
      <c r="HK753" s="405"/>
      <c r="HQ753" s="83"/>
      <c r="HY753" s="405"/>
      <c r="IE753" s="83"/>
      <c r="IM753" s="405"/>
      <c r="IS753" s="83"/>
      <c r="JA753" s="405"/>
      <c r="JG753" s="83"/>
      <c r="JO753" s="405"/>
      <c r="JU753" s="83"/>
      <c r="KC753" s="405"/>
      <c r="KI753" s="83"/>
      <c r="KQ753" s="405"/>
      <c r="KW753" s="83"/>
      <c r="LE753" s="405"/>
      <c r="LK753" s="83"/>
      <c r="LS753" s="405"/>
      <c r="LY753" s="83"/>
      <c r="MG753" s="405"/>
      <c r="MM753" s="83"/>
      <c r="MU753" s="405"/>
      <c r="NA753" s="83"/>
    </row>
    <row r="754">
      <c r="A754" s="483"/>
      <c r="B754" s="380"/>
      <c r="C754" s="380"/>
      <c r="D754" s="380"/>
      <c r="E754" s="380"/>
      <c r="F754" s="380"/>
      <c r="G754" s="380"/>
      <c r="H754" s="380"/>
      <c r="I754" s="403"/>
      <c r="J754" s="380"/>
      <c r="K754" s="380"/>
      <c r="L754" s="380"/>
      <c r="M754" s="380"/>
      <c r="N754" s="380"/>
      <c r="O754" s="404"/>
      <c r="P754" s="380"/>
      <c r="Q754" s="380"/>
      <c r="R754" s="380"/>
      <c r="S754" s="380"/>
      <c r="T754" s="380"/>
      <c r="U754" s="380"/>
      <c r="V754" s="380"/>
      <c r="W754" s="403"/>
      <c r="X754" s="380"/>
      <c r="Y754" s="380"/>
      <c r="Z754" s="380"/>
      <c r="AA754" s="380"/>
      <c r="AB754" s="380"/>
      <c r="AC754" s="404"/>
      <c r="AD754" s="380"/>
      <c r="AE754" s="380"/>
      <c r="AF754" s="380"/>
      <c r="AG754" s="380"/>
      <c r="AH754" s="380"/>
      <c r="AI754" s="380"/>
      <c r="AJ754" s="380"/>
      <c r="AK754" s="403"/>
      <c r="AL754" s="380"/>
      <c r="AM754" s="380"/>
      <c r="AN754" s="380"/>
      <c r="AO754" s="380"/>
      <c r="AP754" s="380"/>
      <c r="AQ754" s="404"/>
      <c r="AR754" s="380"/>
      <c r="AS754" s="380"/>
      <c r="AT754" s="380"/>
      <c r="AU754" s="380"/>
      <c r="AV754" s="380"/>
      <c r="AW754" s="380"/>
      <c r="AX754" s="380"/>
      <c r="AY754" s="403"/>
      <c r="AZ754" s="380"/>
      <c r="BA754" s="380"/>
      <c r="BB754" s="380"/>
      <c r="BC754" s="380"/>
      <c r="BD754" s="380"/>
      <c r="BE754" s="404"/>
      <c r="BF754" s="380"/>
      <c r="BG754" s="380"/>
      <c r="BH754" s="380"/>
      <c r="BI754" s="380"/>
      <c r="BJ754" s="380"/>
      <c r="BK754" s="380"/>
      <c r="BL754" s="380"/>
      <c r="BM754" s="403"/>
      <c r="BS754" s="83"/>
      <c r="CA754" s="405"/>
      <c r="CG754" s="83"/>
      <c r="CO754" s="405"/>
      <c r="CU754" s="83"/>
      <c r="DC754" s="405"/>
      <c r="DI754" s="83"/>
      <c r="DQ754" s="405"/>
      <c r="DW754" s="83"/>
      <c r="EE754" s="405"/>
      <c r="EK754" s="83"/>
      <c r="ES754" s="405"/>
      <c r="EY754" s="83"/>
      <c r="FG754" s="405"/>
      <c r="FM754" s="83"/>
      <c r="FU754" s="405"/>
      <c r="GA754" s="83"/>
      <c r="GI754" s="405"/>
      <c r="GO754" s="83"/>
      <c r="GW754" s="405"/>
      <c r="HC754" s="83"/>
      <c r="HK754" s="405"/>
      <c r="HQ754" s="83"/>
      <c r="HY754" s="405"/>
      <c r="IE754" s="83"/>
      <c r="IM754" s="405"/>
      <c r="IS754" s="83"/>
      <c r="JA754" s="405"/>
      <c r="JG754" s="83"/>
      <c r="JO754" s="405"/>
      <c r="JU754" s="83"/>
      <c r="KC754" s="405"/>
      <c r="KI754" s="83"/>
      <c r="KQ754" s="405"/>
      <c r="KW754" s="83"/>
      <c r="LE754" s="405"/>
      <c r="LK754" s="83"/>
      <c r="LS754" s="405"/>
      <c r="LY754" s="83"/>
      <c r="MG754" s="405"/>
      <c r="MM754" s="83"/>
      <c r="MU754" s="405"/>
      <c r="NA754" s="83"/>
    </row>
    <row r="755">
      <c r="A755" s="483"/>
      <c r="B755" s="380"/>
      <c r="C755" s="380"/>
      <c r="D755" s="380"/>
      <c r="E755" s="380"/>
      <c r="F755" s="380"/>
      <c r="G755" s="380"/>
      <c r="H755" s="380"/>
      <c r="I755" s="403"/>
      <c r="J755" s="380"/>
      <c r="K755" s="380"/>
      <c r="L755" s="380"/>
      <c r="M755" s="380"/>
      <c r="N755" s="380"/>
      <c r="O755" s="404"/>
      <c r="P755" s="380"/>
      <c r="Q755" s="380"/>
      <c r="R755" s="380"/>
      <c r="S755" s="380"/>
      <c r="T755" s="380"/>
      <c r="U755" s="380"/>
      <c r="V755" s="380"/>
      <c r="W755" s="403"/>
      <c r="X755" s="380"/>
      <c r="Y755" s="380"/>
      <c r="Z755" s="380"/>
      <c r="AA755" s="380"/>
      <c r="AB755" s="380"/>
      <c r="AC755" s="404"/>
      <c r="AD755" s="380"/>
      <c r="AE755" s="380"/>
      <c r="AF755" s="380"/>
      <c r="AG755" s="380"/>
      <c r="AH755" s="380"/>
      <c r="AI755" s="380"/>
      <c r="AJ755" s="380"/>
      <c r="AK755" s="403"/>
      <c r="AL755" s="380"/>
      <c r="AM755" s="380"/>
      <c r="AN755" s="380"/>
      <c r="AO755" s="380"/>
      <c r="AP755" s="380"/>
      <c r="AQ755" s="404"/>
      <c r="AR755" s="380"/>
      <c r="AS755" s="380"/>
      <c r="AT755" s="380"/>
      <c r="AU755" s="380"/>
      <c r="AV755" s="380"/>
      <c r="AW755" s="380"/>
      <c r="AX755" s="380"/>
      <c r="AY755" s="403"/>
      <c r="AZ755" s="380"/>
      <c r="BA755" s="380"/>
      <c r="BB755" s="380"/>
      <c r="BC755" s="380"/>
      <c r="BD755" s="380"/>
      <c r="BE755" s="404"/>
      <c r="BF755" s="380"/>
      <c r="BG755" s="380"/>
      <c r="BH755" s="380"/>
      <c r="BI755" s="380"/>
      <c r="BJ755" s="380"/>
      <c r="BK755" s="380"/>
      <c r="BL755" s="380"/>
      <c r="BM755" s="403"/>
      <c r="BS755" s="83"/>
      <c r="CA755" s="405"/>
      <c r="CG755" s="83"/>
      <c r="CO755" s="405"/>
      <c r="CU755" s="83"/>
      <c r="DC755" s="405"/>
      <c r="DI755" s="83"/>
      <c r="DQ755" s="405"/>
      <c r="DW755" s="83"/>
      <c r="EE755" s="405"/>
      <c r="EK755" s="83"/>
      <c r="ES755" s="405"/>
      <c r="EY755" s="83"/>
      <c r="FG755" s="405"/>
      <c r="FM755" s="83"/>
      <c r="FU755" s="405"/>
      <c r="GA755" s="83"/>
      <c r="GI755" s="405"/>
      <c r="GO755" s="83"/>
      <c r="GW755" s="405"/>
      <c r="HC755" s="83"/>
      <c r="HK755" s="405"/>
      <c r="HQ755" s="83"/>
      <c r="HY755" s="405"/>
      <c r="IE755" s="83"/>
      <c r="IM755" s="405"/>
      <c r="IS755" s="83"/>
      <c r="JA755" s="405"/>
      <c r="JG755" s="83"/>
      <c r="JO755" s="405"/>
      <c r="JU755" s="83"/>
      <c r="KC755" s="405"/>
      <c r="KI755" s="83"/>
      <c r="KQ755" s="405"/>
      <c r="KW755" s="83"/>
      <c r="LE755" s="405"/>
      <c r="LK755" s="83"/>
      <c r="LS755" s="405"/>
      <c r="LY755" s="83"/>
      <c r="MG755" s="405"/>
      <c r="MM755" s="83"/>
      <c r="MU755" s="405"/>
      <c r="NA755" s="83"/>
    </row>
    <row r="756">
      <c r="A756" s="483"/>
      <c r="B756" s="380"/>
      <c r="C756" s="380"/>
      <c r="D756" s="380"/>
      <c r="E756" s="380"/>
      <c r="F756" s="380"/>
      <c r="G756" s="380"/>
      <c r="H756" s="380"/>
      <c r="I756" s="403"/>
      <c r="J756" s="380"/>
      <c r="K756" s="380"/>
      <c r="L756" s="380"/>
      <c r="M756" s="380"/>
      <c r="N756" s="380"/>
      <c r="O756" s="404"/>
      <c r="P756" s="380"/>
      <c r="Q756" s="380"/>
      <c r="R756" s="380"/>
      <c r="S756" s="380"/>
      <c r="T756" s="380"/>
      <c r="U756" s="380"/>
      <c r="V756" s="380"/>
      <c r="W756" s="403"/>
      <c r="X756" s="380"/>
      <c r="Y756" s="380"/>
      <c r="Z756" s="380"/>
      <c r="AA756" s="380"/>
      <c r="AB756" s="380"/>
      <c r="AC756" s="404"/>
      <c r="AD756" s="380"/>
      <c r="AE756" s="380"/>
      <c r="AF756" s="380"/>
      <c r="AG756" s="380"/>
      <c r="AH756" s="380"/>
      <c r="AI756" s="380"/>
      <c r="AJ756" s="380"/>
      <c r="AK756" s="403"/>
      <c r="AL756" s="380"/>
      <c r="AM756" s="380"/>
      <c r="AN756" s="380"/>
      <c r="AO756" s="380"/>
      <c r="AP756" s="380"/>
      <c r="AQ756" s="404"/>
      <c r="AR756" s="380"/>
      <c r="AS756" s="380"/>
      <c r="AT756" s="380"/>
      <c r="AU756" s="380"/>
      <c r="AV756" s="380"/>
      <c r="AW756" s="380"/>
      <c r="AX756" s="380"/>
      <c r="AY756" s="403"/>
      <c r="AZ756" s="380"/>
      <c r="BA756" s="380"/>
      <c r="BB756" s="380"/>
      <c r="BC756" s="380"/>
      <c r="BD756" s="380"/>
      <c r="BE756" s="404"/>
      <c r="BF756" s="380"/>
      <c r="BG756" s="380"/>
      <c r="BH756" s="380"/>
      <c r="BI756" s="380"/>
      <c r="BJ756" s="380"/>
      <c r="BK756" s="380"/>
      <c r="BL756" s="380"/>
      <c r="BM756" s="403"/>
      <c r="BS756" s="83"/>
      <c r="CA756" s="405"/>
      <c r="CG756" s="83"/>
      <c r="CO756" s="405"/>
      <c r="CU756" s="83"/>
      <c r="DC756" s="405"/>
      <c r="DI756" s="83"/>
      <c r="DQ756" s="405"/>
      <c r="DW756" s="83"/>
      <c r="EE756" s="405"/>
      <c r="EK756" s="83"/>
      <c r="ES756" s="405"/>
      <c r="EY756" s="83"/>
      <c r="FG756" s="405"/>
      <c r="FM756" s="83"/>
      <c r="FU756" s="405"/>
      <c r="GA756" s="83"/>
      <c r="GI756" s="405"/>
      <c r="GO756" s="83"/>
      <c r="GW756" s="405"/>
      <c r="HC756" s="83"/>
      <c r="HK756" s="405"/>
      <c r="HQ756" s="83"/>
      <c r="HY756" s="405"/>
      <c r="IE756" s="83"/>
      <c r="IM756" s="405"/>
      <c r="IS756" s="83"/>
      <c r="JA756" s="405"/>
      <c r="JG756" s="83"/>
      <c r="JO756" s="405"/>
      <c r="JU756" s="83"/>
      <c r="KC756" s="405"/>
      <c r="KI756" s="83"/>
      <c r="KQ756" s="405"/>
      <c r="KW756" s="83"/>
      <c r="LE756" s="405"/>
      <c r="LK756" s="83"/>
      <c r="LS756" s="405"/>
      <c r="LY756" s="83"/>
      <c r="MG756" s="405"/>
      <c r="MM756" s="83"/>
      <c r="MU756" s="405"/>
      <c r="NA756" s="83"/>
    </row>
    <row r="757">
      <c r="A757" s="483"/>
      <c r="B757" s="380"/>
      <c r="C757" s="380"/>
      <c r="D757" s="380"/>
      <c r="E757" s="380"/>
      <c r="F757" s="380"/>
      <c r="G757" s="380"/>
      <c r="H757" s="380"/>
      <c r="I757" s="403"/>
      <c r="J757" s="380"/>
      <c r="K757" s="380"/>
      <c r="L757" s="380"/>
      <c r="M757" s="380"/>
      <c r="N757" s="380"/>
      <c r="O757" s="404"/>
      <c r="P757" s="380"/>
      <c r="Q757" s="380"/>
      <c r="R757" s="380"/>
      <c r="S757" s="380"/>
      <c r="T757" s="380"/>
      <c r="U757" s="380"/>
      <c r="V757" s="380"/>
      <c r="W757" s="403"/>
      <c r="X757" s="380"/>
      <c r="Y757" s="380"/>
      <c r="Z757" s="380"/>
      <c r="AA757" s="380"/>
      <c r="AB757" s="380"/>
      <c r="AC757" s="404"/>
      <c r="AD757" s="380"/>
      <c r="AE757" s="380"/>
      <c r="AF757" s="380"/>
      <c r="AG757" s="380"/>
      <c r="AH757" s="380"/>
      <c r="AI757" s="380"/>
      <c r="AJ757" s="380"/>
      <c r="AK757" s="403"/>
      <c r="AL757" s="380"/>
      <c r="AM757" s="380"/>
      <c r="AN757" s="380"/>
      <c r="AO757" s="380"/>
      <c r="AP757" s="380"/>
      <c r="AQ757" s="404"/>
      <c r="AR757" s="380"/>
      <c r="AS757" s="380"/>
      <c r="AT757" s="380"/>
      <c r="AU757" s="380"/>
      <c r="AV757" s="380"/>
      <c r="AW757" s="380"/>
      <c r="AX757" s="380"/>
      <c r="AY757" s="403"/>
      <c r="AZ757" s="380"/>
      <c r="BA757" s="380"/>
      <c r="BB757" s="380"/>
      <c r="BC757" s="380"/>
      <c r="BD757" s="380"/>
      <c r="BE757" s="404"/>
      <c r="BF757" s="380"/>
      <c r="BG757" s="380"/>
      <c r="BH757" s="380"/>
      <c r="BI757" s="380"/>
      <c r="BJ757" s="380"/>
      <c r="BK757" s="380"/>
      <c r="BL757" s="380"/>
      <c r="BM757" s="403"/>
      <c r="BS757" s="83"/>
      <c r="CA757" s="405"/>
      <c r="CG757" s="83"/>
      <c r="CO757" s="405"/>
      <c r="CU757" s="83"/>
      <c r="DC757" s="405"/>
      <c r="DI757" s="83"/>
      <c r="DQ757" s="405"/>
      <c r="DW757" s="83"/>
      <c r="EE757" s="405"/>
      <c r="EK757" s="83"/>
      <c r="ES757" s="405"/>
      <c r="EY757" s="83"/>
      <c r="FG757" s="405"/>
      <c r="FM757" s="83"/>
      <c r="FU757" s="405"/>
      <c r="GA757" s="83"/>
      <c r="GI757" s="405"/>
      <c r="GO757" s="83"/>
      <c r="GW757" s="405"/>
      <c r="HC757" s="83"/>
      <c r="HK757" s="405"/>
      <c r="HQ757" s="83"/>
      <c r="HY757" s="405"/>
      <c r="IE757" s="83"/>
      <c r="IM757" s="405"/>
      <c r="IS757" s="83"/>
      <c r="JA757" s="405"/>
      <c r="JG757" s="83"/>
      <c r="JO757" s="405"/>
      <c r="JU757" s="83"/>
      <c r="KC757" s="405"/>
      <c r="KI757" s="83"/>
      <c r="KQ757" s="405"/>
      <c r="KW757" s="83"/>
      <c r="LE757" s="405"/>
      <c r="LK757" s="83"/>
      <c r="LS757" s="405"/>
      <c r="LY757" s="83"/>
      <c r="MG757" s="405"/>
      <c r="MM757" s="83"/>
      <c r="MU757" s="405"/>
      <c r="NA757" s="83"/>
    </row>
    <row r="758">
      <c r="A758" s="483"/>
      <c r="B758" s="380"/>
      <c r="C758" s="380"/>
      <c r="D758" s="380"/>
      <c r="E758" s="380"/>
      <c r="F758" s="380"/>
      <c r="G758" s="380"/>
      <c r="H758" s="380"/>
      <c r="I758" s="403"/>
      <c r="J758" s="380"/>
      <c r="K758" s="380"/>
      <c r="L758" s="380"/>
      <c r="M758" s="380"/>
      <c r="N758" s="380"/>
      <c r="O758" s="404"/>
      <c r="P758" s="380"/>
      <c r="Q758" s="380"/>
      <c r="R758" s="380"/>
      <c r="S758" s="380"/>
      <c r="T758" s="380"/>
      <c r="U758" s="380"/>
      <c r="V758" s="380"/>
      <c r="W758" s="403"/>
      <c r="X758" s="380"/>
      <c r="Y758" s="380"/>
      <c r="Z758" s="380"/>
      <c r="AA758" s="380"/>
      <c r="AB758" s="380"/>
      <c r="AC758" s="404"/>
      <c r="AD758" s="380"/>
      <c r="AE758" s="380"/>
      <c r="AF758" s="380"/>
      <c r="AG758" s="380"/>
      <c r="AH758" s="380"/>
      <c r="AI758" s="380"/>
      <c r="AJ758" s="380"/>
      <c r="AK758" s="403"/>
      <c r="AL758" s="380"/>
      <c r="AM758" s="380"/>
      <c r="AN758" s="380"/>
      <c r="AO758" s="380"/>
      <c r="AP758" s="380"/>
      <c r="AQ758" s="404"/>
      <c r="AR758" s="380"/>
      <c r="AS758" s="380"/>
      <c r="AT758" s="380"/>
      <c r="AU758" s="380"/>
      <c r="AV758" s="380"/>
      <c r="AW758" s="380"/>
      <c r="AX758" s="380"/>
      <c r="AY758" s="403"/>
      <c r="AZ758" s="380"/>
      <c r="BA758" s="380"/>
      <c r="BB758" s="380"/>
      <c r="BC758" s="380"/>
      <c r="BD758" s="380"/>
      <c r="BE758" s="404"/>
      <c r="BF758" s="380"/>
      <c r="BG758" s="380"/>
      <c r="BH758" s="380"/>
      <c r="BI758" s="380"/>
      <c r="BJ758" s="380"/>
      <c r="BK758" s="380"/>
      <c r="BL758" s="380"/>
      <c r="BM758" s="403"/>
      <c r="BS758" s="83"/>
      <c r="CA758" s="405"/>
      <c r="CG758" s="83"/>
      <c r="CO758" s="405"/>
      <c r="CU758" s="83"/>
      <c r="DC758" s="405"/>
      <c r="DI758" s="83"/>
      <c r="DQ758" s="405"/>
      <c r="DW758" s="83"/>
      <c r="EE758" s="405"/>
      <c r="EK758" s="83"/>
      <c r="ES758" s="405"/>
      <c r="EY758" s="83"/>
      <c r="FG758" s="405"/>
      <c r="FM758" s="83"/>
      <c r="FU758" s="405"/>
      <c r="GA758" s="83"/>
      <c r="GI758" s="405"/>
      <c r="GO758" s="83"/>
      <c r="GW758" s="405"/>
      <c r="HC758" s="83"/>
      <c r="HK758" s="405"/>
      <c r="HQ758" s="83"/>
      <c r="HY758" s="405"/>
      <c r="IE758" s="83"/>
      <c r="IM758" s="405"/>
      <c r="IS758" s="83"/>
      <c r="JA758" s="405"/>
      <c r="JG758" s="83"/>
      <c r="JO758" s="405"/>
      <c r="JU758" s="83"/>
      <c r="KC758" s="405"/>
      <c r="KI758" s="83"/>
      <c r="KQ758" s="405"/>
      <c r="KW758" s="83"/>
      <c r="LE758" s="405"/>
      <c r="LK758" s="83"/>
      <c r="LS758" s="405"/>
      <c r="LY758" s="83"/>
      <c r="MG758" s="405"/>
      <c r="MM758" s="83"/>
      <c r="MU758" s="405"/>
      <c r="NA758" s="83"/>
    </row>
    <row r="759">
      <c r="A759" s="483"/>
      <c r="B759" s="380"/>
      <c r="C759" s="380"/>
      <c r="D759" s="380"/>
      <c r="E759" s="380"/>
      <c r="F759" s="380"/>
      <c r="G759" s="380"/>
      <c r="H759" s="380"/>
      <c r="I759" s="403"/>
      <c r="J759" s="380"/>
      <c r="K759" s="380"/>
      <c r="L759" s="380"/>
      <c r="M759" s="380"/>
      <c r="N759" s="380"/>
      <c r="O759" s="404"/>
      <c r="P759" s="380"/>
      <c r="Q759" s="380"/>
      <c r="R759" s="380"/>
      <c r="S759" s="380"/>
      <c r="T759" s="380"/>
      <c r="U759" s="380"/>
      <c r="V759" s="380"/>
      <c r="W759" s="403"/>
      <c r="X759" s="380"/>
      <c r="Y759" s="380"/>
      <c r="Z759" s="380"/>
      <c r="AA759" s="380"/>
      <c r="AB759" s="380"/>
      <c r="AC759" s="404"/>
      <c r="AD759" s="380"/>
      <c r="AE759" s="380"/>
      <c r="AF759" s="380"/>
      <c r="AG759" s="380"/>
      <c r="AH759" s="380"/>
      <c r="AI759" s="380"/>
      <c r="AJ759" s="380"/>
      <c r="AK759" s="403"/>
      <c r="AL759" s="380"/>
      <c r="AM759" s="380"/>
      <c r="AN759" s="380"/>
      <c r="AO759" s="380"/>
      <c r="AP759" s="380"/>
      <c r="AQ759" s="404"/>
      <c r="AR759" s="380"/>
      <c r="AS759" s="380"/>
      <c r="AT759" s="380"/>
      <c r="AU759" s="380"/>
      <c r="AV759" s="380"/>
      <c r="AW759" s="380"/>
      <c r="AX759" s="380"/>
      <c r="AY759" s="403"/>
      <c r="AZ759" s="380"/>
      <c r="BA759" s="380"/>
      <c r="BB759" s="380"/>
      <c r="BC759" s="380"/>
      <c r="BD759" s="380"/>
      <c r="BE759" s="404"/>
      <c r="BF759" s="380"/>
      <c r="BG759" s="380"/>
      <c r="BH759" s="380"/>
      <c r="BI759" s="380"/>
      <c r="BJ759" s="380"/>
      <c r="BK759" s="380"/>
      <c r="BL759" s="380"/>
      <c r="BM759" s="403"/>
      <c r="BS759" s="83"/>
      <c r="CA759" s="405"/>
      <c r="CG759" s="83"/>
      <c r="CO759" s="405"/>
      <c r="CU759" s="83"/>
      <c r="DC759" s="405"/>
      <c r="DI759" s="83"/>
      <c r="DQ759" s="405"/>
      <c r="DW759" s="83"/>
      <c r="EE759" s="405"/>
      <c r="EK759" s="83"/>
      <c r="ES759" s="405"/>
      <c r="EY759" s="83"/>
      <c r="FG759" s="405"/>
      <c r="FM759" s="83"/>
      <c r="FU759" s="405"/>
      <c r="GA759" s="83"/>
      <c r="GI759" s="405"/>
      <c r="GO759" s="83"/>
      <c r="GW759" s="405"/>
      <c r="HC759" s="83"/>
      <c r="HK759" s="405"/>
      <c r="HQ759" s="83"/>
      <c r="HY759" s="405"/>
      <c r="IE759" s="83"/>
      <c r="IM759" s="405"/>
      <c r="IS759" s="83"/>
      <c r="JA759" s="405"/>
      <c r="JG759" s="83"/>
      <c r="JO759" s="405"/>
      <c r="JU759" s="83"/>
      <c r="KC759" s="405"/>
      <c r="KI759" s="83"/>
      <c r="KQ759" s="405"/>
      <c r="KW759" s="83"/>
      <c r="LE759" s="405"/>
      <c r="LK759" s="83"/>
      <c r="LS759" s="405"/>
      <c r="LY759" s="83"/>
      <c r="MG759" s="405"/>
      <c r="MM759" s="83"/>
      <c r="MU759" s="405"/>
      <c r="NA759" s="83"/>
    </row>
    <row r="760">
      <c r="A760" s="483"/>
      <c r="B760" s="380"/>
      <c r="C760" s="380"/>
      <c r="D760" s="380"/>
      <c r="E760" s="380"/>
      <c r="F760" s="380"/>
      <c r="G760" s="380"/>
      <c r="H760" s="380"/>
      <c r="I760" s="403"/>
      <c r="J760" s="380"/>
      <c r="K760" s="380"/>
      <c r="L760" s="380"/>
      <c r="M760" s="380"/>
      <c r="N760" s="380"/>
      <c r="O760" s="404"/>
      <c r="P760" s="380"/>
      <c r="Q760" s="380"/>
      <c r="R760" s="380"/>
      <c r="S760" s="380"/>
      <c r="T760" s="380"/>
      <c r="U760" s="380"/>
      <c r="V760" s="380"/>
      <c r="W760" s="403"/>
      <c r="X760" s="380"/>
      <c r="Y760" s="380"/>
      <c r="Z760" s="380"/>
      <c r="AA760" s="380"/>
      <c r="AB760" s="380"/>
      <c r="AC760" s="404"/>
      <c r="AD760" s="380"/>
      <c r="AE760" s="380"/>
      <c r="AF760" s="380"/>
      <c r="AG760" s="380"/>
      <c r="AH760" s="380"/>
      <c r="AI760" s="380"/>
      <c r="AJ760" s="380"/>
      <c r="AK760" s="403"/>
      <c r="AL760" s="380"/>
      <c r="AM760" s="380"/>
      <c r="AN760" s="380"/>
      <c r="AO760" s="380"/>
      <c r="AP760" s="380"/>
      <c r="AQ760" s="404"/>
      <c r="AR760" s="380"/>
      <c r="AS760" s="380"/>
      <c r="AT760" s="380"/>
      <c r="AU760" s="380"/>
      <c r="AV760" s="380"/>
      <c r="AW760" s="380"/>
      <c r="AX760" s="380"/>
      <c r="AY760" s="403"/>
      <c r="AZ760" s="380"/>
      <c r="BA760" s="380"/>
      <c r="BB760" s="380"/>
      <c r="BC760" s="380"/>
      <c r="BD760" s="380"/>
      <c r="BE760" s="404"/>
      <c r="BF760" s="380"/>
      <c r="BG760" s="380"/>
      <c r="BH760" s="380"/>
      <c r="BI760" s="380"/>
      <c r="BJ760" s="380"/>
      <c r="BK760" s="380"/>
      <c r="BL760" s="380"/>
      <c r="BM760" s="403"/>
      <c r="BS760" s="83"/>
      <c r="CA760" s="405"/>
      <c r="CG760" s="83"/>
      <c r="CO760" s="405"/>
      <c r="CU760" s="83"/>
      <c r="DC760" s="405"/>
      <c r="DI760" s="83"/>
      <c r="DQ760" s="405"/>
      <c r="DW760" s="83"/>
      <c r="EE760" s="405"/>
      <c r="EK760" s="83"/>
      <c r="ES760" s="405"/>
      <c r="EY760" s="83"/>
      <c r="FG760" s="405"/>
      <c r="FM760" s="83"/>
      <c r="FU760" s="405"/>
      <c r="GA760" s="83"/>
      <c r="GI760" s="405"/>
      <c r="GO760" s="83"/>
      <c r="GW760" s="405"/>
      <c r="HC760" s="83"/>
      <c r="HK760" s="405"/>
      <c r="HQ760" s="83"/>
      <c r="HY760" s="405"/>
      <c r="IE760" s="83"/>
      <c r="IM760" s="405"/>
      <c r="IS760" s="83"/>
      <c r="JA760" s="405"/>
      <c r="JG760" s="83"/>
      <c r="JO760" s="405"/>
      <c r="JU760" s="83"/>
      <c r="KC760" s="405"/>
      <c r="KI760" s="83"/>
      <c r="KQ760" s="405"/>
      <c r="KW760" s="83"/>
      <c r="LE760" s="405"/>
      <c r="LK760" s="83"/>
      <c r="LS760" s="405"/>
      <c r="LY760" s="83"/>
      <c r="MG760" s="405"/>
      <c r="MM760" s="83"/>
      <c r="MU760" s="405"/>
      <c r="NA760" s="83"/>
    </row>
    <row r="761">
      <c r="A761" s="483"/>
      <c r="B761" s="380"/>
      <c r="C761" s="380"/>
      <c r="D761" s="380"/>
      <c r="E761" s="380"/>
      <c r="F761" s="380"/>
      <c r="G761" s="380"/>
      <c r="H761" s="380"/>
      <c r="I761" s="403"/>
      <c r="J761" s="380"/>
      <c r="K761" s="380"/>
      <c r="L761" s="380"/>
      <c r="M761" s="380"/>
      <c r="N761" s="380"/>
      <c r="O761" s="404"/>
      <c r="P761" s="380"/>
      <c r="Q761" s="380"/>
      <c r="R761" s="380"/>
      <c r="S761" s="380"/>
      <c r="T761" s="380"/>
      <c r="U761" s="380"/>
      <c r="V761" s="380"/>
      <c r="W761" s="403"/>
      <c r="X761" s="380"/>
      <c r="Y761" s="380"/>
      <c r="Z761" s="380"/>
      <c r="AA761" s="380"/>
      <c r="AB761" s="380"/>
      <c r="AC761" s="404"/>
      <c r="AD761" s="380"/>
      <c r="AE761" s="380"/>
      <c r="AF761" s="380"/>
      <c r="AG761" s="380"/>
      <c r="AH761" s="380"/>
      <c r="AI761" s="380"/>
      <c r="AJ761" s="380"/>
      <c r="AK761" s="403"/>
      <c r="AL761" s="380"/>
      <c r="AM761" s="380"/>
      <c r="AN761" s="380"/>
      <c r="AO761" s="380"/>
      <c r="AP761" s="380"/>
      <c r="AQ761" s="404"/>
      <c r="AR761" s="380"/>
      <c r="AS761" s="380"/>
      <c r="AT761" s="380"/>
      <c r="AU761" s="380"/>
      <c r="AV761" s="380"/>
      <c r="AW761" s="380"/>
      <c r="AX761" s="380"/>
      <c r="AY761" s="403"/>
      <c r="AZ761" s="380"/>
      <c r="BA761" s="380"/>
      <c r="BB761" s="380"/>
      <c r="BC761" s="380"/>
      <c r="BD761" s="380"/>
      <c r="BE761" s="404"/>
      <c r="BF761" s="380"/>
      <c r="BG761" s="380"/>
      <c r="BH761" s="380"/>
      <c r="BI761" s="380"/>
      <c r="BJ761" s="380"/>
      <c r="BK761" s="380"/>
      <c r="BL761" s="380"/>
      <c r="BM761" s="403"/>
      <c r="BS761" s="83"/>
      <c r="CA761" s="405"/>
      <c r="CG761" s="83"/>
      <c r="CO761" s="405"/>
      <c r="CU761" s="83"/>
      <c r="DC761" s="405"/>
      <c r="DI761" s="83"/>
      <c r="DQ761" s="405"/>
      <c r="DW761" s="83"/>
      <c r="EE761" s="405"/>
      <c r="EK761" s="83"/>
      <c r="ES761" s="405"/>
      <c r="EY761" s="83"/>
      <c r="FG761" s="405"/>
      <c r="FM761" s="83"/>
      <c r="FU761" s="405"/>
      <c r="GA761" s="83"/>
      <c r="GI761" s="405"/>
      <c r="GO761" s="83"/>
      <c r="GW761" s="405"/>
      <c r="HC761" s="83"/>
      <c r="HK761" s="405"/>
      <c r="HQ761" s="83"/>
      <c r="HY761" s="405"/>
      <c r="IE761" s="83"/>
      <c r="IM761" s="405"/>
      <c r="IS761" s="83"/>
      <c r="JA761" s="405"/>
      <c r="JG761" s="83"/>
      <c r="JO761" s="405"/>
      <c r="JU761" s="83"/>
      <c r="KC761" s="405"/>
      <c r="KI761" s="83"/>
      <c r="KQ761" s="405"/>
      <c r="KW761" s="83"/>
      <c r="LE761" s="405"/>
      <c r="LK761" s="83"/>
      <c r="LS761" s="405"/>
      <c r="LY761" s="83"/>
      <c r="MG761" s="405"/>
      <c r="MM761" s="83"/>
      <c r="MU761" s="405"/>
      <c r="NA761" s="83"/>
    </row>
    <row r="762">
      <c r="A762" s="483"/>
      <c r="B762" s="380"/>
      <c r="C762" s="380"/>
      <c r="D762" s="380"/>
      <c r="E762" s="380"/>
      <c r="F762" s="380"/>
      <c r="G762" s="380"/>
      <c r="H762" s="380"/>
      <c r="I762" s="403"/>
      <c r="J762" s="380"/>
      <c r="K762" s="380"/>
      <c r="L762" s="380"/>
      <c r="M762" s="380"/>
      <c r="N762" s="380"/>
      <c r="O762" s="404"/>
      <c r="P762" s="380"/>
      <c r="Q762" s="380"/>
      <c r="R762" s="380"/>
      <c r="S762" s="380"/>
      <c r="T762" s="380"/>
      <c r="U762" s="380"/>
      <c r="V762" s="380"/>
      <c r="W762" s="403"/>
      <c r="X762" s="380"/>
      <c r="Y762" s="380"/>
      <c r="Z762" s="380"/>
      <c r="AA762" s="380"/>
      <c r="AB762" s="380"/>
      <c r="AC762" s="404"/>
      <c r="AD762" s="380"/>
      <c r="AE762" s="380"/>
      <c r="AF762" s="380"/>
      <c r="AG762" s="380"/>
      <c r="AH762" s="380"/>
      <c r="AI762" s="380"/>
      <c r="AJ762" s="380"/>
      <c r="AK762" s="403"/>
      <c r="AL762" s="380"/>
      <c r="AM762" s="380"/>
      <c r="AN762" s="380"/>
      <c r="AO762" s="380"/>
      <c r="AP762" s="380"/>
      <c r="AQ762" s="404"/>
      <c r="AR762" s="380"/>
      <c r="AS762" s="380"/>
      <c r="AT762" s="380"/>
      <c r="AU762" s="380"/>
      <c r="AV762" s="380"/>
      <c r="AW762" s="380"/>
      <c r="AX762" s="380"/>
      <c r="AY762" s="403"/>
      <c r="AZ762" s="380"/>
      <c r="BA762" s="380"/>
      <c r="BB762" s="380"/>
      <c r="BC762" s="380"/>
      <c r="BD762" s="380"/>
      <c r="BE762" s="404"/>
      <c r="BF762" s="380"/>
      <c r="BG762" s="380"/>
      <c r="BH762" s="380"/>
      <c r="BI762" s="380"/>
      <c r="BJ762" s="380"/>
      <c r="BK762" s="380"/>
      <c r="BL762" s="380"/>
      <c r="BM762" s="403"/>
      <c r="BS762" s="83"/>
      <c r="CA762" s="405"/>
      <c r="CG762" s="83"/>
      <c r="CO762" s="405"/>
      <c r="CU762" s="83"/>
      <c r="DC762" s="405"/>
      <c r="DI762" s="83"/>
      <c r="DQ762" s="405"/>
      <c r="DW762" s="83"/>
      <c r="EE762" s="405"/>
      <c r="EK762" s="83"/>
      <c r="ES762" s="405"/>
      <c r="EY762" s="83"/>
      <c r="FG762" s="405"/>
      <c r="FM762" s="83"/>
      <c r="FU762" s="405"/>
      <c r="GA762" s="83"/>
      <c r="GI762" s="405"/>
      <c r="GO762" s="83"/>
      <c r="GW762" s="405"/>
      <c r="HC762" s="83"/>
      <c r="HK762" s="405"/>
      <c r="HQ762" s="83"/>
      <c r="HY762" s="405"/>
      <c r="IE762" s="83"/>
      <c r="IM762" s="405"/>
      <c r="IS762" s="83"/>
      <c r="JA762" s="405"/>
      <c r="JG762" s="83"/>
      <c r="JO762" s="405"/>
      <c r="JU762" s="83"/>
      <c r="KC762" s="405"/>
      <c r="KI762" s="83"/>
      <c r="KQ762" s="405"/>
      <c r="KW762" s="83"/>
      <c r="LE762" s="405"/>
      <c r="LK762" s="83"/>
      <c r="LS762" s="405"/>
      <c r="LY762" s="83"/>
      <c r="MG762" s="405"/>
      <c r="MM762" s="83"/>
      <c r="MU762" s="405"/>
      <c r="NA762" s="83"/>
    </row>
    <row r="763">
      <c r="A763" s="483"/>
      <c r="B763" s="380"/>
      <c r="C763" s="380"/>
      <c r="D763" s="380"/>
      <c r="E763" s="380"/>
      <c r="F763" s="380"/>
      <c r="G763" s="380"/>
      <c r="H763" s="380"/>
      <c r="I763" s="403"/>
      <c r="J763" s="380"/>
      <c r="K763" s="380"/>
      <c r="L763" s="380"/>
      <c r="M763" s="380"/>
      <c r="N763" s="380"/>
      <c r="O763" s="404"/>
      <c r="P763" s="380"/>
      <c r="Q763" s="380"/>
      <c r="R763" s="380"/>
      <c r="S763" s="380"/>
      <c r="T763" s="380"/>
      <c r="U763" s="380"/>
      <c r="V763" s="380"/>
      <c r="W763" s="403"/>
      <c r="X763" s="380"/>
      <c r="Y763" s="380"/>
      <c r="Z763" s="380"/>
      <c r="AA763" s="380"/>
      <c r="AB763" s="380"/>
      <c r="AC763" s="404"/>
      <c r="AD763" s="380"/>
      <c r="AE763" s="380"/>
      <c r="AF763" s="380"/>
      <c r="AG763" s="380"/>
      <c r="AH763" s="380"/>
      <c r="AI763" s="380"/>
      <c r="AJ763" s="380"/>
      <c r="AK763" s="403"/>
      <c r="AL763" s="380"/>
      <c r="AM763" s="380"/>
      <c r="AN763" s="380"/>
      <c r="AO763" s="380"/>
      <c r="AP763" s="380"/>
      <c r="AQ763" s="404"/>
      <c r="AR763" s="380"/>
      <c r="AS763" s="380"/>
      <c r="AT763" s="380"/>
      <c r="AU763" s="380"/>
      <c r="AV763" s="380"/>
      <c r="AW763" s="380"/>
      <c r="AX763" s="380"/>
      <c r="AY763" s="403"/>
      <c r="AZ763" s="380"/>
      <c r="BA763" s="380"/>
      <c r="BB763" s="380"/>
      <c r="BC763" s="380"/>
      <c r="BD763" s="380"/>
      <c r="BE763" s="404"/>
      <c r="BF763" s="380"/>
      <c r="BG763" s="380"/>
      <c r="BH763" s="380"/>
      <c r="BI763" s="380"/>
      <c r="BJ763" s="380"/>
      <c r="BK763" s="380"/>
      <c r="BL763" s="380"/>
      <c r="BM763" s="403"/>
      <c r="BS763" s="83"/>
      <c r="CA763" s="405"/>
      <c r="CG763" s="83"/>
      <c r="CO763" s="405"/>
      <c r="CU763" s="83"/>
      <c r="DC763" s="405"/>
      <c r="DI763" s="83"/>
      <c r="DQ763" s="405"/>
      <c r="DW763" s="83"/>
      <c r="EE763" s="405"/>
      <c r="EK763" s="83"/>
      <c r="ES763" s="405"/>
      <c r="EY763" s="83"/>
      <c r="FG763" s="405"/>
      <c r="FM763" s="83"/>
      <c r="FU763" s="405"/>
      <c r="GA763" s="83"/>
      <c r="GI763" s="405"/>
      <c r="GO763" s="83"/>
      <c r="GW763" s="405"/>
      <c r="HC763" s="83"/>
      <c r="HK763" s="405"/>
      <c r="HQ763" s="83"/>
      <c r="HY763" s="405"/>
      <c r="IE763" s="83"/>
      <c r="IM763" s="405"/>
      <c r="IS763" s="83"/>
      <c r="JA763" s="405"/>
      <c r="JG763" s="83"/>
      <c r="JO763" s="405"/>
      <c r="JU763" s="83"/>
      <c r="KC763" s="405"/>
      <c r="KI763" s="83"/>
      <c r="KQ763" s="405"/>
      <c r="KW763" s="83"/>
      <c r="LE763" s="405"/>
      <c r="LK763" s="83"/>
      <c r="LS763" s="405"/>
      <c r="LY763" s="83"/>
      <c r="MG763" s="405"/>
      <c r="MM763" s="83"/>
      <c r="MU763" s="405"/>
      <c r="NA763" s="83"/>
    </row>
    <row r="764">
      <c r="A764" s="483"/>
      <c r="B764" s="380"/>
      <c r="C764" s="380"/>
      <c r="D764" s="380"/>
      <c r="E764" s="380"/>
      <c r="F764" s="380"/>
      <c r="G764" s="380"/>
      <c r="H764" s="380"/>
      <c r="I764" s="403"/>
      <c r="J764" s="380"/>
      <c r="K764" s="380"/>
      <c r="L764" s="380"/>
      <c r="M764" s="380"/>
      <c r="N764" s="380"/>
      <c r="O764" s="404"/>
      <c r="P764" s="380"/>
      <c r="Q764" s="380"/>
      <c r="R764" s="380"/>
      <c r="S764" s="380"/>
      <c r="T764" s="380"/>
      <c r="U764" s="380"/>
      <c r="V764" s="380"/>
      <c r="W764" s="403"/>
      <c r="X764" s="380"/>
      <c r="Y764" s="380"/>
      <c r="Z764" s="380"/>
      <c r="AA764" s="380"/>
      <c r="AB764" s="380"/>
      <c r="AC764" s="404"/>
      <c r="AD764" s="380"/>
      <c r="AE764" s="380"/>
      <c r="AF764" s="380"/>
      <c r="AG764" s="380"/>
      <c r="AH764" s="380"/>
      <c r="AI764" s="380"/>
      <c r="AJ764" s="380"/>
      <c r="AK764" s="403"/>
      <c r="AL764" s="380"/>
      <c r="AM764" s="380"/>
      <c r="AN764" s="380"/>
      <c r="AO764" s="380"/>
      <c r="AP764" s="380"/>
      <c r="AQ764" s="404"/>
      <c r="AR764" s="380"/>
      <c r="AS764" s="380"/>
      <c r="AT764" s="380"/>
      <c r="AU764" s="380"/>
      <c r="AV764" s="380"/>
      <c r="AW764" s="380"/>
      <c r="AX764" s="380"/>
      <c r="AY764" s="403"/>
      <c r="AZ764" s="380"/>
      <c r="BA764" s="380"/>
      <c r="BB764" s="380"/>
      <c r="BC764" s="380"/>
      <c r="BD764" s="380"/>
      <c r="BE764" s="404"/>
      <c r="BF764" s="380"/>
      <c r="BG764" s="380"/>
      <c r="BH764" s="380"/>
      <c r="BI764" s="380"/>
      <c r="BJ764" s="380"/>
      <c r="BK764" s="380"/>
      <c r="BL764" s="380"/>
      <c r="BM764" s="403"/>
      <c r="BS764" s="83"/>
      <c r="CA764" s="405"/>
      <c r="CG764" s="83"/>
      <c r="CO764" s="405"/>
      <c r="CU764" s="83"/>
      <c r="DC764" s="405"/>
      <c r="DI764" s="83"/>
      <c r="DQ764" s="405"/>
      <c r="DW764" s="83"/>
      <c r="EE764" s="405"/>
      <c r="EK764" s="83"/>
      <c r="ES764" s="405"/>
      <c r="EY764" s="83"/>
      <c r="FG764" s="405"/>
      <c r="FM764" s="83"/>
      <c r="FU764" s="405"/>
      <c r="GA764" s="83"/>
      <c r="GI764" s="405"/>
      <c r="GO764" s="83"/>
      <c r="GW764" s="405"/>
      <c r="HC764" s="83"/>
      <c r="HK764" s="405"/>
      <c r="HQ764" s="83"/>
      <c r="HY764" s="405"/>
      <c r="IE764" s="83"/>
      <c r="IM764" s="405"/>
      <c r="IS764" s="83"/>
      <c r="JA764" s="405"/>
      <c r="JG764" s="83"/>
      <c r="JO764" s="405"/>
      <c r="JU764" s="83"/>
      <c r="KC764" s="405"/>
      <c r="KI764" s="83"/>
      <c r="KQ764" s="405"/>
      <c r="KW764" s="83"/>
      <c r="LE764" s="405"/>
      <c r="LK764" s="83"/>
      <c r="LS764" s="405"/>
      <c r="LY764" s="83"/>
      <c r="MG764" s="405"/>
      <c r="MM764" s="83"/>
      <c r="MU764" s="405"/>
      <c r="NA764" s="83"/>
    </row>
    <row r="765">
      <c r="A765" s="483"/>
      <c r="B765" s="380"/>
      <c r="C765" s="380"/>
      <c r="D765" s="380"/>
      <c r="E765" s="380"/>
      <c r="F765" s="380"/>
      <c r="G765" s="380"/>
      <c r="H765" s="380"/>
      <c r="I765" s="403"/>
      <c r="J765" s="380"/>
      <c r="K765" s="380"/>
      <c r="L765" s="380"/>
      <c r="M765" s="380"/>
      <c r="N765" s="380"/>
      <c r="O765" s="404"/>
      <c r="P765" s="380"/>
      <c r="Q765" s="380"/>
      <c r="R765" s="380"/>
      <c r="S765" s="380"/>
      <c r="T765" s="380"/>
      <c r="U765" s="380"/>
      <c r="V765" s="380"/>
      <c r="W765" s="403"/>
      <c r="X765" s="380"/>
      <c r="Y765" s="380"/>
      <c r="Z765" s="380"/>
      <c r="AA765" s="380"/>
      <c r="AB765" s="380"/>
      <c r="AC765" s="404"/>
      <c r="AD765" s="380"/>
      <c r="AE765" s="380"/>
      <c r="AF765" s="380"/>
      <c r="AG765" s="380"/>
      <c r="AH765" s="380"/>
      <c r="AI765" s="380"/>
      <c r="AJ765" s="380"/>
      <c r="AK765" s="403"/>
      <c r="AL765" s="380"/>
      <c r="AM765" s="380"/>
      <c r="AN765" s="380"/>
      <c r="AO765" s="380"/>
      <c r="AP765" s="380"/>
      <c r="AQ765" s="404"/>
      <c r="AR765" s="380"/>
      <c r="AS765" s="380"/>
      <c r="AT765" s="380"/>
      <c r="AU765" s="380"/>
      <c r="AV765" s="380"/>
      <c r="AW765" s="380"/>
      <c r="AX765" s="380"/>
      <c r="AY765" s="403"/>
      <c r="AZ765" s="380"/>
      <c r="BA765" s="380"/>
      <c r="BB765" s="380"/>
      <c r="BC765" s="380"/>
      <c r="BD765" s="380"/>
      <c r="BE765" s="404"/>
      <c r="BF765" s="380"/>
      <c r="BG765" s="380"/>
      <c r="BH765" s="380"/>
      <c r="BI765" s="380"/>
      <c r="BJ765" s="380"/>
      <c r="BK765" s="380"/>
      <c r="BL765" s="380"/>
      <c r="BM765" s="403"/>
      <c r="BS765" s="83"/>
      <c r="CA765" s="405"/>
      <c r="CG765" s="83"/>
      <c r="CO765" s="405"/>
      <c r="CU765" s="83"/>
      <c r="DC765" s="405"/>
      <c r="DI765" s="83"/>
      <c r="DQ765" s="405"/>
      <c r="DW765" s="83"/>
      <c r="EE765" s="405"/>
      <c r="EK765" s="83"/>
      <c r="ES765" s="405"/>
      <c r="EY765" s="83"/>
      <c r="FG765" s="405"/>
      <c r="FM765" s="83"/>
      <c r="FU765" s="405"/>
      <c r="GA765" s="83"/>
      <c r="GI765" s="405"/>
      <c r="GO765" s="83"/>
      <c r="GW765" s="405"/>
      <c r="HC765" s="83"/>
      <c r="HK765" s="405"/>
      <c r="HQ765" s="83"/>
      <c r="HY765" s="405"/>
      <c r="IE765" s="83"/>
      <c r="IM765" s="405"/>
      <c r="IS765" s="83"/>
      <c r="JA765" s="405"/>
      <c r="JG765" s="83"/>
      <c r="JO765" s="405"/>
      <c r="JU765" s="83"/>
      <c r="KC765" s="405"/>
      <c r="KI765" s="83"/>
      <c r="KQ765" s="405"/>
      <c r="KW765" s="83"/>
      <c r="LE765" s="405"/>
      <c r="LK765" s="83"/>
      <c r="LS765" s="405"/>
      <c r="LY765" s="83"/>
      <c r="MG765" s="405"/>
      <c r="MM765" s="83"/>
      <c r="MU765" s="405"/>
      <c r="NA765" s="83"/>
    </row>
    <row r="766">
      <c r="A766" s="483"/>
      <c r="B766" s="380"/>
      <c r="C766" s="380"/>
      <c r="D766" s="380"/>
      <c r="E766" s="380"/>
      <c r="F766" s="380"/>
      <c r="G766" s="380"/>
      <c r="H766" s="380"/>
      <c r="I766" s="403"/>
      <c r="J766" s="380"/>
      <c r="K766" s="380"/>
      <c r="L766" s="380"/>
      <c r="M766" s="380"/>
      <c r="N766" s="380"/>
      <c r="O766" s="404"/>
      <c r="P766" s="380"/>
      <c r="Q766" s="380"/>
      <c r="R766" s="380"/>
      <c r="S766" s="380"/>
      <c r="T766" s="380"/>
      <c r="U766" s="380"/>
      <c r="V766" s="380"/>
      <c r="W766" s="403"/>
      <c r="X766" s="380"/>
      <c r="Y766" s="380"/>
      <c r="Z766" s="380"/>
      <c r="AA766" s="380"/>
      <c r="AB766" s="380"/>
      <c r="AC766" s="404"/>
      <c r="AD766" s="380"/>
      <c r="AE766" s="380"/>
      <c r="AF766" s="380"/>
      <c r="AG766" s="380"/>
      <c r="AH766" s="380"/>
      <c r="AI766" s="380"/>
      <c r="AJ766" s="380"/>
      <c r="AK766" s="403"/>
      <c r="AL766" s="380"/>
      <c r="AM766" s="380"/>
      <c r="AN766" s="380"/>
      <c r="AO766" s="380"/>
      <c r="AP766" s="380"/>
      <c r="AQ766" s="404"/>
      <c r="AR766" s="380"/>
      <c r="AS766" s="380"/>
      <c r="AT766" s="380"/>
      <c r="AU766" s="380"/>
      <c r="AV766" s="380"/>
      <c r="AW766" s="380"/>
      <c r="AX766" s="380"/>
      <c r="AY766" s="403"/>
      <c r="AZ766" s="380"/>
      <c r="BA766" s="380"/>
      <c r="BB766" s="380"/>
      <c r="BC766" s="380"/>
      <c r="BD766" s="380"/>
      <c r="BE766" s="404"/>
      <c r="BF766" s="380"/>
      <c r="BG766" s="380"/>
      <c r="BH766" s="380"/>
      <c r="BI766" s="380"/>
      <c r="BJ766" s="380"/>
      <c r="BK766" s="380"/>
      <c r="BL766" s="380"/>
      <c r="BM766" s="403"/>
      <c r="BS766" s="83"/>
      <c r="CA766" s="405"/>
      <c r="CG766" s="83"/>
      <c r="CO766" s="405"/>
      <c r="CU766" s="83"/>
      <c r="DC766" s="405"/>
      <c r="DI766" s="83"/>
      <c r="DQ766" s="405"/>
      <c r="DW766" s="83"/>
      <c r="EE766" s="405"/>
      <c r="EK766" s="83"/>
      <c r="ES766" s="405"/>
      <c r="EY766" s="83"/>
      <c r="FG766" s="405"/>
      <c r="FM766" s="83"/>
      <c r="FU766" s="405"/>
      <c r="GA766" s="83"/>
      <c r="GI766" s="405"/>
      <c r="GO766" s="83"/>
      <c r="GW766" s="405"/>
      <c r="HC766" s="83"/>
      <c r="HK766" s="405"/>
      <c r="HQ766" s="83"/>
      <c r="HY766" s="405"/>
      <c r="IE766" s="83"/>
      <c r="IM766" s="405"/>
      <c r="IS766" s="83"/>
      <c r="JA766" s="405"/>
      <c r="JG766" s="83"/>
      <c r="JO766" s="405"/>
      <c r="JU766" s="83"/>
      <c r="KC766" s="405"/>
      <c r="KI766" s="83"/>
      <c r="KQ766" s="405"/>
      <c r="KW766" s="83"/>
      <c r="LE766" s="405"/>
      <c r="LK766" s="83"/>
      <c r="LS766" s="405"/>
      <c r="LY766" s="83"/>
      <c r="MG766" s="405"/>
      <c r="MM766" s="83"/>
      <c r="MU766" s="405"/>
      <c r="NA766" s="83"/>
    </row>
    <row r="767">
      <c r="A767" s="483"/>
      <c r="B767" s="380"/>
      <c r="C767" s="380"/>
      <c r="D767" s="380"/>
      <c r="E767" s="380"/>
      <c r="F767" s="380"/>
      <c r="G767" s="380"/>
      <c r="H767" s="380"/>
      <c r="I767" s="403"/>
      <c r="J767" s="380"/>
      <c r="K767" s="380"/>
      <c r="L767" s="380"/>
      <c r="M767" s="380"/>
      <c r="N767" s="380"/>
      <c r="O767" s="404"/>
      <c r="P767" s="380"/>
      <c r="Q767" s="380"/>
      <c r="R767" s="380"/>
      <c r="S767" s="380"/>
      <c r="T767" s="380"/>
      <c r="U767" s="380"/>
      <c r="V767" s="380"/>
      <c r="W767" s="403"/>
      <c r="X767" s="380"/>
      <c r="Y767" s="380"/>
      <c r="Z767" s="380"/>
      <c r="AA767" s="380"/>
      <c r="AB767" s="380"/>
      <c r="AC767" s="404"/>
      <c r="AD767" s="380"/>
      <c r="AE767" s="380"/>
      <c r="AF767" s="380"/>
      <c r="AG767" s="380"/>
      <c r="AH767" s="380"/>
      <c r="AI767" s="380"/>
      <c r="AJ767" s="380"/>
      <c r="AK767" s="403"/>
      <c r="AL767" s="380"/>
      <c r="AM767" s="380"/>
      <c r="AN767" s="380"/>
      <c r="AO767" s="380"/>
      <c r="AP767" s="380"/>
      <c r="AQ767" s="404"/>
      <c r="AR767" s="380"/>
      <c r="AS767" s="380"/>
      <c r="AT767" s="380"/>
      <c r="AU767" s="380"/>
      <c r="AV767" s="380"/>
      <c r="AW767" s="380"/>
      <c r="AX767" s="380"/>
      <c r="AY767" s="403"/>
      <c r="AZ767" s="380"/>
      <c r="BA767" s="380"/>
      <c r="BB767" s="380"/>
      <c r="BC767" s="380"/>
      <c r="BD767" s="380"/>
      <c r="BE767" s="404"/>
      <c r="BF767" s="380"/>
      <c r="BG767" s="380"/>
      <c r="BH767" s="380"/>
      <c r="BI767" s="380"/>
      <c r="BJ767" s="380"/>
      <c r="BK767" s="380"/>
      <c r="BL767" s="380"/>
      <c r="BM767" s="403"/>
      <c r="BS767" s="83"/>
      <c r="CA767" s="405"/>
      <c r="CG767" s="83"/>
      <c r="CO767" s="405"/>
      <c r="CU767" s="83"/>
      <c r="DC767" s="405"/>
      <c r="DI767" s="83"/>
      <c r="DQ767" s="405"/>
      <c r="DW767" s="83"/>
      <c r="EE767" s="405"/>
      <c r="EK767" s="83"/>
      <c r="ES767" s="405"/>
      <c r="EY767" s="83"/>
      <c r="FG767" s="405"/>
      <c r="FM767" s="83"/>
      <c r="FU767" s="405"/>
      <c r="GA767" s="83"/>
      <c r="GI767" s="405"/>
      <c r="GO767" s="83"/>
      <c r="GW767" s="405"/>
      <c r="HC767" s="83"/>
      <c r="HK767" s="405"/>
      <c r="HQ767" s="83"/>
      <c r="HY767" s="405"/>
      <c r="IE767" s="83"/>
      <c r="IM767" s="405"/>
      <c r="IS767" s="83"/>
      <c r="JA767" s="405"/>
      <c r="JG767" s="83"/>
      <c r="JO767" s="405"/>
      <c r="JU767" s="83"/>
      <c r="KC767" s="405"/>
      <c r="KI767" s="83"/>
      <c r="KQ767" s="405"/>
      <c r="KW767" s="83"/>
      <c r="LE767" s="405"/>
      <c r="LK767" s="83"/>
      <c r="LS767" s="405"/>
      <c r="LY767" s="83"/>
      <c r="MG767" s="405"/>
      <c r="MM767" s="83"/>
      <c r="MU767" s="405"/>
      <c r="NA767" s="83"/>
    </row>
    <row r="768">
      <c r="A768" s="483"/>
      <c r="B768" s="380"/>
      <c r="C768" s="380"/>
      <c r="D768" s="380"/>
      <c r="E768" s="380"/>
      <c r="F768" s="380"/>
      <c r="G768" s="380"/>
      <c r="H768" s="380"/>
      <c r="I768" s="403"/>
      <c r="J768" s="380"/>
      <c r="K768" s="380"/>
      <c r="L768" s="380"/>
      <c r="M768" s="380"/>
      <c r="N768" s="380"/>
      <c r="O768" s="404"/>
      <c r="P768" s="380"/>
      <c r="Q768" s="380"/>
      <c r="R768" s="380"/>
      <c r="S768" s="380"/>
      <c r="T768" s="380"/>
      <c r="U768" s="380"/>
      <c r="V768" s="380"/>
      <c r="W768" s="403"/>
      <c r="X768" s="380"/>
      <c r="Y768" s="380"/>
      <c r="Z768" s="380"/>
      <c r="AA768" s="380"/>
      <c r="AB768" s="380"/>
      <c r="AC768" s="404"/>
      <c r="AD768" s="380"/>
      <c r="AE768" s="380"/>
      <c r="AF768" s="380"/>
      <c r="AG768" s="380"/>
      <c r="AH768" s="380"/>
      <c r="AI768" s="380"/>
      <c r="AJ768" s="380"/>
      <c r="AK768" s="403"/>
      <c r="AL768" s="380"/>
      <c r="AM768" s="380"/>
      <c r="AN768" s="380"/>
      <c r="AO768" s="380"/>
      <c r="AP768" s="380"/>
      <c r="AQ768" s="404"/>
      <c r="AR768" s="380"/>
      <c r="AS768" s="380"/>
      <c r="AT768" s="380"/>
      <c r="AU768" s="380"/>
      <c r="AV768" s="380"/>
      <c r="AW768" s="380"/>
      <c r="AX768" s="380"/>
      <c r="AY768" s="403"/>
      <c r="AZ768" s="380"/>
      <c r="BA768" s="380"/>
      <c r="BB768" s="380"/>
      <c r="BC768" s="380"/>
      <c r="BD768" s="380"/>
      <c r="BE768" s="404"/>
      <c r="BF768" s="380"/>
      <c r="BG768" s="380"/>
      <c r="BH768" s="380"/>
      <c r="BI768" s="380"/>
      <c r="BJ768" s="380"/>
      <c r="BK768" s="380"/>
      <c r="BL768" s="380"/>
      <c r="BM768" s="403"/>
      <c r="BS768" s="83"/>
      <c r="CA768" s="405"/>
      <c r="CG768" s="83"/>
      <c r="CO768" s="405"/>
      <c r="CU768" s="83"/>
      <c r="DC768" s="405"/>
      <c r="DI768" s="83"/>
      <c r="DQ768" s="405"/>
      <c r="DW768" s="83"/>
      <c r="EE768" s="405"/>
      <c r="EK768" s="83"/>
      <c r="ES768" s="405"/>
      <c r="EY768" s="83"/>
      <c r="FG768" s="405"/>
      <c r="FM768" s="83"/>
      <c r="FU768" s="405"/>
      <c r="GA768" s="83"/>
      <c r="GI768" s="405"/>
      <c r="GO768" s="83"/>
      <c r="GW768" s="405"/>
      <c r="HC768" s="83"/>
      <c r="HK768" s="405"/>
      <c r="HQ768" s="83"/>
      <c r="HY768" s="405"/>
      <c r="IE768" s="83"/>
      <c r="IM768" s="405"/>
      <c r="IS768" s="83"/>
      <c r="JA768" s="405"/>
      <c r="JG768" s="83"/>
      <c r="JO768" s="405"/>
      <c r="JU768" s="83"/>
      <c r="KC768" s="405"/>
      <c r="KI768" s="83"/>
      <c r="KQ768" s="405"/>
      <c r="KW768" s="83"/>
      <c r="LE768" s="405"/>
      <c r="LK768" s="83"/>
      <c r="LS768" s="405"/>
      <c r="LY768" s="83"/>
      <c r="MG768" s="405"/>
      <c r="MM768" s="83"/>
      <c r="MU768" s="405"/>
      <c r="NA768" s="83"/>
    </row>
    <row r="769">
      <c r="A769" s="483"/>
      <c r="B769" s="380"/>
      <c r="C769" s="380"/>
      <c r="D769" s="380"/>
      <c r="E769" s="380"/>
      <c r="F769" s="380"/>
      <c r="G769" s="380"/>
      <c r="H769" s="380"/>
      <c r="I769" s="403"/>
      <c r="J769" s="380"/>
      <c r="K769" s="380"/>
      <c r="L769" s="380"/>
      <c r="M769" s="380"/>
      <c r="N769" s="380"/>
      <c r="O769" s="404"/>
      <c r="P769" s="380"/>
      <c r="Q769" s="380"/>
      <c r="R769" s="380"/>
      <c r="S769" s="380"/>
      <c r="T769" s="380"/>
      <c r="U769" s="380"/>
      <c r="V769" s="380"/>
      <c r="W769" s="403"/>
      <c r="X769" s="380"/>
      <c r="Y769" s="380"/>
      <c r="Z769" s="380"/>
      <c r="AA769" s="380"/>
      <c r="AB769" s="380"/>
      <c r="AC769" s="404"/>
      <c r="AD769" s="380"/>
      <c r="AE769" s="380"/>
      <c r="AF769" s="380"/>
      <c r="AG769" s="380"/>
      <c r="AH769" s="380"/>
      <c r="AI769" s="380"/>
      <c r="AJ769" s="380"/>
      <c r="AK769" s="403"/>
      <c r="AL769" s="380"/>
      <c r="AM769" s="380"/>
      <c r="AN769" s="380"/>
      <c r="AO769" s="380"/>
      <c r="AP769" s="380"/>
      <c r="AQ769" s="404"/>
      <c r="AR769" s="380"/>
      <c r="AS769" s="380"/>
      <c r="AT769" s="380"/>
      <c r="AU769" s="380"/>
      <c r="AV769" s="380"/>
      <c r="AW769" s="380"/>
      <c r="AX769" s="380"/>
      <c r="AY769" s="403"/>
      <c r="AZ769" s="380"/>
      <c r="BA769" s="380"/>
      <c r="BB769" s="380"/>
      <c r="BC769" s="380"/>
      <c r="BD769" s="380"/>
      <c r="BE769" s="404"/>
      <c r="BF769" s="380"/>
      <c r="BG769" s="380"/>
      <c r="BH769" s="380"/>
      <c r="BI769" s="380"/>
      <c r="BJ769" s="380"/>
      <c r="BK769" s="380"/>
      <c r="BL769" s="380"/>
      <c r="BM769" s="403"/>
      <c r="BS769" s="83"/>
      <c r="CA769" s="405"/>
      <c r="CG769" s="83"/>
      <c r="CO769" s="405"/>
      <c r="CU769" s="83"/>
      <c r="DC769" s="405"/>
      <c r="DI769" s="83"/>
      <c r="DQ769" s="405"/>
      <c r="DW769" s="83"/>
      <c r="EE769" s="405"/>
      <c r="EK769" s="83"/>
      <c r="ES769" s="405"/>
      <c r="EY769" s="83"/>
      <c r="FG769" s="405"/>
      <c r="FM769" s="83"/>
      <c r="FU769" s="405"/>
      <c r="GA769" s="83"/>
      <c r="GI769" s="405"/>
      <c r="GO769" s="83"/>
      <c r="GW769" s="405"/>
      <c r="HC769" s="83"/>
      <c r="HK769" s="405"/>
      <c r="HQ769" s="83"/>
      <c r="HY769" s="405"/>
      <c r="IE769" s="83"/>
      <c r="IM769" s="405"/>
      <c r="IS769" s="83"/>
      <c r="JA769" s="405"/>
      <c r="JG769" s="83"/>
      <c r="JO769" s="405"/>
      <c r="JU769" s="83"/>
      <c r="KC769" s="405"/>
      <c r="KI769" s="83"/>
      <c r="KQ769" s="405"/>
      <c r="KW769" s="83"/>
      <c r="LE769" s="405"/>
      <c r="LK769" s="83"/>
      <c r="LS769" s="405"/>
      <c r="LY769" s="83"/>
      <c r="MG769" s="405"/>
      <c r="MM769" s="83"/>
      <c r="MU769" s="405"/>
      <c r="NA769" s="83"/>
    </row>
    <row r="770">
      <c r="A770" s="483"/>
      <c r="B770" s="380"/>
      <c r="C770" s="380"/>
      <c r="D770" s="380"/>
      <c r="E770" s="380"/>
      <c r="F770" s="380"/>
      <c r="G770" s="380"/>
      <c r="H770" s="380"/>
      <c r="I770" s="403"/>
      <c r="J770" s="380"/>
      <c r="K770" s="380"/>
      <c r="L770" s="380"/>
      <c r="M770" s="380"/>
      <c r="N770" s="380"/>
      <c r="O770" s="404"/>
      <c r="P770" s="380"/>
      <c r="Q770" s="380"/>
      <c r="R770" s="380"/>
      <c r="S770" s="380"/>
      <c r="T770" s="380"/>
      <c r="U770" s="380"/>
      <c r="V770" s="380"/>
      <c r="W770" s="403"/>
      <c r="X770" s="380"/>
      <c r="Y770" s="380"/>
      <c r="Z770" s="380"/>
      <c r="AA770" s="380"/>
      <c r="AB770" s="380"/>
      <c r="AC770" s="404"/>
      <c r="AD770" s="380"/>
      <c r="AE770" s="380"/>
      <c r="AF770" s="380"/>
      <c r="AG770" s="380"/>
      <c r="AH770" s="380"/>
      <c r="AI770" s="380"/>
      <c r="AJ770" s="380"/>
      <c r="AK770" s="403"/>
      <c r="AL770" s="380"/>
      <c r="AM770" s="380"/>
      <c r="AN770" s="380"/>
      <c r="AO770" s="380"/>
      <c r="AP770" s="380"/>
      <c r="AQ770" s="404"/>
      <c r="AR770" s="380"/>
      <c r="AS770" s="380"/>
      <c r="AT770" s="380"/>
      <c r="AU770" s="380"/>
      <c r="AV770" s="380"/>
      <c r="AW770" s="380"/>
      <c r="AX770" s="380"/>
      <c r="AY770" s="403"/>
      <c r="AZ770" s="380"/>
      <c r="BA770" s="380"/>
      <c r="BB770" s="380"/>
      <c r="BC770" s="380"/>
      <c r="BD770" s="380"/>
      <c r="BE770" s="404"/>
      <c r="BF770" s="380"/>
      <c r="BG770" s="380"/>
      <c r="BH770" s="380"/>
      <c r="BI770" s="380"/>
      <c r="BJ770" s="380"/>
      <c r="BK770" s="380"/>
      <c r="BL770" s="380"/>
      <c r="BM770" s="403"/>
      <c r="BS770" s="83"/>
      <c r="CA770" s="405"/>
      <c r="CG770" s="83"/>
      <c r="CO770" s="405"/>
      <c r="CU770" s="83"/>
      <c r="DC770" s="405"/>
      <c r="DI770" s="83"/>
      <c r="DQ770" s="405"/>
      <c r="DW770" s="83"/>
      <c r="EE770" s="405"/>
      <c r="EK770" s="83"/>
      <c r="ES770" s="405"/>
      <c r="EY770" s="83"/>
      <c r="FG770" s="405"/>
      <c r="FM770" s="83"/>
      <c r="FU770" s="405"/>
      <c r="GA770" s="83"/>
      <c r="GI770" s="405"/>
      <c r="GO770" s="83"/>
      <c r="GW770" s="405"/>
      <c r="HC770" s="83"/>
      <c r="HK770" s="405"/>
      <c r="HQ770" s="83"/>
      <c r="HY770" s="405"/>
      <c r="IE770" s="83"/>
      <c r="IM770" s="405"/>
      <c r="IS770" s="83"/>
      <c r="JA770" s="405"/>
      <c r="JG770" s="83"/>
      <c r="JO770" s="405"/>
      <c r="JU770" s="83"/>
      <c r="KC770" s="405"/>
      <c r="KI770" s="83"/>
      <c r="KQ770" s="405"/>
      <c r="KW770" s="83"/>
      <c r="LE770" s="405"/>
      <c r="LK770" s="83"/>
      <c r="LS770" s="405"/>
      <c r="LY770" s="83"/>
      <c r="MG770" s="405"/>
      <c r="MM770" s="83"/>
      <c r="MU770" s="405"/>
      <c r="NA770" s="83"/>
    </row>
    <row r="771">
      <c r="A771" s="483"/>
      <c r="B771" s="380"/>
      <c r="C771" s="380"/>
      <c r="D771" s="380"/>
      <c r="E771" s="380"/>
      <c r="F771" s="380"/>
      <c r="G771" s="380"/>
      <c r="H771" s="380"/>
      <c r="I771" s="403"/>
      <c r="J771" s="380"/>
      <c r="K771" s="380"/>
      <c r="L771" s="380"/>
      <c r="M771" s="380"/>
      <c r="N771" s="380"/>
      <c r="O771" s="404"/>
      <c r="P771" s="380"/>
      <c r="Q771" s="380"/>
      <c r="R771" s="380"/>
      <c r="S771" s="380"/>
      <c r="T771" s="380"/>
      <c r="U771" s="380"/>
      <c r="V771" s="380"/>
      <c r="W771" s="403"/>
      <c r="X771" s="380"/>
      <c r="Y771" s="380"/>
      <c r="Z771" s="380"/>
      <c r="AA771" s="380"/>
      <c r="AB771" s="380"/>
      <c r="AC771" s="404"/>
      <c r="AD771" s="380"/>
      <c r="AE771" s="380"/>
      <c r="AF771" s="380"/>
      <c r="AG771" s="380"/>
      <c r="AH771" s="380"/>
      <c r="AI771" s="380"/>
      <c r="AJ771" s="380"/>
      <c r="AK771" s="403"/>
      <c r="AL771" s="380"/>
      <c r="AM771" s="380"/>
      <c r="AN771" s="380"/>
      <c r="AO771" s="380"/>
      <c r="AP771" s="380"/>
      <c r="AQ771" s="404"/>
      <c r="AR771" s="380"/>
      <c r="AS771" s="380"/>
      <c r="AT771" s="380"/>
      <c r="AU771" s="380"/>
      <c r="AV771" s="380"/>
      <c r="AW771" s="380"/>
      <c r="AX771" s="380"/>
      <c r="AY771" s="403"/>
      <c r="AZ771" s="380"/>
      <c r="BA771" s="380"/>
      <c r="BB771" s="380"/>
      <c r="BC771" s="380"/>
      <c r="BD771" s="380"/>
      <c r="BE771" s="404"/>
      <c r="BF771" s="380"/>
      <c r="BG771" s="380"/>
      <c r="BH771" s="380"/>
      <c r="BI771" s="380"/>
      <c r="BJ771" s="380"/>
      <c r="BK771" s="380"/>
      <c r="BL771" s="380"/>
      <c r="BM771" s="403"/>
      <c r="BS771" s="83"/>
      <c r="CA771" s="405"/>
      <c r="CG771" s="83"/>
      <c r="CO771" s="405"/>
      <c r="CU771" s="83"/>
      <c r="DC771" s="405"/>
      <c r="DI771" s="83"/>
      <c r="DQ771" s="405"/>
      <c r="DW771" s="83"/>
      <c r="EE771" s="405"/>
      <c r="EK771" s="83"/>
      <c r="ES771" s="405"/>
      <c r="EY771" s="83"/>
      <c r="FG771" s="405"/>
      <c r="FM771" s="83"/>
      <c r="FU771" s="405"/>
      <c r="GA771" s="83"/>
      <c r="GI771" s="405"/>
      <c r="GO771" s="83"/>
      <c r="GW771" s="405"/>
      <c r="HC771" s="83"/>
      <c r="HK771" s="405"/>
      <c r="HQ771" s="83"/>
      <c r="HY771" s="405"/>
      <c r="IE771" s="83"/>
      <c r="IM771" s="405"/>
      <c r="IS771" s="83"/>
      <c r="JA771" s="405"/>
      <c r="JG771" s="83"/>
      <c r="JO771" s="405"/>
      <c r="JU771" s="83"/>
      <c r="KC771" s="405"/>
      <c r="KI771" s="83"/>
      <c r="KQ771" s="405"/>
      <c r="KW771" s="83"/>
      <c r="LE771" s="405"/>
      <c r="LK771" s="83"/>
      <c r="LS771" s="405"/>
      <c r="LY771" s="83"/>
      <c r="MG771" s="405"/>
      <c r="MM771" s="83"/>
      <c r="MU771" s="405"/>
      <c r="NA771" s="83"/>
    </row>
    <row r="772">
      <c r="A772" s="483"/>
      <c r="B772" s="380"/>
      <c r="C772" s="380"/>
      <c r="D772" s="380"/>
      <c r="E772" s="380"/>
      <c r="F772" s="380"/>
      <c r="G772" s="380"/>
      <c r="H772" s="380"/>
      <c r="I772" s="403"/>
      <c r="J772" s="380"/>
      <c r="K772" s="380"/>
      <c r="L772" s="380"/>
      <c r="M772" s="380"/>
      <c r="N772" s="380"/>
      <c r="O772" s="404"/>
      <c r="P772" s="380"/>
      <c r="Q772" s="380"/>
      <c r="R772" s="380"/>
      <c r="S772" s="380"/>
      <c r="T772" s="380"/>
      <c r="U772" s="380"/>
      <c r="V772" s="380"/>
      <c r="W772" s="403"/>
      <c r="X772" s="380"/>
      <c r="Y772" s="380"/>
      <c r="Z772" s="380"/>
      <c r="AA772" s="380"/>
      <c r="AB772" s="380"/>
      <c r="AC772" s="404"/>
      <c r="AD772" s="380"/>
      <c r="AE772" s="380"/>
      <c r="AF772" s="380"/>
      <c r="AG772" s="380"/>
      <c r="AH772" s="380"/>
      <c r="AI772" s="380"/>
      <c r="AJ772" s="380"/>
      <c r="AK772" s="403"/>
      <c r="AL772" s="380"/>
      <c r="AM772" s="380"/>
      <c r="AN772" s="380"/>
      <c r="AO772" s="380"/>
      <c r="AP772" s="380"/>
      <c r="AQ772" s="404"/>
      <c r="AR772" s="380"/>
      <c r="AS772" s="380"/>
      <c r="AT772" s="380"/>
      <c r="AU772" s="380"/>
      <c r="AV772" s="380"/>
      <c r="AW772" s="380"/>
      <c r="AX772" s="380"/>
      <c r="AY772" s="403"/>
      <c r="AZ772" s="380"/>
      <c r="BA772" s="380"/>
      <c r="BB772" s="380"/>
      <c r="BC772" s="380"/>
      <c r="BD772" s="380"/>
      <c r="BE772" s="404"/>
      <c r="BF772" s="380"/>
      <c r="BG772" s="380"/>
      <c r="BH772" s="380"/>
      <c r="BI772" s="380"/>
      <c r="BJ772" s="380"/>
      <c r="BK772" s="380"/>
      <c r="BL772" s="380"/>
      <c r="BM772" s="403"/>
      <c r="BS772" s="83"/>
      <c r="CA772" s="405"/>
      <c r="CG772" s="83"/>
      <c r="CO772" s="405"/>
      <c r="CU772" s="83"/>
      <c r="DC772" s="405"/>
      <c r="DI772" s="83"/>
      <c r="DQ772" s="405"/>
      <c r="DW772" s="83"/>
      <c r="EE772" s="405"/>
      <c r="EK772" s="83"/>
      <c r="ES772" s="405"/>
      <c r="EY772" s="83"/>
      <c r="FG772" s="405"/>
      <c r="FM772" s="83"/>
      <c r="FU772" s="405"/>
      <c r="GA772" s="83"/>
      <c r="GI772" s="405"/>
      <c r="GO772" s="83"/>
      <c r="GW772" s="405"/>
      <c r="HC772" s="83"/>
      <c r="HK772" s="405"/>
      <c r="HQ772" s="83"/>
      <c r="HY772" s="405"/>
      <c r="IE772" s="83"/>
      <c r="IM772" s="405"/>
      <c r="IS772" s="83"/>
      <c r="JA772" s="405"/>
      <c r="JG772" s="83"/>
      <c r="JO772" s="405"/>
      <c r="JU772" s="83"/>
      <c r="KC772" s="405"/>
      <c r="KI772" s="83"/>
      <c r="KQ772" s="405"/>
      <c r="KW772" s="83"/>
      <c r="LE772" s="405"/>
      <c r="LK772" s="83"/>
      <c r="LS772" s="405"/>
      <c r="LY772" s="83"/>
      <c r="MG772" s="405"/>
      <c r="MM772" s="83"/>
      <c r="MU772" s="405"/>
      <c r="NA772" s="83"/>
    </row>
    <row r="773">
      <c r="A773" s="483"/>
      <c r="B773" s="380"/>
      <c r="C773" s="380"/>
      <c r="D773" s="380"/>
      <c r="E773" s="380"/>
      <c r="F773" s="380"/>
      <c r="G773" s="380"/>
      <c r="H773" s="380"/>
      <c r="I773" s="403"/>
      <c r="J773" s="380"/>
      <c r="K773" s="380"/>
      <c r="L773" s="380"/>
      <c r="M773" s="380"/>
      <c r="N773" s="380"/>
      <c r="O773" s="404"/>
      <c r="P773" s="380"/>
      <c r="Q773" s="380"/>
      <c r="R773" s="380"/>
      <c r="S773" s="380"/>
      <c r="T773" s="380"/>
      <c r="U773" s="380"/>
      <c r="V773" s="380"/>
      <c r="W773" s="403"/>
      <c r="X773" s="380"/>
      <c r="Y773" s="380"/>
      <c r="Z773" s="380"/>
      <c r="AA773" s="380"/>
      <c r="AB773" s="380"/>
      <c r="AC773" s="404"/>
      <c r="AD773" s="380"/>
      <c r="AE773" s="380"/>
      <c r="AF773" s="380"/>
      <c r="AG773" s="380"/>
      <c r="AH773" s="380"/>
      <c r="AI773" s="380"/>
      <c r="AJ773" s="380"/>
      <c r="AK773" s="403"/>
      <c r="AL773" s="380"/>
      <c r="AM773" s="380"/>
      <c r="AN773" s="380"/>
      <c r="AO773" s="380"/>
      <c r="AP773" s="380"/>
      <c r="AQ773" s="404"/>
      <c r="AR773" s="380"/>
      <c r="AS773" s="380"/>
      <c r="AT773" s="380"/>
      <c r="AU773" s="380"/>
      <c r="AV773" s="380"/>
      <c r="AW773" s="380"/>
      <c r="AX773" s="380"/>
      <c r="AY773" s="403"/>
      <c r="AZ773" s="380"/>
      <c r="BA773" s="380"/>
      <c r="BB773" s="380"/>
      <c r="BC773" s="380"/>
      <c r="BD773" s="380"/>
      <c r="BE773" s="404"/>
      <c r="BF773" s="380"/>
      <c r="BG773" s="380"/>
      <c r="BH773" s="380"/>
      <c r="BI773" s="380"/>
      <c r="BJ773" s="380"/>
      <c r="BK773" s="380"/>
      <c r="BL773" s="380"/>
      <c r="BM773" s="403"/>
      <c r="BS773" s="83"/>
      <c r="CA773" s="405"/>
      <c r="CG773" s="83"/>
      <c r="CO773" s="405"/>
      <c r="CU773" s="83"/>
      <c r="DC773" s="405"/>
      <c r="DI773" s="83"/>
      <c r="DQ773" s="405"/>
      <c r="DW773" s="83"/>
      <c r="EE773" s="405"/>
      <c r="EK773" s="83"/>
      <c r="ES773" s="405"/>
      <c r="EY773" s="83"/>
      <c r="FG773" s="405"/>
      <c r="FM773" s="83"/>
      <c r="FU773" s="405"/>
      <c r="GA773" s="83"/>
      <c r="GI773" s="405"/>
      <c r="GO773" s="83"/>
      <c r="GW773" s="405"/>
      <c r="HC773" s="83"/>
      <c r="HK773" s="405"/>
      <c r="HQ773" s="83"/>
      <c r="HY773" s="405"/>
      <c r="IE773" s="83"/>
      <c r="IM773" s="405"/>
      <c r="IS773" s="83"/>
      <c r="JA773" s="405"/>
      <c r="JG773" s="83"/>
      <c r="JO773" s="405"/>
      <c r="JU773" s="83"/>
      <c r="KC773" s="405"/>
      <c r="KI773" s="83"/>
      <c r="KQ773" s="405"/>
      <c r="KW773" s="83"/>
      <c r="LE773" s="405"/>
      <c r="LK773" s="83"/>
      <c r="LS773" s="405"/>
      <c r="LY773" s="83"/>
      <c r="MG773" s="405"/>
      <c r="MM773" s="83"/>
      <c r="MU773" s="405"/>
      <c r="NA773" s="83"/>
    </row>
    <row r="774">
      <c r="A774" s="483"/>
      <c r="B774" s="380"/>
      <c r="C774" s="380"/>
      <c r="D774" s="380"/>
      <c r="E774" s="380"/>
      <c r="F774" s="380"/>
      <c r="G774" s="380"/>
      <c r="H774" s="380"/>
      <c r="I774" s="403"/>
      <c r="J774" s="380"/>
      <c r="K774" s="380"/>
      <c r="L774" s="380"/>
      <c r="M774" s="380"/>
      <c r="N774" s="380"/>
      <c r="O774" s="404"/>
      <c r="P774" s="380"/>
      <c r="Q774" s="380"/>
      <c r="R774" s="380"/>
      <c r="S774" s="380"/>
      <c r="T774" s="380"/>
      <c r="U774" s="380"/>
      <c r="V774" s="380"/>
      <c r="W774" s="403"/>
      <c r="X774" s="380"/>
      <c r="Y774" s="380"/>
      <c r="Z774" s="380"/>
      <c r="AA774" s="380"/>
      <c r="AB774" s="380"/>
      <c r="AC774" s="404"/>
      <c r="AD774" s="380"/>
      <c r="AE774" s="380"/>
      <c r="AF774" s="380"/>
      <c r="AG774" s="380"/>
      <c r="AH774" s="380"/>
      <c r="AI774" s="380"/>
      <c r="AJ774" s="380"/>
      <c r="AK774" s="403"/>
      <c r="AL774" s="380"/>
      <c r="AM774" s="380"/>
      <c r="AN774" s="380"/>
      <c r="AO774" s="380"/>
      <c r="AP774" s="380"/>
      <c r="AQ774" s="404"/>
      <c r="AR774" s="380"/>
      <c r="AS774" s="380"/>
      <c r="AT774" s="380"/>
      <c r="AU774" s="380"/>
      <c r="AV774" s="380"/>
      <c r="AW774" s="380"/>
      <c r="AX774" s="380"/>
      <c r="AY774" s="403"/>
      <c r="AZ774" s="380"/>
      <c r="BA774" s="380"/>
      <c r="BB774" s="380"/>
      <c r="BC774" s="380"/>
      <c r="BD774" s="380"/>
      <c r="BE774" s="404"/>
      <c r="BF774" s="380"/>
      <c r="BG774" s="380"/>
      <c r="BH774" s="380"/>
      <c r="BI774" s="380"/>
      <c r="BJ774" s="380"/>
      <c r="BK774" s="380"/>
      <c r="BL774" s="380"/>
      <c r="BM774" s="403"/>
      <c r="BS774" s="83"/>
      <c r="CA774" s="405"/>
      <c r="CG774" s="83"/>
      <c r="CO774" s="405"/>
      <c r="CU774" s="83"/>
      <c r="DC774" s="405"/>
      <c r="DI774" s="83"/>
      <c r="DQ774" s="405"/>
      <c r="DW774" s="83"/>
      <c r="EE774" s="405"/>
      <c r="EK774" s="83"/>
      <c r="ES774" s="405"/>
      <c r="EY774" s="83"/>
      <c r="FG774" s="405"/>
      <c r="FM774" s="83"/>
      <c r="FU774" s="405"/>
      <c r="GA774" s="83"/>
      <c r="GI774" s="405"/>
      <c r="GO774" s="83"/>
      <c r="GW774" s="405"/>
      <c r="HC774" s="83"/>
      <c r="HK774" s="405"/>
      <c r="HQ774" s="83"/>
      <c r="HY774" s="405"/>
      <c r="IE774" s="83"/>
      <c r="IM774" s="405"/>
      <c r="IS774" s="83"/>
      <c r="JA774" s="405"/>
      <c r="JG774" s="83"/>
      <c r="JO774" s="405"/>
      <c r="JU774" s="83"/>
      <c r="KC774" s="405"/>
      <c r="KI774" s="83"/>
      <c r="KQ774" s="405"/>
      <c r="KW774" s="83"/>
      <c r="LE774" s="405"/>
      <c r="LK774" s="83"/>
      <c r="LS774" s="405"/>
      <c r="LY774" s="83"/>
      <c r="MG774" s="405"/>
      <c r="MM774" s="83"/>
      <c r="MU774" s="405"/>
      <c r="NA774" s="83"/>
    </row>
    <row r="775">
      <c r="A775" s="483"/>
      <c r="B775" s="380"/>
      <c r="C775" s="380"/>
      <c r="D775" s="380"/>
      <c r="E775" s="380"/>
      <c r="F775" s="380"/>
      <c r="G775" s="380"/>
      <c r="H775" s="380"/>
      <c r="I775" s="403"/>
      <c r="J775" s="380"/>
      <c r="K775" s="380"/>
      <c r="L775" s="380"/>
      <c r="M775" s="380"/>
      <c r="N775" s="380"/>
      <c r="O775" s="404"/>
      <c r="P775" s="380"/>
      <c r="Q775" s="380"/>
      <c r="R775" s="380"/>
      <c r="S775" s="380"/>
      <c r="T775" s="380"/>
      <c r="U775" s="380"/>
      <c r="V775" s="380"/>
      <c r="W775" s="403"/>
      <c r="X775" s="380"/>
      <c r="Y775" s="380"/>
      <c r="Z775" s="380"/>
      <c r="AA775" s="380"/>
      <c r="AB775" s="380"/>
      <c r="AC775" s="404"/>
      <c r="AD775" s="380"/>
      <c r="AE775" s="380"/>
      <c r="AF775" s="380"/>
      <c r="AG775" s="380"/>
      <c r="AH775" s="380"/>
      <c r="AI775" s="380"/>
      <c r="AJ775" s="380"/>
      <c r="AK775" s="403"/>
      <c r="AL775" s="380"/>
      <c r="AM775" s="380"/>
      <c r="AN775" s="380"/>
      <c r="AO775" s="380"/>
      <c r="AP775" s="380"/>
      <c r="AQ775" s="404"/>
      <c r="AR775" s="380"/>
      <c r="AS775" s="380"/>
      <c r="AT775" s="380"/>
      <c r="AU775" s="380"/>
      <c r="AV775" s="380"/>
      <c r="AW775" s="380"/>
      <c r="AX775" s="380"/>
      <c r="AY775" s="403"/>
      <c r="AZ775" s="380"/>
      <c r="BA775" s="380"/>
      <c r="BB775" s="380"/>
      <c r="BC775" s="380"/>
      <c r="BD775" s="380"/>
      <c r="BE775" s="404"/>
      <c r="BF775" s="380"/>
      <c r="BG775" s="380"/>
      <c r="BH775" s="380"/>
      <c r="BI775" s="380"/>
      <c r="BJ775" s="380"/>
      <c r="BK775" s="380"/>
      <c r="BL775" s="380"/>
      <c r="BM775" s="403"/>
      <c r="BS775" s="83"/>
      <c r="CA775" s="405"/>
      <c r="CG775" s="83"/>
      <c r="CO775" s="405"/>
      <c r="CU775" s="83"/>
      <c r="DC775" s="405"/>
      <c r="DI775" s="83"/>
      <c r="DQ775" s="405"/>
      <c r="DW775" s="83"/>
      <c r="EE775" s="405"/>
      <c r="EK775" s="83"/>
      <c r="ES775" s="405"/>
      <c r="EY775" s="83"/>
      <c r="FG775" s="405"/>
      <c r="FM775" s="83"/>
      <c r="FU775" s="405"/>
      <c r="GA775" s="83"/>
      <c r="GI775" s="405"/>
      <c r="GO775" s="83"/>
      <c r="GW775" s="405"/>
      <c r="HC775" s="83"/>
      <c r="HK775" s="405"/>
      <c r="HQ775" s="83"/>
      <c r="HY775" s="405"/>
      <c r="IE775" s="83"/>
      <c r="IM775" s="405"/>
      <c r="IS775" s="83"/>
      <c r="JA775" s="405"/>
      <c r="JG775" s="83"/>
      <c r="JO775" s="405"/>
      <c r="JU775" s="83"/>
      <c r="KC775" s="405"/>
      <c r="KI775" s="83"/>
      <c r="KQ775" s="405"/>
      <c r="KW775" s="83"/>
      <c r="LE775" s="405"/>
      <c r="LK775" s="83"/>
      <c r="LS775" s="405"/>
      <c r="LY775" s="83"/>
      <c r="MG775" s="405"/>
      <c r="MM775" s="83"/>
      <c r="MU775" s="405"/>
      <c r="NA775" s="83"/>
    </row>
    <row r="776">
      <c r="A776" s="483"/>
      <c r="B776" s="380"/>
      <c r="C776" s="380"/>
      <c r="D776" s="380"/>
      <c r="E776" s="380"/>
      <c r="F776" s="380"/>
      <c r="G776" s="380"/>
      <c r="H776" s="380"/>
      <c r="I776" s="403"/>
      <c r="J776" s="380"/>
      <c r="K776" s="380"/>
      <c r="L776" s="380"/>
      <c r="M776" s="380"/>
      <c r="N776" s="380"/>
      <c r="O776" s="404"/>
      <c r="P776" s="380"/>
      <c r="Q776" s="380"/>
      <c r="R776" s="380"/>
      <c r="S776" s="380"/>
      <c r="T776" s="380"/>
      <c r="U776" s="380"/>
      <c r="V776" s="380"/>
      <c r="W776" s="403"/>
      <c r="X776" s="380"/>
      <c r="Y776" s="380"/>
      <c r="Z776" s="380"/>
      <c r="AA776" s="380"/>
      <c r="AB776" s="380"/>
      <c r="AC776" s="404"/>
      <c r="AD776" s="380"/>
      <c r="AE776" s="380"/>
      <c r="AF776" s="380"/>
      <c r="AG776" s="380"/>
      <c r="AH776" s="380"/>
      <c r="AI776" s="380"/>
      <c r="AJ776" s="380"/>
      <c r="AK776" s="403"/>
      <c r="AL776" s="380"/>
      <c r="AM776" s="380"/>
      <c r="AN776" s="380"/>
      <c r="AO776" s="380"/>
      <c r="AP776" s="380"/>
      <c r="AQ776" s="404"/>
      <c r="AR776" s="380"/>
      <c r="AS776" s="380"/>
      <c r="AT776" s="380"/>
      <c r="AU776" s="380"/>
      <c r="AV776" s="380"/>
      <c r="AW776" s="380"/>
      <c r="AX776" s="380"/>
      <c r="AY776" s="403"/>
      <c r="AZ776" s="380"/>
      <c r="BA776" s="380"/>
      <c r="BB776" s="380"/>
      <c r="BC776" s="380"/>
      <c r="BD776" s="380"/>
      <c r="BE776" s="404"/>
      <c r="BF776" s="380"/>
      <c r="BG776" s="380"/>
      <c r="BH776" s="380"/>
      <c r="BI776" s="380"/>
      <c r="BJ776" s="380"/>
      <c r="BK776" s="380"/>
      <c r="BL776" s="380"/>
      <c r="BM776" s="403"/>
      <c r="BS776" s="83"/>
      <c r="CA776" s="405"/>
      <c r="CG776" s="83"/>
      <c r="CO776" s="405"/>
      <c r="CU776" s="83"/>
      <c r="DC776" s="405"/>
      <c r="DI776" s="83"/>
      <c r="DQ776" s="405"/>
      <c r="DW776" s="83"/>
      <c r="EE776" s="405"/>
      <c r="EK776" s="83"/>
      <c r="ES776" s="405"/>
      <c r="EY776" s="83"/>
      <c r="FG776" s="405"/>
      <c r="FM776" s="83"/>
      <c r="FU776" s="405"/>
      <c r="GA776" s="83"/>
      <c r="GI776" s="405"/>
      <c r="GO776" s="83"/>
      <c r="GW776" s="405"/>
      <c r="HC776" s="83"/>
      <c r="HK776" s="405"/>
      <c r="HQ776" s="83"/>
      <c r="HY776" s="405"/>
      <c r="IE776" s="83"/>
      <c r="IM776" s="405"/>
      <c r="IS776" s="83"/>
      <c r="JA776" s="405"/>
      <c r="JG776" s="83"/>
      <c r="JO776" s="405"/>
      <c r="JU776" s="83"/>
      <c r="KC776" s="405"/>
      <c r="KI776" s="83"/>
      <c r="KQ776" s="405"/>
      <c r="KW776" s="83"/>
      <c r="LE776" s="405"/>
      <c r="LK776" s="83"/>
      <c r="LS776" s="405"/>
      <c r="LY776" s="83"/>
      <c r="MG776" s="405"/>
      <c r="MM776" s="83"/>
      <c r="MU776" s="405"/>
      <c r="NA776" s="83"/>
    </row>
    <row r="777">
      <c r="A777" s="483"/>
      <c r="B777" s="380"/>
      <c r="C777" s="380"/>
      <c r="D777" s="380"/>
      <c r="E777" s="380"/>
      <c r="F777" s="380"/>
      <c r="G777" s="380"/>
      <c r="H777" s="380"/>
      <c r="I777" s="403"/>
      <c r="J777" s="380"/>
      <c r="K777" s="380"/>
      <c r="L777" s="380"/>
      <c r="M777" s="380"/>
      <c r="N777" s="380"/>
      <c r="O777" s="404"/>
      <c r="P777" s="380"/>
      <c r="Q777" s="380"/>
      <c r="R777" s="380"/>
      <c r="S777" s="380"/>
      <c r="T777" s="380"/>
      <c r="U777" s="380"/>
      <c r="V777" s="380"/>
      <c r="W777" s="403"/>
      <c r="X777" s="380"/>
      <c r="Y777" s="380"/>
      <c r="Z777" s="380"/>
      <c r="AA777" s="380"/>
      <c r="AB777" s="380"/>
      <c r="AC777" s="404"/>
      <c r="AD777" s="380"/>
      <c r="AE777" s="380"/>
      <c r="AF777" s="380"/>
      <c r="AG777" s="380"/>
      <c r="AH777" s="380"/>
      <c r="AI777" s="380"/>
      <c r="AJ777" s="380"/>
      <c r="AK777" s="403"/>
      <c r="AL777" s="380"/>
      <c r="AM777" s="380"/>
      <c r="AN777" s="380"/>
      <c r="AO777" s="380"/>
      <c r="AP777" s="380"/>
      <c r="AQ777" s="404"/>
      <c r="AR777" s="380"/>
      <c r="AS777" s="380"/>
      <c r="AT777" s="380"/>
      <c r="AU777" s="380"/>
      <c r="AV777" s="380"/>
      <c r="AW777" s="380"/>
      <c r="AX777" s="380"/>
      <c r="AY777" s="403"/>
      <c r="AZ777" s="380"/>
      <c r="BA777" s="380"/>
      <c r="BB777" s="380"/>
      <c r="BC777" s="380"/>
      <c r="BD777" s="380"/>
      <c r="BE777" s="404"/>
      <c r="BF777" s="380"/>
      <c r="BG777" s="380"/>
      <c r="BH777" s="380"/>
      <c r="BI777" s="380"/>
      <c r="BJ777" s="380"/>
      <c r="BK777" s="380"/>
      <c r="BL777" s="380"/>
      <c r="BM777" s="403"/>
      <c r="BS777" s="83"/>
      <c r="CA777" s="405"/>
      <c r="CG777" s="83"/>
      <c r="CO777" s="405"/>
      <c r="CU777" s="83"/>
      <c r="DC777" s="405"/>
      <c r="DI777" s="83"/>
      <c r="DQ777" s="405"/>
      <c r="DW777" s="83"/>
      <c r="EE777" s="405"/>
      <c r="EK777" s="83"/>
      <c r="ES777" s="405"/>
      <c r="EY777" s="83"/>
      <c r="FG777" s="405"/>
      <c r="FM777" s="83"/>
      <c r="FU777" s="405"/>
      <c r="GA777" s="83"/>
      <c r="GI777" s="405"/>
      <c r="GO777" s="83"/>
      <c r="GW777" s="405"/>
      <c r="HC777" s="83"/>
      <c r="HK777" s="405"/>
      <c r="HQ777" s="83"/>
      <c r="HY777" s="405"/>
      <c r="IE777" s="83"/>
      <c r="IM777" s="405"/>
      <c r="IS777" s="83"/>
      <c r="JA777" s="405"/>
      <c r="JG777" s="83"/>
      <c r="JO777" s="405"/>
      <c r="JU777" s="83"/>
      <c r="KC777" s="405"/>
      <c r="KI777" s="83"/>
      <c r="KQ777" s="405"/>
      <c r="KW777" s="83"/>
      <c r="LE777" s="405"/>
      <c r="LK777" s="83"/>
      <c r="LS777" s="405"/>
      <c r="LY777" s="83"/>
      <c r="MG777" s="405"/>
      <c r="MM777" s="83"/>
      <c r="MU777" s="405"/>
      <c r="NA777" s="83"/>
    </row>
    <row r="778">
      <c r="A778" s="483"/>
      <c r="B778" s="380"/>
      <c r="C778" s="380"/>
      <c r="D778" s="380"/>
      <c r="E778" s="380"/>
      <c r="F778" s="380"/>
      <c r="G778" s="380"/>
      <c r="H778" s="380"/>
      <c r="I778" s="403"/>
      <c r="J778" s="380"/>
      <c r="K778" s="380"/>
      <c r="L778" s="380"/>
      <c r="M778" s="380"/>
      <c r="N778" s="380"/>
      <c r="O778" s="404"/>
      <c r="P778" s="380"/>
      <c r="Q778" s="380"/>
      <c r="R778" s="380"/>
      <c r="S778" s="380"/>
      <c r="T778" s="380"/>
      <c r="U778" s="380"/>
      <c r="V778" s="380"/>
      <c r="W778" s="403"/>
      <c r="X778" s="380"/>
      <c r="Y778" s="380"/>
      <c r="Z778" s="380"/>
      <c r="AA778" s="380"/>
      <c r="AB778" s="380"/>
      <c r="AC778" s="404"/>
      <c r="AD778" s="380"/>
      <c r="AE778" s="380"/>
      <c r="AF778" s="380"/>
      <c r="AG778" s="380"/>
      <c r="AH778" s="380"/>
      <c r="AI778" s="380"/>
      <c r="AJ778" s="380"/>
      <c r="AK778" s="403"/>
      <c r="AL778" s="380"/>
      <c r="AM778" s="380"/>
      <c r="AN778" s="380"/>
      <c r="AO778" s="380"/>
      <c r="AP778" s="380"/>
      <c r="AQ778" s="404"/>
      <c r="AR778" s="380"/>
      <c r="AS778" s="380"/>
      <c r="AT778" s="380"/>
      <c r="AU778" s="380"/>
      <c r="AV778" s="380"/>
      <c r="AW778" s="380"/>
      <c r="AX778" s="380"/>
      <c r="AY778" s="403"/>
      <c r="AZ778" s="380"/>
      <c r="BA778" s="380"/>
      <c r="BB778" s="380"/>
      <c r="BC778" s="380"/>
      <c r="BD778" s="380"/>
      <c r="BE778" s="404"/>
      <c r="BF778" s="380"/>
      <c r="BG778" s="380"/>
      <c r="BH778" s="380"/>
      <c r="BI778" s="380"/>
      <c r="BJ778" s="380"/>
      <c r="BK778" s="380"/>
      <c r="BL778" s="380"/>
      <c r="BM778" s="403"/>
      <c r="BS778" s="83"/>
      <c r="CA778" s="405"/>
      <c r="CG778" s="83"/>
      <c r="CO778" s="405"/>
      <c r="CU778" s="83"/>
      <c r="DC778" s="405"/>
      <c r="DI778" s="83"/>
      <c r="DQ778" s="405"/>
      <c r="DW778" s="83"/>
      <c r="EE778" s="405"/>
      <c r="EK778" s="83"/>
      <c r="ES778" s="405"/>
      <c r="EY778" s="83"/>
      <c r="FG778" s="405"/>
      <c r="FM778" s="83"/>
      <c r="FU778" s="405"/>
      <c r="GA778" s="83"/>
      <c r="GI778" s="405"/>
      <c r="GO778" s="83"/>
      <c r="GW778" s="405"/>
      <c r="HC778" s="83"/>
      <c r="HK778" s="405"/>
      <c r="HQ778" s="83"/>
      <c r="HY778" s="405"/>
      <c r="IE778" s="83"/>
      <c r="IM778" s="405"/>
      <c r="IS778" s="83"/>
      <c r="JA778" s="405"/>
      <c r="JG778" s="83"/>
      <c r="JO778" s="405"/>
      <c r="JU778" s="83"/>
      <c r="KC778" s="405"/>
      <c r="KI778" s="83"/>
      <c r="KQ778" s="405"/>
      <c r="KW778" s="83"/>
      <c r="LE778" s="405"/>
      <c r="LK778" s="83"/>
      <c r="LS778" s="405"/>
      <c r="LY778" s="83"/>
      <c r="MG778" s="405"/>
      <c r="MM778" s="83"/>
      <c r="MU778" s="405"/>
      <c r="NA778" s="83"/>
    </row>
    <row r="779">
      <c r="A779" s="483"/>
      <c r="B779" s="380"/>
      <c r="C779" s="380"/>
      <c r="D779" s="380"/>
      <c r="E779" s="380"/>
      <c r="F779" s="380"/>
      <c r="G779" s="380"/>
      <c r="H779" s="380"/>
      <c r="I779" s="403"/>
      <c r="J779" s="380"/>
      <c r="K779" s="380"/>
      <c r="L779" s="380"/>
      <c r="M779" s="380"/>
      <c r="N779" s="380"/>
      <c r="O779" s="404"/>
      <c r="P779" s="380"/>
      <c r="Q779" s="380"/>
      <c r="R779" s="380"/>
      <c r="S779" s="380"/>
      <c r="T779" s="380"/>
      <c r="U779" s="380"/>
      <c r="V779" s="380"/>
      <c r="W779" s="403"/>
      <c r="X779" s="380"/>
      <c r="Y779" s="380"/>
      <c r="Z779" s="380"/>
      <c r="AA779" s="380"/>
      <c r="AB779" s="380"/>
      <c r="AC779" s="404"/>
      <c r="AD779" s="380"/>
      <c r="AE779" s="380"/>
      <c r="AF779" s="380"/>
      <c r="AG779" s="380"/>
      <c r="AH779" s="380"/>
      <c r="AI779" s="380"/>
      <c r="AJ779" s="380"/>
      <c r="AK779" s="403"/>
      <c r="AL779" s="380"/>
      <c r="AM779" s="380"/>
      <c r="AN779" s="380"/>
      <c r="AO779" s="380"/>
      <c r="AP779" s="380"/>
      <c r="AQ779" s="404"/>
      <c r="AR779" s="380"/>
      <c r="AS779" s="380"/>
      <c r="AT779" s="380"/>
      <c r="AU779" s="380"/>
      <c r="AV779" s="380"/>
      <c r="AW779" s="380"/>
      <c r="AX779" s="380"/>
      <c r="AY779" s="403"/>
      <c r="AZ779" s="380"/>
      <c r="BA779" s="380"/>
      <c r="BB779" s="380"/>
      <c r="BC779" s="380"/>
      <c r="BD779" s="380"/>
      <c r="BE779" s="404"/>
      <c r="BF779" s="380"/>
      <c r="BG779" s="380"/>
      <c r="BH779" s="380"/>
      <c r="BI779" s="380"/>
      <c r="BJ779" s="380"/>
      <c r="BK779" s="380"/>
      <c r="BL779" s="380"/>
      <c r="BM779" s="403"/>
      <c r="BS779" s="83"/>
      <c r="CA779" s="405"/>
      <c r="CG779" s="83"/>
      <c r="CO779" s="405"/>
      <c r="CU779" s="83"/>
      <c r="DC779" s="405"/>
      <c r="DI779" s="83"/>
      <c r="DQ779" s="405"/>
      <c r="DW779" s="83"/>
      <c r="EE779" s="405"/>
      <c r="EK779" s="83"/>
      <c r="ES779" s="405"/>
      <c r="EY779" s="83"/>
      <c r="FG779" s="405"/>
      <c r="FM779" s="83"/>
      <c r="FU779" s="405"/>
      <c r="GA779" s="83"/>
      <c r="GI779" s="405"/>
      <c r="GO779" s="83"/>
      <c r="GW779" s="405"/>
      <c r="HC779" s="83"/>
      <c r="HK779" s="405"/>
      <c r="HQ779" s="83"/>
      <c r="HY779" s="405"/>
      <c r="IE779" s="83"/>
      <c r="IM779" s="405"/>
      <c r="IS779" s="83"/>
      <c r="JA779" s="405"/>
      <c r="JG779" s="83"/>
      <c r="JO779" s="405"/>
      <c r="JU779" s="83"/>
      <c r="KC779" s="405"/>
      <c r="KI779" s="83"/>
      <c r="KQ779" s="405"/>
      <c r="KW779" s="83"/>
      <c r="LE779" s="405"/>
      <c r="LK779" s="83"/>
      <c r="LS779" s="405"/>
      <c r="LY779" s="83"/>
      <c r="MG779" s="405"/>
      <c r="MM779" s="83"/>
      <c r="MU779" s="405"/>
      <c r="NA779" s="83"/>
    </row>
    <row r="780">
      <c r="A780" s="483"/>
      <c r="B780" s="380"/>
      <c r="C780" s="380"/>
      <c r="D780" s="380"/>
      <c r="E780" s="380"/>
      <c r="F780" s="380"/>
      <c r="G780" s="380"/>
      <c r="H780" s="380"/>
      <c r="I780" s="403"/>
      <c r="J780" s="380"/>
      <c r="K780" s="380"/>
      <c r="L780" s="380"/>
      <c r="M780" s="380"/>
      <c r="N780" s="380"/>
      <c r="O780" s="404"/>
      <c r="P780" s="380"/>
      <c r="Q780" s="380"/>
      <c r="R780" s="380"/>
      <c r="S780" s="380"/>
      <c r="T780" s="380"/>
      <c r="U780" s="380"/>
      <c r="V780" s="380"/>
      <c r="W780" s="403"/>
      <c r="X780" s="380"/>
      <c r="Y780" s="380"/>
      <c r="Z780" s="380"/>
      <c r="AA780" s="380"/>
      <c r="AB780" s="380"/>
      <c r="AC780" s="404"/>
      <c r="AD780" s="380"/>
      <c r="AE780" s="380"/>
      <c r="AF780" s="380"/>
      <c r="AG780" s="380"/>
      <c r="AH780" s="380"/>
      <c r="AI780" s="380"/>
      <c r="AJ780" s="380"/>
      <c r="AK780" s="403"/>
      <c r="AL780" s="380"/>
      <c r="AM780" s="380"/>
      <c r="AN780" s="380"/>
      <c r="AO780" s="380"/>
      <c r="AP780" s="380"/>
      <c r="AQ780" s="404"/>
      <c r="AR780" s="380"/>
      <c r="AS780" s="380"/>
      <c r="AT780" s="380"/>
      <c r="AU780" s="380"/>
      <c r="AV780" s="380"/>
      <c r="AW780" s="380"/>
      <c r="AX780" s="380"/>
      <c r="AY780" s="403"/>
      <c r="AZ780" s="380"/>
      <c r="BA780" s="380"/>
      <c r="BB780" s="380"/>
      <c r="BC780" s="380"/>
      <c r="BD780" s="380"/>
      <c r="BE780" s="404"/>
      <c r="BF780" s="380"/>
      <c r="BG780" s="380"/>
      <c r="BH780" s="380"/>
      <c r="BI780" s="380"/>
      <c r="BJ780" s="380"/>
      <c r="BK780" s="380"/>
      <c r="BL780" s="380"/>
      <c r="BM780" s="403"/>
      <c r="BS780" s="83"/>
      <c r="CA780" s="405"/>
      <c r="CG780" s="83"/>
      <c r="CO780" s="405"/>
      <c r="CU780" s="83"/>
      <c r="DC780" s="405"/>
      <c r="DI780" s="83"/>
      <c r="DQ780" s="405"/>
      <c r="DW780" s="83"/>
      <c r="EE780" s="405"/>
      <c r="EK780" s="83"/>
      <c r="ES780" s="405"/>
      <c r="EY780" s="83"/>
      <c r="FG780" s="405"/>
      <c r="FM780" s="83"/>
      <c r="FU780" s="405"/>
      <c r="GA780" s="83"/>
      <c r="GI780" s="405"/>
      <c r="GO780" s="83"/>
      <c r="GW780" s="405"/>
      <c r="HC780" s="83"/>
      <c r="HK780" s="405"/>
      <c r="HQ780" s="83"/>
      <c r="HY780" s="405"/>
      <c r="IE780" s="83"/>
      <c r="IM780" s="405"/>
      <c r="IS780" s="83"/>
      <c r="JA780" s="405"/>
      <c r="JG780" s="83"/>
      <c r="JO780" s="405"/>
      <c r="JU780" s="83"/>
      <c r="KC780" s="405"/>
      <c r="KI780" s="83"/>
      <c r="KQ780" s="405"/>
      <c r="KW780" s="83"/>
      <c r="LE780" s="405"/>
      <c r="LK780" s="83"/>
      <c r="LS780" s="405"/>
      <c r="LY780" s="83"/>
      <c r="MG780" s="405"/>
      <c r="MM780" s="83"/>
      <c r="MU780" s="405"/>
      <c r="NA780" s="83"/>
    </row>
    <row r="781">
      <c r="A781" s="483"/>
      <c r="B781" s="380"/>
      <c r="C781" s="380"/>
      <c r="D781" s="380"/>
      <c r="E781" s="380"/>
      <c r="F781" s="380"/>
      <c r="G781" s="380"/>
      <c r="H781" s="380"/>
      <c r="I781" s="403"/>
      <c r="J781" s="380"/>
      <c r="K781" s="380"/>
      <c r="L781" s="380"/>
      <c r="M781" s="380"/>
      <c r="N781" s="380"/>
      <c r="O781" s="404"/>
      <c r="P781" s="380"/>
      <c r="Q781" s="380"/>
      <c r="R781" s="380"/>
      <c r="S781" s="380"/>
      <c r="T781" s="380"/>
      <c r="U781" s="380"/>
      <c r="V781" s="380"/>
      <c r="W781" s="403"/>
      <c r="X781" s="380"/>
      <c r="Y781" s="380"/>
      <c r="Z781" s="380"/>
      <c r="AA781" s="380"/>
      <c r="AB781" s="380"/>
      <c r="AC781" s="404"/>
      <c r="AD781" s="380"/>
      <c r="AE781" s="380"/>
      <c r="AF781" s="380"/>
      <c r="AG781" s="380"/>
      <c r="AH781" s="380"/>
      <c r="AI781" s="380"/>
      <c r="AJ781" s="380"/>
      <c r="AK781" s="403"/>
      <c r="AL781" s="380"/>
      <c r="AM781" s="380"/>
      <c r="AN781" s="380"/>
      <c r="AO781" s="380"/>
      <c r="AP781" s="380"/>
      <c r="AQ781" s="404"/>
      <c r="AR781" s="380"/>
      <c r="AS781" s="380"/>
      <c r="AT781" s="380"/>
      <c r="AU781" s="380"/>
      <c r="AV781" s="380"/>
      <c r="AW781" s="380"/>
      <c r="AX781" s="380"/>
      <c r="AY781" s="403"/>
      <c r="AZ781" s="380"/>
      <c r="BA781" s="380"/>
      <c r="BB781" s="380"/>
      <c r="BC781" s="380"/>
      <c r="BD781" s="380"/>
      <c r="BE781" s="404"/>
      <c r="BF781" s="380"/>
      <c r="BG781" s="380"/>
      <c r="BH781" s="380"/>
      <c r="BI781" s="380"/>
      <c r="BJ781" s="380"/>
      <c r="BK781" s="380"/>
      <c r="BL781" s="380"/>
      <c r="BM781" s="403"/>
      <c r="BS781" s="83"/>
      <c r="CA781" s="405"/>
      <c r="CG781" s="83"/>
      <c r="CO781" s="405"/>
      <c r="CU781" s="83"/>
      <c r="DC781" s="405"/>
      <c r="DI781" s="83"/>
      <c r="DQ781" s="405"/>
      <c r="DW781" s="83"/>
      <c r="EE781" s="405"/>
      <c r="EK781" s="83"/>
      <c r="ES781" s="405"/>
      <c r="EY781" s="83"/>
      <c r="FG781" s="405"/>
      <c r="FM781" s="83"/>
      <c r="FU781" s="405"/>
      <c r="GA781" s="83"/>
      <c r="GI781" s="405"/>
      <c r="GO781" s="83"/>
      <c r="GW781" s="405"/>
      <c r="HC781" s="83"/>
      <c r="HK781" s="405"/>
      <c r="HQ781" s="83"/>
      <c r="HY781" s="405"/>
      <c r="IE781" s="83"/>
      <c r="IM781" s="405"/>
      <c r="IS781" s="83"/>
      <c r="JA781" s="405"/>
      <c r="JG781" s="83"/>
      <c r="JO781" s="405"/>
      <c r="JU781" s="83"/>
      <c r="KC781" s="405"/>
      <c r="KI781" s="83"/>
      <c r="KQ781" s="405"/>
      <c r="KW781" s="83"/>
      <c r="LE781" s="405"/>
      <c r="LK781" s="83"/>
      <c r="LS781" s="405"/>
      <c r="LY781" s="83"/>
      <c r="MG781" s="405"/>
      <c r="MM781" s="83"/>
      <c r="MU781" s="405"/>
      <c r="NA781" s="83"/>
    </row>
    <row r="782">
      <c r="A782" s="483"/>
      <c r="B782" s="380"/>
      <c r="C782" s="380"/>
      <c r="D782" s="380"/>
      <c r="E782" s="380"/>
      <c r="F782" s="380"/>
      <c r="G782" s="380"/>
      <c r="H782" s="380"/>
      <c r="I782" s="403"/>
      <c r="J782" s="380"/>
      <c r="K782" s="380"/>
      <c r="L782" s="380"/>
      <c r="M782" s="380"/>
      <c r="N782" s="380"/>
      <c r="O782" s="404"/>
      <c r="P782" s="380"/>
      <c r="Q782" s="380"/>
      <c r="R782" s="380"/>
      <c r="S782" s="380"/>
      <c r="T782" s="380"/>
      <c r="U782" s="380"/>
      <c r="V782" s="380"/>
      <c r="W782" s="403"/>
      <c r="X782" s="380"/>
      <c r="Y782" s="380"/>
      <c r="Z782" s="380"/>
      <c r="AA782" s="380"/>
      <c r="AB782" s="380"/>
      <c r="AC782" s="404"/>
      <c r="AD782" s="380"/>
      <c r="AE782" s="380"/>
      <c r="AF782" s="380"/>
      <c r="AG782" s="380"/>
      <c r="AH782" s="380"/>
      <c r="AI782" s="380"/>
      <c r="AJ782" s="380"/>
      <c r="AK782" s="403"/>
      <c r="AL782" s="380"/>
      <c r="AM782" s="380"/>
      <c r="AN782" s="380"/>
      <c r="AO782" s="380"/>
      <c r="AP782" s="380"/>
      <c r="AQ782" s="404"/>
      <c r="AR782" s="380"/>
      <c r="AS782" s="380"/>
      <c r="AT782" s="380"/>
      <c r="AU782" s="380"/>
      <c r="AV782" s="380"/>
      <c r="AW782" s="380"/>
      <c r="AX782" s="380"/>
      <c r="AY782" s="403"/>
      <c r="AZ782" s="380"/>
      <c r="BA782" s="380"/>
      <c r="BB782" s="380"/>
      <c r="BC782" s="380"/>
      <c r="BD782" s="380"/>
      <c r="BE782" s="404"/>
      <c r="BF782" s="380"/>
      <c r="BG782" s="380"/>
      <c r="BH782" s="380"/>
      <c r="BI782" s="380"/>
      <c r="BJ782" s="380"/>
      <c r="BK782" s="380"/>
      <c r="BL782" s="380"/>
      <c r="BM782" s="403"/>
      <c r="BS782" s="83"/>
      <c r="CA782" s="405"/>
      <c r="CG782" s="83"/>
      <c r="CO782" s="405"/>
      <c r="CU782" s="83"/>
      <c r="DC782" s="405"/>
      <c r="DI782" s="83"/>
      <c r="DQ782" s="405"/>
      <c r="DW782" s="83"/>
      <c r="EE782" s="405"/>
      <c r="EK782" s="83"/>
      <c r="ES782" s="405"/>
      <c r="EY782" s="83"/>
      <c r="FG782" s="405"/>
      <c r="FM782" s="83"/>
      <c r="FU782" s="405"/>
      <c r="GA782" s="83"/>
      <c r="GI782" s="405"/>
      <c r="GO782" s="83"/>
      <c r="GW782" s="405"/>
      <c r="HC782" s="83"/>
      <c r="HK782" s="405"/>
      <c r="HQ782" s="83"/>
      <c r="HY782" s="405"/>
      <c r="IE782" s="83"/>
      <c r="IM782" s="405"/>
      <c r="IS782" s="83"/>
      <c r="JA782" s="405"/>
      <c r="JG782" s="83"/>
      <c r="JO782" s="405"/>
      <c r="JU782" s="83"/>
      <c r="KC782" s="405"/>
      <c r="KI782" s="83"/>
      <c r="KQ782" s="405"/>
      <c r="KW782" s="83"/>
      <c r="LE782" s="405"/>
      <c r="LK782" s="83"/>
      <c r="LS782" s="405"/>
      <c r="LY782" s="83"/>
      <c r="MG782" s="405"/>
      <c r="MM782" s="83"/>
      <c r="MU782" s="405"/>
      <c r="NA782" s="83"/>
    </row>
    <row r="783">
      <c r="A783" s="483"/>
      <c r="B783" s="380"/>
      <c r="C783" s="380"/>
      <c r="D783" s="380"/>
      <c r="E783" s="380"/>
      <c r="F783" s="380"/>
      <c r="G783" s="380"/>
      <c r="H783" s="380"/>
      <c r="I783" s="403"/>
      <c r="J783" s="380"/>
      <c r="K783" s="380"/>
      <c r="L783" s="380"/>
      <c r="M783" s="380"/>
      <c r="N783" s="380"/>
      <c r="O783" s="404"/>
      <c r="P783" s="380"/>
      <c r="Q783" s="380"/>
      <c r="R783" s="380"/>
      <c r="S783" s="380"/>
      <c r="T783" s="380"/>
      <c r="U783" s="380"/>
      <c r="V783" s="380"/>
      <c r="W783" s="403"/>
      <c r="X783" s="380"/>
      <c r="Y783" s="380"/>
      <c r="Z783" s="380"/>
      <c r="AA783" s="380"/>
      <c r="AB783" s="380"/>
      <c r="AC783" s="404"/>
      <c r="AD783" s="380"/>
      <c r="AE783" s="380"/>
      <c r="AF783" s="380"/>
      <c r="AG783" s="380"/>
      <c r="AH783" s="380"/>
      <c r="AI783" s="380"/>
      <c r="AJ783" s="380"/>
      <c r="AK783" s="403"/>
      <c r="AL783" s="380"/>
      <c r="AM783" s="380"/>
      <c r="AN783" s="380"/>
      <c r="AO783" s="380"/>
      <c r="AP783" s="380"/>
      <c r="AQ783" s="404"/>
      <c r="AR783" s="380"/>
      <c r="AS783" s="380"/>
      <c r="AT783" s="380"/>
      <c r="AU783" s="380"/>
      <c r="AV783" s="380"/>
      <c r="AW783" s="380"/>
      <c r="AX783" s="380"/>
      <c r="AY783" s="403"/>
      <c r="AZ783" s="380"/>
      <c r="BA783" s="380"/>
      <c r="BB783" s="380"/>
      <c r="BC783" s="380"/>
      <c r="BD783" s="380"/>
      <c r="BE783" s="404"/>
      <c r="BF783" s="380"/>
      <c r="BG783" s="380"/>
      <c r="BH783" s="380"/>
      <c r="BI783" s="380"/>
      <c r="BJ783" s="380"/>
      <c r="BK783" s="380"/>
      <c r="BL783" s="380"/>
      <c r="BM783" s="403"/>
      <c r="BS783" s="83"/>
      <c r="CA783" s="405"/>
      <c r="CG783" s="83"/>
      <c r="CO783" s="405"/>
      <c r="CU783" s="83"/>
      <c r="DC783" s="405"/>
      <c r="DI783" s="83"/>
      <c r="DQ783" s="405"/>
      <c r="DW783" s="83"/>
      <c r="EE783" s="405"/>
      <c r="EK783" s="83"/>
      <c r="ES783" s="405"/>
      <c r="EY783" s="83"/>
      <c r="FG783" s="405"/>
      <c r="FM783" s="83"/>
      <c r="FU783" s="405"/>
      <c r="GA783" s="83"/>
      <c r="GI783" s="405"/>
      <c r="GO783" s="83"/>
      <c r="GW783" s="405"/>
      <c r="HC783" s="83"/>
      <c r="HK783" s="405"/>
      <c r="HQ783" s="83"/>
      <c r="HY783" s="405"/>
      <c r="IE783" s="83"/>
      <c r="IM783" s="405"/>
      <c r="IS783" s="83"/>
      <c r="JA783" s="405"/>
      <c r="JG783" s="83"/>
      <c r="JO783" s="405"/>
      <c r="JU783" s="83"/>
      <c r="KC783" s="405"/>
      <c r="KI783" s="83"/>
      <c r="KQ783" s="405"/>
      <c r="KW783" s="83"/>
      <c r="LE783" s="405"/>
      <c r="LK783" s="83"/>
      <c r="LS783" s="405"/>
      <c r="LY783" s="83"/>
      <c r="MG783" s="405"/>
      <c r="MM783" s="83"/>
      <c r="MU783" s="405"/>
      <c r="NA783" s="83"/>
    </row>
    <row r="784">
      <c r="A784" s="483"/>
      <c r="B784" s="380"/>
      <c r="C784" s="380"/>
      <c r="D784" s="380"/>
      <c r="E784" s="380"/>
      <c r="F784" s="380"/>
      <c r="G784" s="380"/>
      <c r="H784" s="380"/>
      <c r="I784" s="403"/>
      <c r="J784" s="380"/>
      <c r="K784" s="380"/>
      <c r="L784" s="380"/>
      <c r="M784" s="380"/>
      <c r="N784" s="380"/>
      <c r="O784" s="404"/>
      <c r="P784" s="380"/>
      <c r="Q784" s="380"/>
      <c r="R784" s="380"/>
      <c r="S784" s="380"/>
      <c r="T784" s="380"/>
      <c r="U784" s="380"/>
      <c r="V784" s="380"/>
      <c r="W784" s="403"/>
      <c r="X784" s="380"/>
      <c r="Y784" s="380"/>
      <c r="Z784" s="380"/>
      <c r="AA784" s="380"/>
      <c r="AB784" s="380"/>
      <c r="AC784" s="404"/>
      <c r="AD784" s="380"/>
      <c r="AE784" s="380"/>
      <c r="AF784" s="380"/>
      <c r="AG784" s="380"/>
      <c r="AH784" s="380"/>
      <c r="AI784" s="380"/>
      <c r="AJ784" s="380"/>
      <c r="AK784" s="403"/>
      <c r="AL784" s="380"/>
      <c r="AM784" s="380"/>
      <c r="AN784" s="380"/>
      <c r="AO784" s="380"/>
      <c r="AP784" s="380"/>
      <c r="AQ784" s="404"/>
      <c r="AR784" s="380"/>
      <c r="AS784" s="380"/>
      <c r="AT784" s="380"/>
      <c r="AU784" s="380"/>
      <c r="AV784" s="380"/>
      <c r="AW784" s="380"/>
      <c r="AX784" s="380"/>
      <c r="AY784" s="403"/>
      <c r="AZ784" s="380"/>
      <c r="BA784" s="380"/>
      <c r="BB784" s="380"/>
      <c r="BC784" s="380"/>
      <c r="BD784" s="380"/>
      <c r="BE784" s="404"/>
      <c r="BF784" s="380"/>
      <c r="BG784" s="380"/>
      <c r="BH784" s="380"/>
      <c r="BI784" s="380"/>
      <c r="BJ784" s="380"/>
      <c r="BK784" s="380"/>
      <c r="BL784" s="380"/>
      <c r="BM784" s="403"/>
      <c r="BS784" s="83"/>
      <c r="CA784" s="405"/>
      <c r="CG784" s="83"/>
      <c r="CO784" s="405"/>
      <c r="CU784" s="83"/>
      <c r="DC784" s="405"/>
      <c r="DI784" s="83"/>
      <c r="DQ784" s="405"/>
      <c r="DW784" s="83"/>
      <c r="EE784" s="405"/>
      <c r="EK784" s="83"/>
      <c r="ES784" s="405"/>
      <c r="EY784" s="83"/>
      <c r="FG784" s="405"/>
      <c r="FM784" s="83"/>
      <c r="FU784" s="405"/>
      <c r="GA784" s="83"/>
      <c r="GI784" s="405"/>
      <c r="GO784" s="83"/>
      <c r="GW784" s="405"/>
      <c r="HC784" s="83"/>
      <c r="HK784" s="405"/>
      <c r="HQ784" s="83"/>
      <c r="HY784" s="405"/>
      <c r="IE784" s="83"/>
      <c r="IM784" s="405"/>
      <c r="IS784" s="83"/>
      <c r="JA784" s="405"/>
      <c r="JG784" s="83"/>
      <c r="JO784" s="405"/>
      <c r="JU784" s="83"/>
      <c r="KC784" s="405"/>
      <c r="KI784" s="83"/>
      <c r="KQ784" s="405"/>
      <c r="KW784" s="83"/>
      <c r="LE784" s="405"/>
      <c r="LK784" s="83"/>
      <c r="LS784" s="405"/>
      <c r="LY784" s="83"/>
      <c r="MG784" s="405"/>
      <c r="MM784" s="83"/>
      <c r="MU784" s="405"/>
      <c r="NA784" s="83"/>
    </row>
    <row r="785">
      <c r="A785" s="483"/>
      <c r="B785" s="380"/>
      <c r="C785" s="380"/>
      <c r="D785" s="380"/>
      <c r="E785" s="380"/>
      <c r="F785" s="380"/>
      <c r="G785" s="380"/>
      <c r="H785" s="380"/>
      <c r="I785" s="403"/>
      <c r="J785" s="380"/>
      <c r="K785" s="380"/>
      <c r="L785" s="380"/>
      <c r="M785" s="380"/>
      <c r="N785" s="380"/>
      <c r="O785" s="404"/>
      <c r="P785" s="380"/>
      <c r="Q785" s="380"/>
      <c r="R785" s="380"/>
      <c r="S785" s="380"/>
      <c r="T785" s="380"/>
      <c r="U785" s="380"/>
      <c r="V785" s="380"/>
      <c r="W785" s="403"/>
      <c r="X785" s="380"/>
      <c r="Y785" s="380"/>
      <c r="Z785" s="380"/>
      <c r="AA785" s="380"/>
      <c r="AB785" s="380"/>
      <c r="AC785" s="404"/>
      <c r="AD785" s="380"/>
      <c r="AE785" s="380"/>
      <c r="AF785" s="380"/>
      <c r="AG785" s="380"/>
      <c r="AH785" s="380"/>
      <c r="AI785" s="380"/>
      <c r="AJ785" s="380"/>
      <c r="AK785" s="403"/>
      <c r="AL785" s="380"/>
      <c r="AM785" s="380"/>
      <c r="AN785" s="380"/>
      <c r="AO785" s="380"/>
      <c r="AP785" s="380"/>
      <c r="AQ785" s="404"/>
      <c r="AR785" s="380"/>
      <c r="AS785" s="380"/>
      <c r="AT785" s="380"/>
      <c r="AU785" s="380"/>
      <c r="AV785" s="380"/>
      <c r="AW785" s="380"/>
      <c r="AX785" s="380"/>
      <c r="AY785" s="403"/>
      <c r="AZ785" s="380"/>
      <c r="BA785" s="380"/>
      <c r="BB785" s="380"/>
      <c r="BC785" s="380"/>
      <c r="BD785" s="380"/>
      <c r="BE785" s="404"/>
      <c r="BF785" s="380"/>
      <c r="BG785" s="380"/>
      <c r="BH785" s="380"/>
      <c r="BI785" s="380"/>
      <c r="BJ785" s="380"/>
      <c r="BK785" s="380"/>
      <c r="BL785" s="380"/>
      <c r="BM785" s="403"/>
      <c r="BS785" s="83"/>
      <c r="CA785" s="405"/>
      <c r="CG785" s="83"/>
      <c r="CO785" s="405"/>
      <c r="CU785" s="83"/>
      <c r="DC785" s="405"/>
      <c r="DI785" s="83"/>
      <c r="DQ785" s="405"/>
      <c r="DW785" s="83"/>
      <c r="EE785" s="405"/>
      <c r="EK785" s="83"/>
      <c r="ES785" s="405"/>
      <c r="EY785" s="83"/>
      <c r="FG785" s="405"/>
      <c r="FM785" s="83"/>
      <c r="FU785" s="405"/>
      <c r="GA785" s="83"/>
      <c r="GI785" s="405"/>
      <c r="GO785" s="83"/>
      <c r="GW785" s="405"/>
      <c r="HC785" s="83"/>
      <c r="HK785" s="405"/>
      <c r="HQ785" s="83"/>
      <c r="HY785" s="405"/>
      <c r="IE785" s="83"/>
      <c r="IM785" s="405"/>
      <c r="IS785" s="83"/>
      <c r="JA785" s="405"/>
      <c r="JG785" s="83"/>
      <c r="JO785" s="405"/>
      <c r="JU785" s="83"/>
      <c r="KC785" s="405"/>
      <c r="KI785" s="83"/>
      <c r="KQ785" s="405"/>
      <c r="KW785" s="83"/>
      <c r="LE785" s="405"/>
      <c r="LK785" s="83"/>
      <c r="LS785" s="405"/>
      <c r="LY785" s="83"/>
      <c r="MG785" s="405"/>
      <c r="MM785" s="83"/>
      <c r="MU785" s="405"/>
      <c r="NA785" s="83"/>
    </row>
    <row r="786">
      <c r="A786" s="483"/>
      <c r="B786" s="380"/>
      <c r="C786" s="380"/>
      <c r="D786" s="380"/>
      <c r="E786" s="380"/>
      <c r="F786" s="380"/>
      <c r="G786" s="380"/>
      <c r="H786" s="380"/>
      <c r="I786" s="403"/>
      <c r="J786" s="380"/>
      <c r="K786" s="380"/>
      <c r="L786" s="380"/>
      <c r="M786" s="380"/>
      <c r="N786" s="380"/>
      <c r="O786" s="404"/>
      <c r="P786" s="380"/>
      <c r="Q786" s="380"/>
      <c r="R786" s="380"/>
      <c r="S786" s="380"/>
      <c r="T786" s="380"/>
      <c r="U786" s="380"/>
      <c r="V786" s="380"/>
      <c r="W786" s="403"/>
      <c r="X786" s="380"/>
      <c r="Y786" s="380"/>
      <c r="Z786" s="380"/>
      <c r="AA786" s="380"/>
      <c r="AB786" s="380"/>
      <c r="AC786" s="404"/>
      <c r="AD786" s="380"/>
      <c r="AE786" s="380"/>
      <c r="AF786" s="380"/>
      <c r="AG786" s="380"/>
      <c r="AH786" s="380"/>
      <c r="AI786" s="380"/>
      <c r="AJ786" s="380"/>
      <c r="AK786" s="403"/>
      <c r="AL786" s="380"/>
      <c r="AM786" s="380"/>
      <c r="AN786" s="380"/>
      <c r="AO786" s="380"/>
      <c r="AP786" s="380"/>
      <c r="AQ786" s="404"/>
      <c r="AR786" s="380"/>
      <c r="AS786" s="380"/>
      <c r="AT786" s="380"/>
      <c r="AU786" s="380"/>
      <c r="AV786" s="380"/>
      <c r="AW786" s="380"/>
      <c r="AX786" s="380"/>
      <c r="AY786" s="403"/>
      <c r="AZ786" s="380"/>
      <c r="BA786" s="380"/>
      <c r="BB786" s="380"/>
      <c r="BC786" s="380"/>
      <c r="BD786" s="380"/>
      <c r="BE786" s="404"/>
      <c r="BF786" s="380"/>
      <c r="BG786" s="380"/>
      <c r="BH786" s="380"/>
      <c r="BI786" s="380"/>
      <c r="BJ786" s="380"/>
      <c r="BK786" s="380"/>
      <c r="BL786" s="380"/>
      <c r="BM786" s="403"/>
      <c r="BS786" s="83"/>
      <c r="CA786" s="405"/>
      <c r="CG786" s="83"/>
      <c r="CO786" s="405"/>
      <c r="CU786" s="83"/>
      <c r="DC786" s="405"/>
      <c r="DI786" s="83"/>
      <c r="DQ786" s="405"/>
      <c r="DW786" s="83"/>
      <c r="EE786" s="405"/>
      <c r="EK786" s="83"/>
      <c r="ES786" s="405"/>
      <c r="EY786" s="83"/>
      <c r="FG786" s="405"/>
      <c r="FM786" s="83"/>
      <c r="FU786" s="405"/>
      <c r="GA786" s="83"/>
      <c r="GI786" s="405"/>
      <c r="GO786" s="83"/>
      <c r="GW786" s="405"/>
      <c r="HC786" s="83"/>
      <c r="HK786" s="405"/>
      <c r="HQ786" s="83"/>
      <c r="HY786" s="405"/>
      <c r="IE786" s="83"/>
      <c r="IM786" s="405"/>
      <c r="IS786" s="83"/>
      <c r="JA786" s="405"/>
      <c r="JG786" s="83"/>
      <c r="JO786" s="405"/>
      <c r="JU786" s="83"/>
      <c r="KC786" s="405"/>
      <c r="KI786" s="83"/>
      <c r="KQ786" s="405"/>
      <c r="KW786" s="83"/>
      <c r="LE786" s="405"/>
      <c r="LK786" s="83"/>
      <c r="LS786" s="405"/>
      <c r="LY786" s="83"/>
      <c r="MG786" s="405"/>
      <c r="MM786" s="83"/>
      <c r="MU786" s="405"/>
      <c r="NA786" s="83"/>
    </row>
    <row r="787">
      <c r="A787" s="483"/>
      <c r="B787" s="380"/>
      <c r="C787" s="380"/>
      <c r="D787" s="380"/>
      <c r="E787" s="380"/>
      <c r="F787" s="380"/>
      <c r="G787" s="380"/>
      <c r="H787" s="380"/>
      <c r="I787" s="403"/>
      <c r="J787" s="380"/>
      <c r="K787" s="380"/>
      <c r="L787" s="380"/>
      <c r="M787" s="380"/>
      <c r="N787" s="380"/>
      <c r="O787" s="404"/>
      <c r="P787" s="380"/>
      <c r="Q787" s="380"/>
      <c r="R787" s="380"/>
      <c r="S787" s="380"/>
      <c r="T787" s="380"/>
      <c r="U787" s="380"/>
      <c r="V787" s="380"/>
      <c r="W787" s="403"/>
      <c r="X787" s="380"/>
      <c r="Y787" s="380"/>
      <c r="Z787" s="380"/>
      <c r="AA787" s="380"/>
      <c r="AB787" s="380"/>
      <c r="AC787" s="404"/>
      <c r="AD787" s="380"/>
      <c r="AE787" s="380"/>
      <c r="AF787" s="380"/>
      <c r="AG787" s="380"/>
      <c r="AH787" s="380"/>
      <c r="AI787" s="380"/>
      <c r="AJ787" s="380"/>
      <c r="AK787" s="403"/>
      <c r="AL787" s="380"/>
      <c r="AM787" s="380"/>
      <c r="AN787" s="380"/>
      <c r="AO787" s="380"/>
      <c r="AP787" s="380"/>
      <c r="AQ787" s="404"/>
      <c r="AR787" s="380"/>
      <c r="AS787" s="380"/>
      <c r="AT787" s="380"/>
      <c r="AU787" s="380"/>
      <c r="AV787" s="380"/>
      <c r="AW787" s="380"/>
      <c r="AX787" s="380"/>
      <c r="AY787" s="403"/>
      <c r="AZ787" s="380"/>
      <c r="BA787" s="380"/>
      <c r="BB787" s="380"/>
      <c r="BC787" s="380"/>
      <c r="BD787" s="380"/>
      <c r="BE787" s="404"/>
      <c r="BF787" s="380"/>
      <c r="BG787" s="380"/>
      <c r="BH787" s="380"/>
      <c r="BI787" s="380"/>
      <c r="BJ787" s="380"/>
      <c r="BK787" s="380"/>
      <c r="BL787" s="380"/>
      <c r="BM787" s="403"/>
      <c r="BS787" s="83"/>
      <c r="CA787" s="405"/>
      <c r="CG787" s="83"/>
      <c r="CO787" s="405"/>
      <c r="CU787" s="83"/>
      <c r="DC787" s="405"/>
      <c r="DI787" s="83"/>
      <c r="DQ787" s="405"/>
      <c r="DW787" s="83"/>
      <c r="EE787" s="405"/>
      <c r="EK787" s="83"/>
      <c r="ES787" s="405"/>
      <c r="EY787" s="83"/>
      <c r="FG787" s="405"/>
      <c r="FM787" s="83"/>
      <c r="FU787" s="405"/>
      <c r="GA787" s="83"/>
      <c r="GI787" s="405"/>
      <c r="GO787" s="83"/>
      <c r="GW787" s="405"/>
      <c r="HC787" s="83"/>
      <c r="HK787" s="405"/>
      <c r="HQ787" s="83"/>
      <c r="HY787" s="405"/>
      <c r="IE787" s="83"/>
      <c r="IM787" s="405"/>
      <c r="IS787" s="83"/>
      <c r="JA787" s="405"/>
      <c r="JG787" s="83"/>
      <c r="JO787" s="405"/>
      <c r="JU787" s="83"/>
      <c r="KC787" s="405"/>
      <c r="KI787" s="83"/>
      <c r="KQ787" s="405"/>
      <c r="KW787" s="83"/>
      <c r="LE787" s="405"/>
      <c r="LK787" s="83"/>
      <c r="LS787" s="405"/>
      <c r="LY787" s="83"/>
      <c r="MG787" s="405"/>
      <c r="MM787" s="83"/>
      <c r="MU787" s="405"/>
      <c r="NA787" s="83"/>
    </row>
    <row r="788">
      <c r="A788" s="483"/>
      <c r="B788" s="380"/>
      <c r="C788" s="380"/>
      <c r="D788" s="380"/>
      <c r="E788" s="380"/>
      <c r="F788" s="380"/>
      <c r="G788" s="380"/>
      <c r="H788" s="380"/>
      <c r="I788" s="403"/>
      <c r="J788" s="380"/>
      <c r="K788" s="380"/>
      <c r="L788" s="380"/>
      <c r="M788" s="380"/>
      <c r="N788" s="380"/>
      <c r="O788" s="404"/>
      <c r="P788" s="380"/>
      <c r="Q788" s="380"/>
      <c r="R788" s="380"/>
      <c r="S788" s="380"/>
      <c r="T788" s="380"/>
      <c r="U788" s="380"/>
      <c r="V788" s="380"/>
      <c r="W788" s="403"/>
      <c r="X788" s="380"/>
      <c r="Y788" s="380"/>
      <c r="Z788" s="380"/>
      <c r="AA788" s="380"/>
      <c r="AB788" s="380"/>
      <c r="AC788" s="404"/>
      <c r="AD788" s="380"/>
      <c r="AE788" s="380"/>
      <c r="AF788" s="380"/>
      <c r="AG788" s="380"/>
      <c r="AH788" s="380"/>
      <c r="AI788" s="380"/>
      <c r="AJ788" s="380"/>
      <c r="AK788" s="403"/>
      <c r="AL788" s="380"/>
      <c r="AM788" s="380"/>
      <c r="AN788" s="380"/>
      <c r="AO788" s="380"/>
      <c r="AP788" s="380"/>
      <c r="AQ788" s="404"/>
      <c r="AR788" s="380"/>
      <c r="AS788" s="380"/>
      <c r="AT788" s="380"/>
      <c r="AU788" s="380"/>
      <c r="AV788" s="380"/>
      <c r="AW788" s="380"/>
      <c r="AX788" s="380"/>
      <c r="AY788" s="403"/>
      <c r="AZ788" s="380"/>
      <c r="BA788" s="380"/>
      <c r="BB788" s="380"/>
      <c r="BC788" s="380"/>
      <c r="BD788" s="380"/>
      <c r="BE788" s="404"/>
      <c r="BF788" s="380"/>
      <c r="BG788" s="380"/>
      <c r="BH788" s="380"/>
      <c r="BI788" s="380"/>
      <c r="BJ788" s="380"/>
      <c r="BK788" s="380"/>
      <c r="BL788" s="380"/>
      <c r="BM788" s="403"/>
      <c r="BS788" s="83"/>
      <c r="CA788" s="405"/>
      <c r="CG788" s="83"/>
      <c r="CO788" s="405"/>
      <c r="CU788" s="83"/>
      <c r="DC788" s="405"/>
      <c r="DI788" s="83"/>
      <c r="DQ788" s="405"/>
      <c r="DW788" s="83"/>
      <c r="EE788" s="405"/>
      <c r="EK788" s="83"/>
      <c r="ES788" s="405"/>
      <c r="EY788" s="83"/>
      <c r="FG788" s="405"/>
      <c r="FM788" s="83"/>
      <c r="FU788" s="405"/>
      <c r="GA788" s="83"/>
      <c r="GI788" s="405"/>
      <c r="GO788" s="83"/>
      <c r="GW788" s="405"/>
      <c r="HC788" s="83"/>
      <c r="HK788" s="405"/>
      <c r="HQ788" s="83"/>
      <c r="HY788" s="405"/>
      <c r="IE788" s="83"/>
      <c r="IM788" s="405"/>
      <c r="IS788" s="83"/>
      <c r="JA788" s="405"/>
      <c r="JG788" s="83"/>
      <c r="JO788" s="405"/>
      <c r="JU788" s="83"/>
      <c r="KC788" s="405"/>
      <c r="KI788" s="83"/>
      <c r="KQ788" s="405"/>
      <c r="KW788" s="83"/>
      <c r="LE788" s="405"/>
      <c r="LK788" s="83"/>
      <c r="LS788" s="405"/>
      <c r="LY788" s="83"/>
      <c r="MG788" s="405"/>
      <c r="MM788" s="83"/>
      <c r="MU788" s="405"/>
      <c r="NA788" s="83"/>
    </row>
    <row r="789">
      <c r="A789" s="483"/>
      <c r="B789" s="380"/>
      <c r="C789" s="380"/>
      <c r="D789" s="380"/>
      <c r="E789" s="380"/>
      <c r="F789" s="380"/>
      <c r="G789" s="380"/>
      <c r="H789" s="380"/>
      <c r="I789" s="403"/>
      <c r="J789" s="380"/>
      <c r="K789" s="380"/>
      <c r="L789" s="380"/>
      <c r="M789" s="380"/>
      <c r="N789" s="380"/>
      <c r="O789" s="404"/>
      <c r="P789" s="380"/>
      <c r="Q789" s="380"/>
      <c r="R789" s="380"/>
      <c r="S789" s="380"/>
      <c r="T789" s="380"/>
      <c r="U789" s="380"/>
      <c r="V789" s="380"/>
      <c r="W789" s="403"/>
      <c r="X789" s="380"/>
      <c r="Y789" s="380"/>
      <c r="Z789" s="380"/>
      <c r="AA789" s="380"/>
      <c r="AB789" s="380"/>
      <c r="AC789" s="404"/>
      <c r="AD789" s="380"/>
      <c r="AE789" s="380"/>
      <c r="AF789" s="380"/>
      <c r="AG789" s="380"/>
      <c r="AH789" s="380"/>
      <c r="AI789" s="380"/>
      <c r="AJ789" s="380"/>
      <c r="AK789" s="403"/>
      <c r="AL789" s="380"/>
      <c r="AM789" s="380"/>
      <c r="AN789" s="380"/>
      <c r="AO789" s="380"/>
      <c r="AP789" s="380"/>
      <c r="AQ789" s="404"/>
      <c r="AR789" s="380"/>
      <c r="AS789" s="380"/>
      <c r="AT789" s="380"/>
      <c r="AU789" s="380"/>
      <c r="AV789" s="380"/>
      <c r="AW789" s="380"/>
      <c r="AX789" s="380"/>
      <c r="AY789" s="403"/>
      <c r="AZ789" s="380"/>
      <c r="BA789" s="380"/>
      <c r="BB789" s="380"/>
      <c r="BC789" s="380"/>
      <c r="BD789" s="380"/>
      <c r="BE789" s="404"/>
      <c r="BF789" s="380"/>
      <c r="BG789" s="380"/>
      <c r="BH789" s="380"/>
      <c r="BI789" s="380"/>
      <c r="BJ789" s="380"/>
      <c r="BK789" s="380"/>
      <c r="BL789" s="380"/>
      <c r="BM789" s="403"/>
      <c r="BS789" s="83"/>
      <c r="CA789" s="405"/>
      <c r="CG789" s="83"/>
      <c r="CO789" s="405"/>
      <c r="CU789" s="83"/>
      <c r="DC789" s="405"/>
      <c r="DI789" s="83"/>
      <c r="DQ789" s="405"/>
      <c r="DW789" s="83"/>
      <c r="EE789" s="405"/>
      <c r="EK789" s="83"/>
      <c r="ES789" s="405"/>
      <c r="EY789" s="83"/>
      <c r="FG789" s="405"/>
      <c r="FM789" s="83"/>
      <c r="FU789" s="405"/>
      <c r="GA789" s="83"/>
      <c r="GI789" s="405"/>
      <c r="GO789" s="83"/>
      <c r="GW789" s="405"/>
      <c r="HC789" s="83"/>
      <c r="HK789" s="405"/>
      <c r="HQ789" s="83"/>
      <c r="HY789" s="405"/>
      <c r="IE789" s="83"/>
      <c r="IM789" s="405"/>
      <c r="IS789" s="83"/>
      <c r="JA789" s="405"/>
      <c r="JG789" s="83"/>
      <c r="JO789" s="405"/>
      <c r="JU789" s="83"/>
      <c r="KC789" s="405"/>
      <c r="KI789" s="83"/>
      <c r="KQ789" s="405"/>
      <c r="KW789" s="83"/>
      <c r="LE789" s="405"/>
      <c r="LK789" s="83"/>
      <c r="LS789" s="405"/>
      <c r="LY789" s="83"/>
      <c r="MG789" s="405"/>
      <c r="MM789" s="83"/>
      <c r="MU789" s="405"/>
      <c r="NA789" s="83"/>
    </row>
    <row r="790">
      <c r="A790" s="483"/>
      <c r="B790" s="380"/>
      <c r="C790" s="380"/>
      <c r="D790" s="380"/>
      <c r="E790" s="380"/>
      <c r="F790" s="380"/>
      <c r="G790" s="380"/>
      <c r="H790" s="380"/>
      <c r="I790" s="403"/>
      <c r="J790" s="380"/>
      <c r="K790" s="380"/>
      <c r="L790" s="380"/>
      <c r="M790" s="380"/>
      <c r="N790" s="380"/>
      <c r="O790" s="404"/>
      <c r="P790" s="380"/>
      <c r="Q790" s="380"/>
      <c r="R790" s="380"/>
      <c r="S790" s="380"/>
      <c r="T790" s="380"/>
      <c r="U790" s="380"/>
      <c r="V790" s="380"/>
      <c r="W790" s="403"/>
      <c r="X790" s="380"/>
      <c r="Y790" s="380"/>
      <c r="Z790" s="380"/>
      <c r="AA790" s="380"/>
      <c r="AB790" s="380"/>
      <c r="AC790" s="404"/>
      <c r="AD790" s="380"/>
      <c r="AE790" s="380"/>
      <c r="AF790" s="380"/>
      <c r="AG790" s="380"/>
      <c r="AH790" s="380"/>
      <c r="AI790" s="380"/>
      <c r="AJ790" s="380"/>
      <c r="AK790" s="403"/>
      <c r="AL790" s="380"/>
      <c r="AM790" s="380"/>
      <c r="AN790" s="380"/>
      <c r="AO790" s="380"/>
      <c r="AP790" s="380"/>
      <c r="AQ790" s="404"/>
      <c r="AR790" s="380"/>
      <c r="AS790" s="380"/>
      <c r="AT790" s="380"/>
      <c r="AU790" s="380"/>
      <c r="AV790" s="380"/>
      <c r="AW790" s="380"/>
      <c r="AX790" s="380"/>
      <c r="AY790" s="403"/>
      <c r="AZ790" s="380"/>
      <c r="BA790" s="380"/>
      <c r="BB790" s="380"/>
      <c r="BC790" s="380"/>
      <c r="BD790" s="380"/>
      <c r="BE790" s="404"/>
      <c r="BF790" s="380"/>
      <c r="BG790" s="380"/>
      <c r="BH790" s="380"/>
      <c r="BI790" s="380"/>
      <c r="BJ790" s="380"/>
      <c r="BK790" s="380"/>
      <c r="BL790" s="380"/>
      <c r="BM790" s="403"/>
      <c r="BS790" s="83"/>
      <c r="CA790" s="405"/>
      <c r="CG790" s="83"/>
      <c r="CO790" s="405"/>
      <c r="CU790" s="83"/>
      <c r="DC790" s="405"/>
      <c r="DI790" s="83"/>
      <c r="DQ790" s="405"/>
      <c r="DW790" s="83"/>
      <c r="EE790" s="405"/>
      <c r="EK790" s="83"/>
      <c r="ES790" s="405"/>
      <c r="EY790" s="83"/>
      <c r="FG790" s="405"/>
      <c r="FM790" s="83"/>
      <c r="FU790" s="405"/>
      <c r="GA790" s="83"/>
      <c r="GI790" s="405"/>
      <c r="GO790" s="83"/>
      <c r="GW790" s="405"/>
      <c r="HC790" s="83"/>
      <c r="HK790" s="405"/>
      <c r="HQ790" s="83"/>
      <c r="HY790" s="405"/>
      <c r="IE790" s="83"/>
      <c r="IM790" s="405"/>
      <c r="IS790" s="83"/>
      <c r="JA790" s="405"/>
      <c r="JG790" s="83"/>
      <c r="JO790" s="405"/>
      <c r="JU790" s="83"/>
      <c r="KC790" s="405"/>
      <c r="KI790" s="83"/>
      <c r="KQ790" s="405"/>
      <c r="KW790" s="83"/>
      <c r="LE790" s="405"/>
      <c r="LK790" s="83"/>
      <c r="LS790" s="405"/>
      <c r="LY790" s="83"/>
      <c r="MG790" s="405"/>
      <c r="MM790" s="83"/>
      <c r="MU790" s="405"/>
      <c r="NA790" s="83"/>
    </row>
    <row r="791">
      <c r="A791" s="483"/>
      <c r="B791" s="380"/>
      <c r="C791" s="380"/>
      <c r="D791" s="380"/>
      <c r="E791" s="380"/>
      <c r="F791" s="380"/>
      <c r="G791" s="380"/>
      <c r="H791" s="380"/>
      <c r="I791" s="403"/>
      <c r="J791" s="380"/>
      <c r="K791" s="380"/>
      <c r="L791" s="380"/>
      <c r="M791" s="380"/>
      <c r="N791" s="380"/>
      <c r="O791" s="404"/>
      <c r="P791" s="380"/>
      <c r="Q791" s="380"/>
      <c r="R791" s="380"/>
      <c r="S791" s="380"/>
      <c r="T791" s="380"/>
      <c r="U791" s="380"/>
      <c r="V791" s="380"/>
      <c r="W791" s="403"/>
      <c r="X791" s="380"/>
      <c r="Y791" s="380"/>
      <c r="Z791" s="380"/>
      <c r="AA791" s="380"/>
      <c r="AB791" s="380"/>
      <c r="AC791" s="404"/>
      <c r="AD791" s="380"/>
      <c r="AE791" s="380"/>
      <c r="AF791" s="380"/>
      <c r="AG791" s="380"/>
      <c r="AH791" s="380"/>
      <c r="AI791" s="380"/>
      <c r="AJ791" s="380"/>
      <c r="AK791" s="403"/>
      <c r="AL791" s="380"/>
      <c r="AM791" s="380"/>
      <c r="AN791" s="380"/>
      <c r="AO791" s="380"/>
      <c r="AP791" s="380"/>
      <c r="AQ791" s="404"/>
      <c r="AR791" s="380"/>
      <c r="AS791" s="380"/>
      <c r="AT791" s="380"/>
      <c r="AU791" s="380"/>
      <c r="AV791" s="380"/>
      <c r="AW791" s="380"/>
      <c r="AX791" s="380"/>
      <c r="AY791" s="403"/>
      <c r="AZ791" s="380"/>
      <c r="BA791" s="380"/>
      <c r="BB791" s="380"/>
      <c r="BC791" s="380"/>
      <c r="BD791" s="380"/>
      <c r="BE791" s="404"/>
      <c r="BF791" s="380"/>
      <c r="BG791" s="380"/>
      <c r="BH791" s="380"/>
      <c r="BI791" s="380"/>
      <c r="BJ791" s="380"/>
      <c r="BK791" s="380"/>
      <c r="BL791" s="380"/>
      <c r="BM791" s="403"/>
      <c r="BS791" s="83"/>
      <c r="CA791" s="405"/>
      <c r="CG791" s="83"/>
      <c r="CO791" s="405"/>
      <c r="CU791" s="83"/>
      <c r="DC791" s="405"/>
      <c r="DI791" s="83"/>
      <c r="DQ791" s="405"/>
      <c r="DW791" s="83"/>
      <c r="EE791" s="405"/>
      <c r="EK791" s="83"/>
      <c r="ES791" s="405"/>
      <c r="EY791" s="83"/>
      <c r="FG791" s="405"/>
      <c r="FM791" s="83"/>
      <c r="FU791" s="405"/>
      <c r="GA791" s="83"/>
      <c r="GI791" s="405"/>
      <c r="GO791" s="83"/>
      <c r="GW791" s="405"/>
      <c r="HC791" s="83"/>
      <c r="HK791" s="405"/>
      <c r="HQ791" s="83"/>
      <c r="HY791" s="405"/>
      <c r="IE791" s="83"/>
      <c r="IM791" s="405"/>
      <c r="IS791" s="83"/>
      <c r="JA791" s="405"/>
      <c r="JG791" s="83"/>
      <c r="JO791" s="405"/>
      <c r="JU791" s="83"/>
      <c r="KC791" s="405"/>
      <c r="KI791" s="83"/>
      <c r="KQ791" s="405"/>
      <c r="KW791" s="83"/>
      <c r="LE791" s="405"/>
      <c r="LK791" s="83"/>
      <c r="LS791" s="405"/>
      <c r="LY791" s="83"/>
      <c r="MG791" s="405"/>
      <c r="MM791" s="83"/>
      <c r="MU791" s="405"/>
      <c r="NA791" s="83"/>
    </row>
    <row r="792">
      <c r="A792" s="483"/>
      <c r="B792" s="380"/>
      <c r="C792" s="380"/>
      <c r="D792" s="380"/>
      <c r="E792" s="380"/>
      <c r="F792" s="380"/>
      <c r="G792" s="380"/>
      <c r="H792" s="380"/>
      <c r="I792" s="403"/>
      <c r="J792" s="380"/>
      <c r="K792" s="380"/>
      <c r="L792" s="380"/>
      <c r="M792" s="380"/>
      <c r="N792" s="380"/>
      <c r="O792" s="404"/>
      <c r="P792" s="380"/>
      <c r="Q792" s="380"/>
      <c r="R792" s="380"/>
      <c r="S792" s="380"/>
      <c r="T792" s="380"/>
      <c r="U792" s="380"/>
      <c r="V792" s="380"/>
      <c r="W792" s="403"/>
      <c r="X792" s="380"/>
      <c r="Y792" s="380"/>
      <c r="Z792" s="380"/>
      <c r="AA792" s="380"/>
      <c r="AB792" s="380"/>
      <c r="AC792" s="404"/>
      <c r="AD792" s="380"/>
      <c r="AE792" s="380"/>
      <c r="AF792" s="380"/>
      <c r="AG792" s="380"/>
      <c r="AH792" s="380"/>
      <c r="AI792" s="380"/>
      <c r="AJ792" s="380"/>
      <c r="AK792" s="403"/>
      <c r="AL792" s="380"/>
      <c r="AM792" s="380"/>
      <c r="AN792" s="380"/>
      <c r="AO792" s="380"/>
      <c r="AP792" s="380"/>
      <c r="AQ792" s="404"/>
      <c r="AR792" s="380"/>
      <c r="AS792" s="380"/>
      <c r="AT792" s="380"/>
      <c r="AU792" s="380"/>
      <c r="AV792" s="380"/>
      <c r="AW792" s="380"/>
      <c r="AX792" s="380"/>
      <c r="AY792" s="403"/>
      <c r="AZ792" s="380"/>
      <c r="BA792" s="380"/>
      <c r="BB792" s="380"/>
      <c r="BC792" s="380"/>
      <c r="BD792" s="380"/>
      <c r="BE792" s="404"/>
      <c r="BF792" s="380"/>
      <c r="BG792" s="380"/>
      <c r="BH792" s="380"/>
      <c r="BI792" s="380"/>
      <c r="BJ792" s="380"/>
      <c r="BK792" s="380"/>
      <c r="BL792" s="380"/>
      <c r="BM792" s="403"/>
      <c r="BS792" s="83"/>
      <c r="CA792" s="405"/>
      <c r="CG792" s="83"/>
      <c r="CO792" s="405"/>
      <c r="CU792" s="83"/>
      <c r="DC792" s="405"/>
      <c r="DI792" s="83"/>
      <c r="DQ792" s="405"/>
      <c r="DW792" s="83"/>
      <c r="EE792" s="405"/>
      <c r="EK792" s="83"/>
      <c r="ES792" s="405"/>
      <c r="EY792" s="83"/>
      <c r="FG792" s="405"/>
      <c r="FM792" s="83"/>
      <c r="FU792" s="405"/>
      <c r="GA792" s="83"/>
      <c r="GI792" s="405"/>
      <c r="GO792" s="83"/>
      <c r="GW792" s="405"/>
      <c r="HC792" s="83"/>
      <c r="HK792" s="405"/>
      <c r="HQ792" s="83"/>
      <c r="HY792" s="405"/>
      <c r="IE792" s="83"/>
      <c r="IM792" s="405"/>
      <c r="IS792" s="83"/>
      <c r="JA792" s="405"/>
      <c r="JG792" s="83"/>
      <c r="JO792" s="405"/>
      <c r="JU792" s="83"/>
      <c r="KC792" s="405"/>
      <c r="KI792" s="83"/>
      <c r="KQ792" s="405"/>
      <c r="KW792" s="83"/>
      <c r="LE792" s="405"/>
      <c r="LK792" s="83"/>
      <c r="LS792" s="405"/>
      <c r="LY792" s="83"/>
      <c r="MG792" s="405"/>
      <c r="MM792" s="83"/>
      <c r="MU792" s="405"/>
      <c r="NA792" s="83"/>
    </row>
    <row r="793">
      <c r="A793" s="483"/>
      <c r="B793" s="380"/>
      <c r="C793" s="380"/>
      <c r="D793" s="380"/>
      <c r="E793" s="380"/>
      <c r="F793" s="380"/>
      <c r="G793" s="380"/>
      <c r="H793" s="380"/>
      <c r="I793" s="403"/>
      <c r="J793" s="380"/>
      <c r="K793" s="380"/>
      <c r="L793" s="380"/>
      <c r="M793" s="380"/>
      <c r="N793" s="380"/>
      <c r="O793" s="404"/>
      <c r="P793" s="380"/>
      <c r="Q793" s="380"/>
      <c r="R793" s="380"/>
      <c r="S793" s="380"/>
      <c r="T793" s="380"/>
      <c r="U793" s="380"/>
      <c r="V793" s="380"/>
      <c r="W793" s="403"/>
      <c r="X793" s="380"/>
      <c r="Y793" s="380"/>
      <c r="Z793" s="380"/>
      <c r="AA793" s="380"/>
      <c r="AB793" s="380"/>
      <c r="AC793" s="404"/>
      <c r="AD793" s="380"/>
      <c r="AE793" s="380"/>
      <c r="AF793" s="380"/>
      <c r="AG793" s="380"/>
      <c r="AH793" s="380"/>
      <c r="AI793" s="380"/>
      <c r="AJ793" s="380"/>
      <c r="AK793" s="403"/>
      <c r="AL793" s="380"/>
      <c r="AM793" s="380"/>
      <c r="AN793" s="380"/>
      <c r="AO793" s="380"/>
      <c r="AP793" s="380"/>
      <c r="AQ793" s="404"/>
      <c r="AR793" s="380"/>
      <c r="AS793" s="380"/>
      <c r="AT793" s="380"/>
      <c r="AU793" s="380"/>
      <c r="AV793" s="380"/>
      <c r="AW793" s="380"/>
      <c r="AX793" s="380"/>
      <c r="AY793" s="403"/>
      <c r="AZ793" s="380"/>
      <c r="BA793" s="380"/>
      <c r="BB793" s="380"/>
      <c r="BC793" s="380"/>
      <c r="BD793" s="380"/>
      <c r="BE793" s="404"/>
      <c r="BF793" s="380"/>
      <c r="BG793" s="380"/>
      <c r="BH793" s="380"/>
      <c r="BI793" s="380"/>
      <c r="BJ793" s="380"/>
      <c r="BK793" s="380"/>
      <c r="BL793" s="380"/>
      <c r="BM793" s="403"/>
      <c r="BS793" s="83"/>
      <c r="CA793" s="405"/>
      <c r="CG793" s="83"/>
      <c r="CO793" s="405"/>
      <c r="CU793" s="83"/>
      <c r="DC793" s="405"/>
      <c r="DI793" s="83"/>
      <c r="DQ793" s="405"/>
      <c r="DW793" s="83"/>
      <c r="EE793" s="405"/>
      <c r="EK793" s="83"/>
      <c r="ES793" s="405"/>
      <c r="EY793" s="83"/>
      <c r="FG793" s="405"/>
      <c r="FM793" s="83"/>
      <c r="FU793" s="405"/>
      <c r="GA793" s="83"/>
      <c r="GI793" s="405"/>
      <c r="GO793" s="83"/>
      <c r="GW793" s="405"/>
      <c r="HC793" s="83"/>
      <c r="HK793" s="405"/>
      <c r="HQ793" s="83"/>
      <c r="HY793" s="405"/>
      <c r="IE793" s="83"/>
      <c r="IM793" s="405"/>
      <c r="IS793" s="83"/>
      <c r="JA793" s="405"/>
      <c r="JG793" s="83"/>
      <c r="JO793" s="405"/>
      <c r="JU793" s="83"/>
      <c r="KC793" s="405"/>
      <c r="KI793" s="83"/>
      <c r="KQ793" s="405"/>
      <c r="KW793" s="83"/>
      <c r="LE793" s="405"/>
      <c r="LK793" s="83"/>
      <c r="LS793" s="405"/>
      <c r="LY793" s="83"/>
      <c r="MG793" s="405"/>
      <c r="MM793" s="83"/>
      <c r="MU793" s="405"/>
      <c r="NA793" s="83"/>
    </row>
    <row r="794">
      <c r="A794" s="483"/>
      <c r="B794" s="380"/>
      <c r="C794" s="380"/>
      <c r="D794" s="380"/>
      <c r="E794" s="380"/>
      <c r="F794" s="380"/>
      <c r="G794" s="380"/>
      <c r="H794" s="380"/>
      <c r="I794" s="403"/>
      <c r="J794" s="380"/>
      <c r="K794" s="380"/>
      <c r="L794" s="380"/>
      <c r="M794" s="380"/>
      <c r="N794" s="380"/>
      <c r="O794" s="404"/>
      <c r="P794" s="380"/>
      <c r="Q794" s="380"/>
      <c r="R794" s="380"/>
      <c r="S794" s="380"/>
      <c r="T794" s="380"/>
      <c r="U794" s="380"/>
      <c r="V794" s="380"/>
      <c r="W794" s="403"/>
      <c r="X794" s="380"/>
      <c r="Y794" s="380"/>
      <c r="Z794" s="380"/>
      <c r="AA794" s="380"/>
      <c r="AB794" s="380"/>
      <c r="AC794" s="404"/>
      <c r="AD794" s="380"/>
      <c r="AE794" s="380"/>
      <c r="AF794" s="380"/>
      <c r="AG794" s="380"/>
      <c r="AH794" s="380"/>
      <c r="AI794" s="380"/>
      <c r="AJ794" s="380"/>
      <c r="AK794" s="403"/>
      <c r="AL794" s="380"/>
      <c r="AM794" s="380"/>
      <c r="AN794" s="380"/>
      <c r="AO794" s="380"/>
      <c r="AP794" s="380"/>
      <c r="AQ794" s="404"/>
      <c r="AR794" s="380"/>
      <c r="AS794" s="380"/>
      <c r="AT794" s="380"/>
      <c r="AU794" s="380"/>
      <c r="AV794" s="380"/>
      <c r="AW794" s="380"/>
      <c r="AX794" s="380"/>
      <c r="AY794" s="403"/>
      <c r="AZ794" s="380"/>
      <c r="BA794" s="380"/>
      <c r="BB794" s="380"/>
      <c r="BC794" s="380"/>
      <c r="BD794" s="380"/>
      <c r="BE794" s="404"/>
      <c r="BF794" s="380"/>
      <c r="BG794" s="380"/>
      <c r="BH794" s="380"/>
      <c r="BI794" s="380"/>
      <c r="BJ794" s="380"/>
      <c r="BK794" s="380"/>
      <c r="BL794" s="380"/>
      <c r="BM794" s="403"/>
      <c r="BS794" s="83"/>
      <c r="CA794" s="405"/>
      <c r="CG794" s="83"/>
      <c r="CO794" s="405"/>
      <c r="CU794" s="83"/>
      <c r="DC794" s="405"/>
      <c r="DI794" s="83"/>
      <c r="DQ794" s="405"/>
      <c r="DW794" s="83"/>
      <c r="EE794" s="405"/>
      <c r="EK794" s="83"/>
      <c r="ES794" s="405"/>
      <c r="EY794" s="83"/>
      <c r="FG794" s="405"/>
      <c r="FM794" s="83"/>
      <c r="FU794" s="405"/>
      <c r="GA794" s="83"/>
      <c r="GI794" s="405"/>
      <c r="GO794" s="83"/>
      <c r="GW794" s="405"/>
      <c r="HC794" s="83"/>
      <c r="HK794" s="405"/>
      <c r="HQ794" s="83"/>
      <c r="HY794" s="405"/>
      <c r="IE794" s="83"/>
      <c r="IM794" s="405"/>
      <c r="IS794" s="83"/>
      <c r="JA794" s="405"/>
      <c r="JG794" s="83"/>
      <c r="JO794" s="405"/>
      <c r="JU794" s="83"/>
      <c r="KC794" s="405"/>
      <c r="KI794" s="83"/>
      <c r="KQ794" s="405"/>
      <c r="KW794" s="83"/>
      <c r="LE794" s="405"/>
      <c r="LK794" s="83"/>
      <c r="LS794" s="405"/>
      <c r="LY794" s="83"/>
      <c r="MG794" s="405"/>
      <c r="MM794" s="83"/>
      <c r="MU794" s="405"/>
      <c r="NA794" s="83"/>
    </row>
    <row r="795">
      <c r="A795" s="483"/>
      <c r="B795" s="380"/>
      <c r="C795" s="380"/>
      <c r="D795" s="380"/>
      <c r="E795" s="380"/>
      <c r="F795" s="380"/>
      <c r="G795" s="380"/>
      <c r="H795" s="380"/>
      <c r="I795" s="403"/>
      <c r="J795" s="380"/>
      <c r="K795" s="380"/>
      <c r="L795" s="380"/>
      <c r="M795" s="380"/>
      <c r="N795" s="380"/>
      <c r="O795" s="404"/>
      <c r="P795" s="380"/>
      <c r="Q795" s="380"/>
      <c r="R795" s="380"/>
      <c r="S795" s="380"/>
      <c r="T795" s="380"/>
      <c r="U795" s="380"/>
      <c r="V795" s="380"/>
      <c r="W795" s="403"/>
      <c r="X795" s="380"/>
      <c r="Y795" s="380"/>
      <c r="Z795" s="380"/>
      <c r="AA795" s="380"/>
      <c r="AB795" s="380"/>
      <c r="AC795" s="404"/>
      <c r="AD795" s="380"/>
      <c r="AE795" s="380"/>
      <c r="AF795" s="380"/>
      <c r="AG795" s="380"/>
      <c r="AH795" s="380"/>
      <c r="AI795" s="380"/>
      <c r="AJ795" s="380"/>
      <c r="AK795" s="403"/>
      <c r="AL795" s="380"/>
      <c r="AM795" s="380"/>
      <c r="AN795" s="380"/>
      <c r="AO795" s="380"/>
      <c r="AP795" s="380"/>
      <c r="AQ795" s="404"/>
      <c r="AR795" s="380"/>
      <c r="AS795" s="380"/>
      <c r="AT795" s="380"/>
      <c r="AU795" s="380"/>
      <c r="AV795" s="380"/>
      <c r="AW795" s="380"/>
      <c r="AX795" s="380"/>
      <c r="AY795" s="403"/>
      <c r="AZ795" s="380"/>
      <c r="BA795" s="380"/>
      <c r="BB795" s="380"/>
      <c r="BC795" s="380"/>
      <c r="BD795" s="380"/>
      <c r="BE795" s="404"/>
      <c r="BF795" s="380"/>
      <c r="BG795" s="380"/>
      <c r="BH795" s="380"/>
      <c r="BI795" s="380"/>
      <c r="BJ795" s="380"/>
      <c r="BK795" s="380"/>
      <c r="BL795" s="380"/>
      <c r="BM795" s="403"/>
      <c r="BS795" s="83"/>
      <c r="CA795" s="405"/>
      <c r="CG795" s="83"/>
      <c r="CO795" s="405"/>
      <c r="CU795" s="83"/>
      <c r="DC795" s="405"/>
      <c r="DI795" s="83"/>
      <c r="DQ795" s="405"/>
      <c r="DW795" s="83"/>
      <c r="EE795" s="405"/>
      <c r="EK795" s="83"/>
      <c r="ES795" s="405"/>
      <c r="EY795" s="83"/>
      <c r="FG795" s="405"/>
      <c r="FM795" s="83"/>
      <c r="FU795" s="405"/>
      <c r="GA795" s="83"/>
      <c r="GI795" s="405"/>
      <c r="GO795" s="83"/>
      <c r="GW795" s="405"/>
      <c r="HC795" s="83"/>
      <c r="HK795" s="405"/>
      <c r="HQ795" s="83"/>
      <c r="HY795" s="405"/>
      <c r="IE795" s="83"/>
      <c r="IM795" s="405"/>
      <c r="IS795" s="83"/>
      <c r="JA795" s="405"/>
      <c r="JG795" s="83"/>
      <c r="JO795" s="405"/>
      <c r="JU795" s="83"/>
      <c r="KC795" s="405"/>
      <c r="KI795" s="83"/>
      <c r="KQ795" s="405"/>
      <c r="KW795" s="83"/>
      <c r="LE795" s="405"/>
      <c r="LK795" s="83"/>
      <c r="LS795" s="405"/>
      <c r="LY795" s="83"/>
      <c r="MG795" s="405"/>
      <c r="MM795" s="83"/>
      <c r="MU795" s="405"/>
      <c r="NA795" s="83"/>
    </row>
    <row r="796">
      <c r="A796" s="483"/>
      <c r="B796" s="380"/>
      <c r="C796" s="380"/>
      <c r="D796" s="380"/>
      <c r="E796" s="380"/>
      <c r="F796" s="380"/>
      <c r="G796" s="380"/>
      <c r="H796" s="380"/>
      <c r="I796" s="403"/>
      <c r="J796" s="380"/>
      <c r="K796" s="380"/>
      <c r="L796" s="380"/>
      <c r="M796" s="380"/>
      <c r="N796" s="380"/>
      <c r="O796" s="404"/>
      <c r="P796" s="380"/>
      <c r="Q796" s="380"/>
      <c r="R796" s="380"/>
      <c r="S796" s="380"/>
      <c r="T796" s="380"/>
      <c r="U796" s="380"/>
      <c r="V796" s="380"/>
      <c r="W796" s="403"/>
      <c r="X796" s="380"/>
      <c r="Y796" s="380"/>
      <c r="Z796" s="380"/>
      <c r="AA796" s="380"/>
      <c r="AB796" s="380"/>
      <c r="AC796" s="404"/>
      <c r="AD796" s="380"/>
      <c r="AE796" s="380"/>
      <c r="AF796" s="380"/>
      <c r="AG796" s="380"/>
      <c r="AH796" s="380"/>
      <c r="AI796" s="380"/>
      <c r="AJ796" s="380"/>
      <c r="AK796" s="403"/>
      <c r="AL796" s="380"/>
      <c r="AM796" s="380"/>
      <c r="AN796" s="380"/>
      <c r="AO796" s="380"/>
      <c r="AP796" s="380"/>
      <c r="AQ796" s="404"/>
      <c r="AR796" s="380"/>
      <c r="AS796" s="380"/>
      <c r="AT796" s="380"/>
      <c r="AU796" s="380"/>
      <c r="AV796" s="380"/>
      <c r="AW796" s="380"/>
      <c r="AX796" s="380"/>
      <c r="AY796" s="403"/>
      <c r="AZ796" s="380"/>
      <c r="BA796" s="380"/>
      <c r="BB796" s="380"/>
      <c r="BC796" s="380"/>
      <c r="BD796" s="380"/>
      <c r="BE796" s="404"/>
      <c r="BF796" s="380"/>
      <c r="BG796" s="380"/>
      <c r="BH796" s="380"/>
      <c r="BI796" s="380"/>
      <c r="BJ796" s="380"/>
      <c r="BK796" s="380"/>
      <c r="BL796" s="380"/>
      <c r="BM796" s="403"/>
      <c r="BS796" s="83"/>
      <c r="CA796" s="405"/>
      <c r="CG796" s="83"/>
      <c r="CO796" s="405"/>
      <c r="CU796" s="83"/>
      <c r="DC796" s="405"/>
      <c r="DI796" s="83"/>
      <c r="DQ796" s="405"/>
      <c r="DW796" s="83"/>
      <c r="EE796" s="405"/>
      <c r="EK796" s="83"/>
      <c r="ES796" s="405"/>
      <c r="EY796" s="83"/>
      <c r="FG796" s="405"/>
      <c r="FM796" s="83"/>
      <c r="FU796" s="405"/>
      <c r="GA796" s="83"/>
      <c r="GI796" s="405"/>
      <c r="GO796" s="83"/>
      <c r="GW796" s="405"/>
      <c r="HC796" s="83"/>
      <c r="HK796" s="405"/>
      <c r="HQ796" s="83"/>
      <c r="HY796" s="405"/>
      <c r="IE796" s="83"/>
      <c r="IM796" s="405"/>
      <c r="IS796" s="83"/>
      <c r="JA796" s="405"/>
      <c r="JG796" s="83"/>
      <c r="JO796" s="405"/>
      <c r="JU796" s="83"/>
      <c r="KC796" s="405"/>
      <c r="KI796" s="83"/>
      <c r="KQ796" s="405"/>
      <c r="KW796" s="83"/>
      <c r="LE796" s="405"/>
      <c r="LK796" s="83"/>
      <c r="LS796" s="405"/>
      <c r="LY796" s="83"/>
      <c r="MG796" s="405"/>
      <c r="MM796" s="83"/>
      <c r="MU796" s="405"/>
      <c r="NA796" s="83"/>
    </row>
    <row r="797">
      <c r="A797" s="483"/>
      <c r="B797" s="380"/>
      <c r="C797" s="380"/>
      <c r="D797" s="380"/>
      <c r="E797" s="380"/>
      <c r="F797" s="380"/>
      <c r="G797" s="380"/>
      <c r="H797" s="380"/>
      <c r="I797" s="403"/>
      <c r="J797" s="380"/>
      <c r="K797" s="380"/>
      <c r="L797" s="380"/>
      <c r="M797" s="380"/>
      <c r="N797" s="380"/>
      <c r="O797" s="404"/>
      <c r="P797" s="380"/>
      <c r="Q797" s="380"/>
      <c r="R797" s="380"/>
      <c r="S797" s="380"/>
      <c r="T797" s="380"/>
      <c r="U797" s="380"/>
      <c r="V797" s="380"/>
      <c r="W797" s="403"/>
      <c r="X797" s="380"/>
      <c r="Y797" s="380"/>
      <c r="Z797" s="380"/>
      <c r="AA797" s="380"/>
      <c r="AB797" s="380"/>
      <c r="AC797" s="404"/>
      <c r="AD797" s="380"/>
      <c r="AE797" s="380"/>
      <c r="AF797" s="380"/>
      <c r="AG797" s="380"/>
      <c r="AH797" s="380"/>
      <c r="AI797" s="380"/>
      <c r="AJ797" s="380"/>
      <c r="AK797" s="403"/>
      <c r="AL797" s="380"/>
      <c r="AM797" s="380"/>
      <c r="AN797" s="380"/>
      <c r="AO797" s="380"/>
      <c r="AP797" s="380"/>
      <c r="AQ797" s="404"/>
      <c r="AR797" s="380"/>
      <c r="AS797" s="380"/>
      <c r="AT797" s="380"/>
      <c r="AU797" s="380"/>
      <c r="AV797" s="380"/>
      <c r="AW797" s="380"/>
      <c r="AX797" s="380"/>
      <c r="AY797" s="403"/>
      <c r="AZ797" s="380"/>
      <c r="BA797" s="380"/>
      <c r="BB797" s="380"/>
      <c r="BC797" s="380"/>
      <c r="BD797" s="380"/>
      <c r="BE797" s="404"/>
      <c r="BF797" s="380"/>
      <c r="BG797" s="380"/>
      <c r="BH797" s="380"/>
      <c r="BI797" s="380"/>
      <c r="BJ797" s="380"/>
      <c r="BK797" s="380"/>
      <c r="BL797" s="380"/>
      <c r="BM797" s="403"/>
      <c r="BS797" s="83"/>
      <c r="CA797" s="405"/>
      <c r="CG797" s="83"/>
      <c r="CO797" s="405"/>
      <c r="CU797" s="83"/>
      <c r="DC797" s="405"/>
      <c r="DI797" s="83"/>
      <c r="DQ797" s="405"/>
      <c r="DW797" s="83"/>
      <c r="EE797" s="405"/>
      <c r="EK797" s="83"/>
      <c r="ES797" s="405"/>
      <c r="EY797" s="83"/>
      <c r="FG797" s="405"/>
      <c r="FM797" s="83"/>
      <c r="FU797" s="405"/>
      <c r="GA797" s="83"/>
      <c r="GI797" s="405"/>
      <c r="GO797" s="83"/>
      <c r="GW797" s="405"/>
      <c r="HC797" s="83"/>
      <c r="HK797" s="405"/>
      <c r="HQ797" s="83"/>
      <c r="HY797" s="405"/>
      <c r="IE797" s="83"/>
      <c r="IM797" s="405"/>
      <c r="IS797" s="83"/>
      <c r="JA797" s="405"/>
      <c r="JG797" s="83"/>
      <c r="JO797" s="405"/>
      <c r="JU797" s="83"/>
      <c r="KC797" s="405"/>
      <c r="KI797" s="83"/>
      <c r="KQ797" s="405"/>
      <c r="KW797" s="83"/>
      <c r="LE797" s="405"/>
      <c r="LK797" s="83"/>
      <c r="LS797" s="405"/>
      <c r="LY797" s="83"/>
      <c r="MG797" s="405"/>
      <c r="MM797" s="83"/>
      <c r="MU797" s="405"/>
      <c r="NA797" s="83"/>
    </row>
    <row r="798">
      <c r="A798" s="483"/>
      <c r="B798" s="380"/>
      <c r="C798" s="380"/>
      <c r="D798" s="380"/>
      <c r="E798" s="380"/>
      <c r="F798" s="380"/>
      <c r="G798" s="380"/>
      <c r="H798" s="380"/>
      <c r="I798" s="403"/>
      <c r="J798" s="380"/>
      <c r="K798" s="380"/>
      <c r="L798" s="380"/>
      <c r="M798" s="380"/>
      <c r="N798" s="380"/>
      <c r="O798" s="404"/>
      <c r="P798" s="380"/>
      <c r="Q798" s="380"/>
      <c r="R798" s="380"/>
      <c r="S798" s="380"/>
      <c r="T798" s="380"/>
      <c r="U798" s="380"/>
      <c r="V798" s="380"/>
      <c r="W798" s="403"/>
      <c r="X798" s="380"/>
      <c r="Y798" s="380"/>
      <c r="Z798" s="380"/>
      <c r="AA798" s="380"/>
      <c r="AB798" s="380"/>
      <c r="AC798" s="404"/>
      <c r="AD798" s="380"/>
      <c r="AE798" s="380"/>
      <c r="AF798" s="380"/>
      <c r="AG798" s="380"/>
      <c r="AH798" s="380"/>
      <c r="AI798" s="380"/>
      <c r="AJ798" s="380"/>
      <c r="AK798" s="403"/>
      <c r="AL798" s="380"/>
      <c r="AM798" s="380"/>
      <c r="AN798" s="380"/>
      <c r="AO798" s="380"/>
      <c r="AP798" s="380"/>
      <c r="AQ798" s="404"/>
      <c r="AR798" s="380"/>
      <c r="AS798" s="380"/>
      <c r="AT798" s="380"/>
      <c r="AU798" s="380"/>
      <c r="AV798" s="380"/>
      <c r="AW798" s="380"/>
      <c r="AX798" s="380"/>
      <c r="AY798" s="403"/>
      <c r="AZ798" s="380"/>
      <c r="BA798" s="380"/>
      <c r="BB798" s="380"/>
      <c r="BC798" s="380"/>
      <c r="BD798" s="380"/>
      <c r="BE798" s="404"/>
      <c r="BF798" s="380"/>
      <c r="BG798" s="380"/>
      <c r="BH798" s="380"/>
      <c r="BI798" s="380"/>
      <c r="BJ798" s="380"/>
      <c r="BK798" s="380"/>
      <c r="BL798" s="380"/>
      <c r="BM798" s="403"/>
      <c r="BS798" s="83"/>
      <c r="CA798" s="405"/>
      <c r="CG798" s="83"/>
      <c r="CO798" s="405"/>
      <c r="CU798" s="83"/>
      <c r="DC798" s="405"/>
      <c r="DI798" s="83"/>
      <c r="DQ798" s="405"/>
      <c r="DW798" s="83"/>
      <c r="EE798" s="405"/>
      <c r="EK798" s="83"/>
      <c r="ES798" s="405"/>
      <c r="EY798" s="83"/>
      <c r="FG798" s="405"/>
      <c r="FM798" s="83"/>
      <c r="FU798" s="405"/>
      <c r="GA798" s="83"/>
      <c r="GI798" s="405"/>
      <c r="GO798" s="83"/>
      <c r="GW798" s="405"/>
      <c r="HC798" s="83"/>
      <c r="HK798" s="405"/>
      <c r="HQ798" s="83"/>
      <c r="HY798" s="405"/>
      <c r="IE798" s="83"/>
      <c r="IM798" s="405"/>
      <c r="IS798" s="83"/>
      <c r="JA798" s="405"/>
      <c r="JG798" s="83"/>
      <c r="JO798" s="405"/>
      <c r="JU798" s="83"/>
      <c r="KC798" s="405"/>
      <c r="KI798" s="83"/>
      <c r="KQ798" s="405"/>
      <c r="KW798" s="83"/>
      <c r="LE798" s="405"/>
      <c r="LK798" s="83"/>
      <c r="LS798" s="405"/>
      <c r="LY798" s="83"/>
      <c r="MG798" s="405"/>
      <c r="MM798" s="83"/>
      <c r="MU798" s="405"/>
      <c r="NA798" s="83"/>
    </row>
    <row r="799">
      <c r="A799" s="483"/>
      <c r="B799" s="380"/>
      <c r="C799" s="380"/>
      <c r="D799" s="380"/>
      <c r="E799" s="380"/>
      <c r="F799" s="380"/>
      <c r="G799" s="380"/>
      <c r="H799" s="380"/>
      <c r="I799" s="403"/>
      <c r="J799" s="380"/>
      <c r="K799" s="380"/>
      <c r="L799" s="380"/>
      <c r="M799" s="380"/>
      <c r="N799" s="380"/>
      <c r="O799" s="404"/>
      <c r="P799" s="380"/>
      <c r="Q799" s="380"/>
      <c r="R799" s="380"/>
      <c r="S799" s="380"/>
      <c r="T799" s="380"/>
      <c r="U799" s="380"/>
      <c r="V799" s="380"/>
      <c r="W799" s="403"/>
      <c r="X799" s="380"/>
      <c r="Y799" s="380"/>
      <c r="Z799" s="380"/>
      <c r="AA799" s="380"/>
      <c r="AB799" s="380"/>
      <c r="AC799" s="404"/>
      <c r="AD799" s="380"/>
      <c r="AE799" s="380"/>
      <c r="AF799" s="380"/>
      <c r="AG799" s="380"/>
      <c r="AH799" s="380"/>
      <c r="AI799" s="380"/>
      <c r="AJ799" s="380"/>
      <c r="AK799" s="403"/>
      <c r="AL799" s="380"/>
      <c r="AM799" s="380"/>
      <c r="AN799" s="380"/>
      <c r="AO799" s="380"/>
      <c r="AP799" s="380"/>
      <c r="AQ799" s="404"/>
      <c r="AR799" s="380"/>
      <c r="AS799" s="380"/>
      <c r="AT799" s="380"/>
      <c r="AU799" s="380"/>
      <c r="AV799" s="380"/>
      <c r="AW799" s="380"/>
      <c r="AX799" s="380"/>
      <c r="AY799" s="403"/>
      <c r="AZ799" s="380"/>
      <c r="BA799" s="380"/>
      <c r="BB799" s="380"/>
      <c r="BC799" s="380"/>
      <c r="BD799" s="380"/>
      <c r="BE799" s="404"/>
      <c r="BF799" s="380"/>
      <c r="BG799" s="380"/>
      <c r="BH799" s="380"/>
      <c r="BI799" s="380"/>
      <c r="BJ799" s="380"/>
      <c r="BK799" s="380"/>
      <c r="BL799" s="380"/>
      <c r="BM799" s="403"/>
      <c r="BS799" s="83"/>
      <c r="CA799" s="405"/>
      <c r="CG799" s="83"/>
      <c r="CO799" s="405"/>
      <c r="CU799" s="83"/>
      <c r="DC799" s="405"/>
      <c r="DI799" s="83"/>
      <c r="DQ799" s="405"/>
      <c r="DW799" s="83"/>
      <c r="EE799" s="405"/>
      <c r="EK799" s="83"/>
      <c r="ES799" s="405"/>
      <c r="EY799" s="83"/>
      <c r="FG799" s="405"/>
      <c r="FM799" s="83"/>
      <c r="FU799" s="405"/>
      <c r="GA799" s="83"/>
      <c r="GI799" s="405"/>
      <c r="GO799" s="83"/>
      <c r="GW799" s="405"/>
      <c r="HC799" s="83"/>
      <c r="HK799" s="405"/>
      <c r="HQ799" s="83"/>
      <c r="HY799" s="405"/>
      <c r="IE799" s="83"/>
      <c r="IM799" s="405"/>
      <c r="IS799" s="83"/>
      <c r="JA799" s="405"/>
      <c r="JG799" s="83"/>
      <c r="JO799" s="405"/>
      <c r="JU799" s="83"/>
      <c r="KC799" s="405"/>
      <c r="KI799" s="83"/>
      <c r="KQ799" s="405"/>
      <c r="KW799" s="83"/>
      <c r="LE799" s="405"/>
      <c r="LK799" s="83"/>
      <c r="LS799" s="405"/>
      <c r="LY799" s="83"/>
      <c r="MG799" s="405"/>
      <c r="MM799" s="83"/>
      <c r="MU799" s="405"/>
      <c r="NA799" s="83"/>
    </row>
    <row r="800">
      <c r="A800" s="483"/>
      <c r="B800" s="380"/>
      <c r="C800" s="380"/>
      <c r="D800" s="380"/>
      <c r="E800" s="380"/>
      <c r="F800" s="380"/>
      <c r="G800" s="380"/>
      <c r="H800" s="380"/>
      <c r="I800" s="403"/>
      <c r="J800" s="380"/>
      <c r="K800" s="380"/>
      <c r="L800" s="380"/>
      <c r="M800" s="380"/>
      <c r="N800" s="380"/>
      <c r="O800" s="404"/>
      <c r="P800" s="380"/>
      <c r="Q800" s="380"/>
      <c r="R800" s="380"/>
      <c r="S800" s="380"/>
      <c r="T800" s="380"/>
      <c r="U800" s="380"/>
      <c r="V800" s="380"/>
      <c r="W800" s="403"/>
      <c r="X800" s="380"/>
      <c r="Y800" s="380"/>
      <c r="Z800" s="380"/>
      <c r="AA800" s="380"/>
      <c r="AB800" s="380"/>
      <c r="AC800" s="404"/>
      <c r="AD800" s="380"/>
      <c r="AE800" s="380"/>
      <c r="AF800" s="380"/>
      <c r="AG800" s="380"/>
      <c r="AH800" s="380"/>
      <c r="AI800" s="380"/>
      <c r="AJ800" s="380"/>
      <c r="AK800" s="403"/>
      <c r="AL800" s="380"/>
      <c r="AM800" s="380"/>
      <c r="AN800" s="380"/>
      <c r="AO800" s="380"/>
      <c r="AP800" s="380"/>
      <c r="AQ800" s="404"/>
      <c r="AR800" s="380"/>
      <c r="AS800" s="380"/>
      <c r="AT800" s="380"/>
      <c r="AU800" s="380"/>
      <c r="AV800" s="380"/>
      <c r="AW800" s="380"/>
      <c r="AX800" s="380"/>
      <c r="AY800" s="403"/>
      <c r="AZ800" s="380"/>
      <c r="BA800" s="380"/>
      <c r="BB800" s="380"/>
      <c r="BC800" s="380"/>
      <c r="BD800" s="380"/>
      <c r="BE800" s="404"/>
      <c r="BF800" s="380"/>
      <c r="BG800" s="380"/>
      <c r="BH800" s="380"/>
      <c r="BI800" s="380"/>
      <c r="BJ800" s="380"/>
      <c r="BK800" s="380"/>
      <c r="BL800" s="380"/>
      <c r="BM800" s="403"/>
      <c r="BS800" s="83"/>
      <c r="CA800" s="405"/>
      <c r="CG800" s="83"/>
      <c r="CO800" s="405"/>
      <c r="CU800" s="83"/>
      <c r="DC800" s="405"/>
      <c r="DI800" s="83"/>
      <c r="DQ800" s="405"/>
      <c r="DW800" s="83"/>
      <c r="EE800" s="405"/>
      <c r="EK800" s="83"/>
      <c r="ES800" s="405"/>
      <c r="EY800" s="83"/>
      <c r="FG800" s="405"/>
      <c r="FM800" s="83"/>
      <c r="FU800" s="405"/>
      <c r="GA800" s="83"/>
      <c r="GI800" s="405"/>
      <c r="GO800" s="83"/>
      <c r="GW800" s="405"/>
      <c r="HC800" s="83"/>
      <c r="HK800" s="405"/>
      <c r="HQ800" s="83"/>
      <c r="HY800" s="405"/>
      <c r="IE800" s="83"/>
      <c r="IM800" s="405"/>
      <c r="IS800" s="83"/>
      <c r="JA800" s="405"/>
      <c r="JG800" s="83"/>
      <c r="JO800" s="405"/>
      <c r="JU800" s="83"/>
      <c r="KC800" s="405"/>
      <c r="KI800" s="83"/>
      <c r="KQ800" s="405"/>
      <c r="KW800" s="83"/>
      <c r="LE800" s="405"/>
      <c r="LK800" s="83"/>
      <c r="LS800" s="405"/>
      <c r="LY800" s="83"/>
      <c r="MG800" s="405"/>
      <c r="MM800" s="83"/>
      <c r="MU800" s="405"/>
      <c r="NA800" s="83"/>
    </row>
    <row r="801">
      <c r="A801" s="483"/>
      <c r="B801" s="380"/>
      <c r="C801" s="380"/>
      <c r="D801" s="380"/>
      <c r="E801" s="380"/>
      <c r="F801" s="380"/>
      <c r="G801" s="380"/>
      <c r="H801" s="380"/>
      <c r="I801" s="403"/>
      <c r="J801" s="380"/>
      <c r="K801" s="380"/>
      <c r="L801" s="380"/>
      <c r="M801" s="380"/>
      <c r="N801" s="380"/>
      <c r="O801" s="404"/>
      <c r="P801" s="380"/>
      <c r="Q801" s="380"/>
      <c r="R801" s="380"/>
      <c r="S801" s="380"/>
      <c r="T801" s="380"/>
      <c r="U801" s="380"/>
      <c r="V801" s="380"/>
      <c r="W801" s="403"/>
      <c r="X801" s="380"/>
      <c r="Y801" s="380"/>
      <c r="Z801" s="380"/>
      <c r="AA801" s="380"/>
      <c r="AB801" s="380"/>
      <c r="AC801" s="404"/>
      <c r="AD801" s="380"/>
      <c r="AE801" s="380"/>
      <c r="AF801" s="380"/>
      <c r="AG801" s="380"/>
      <c r="AH801" s="380"/>
      <c r="AI801" s="380"/>
      <c r="AJ801" s="380"/>
      <c r="AK801" s="403"/>
      <c r="AL801" s="380"/>
      <c r="AM801" s="380"/>
      <c r="AN801" s="380"/>
      <c r="AO801" s="380"/>
      <c r="AP801" s="380"/>
      <c r="AQ801" s="404"/>
      <c r="AR801" s="380"/>
      <c r="AS801" s="380"/>
      <c r="AT801" s="380"/>
      <c r="AU801" s="380"/>
      <c r="AV801" s="380"/>
      <c r="AW801" s="380"/>
      <c r="AX801" s="380"/>
      <c r="AY801" s="403"/>
      <c r="AZ801" s="380"/>
      <c r="BA801" s="380"/>
      <c r="BB801" s="380"/>
      <c r="BC801" s="380"/>
      <c r="BD801" s="380"/>
      <c r="BE801" s="404"/>
      <c r="BF801" s="380"/>
      <c r="BG801" s="380"/>
      <c r="BH801" s="380"/>
      <c r="BI801" s="380"/>
      <c r="BJ801" s="380"/>
      <c r="BK801" s="380"/>
      <c r="BL801" s="380"/>
      <c r="BM801" s="403"/>
      <c r="BS801" s="83"/>
      <c r="CA801" s="405"/>
      <c r="CG801" s="83"/>
      <c r="CO801" s="405"/>
      <c r="CU801" s="83"/>
      <c r="DC801" s="405"/>
      <c r="DI801" s="83"/>
      <c r="DQ801" s="405"/>
      <c r="DW801" s="83"/>
      <c r="EE801" s="405"/>
      <c r="EK801" s="83"/>
      <c r="ES801" s="405"/>
      <c r="EY801" s="83"/>
      <c r="FG801" s="405"/>
      <c r="FM801" s="83"/>
      <c r="FU801" s="405"/>
      <c r="GA801" s="83"/>
      <c r="GI801" s="405"/>
      <c r="GO801" s="83"/>
      <c r="GW801" s="405"/>
      <c r="HC801" s="83"/>
      <c r="HK801" s="405"/>
      <c r="HQ801" s="83"/>
      <c r="HY801" s="405"/>
      <c r="IE801" s="83"/>
      <c r="IM801" s="405"/>
      <c r="IS801" s="83"/>
      <c r="JA801" s="405"/>
      <c r="JG801" s="83"/>
      <c r="JO801" s="405"/>
      <c r="JU801" s="83"/>
      <c r="KC801" s="405"/>
      <c r="KI801" s="83"/>
      <c r="KQ801" s="405"/>
      <c r="KW801" s="83"/>
      <c r="LE801" s="405"/>
      <c r="LK801" s="83"/>
      <c r="LS801" s="405"/>
      <c r="LY801" s="83"/>
      <c r="MG801" s="405"/>
      <c r="MM801" s="83"/>
      <c r="MU801" s="405"/>
      <c r="NA801" s="83"/>
    </row>
    <row r="802">
      <c r="A802" s="483"/>
      <c r="B802" s="380"/>
      <c r="C802" s="380"/>
      <c r="D802" s="380"/>
      <c r="E802" s="380"/>
      <c r="F802" s="380"/>
      <c r="G802" s="380"/>
      <c r="H802" s="380"/>
      <c r="I802" s="403"/>
      <c r="J802" s="380"/>
      <c r="K802" s="380"/>
      <c r="L802" s="380"/>
      <c r="M802" s="380"/>
      <c r="N802" s="380"/>
      <c r="O802" s="404"/>
      <c r="P802" s="380"/>
      <c r="Q802" s="380"/>
      <c r="R802" s="380"/>
      <c r="S802" s="380"/>
      <c r="T802" s="380"/>
      <c r="U802" s="380"/>
      <c r="V802" s="380"/>
      <c r="W802" s="403"/>
      <c r="X802" s="380"/>
      <c r="Y802" s="380"/>
      <c r="Z802" s="380"/>
      <c r="AA802" s="380"/>
      <c r="AB802" s="380"/>
      <c r="AC802" s="404"/>
      <c r="AD802" s="380"/>
      <c r="AE802" s="380"/>
      <c r="AF802" s="380"/>
      <c r="AG802" s="380"/>
      <c r="AH802" s="380"/>
      <c r="AI802" s="380"/>
      <c r="AJ802" s="380"/>
      <c r="AK802" s="403"/>
      <c r="AL802" s="380"/>
      <c r="AM802" s="380"/>
      <c r="AN802" s="380"/>
      <c r="AO802" s="380"/>
      <c r="AP802" s="380"/>
      <c r="AQ802" s="404"/>
      <c r="AR802" s="380"/>
      <c r="AS802" s="380"/>
      <c r="AT802" s="380"/>
      <c r="AU802" s="380"/>
      <c r="AV802" s="380"/>
      <c r="AW802" s="380"/>
      <c r="AX802" s="380"/>
      <c r="AY802" s="403"/>
      <c r="AZ802" s="380"/>
      <c r="BA802" s="380"/>
      <c r="BB802" s="380"/>
      <c r="BC802" s="380"/>
      <c r="BD802" s="380"/>
      <c r="BE802" s="404"/>
      <c r="BF802" s="380"/>
      <c r="BG802" s="380"/>
      <c r="BH802" s="380"/>
      <c r="BI802" s="380"/>
      <c r="BJ802" s="380"/>
      <c r="BK802" s="380"/>
      <c r="BL802" s="380"/>
      <c r="BM802" s="403"/>
      <c r="BS802" s="83"/>
      <c r="CA802" s="405"/>
      <c r="CG802" s="83"/>
      <c r="CO802" s="405"/>
      <c r="CU802" s="83"/>
      <c r="DC802" s="405"/>
      <c r="DI802" s="83"/>
      <c r="DQ802" s="405"/>
      <c r="DW802" s="83"/>
      <c r="EE802" s="405"/>
      <c r="EK802" s="83"/>
      <c r="ES802" s="405"/>
      <c r="EY802" s="83"/>
      <c r="FG802" s="405"/>
      <c r="FM802" s="83"/>
      <c r="FU802" s="405"/>
      <c r="GA802" s="83"/>
      <c r="GI802" s="405"/>
      <c r="GO802" s="83"/>
      <c r="GW802" s="405"/>
      <c r="HC802" s="83"/>
      <c r="HK802" s="405"/>
      <c r="HQ802" s="83"/>
      <c r="HY802" s="405"/>
      <c r="IE802" s="83"/>
      <c r="IM802" s="405"/>
      <c r="IS802" s="83"/>
      <c r="JA802" s="405"/>
      <c r="JG802" s="83"/>
      <c r="JO802" s="405"/>
      <c r="JU802" s="83"/>
      <c r="KC802" s="405"/>
      <c r="KI802" s="83"/>
      <c r="KQ802" s="405"/>
      <c r="KW802" s="83"/>
      <c r="LE802" s="405"/>
      <c r="LK802" s="83"/>
      <c r="LS802" s="405"/>
      <c r="LY802" s="83"/>
      <c r="MG802" s="405"/>
      <c r="MM802" s="83"/>
      <c r="MU802" s="405"/>
      <c r="NA802" s="83"/>
    </row>
    <row r="803">
      <c r="A803" s="483"/>
      <c r="B803" s="380"/>
      <c r="C803" s="380"/>
      <c r="D803" s="380"/>
      <c r="E803" s="380"/>
      <c r="F803" s="380"/>
      <c r="G803" s="380"/>
      <c r="H803" s="380"/>
      <c r="I803" s="403"/>
      <c r="J803" s="380"/>
      <c r="K803" s="380"/>
      <c r="L803" s="380"/>
      <c r="M803" s="380"/>
      <c r="N803" s="380"/>
      <c r="O803" s="404"/>
      <c r="P803" s="380"/>
      <c r="Q803" s="380"/>
      <c r="R803" s="380"/>
      <c r="S803" s="380"/>
      <c r="T803" s="380"/>
      <c r="U803" s="380"/>
      <c r="V803" s="380"/>
      <c r="W803" s="403"/>
      <c r="X803" s="380"/>
      <c r="Y803" s="380"/>
      <c r="Z803" s="380"/>
      <c r="AA803" s="380"/>
      <c r="AB803" s="380"/>
      <c r="AC803" s="404"/>
      <c r="AD803" s="380"/>
      <c r="AE803" s="380"/>
      <c r="AF803" s="380"/>
      <c r="AG803" s="380"/>
      <c r="AH803" s="380"/>
      <c r="AI803" s="380"/>
      <c r="AJ803" s="380"/>
      <c r="AK803" s="403"/>
      <c r="AL803" s="380"/>
      <c r="AM803" s="380"/>
      <c r="AN803" s="380"/>
      <c r="AO803" s="380"/>
      <c r="AP803" s="380"/>
      <c r="AQ803" s="404"/>
      <c r="AR803" s="380"/>
      <c r="AS803" s="380"/>
      <c r="AT803" s="380"/>
      <c r="AU803" s="380"/>
      <c r="AV803" s="380"/>
      <c r="AW803" s="380"/>
      <c r="AX803" s="380"/>
      <c r="AY803" s="403"/>
      <c r="AZ803" s="380"/>
      <c r="BA803" s="380"/>
      <c r="BB803" s="380"/>
      <c r="BC803" s="380"/>
      <c r="BD803" s="380"/>
      <c r="BE803" s="404"/>
      <c r="BF803" s="380"/>
      <c r="BG803" s="380"/>
      <c r="BH803" s="380"/>
      <c r="BI803" s="380"/>
      <c r="BJ803" s="380"/>
      <c r="BK803" s="380"/>
      <c r="BL803" s="380"/>
      <c r="BM803" s="403"/>
      <c r="BS803" s="83"/>
      <c r="CA803" s="405"/>
      <c r="CG803" s="83"/>
      <c r="CO803" s="405"/>
      <c r="CU803" s="83"/>
      <c r="DC803" s="405"/>
      <c r="DI803" s="83"/>
      <c r="DQ803" s="405"/>
      <c r="DW803" s="83"/>
      <c r="EE803" s="405"/>
      <c r="EK803" s="83"/>
      <c r="ES803" s="405"/>
      <c r="EY803" s="83"/>
      <c r="FG803" s="405"/>
      <c r="FM803" s="83"/>
      <c r="FU803" s="405"/>
      <c r="GA803" s="83"/>
      <c r="GI803" s="405"/>
      <c r="GO803" s="83"/>
      <c r="GW803" s="405"/>
      <c r="HC803" s="83"/>
      <c r="HK803" s="405"/>
      <c r="HQ803" s="83"/>
      <c r="HY803" s="405"/>
      <c r="IE803" s="83"/>
      <c r="IM803" s="405"/>
      <c r="IS803" s="83"/>
      <c r="JA803" s="405"/>
      <c r="JG803" s="83"/>
      <c r="JO803" s="405"/>
      <c r="JU803" s="83"/>
      <c r="KC803" s="405"/>
      <c r="KI803" s="83"/>
      <c r="KQ803" s="405"/>
      <c r="KW803" s="83"/>
      <c r="LE803" s="405"/>
      <c r="LK803" s="83"/>
      <c r="LS803" s="405"/>
      <c r="LY803" s="83"/>
      <c r="MG803" s="405"/>
      <c r="MM803" s="83"/>
      <c r="MU803" s="405"/>
      <c r="NA803" s="83"/>
    </row>
    <row r="804">
      <c r="A804" s="483"/>
      <c r="B804" s="380"/>
      <c r="C804" s="380"/>
      <c r="D804" s="380"/>
      <c r="E804" s="380"/>
      <c r="F804" s="380"/>
      <c r="G804" s="380"/>
      <c r="H804" s="380"/>
      <c r="I804" s="403"/>
      <c r="J804" s="380"/>
      <c r="K804" s="380"/>
      <c r="L804" s="380"/>
      <c r="M804" s="380"/>
      <c r="N804" s="380"/>
      <c r="O804" s="404"/>
      <c r="P804" s="380"/>
      <c r="Q804" s="380"/>
      <c r="R804" s="380"/>
      <c r="S804" s="380"/>
      <c r="T804" s="380"/>
      <c r="U804" s="380"/>
      <c r="V804" s="380"/>
      <c r="W804" s="403"/>
      <c r="X804" s="380"/>
      <c r="Y804" s="380"/>
      <c r="Z804" s="380"/>
      <c r="AA804" s="380"/>
      <c r="AB804" s="380"/>
      <c r="AC804" s="404"/>
      <c r="AD804" s="380"/>
      <c r="AE804" s="380"/>
      <c r="AF804" s="380"/>
      <c r="AG804" s="380"/>
      <c r="AH804" s="380"/>
      <c r="AI804" s="380"/>
      <c r="AJ804" s="380"/>
      <c r="AK804" s="403"/>
      <c r="AL804" s="380"/>
      <c r="AM804" s="380"/>
      <c r="AN804" s="380"/>
      <c r="AO804" s="380"/>
      <c r="AP804" s="380"/>
      <c r="AQ804" s="404"/>
      <c r="AR804" s="380"/>
      <c r="AS804" s="380"/>
      <c r="AT804" s="380"/>
      <c r="AU804" s="380"/>
      <c r="AV804" s="380"/>
      <c r="AW804" s="380"/>
      <c r="AX804" s="380"/>
      <c r="AY804" s="403"/>
      <c r="AZ804" s="380"/>
      <c r="BA804" s="380"/>
      <c r="BB804" s="380"/>
      <c r="BC804" s="380"/>
      <c r="BD804" s="380"/>
      <c r="BE804" s="404"/>
      <c r="BF804" s="380"/>
      <c r="BG804" s="380"/>
      <c r="BH804" s="380"/>
      <c r="BI804" s="380"/>
      <c r="BJ804" s="380"/>
      <c r="BK804" s="380"/>
      <c r="BL804" s="380"/>
      <c r="BM804" s="403"/>
      <c r="BS804" s="83"/>
      <c r="CA804" s="405"/>
      <c r="CG804" s="83"/>
      <c r="CO804" s="405"/>
      <c r="CU804" s="83"/>
      <c r="DC804" s="405"/>
      <c r="DI804" s="83"/>
      <c r="DQ804" s="405"/>
      <c r="DW804" s="83"/>
      <c r="EE804" s="405"/>
      <c r="EK804" s="83"/>
      <c r="ES804" s="405"/>
      <c r="EY804" s="83"/>
      <c r="FG804" s="405"/>
      <c r="FM804" s="83"/>
      <c r="FU804" s="405"/>
      <c r="GA804" s="83"/>
      <c r="GI804" s="405"/>
      <c r="GO804" s="83"/>
      <c r="GW804" s="405"/>
      <c r="HC804" s="83"/>
      <c r="HK804" s="405"/>
      <c r="HQ804" s="83"/>
      <c r="HY804" s="405"/>
      <c r="IE804" s="83"/>
      <c r="IM804" s="405"/>
      <c r="IS804" s="83"/>
      <c r="JA804" s="405"/>
      <c r="JG804" s="83"/>
      <c r="JO804" s="405"/>
      <c r="JU804" s="83"/>
      <c r="KC804" s="405"/>
      <c r="KI804" s="83"/>
      <c r="KQ804" s="405"/>
      <c r="KW804" s="83"/>
      <c r="LE804" s="405"/>
      <c r="LK804" s="83"/>
      <c r="LS804" s="405"/>
      <c r="LY804" s="83"/>
      <c r="MG804" s="405"/>
      <c r="MM804" s="83"/>
      <c r="MU804" s="405"/>
      <c r="NA804" s="83"/>
    </row>
    <row r="805">
      <c r="A805" s="483"/>
      <c r="B805" s="380"/>
      <c r="C805" s="380"/>
      <c r="D805" s="380"/>
      <c r="E805" s="380"/>
      <c r="F805" s="380"/>
      <c r="G805" s="380"/>
      <c r="H805" s="380"/>
      <c r="I805" s="403"/>
      <c r="J805" s="380"/>
      <c r="K805" s="380"/>
      <c r="L805" s="380"/>
      <c r="M805" s="380"/>
      <c r="N805" s="380"/>
      <c r="O805" s="404"/>
      <c r="P805" s="380"/>
      <c r="Q805" s="380"/>
      <c r="R805" s="380"/>
      <c r="S805" s="380"/>
      <c r="T805" s="380"/>
      <c r="U805" s="380"/>
      <c r="V805" s="380"/>
      <c r="W805" s="403"/>
      <c r="X805" s="380"/>
      <c r="Y805" s="380"/>
      <c r="Z805" s="380"/>
      <c r="AA805" s="380"/>
      <c r="AB805" s="380"/>
      <c r="AC805" s="404"/>
      <c r="AD805" s="380"/>
      <c r="AE805" s="380"/>
      <c r="AF805" s="380"/>
      <c r="AG805" s="380"/>
      <c r="AH805" s="380"/>
      <c r="AI805" s="380"/>
      <c r="AJ805" s="380"/>
      <c r="AK805" s="403"/>
      <c r="AL805" s="380"/>
      <c r="AM805" s="380"/>
      <c r="AN805" s="380"/>
      <c r="AO805" s="380"/>
      <c r="AP805" s="380"/>
      <c r="AQ805" s="404"/>
      <c r="AR805" s="380"/>
      <c r="AS805" s="380"/>
      <c r="AT805" s="380"/>
      <c r="AU805" s="380"/>
      <c r="AV805" s="380"/>
      <c r="AW805" s="380"/>
      <c r="AX805" s="380"/>
      <c r="AY805" s="403"/>
      <c r="AZ805" s="380"/>
      <c r="BA805" s="380"/>
      <c r="BB805" s="380"/>
      <c r="BC805" s="380"/>
      <c r="BD805" s="380"/>
      <c r="BE805" s="404"/>
      <c r="BF805" s="380"/>
      <c r="BG805" s="380"/>
      <c r="BH805" s="380"/>
      <c r="BI805" s="380"/>
      <c r="BJ805" s="380"/>
      <c r="BK805" s="380"/>
      <c r="BL805" s="380"/>
      <c r="BM805" s="403"/>
      <c r="BS805" s="83"/>
      <c r="CA805" s="405"/>
      <c r="CG805" s="83"/>
      <c r="CO805" s="405"/>
      <c r="CU805" s="83"/>
      <c r="DC805" s="405"/>
      <c r="DI805" s="83"/>
      <c r="DQ805" s="405"/>
      <c r="DW805" s="83"/>
      <c r="EE805" s="405"/>
      <c r="EK805" s="83"/>
      <c r="ES805" s="405"/>
      <c r="EY805" s="83"/>
      <c r="FG805" s="405"/>
      <c r="FM805" s="83"/>
      <c r="FU805" s="405"/>
      <c r="GA805" s="83"/>
      <c r="GI805" s="405"/>
      <c r="GO805" s="83"/>
      <c r="GW805" s="405"/>
      <c r="HC805" s="83"/>
      <c r="HK805" s="405"/>
      <c r="HQ805" s="83"/>
      <c r="HY805" s="405"/>
      <c r="IE805" s="83"/>
      <c r="IM805" s="405"/>
      <c r="IS805" s="83"/>
      <c r="JA805" s="405"/>
      <c r="JG805" s="83"/>
      <c r="JO805" s="405"/>
      <c r="JU805" s="83"/>
      <c r="KC805" s="405"/>
      <c r="KI805" s="83"/>
      <c r="KQ805" s="405"/>
      <c r="KW805" s="83"/>
      <c r="LE805" s="405"/>
      <c r="LK805" s="83"/>
      <c r="LS805" s="405"/>
      <c r="LY805" s="83"/>
      <c r="MG805" s="405"/>
      <c r="MM805" s="83"/>
      <c r="MU805" s="405"/>
      <c r="NA805" s="83"/>
    </row>
    <row r="806">
      <c r="A806" s="483"/>
      <c r="B806" s="380"/>
      <c r="C806" s="380"/>
      <c r="D806" s="380"/>
      <c r="E806" s="380"/>
      <c r="F806" s="380"/>
      <c r="G806" s="380"/>
      <c r="H806" s="380"/>
      <c r="I806" s="403"/>
      <c r="J806" s="380"/>
      <c r="K806" s="380"/>
      <c r="L806" s="380"/>
      <c r="M806" s="380"/>
      <c r="N806" s="380"/>
      <c r="O806" s="404"/>
      <c r="P806" s="380"/>
      <c r="Q806" s="380"/>
      <c r="R806" s="380"/>
      <c r="S806" s="380"/>
      <c r="T806" s="380"/>
      <c r="U806" s="380"/>
      <c r="V806" s="380"/>
      <c r="W806" s="403"/>
      <c r="X806" s="380"/>
      <c r="Y806" s="380"/>
      <c r="Z806" s="380"/>
      <c r="AA806" s="380"/>
      <c r="AB806" s="380"/>
      <c r="AC806" s="404"/>
      <c r="AD806" s="380"/>
      <c r="AE806" s="380"/>
      <c r="AF806" s="380"/>
      <c r="AG806" s="380"/>
      <c r="AH806" s="380"/>
      <c r="AI806" s="380"/>
      <c r="AJ806" s="380"/>
      <c r="AK806" s="403"/>
      <c r="AL806" s="380"/>
      <c r="AM806" s="380"/>
      <c r="AN806" s="380"/>
      <c r="AO806" s="380"/>
      <c r="AP806" s="380"/>
      <c r="AQ806" s="404"/>
      <c r="AR806" s="380"/>
      <c r="AS806" s="380"/>
      <c r="AT806" s="380"/>
      <c r="AU806" s="380"/>
      <c r="AV806" s="380"/>
      <c r="AW806" s="380"/>
      <c r="AX806" s="380"/>
      <c r="AY806" s="403"/>
      <c r="AZ806" s="380"/>
      <c r="BA806" s="380"/>
      <c r="BB806" s="380"/>
      <c r="BC806" s="380"/>
      <c r="BD806" s="380"/>
      <c r="BE806" s="404"/>
      <c r="BF806" s="380"/>
      <c r="BG806" s="380"/>
      <c r="BH806" s="380"/>
      <c r="BI806" s="380"/>
      <c r="BJ806" s="380"/>
      <c r="BK806" s="380"/>
      <c r="BL806" s="380"/>
      <c r="BM806" s="403"/>
      <c r="BS806" s="83"/>
      <c r="CA806" s="405"/>
      <c r="CG806" s="83"/>
      <c r="CO806" s="405"/>
      <c r="CU806" s="83"/>
      <c r="DC806" s="405"/>
      <c r="DI806" s="83"/>
      <c r="DQ806" s="405"/>
      <c r="DW806" s="83"/>
      <c r="EE806" s="405"/>
      <c r="EK806" s="83"/>
      <c r="ES806" s="405"/>
      <c r="EY806" s="83"/>
      <c r="FG806" s="405"/>
      <c r="FM806" s="83"/>
      <c r="FU806" s="405"/>
      <c r="GA806" s="83"/>
      <c r="GI806" s="405"/>
      <c r="GO806" s="83"/>
      <c r="GW806" s="405"/>
      <c r="HC806" s="83"/>
      <c r="HK806" s="405"/>
      <c r="HQ806" s="83"/>
      <c r="HY806" s="405"/>
      <c r="IE806" s="83"/>
      <c r="IM806" s="405"/>
      <c r="IS806" s="83"/>
      <c r="JA806" s="405"/>
      <c r="JG806" s="83"/>
      <c r="JO806" s="405"/>
      <c r="JU806" s="83"/>
      <c r="KC806" s="405"/>
      <c r="KI806" s="83"/>
      <c r="KQ806" s="405"/>
      <c r="KW806" s="83"/>
      <c r="LE806" s="405"/>
      <c r="LK806" s="83"/>
      <c r="LS806" s="405"/>
      <c r="LY806" s="83"/>
      <c r="MG806" s="405"/>
      <c r="MM806" s="83"/>
      <c r="MU806" s="405"/>
      <c r="NA806" s="83"/>
    </row>
    <row r="807">
      <c r="A807" s="483"/>
      <c r="B807" s="380"/>
      <c r="C807" s="380"/>
      <c r="D807" s="380"/>
      <c r="E807" s="380"/>
      <c r="F807" s="380"/>
      <c r="G807" s="380"/>
      <c r="H807" s="380"/>
      <c r="I807" s="403"/>
      <c r="J807" s="380"/>
      <c r="K807" s="380"/>
      <c r="L807" s="380"/>
      <c r="M807" s="380"/>
      <c r="N807" s="380"/>
      <c r="O807" s="404"/>
      <c r="P807" s="380"/>
      <c r="Q807" s="380"/>
      <c r="R807" s="380"/>
      <c r="S807" s="380"/>
      <c r="T807" s="380"/>
      <c r="U807" s="380"/>
      <c r="V807" s="380"/>
      <c r="W807" s="403"/>
      <c r="X807" s="380"/>
      <c r="Y807" s="380"/>
      <c r="Z807" s="380"/>
      <c r="AA807" s="380"/>
      <c r="AB807" s="380"/>
      <c r="AC807" s="404"/>
      <c r="AD807" s="380"/>
      <c r="AE807" s="380"/>
      <c r="AF807" s="380"/>
      <c r="AG807" s="380"/>
      <c r="AH807" s="380"/>
      <c r="AI807" s="380"/>
      <c r="AJ807" s="380"/>
      <c r="AK807" s="403"/>
      <c r="AL807" s="380"/>
      <c r="AM807" s="380"/>
      <c r="AN807" s="380"/>
      <c r="AO807" s="380"/>
      <c r="AP807" s="380"/>
      <c r="AQ807" s="404"/>
      <c r="AR807" s="380"/>
      <c r="AS807" s="380"/>
      <c r="AT807" s="380"/>
      <c r="AU807" s="380"/>
      <c r="AV807" s="380"/>
      <c r="AW807" s="380"/>
      <c r="AX807" s="380"/>
      <c r="AY807" s="403"/>
      <c r="AZ807" s="380"/>
      <c r="BA807" s="380"/>
      <c r="BB807" s="380"/>
      <c r="BC807" s="380"/>
      <c r="BD807" s="380"/>
      <c r="BE807" s="404"/>
      <c r="BF807" s="380"/>
      <c r="BG807" s="380"/>
      <c r="BH807" s="380"/>
      <c r="BI807" s="380"/>
      <c r="BJ807" s="380"/>
      <c r="BK807" s="380"/>
      <c r="BL807" s="380"/>
      <c r="BM807" s="403"/>
      <c r="BS807" s="83"/>
      <c r="CA807" s="405"/>
      <c r="CG807" s="83"/>
      <c r="CO807" s="405"/>
      <c r="CU807" s="83"/>
      <c r="DC807" s="405"/>
      <c r="DI807" s="83"/>
      <c r="DQ807" s="405"/>
      <c r="DW807" s="83"/>
      <c r="EE807" s="405"/>
      <c r="EK807" s="83"/>
      <c r="ES807" s="405"/>
      <c r="EY807" s="83"/>
      <c r="FG807" s="405"/>
      <c r="FM807" s="83"/>
      <c r="FU807" s="405"/>
      <c r="GA807" s="83"/>
      <c r="GI807" s="405"/>
      <c r="GO807" s="83"/>
      <c r="GW807" s="405"/>
      <c r="HC807" s="83"/>
      <c r="HK807" s="405"/>
      <c r="HQ807" s="83"/>
      <c r="HY807" s="405"/>
      <c r="IE807" s="83"/>
      <c r="IM807" s="405"/>
      <c r="IS807" s="83"/>
      <c r="JA807" s="405"/>
      <c r="JG807" s="83"/>
      <c r="JO807" s="405"/>
      <c r="JU807" s="83"/>
      <c r="KC807" s="405"/>
      <c r="KI807" s="83"/>
      <c r="KQ807" s="405"/>
      <c r="KW807" s="83"/>
      <c r="LE807" s="405"/>
      <c r="LK807" s="83"/>
      <c r="LS807" s="405"/>
      <c r="LY807" s="83"/>
      <c r="MG807" s="405"/>
      <c r="MM807" s="83"/>
      <c r="MU807" s="405"/>
      <c r="NA807" s="83"/>
    </row>
    <row r="808">
      <c r="A808" s="483"/>
      <c r="B808" s="380"/>
      <c r="C808" s="380"/>
      <c r="D808" s="380"/>
      <c r="E808" s="380"/>
      <c r="F808" s="380"/>
      <c r="G808" s="380"/>
      <c r="H808" s="380"/>
      <c r="I808" s="403"/>
      <c r="J808" s="380"/>
      <c r="K808" s="380"/>
      <c r="L808" s="380"/>
      <c r="M808" s="380"/>
      <c r="N808" s="380"/>
      <c r="O808" s="404"/>
      <c r="P808" s="380"/>
      <c r="Q808" s="380"/>
      <c r="R808" s="380"/>
      <c r="S808" s="380"/>
      <c r="T808" s="380"/>
      <c r="U808" s="380"/>
      <c r="V808" s="380"/>
      <c r="W808" s="403"/>
      <c r="X808" s="380"/>
      <c r="Y808" s="380"/>
      <c r="Z808" s="380"/>
      <c r="AA808" s="380"/>
      <c r="AB808" s="380"/>
      <c r="AC808" s="404"/>
      <c r="AD808" s="380"/>
      <c r="AE808" s="380"/>
      <c r="AF808" s="380"/>
      <c r="AG808" s="380"/>
      <c r="AH808" s="380"/>
      <c r="AI808" s="380"/>
      <c r="AJ808" s="380"/>
      <c r="AK808" s="403"/>
      <c r="AL808" s="380"/>
      <c r="AM808" s="380"/>
      <c r="AN808" s="380"/>
      <c r="AO808" s="380"/>
      <c r="AP808" s="380"/>
      <c r="AQ808" s="404"/>
      <c r="AR808" s="380"/>
      <c r="AS808" s="380"/>
      <c r="AT808" s="380"/>
      <c r="AU808" s="380"/>
      <c r="AV808" s="380"/>
      <c r="AW808" s="380"/>
      <c r="AX808" s="380"/>
      <c r="AY808" s="403"/>
      <c r="AZ808" s="380"/>
      <c r="BA808" s="380"/>
      <c r="BB808" s="380"/>
      <c r="BC808" s="380"/>
      <c r="BD808" s="380"/>
      <c r="BE808" s="404"/>
      <c r="BF808" s="380"/>
      <c r="BG808" s="380"/>
      <c r="BH808" s="380"/>
      <c r="BI808" s="380"/>
      <c r="BJ808" s="380"/>
      <c r="BK808" s="380"/>
      <c r="BL808" s="380"/>
      <c r="BM808" s="403"/>
      <c r="BS808" s="83"/>
      <c r="CA808" s="405"/>
      <c r="CG808" s="83"/>
      <c r="CO808" s="405"/>
      <c r="CU808" s="83"/>
      <c r="DC808" s="405"/>
      <c r="DI808" s="83"/>
      <c r="DQ808" s="405"/>
      <c r="DW808" s="83"/>
      <c r="EE808" s="405"/>
      <c r="EK808" s="83"/>
      <c r="ES808" s="405"/>
      <c r="EY808" s="83"/>
      <c r="FG808" s="405"/>
      <c r="FM808" s="83"/>
      <c r="FU808" s="405"/>
      <c r="GA808" s="83"/>
      <c r="GI808" s="405"/>
      <c r="GO808" s="83"/>
      <c r="GW808" s="405"/>
      <c r="HC808" s="83"/>
      <c r="HK808" s="405"/>
      <c r="HQ808" s="83"/>
      <c r="HY808" s="405"/>
      <c r="IE808" s="83"/>
      <c r="IM808" s="405"/>
      <c r="IS808" s="83"/>
      <c r="JA808" s="405"/>
      <c r="JG808" s="83"/>
      <c r="JO808" s="405"/>
      <c r="JU808" s="83"/>
      <c r="KC808" s="405"/>
      <c r="KI808" s="83"/>
      <c r="KQ808" s="405"/>
      <c r="KW808" s="83"/>
      <c r="LE808" s="405"/>
      <c r="LK808" s="83"/>
      <c r="LS808" s="405"/>
      <c r="LY808" s="83"/>
      <c r="MG808" s="405"/>
      <c r="MM808" s="83"/>
      <c r="MU808" s="405"/>
      <c r="NA808" s="83"/>
    </row>
    <row r="809">
      <c r="A809" s="483"/>
      <c r="B809" s="380"/>
      <c r="C809" s="380"/>
      <c r="D809" s="380"/>
      <c r="E809" s="380"/>
      <c r="F809" s="380"/>
      <c r="G809" s="380"/>
      <c r="H809" s="380"/>
      <c r="I809" s="403"/>
      <c r="J809" s="380"/>
      <c r="K809" s="380"/>
      <c r="L809" s="380"/>
      <c r="M809" s="380"/>
      <c r="N809" s="380"/>
      <c r="O809" s="404"/>
      <c r="P809" s="380"/>
      <c r="Q809" s="380"/>
      <c r="R809" s="380"/>
      <c r="S809" s="380"/>
      <c r="T809" s="380"/>
      <c r="U809" s="380"/>
      <c r="V809" s="380"/>
      <c r="W809" s="403"/>
      <c r="X809" s="380"/>
      <c r="Y809" s="380"/>
      <c r="Z809" s="380"/>
      <c r="AA809" s="380"/>
      <c r="AB809" s="380"/>
      <c r="AC809" s="404"/>
      <c r="AD809" s="380"/>
      <c r="AE809" s="380"/>
      <c r="AF809" s="380"/>
      <c r="AG809" s="380"/>
      <c r="AH809" s="380"/>
      <c r="AI809" s="380"/>
      <c r="AJ809" s="380"/>
      <c r="AK809" s="403"/>
      <c r="AL809" s="380"/>
      <c r="AM809" s="380"/>
      <c r="AN809" s="380"/>
      <c r="AO809" s="380"/>
      <c r="AP809" s="380"/>
      <c r="AQ809" s="404"/>
      <c r="AR809" s="380"/>
      <c r="AS809" s="380"/>
      <c r="AT809" s="380"/>
      <c r="AU809" s="380"/>
      <c r="AV809" s="380"/>
      <c r="AW809" s="380"/>
      <c r="AX809" s="380"/>
      <c r="AY809" s="403"/>
      <c r="AZ809" s="380"/>
      <c r="BA809" s="380"/>
      <c r="BB809" s="380"/>
      <c r="BC809" s="380"/>
      <c r="BD809" s="380"/>
      <c r="BE809" s="404"/>
      <c r="BF809" s="380"/>
      <c r="BG809" s="380"/>
      <c r="BH809" s="380"/>
      <c r="BI809" s="380"/>
      <c r="BJ809" s="380"/>
      <c r="BK809" s="380"/>
      <c r="BL809" s="380"/>
      <c r="BM809" s="403"/>
      <c r="BS809" s="83"/>
      <c r="CA809" s="405"/>
      <c r="CG809" s="83"/>
      <c r="CO809" s="405"/>
      <c r="CU809" s="83"/>
      <c r="DC809" s="405"/>
      <c r="DI809" s="83"/>
      <c r="DQ809" s="405"/>
      <c r="DW809" s="83"/>
      <c r="EE809" s="405"/>
      <c r="EK809" s="83"/>
      <c r="ES809" s="405"/>
      <c r="EY809" s="83"/>
      <c r="FG809" s="405"/>
      <c r="FM809" s="83"/>
      <c r="FU809" s="405"/>
      <c r="GA809" s="83"/>
      <c r="GI809" s="405"/>
      <c r="GO809" s="83"/>
      <c r="GW809" s="405"/>
      <c r="HC809" s="83"/>
      <c r="HK809" s="405"/>
      <c r="HQ809" s="83"/>
      <c r="HY809" s="405"/>
      <c r="IE809" s="83"/>
      <c r="IM809" s="405"/>
      <c r="IS809" s="83"/>
      <c r="JA809" s="405"/>
      <c r="JG809" s="83"/>
      <c r="JO809" s="405"/>
      <c r="JU809" s="83"/>
      <c r="KC809" s="405"/>
      <c r="KI809" s="83"/>
      <c r="KQ809" s="405"/>
      <c r="KW809" s="83"/>
      <c r="LE809" s="405"/>
      <c r="LK809" s="83"/>
      <c r="LS809" s="405"/>
      <c r="LY809" s="83"/>
      <c r="MG809" s="405"/>
      <c r="MM809" s="83"/>
      <c r="MU809" s="405"/>
      <c r="NA809" s="83"/>
    </row>
    <row r="810">
      <c r="A810" s="483"/>
      <c r="B810" s="380"/>
      <c r="C810" s="380"/>
      <c r="D810" s="380"/>
      <c r="E810" s="380"/>
      <c r="F810" s="380"/>
      <c r="G810" s="380"/>
      <c r="H810" s="380"/>
      <c r="I810" s="403"/>
      <c r="J810" s="380"/>
      <c r="K810" s="380"/>
      <c r="L810" s="380"/>
      <c r="M810" s="380"/>
      <c r="N810" s="380"/>
      <c r="O810" s="404"/>
      <c r="P810" s="380"/>
      <c r="Q810" s="380"/>
      <c r="R810" s="380"/>
      <c r="S810" s="380"/>
      <c r="T810" s="380"/>
      <c r="U810" s="380"/>
      <c r="V810" s="380"/>
      <c r="W810" s="403"/>
      <c r="X810" s="380"/>
      <c r="Y810" s="380"/>
      <c r="Z810" s="380"/>
      <c r="AA810" s="380"/>
      <c r="AB810" s="380"/>
      <c r="AC810" s="404"/>
      <c r="AD810" s="380"/>
      <c r="AE810" s="380"/>
      <c r="AF810" s="380"/>
      <c r="AG810" s="380"/>
      <c r="AH810" s="380"/>
      <c r="AI810" s="380"/>
      <c r="AJ810" s="380"/>
      <c r="AK810" s="403"/>
      <c r="AL810" s="380"/>
      <c r="AM810" s="380"/>
      <c r="AN810" s="380"/>
      <c r="AO810" s="380"/>
      <c r="AP810" s="380"/>
      <c r="AQ810" s="404"/>
      <c r="AR810" s="380"/>
      <c r="AS810" s="380"/>
      <c r="AT810" s="380"/>
      <c r="AU810" s="380"/>
      <c r="AV810" s="380"/>
      <c r="AW810" s="380"/>
      <c r="AX810" s="380"/>
      <c r="AY810" s="403"/>
      <c r="AZ810" s="380"/>
      <c r="BA810" s="380"/>
      <c r="BB810" s="380"/>
      <c r="BC810" s="380"/>
      <c r="BD810" s="380"/>
      <c r="BE810" s="404"/>
      <c r="BF810" s="380"/>
      <c r="BG810" s="380"/>
      <c r="BH810" s="380"/>
      <c r="BI810" s="380"/>
      <c r="BJ810" s="380"/>
      <c r="BK810" s="380"/>
      <c r="BL810" s="380"/>
      <c r="BM810" s="403"/>
      <c r="BS810" s="83"/>
      <c r="CA810" s="405"/>
      <c r="CG810" s="83"/>
      <c r="CO810" s="405"/>
      <c r="CU810" s="83"/>
      <c r="DC810" s="405"/>
      <c r="DI810" s="83"/>
      <c r="DQ810" s="405"/>
      <c r="DW810" s="83"/>
      <c r="EE810" s="405"/>
      <c r="EK810" s="83"/>
      <c r="ES810" s="405"/>
      <c r="EY810" s="83"/>
      <c r="FG810" s="405"/>
      <c r="FM810" s="83"/>
      <c r="FU810" s="405"/>
      <c r="GA810" s="83"/>
      <c r="GI810" s="405"/>
      <c r="GO810" s="83"/>
      <c r="GW810" s="405"/>
      <c r="HC810" s="83"/>
      <c r="HK810" s="405"/>
      <c r="HQ810" s="83"/>
      <c r="HY810" s="405"/>
      <c r="IE810" s="83"/>
      <c r="IM810" s="405"/>
      <c r="IS810" s="83"/>
      <c r="JA810" s="405"/>
      <c r="JG810" s="83"/>
      <c r="JO810" s="405"/>
      <c r="JU810" s="83"/>
      <c r="KC810" s="405"/>
      <c r="KI810" s="83"/>
      <c r="KQ810" s="405"/>
      <c r="KW810" s="83"/>
      <c r="LE810" s="405"/>
      <c r="LK810" s="83"/>
      <c r="LS810" s="405"/>
      <c r="LY810" s="83"/>
      <c r="MG810" s="405"/>
      <c r="MM810" s="83"/>
      <c r="MU810" s="405"/>
      <c r="NA810" s="83"/>
    </row>
    <row r="811">
      <c r="A811" s="483"/>
      <c r="B811" s="380"/>
      <c r="C811" s="380"/>
      <c r="D811" s="380"/>
      <c r="E811" s="380"/>
      <c r="F811" s="380"/>
      <c r="G811" s="380"/>
      <c r="H811" s="380"/>
      <c r="I811" s="403"/>
      <c r="J811" s="380"/>
      <c r="K811" s="380"/>
      <c r="L811" s="380"/>
      <c r="M811" s="380"/>
      <c r="N811" s="380"/>
      <c r="O811" s="404"/>
      <c r="P811" s="380"/>
      <c r="Q811" s="380"/>
      <c r="R811" s="380"/>
      <c r="S811" s="380"/>
      <c r="T811" s="380"/>
      <c r="U811" s="380"/>
      <c r="V811" s="380"/>
      <c r="W811" s="403"/>
      <c r="X811" s="380"/>
      <c r="Y811" s="380"/>
      <c r="Z811" s="380"/>
      <c r="AA811" s="380"/>
      <c r="AB811" s="380"/>
      <c r="AC811" s="404"/>
      <c r="AD811" s="380"/>
      <c r="AE811" s="380"/>
      <c r="AF811" s="380"/>
      <c r="AG811" s="380"/>
      <c r="AH811" s="380"/>
      <c r="AI811" s="380"/>
      <c r="AJ811" s="380"/>
      <c r="AK811" s="403"/>
      <c r="AL811" s="380"/>
      <c r="AM811" s="380"/>
      <c r="AN811" s="380"/>
      <c r="AO811" s="380"/>
      <c r="AP811" s="380"/>
      <c r="AQ811" s="404"/>
      <c r="AR811" s="380"/>
      <c r="AS811" s="380"/>
      <c r="AT811" s="380"/>
      <c r="AU811" s="380"/>
      <c r="AV811" s="380"/>
      <c r="AW811" s="380"/>
      <c r="AX811" s="380"/>
      <c r="AY811" s="403"/>
      <c r="AZ811" s="380"/>
      <c r="BA811" s="380"/>
      <c r="BB811" s="380"/>
      <c r="BC811" s="380"/>
      <c r="BD811" s="380"/>
      <c r="BE811" s="404"/>
      <c r="BF811" s="380"/>
      <c r="BG811" s="380"/>
      <c r="BH811" s="380"/>
      <c r="BI811" s="380"/>
      <c r="BJ811" s="380"/>
      <c r="BK811" s="380"/>
      <c r="BL811" s="380"/>
      <c r="BM811" s="403"/>
      <c r="BS811" s="83"/>
      <c r="CA811" s="405"/>
      <c r="CG811" s="83"/>
      <c r="CO811" s="405"/>
      <c r="CU811" s="83"/>
      <c r="DC811" s="405"/>
      <c r="DI811" s="83"/>
      <c r="DQ811" s="405"/>
      <c r="DW811" s="83"/>
      <c r="EE811" s="405"/>
      <c r="EK811" s="83"/>
      <c r="ES811" s="405"/>
      <c r="EY811" s="83"/>
      <c r="FG811" s="405"/>
      <c r="FM811" s="83"/>
      <c r="FU811" s="405"/>
      <c r="GA811" s="83"/>
      <c r="GI811" s="405"/>
      <c r="GO811" s="83"/>
      <c r="GW811" s="405"/>
      <c r="HC811" s="83"/>
      <c r="HK811" s="405"/>
      <c r="HQ811" s="83"/>
      <c r="HY811" s="405"/>
      <c r="IE811" s="83"/>
      <c r="IM811" s="405"/>
      <c r="IS811" s="83"/>
      <c r="JA811" s="405"/>
      <c r="JG811" s="83"/>
      <c r="JO811" s="405"/>
      <c r="JU811" s="83"/>
      <c r="KC811" s="405"/>
      <c r="KI811" s="83"/>
      <c r="KQ811" s="405"/>
      <c r="KW811" s="83"/>
      <c r="LE811" s="405"/>
      <c r="LK811" s="83"/>
      <c r="LS811" s="405"/>
      <c r="LY811" s="83"/>
      <c r="MG811" s="405"/>
      <c r="MM811" s="83"/>
      <c r="MU811" s="405"/>
      <c r="NA811" s="83"/>
    </row>
    <row r="812">
      <c r="A812" s="483"/>
      <c r="B812" s="380"/>
      <c r="C812" s="380"/>
      <c r="D812" s="380"/>
      <c r="E812" s="380"/>
      <c r="F812" s="380"/>
      <c r="G812" s="380"/>
      <c r="H812" s="380"/>
      <c r="I812" s="403"/>
      <c r="J812" s="380"/>
      <c r="K812" s="380"/>
      <c r="L812" s="380"/>
      <c r="M812" s="380"/>
      <c r="N812" s="380"/>
      <c r="O812" s="404"/>
      <c r="P812" s="380"/>
      <c r="Q812" s="380"/>
      <c r="R812" s="380"/>
      <c r="S812" s="380"/>
      <c r="T812" s="380"/>
      <c r="U812" s="380"/>
      <c r="V812" s="380"/>
      <c r="W812" s="403"/>
      <c r="X812" s="380"/>
      <c r="Y812" s="380"/>
      <c r="Z812" s="380"/>
      <c r="AA812" s="380"/>
      <c r="AB812" s="380"/>
      <c r="AC812" s="404"/>
      <c r="AD812" s="380"/>
      <c r="AE812" s="380"/>
      <c r="AF812" s="380"/>
      <c r="AG812" s="380"/>
      <c r="AH812" s="380"/>
      <c r="AI812" s="380"/>
      <c r="AJ812" s="380"/>
      <c r="AK812" s="403"/>
      <c r="AL812" s="380"/>
      <c r="AM812" s="380"/>
      <c r="AN812" s="380"/>
      <c r="AO812" s="380"/>
      <c r="AP812" s="380"/>
      <c r="AQ812" s="404"/>
      <c r="AR812" s="380"/>
      <c r="AS812" s="380"/>
      <c r="AT812" s="380"/>
      <c r="AU812" s="380"/>
      <c r="AV812" s="380"/>
      <c r="AW812" s="380"/>
      <c r="AX812" s="380"/>
      <c r="AY812" s="403"/>
      <c r="AZ812" s="380"/>
      <c r="BA812" s="380"/>
      <c r="BB812" s="380"/>
      <c r="BC812" s="380"/>
      <c r="BD812" s="380"/>
      <c r="BE812" s="404"/>
      <c r="BF812" s="380"/>
      <c r="BG812" s="380"/>
      <c r="BH812" s="380"/>
      <c r="BI812" s="380"/>
      <c r="BJ812" s="380"/>
      <c r="BK812" s="380"/>
      <c r="BL812" s="380"/>
      <c r="BM812" s="403"/>
      <c r="BS812" s="83"/>
      <c r="CA812" s="405"/>
      <c r="CG812" s="83"/>
      <c r="CO812" s="405"/>
      <c r="CU812" s="83"/>
      <c r="DC812" s="405"/>
      <c r="DI812" s="83"/>
      <c r="DQ812" s="405"/>
      <c r="DW812" s="83"/>
      <c r="EE812" s="405"/>
      <c r="EK812" s="83"/>
      <c r="ES812" s="405"/>
      <c r="EY812" s="83"/>
      <c r="FG812" s="405"/>
      <c r="FM812" s="83"/>
      <c r="FU812" s="405"/>
      <c r="GA812" s="83"/>
      <c r="GI812" s="405"/>
      <c r="GO812" s="83"/>
      <c r="GW812" s="405"/>
      <c r="HC812" s="83"/>
      <c r="HK812" s="405"/>
      <c r="HQ812" s="83"/>
      <c r="HY812" s="405"/>
      <c r="IE812" s="83"/>
      <c r="IM812" s="405"/>
      <c r="IS812" s="83"/>
      <c r="JA812" s="405"/>
      <c r="JG812" s="83"/>
      <c r="JO812" s="405"/>
      <c r="JU812" s="83"/>
      <c r="KC812" s="405"/>
      <c r="KI812" s="83"/>
      <c r="KQ812" s="405"/>
      <c r="KW812" s="83"/>
      <c r="LE812" s="405"/>
      <c r="LK812" s="83"/>
      <c r="LS812" s="405"/>
      <c r="LY812" s="83"/>
      <c r="MG812" s="405"/>
      <c r="MM812" s="83"/>
      <c r="MU812" s="405"/>
      <c r="NA812" s="83"/>
    </row>
    <row r="813">
      <c r="A813" s="483"/>
      <c r="B813" s="380"/>
      <c r="C813" s="380"/>
      <c r="D813" s="380"/>
      <c r="E813" s="380"/>
      <c r="F813" s="380"/>
      <c r="G813" s="380"/>
      <c r="H813" s="380"/>
      <c r="I813" s="403"/>
      <c r="J813" s="380"/>
      <c r="K813" s="380"/>
      <c r="L813" s="380"/>
      <c r="M813" s="380"/>
      <c r="N813" s="380"/>
      <c r="O813" s="404"/>
      <c r="P813" s="380"/>
      <c r="Q813" s="380"/>
      <c r="R813" s="380"/>
      <c r="S813" s="380"/>
      <c r="T813" s="380"/>
      <c r="U813" s="380"/>
      <c r="V813" s="380"/>
      <c r="W813" s="403"/>
      <c r="X813" s="380"/>
      <c r="Y813" s="380"/>
      <c r="Z813" s="380"/>
      <c r="AA813" s="380"/>
      <c r="AB813" s="380"/>
      <c r="AC813" s="404"/>
      <c r="AD813" s="380"/>
      <c r="AE813" s="380"/>
      <c r="AF813" s="380"/>
      <c r="AG813" s="380"/>
      <c r="AH813" s="380"/>
      <c r="AI813" s="380"/>
      <c r="AJ813" s="380"/>
      <c r="AK813" s="403"/>
      <c r="AL813" s="380"/>
      <c r="AM813" s="380"/>
      <c r="AN813" s="380"/>
      <c r="AO813" s="380"/>
      <c r="AP813" s="380"/>
      <c r="AQ813" s="404"/>
      <c r="AR813" s="380"/>
      <c r="AS813" s="380"/>
      <c r="AT813" s="380"/>
      <c r="AU813" s="380"/>
      <c r="AV813" s="380"/>
      <c r="AW813" s="380"/>
      <c r="AX813" s="380"/>
      <c r="AY813" s="403"/>
      <c r="AZ813" s="380"/>
      <c r="BA813" s="380"/>
      <c r="BB813" s="380"/>
      <c r="BC813" s="380"/>
      <c r="BD813" s="380"/>
      <c r="BE813" s="404"/>
      <c r="BF813" s="380"/>
      <c r="BG813" s="380"/>
      <c r="BH813" s="380"/>
      <c r="BI813" s="380"/>
      <c r="BJ813" s="380"/>
      <c r="BK813" s="380"/>
      <c r="BL813" s="380"/>
      <c r="BM813" s="403"/>
      <c r="BS813" s="83"/>
      <c r="CA813" s="405"/>
      <c r="CG813" s="83"/>
      <c r="CO813" s="405"/>
      <c r="CU813" s="83"/>
      <c r="DC813" s="405"/>
      <c r="DI813" s="83"/>
      <c r="DQ813" s="405"/>
      <c r="DW813" s="83"/>
      <c r="EE813" s="405"/>
      <c r="EK813" s="83"/>
      <c r="ES813" s="405"/>
      <c r="EY813" s="83"/>
      <c r="FG813" s="405"/>
      <c r="FM813" s="83"/>
      <c r="FU813" s="405"/>
      <c r="GA813" s="83"/>
      <c r="GI813" s="405"/>
      <c r="GO813" s="83"/>
      <c r="GW813" s="405"/>
      <c r="HC813" s="83"/>
      <c r="HK813" s="405"/>
      <c r="HQ813" s="83"/>
      <c r="HY813" s="405"/>
      <c r="IE813" s="83"/>
      <c r="IM813" s="405"/>
      <c r="IS813" s="83"/>
      <c r="JA813" s="405"/>
      <c r="JG813" s="83"/>
      <c r="JO813" s="405"/>
      <c r="JU813" s="83"/>
      <c r="KC813" s="405"/>
      <c r="KI813" s="83"/>
      <c r="KQ813" s="405"/>
      <c r="KW813" s="83"/>
      <c r="LE813" s="405"/>
      <c r="LK813" s="83"/>
      <c r="LS813" s="405"/>
      <c r="LY813" s="83"/>
      <c r="MG813" s="405"/>
      <c r="MM813" s="83"/>
      <c r="MU813" s="405"/>
      <c r="NA813" s="83"/>
    </row>
    <row r="814">
      <c r="A814" s="483"/>
      <c r="B814" s="380"/>
      <c r="C814" s="380"/>
      <c r="D814" s="380"/>
      <c r="E814" s="380"/>
      <c r="F814" s="380"/>
      <c r="G814" s="380"/>
      <c r="H814" s="380"/>
      <c r="I814" s="403"/>
      <c r="J814" s="380"/>
      <c r="K814" s="380"/>
      <c r="L814" s="380"/>
      <c r="M814" s="380"/>
      <c r="N814" s="380"/>
      <c r="O814" s="404"/>
      <c r="P814" s="380"/>
      <c r="Q814" s="380"/>
      <c r="R814" s="380"/>
      <c r="S814" s="380"/>
      <c r="T814" s="380"/>
      <c r="U814" s="380"/>
      <c r="V814" s="380"/>
      <c r="W814" s="403"/>
      <c r="X814" s="380"/>
      <c r="Y814" s="380"/>
      <c r="Z814" s="380"/>
      <c r="AA814" s="380"/>
      <c r="AB814" s="380"/>
      <c r="AC814" s="404"/>
      <c r="AD814" s="380"/>
      <c r="AE814" s="380"/>
      <c r="AF814" s="380"/>
      <c r="AG814" s="380"/>
      <c r="AH814" s="380"/>
      <c r="AI814" s="380"/>
      <c r="AJ814" s="380"/>
      <c r="AK814" s="403"/>
      <c r="AL814" s="380"/>
      <c r="AM814" s="380"/>
      <c r="AN814" s="380"/>
      <c r="AO814" s="380"/>
      <c r="AP814" s="380"/>
      <c r="AQ814" s="404"/>
      <c r="AR814" s="380"/>
      <c r="AS814" s="380"/>
      <c r="AT814" s="380"/>
      <c r="AU814" s="380"/>
      <c r="AV814" s="380"/>
      <c r="AW814" s="380"/>
      <c r="AX814" s="380"/>
      <c r="AY814" s="403"/>
      <c r="AZ814" s="380"/>
      <c r="BA814" s="380"/>
      <c r="BB814" s="380"/>
      <c r="BC814" s="380"/>
      <c r="BD814" s="380"/>
      <c r="BE814" s="404"/>
      <c r="BF814" s="380"/>
      <c r="BG814" s="380"/>
      <c r="BH814" s="380"/>
      <c r="BI814" s="380"/>
      <c r="BJ814" s="380"/>
      <c r="BK814" s="380"/>
      <c r="BL814" s="380"/>
      <c r="BM814" s="403"/>
      <c r="BS814" s="83"/>
      <c r="CA814" s="405"/>
      <c r="CG814" s="83"/>
      <c r="CO814" s="405"/>
      <c r="CU814" s="83"/>
      <c r="DC814" s="405"/>
      <c r="DI814" s="83"/>
      <c r="DQ814" s="405"/>
      <c r="DW814" s="83"/>
      <c r="EE814" s="405"/>
      <c r="EK814" s="83"/>
      <c r="ES814" s="405"/>
      <c r="EY814" s="83"/>
      <c r="FG814" s="405"/>
      <c r="FM814" s="83"/>
      <c r="FU814" s="405"/>
      <c r="GA814" s="83"/>
      <c r="GI814" s="405"/>
      <c r="GO814" s="83"/>
      <c r="GW814" s="405"/>
      <c r="HC814" s="83"/>
      <c r="HK814" s="405"/>
      <c r="HQ814" s="83"/>
      <c r="HY814" s="405"/>
      <c r="IE814" s="83"/>
      <c r="IM814" s="405"/>
      <c r="IS814" s="83"/>
      <c r="JA814" s="405"/>
      <c r="JG814" s="83"/>
      <c r="JO814" s="405"/>
      <c r="JU814" s="83"/>
      <c r="KC814" s="405"/>
      <c r="KI814" s="83"/>
      <c r="KQ814" s="405"/>
      <c r="KW814" s="83"/>
      <c r="LE814" s="405"/>
      <c r="LK814" s="83"/>
      <c r="LS814" s="405"/>
      <c r="LY814" s="83"/>
      <c r="MG814" s="405"/>
      <c r="MM814" s="83"/>
      <c r="MU814" s="405"/>
      <c r="NA814" s="83"/>
    </row>
    <row r="815">
      <c r="A815" s="483"/>
      <c r="B815" s="380"/>
      <c r="C815" s="380"/>
      <c r="D815" s="380"/>
      <c r="E815" s="380"/>
      <c r="F815" s="380"/>
      <c r="G815" s="380"/>
      <c r="H815" s="380"/>
      <c r="I815" s="403"/>
      <c r="J815" s="380"/>
      <c r="K815" s="380"/>
      <c r="L815" s="380"/>
      <c r="M815" s="380"/>
      <c r="N815" s="380"/>
      <c r="O815" s="404"/>
      <c r="P815" s="380"/>
      <c r="Q815" s="380"/>
      <c r="R815" s="380"/>
      <c r="S815" s="380"/>
      <c r="T815" s="380"/>
      <c r="U815" s="380"/>
      <c r="V815" s="380"/>
      <c r="W815" s="403"/>
      <c r="X815" s="380"/>
      <c r="Y815" s="380"/>
      <c r="Z815" s="380"/>
      <c r="AA815" s="380"/>
      <c r="AB815" s="380"/>
      <c r="AC815" s="404"/>
      <c r="AD815" s="380"/>
      <c r="AE815" s="380"/>
      <c r="AF815" s="380"/>
      <c r="AG815" s="380"/>
      <c r="AH815" s="380"/>
      <c r="AI815" s="380"/>
      <c r="AJ815" s="380"/>
      <c r="AK815" s="403"/>
      <c r="AL815" s="380"/>
      <c r="AM815" s="380"/>
      <c r="AN815" s="380"/>
      <c r="AO815" s="380"/>
      <c r="AP815" s="380"/>
      <c r="AQ815" s="404"/>
      <c r="AR815" s="380"/>
      <c r="AS815" s="380"/>
      <c r="AT815" s="380"/>
      <c r="AU815" s="380"/>
      <c r="AV815" s="380"/>
      <c r="AW815" s="380"/>
      <c r="AX815" s="380"/>
      <c r="AY815" s="403"/>
      <c r="AZ815" s="380"/>
      <c r="BA815" s="380"/>
      <c r="BB815" s="380"/>
      <c r="BC815" s="380"/>
      <c r="BD815" s="380"/>
      <c r="BE815" s="404"/>
      <c r="BF815" s="380"/>
      <c r="BG815" s="380"/>
      <c r="BH815" s="380"/>
      <c r="BI815" s="380"/>
      <c r="BJ815" s="380"/>
      <c r="BK815" s="380"/>
      <c r="BL815" s="380"/>
      <c r="BM815" s="403"/>
      <c r="BS815" s="83"/>
      <c r="CA815" s="405"/>
      <c r="CG815" s="83"/>
      <c r="CO815" s="405"/>
      <c r="CU815" s="83"/>
      <c r="DC815" s="405"/>
      <c r="DI815" s="83"/>
      <c r="DQ815" s="405"/>
      <c r="DW815" s="83"/>
      <c r="EE815" s="405"/>
      <c r="EK815" s="83"/>
      <c r="ES815" s="405"/>
      <c r="EY815" s="83"/>
      <c r="FG815" s="405"/>
      <c r="FM815" s="83"/>
      <c r="FU815" s="405"/>
      <c r="GA815" s="83"/>
      <c r="GI815" s="405"/>
      <c r="GO815" s="83"/>
      <c r="GW815" s="405"/>
      <c r="HC815" s="83"/>
      <c r="HK815" s="405"/>
      <c r="HQ815" s="83"/>
      <c r="HY815" s="405"/>
      <c r="IE815" s="83"/>
      <c r="IM815" s="405"/>
      <c r="IS815" s="83"/>
      <c r="JA815" s="405"/>
      <c r="JG815" s="83"/>
      <c r="JO815" s="405"/>
      <c r="JU815" s="83"/>
      <c r="KC815" s="405"/>
      <c r="KI815" s="83"/>
      <c r="KQ815" s="405"/>
      <c r="KW815" s="83"/>
      <c r="LE815" s="405"/>
      <c r="LK815" s="83"/>
      <c r="LS815" s="405"/>
      <c r="LY815" s="83"/>
      <c r="MG815" s="405"/>
      <c r="MM815" s="83"/>
      <c r="MU815" s="405"/>
      <c r="NA815" s="83"/>
    </row>
    <row r="816">
      <c r="A816" s="483"/>
      <c r="B816" s="380"/>
      <c r="C816" s="380"/>
      <c r="D816" s="380"/>
      <c r="E816" s="380"/>
      <c r="F816" s="380"/>
      <c r="G816" s="380"/>
      <c r="H816" s="380"/>
      <c r="I816" s="403"/>
      <c r="J816" s="380"/>
      <c r="K816" s="380"/>
      <c r="L816" s="380"/>
      <c r="M816" s="380"/>
      <c r="N816" s="380"/>
      <c r="O816" s="404"/>
      <c r="P816" s="380"/>
      <c r="Q816" s="380"/>
      <c r="R816" s="380"/>
      <c r="S816" s="380"/>
      <c r="T816" s="380"/>
      <c r="U816" s="380"/>
      <c r="V816" s="380"/>
      <c r="W816" s="403"/>
      <c r="X816" s="380"/>
      <c r="Y816" s="380"/>
      <c r="Z816" s="380"/>
      <c r="AA816" s="380"/>
      <c r="AB816" s="380"/>
      <c r="AC816" s="404"/>
      <c r="AD816" s="380"/>
      <c r="AE816" s="380"/>
      <c r="AF816" s="380"/>
      <c r="AG816" s="380"/>
      <c r="AH816" s="380"/>
      <c r="AI816" s="380"/>
      <c r="AJ816" s="380"/>
      <c r="AK816" s="403"/>
      <c r="AL816" s="380"/>
      <c r="AM816" s="380"/>
      <c r="AN816" s="380"/>
      <c r="AO816" s="380"/>
      <c r="AP816" s="380"/>
      <c r="AQ816" s="404"/>
      <c r="AR816" s="380"/>
      <c r="AS816" s="380"/>
      <c r="AT816" s="380"/>
      <c r="AU816" s="380"/>
      <c r="AV816" s="380"/>
      <c r="AW816" s="380"/>
      <c r="AX816" s="380"/>
      <c r="AY816" s="403"/>
      <c r="AZ816" s="380"/>
      <c r="BA816" s="380"/>
      <c r="BB816" s="380"/>
      <c r="BC816" s="380"/>
      <c r="BD816" s="380"/>
      <c r="BE816" s="404"/>
      <c r="BF816" s="380"/>
      <c r="BG816" s="380"/>
      <c r="BH816" s="380"/>
      <c r="BI816" s="380"/>
      <c r="BJ816" s="380"/>
      <c r="BK816" s="380"/>
      <c r="BL816" s="380"/>
      <c r="BM816" s="403"/>
      <c r="BS816" s="83"/>
      <c r="CA816" s="405"/>
      <c r="CG816" s="83"/>
      <c r="CO816" s="405"/>
      <c r="CU816" s="83"/>
      <c r="DC816" s="405"/>
      <c r="DI816" s="83"/>
      <c r="DQ816" s="405"/>
      <c r="DW816" s="83"/>
      <c r="EE816" s="405"/>
      <c r="EK816" s="83"/>
      <c r="ES816" s="405"/>
      <c r="EY816" s="83"/>
      <c r="FG816" s="405"/>
      <c r="FM816" s="83"/>
      <c r="FU816" s="405"/>
      <c r="GA816" s="83"/>
      <c r="GI816" s="405"/>
      <c r="GO816" s="83"/>
      <c r="GW816" s="405"/>
      <c r="HC816" s="83"/>
      <c r="HK816" s="405"/>
      <c r="HQ816" s="83"/>
      <c r="HY816" s="405"/>
      <c r="IE816" s="83"/>
      <c r="IM816" s="405"/>
      <c r="IS816" s="83"/>
      <c r="JA816" s="405"/>
      <c r="JG816" s="83"/>
      <c r="JO816" s="405"/>
      <c r="JU816" s="83"/>
      <c r="KC816" s="405"/>
      <c r="KI816" s="83"/>
      <c r="KQ816" s="405"/>
      <c r="KW816" s="83"/>
      <c r="LE816" s="405"/>
      <c r="LK816" s="83"/>
      <c r="LS816" s="405"/>
      <c r="LY816" s="83"/>
      <c r="MG816" s="405"/>
      <c r="MM816" s="83"/>
      <c r="MU816" s="405"/>
      <c r="NA816" s="83"/>
    </row>
    <row r="817">
      <c r="A817" s="483"/>
      <c r="B817" s="380"/>
      <c r="C817" s="380"/>
      <c r="D817" s="380"/>
      <c r="E817" s="380"/>
      <c r="F817" s="380"/>
      <c r="G817" s="380"/>
      <c r="H817" s="380"/>
      <c r="I817" s="403"/>
      <c r="J817" s="380"/>
      <c r="K817" s="380"/>
      <c r="L817" s="380"/>
      <c r="M817" s="380"/>
      <c r="N817" s="380"/>
      <c r="O817" s="404"/>
      <c r="P817" s="380"/>
      <c r="Q817" s="380"/>
      <c r="R817" s="380"/>
      <c r="S817" s="380"/>
      <c r="T817" s="380"/>
      <c r="U817" s="380"/>
      <c r="V817" s="380"/>
      <c r="W817" s="403"/>
      <c r="X817" s="380"/>
      <c r="Y817" s="380"/>
      <c r="Z817" s="380"/>
      <c r="AA817" s="380"/>
      <c r="AB817" s="380"/>
      <c r="AC817" s="404"/>
      <c r="AD817" s="380"/>
      <c r="AE817" s="380"/>
      <c r="AF817" s="380"/>
      <c r="AG817" s="380"/>
      <c r="AH817" s="380"/>
      <c r="AI817" s="380"/>
      <c r="AJ817" s="380"/>
      <c r="AK817" s="403"/>
      <c r="AL817" s="380"/>
      <c r="AM817" s="380"/>
      <c r="AN817" s="380"/>
      <c r="AO817" s="380"/>
      <c r="AP817" s="380"/>
      <c r="AQ817" s="404"/>
      <c r="AR817" s="380"/>
      <c r="AS817" s="380"/>
      <c r="AT817" s="380"/>
      <c r="AU817" s="380"/>
      <c r="AV817" s="380"/>
      <c r="AW817" s="380"/>
      <c r="AX817" s="380"/>
      <c r="AY817" s="403"/>
      <c r="AZ817" s="380"/>
      <c r="BA817" s="380"/>
      <c r="BB817" s="380"/>
      <c r="BC817" s="380"/>
      <c r="BD817" s="380"/>
      <c r="BE817" s="404"/>
      <c r="BF817" s="380"/>
      <c r="BG817" s="380"/>
      <c r="BH817" s="380"/>
      <c r="BI817" s="380"/>
      <c r="BJ817" s="380"/>
      <c r="BK817" s="380"/>
      <c r="BL817" s="380"/>
      <c r="BM817" s="403"/>
      <c r="BS817" s="83"/>
      <c r="CA817" s="405"/>
      <c r="CG817" s="83"/>
      <c r="CO817" s="405"/>
      <c r="CU817" s="83"/>
      <c r="DC817" s="405"/>
      <c r="DI817" s="83"/>
      <c r="DQ817" s="405"/>
      <c r="DW817" s="83"/>
      <c r="EE817" s="405"/>
      <c r="EK817" s="83"/>
      <c r="ES817" s="405"/>
      <c r="EY817" s="83"/>
      <c r="FG817" s="405"/>
      <c r="FM817" s="83"/>
      <c r="FU817" s="405"/>
      <c r="GA817" s="83"/>
      <c r="GI817" s="405"/>
      <c r="GO817" s="83"/>
      <c r="GW817" s="405"/>
      <c r="HC817" s="83"/>
      <c r="HK817" s="405"/>
      <c r="HQ817" s="83"/>
      <c r="HY817" s="405"/>
      <c r="IE817" s="83"/>
      <c r="IM817" s="405"/>
      <c r="IS817" s="83"/>
      <c r="JA817" s="405"/>
      <c r="JG817" s="83"/>
      <c r="JO817" s="405"/>
      <c r="JU817" s="83"/>
      <c r="KC817" s="405"/>
      <c r="KI817" s="83"/>
      <c r="KQ817" s="405"/>
      <c r="KW817" s="83"/>
      <c r="LE817" s="405"/>
      <c r="LK817" s="83"/>
      <c r="LS817" s="405"/>
      <c r="LY817" s="83"/>
      <c r="MG817" s="405"/>
      <c r="MM817" s="83"/>
      <c r="MU817" s="405"/>
      <c r="NA817" s="83"/>
    </row>
    <row r="818">
      <c r="A818" s="483"/>
      <c r="B818" s="380"/>
      <c r="C818" s="380"/>
      <c r="D818" s="380"/>
      <c r="E818" s="380"/>
      <c r="F818" s="380"/>
      <c r="G818" s="380"/>
      <c r="H818" s="380"/>
      <c r="I818" s="403"/>
      <c r="J818" s="380"/>
      <c r="K818" s="380"/>
      <c r="L818" s="380"/>
      <c r="M818" s="380"/>
      <c r="N818" s="380"/>
      <c r="O818" s="404"/>
      <c r="P818" s="380"/>
      <c r="Q818" s="380"/>
      <c r="R818" s="380"/>
      <c r="S818" s="380"/>
      <c r="T818" s="380"/>
      <c r="U818" s="380"/>
      <c r="V818" s="380"/>
      <c r="W818" s="403"/>
      <c r="X818" s="380"/>
      <c r="Y818" s="380"/>
      <c r="Z818" s="380"/>
      <c r="AA818" s="380"/>
      <c r="AB818" s="380"/>
      <c r="AC818" s="404"/>
      <c r="AD818" s="380"/>
      <c r="AE818" s="380"/>
      <c r="AF818" s="380"/>
      <c r="AG818" s="380"/>
      <c r="AH818" s="380"/>
      <c r="AI818" s="380"/>
      <c r="AJ818" s="380"/>
      <c r="AK818" s="403"/>
      <c r="AL818" s="380"/>
      <c r="AM818" s="380"/>
      <c r="AN818" s="380"/>
      <c r="AO818" s="380"/>
      <c r="AP818" s="380"/>
      <c r="AQ818" s="404"/>
      <c r="AR818" s="380"/>
      <c r="AS818" s="380"/>
      <c r="AT818" s="380"/>
      <c r="AU818" s="380"/>
      <c r="AV818" s="380"/>
      <c r="AW818" s="380"/>
      <c r="AX818" s="380"/>
      <c r="AY818" s="403"/>
      <c r="AZ818" s="380"/>
      <c r="BA818" s="380"/>
      <c r="BB818" s="380"/>
      <c r="BC818" s="380"/>
      <c r="BD818" s="380"/>
      <c r="BE818" s="404"/>
      <c r="BF818" s="380"/>
      <c r="BG818" s="380"/>
      <c r="BH818" s="380"/>
      <c r="BI818" s="380"/>
      <c r="BJ818" s="380"/>
      <c r="BK818" s="380"/>
      <c r="BL818" s="380"/>
      <c r="BM818" s="403"/>
      <c r="BS818" s="83"/>
      <c r="CA818" s="405"/>
      <c r="CG818" s="83"/>
      <c r="CO818" s="405"/>
      <c r="CU818" s="83"/>
      <c r="DC818" s="405"/>
      <c r="DI818" s="83"/>
      <c r="DQ818" s="405"/>
      <c r="DW818" s="83"/>
      <c r="EE818" s="405"/>
      <c r="EK818" s="83"/>
      <c r="ES818" s="405"/>
      <c r="EY818" s="83"/>
      <c r="FG818" s="405"/>
      <c r="FM818" s="83"/>
      <c r="FU818" s="405"/>
      <c r="GA818" s="83"/>
      <c r="GI818" s="405"/>
      <c r="GO818" s="83"/>
      <c r="GW818" s="405"/>
      <c r="HC818" s="83"/>
      <c r="HK818" s="405"/>
      <c r="HQ818" s="83"/>
      <c r="HY818" s="405"/>
      <c r="IE818" s="83"/>
      <c r="IM818" s="405"/>
      <c r="IS818" s="83"/>
      <c r="JA818" s="405"/>
      <c r="JG818" s="83"/>
      <c r="JO818" s="405"/>
      <c r="JU818" s="83"/>
      <c r="KC818" s="405"/>
      <c r="KI818" s="83"/>
      <c r="KQ818" s="405"/>
      <c r="KW818" s="83"/>
      <c r="LE818" s="405"/>
      <c r="LK818" s="83"/>
      <c r="LS818" s="405"/>
      <c r="LY818" s="83"/>
      <c r="MG818" s="405"/>
      <c r="MM818" s="83"/>
      <c r="MU818" s="405"/>
      <c r="NA818" s="83"/>
    </row>
    <row r="819">
      <c r="A819" s="483"/>
      <c r="B819" s="380"/>
      <c r="C819" s="380"/>
      <c r="D819" s="380"/>
      <c r="E819" s="380"/>
      <c r="F819" s="380"/>
      <c r="G819" s="380"/>
      <c r="H819" s="380"/>
      <c r="I819" s="403"/>
      <c r="J819" s="380"/>
      <c r="K819" s="380"/>
      <c r="L819" s="380"/>
      <c r="M819" s="380"/>
      <c r="N819" s="380"/>
      <c r="O819" s="404"/>
      <c r="P819" s="380"/>
      <c r="Q819" s="380"/>
      <c r="R819" s="380"/>
      <c r="S819" s="380"/>
      <c r="T819" s="380"/>
      <c r="U819" s="380"/>
      <c r="V819" s="380"/>
      <c r="W819" s="403"/>
      <c r="X819" s="380"/>
      <c r="Y819" s="380"/>
      <c r="Z819" s="380"/>
      <c r="AA819" s="380"/>
      <c r="AB819" s="380"/>
      <c r="AC819" s="404"/>
      <c r="AD819" s="380"/>
      <c r="AE819" s="380"/>
      <c r="AF819" s="380"/>
      <c r="AG819" s="380"/>
      <c r="AH819" s="380"/>
      <c r="AI819" s="380"/>
      <c r="AJ819" s="380"/>
      <c r="AK819" s="403"/>
      <c r="AL819" s="380"/>
      <c r="AM819" s="380"/>
      <c r="AN819" s="380"/>
      <c r="AO819" s="380"/>
      <c r="AP819" s="380"/>
      <c r="AQ819" s="404"/>
      <c r="AR819" s="380"/>
      <c r="AS819" s="380"/>
      <c r="AT819" s="380"/>
      <c r="AU819" s="380"/>
      <c r="AV819" s="380"/>
      <c r="AW819" s="380"/>
      <c r="AX819" s="380"/>
      <c r="AY819" s="403"/>
      <c r="AZ819" s="380"/>
      <c r="BA819" s="380"/>
      <c r="BB819" s="380"/>
      <c r="BC819" s="380"/>
      <c r="BD819" s="380"/>
      <c r="BE819" s="404"/>
      <c r="BF819" s="380"/>
      <c r="BG819" s="380"/>
      <c r="BH819" s="380"/>
      <c r="BI819" s="380"/>
      <c r="BJ819" s="380"/>
      <c r="BK819" s="380"/>
      <c r="BL819" s="380"/>
      <c r="BM819" s="403"/>
      <c r="BS819" s="83"/>
      <c r="CA819" s="405"/>
      <c r="CG819" s="83"/>
      <c r="CO819" s="405"/>
      <c r="CU819" s="83"/>
      <c r="DC819" s="405"/>
      <c r="DI819" s="83"/>
      <c r="DQ819" s="405"/>
      <c r="DW819" s="83"/>
      <c r="EE819" s="405"/>
      <c r="EK819" s="83"/>
      <c r="ES819" s="405"/>
      <c r="EY819" s="83"/>
      <c r="FG819" s="405"/>
      <c r="FM819" s="83"/>
      <c r="FU819" s="405"/>
      <c r="GA819" s="83"/>
      <c r="GI819" s="405"/>
      <c r="GO819" s="83"/>
      <c r="GW819" s="405"/>
      <c r="HC819" s="83"/>
      <c r="HK819" s="405"/>
      <c r="HQ819" s="83"/>
      <c r="HY819" s="405"/>
      <c r="IE819" s="83"/>
      <c r="IM819" s="405"/>
      <c r="IS819" s="83"/>
      <c r="JA819" s="405"/>
      <c r="JG819" s="83"/>
      <c r="JO819" s="405"/>
      <c r="JU819" s="83"/>
      <c r="KC819" s="405"/>
      <c r="KI819" s="83"/>
      <c r="KQ819" s="405"/>
      <c r="KW819" s="83"/>
      <c r="LE819" s="405"/>
      <c r="LK819" s="83"/>
      <c r="LS819" s="405"/>
      <c r="LY819" s="83"/>
      <c r="MG819" s="405"/>
      <c r="MM819" s="83"/>
      <c r="MU819" s="405"/>
      <c r="NA819" s="83"/>
    </row>
    <row r="820">
      <c r="A820" s="483"/>
      <c r="B820" s="380"/>
      <c r="C820" s="380"/>
      <c r="D820" s="380"/>
      <c r="E820" s="380"/>
      <c r="F820" s="380"/>
      <c r="G820" s="380"/>
      <c r="H820" s="380"/>
      <c r="I820" s="403"/>
      <c r="J820" s="380"/>
      <c r="K820" s="380"/>
      <c r="L820" s="380"/>
      <c r="M820" s="380"/>
      <c r="N820" s="380"/>
      <c r="O820" s="404"/>
      <c r="P820" s="380"/>
      <c r="Q820" s="380"/>
      <c r="R820" s="380"/>
      <c r="S820" s="380"/>
      <c r="T820" s="380"/>
      <c r="U820" s="380"/>
      <c r="V820" s="380"/>
      <c r="W820" s="403"/>
      <c r="X820" s="380"/>
      <c r="Y820" s="380"/>
      <c r="Z820" s="380"/>
      <c r="AA820" s="380"/>
      <c r="AB820" s="380"/>
      <c r="AC820" s="404"/>
      <c r="AD820" s="380"/>
      <c r="AE820" s="380"/>
      <c r="AF820" s="380"/>
      <c r="AG820" s="380"/>
      <c r="AH820" s="380"/>
      <c r="AI820" s="380"/>
      <c r="AJ820" s="380"/>
      <c r="AK820" s="403"/>
      <c r="AL820" s="380"/>
      <c r="AM820" s="380"/>
      <c r="AN820" s="380"/>
      <c r="AO820" s="380"/>
      <c r="AP820" s="380"/>
      <c r="AQ820" s="404"/>
      <c r="AR820" s="380"/>
      <c r="AS820" s="380"/>
      <c r="AT820" s="380"/>
      <c r="AU820" s="380"/>
      <c r="AV820" s="380"/>
      <c r="AW820" s="380"/>
      <c r="AX820" s="380"/>
      <c r="AY820" s="403"/>
      <c r="AZ820" s="380"/>
      <c r="BA820" s="380"/>
      <c r="BB820" s="380"/>
      <c r="BC820" s="380"/>
      <c r="BD820" s="380"/>
      <c r="BE820" s="404"/>
      <c r="BF820" s="380"/>
      <c r="BG820" s="380"/>
      <c r="BH820" s="380"/>
      <c r="BI820" s="380"/>
      <c r="BJ820" s="380"/>
      <c r="BK820" s="380"/>
      <c r="BL820" s="380"/>
      <c r="BM820" s="403"/>
      <c r="BS820" s="83"/>
      <c r="CA820" s="405"/>
      <c r="CG820" s="83"/>
      <c r="CO820" s="405"/>
      <c r="CU820" s="83"/>
      <c r="DC820" s="405"/>
      <c r="DI820" s="83"/>
      <c r="DQ820" s="405"/>
      <c r="DW820" s="83"/>
      <c r="EE820" s="405"/>
      <c r="EK820" s="83"/>
      <c r="ES820" s="405"/>
      <c r="EY820" s="83"/>
      <c r="FG820" s="405"/>
      <c r="FM820" s="83"/>
      <c r="FU820" s="405"/>
      <c r="GA820" s="83"/>
      <c r="GI820" s="405"/>
      <c r="GO820" s="83"/>
      <c r="GW820" s="405"/>
      <c r="HC820" s="83"/>
      <c r="HK820" s="405"/>
      <c r="HQ820" s="83"/>
      <c r="HY820" s="405"/>
      <c r="IE820" s="83"/>
      <c r="IM820" s="405"/>
      <c r="IS820" s="83"/>
      <c r="JA820" s="405"/>
      <c r="JG820" s="83"/>
      <c r="JO820" s="405"/>
      <c r="JU820" s="83"/>
      <c r="KC820" s="405"/>
      <c r="KI820" s="83"/>
      <c r="KQ820" s="405"/>
      <c r="KW820" s="83"/>
      <c r="LE820" s="405"/>
      <c r="LK820" s="83"/>
      <c r="LS820" s="405"/>
      <c r="LY820" s="83"/>
      <c r="MG820" s="405"/>
      <c r="MM820" s="83"/>
      <c r="MU820" s="405"/>
      <c r="NA820" s="83"/>
    </row>
    <row r="821">
      <c r="A821" s="483"/>
      <c r="B821" s="380"/>
      <c r="C821" s="380"/>
      <c r="D821" s="380"/>
      <c r="E821" s="380"/>
      <c r="F821" s="380"/>
      <c r="G821" s="380"/>
      <c r="H821" s="380"/>
      <c r="I821" s="403"/>
      <c r="J821" s="380"/>
      <c r="K821" s="380"/>
      <c r="L821" s="380"/>
      <c r="M821" s="380"/>
      <c r="N821" s="380"/>
      <c r="O821" s="404"/>
      <c r="P821" s="380"/>
      <c r="Q821" s="380"/>
      <c r="R821" s="380"/>
      <c r="S821" s="380"/>
      <c r="T821" s="380"/>
      <c r="U821" s="380"/>
      <c r="V821" s="380"/>
      <c r="W821" s="403"/>
      <c r="X821" s="380"/>
      <c r="Y821" s="380"/>
      <c r="Z821" s="380"/>
      <c r="AA821" s="380"/>
      <c r="AB821" s="380"/>
      <c r="AC821" s="404"/>
      <c r="AD821" s="380"/>
      <c r="AE821" s="380"/>
      <c r="AF821" s="380"/>
      <c r="AG821" s="380"/>
      <c r="AH821" s="380"/>
      <c r="AI821" s="380"/>
      <c r="AJ821" s="380"/>
      <c r="AK821" s="403"/>
      <c r="AL821" s="380"/>
      <c r="AM821" s="380"/>
      <c r="AN821" s="380"/>
      <c r="AO821" s="380"/>
      <c r="AP821" s="380"/>
      <c r="AQ821" s="404"/>
      <c r="AR821" s="380"/>
      <c r="AS821" s="380"/>
      <c r="AT821" s="380"/>
      <c r="AU821" s="380"/>
      <c r="AV821" s="380"/>
      <c r="AW821" s="380"/>
      <c r="AX821" s="380"/>
      <c r="AY821" s="403"/>
      <c r="AZ821" s="380"/>
      <c r="BA821" s="380"/>
      <c r="BB821" s="380"/>
      <c r="BC821" s="380"/>
      <c r="BD821" s="380"/>
      <c r="BE821" s="404"/>
      <c r="BF821" s="380"/>
      <c r="BG821" s="380"/>
      <c r="BH821" s="380"/>
      <c r="BI821" s="380"/>
      <c r="BJ821" s="380"/>
      <c r="BK821" s="380"/>
      <c r="BL821" s="380"/>
      <c r="BM821" s="403"/>
      <c r="BS821" s="83"/>
      <c r="CA821" s="405"/>
      <c r="CG821" s="83"/>
      <c r="CO821" s="405"/>
      <c r="CU821" s="83"/>
      <c r="DC821" s="405"/>
      <c r="DI821" s="83"/>
      <c r="DQ821" s="405"/>
      <c r="DW821" s="83"/>
      <c r="EE821" s="405"/>
      <c r="EK821" s="83"/>
      <c r="ES821" s="405"/>
      <c r="EY821" s="83"/>
      <c r="FG821" s="405"/>
      <c r="FM821" s="83"/>
      <c r="FU821" s="405"/>
      <c r="GA821" s="83"/>
      <c r="GI821" s="405"/>
      <c r="GO821" s="83"/>
      <c r="GW821" s="405"/>
      <c r="HC821" s="83"/>
      <c r="HK821" s="405"/>
      <c r="HQ821" s="83"/>
      <c r="HY821" s="405"/>
      <c r="IE821" s="83"/>
      <c r="IM821" s="405"/>
      <c r="IS821" s="83"/>
      <c r="JA821" s="405"/>
      <c r="JG821" s="83"/>
      <c r="JO821" s="405"/>
      <c r="JU821" s="83"/>
      <c r="KC821" s="405"/>
      <c r="KI821" s="83"/>
      <c r="KQ821" s="405"/>
      <c r="KW821" s="83"/>
      <c r="LE821" s="405"/>
      <c r="LK821" s="83"/>
      <c r="LS821" s="405"/>
      <c r="LY821" s="83"/>
      <c r="MG821" s="405"/>
      <c r="MM821" s="83"/>
      <c r="MU821" s="405"/>
      <c r="NA821" s="83"/>
    </row>
    <row r="822">
      <c r="A822" s="483"/>
      <c r="B822" s="380"/>
      <c r="C822" s="380"/>
      <c r="D822" s="380"/>
      <c r="E822" s="380"/>
      <c r="F822" s="380"/>
      <c r="G822" s="380"/>
      <c r="H822" s="380"/>
      <c r="I822" s="403"/>
      <c r="J822" s="380"/>
      <c r="K822" s="380"/>
      <c r="L822" s="380"/>
      <c r="M822" s="380"/>
      <c r="N822" s="380"/>
      <c r="O822" s="404"/>
      <c r="P822" s="380"/>
      <c r="Q822" s="380"/>
      <c r="R822" s="380"/>
      <c r="S822" s="380"/>
      <c r="T822" s="380"/>
      <c r="U822" s="380"/>
      <c r="V822" s="380"/>
      <c r="W822" s="403"/>
      <c r="X822" s="380"/>
      <c r="Y822" s="380"/>
      <c r="Z822" s="380"/>
      <c r="AA822" s="380"/>
      <c r="AB822" s="380"/>
      <c r="AC822" s="404"/>
      <c r="AD822" s="380"/>
      <c r="AE822" s="380"/>
      <c r="AF822" s="380"/>
      <c r="AG822" s="380"/>
      <c r="AH822" s="380"/>
      <c r="AI822" s="380"/>
      <c r="AJ822" s="380"/>
      <c r="AK822" s="403"/>
      <c r="AL822" s="380"/>
      <c r="AM822" s="380"/>
      <c r="AN822" s="380"/>
      <c r="AO822" s="380"/>
      <c r="AP822" s="380"/>
      <c r="AQ822" s="404"/>
      <c r="AR822" s="380"/>
      <c r="AS822" s="380"/>
      <c r="AT822" s="380"/>
      <c r="AU822" s="380"/>
      <c r="AV822" s="380"/>
      <c r="AW822" s="380"/>
      <c r="AX822" s="380"/>
      <c r="AY822" s="403"/>
      <c r="AZ822" s="380"/>
      <c r="BA822" s="380"/>
      <c r="BB822" s="380"/>
      <c r="BC822" s="380"/>
      <c r="BD822" s="380"/>
      <c r="BE822" s="404"/>
      <c r="BF822" s="380"/>
      <c r="BG822" s="380"/>
      <c r="BH822" s="380"/>
      <c r="BI822" s="380"/>
      <c r="BJ822" s="380"/>
      <c r="BK822" s="380"/>
      <c r="BL822" s="380"/>
      <c r="BM822" s="403"/>
      <c r="BS822" s="83"/>
      <c r="CA822" s="405"/>
      <c r="CG822" s="83"/>
      <c r="CO822" s="405"/>
      <c r="CU822" s="83"/>
      <c r="DC822" s="405"/>
      <c r="DI822" s="83"/>
      <c r="DQ822" s="405"/>
      <c r="DW822" s="83"/>
      <c r="EE822" s="405"/>
      <c r="EK822" s="83"/>
      <c r="ES822" s="405"/>
      <c r="EY822" s="83"/>
      <c r="FG822" s="405"/>
      <c r="FM822" s="83"/>
      <c r="FU822" s="405"/>
      <c r="GA822" s="83"/>
      <c r="GI822" s="405"/>
      <c r="GO822" s="83"/>
      <c r="GW822" s="405"/>
      <c r="HC822" s="83"/>
      <c r="HK822" s="405"/>
      <c r="HQ822" s="83"/>
      <c r="HY822" s="405"/>
      <c r="IE822" s="83"/>
      <c r="IM822" s="405"/>
      <c r="IS822" s="83"/>
      <c r="JA822" s="405"/>
      <c r="JG822" s="83"/>
      <c r="JO822" s="405"/>
      <c r="JU822" s="83"/>
      <c r="KC822" s="405"/>
      <c r="KI822" s="83"/>
      <c r="KQ822" s="405"/>
      <c r="KW822" s="83"/>
      <c r="LE822" s="405"/>
      <c r="LK822" s="83"/>
      <c r="LS822" s="405"/>
      <c r="LY822" s="83"/>
      <c r="MG822" s="405"/>
      <c r="MM822" s="83"/>
      <c r="MU822" s="405"/>
      <c r="NA822" s="83"/>
    </row>
    <row r="823">
      <c r="A823" s="483"/>
      <c r="B823" s="380"/>
      <c r="C823" s="380"/>
      <c r="D823" s="380"/>
      <c r="E823" s="380"/>
      <c r="F823" s="380"/>
      <c r="G823" s="380"/>
      <c r="H823" s="380"/>
      <c r="I823" s="403"/>
      <c r="J823" s="380"/>
      <c r="K823" s="380"/>
      <c r="L823" s="380"/>
      <c r="M823" s="380"/>
      <c r="N823" s="380"/>
      <c r="O823" s="404"/>
      <c r="P823" s="380"/>
      <c r="Q823" s="380"/>
      <c r="R823" s="380"/>
      <c r="S823" s="380"/>
      <c r="T823" s="380"/>
      <c r="U823" s="380"/>
      <c r="V823" s="380"/>
      <c r="W823" s="403"/>
      <c r="X823" s="380"/>
      <c r="Y823" s="380"/>
      <c r="Z823" s="380"/>
      <c r="AA823" s="380"/>
      <c r="AB823" s="380"/>
      <c r="AC823" s="404"/>
      <c r="AD823" s="380"/>
      <c r="AE823" s="380"/>
      <c r="AF823" s="380"/>
      <c r="AG823" s="380"/>
      <c r="AH823" s="380"/>
      <c r="AI823" s="380"/>
      <c r="AJ823" s="380"/>
      <c r="AK823" s="403"/>
      <c r="AL823" s="380"/>
      <c r="AM823" s="380"/>
      <c r="AN823" s="380"/>
      <c r="AO823" s="380"/>
      <c r="AP823" s="380"/>
      <c r="AQ823" s="404"/>
      <c r="AR823" s="380"/>
      <c r="AS823" s="380"/>
      <c r="AT823" s="380"/>
      <c r="AU823" s="380"/>
      <c r="AV823" s="380"/>
      <c r="AW823" s="380"/>
      <c r="AX823" s="380"/>
      <c r="AY823" s="403"/>
      <c r="AZ823" s="380"/>
      <c r="BA823" s="380"/>
      <c r="BB823" s="380"/>
      <c r="BC823" s="380"/>
      <c r="BD823" s="380"/>
      <c r="BE823" s="404"/>
      <c r="BF823" s="380"/>
      <c r="BG823" s="380"/>
      <c r="BH823" s="380"/>
      <c r="BI823" s="380"/>
      <c r="BJ823" s="380"/>
      <c r="BK823" s="380"/>
      <c r="BL823" s="380"/>
      <c r="BM823" s="403"/>
      <c r="BS823" s="83"/>
      <c r="CA823" s="405"/>
      <c r="CG823" s="83"/>
      <c r="CO823" s="405"/>
      <c r="CU823" s="83"/>
      <c r="DC823" s="405"/>
      <c r="DI823" s="83"/>
      <c r="DQ823" s="405"/>
      <c r="DW823" s="83"/>
      <c r="EE823" s="405"/>
      <c r="EK823" s="83"/>
      <c r="ES823" s="405"/>
      <c r="EY823" s="83"/>
      <c r="FG823" s="405"/>
      <c r="FM823" s="83"/>
      <c r="FU823" s="405"/>
      <c r="GA823" s="83"/>
      <c r="GI823" s="405"/>
      <c r="GO823" s="83"/>
      <c r="GW823" s="405"/>
      <c r="HC823" s="83"/>
      <c r="HK823" s="405"/>
      <c r="HQ823" s="83"/>
      <c r="HY823" s="405"/>
      <c r="IE823" s="83"/>
      <c r="IM823" s="405"/>
      <c r="IS823" s="83"/>
      <c r="JA823" s="405"/>
      <c r="JG823" s="83"/>
      <c r="JO823" s="405"/>
      <c r="JU823" s="83"/>
      <c r="KC823" s="405"/>
      <c r="KI823" s="83"/>
      <c r="KQ823" s="405"/>
      <c r="KW823" s="83"/>
      <c r="LE823" s="405"/>
      <c r="LK823" s="83"/>
      <c r="LS823" s="405"/>
      <c r="LY823" s="83"/>
      <c r="MG823" s="405"/>
      <c r="MM823" s="83"/>
      <c r="MU823" s="405"/>
      <c r="NA823" s="83"/>
    </row>
    <row r="824">
      <c r="A824" s="483"/>
      <c r="B824" s="380"/>
      <c r="C824" s="380"/>
      <c r="D824" s="380"/>
      <c r="E824" s="380"/>
      <c r="F824" s="380"/>
      <c r="G824" s="380"/>
      <c r="H824" s="380"/>
      <c r="I824" s="403"/>
      <c r="J824" s="380"/>
      <c r="K824" s="380"/>
      <c r="L824" s="380"/>
      <c r="M824" s="380"/>
      <c r="N824" s="380"/>
      <c r="O824" s="404"/>
      <c r="P824" s="380"/>
      <c r="Q824" s="380"/>
      <c r="R824" s="380"/>
      <c r="S824" s="380"/>
      <c r="T824" s="380"/>
      <c r="U824" s="380"/>
      <c r="V824" s="380"/>
      <c r="W824" s="403"/>
      <c r="X824" s="380"/>
      <c r="Y824" s="380"/>
      <c r="Z824" s="380"/>
      <c r="AA824" s="380"/>
      <c r="AB824" s="380"/>
      <c r="AC824" s="404"/>
      <c r="AD824" s="380"/>
      <c r="AE824" s="380"/>
      <c r="AF824" s="380"/>
      <c r="AG824" s="380"/>
      <c r="AH824" s="380"/>
      <c r="AI824" s="380"/>
      <c r="AJ824" s="380"/>
      <c r="AK824" s="403"/>
      <c r="AL824" s="380"/>
      <c r="AM824" s="380"/>
      <c r="AN824" s="380"/>
      <c r="AO824" s="380"/>
      <c r="AP824" s="380"/>
      <c r="AQ824" s="404"/>
      <c r="AR824" s="380"/>
      <c r="AS824" s="380"/>
      <c r="AT824" s="380"/>
      <c r="AU824" s="380"/>
      <c r="AV824" s="380"/>
      <c r="AW824" s="380"/>
      <c r="AX824" s="380"/>
      <c r="AY824" s="403"/>
      <c r="AZ824" s="380"/>
      <c r="BA824" s="380"/>
      <c r="BB824" s="380"/>
      <c r="BC824" s="380"/>
      <c r="BD824" s="380"/>
      <c r="BE824" s="404"/>
      <c r="BF824" s="380"/>
      <c r="BG824" s="380"/>
      <c r="BH824" s="380"/>
      <c r="BI824" s="380"/>
      <c r="BJ824" s="380"/>
      <c r="BK824" s="380"/>
      <c r="BL824" s="380"/>
      <c r="BM824" s="403"/>
      <c r="BS824" s="83"/>
      <c r="CA824" s="405"/>
      <c r="CG824" s="83"/>
      <c r="CO824" s="405"/>
      <c r="CU824" s="83"/>
      <c r="DC824" s="405"/>
      <c r="DI824" s="83"/>
      <c r="DQ824" s="405"/>
      <c r="DW824" s="83"/>
      <c r="EE824" s="405"/>
      <c r="EK824" s="83"/>
      <c r="ES824" s="405"/>
      <c r="EY824" s="83"/>
      <c r="FG824" s="405"/>
      <c r="FM824" s="83"/>
      <c r="FU824" s="405"/>
      <c r="GA824" s="83"/>
      <c r="GI824" s="405"/>
      <c r="GO824" s="83"/>
      <c r="GW824" s="405"/>
      <c r="HC824" s="83"/>
      <c r="HK824" s="405"/>
      <c r="HQ824" s="83"/>
      <c r="HY824" s="405"/>
      <c r="IE824" s="83"/>
      <c r="IM824" s="405"/>
      <c r="IS824" s="83"/>
      <c r="JA824" s="405"/>
      <c r="JG824" s="83"/>
      <c r="JO824" s="405"/>
      <c r="JU824" s="83"/>
      <c r="KC824" s="405"/>
      <c r="KI824" s="83"/>
      <c r="KQ824" s="405"/>
      <c r="KW824" s="83"/>
      <c r="LE824" s="405"/>
      <c r="LK824" s="83"/>
      <c r="LS824" s="405"/>
      <c r="LY824" s="83"/>
      <c r="MG824" s="405"/>
      <c r="MM824" s="83"/>
      <c r="MU824" s="405"/>
      <c r="NA824" s="83"/>
    </row>
    <row r="825">
      <c r="A825" s="483"/>
      <c r="B825" s="380"/>
      <c r="C825" s="380"/>
      <c r="D825" s="380"/>
      <c r="E825" s="380"/>
      <c r="F825" s="380"/>
      <c r="G825" s="380"/>
      <c r="H825" s="380"/>
      <c r="I825" s="403"/>
      <c r="J825" s="380"/>
      <c r="K825" s="380"/>
      <c r="L825" s="380"/>
      <c r="M825" s="380"/>
      <c r="N825" s="380"/>
      <c r="O825" s="404"/>
      <c r="P825" s="380"/>
      <c r="Q825" s="380"/>
      <c r="R825" s="380"/>
      <c r="S825" s="380"/>
      <c r="T825" s="380"/>
      <c r="U825" s="380"/>
      <c r="V825" s="380"/>
      <c r="W825" s="403"/>
      <c r="X825" s="380"/>
      <c r="Y825" s="380"/>
      <c r="Z825" s="380"/>
      <c r="AA825" s="380"/>
      <c r="AB825" s="380"/>
      <c r="AC825" s="404"/>
      <c r="AD825" s="380"/>
      <c r="AE825" s="380"/>
      <c r="AF825" s="380"/>
      <c r="AG825" s="380"/>
      <c r="AH825" s="380"/>
      <c r="AI825" s="380"/>
      <c r="AJ825" s="380"/>
      <c r="AK825" s="403"/>
      <c r="AL825" s="380"/>
      <c r="AM825" s="380"/>
      <c r="AN825" s="380"/>
      <c r="AO825" s="380"/>
      <c r="AP825" s="380"/>
      <c r="AQ825" s="404"/>
      <c r="AR825" s="380"/>
      <c r="AS825" s="380"/>
      <c r="AT825" s="380"/>
      <c r="AU825" s="380"/>
      <c r="AV825" s="380"/>
      <c r="AW825" s="380"/>
      <c r="AX825" s="380"/>
      <c r="AY825" s="403"/>
      <c r="AZ825" s="380"/>
      <c r="BA825" s="380"/>
      <c r="BB825" s="380"/>
      <c r="BC825" s="380"/>
      <c r="BD825" s="380"/>
      <c r="BE825" s="404"/>
      <c r="BF825" s="380"/>
      <c r="BG825" s="380"/>
      <c r="BH825" s="380"/>
      <c r="BI825" s="380"/>
      <c r="BJ825" s="380"/>
      <c r="BK825" s="380"/>
      <c r="BL825" s="380"/>
      <c r="BM825" s="403"/>
      <c r="BS825" s="83"/>
      <c r="CA825" s="405"/>
      <c r="CG825" s="83"/>
      <c r="CO825" s="405"/>
      <c r="CU825" s="83"/>
      <c r="DC825" s="405"/>
      <c r="DI825" s="83"/>
      <c r="DQ825" s="405"/>
      <c r="DW825" s="83"/>
      <c r="EE825" s="405"/>
      <c r="EK825" s="83"/>
      <c r="ES825" s="405"/>
      <c r="EY825" s="83"/>
      <c r="FG825" s="405"/>
      <c r="FM825" s="83"/>
      <c r="FU825" s="405"/>
      <c r="GA825" s="83"/>
      <c r="GI825" s="405"/>
      <c r="GO825" s="83"/>
      <c r="GW825" s="405"/>
      <c r="HC825" s="83"/>
      <c r="HK825" s="405"/>
      <c r="HQ825" s="83"/>
      <c r="HY825" s="405"/>
      <c r="IE825" s="83"/>
      <c r="IM825" s="405"/>
      <c r="IS825" s="83"/>
      <c r="JA825" s="405"/>
      <c r="JG825" s="83"/>
      <c r="JO825" s="405"/>
      <c r="JU825" s="83"/>
      <c r="KC825" s="405"/>
      <c r="KI825" s="83"/>
      <c r="KQ825" s="405"/>
      <c r="KW825" s="83"/>
      <c r="LE825" s="405"/>
      <c r="LK825" s="83"/>
      <c r="LS825" s="405"/>
      <c r="LY825" s="83"/>
      <c r="MG825" s="405"/>
      <c r="MM825" s="83"/>
      <c r="MU825" s="405"/>
      <c r="NA825" s="83"/>
    </row>
    <row r="826">
      <c r="A826" s="483"/>
      <c r="B826" s="380"/>
      <c r="C826" s="380"/>
      <c r="D826" s="380"/>
      <c r="E826" s="380"/>
      <c r="F826" s="380"/>
      <c r="G826" s="380"/>
      <c r="H826" s="380"/>
      <c r="I826" s="403"/>
      <c r="J826" s="380"/>
      <c r="K826" s="380"/>
      <c r="L826" s="380"/>
      <c r="M826" s="380"/>
      <c r="N826" s="380"/>
      <c r="O826" s="404"/>
      <c r="P826" s="380"/>
      <c r="Q826" s="380"/>
      <c r="R826" s="380"/>
      <c r="S826" s="380"/>
      <c r="T826" s="380"/>
      <c r="U826" s="380"/>
      <c r="V826" s="380"/>
      <c r="W826" s="403"/>
      <c r="X826" s="380"/>
      <c r="Y826" s="380"/>
      <c r="Z826" s="380"/>
      <c r="AA826" s="380"/>
      <c r="AB826" s="380"/>
      <c r="AC826" s="404"/>
      <c r="AD826" s="380"/>
      <c r="AE826" s="380"/>
      <c r="AF826" s="380"/>
      <c r="AG826" s="380"/>
      <c r="AH826" s="380"/>
      <c r="AI826" s="380"/>
      <c r="AJ826" s="380"/>
      <c r="AK826" s="403"/>
      <c r="AL826" s="380"/>
      <c r="AM826" s="380"/>
      <c r="AN826" s="380"/>
      <c r="AO826" s="380"/>
      <c r="AP826" s="380"/>
      <c r="AQ826" s="404"/>
      <c r="AR826" s="380"/>
      <c r="AS826" s="380"/>
      <c r="AT826" s="380"/>
      <c r="AU826" s="380"/>
      <c r="AV826" s="380"/>
      <c r="AW826" s="380"/>
      <c r="AX826" s="380"/>
      <c r="AY826" s="403"/>
      <c r="AZ826" s="380"/>
      <c r="BA826" s="380"/>
      <c r="BB826" s="380"/>
      <c r="BC826" s="380"/>
      <c r="BD826" s="380"/>
      <c r="BE826" s="404"/>
      <c r="BF826" s="380"/>
      <c r="BG826" s="380"/>
      <c r="BH826" s="380"/>
      <c r="BI826" s="380"/>
      <c r="BJ826" s="380"/>
      <c r="BK826" s="380"/>
      <c r="BL826" s="380"/>
      <c r="BM826" s="403"/>
      <c r="BS826" s="83"/>
      <c r="CA826" s="405"/>
      <c r="CG826" s="83"/>
      <c r="CO826" s="405"/>
      <c r="CU826" s="83"/>
      <c r="DC826" s="405"/>
      <c r="DI826" s="83"/>
      <c r="DQ826" s="405"/>
      <c r="DW826" s="83"/>
      <c r="EE826" s="405"/>
      <c r="EK826" s="83"/>
      <c r="ES826" s="405"/>
      <c r="EY826" s="83"/>
      <c r="FG826" s="405"/>
      <c r="FM826" s="83"/>
      <c r="FU826" s="405"/>
      <c r="GA826" s="83"/>
      <c r="GI826" s="405"/>
      <c r="GO826" s="83"/>
      <c r="GW826" s="405"/>
      <c r="HC826" s="83"/>
      <c r="HK826" s="405"/>
      <c r="HQ826" s="83"/>
      <c r="HY826" s="405"/>
      <c r="IE826" s="83"/>
      <c r="IM826" s="405"/>
      <c r="IS826" s="83"/>
      <c r="JA826" s="405"/>
      <c r="JG826" s="83"/>
      <c r="JO826" s="405"/>
      <c r="JU826" s="83"/>
      <c r="KC826" s="405"/>
      <c r="KI826" s="83"/>
      <c r="KQ826" s="405"/>
      <c r="KW826" s="83"/>
      <c r="LE826" s="405"/>
      <c r="LK826" s="83"/>
      <c r="LS826" s="405"/>
      <c r="LY826" s="83"/>
      <c r="MG826" s="405"/>
      <c r="MM826" s="83"/>
      <c r="MU826" s="405"/>
      <c r="NA826" s="83"/>
    </row>
    <row r="827">
      <c r="A827" s="483"/>
      <c r="B827" s="380"/>
      <c r="C827" s="380"/>
      <c r="D827" s="380"/>
      <c r="E827" s="380"/>
      <c r="F827" s="380"/>
      <c r="G827" s="380"/>
      <c r="H827" s="380"/>
      <c r="I827" s="403"/>
      <c r="J827" s="380"/>
      <c r="K827" s="380"/>
      <c r="L827" s="380"/>
      <c r="M827" s="380"/>
      <c r="N827" s="380"/>
      <c r="O827" s="404"/>
      <c r="P827" s="380"/>
      <c r="Q827" s="380"/>
      <c r="R827" s="380"/>
      <c r="S827" s="380"/>
      <c r="T827" s="380"/>
      <c r="U827" s="380"/>
      <c r="V827" s="380"/>
      <c r="W827" s="403"/>
      <c r="X827" s="380"/>
      <c r="Y827" s="380"/>
      <c r="Z827" s="380"/>
      <c r="AA827" s="380"/>
      <c r="AB827" s="380"/>
      <c r="AC827" s="404"/>
      <c r="AD827" s="380"/>
      <c r="AE827" s="380"/>
      <c r="AF827" s="380"/>
      <c r="AG827" s="380"/>
      <c r="AH827" s="380"/>
      <c r="AI827" s="380"/>
      <c r="AJ827" s="380"/>
      <c r="AK827" s="403"/>
      <c r="AL827" s="380"/>
      <c r="AM827" s="380"/>
      <c r="AN827" s="380"/>
      <c r="AO827" s="380"/>
      <c r="AP827" s="380"/>
      <c r="AQ827" s="404"/>
      <c r="AR827" s="380"/>
      <c r="AS827" s="380"/>
      <c r="AT827" s="380"/>
      <c r="AU827" s="380"/>
      <c r="AV827" s="380"/>
      <c r="AW827" s="380"/>
      <c r="AX827" s="380"/>
      <c r="AY827" s="403"/>
      <c r="AZ827" s="380"/>
      <c r="BA827" s="380"/>
      <c r="BB827" s="380"/>
      <c r="BC827" s="380"/>
      <c r="BD827" s="380"/>
      <c r="BE827" s="404"/>
      <c r="BF827" s="380"/>
      <c r="BG827" s="380"/>
      <c r="BH827" s="380"/>
      <c r="BI827" s="380"/>
      <c r="BJ827" s="380"/>
      <c r="BK827" s="380"/>
      <c r="BL827" s="380"/>
      <c r="BM827" s="403"/>
      <c r="BS827" s="83"/>
      <c r="CA827" s="405"/>
      <c r="CG827" s="83"/>
      <c r="CO827" s="405"/>
      <c r="CU827" s="83"/>
      <c r="DC827" s="405"/>
      <c r="DI827" s="83"/>
      <c r="DQ827" s="405"/>
      <c r="DW827" s="83"/>
      <c r="EE827" s="405"/>
      <c r="EK827" s="83"/>
      <c r="ES827" s="405"/>
      <c r="EY827" s="83"/>
      <c r="FG827" s="405"/>
      <c r="FM827" s="83"/>
      <c r="FU827" s="405"/>
      <c r="GA827" s="83"/>
      <c r="GI827" s="405"/>
      <c r="GO827" s="83"/>
      <c r="GW827" s="405"/>
      <c r="HC827" s="83"/>
      <c r="HK827" s="405"/>
      <c r="HQ827" s="83"/>
      <c r="HY827" s="405"/>
      <c r="IE827" s="83"/>
      <c r="IM827" s="405"/>
      <c r="IS827" s="83"/>
      <c r="JA827" s="405"/>
      <c r="JG827" s="83"/>
      <c r="JO827" s="405"/>
      <c r="JU827" s="83"/>
      <c r="KC827" s="405"/>
      <c r="KI827" s="83"/>
      <c r="KQ827" s="405"/>
      <c r="KW827" s="83"/>
      <c r="LE827" s="405"/>
      <c r="LK827" s="83"/>
      <c r="LS827" s="405"/>
      <c r="LY827" s="83"/>
      <c r="MG827" s="405"/>
      <c r="MM827" s="83"/>
      <c r="MU827" s="405"/>
      <c r="NA827" s="83"/>
    </row>
    <row r="828">
      <c r="A828" s="483"/>
      <c r="B828" s="380"/>
      <c r="C828" s="380"/>
      <c r="D828" s="380"/>
      <c r="E828" s="380"/>
      <c r="F828" s="380"/>
      <c r="G828" s="380"/>
      <c r="H828" s="380"/>
      <c r="I828" s="403"/>
      <c r="J828" s="380"/>
      <c r="K828" s="380"/>
      <c r="L828" s="380"/>
      <c r="M828" s="380"/>
      <c r="N828" s="380"/>
      <c r="O828" s="404"/>
      <c r="P828" s="380"/>
      <c r="Q828" s="380"/>
      <c r="R828" s="380"/>
      <c r="S828" s="380"/>
      <c r="T828" s="380"/>
      <c r="U828" s="380"/>
      <c r="V828" s="380"/>
      <c r="W828" s="403"/>
      <c r="X828" s="380"/>
      <c r="Y828" s="380"/>
      <c r="Z828" s="380"/>
      <c r="AA828" s="380"/>
      <c r="AB828" s="380"/>
      <c r="AC828" s="404"/>
      <c r="AD828" s="380"/>
      <c r="AE828" s="380"/>
      <c r="AF828" s="380"/>
      <c r="AG828" s="380"/>
      <c r="AH828" s="380"/>
      <c r="AI828" s="380"/>
      <c r="AJ828" s="380"/>
      <c r="AK828" s="403"/>
      <c r="AL828" s="380"/>
      <c r="AM828" s="380"/>
      <c r="AN828" s="380"/>
      <c r="AO828" s="380"/>
      <c r="AP828" s="380"/>
      <c r="AQ828" s="404"/>
      <c r="AR828" s="380"/>
      <c r="AS828" s="380"/>
      <c r="AT828" s="380"/>
      <c r="AU828" s="380"/>
      <c r="AV828" s="380"/>
      <c r="AW828" s="380"/>
      <c r="AX828" s="380"/>
      <c r="AY828" s="403"/>
      <c r="AZ828" s="380"/>
      <c r="BA828" s="380"/>
      <c r="BB828" s="380"/>
      <c r="BC828" s="380"/>
      <c r="BD828" s="380"/>
      <c r="BE828" s="404"/>
      <c r="BF828" s="380"/>
      <c r="BG828" s="380"/>
      <c r="BH828" s="380"/>
      <c r="BI828" s="380"/>
      <c r="BJ828" s="380"/>
      <c r="BK828" s="380"/>
      <c r="BL828" s="380"/>
      <c r="BM828" s="403"/>
      <c r="BS828" s="83"/>
      <c r="CA828" s="405"/>
      <c r="CG828" s="83"/>
      <c r="CO828" s="405"/>
      <c r="CU828" s="83"/>
      <c r="DC828" s="405"/>
      <c r="DI828" s="83"/>
      <c r="DQ828" s="405"/>
      <c r="DW828" s="83"/>
      <c r="EE828" s="405"/>
      <c r="EK828" s="83"/>
      <c r="ES828" s="405"/>
      <c r="EY828" s="83"/>
      <c r="FG828" s="405"/>
      <c r="FM828" s="83"/>
      <c r="FU828" s="405"/>
      <c r="GA828" s="83"/>
      <c r="GI828" s="405"/>
      <c r="GO828" s="83"/>
      <c r="GW828" s="405"/>
      <c r="HC828" s="83"/>
      <c r="HK828" s="405"/>
      <c r="HQ828" s="83"/>
      <c r="HY828" s="405"/>
      <c r="IE828" s="83"/>
      <c r="IM828" s="405"/>
      <c r="IS828" s="83"/>
      <c r="JA828" s="405"/>
      <c r="JG828" s="83"/>
      <c r="JO828" s="405"/>
      <c r="JU828" s="83"/>
      <c r="KC828" s="405"/>
      <c r="KI828" s="83"/>
      <c r="KQ828" s="405"/>
      <c r="KW828" s="83"/>
      <c r="LE828" s="405"/>
      <c r="LK828" s="83"/>
      <c r="LS828" s="405"/>
      <c r="LY828" s="83"/>
      <c r="MG828" s="405"/>
      <c r="MM828" s="83"/>
      <c r="MU828" s="405"/>
      <c r="NA828" s="83"/>
    </row>
    <row r="829">
      <c r="A829" s="483"/>
      <c r="B829" s="380"/>
      <c r="C829" s="380"/>
      <c r="D829" s="380"/>
      <c r="E829" s="380"/>
      <c r="F829" s="380"/>
      <c r="G829" s="380"/>
      <c r="H829" s="380"/>
      <c r="I829" s="403"/>
      <c r="J829" s="380"/>
      <c r="K829" s="380"/>
      <c r="L829" s="380"/>
      <c r="M829" s="380"/>
      <c r="N829" s="380"/>
      <c r="O829" s="404"/>
      <c r="P829" s="380"/>
      <c r="Q829" s="380"/>
      <c r="R829" s="380"/>
      <c r="S829" s="380"/>
      <c r="T829" s="380"/>
      <c r="U829" s="380"/>
      <c r="V829" s="380"/>
      <c r="W829" s="403"/>
      <c r="X829" s="380"/>
      <c r="Y829" s="380"/>
      <c r="Z829" s="380"/>
      <c r="AA829" s="380"/>
      <c r="AB829" s="380"/>
      <c r="AC829" s="404"/>
      <c r="AD829" s="380"/>
      <c r="AE829" s="380"/>
      <c r="AF829" s="380"/>
      <c r="AG829" s="380"/>
      <c r="AH829" s="380"/>
      <c r="AI829" s="380"/>
      <c r="AJ829" s="380"/>
      <c r="AK829" s="403"/>
      <c r="AL829" s="380"/>
      <c r="AM829" s="380"/>
      <c r="AN829" s="380"/>
      <c r="AO829" s="380"/>
      <c r="AP829" s="380"/>
      <c r="AQ829" s="404"/>
      <c r="AR829" s="380"/>
      <c r="AS829" s="380"/>
      <c r="AT829" s="380"/>
      <c r="AU829" s="380"/>
      <c r="AV829" s="380"/>
      <c r="AW829" s="380"/>
      <c r="AX829" s="380"/>
      <c r="AY829" s="403"/>
      <c r="AZ829" s="380"/>
      <c r="BA829" s="380"/>
      <c r="BB829" s="380"/>
      <c r="BC829" s="380"/>
      <c r="BD829" s="380"/>
      <c r="BE829" s="404"/>
      <c r="BF829" s="380"/>
      <c r="BG829" s="380"/>
      <c r="BH829" s="380"/>
      <c r="BI829" s="380"/>
      <c r="BJ829" s="380"/>
      <c r="BK829" s="380"/>
      <c r="BL829" s="380"/>
      <c r="BM829" s="403"/>
      <c r="BS829" s="83"/>
      <c r="CA829" s="405"/>
      <c r="CG829" s="83"/>
      <c r="CO829" s="405"/>
      <c r="CU829" s="83"/>
      <c r="DC829" s="405"/>
      <c r="DI829" s="83"/>
      <c r="DQ829" s="405"/>
      <c r="DW829" s="83"/>
      <c r="EE829" s="405"/>
      <c r="EK829" s="83"/>
      <c r="ES829" s="405"/>
      <c r="EY829" s="83"/>
      <c r="FG829" s="405"/>
      <c r="FM829" s="83"/>
      <c r="FU829" s="405"/>
      <c r="GA829" s="83"/>
      <c r="GI829" s="405"/>
      <c r="GO829" s="83"/>
      <c r="GW829" s="405"/>
      <c r="HC829" s="83"/>
      <c r="HK829" s="405"/>
      <c r="HQ829" s="83"/>
      <c r="HY829" s="405"/>
      <c r="IE829" s="83"/>
      <c r="IM829" s="405"/>
      <c r="IS829" s="83"/>
      <c r="JA829" s="405"/>
      <c r="JG829" s="83"/>
      <c r="JO829" s="405"/>
      <c r="JU829" s="83"/>
      <c r="KC829" s="405"/>
      <c r="KI829" s="83"/>
      <c r="KQ829" s="405"/>
      <c r="KW829" s="83"/>
      <c r="LE829" s="405"/>
      <c r="LK829" s="83"/>
      <c r="LS829" s="405"/>
      <c r="LY829" s="83"/>
      <c r="MG829" s="405"/>
      <c r="MM829" s="83"/>
      <c r="MU829" s="405"/>
      <c r="NA829" s="83"/>
    </row>
    <row r="830">
      <c r="A830" s="483"/>
      <c r="B830" s="380"/>
      <c r="C830" s="380"/>
      <c r="D830" s="380"/>
      <c r="E830" s="380"/>
      <c r="F830" s="380"/>
      <c r="G830" s="380"/>
      <c r="H830" s="380"/>
      <c r="I830" s="403"/>
      <c r="J830" s="380"/>
      <c r="K830" s="380"/>
      <c r="L830" s="380"/>
      <c r="M830" s="380"/>
      <c r="N830" s="380"/>
      <c r="O830" s="404"/>
      <c r="P830" s="380"/>
      <c r="Q830" s="380"/>
      <c r="R830" s="380"/>
      <c r="S830" s="380"/>
      <c r="T830" s="380"/>
      <c r="U830" s="380"/>
      <c r="V830" s="380"/>
      <c r="W830" s="403"/>
      <c r="X830" s="380"/>
      <c r="Y830" s="380"/>
      <c r="Z830" s="380"/>
      <c r="AA830" s="380"/>
      <c r="AB830" s="380"/>
      <c r="AC830" s="404"/>
      <c r="AD830" s="380"/>
      <c r="AE830" s="380"/>
      <c r="AF830" s="380"/>
      <c r="AG830" s="380"/>
      <c r="AH830" s="380"/>
      <c r="AI830" s="380"/>
      <c r="AJ830" s="380"/>
      <c r="AK830" s="403"/>
      <c r="AL830" s="380"/>
      <c r="AM830" s="380"/>
      <c r="AN830" s="380"/>
      <c r="AO830" s="380"/>
      <c r="AP830" s="380"/>
      <c r="AQ830" s="404"/>
      <c r="AR830" s="380"/>
      <c r="AS830" s="380"/>
      <c r="AT830" s="380"/>
      <c r="AU830" s="380"/>
      <c r="AV830" s="380"/>
      <c r="AW830" s="380"/>
      <c r="AX830" s="380"/>
      <c r="AY830" s="403"/>
      <c r="AZ830" s="380"/>
      <c r="BA830" s="380"/>
      <c r="BB830" s="380"/>
      <c r="BC830" s="380"/>
      <c r="BD830" s="380"/>
      <c r="BE830" s="404"/>
      <c r="BF830" s="380"/>
      <c r="BG830" s="380"/>
      <c r="BH830" s="380"/>
      <c r="BI830" s="380"/>
      <c r="BJ830" s="380"/>
      <c r="BK830" s="380"/>
      <c r="BL830" s="380"/>
      <c r="BM830" s="403"/>
      <c r="BS830" s="83"/>
      <c r="CA830" s="405"/>
      <c r="CG830" s="83"/>
      <c r="CO830" s="405"/>
      <c r="CU830" s="83"/>
      <c r="DC830" s="405"/>
      <c r="DI830" s="83"/>
      <c r="DQ830" s="405"/>
      <c r="DW830" s="83"/>
      <c r="EE830" s="405"/>
      <c r="EK830" s="83"/>
      <c r="ES830" s="405"/>
      <c r="EY830" s="83"/>
      <c r="FG830" s="405"/>
      <c r="FM830" s="83"/>
      <c r="FU830" s="405"/>
      <c r="GA830" s="83"/>
      <c r="GI830" s="405"/>
      <c r="GO830" s="83"/>
      <c r="GW830" s="405"/>
      <c r="HC830" s="83"/>
      <c r="HK830" s="405"/>
      <c r="HQ830" s="83"/>
      <c r="HY830" s="405"/>
      <c r="IE830" s="83"/>
      <c r="IM830" s="405"/>
      <c r="IS830" s="83"/>
      <c r="JA830" s="405"/>
      <c r="JG830" s="83"/>
      <c r="JO830" s="405"/>
      <c r="JU830" s="83"/>
      <c r="KC830" s="405"/>
      <c r="KI830" s="83"/>
      <c r="KQ830" s="405"/>
      <c r="KW830" s="83"/>
      <c r="LE830" s="405"/>
      <c r="LK830" s="83"/>
      <c r="LS830" s="405"/>
      <c r="LY830" s="83"/>
      <c r="MG830" s="405"/>
      <c r="MM830" s="83"/>
      <c r="MU830" s="405"/>
      <c r="NA830" s="83"/>
    </row>
    <row r="831">
      <c r="A831" s="483"/>
      <c r="B831" s="380"/>
      <c r="C831" s="380"/>
      <c r="D831" s="380"/>
      <c r="E831" s="380"/>
      <c r="F831" s="380"/>
      <c r="G831" s="380"/>
      <c r="H831" s="380"/>
      <c r="I831" s="403"/>
      <c r="J831" s="380"/>
      <c r="K831" s="380"/>
      <c r="L831" s="380"/>
      <c r="M831" s="380"/>
      <c r="N831" s="380"/>
      <c r="O831" s="404"/>
      <c r="P831" s="380"/>
      <c r="Q831" s="380"/>
      <c r="R831" s="380"/>
      <c r="S831" s="380"/>
      <c r="T831" s="380"/>
      <c r="U831" s="380"/>
      <c r="V831" s="380"/>
      <c r="W831" s="403"/>
      <c r="X831" s="380"/>
      <c r="Y831" s="380"/>
      <c r="Z831" s="380"/>
      <c r="AA831" s="380"/>
      <c r="AB831" s="380"/>
      <c r="AC831" s="404"/>
      <c r="AD831" s="380"/>
      <c r="AE831" s="380"/>
      <c r="AF831" s="380"/>
      <c r="AG831" s="380"/>
      <c r="AH831" s="380"/>
      <c r="AI831" s="380"/>
      <c r="AJ831" s="380"/>
      <c r="AK831" s="403"/>
      <c r="AL831" s="380"/>
      <c r="AM831" s="380"/>
      <c r="AN831" s="380"/>
      <c r="AO831" s="380"/>
      <c r="AP831" s="380"/>
      <c r="AQ831" s="404"/>
      <c r="AR831" s="380"/>
      <c r="AS831" s="380"/>
      <c r="AT831" s="380"/>
      <c r="AU831" s="380"/>
      <c r="AV831" s="380"/>
      <c r="AW831" s="380"/>
      <c r="AX831" s="380"/>
      <c r="AY831" s="403"/>
      <c r="AZ831" s="380"/>
      <c r="BA831" s="380"/>
      <c r="BB831" s="380"/>
      <c r="BC831" s="380"/>
      <c r="BD831" s="380"/>
      <c r="BE831" s="404"/>
      <c r="BF831" s="380"/>
      <c r="BG831" s="380"/>
      <c r="BH831" s="380"/>
      <c r="BI831" s="380"/>
      <c r="BJ831" s="380"/>
      <c r="BK831" s="380"/>
      <c r="BL831" s="380"/>
      <c r="BM831" s="403"/>
      <c r="BS831" s="83"/>
      <c r="CA831" s="405"/>
      <c r="CG831" s="83"/>
      <c r="CO831" s="405"/>
      <c r="CU831" s="83"/>
      <c r="DC831" s="405"/>
      <c r="DI831" s="83"/>
      <c r="DQ831" s="405"/>
      <c r="DW831" s="83"/>
      <c r="EE831" s="405"/>
      <c r="EK831" s="83"/>
      <c r="ES831" s="405"/>
      <c r="EY831" s="83"/>
      <c r="FG831" s="405"/>
      <c r="FM831" s="83"/>
      <c r="FU831" s="405"/>
      <c r="GA831" s="83"/>
      <c r="GI831" s="405"/>
      <c r="GO831" s="83"/>
      <c r="GW831" s="405"/>
      <c r="HC831" s="83"/>
      <c r="HK831" s="405"/>
      <c r="HQ831" s="83"/>
      <c r="HY831" s="405"/>
      <c r="IE831" s="83"/>
      <c r="IM831" s="405"/>
      <c r="IS831" s="83"/>
      <c r="JA831" s="405"/>
      <c r="JG831" s="83"/>
      <c r="JO831" s="405"/>
      <c r="JU831" s="83"/>
      <c r="KC831" s="405"/>
      <c r="KI831" s="83"/>
      <c r="KQ831" s="405"/>
      <c r="KW831" s="83"/>
      <c r="LE831" s="405"/>
      <c r="LK831" s="83"/>
      <c r="LS831" s="405"/>
      <c r="LY831" s="83"/>
      <c r="MG831" s="405"/>
      <c r="MM831" s="83"/>
      <c r="MU831" s="405"/>
      <c r="NA831" s="83"/>
    </row>
    <row r="832">
      <c r="A832" s="483"/>
      <c r="B832" s="380"/>
      <c r="C832" s="380"/>
      <c r="D832" s="380"/>
      <c r="E832" s="380"/>
      <c r="F832" s="380"/>
      <c r="G832" s="380"/>
      <c r="H832" s="380"/>
      <c r="I832" s="403"/>
      <c r="J832" s="380"/>
      <c r="K832" s="380"/>
      <c r="L832" s="380"/>
      <c r="M832" s="380"/>
      <c r="N832" s="380"/>
      <c r="O832" s="404"/>
      <c r="P832" s="380"/>
      <c r="Q832" s="380"/>
      <c r="R832" s="380"/>
      <c r="S832" s="380"/>
      <c r="T832" s="380"/>
      <c r="U832" s="380"/>
      <c r="V832" s="380"/>
      <c r="W832" s="403"/>
      <c r="X832" s="380"/>
      <c r="Y832" s="380"/>
      <c r="Z832" s="380"/>
      <c r="AA832" s="380"/>
      <c r="AB832" s="380"/>
      <c r="AC832" s="404"/>
      <c r="AD832" s="380"/>
      <c r="AE832" s="380"/>
      <c r="AF832" s="380"/>
      <c r="AG832" s="380"/>
      <c r="AH832" s="380"/>
      <c r="AI832" s="380"/>
      <c r="AJ832" s="380"/>
      <c r="AK832" s="403"/>
      <c r="AL832" s="380"/>
      <c r="AM832" s="380"/>
      <c r="AN832" s="380"/>
      <c r="AO832" s="380"/>
      <c r="AP832" s="380"/>
      <c r="AQ832" s="404"/>
      <c r="AR832" s="380"/>
      <c r="AS832" s="380"/>
      <c r="AT832" s="380"/>
      <c r="AU832" s="380"/>
      <c r="AV832" s="380"/>
      <c r="AW832" s="380"/>
      <c r="AX832" s="380"/>
      <c r="AY832" s="403"/>
      <c r="AZ832" s="380"/>
      <c r="BA832" s="380"/>
      <c r="BB832" s="380"/>
      <c r="BC832" s="380"/>
      <c r="BD832" s="380"/>
      <c r="BE832" s="404"/>
      <c r="BF832" s="380"/>
      <c r="BG832" s="380"/>
      <c r="BH832" s="380"/>
      <c r="BI832" s="380"/>
      <c r="BJ832" s="380"/>
      <c r="BK832" s="380"/>
      <c r="BL832" s="380"/>
      <c r="BM832" s="403"/>
      <c r="BS832" s="83"/>
      <c r="CA832" s="405"/>
      <c r="CG832" s="83"/>
      <c r="CO832" s="405"/>
      <c r="CU832" s="83"/>
      <c r="DC832" s="405"/>
      <c r="DI832" s="83"/>
      <c r="DQ832" s="405"/>
      <c r="DW832" s="83"/>
      <c r="EE832" s="405"/>
      <c r="EK832" s="83"/>
      <c r="ES832" s="405"/>
      <c r="EY832" s="83"/>
      <c r="FG832" s="405"/>
      <c r="FM832" s="83"/>
      <c r="FU832" s="405"/>
      <c r="GA832" s="83"/>
      <c r="GI832" s="405"/>
      <c r="GO832" s="83"/>
      <c r="GW832" s="405"/>
      <c r="HC832" s="83"/>
      <c r="HK832" s="405"/>
      <c r="HQ832" s="83"/>
      <c r="HY832" s="405"/>
      <c r="IE832" s="83"/>
      <c r="IM832" s="405"/>
      <c r="IS832" s="83"/>
      <c r="JA832" s="405"/>
      <c r="JG832" s="83"/>
      <c r="JO832" s="405"/>
      <c r="JU832" s="83"/>
      <c r="KC832" s="405"/>
      <c r="KI832" s="83"/>
      <c r="KQ832" s="405"/>
      <c r="KW832" s="83"/>
      <c r="LE832" s="405"/>
      <c r="LK832" s="83"/>
      <c r="LS832" s="405"/>
      <c r="LY832" s="83"/>
      <c r="MG832" s="405"/>
      <c r="MM832" s="83"/>
      <c r="MU832" s="405"/>
      <c r="NA832" s="83"/>
    </row>
    <row r="833">
      <c r="A833" s="483"/>
      <c r="B833" s="380"/>
      <c r="C833" s="380"/>
      <c r="D833" s="380"/>
      <c r="E833" s="380"/>
      <c r="F833" s="380"/>
      <c r="G833" s="380"/>
      <c r="H833" s="380"/>
      <c r="I833" s="493"/>
      <c r="J833" s="494"/>
      <c r="K833" s="494"/>
      <c r="L833" s="494"/>
      <c r="M833" s="494"/>
      <c r="N833" s="494"/>
      <c r="O833" s="495"/>
      <c r="P833" s="380"/>
      <c r="Q833" s="380"/>
      <c r="R833" s="380"/>
      <c r="S833" s="380"/>
      <c r="T833" s="380"/>
      <c r="U833" s="380"/>
      <c r="V833" s="380"/>
      <c r="W833" s="493"/>
      <c r="X833" s="494"/>
      <c r="Y833" s="494"/>
      <c r="Z833" s="494"/>
      <c r="AA833" s="494"/>
      <c r="AB833" s="494"/>
      <c r="AC833" s="495"/>
      <c r="AD833" s="380"/>
      <c r="AE833" s="380"/>
      <c r="AF833" s="380"/>
      <c r="AG833" s="380"/>
      <c r="AH833" s="380"/>
      <c r="AI833" s="380"/>
      <c r="AJ833" s="380"/>
      <c r="AK833" s="493"/>
      <c r="AL833" s="494"/>
      <c r="AM833" s="494"/>
      <c r="AN833" s="494"/>
      <c r="AO833" s="494"/>
      <c r="AP833" s="494"/>
      <c r="AQ833" s="495"/>
      <c r="AR833" s="380"/>
      <c r="AS833" s="380"/>
      <c r="AT833" s="380"/>
      <c r="AU833" s="380"/>
      <c r="AV833" s="380"/>
      <c r="AW833" s="380"/>
      <c r="AX833" s="380"/>
      <c r="AY833" s="493"/>
      <c r="AZ833" s="494"/>
      <c r="BA833" s="494"/>
      <c r="BB833" s="494"/>
      <c r="BC833" s="494"/>
      <c r="BD833" s="494"/>
      <c r="BE833" s="495"/>
      <c r="BF833" s="380"/>
      <c r="BG833" s="380"/>
      <c r="BH833" s="380"/>
      <c r="BI833" s="380"/>
      <c r="BJ833" s="380"/>
      <c r="BK833" s="380"/>
      <c r="BL833" s="380"/>
      <c r="BM833" s="493"/>
      <c r="BN833" s="23"/>
      <c r="BO833" s="23"/>
      <c r="BP833" s="23"/>
      <c r="BQ833" s="23"/>
      <c r="BR833" s="23"/>
      <c r="BS833" s="104"/>
      <c r="CA833" s="488"/>
      <c r="CB833" s="23"/>
      <c r="CC833" s="23"/>
      <c r="CD833" s="23"/>
      <c r="CE833" s="23"/>
      <c r="CF833" s="23"/>
      <c r="CG833" s="104"/>
      <c r="CO833" s="488"/>
      <c r="CP833" s="23"/>
      <c r="CQ833" s="23"/>
      <c r="CR833" s="23"/>
      <c r="CS833" s="23"/>
      <c r="CT833" s="23"/>
      <c r="CU833" s="104"/>
      <c r="DC833" s="488"/>
      <c r="DD833" s="23"/>
      <c r="DE833" s="23"/>
      <c r="DF833" s="23"/>
      <c r="DG833" s="23"/>
      <c r="DH833" s="23"/>
      <c r="DI833" s="104"/>
      <c r="DQ833" s="488"/>
      <c r="DR833" s="23"/>
      <c r="DS833" s="23"/>
      <c r="DT833" s="23"/>
      <c r="DU833" s="23"/>
      <c r="DV833" s="23"/>
      <c r="DW833" s="104"/>
      <c r="EE833" s="488"/>
      <c r="EF833" s="23"/>
      <c r="EG833" s="23"/>
      <c r="EH833" s="23"/>
      <c r="EI833" s="23"/>
      <c r="EJ833" s="23"/>
      <c r="EK833" s="104"/>
      <c r="ES833" s="488"/>
      <c r="ET833" s="23"/>
      <c r="EU833" s="23"/>
      <c r="EV833" s="23"/>
      <c r="EW833" s="23"/>
      <c r="EX833" s="23"/>
      <c r="EY833" s="104"/>
      <c r="FG833" s="488"/>
      <c r="FH833" s="23"/>
      <c r="FI833" s="23"/>
      <c r="FJ833" s="23"/>
      <c r="FK833" s="23"/>
      <c r="FL833" s="23"/>
      <c r="FM833" s="104"/>
      <c r="FU833" s="488"/>
      <c r="FV833" s="23"/>
      <c r="FW833" s="23"/>
      <c r="FX833" s="23"/>
      <c r="FY833" s="23"/>
      <c r="FZ833" s="23"/>
      <c r="GA833" s="104"/>
      <c r="GI833" s="488"/>
      <c r="GJ833" s="23"/>
      <c r="GK833" s="23"/>
      <c r="GL833" s="23"/>
      <c r="GM833" s="23"/>
      <c r="GN833" s="23"/>
      <c r="GO833" s="104"/>
      <c r="GW833" s="488"/>
      <c r="GX833" s="23"/>
      <c r="GY833" s="23"/>
      <c r="GZ833" s="23"/>
      <c r="HA833" s="23"/>
      <c r="HB833" s="23"/>
      <c r="HC833" s="104"/>
      <c r="HK833" s="488"/>
      <c r="HL833" s="23"/>
      <c r="HM833" s="23"/>
      <c r="HN833" s="23"/>
      <c r="HO833" s="23"/>
      <c r="HP833" s="23"/>
      <c r="HQ833" s="104"/>
      <c r="HY833" s="488"/>
      <c r="HZ833" s="23"/>
      <c r="IA833" s="23"/>
      <c r="IB833" s="23"/>
      <c r="IC833" s="23"/>
      <c r="ID833" s="23"/>
      <c r="IE833" s="104"/>
      <c r="IM833" s="488"/>
      <c r="IN833" s="23"/>
      <c r="IO833" s="23"/>
      <c r="IP833" s="23"/>
      <c r="IQ833" s="23"/>
      <c r="IR833" s="23"/>
      <c r="IS833" s="104"/>
      <c r="JA833" s="488"/>
      <c r="JB833" s="23"/>
      <c r="JC833" s="23"/>
      <c r="JD833" s="23"/>
      <c r="JE833" s="23"/>
      <c r="JF833" s="23"/>
      <c r="JG833" s="104"/>
      <c r="JO833" s="488"/>
      <c r="JP833" s="23"/>
      <c r="JQ833" s="23"/>
      <c r="JR833" s="23"/>
      <c r="JS833" s="23"/>
      <c r="JT833" s="23"/>
      <c r="JU833" s="104"/>
      <c r="KC833" s="488"/>
      <c r="KD833" s="23"/>
      <c r="KE833" s="23"/>
      <c r="KF833" s="23"/>
      <c r="KG833" s="23"/>
      <c r="KH833" s="23"/>
      <c r="KI833" s="104"/>
      <c r="KQ833" s="488"/>
      <c r="KR833" s="23"/>
      <c r="KS833" s="23"/>
      <c r="KT833" s="23"/>
      <c r="KU833" s="23"/>
      <c r="KV833" s="23"/>
      <c r="KW833" s="104"/>
      <c r="LE833" s="488"/>
      <c r="LF833" s="23"/>
      <c r="LG833" s="23"/>
      <c r="LH833" s="23"/>
      <c r="LI833" s="23"/>
      <c r="LJ833" s="23"/>
      <c r="LK833" s="104"/>
      <c r="LS833" s="488"/>
      <c r="LT833" s="23"/>
      <c r="LU833" s="23"/>
      <c r="LV833" s="23"/>
      <c r="LW833" s="23"/>
      <c r="LX833" s="23"/>
      <c r="LY833" s="104"/>
      <c r="MG833" s="488"/>
      <c r="MH833" s="23"/>
      <c r="MI833" s="23"/>
      <c r="MJ833" s="23"/>
      <c r="MK833" s="23"/>
      <c r="ML833" s="23"/>
      <c r="MM833" s="104"/>
      <c r="MU833" s="488"/>
      <c r="MV833" s="23"/>
      <c r="MW833" s="23"/>
      <c r="MX833" s="23"/>
      <c r="MY833" s="23"/>
      <c r="MZ833" s="23"/>
      <c r="NA833" s="104"/>
    </row>
  </sheetData>
  <mergeCells count="3312">
    <mergeCell ref="AY53:BE53"/>
    <mergeCell ref="AY54:BE54"/>
    <mergeCell ref="AR51:AX51"/>
    <mergeCell ref="AY51:BE51"/>
    <mergeCell ref="AD51:AJ51"/>
    <mergeCell ref="AK51:AQ51"/>
    <mergeCell ref="BT53:BZ53"/>
    <mergeCell ref="BT51:BZ51"/>
    <mergeCell ref="BM51:BS51"/>
    <mergeCell ref="W54:AC54"/>
    <mergeCell ref="W51:AC51"/>
    <mergeCell ref="AD54:AJ54"/>
    <mergeCell ref="BF51:BL51"/>
    <mergeCell ref="B56:H56"/>
    <mergeCell ref="B58:H58"/>
    <mergeCell ref="B57:H57"/>
    <mergeCell ref="B59:H59"/>
    <mergeCell ref="I54:O54"/>
    <mergeCell ref="I55:O55"/>
    <mergeCell ref="I59:O59"/>
    <mergeCell ref="I57:O57"/>
    <mergeCell ref="I56:O56"/>
    <mergeCell ref="I58:O58"/>
    <mergeCell ref="W53:AC53"/>
    <mergeCell ref="I53:O53"/>
    <mergeCell ref="I50:O50"/>
    <mergeCell ref="B55:H55"/>
    <mergeCell ref="B54:H54"/>
    <mergeCell ref="B53:H53"/>
    <mergeCell ref="P51:V51"/>
    <mergeCell ref="AD59:AJ59"/>
    <mergeCell ref="W59:AC59"/>
    <mergeCell ref="W58:AC58"/>
    <mergeCell ref="AD58:AJ58"/>
    <mergeCell ref="P56:V56"/>
    <mergeCell ref="P55:V55"/>
    <mergeCell ref="W56:AC56"/>
    <mergeCell ref="W55:AC55"/>
    <mergeCell ref="AK59:AQ59"/>
    <mergeCell ref="AK58:AQ58"/>
    <mergeCell ref="AR59:AX59"/>
    <mergeCell ref="B47:H47"/>
    <mergeCell ref="B48:H48"/>
    <mergeCell ref="P47:V47"/>
    <mergeCell ref="W47:AJ47"/>
    <mergeCell ref="I47:O47"/>
    <mergeCell ref="AD48:AJ48"/>
    <mergeCell ref="W48:AC48"/>
    <mergeCell ref="W50:AC50"/>
    <mergeCell ref="I48:O48"/>
    <mergeCell ref="B49:H49"/>
    <mergeCell ref="I49:O49"/>
    <mergeCell ref="B50:H50"/>
    <mergeCell ref="P50:V50"/>
    <mergeCell ref="P48:V48"/>
    <mergeCell ref="AK48:AQ48"/>
    <mergeCell ref="AY50:BE50"/>
    <mergeCell ref="AY49:BE49"/>
    <mergeCell ref="BF49:BL49"/>
    <mergeCell ref="BF50:BL50"/>
    <mergeCell ref="BT50:BZ50"/>
    <mergeCell ref="CA50:CG50"/>
    <mergeCell ref="BM50:BS50"/>
    <mergeCell ref="AK49:AQ49"/>
    <mergeCell ref="BM49:CN49"/>
    <mergeCell ref="AD50:AJ50"/>
    <mergeCell ref="AD49:AJ49"/>
    <mergeCell ref="AD53:AJ53"/>
    <mergeCell ref="AK53:AQ53"/>
    <mergeCell ref="AD56:AJ56"/>
    <mergeCell ref="AK56:AQ56"/>
    <mergeCell ref="AD55:AJ55"/>
    <mergeCell ref="AK55:AQ55"/>
    <mergeCell ref="I51:O51"/>
    <mergeCell ref="B51:H51"/>
    <mergeCell ref="BF53:BL53"/>
    <mergeCell ref="BF54:BL54"/>
    <mergeCell ref="BF48:BL48"/>
    <mergeCell ref="AY56:BE56"/>
    <mergeCell ref="AY55:BE55"/>
    <mergeCell ref="AR56:AX56"/>
    <mergeCell ref="AR55:AX55"/>
    <mergeCell ref="AY48:BE48"/>
    <mergeCell ref="P54:V54"/>
    <mergeCell ref="P53:V53"/>
    <mergeCell ref="P49:V49"/>
    <mergeCell ref="W49:AC49"/>
    <mergeCell ref="AK50:AQ50"/>
    <mergeCell ref="AR50:AX50"/>
    <mergeCell ref="BT47:CN47"/>
    <mergeCell ref="BM47:BS47"/>
    <mergeCell ref="BM48:CN48"/>
    <mergeCell ref="CA55:CG55"/>
    <mergeCell ref="CH55:CN55"/>
    <mergeCell ref="BT54:BZ54"/>
    <mergeCell ref="CA53:CG53"/>
    <mergeCell ref="CH53:CN53"/>
    <mergeCell ref="CA54:CG54"/>
    <mergeCell ref="CH50:CN50"/>
    <mergeCell ref="AR67:AX67"/>
    <mergeCell ref="AR66:AX66"/>
    <mergeCell ref="AD66:AJ66"/>
    <mergeCell ref="AK66:AQ66"/>
    <mergeCell ref="AK64:AQ64"/>
    <mergeCell ref="AY67:BE67"/>
    <mergeCell ref="BF67:BL67"/>
    <mergeCell ref="AK67:AQ67"/>
    <mergeCell ref="AD67:AJ67"/>
    <mergeCell ref="AY65:BE65"/>
    <mergeCell ref="AR65:AX65"/>
    <mergeCell ref="AR64:AX64"/>
    <mergeCell ref="B63:H63"/>
    <mergeCell ref="B64:H64"/>
    <mergeCell ref="I63:O63"/>
    <mergeCell ref="P63:V63"/>
    <mergeCell ref="I66:O66"/>
    <mergeCell ref="I67:O67"/>
    <mergeCell ref="P67:V67"/>
    <mergeCell ref="B67:H67"/>
    <mergeCell ref="P66:V66"/>
    <mergeCell ref="B66:H66"/>
    <mergeCell ref="B65:H65"/>
    <mergeCell ref="W65:AC65"/>
    <mergeCell ref="W64:AC64"/>
    <mergeCell ref="W67:AC67"/>
    <mergeCell ref="W66:AC66"/>
    <mergeCell ref="AD64:AJ64"/>
    <mergeCell ref="AD65:AJ65"/>
    <mergeCell ref="BF66:BL66"/>
    <mergeCell ref="AY66:BE66"/>
    <mergeCell ref="BT64:BZ64"/>
    <mergeCell ref="BF65:BL65"/>
    <mergeCell ref="AD63:AJ63"/>
    <mergeCell ref="AK63:AQ63"/>
    <mergeCell ref="CH63:CN63"/>
    <mergeCell ref="CH64:CN64"/>
    <mergeCell ref="AR63:AX63"/>
    <mergeCell ref="CA64:CG64"/>
    <mergeCell ref="I65:O65"/>
    <mergeCell ref="P65:V65"/>
    <mergeCell ref="W63:AC63"/>
    <mergeCell ref="EL56:ER56"/>
    <mergeCell ref="EL54:ER54"/>
    <mergeCell ref="EE53:EK53"/>
    <mergeCell ref="EE54:EK54"/>
    <mergeCell ref="ES56:EY56"/>
    <mergeCell ref="ES54:EY54"/>
    <mergeCell ref="EL48:ER48"/>
    <mergeCell ref="ES49:EY49"/>
    <mergeCell ref="EL49:ER49"/>
    <mergeCell ref="EE57:EK57"/>
    <mergeCell ref="EE56:EK56"/>
    <mergeCell ref="EL57:ER57"/>
    <mergeCell ref="EL53:ER53"/>
    <mergeCell ref="ES55:EY55"/>
    <mergeCell ref="ES57:EY57"/>
    <mergeCell ref="ES58:EY58"/>
    <mergeCell ref="EL58:ER58"/>
    <mergeCell ref="CV58:DB58"/>
    <mergeCell ref="DC58:DI58"/>
    <mergeCell ref="EE58:EK58"/>
    <mergeCell ref="FN58:FT58"/>
    <mergeCell ref="CV55:DB55"/>
    <mergeCell ref="CO55:CU55"/>
    <mergeCell ref="CO53:CU53"/>
    <mergeCell ref="DX55:ED55"/>
    <mergeCell ref="DX53:ED53"/>
    <mergeCell ref="DX54:ED54"/>
    <mergeCell ref="CA51:CG51"/>
    <mergeCell ref="CH51:CN51"/>
    <mergeCell ref="DC50:DI50"/>
    <mergeCell ref="DJ50:DQ50"/>
    <mergeCell ref="DC49:DI49"/>
    <mergeCell ref="CV49:DB49"/>
    <mergeCell ref="EE48:EK48"/>
    <mergeCell ref="DR48:DW48"/>
    <mergeCell ref="DX48:ED48"/>
    <mergeCell ref="DJ48:DQ48"/>
    <mergeCell ref="DC48:DI48"/>
    <mergeCell ref="CO50:CU50"/>
    <mergeCell ref="CO49:CU49"/>
    <mergeCell ref="BF47:BL47"/>
    <mergeCell ref="AY47:BE47"/>
    <mergeCell ref="CO47:CU47"/>
    <mergeCell ref="CV47:DB47"/>
    <mergeCell ref="CV50:DB50"/>
    <mergeCell ref="CO51:CU51"/>
    <mergeCell ref="CV51:DB51"/>
    <mergeCell ref="CO48:CU48"/>
    <mergeCell ref="CV48:DB48"/>
    <mergeCell ref="GB51:GH51"/>
    <mergeCell ref="FU51:GA51"/>
    <mergeCell ref="FG49:FM49"/>
    <mergeCell ref="FN49:FT49"/>
    <mergeCell ref="DR49:DW49"/>
    <mergeCell ref="DX49:ED49"/>
    <mergeCell ref="DJ49:DQ49"/>
    <mergeCell ref="EE49:EK49"/>
    <mergeCell ref="GB48:GH48"/>
    <mergeCell ref="GB49:GH49"/>
    <mergeCell ref="GB47:GH47"/>
    <mergeCell ref="GB50:GH50"/>
    <mergeCell ref="FG51:FM51"/>
    <mergeCell ref="FN51:FT51"/>
    <mergeCell ref="ES51:EY51"/>
    <mergeCell ref="EZ51:FF51"/>
    <mergeCell ref="DX51:ED51"/>
    <mergeCell ref="DQ51:DW51"/>
    <mergeCell ref="DJ51:DP51"/>
    <mergeCell ref="DC51:DI51"/>
    <mergeCell ref="ES47:EY47"/>
    <mergeCell ref="ES48:EY48"/>
    <mergeCell ref="DX47:ED47"/>
    <mergeCell ref="DR47:DW47"/>
    <mergeCell ref="EZ47:FF47"/>
    <mergeCell ref="DJ47:DQ47"/>
    <mergeCell ref="DC47:DI47"/>
    <mergeCell ref="EZ50:FF50"/>
    <mergeCell ref="FG50:FM50"/>
    <mergeCell ref="FN50:FT50"/>
    <mergeCell ref="FU50:GA50"/>
    <mergeCell ref="EE51:EK51"/>
    <mergeCell ref="EL51:ER51"/>
    <mergeCell ref="DR50:DW50"/>
    <mergeCell ref="DX50:ED50"/>
    <mergeCell ref="EL50:ER50"/>
    <mergeCell ref="EE50:EK50"/>
    <mergeCell ref="ES50:EY50"/>
    <mergeCell ref="CV59:DB59"/>
    <mergeCell ref="CO59:CU59"/>
    <mergeCell ref="DQ59:DW59"/>
    <mergeCell ref="DQ60:DW60"/>
    <mergeCell ref="DJ58:DP58"/>
    <mergeCell ref="DX58:ED58"/>
    <mergeCell ref="DJ63:DP63"/>
    <mergeCell ref="DQ63:DW63"/>
    <mergeCell ref="DX64:ED64"/>
    <mergeCell ref="DJ64:DP64"/>
    <mergeCell ref="DX63:ED63"/>
    <mergeCell ref="DX59:ED59"/>
    <mergeCell ref="DC60:DI60"/>
    <mergeCell ref="DC59:DI59"/>
    <mergeCell ref="CV57:DB57"/>
    <mergeCell ref="CO57:CU57"/>
    <mergeCell ref="CV63:DB63"/>
    <mergeCell ref="CO63:CU63"/>
    <mergeCell ref="DC63:DI63"/>
    <mergeCell ref="CN62:DQ62"/>
    <mergeCell ref="DC64:DI64"/>
    <mergeCell ref="CA59:CG59"/>
    <mergeCell ref="BT59:BZ59"/>
    <mergeCell ref="BM61:BS61"/>
    <mergeCell ref="BF61:BL61"/>
    <mergeCell ref="AR60:AX60"/>
    <mergeCell ref="AY60:BE60"/>
    <mergeCell ref="CA58:CG58"/>
    <mergeCell ref="BM57:BS57"/>
    <mergeCell ref="AR61:AX61"/>
    <mergeCell ref="BT58:BZ58"/>
    <mergeCell ref="BT57:BZ57"/>
    <mergeCell ref="BM59:BS59"/>
    <mergeCell ref="BF57:BL57"/>
    <mergeCell ref="AD57:AJ57"/>
    <mergeCell ref="AD61:AJ61"/>
    <mergeCell ref="AK61:AQ61"/>
    <mergeCell ref="W61:AC61"/>
    <mergeCell ref="AK60:AQ60"/>
    <mergeCell ref="W60:AC60"/>
    <mergeCell ref="AD60:AJ60"/>
    <mergeCell ref="I60:O60"/>
    <mergeCell ref="P60:V60"/>
    <mergeCell ref="W57:AC57"/>
    <mergeCell ref="AK57:AQ57"/>
    <mergeCell ref="P57:V57"/>
    <mergeCell ref="P58:V58"/>
    <mergeCell ref="P59:V59"/>
    <mergeCell ref="B60:H60"/>
    <mergeCell ref="I61:O61"/>
    <mergeCell ref="EE55:EK55"/>
    <mergeCell ref="DQ55:DW55"/>
    <mergeCell ref="EL55:ER55"/>
    <mergeCell ref="CV56:DB56"/>
    <mergeCell ref="CO56:CU56"/>
    <mergeCell ref="CH59:CN59"/>
    <mergeCell ref="CH58:CO58"/>
    <mergeCell ref="EE59:EK59"/>
    <mergeCell ref="DQ56:DW56"/>
    <mergeCell ref="CA56:CG56"/>
    <mergeCell ref="DJ60:DP60"/>
    <mergeCell ref="DJ59:DP59"/>
    <mergeCell ref="GI61:GO61"/>
    <mergeCell ref="GI60:GO60"/>
    <mergeCell ref="GI57:GO57"/>
    <mergeCell ref="EZ59:FF59"/>
    <mergeCell ref="FG61:FM61"/>
    <mergeCell ref="FN60:FT60"/>
    <mergeCell ref="EL60:EY60"/>
    <mergeCell ref="EE60:EK60"/>
    <mergeCell ref="ES59:EY59"/>
    <mergeCell ref="EL59:ER59"/>
    <mergeCell ref="BF60:BL60"/>
    <mergeCell ref="BF58:BL58"/>
    <mergeCell ref="BM58:BS58"/>
    <mergeCell ref="BM60:BS60"/>
    <mergeCell ref="CA60:CG60"/>
    <mergeCell ref="I64:O64"/>
    <mergeCell ref="P64:V64"/>
    <mergeCell ref="AG62:BH62"/>
    <mergeCell ref="B62:AF62"/>
    <mergeCell ref="B61:H61"/>
    <mergeCell ref="P61:V61"/>
    <mergeCell ref="EZ48:FF48"/>
    <mergeCell ref="EZ49:FF49"/>
    <mergeCell ref="FN48:FT48"/>
    <mergeCell ref="FN47:FT47"/>
    <mergeCell ref="FG47:FM47"/>
    <mergeCell ref="FU48:GA48"/>
    <mergeCell ref="FU47:GA47"/>
    <mergeCell ref="FU49:GA49"/>
    <mergeCell ref="FG48:FM48"/>
    <mergeCell ref="GI54:GO54"/>
    <mergeCell ref="GB54:GH54"/>
    <mergeCell ref="AK54:AQ54"/>
    <mergeCell ref="AR54:AX54"/>
    <mergeCell ref="EZ57:FF57"/>
    <mergeCell ref="EZ58:FF58"/>
    <mergeCell ref="EZ56:FF56"/>
    <mergeCell ref="FG56:FM56"/>
    <mergeCell ref="FN56:FT56"/>
    <mergeCell ref="FU56:GA56"/>
    <mergeCell ref="GB56:GH56"/>
    <mergeCell ref="BM56:BS56"/>
    <mergeCell ref="BM55:BS55"/>
    <mergeCell ref="BT55:BZ55"/>
    <mergeCell ref="BF55:BL55"/>
    <mergeCell ref="BF56:BL56"/>
    <mergeCell ref="BF59:BL59"/>
    <mergeCell ref="AY59:BE59"/>
    <mergeCell ref="DQ57:DW57"/>
    <mergeCell ref="DC57:DI57"/>
    <mergeCell ref="AR58:AX58"/>
    <mergeCell ref="AY57:BE57"/>
    <mergeCell ref="AR57:AX57"/>
    <mergeCell ref="AY58:BE58"/>
    <mergeCell ref="BT56:BZ56"/>
    <mergeCell ref="IT55:IZ55"/>
    <mergeCell ref="JA55:JG55"/>
    <mergeCell ref="JA59:JG59"/>
    <mergeCell ref="IT59:IZ59"/>
    <mergeCell ref="JA54:JG54"/>
    <mergeCell ref="HK59:HQ59"/>
    <mergeCell ref="HR59:HX59"/>
    <mergeCell ref="IM59:IS59"/>
    <mergeCell ref="HD56:HJ56"/>
    <mergeCell ref="GP56:GV56"/>
    <mergeCell ref="GP59:GV59"/>
    <mergeCell ref="GW59:HC59"/>
    <mergeCell ref="GW56:HC56"/>
    <mergeCell ref="GI56:GO56"/>
    <mergeCell ref="GI59:GO59"/>
    <mergeCell ref="CH56:CN56"/>
    <mergeCell ref="CH54:CN54"/>
    <mergeCell ref="CO54:CU54"/>
    <mergeCell ref="DJ55:DP55"/>
    <mergeCell ref="DQ54:DW54"/>
    <mergeCell ref="DJ54:DP54"/>
    <mergeCell ref="DC54:DI54"/>
    <mergeCell ref="DC55:DI55"/>
    <mergeCell ref="DJ56:DP56"/>
    <mergeCell ref="DC56:DI56"/>
    <mergeCell ref="FU53:GA53"/>
    <mergeCell ref="FN53:FT53"/>
    <mergeCell ref="EZ53:FF53"/>
    <mergeCell ref="ES53:EY53"/>
    <mergeCell ref="GI53:GO53"/>
    <mergeCell ref="GP53:GV53"/>
    <mergeCell ref="GW53:HC53"/>
    <mergeCell ref="GB53:GH53"/>
    <mergeCell ref="FG53:FM53"/>
    <mergeCell ref="HR53:HX53"/>
    <mergeCell ref="HK53:HQ53"/>
    <mergeCell ref="HD53:HJ53"/>
    <mergeCell ref="IF53:IL53"/>
    <mergeCell ref="HR55:HX55"/>
    <mergeCell ref="HY55:IE55"/>
    <mergeCell ref="HY54:IE54"/>
    <mergeCell ref="HY53:IE53"/>
    <mergeCell ref="HR54:HX54"/>
    <mergeCell ref="DC53:DI53"/>
    <mergeCell ref="DJ53:DP53"/>
    <mergeCell ref="DQ53:DW53"/>
    <mergeCell ref="BM53:BS53"/>
    <mergeCell ref="BM54:BS54"/>
    <mergeCell ref="CV53:DB53"/>
    <mergeCell ref="CV54:DB54"/>
    <mergeCell ref="CO44:DP44"/>
    <mergeCell ref="BT44:CN44"/>
    <mergeCell ref="DX45:ED45"/>
    <mergeCell ref="DX44:ED44"/>
    <mergeCell ref="AK47:AQ47"/>
    <mergeCell ref="AK44:AX44"/>
    <mergeCell ref="DQ44:DW44"/>
    <mergeCell ref="EL45:ER45"/>
    <mergeCell ref="EL44:ER44"/>
    <mergeCell ref="BM44:BS44"/>
    <mergeCell ref="AK45:AQ45"/>
    <mergeCell ref="EL43:ER43"/>
    <mergeCell ref="EE43:EK43"/>
    <mergeCell ref="EE45:EK45"/>
    <mergeCell ref="EE44:EK44"/>
    <mergeCell ref="DQ42:DW42"/>
    <mergeCell ref="DX42:ED42"/>
    <mergeCell ref="DX43:ED43"/>
    <mergeCell ref="EE42:EK42"/>
    <mergeCell ref="DQ43:DW43"/>
    <mergeCell ref="AY45:BS45"/>
    <mergeCell ref="BT45:BZ45"/>
    <mergeCell ref="AK43:CN43"/>
    <mergeCell ref="DQ45:DW45"/>
    <mergeCell ref="CO45:DP45"/>
    <mergeCell ref="BM46:BS46"/>
    <mergeCell ref="BT46:DB46"/>
    <mergeCell ref="DC46:DI46"/>
    <mergeCell ref="DJ46:DP46"/>
    <mergeCell ref="AR53:AX53"/>
    <mergeCell ref="AR48:AX48"/>
    <mergeCell ref="AR49:AX49"/>
    <mergeCell ref="BF40:BL40"/>
    <mergeCell ref="AR47:AX47"/>
    <mergeCell ref="AK46:BL46"/>
    <mergeCell ref="AY44:BE44"/>
    <mergeCell ref="AK40:AQ40"/>
    <mergeCell ref="CV43:DB43"/>
    <mergeCell ref="CO43:CU43"/>
    <mergeCell ref="CA45:CG45"/>
    <mergeCell ref="CH45:CN45"/>
    <mergeCell ref="CA40:CG40"/>
    <mergeCell ref="BT40:BZ40"/>
    <mergeCell ref="CA41:CG41"/>
    <mergeCell ref="CV41:DB41"/>
    <mergeCell ref="CO42:DP42"/>
    <mergeCell ref="DC43:DP43"/>
    <mergeCell ref="FU59:GA59"/>
    <mergeCell ref="GB59:GH59"/>
    <mergeCell ref="FN45:FT45"/>
    <mergeCell ref="EZ42:FF42"/>
    <mergeCell ref="EZ44:FF44"/>
    <mergeCell ref="ES44:EY44"/>
    <mergeCell ref="ES43:EY43"/>
    <mergeCell ref="FG57:FM57"/>
    <mergeCell ref="FU57:GA57"/>
    <mergeCell ref="FN59:FT59"/>
    <mergeCell ref="FG59:FM59"/>
    <mergeCell ref="FU58:GA58"/>
    <mergeCell ref="FG58:FM58"/>
    <mergeCell ref="FN57:FT57"/>
    <mergeCell ref="LZ57:MF57"/>
    <mergeCell ref="LS57:LY57"/>
    <mergeCell ref="MG57:MM57"/>
    <mergeCell ref="MG56:MM56"/>
    <mergeCell ref="LZ55:MF55"/>
    <mergeCell ref="LZ56:MF56"/>
    <mergeCell ref="LS56:LY56"/>
    <mergeCell ref="LS53:LY53"/>
    <mergeCell ref="LZ53:MF53"/>
    <mergeCell ref="MN53:MT53"/>
    <mergeCell ref="MU53:NA53"/>
    <mergeCell ref="KC53:KI53"/>
    <mergeCell ref="JV53:KB53"/>
    <mergeCell ref="JV54:KB54"/>
    <mergeCell ref="JV55:KB55"/>
    <mergeCell ref="MG55:MM55"/>
    <mergeCell ref="MG53:MM53"/>
    <mergeCell ref="LE53:LK53"/>
    <mergeCell ref="KX53:LD53"/>
    <mergeCell ref="LL53:LR53"/>
    <mergeCell ref="KJ53:KP53"/>
    <mergeCell ref="KQ53:KW53"/>
    <mergeCell ref="JO58:JU58"/>
    <mergeCell ref="IT58:IZ58"/>
    <mergeCell ref="JH58:JN58"/>
    <mergeCell ref="JA58:JG58"/>
    <mergeCell ref="JV57:KB57"/>
    <mergeCell ref="JV58:KB58"/>
    <mergeCell ref="CA57:CG57"/>
    <mergeCell ref="CH57:CN57"/>
    <mergeCell ref="DQ58:DW58"/>
    <mergeCell ref="HR58:HX58"/>
    <mergeCell ref="HK58:HQ58"/>
    <mergeCell ref="JO57:JU57"/>
    <mergeCell ref="IM58:IS58"/>
    <mergeCell ref="IF58:IL58"/>
    <mergeCell ref="DX57:ED57"/>
    <mergeCell ref="DJ57:DP57"/>
    <mergeCell ref="GP57:GV57"/>
    <mergeCell ref="GB57:GH57"/>
    <mergeCell ref="GB58:GH58"/>
    <mergeCell ref="GI58:GO58"/>
    <mergeCell ref="GP58:GV58"/>
    <mergeCell ref="GW58:HC58"/>
    <mergeCell ref="HD57:HJ57"/>
    <mergeCell ref="HD58:HJ58"/>
    <mergeCell ref="JH57:JN57"/>
    <mergeCell ref="JA57:JG57"/>
    <mergeCell ref="JO56:JU56"/>
    <mergeCell ref="JV56:KB56"/>
    <mergeCell ref="LL56:LR56"/>
    <mergeCell ref="KX56:LD56"/>
    <mergeCell ref="JH55:JN55"/>
    <mergeCell ref="IM55:IS55"/>
    <mergeCell ref="IF55:IL55"/>
    <mergeCell ref="LE55:LK55"/>
    <mergeCell ref="LL55:LR55"/>
    <mergeCell ref="JO54:JU54"/>
    <mergeCell ref="JO55:JU55"/>
    <mergeCell ref="JA53:JG53"/>
    <mergeCell ref="IT53:IZ53"/>
    <mergeCell ref="JH53:JN53"/>
    <mergeCell ref="JO53:JU53"/>
    <mergeCell ref="JH56:JN56"/>
    <mergeCell ref="JA56:JG56"/>
    <mergeCell ref="JH54:JN54"/>
    <mergeCell ref="IM53:IS53"/>
    <mergeCell ref="HY46:IE46"/>
    <mergeCell ref="HR46:HX46"/>
    <mergeCell ref="HK46:HQ46"/>
    <mergeCell ref="HK47:HQ47"/>
    <mergeCell ref="HD47:HJ47"/>
    <mergeCell ref="GP46:GV46"/>
    <mergeCell ref="IT44:IZ44"/>
    <mergeCell ref="HR44:HX44"/>
    <mergeCell ref="HD44:HJ44"/>
    <mergeCell ref="HY44:IE44"/>
    <mergeCell ref="IF44:IL44"/>
    <mergeCell ref="IM44:IS44"/>
    <mergeCell ref="JO44:JU44"/>
    <mergeCell ref="JH44:JN44"/>
    <mergeCell ref="JA46:JG46"/>
    <mergeCell ref="IT46:IZ46"/>
    <mergeCell ref="JV46:KB46"/>
    <mergeCell ref="JH46:JN46"/>
    <mergeCell ref="JA44:JG44"/>
    <mergeCell ref="JA45:JG45"/>
    <mergeCell ref="JH45:JN45"/>
    <mergeCell ref="BF41:BL41"/>
    <mergeCell ref="AK41:AQ41"/>
    <mergeCell ref="BM40:BS40"/>
    <mergeCell ref="CO41:CU41"/>
    <mergeCell ref="CO40:CU40"/>
    <mergeCell ref="CH40:CN40"/>
    <mergeCell ref="CH41:CN41"/>
    <mergeCell ref="HD40:HJ40"/>
    <mergeCell ref="HK40:HQ40"/>
    <mergeCell ref="GP41:GV41"/>
    <mergeCell ref="GW41:HC41"/>
    <mergeCell ref="EL42:EY42"/>
    <mergeCell ref="BM41:BS41"/>
    <mergeCell ref="BT41:BZ41"/>
    <mergeCell ref="HD41:HJ41"/>
    <mergeCell ref="HR41:HX41"/>
    <mergeCell ref="HK41:HQ41"/>
    <mergeCell ref="IM40:IS40"/>
    <mergeCell ref="IF40:IL40"/>
    <mergeCell ref="GI41:GO41"/>
    <mergeCell ref="ES67:EY67"/>
    <mergeCell ref="EZ67:FF67"/>
    <mergeCell ref="ES66:EY66"/>
    <mergeCell ref="EZ66:FF66"/>
    <mergeCell ref="DX67:ED67"/>
    <mergeCell ref="EE67:EK67"/>
    <mergeCell ref="DQ66:DW66"/>
    <mergeCell ref="DX66:ED66"/>
    <mergeCell ref="DC65:DI65"/>
    <mergeCell ref="DJ65:DP65"/>
    <mergeCell ref="EE66:EK66"/>
    <mergeCell ref="EL66:ER66"/>
    <mergeCell ref="EE65:EK65"/>
    <mergeCell ref="DX65:ED65"/>
    <mergeCell ref="ES65:EY65"/>
    <mergeCell ref="EZ65:FF65"/>
    <mergeCell ref="DJ66:DP66"/>
    <mergeCell ref="DC66:DI66"/>
    <mergeCell ref="DJ67:DP67"/>
    <mergeCell ref="DQ67:DW67"/>
    <mergeCell ref="EL67:ER67"/>
    <mergeCell ref="DQ65:DW65"/>
    <mergeCell ref="CO61:CU61"/>
    <mergeCell ref="EZ61:FF61"/>
    <mergeCell ref="ES61:EY61"/>
    <mergeCell ref="CA61:CG61"/>
    <mergeCell ref="CH61:CN61"/>
    <mergeCell ref="EL61:ER61"/>
    <mergeCell ref="CV61:DB61"/>
    <mergeCell ref="CH60:CN60"/>
    <mergeCell ref="BT60:BZ60"/>
    <mergeCell ref="EE61:EK61"/>
    <mergeCell ref="DQ61:DW61"/>
    <mergeCell ref="CV60:DB60"/>
    <mergeCell ref="DC61:DI61"/>
    <mergeCell ref="CO60:CU60"/>
    <mergeCell ref="EZ60:FF60"/>
    <mergeCell ref="DX60:ED60"/>
    <mergeCell ref="BM64:BS64"/>
    <mergeCell ref="BF64:BL64"/>
    <mergeCell ref="AK65:AQ65"/>
    <mergeCell ref="BT63:BZ63"/>
    <mergeCell ref="BT61:BZ61"/>
    <mergeCell ref="AY64:BE64"/>
    <mergeCell ref="AY63:BE63"/>
    <mergeCell ref="BM63:BS63"/>
    <mergeCell ref="BI62:CM62"/>
    <mergeCell ref="CA63:CG63"/>
    <mergeCell ref="AY61:BE61"/>
    <mergeCell ref="BF63:BL63"/>
    <mergeCell ref="BM65:CN65"/>
    <mergeCell ref="FU65:GA65"/>
    <mergeCell ref="FU62:GA62"/>
    <mergeCell ref="FU64:GA64"/>
    <mergeCell ref="FU63:GA63"/>
    <mergeCell ref="GB60:GH60"/>
    <mergeCell ref="FU61:GA61"/>
    <mergeCell ref="GB65:GH65"/>
    <mergeCell ref="GP65:GV65"/>
    <mergeCell ref="GI65:GO65"/>
    <mergeCell ref="FG60:FM60"/>
    <mergeCell ref="EL65:ER65"/>
    <mergeCell ref="ES64:EY64"/>
    <mergeCell ref="EE64:EK64"/>
    <mergeCell ref="GP60:GV60"/>
    <mergeCell ref="EL64:ER64"/>
    <mergeCell ref="FN61:FT61"/>
    <mergeCell ref="EZ62:FF62"/>
    <mergeCell ref="FN62:FT62"/>
    <mergeCell ref="FG62:FM62"/>
    <mergeCell ref="GI64:GO64"/>
    <mergeCell ref="GP63:GV63"/>
    <mergeCell ref="GI63:GO63"/>
    <mergeCell ref="ES63:EY63"/>
    <mergeCell ref="EZ63:FF63"/>
    <mergeCell ref="FG63:FM63"/>
    <mergeCell ref="FN63:FT63"/>
    <mergeCell ref="GB64:GH64"/>
    <mergeCell ref="FN64:FT64"/>
    <mergeCell ref="EZ64:FF64"/>
    <mergeCell ref="FG64:FM64"/>
    <mergeCell ref="GW65:HC65"/>
    <mergeCell ref="GW62:HC62"/>
    <mergeCell ref="EE63:EK63"/>
    <mergeCell ref="EL63:ER63"/>
    <mergeCell ref="DJ61:DP61"/>
    <mergeCell ref="DX61:ED61"/>
    <mergeCell ref="DQ64:DW64"/>
    <mergeCell ref="CV64:DB64"/>
    <mergeCell ref="CV65:DB65"/>
    <mergeCell ref="CO65:CU65"/>
    <mergeCell ref="CO64:CU64"/>
    <mergeCell ref="CH66:CN66"/>
    <mergeCell ref="CA66:CG66"/>
    <mergeCell ref="BM66:BS66"/>
    <mergeCell ref="BT66:BZ66"/>
    <mergeCell ref="DC67:DI67"/>
    <mergeCell ref="CH67:CN67"/>
    <mergeCell ref="CO67:CU67"/>
    <mergeCell ref="CA67:CG67"/>
    <mergeCell ref="BT67:BZ67"/>
    <mergeCell ref="BM67:BS67"/>
    <mergeCell ref="CO66:CU66"/>
    <mergeCell ref="FN65:FT65"/>
    <mergeCell ref="FG65:FM65"/>
    <mergeCell ref="FN67:FT67"/>
    <mergeCell ref="FU67:GA67"/>
    <mergeCell ref="FG67:FM67"/>
    <mergeCell ref="FG66:FM66"/>
    <mergeCell ref="FN66:FT66"/>
    <mergeCell ref="FU66:GA66"/>
    <mergeCell ref="GB63:GH63"/>
    <mergeCell ref="GB62:GH62"/>
    <mergeCell ref="GI62:GO62"/>
    <mergeCell ref="GP62:GV62"/>
    <mergeCell ref="EW62:EY62"/>
    <mergeCell ref="DR62:EV62"/>
    <mergeCell ref="GW66:HC66"/>
    <mergeCell ref="GP66:GV66"/>
    <mergeCell ref="GW64:HC64"/>
    <mergeCell ref="GW63:HC63"/>
    <mergeCell ref="GP64:GV64"/>
    <mergeCell ref="GI67:GO67"/>
    <mergeCell ref="GB67:GH67"/>
    <mergeCell ref="GP67:GV67"/>
    <mergeCell ref="GW67:HC67"/>
    <mergeCell ref="GB66:GH66"/>
    <mergeCell ref="GI66:GO66"/>
    <mergeCell ref="CV67:DB67"/>
    <mergeCell ref="CV66:DB66"/>
    <mergeCell ref="UP61:UV61"/>
    <mergeCell ref="UI61:UO61"/>
    <mergeCell ref="UW64:VC64"/>
    <mergeCell ref="VK64:VQ64"/>
    <mergeCell ref="VD64:VJ64"/>
    <mergeCell ref="UI63:UO63"/>
    <mergeCell ref="UI62:UO62"/>
    <mergeCell ref="VD62:VJ62"/>
    <mergeCell ref="VK62:VQ62"/>
    <mergeCell ref="VD63:VJ63"/>
    <mergeCell ref="VK63:VQ63"/>
    <mergeCell ref="UP63:UV63"/>
    <mergeCell ref="UW63:VC63"/>
    <mergeCell ref="UW61:VC61"/>
    <mergeCell ref="VD61:VJ61"/>
    <mergeCell ref="VK61:VQ61"/>
    <mergeCell ref="UW62:VC62"/>
    <mergeCell ref="UP62:UV62"/>
    <mergeCell ref="WF63:WL63"/>
    <mergeCell ref="WM63:WS63"/>
    <mergeCell ref="WT63:WZ63"/>
    <mergeCell ref="WT62:WZ62"/>
    <mergeCell ref="WF65:WL65"/>
    <mergeCell ref="WF64:WL64"/>
    <mergeCell ref="WT61:WZ61"/>
    <mergeCell ref="WT64:WZ64"/>
    <mergeCell ref="WM64:WS64"/>
    <mergeCell ref="WT65:WZ65"/>
    <mergeCell ref="WM65:WS65"/>
    <mergeCell ref="WF62:WL62"/>
    <mergeCell ref="WM62:WS62"/>
    <mergeCell ref="SL61:SR61"/>
    <mergeCell ref="RQ61:RW61"/>
    <mergeCell ref="TG63:TM63"/>
    <mergeCell ref="SL63:SR63"/>
    <mergeCell ref="SS63:SY63"/>
    <mergeCell ref="SZ63:TF63"/>
    <mergeCell ref="SS62:SY62"/>
    <mergeCell ref="SZ62:TF62"/>
    <mergeCell ref="SS61:SY61"/>
    <mergeCell ref="OK61:OQ61"/>
    <mergeCell ref="OK62:OQ62"/>
    <mergeCell ref="QH64:QN64"/>
    <mergeCell ref="QH63:QN63"/>
    <mergeCell ref="OY62:PE62"/>
    <mergeCell ref="OY63:PE63"/>
    <mergeCell ref="PT63:PZ63"/>
    <mergeCell ref="RJ63:RP63"/>
    <mergeCell ref="RC63:RI63"/>
    <mergeCell ref="QV63:RB63"/>
    <mergeCell ref="TU63:UA63"/>
    <mergeCell ref="TN63:TT63"/>
    <mergeCell ref="SE63:SK63"/>
    <mergeCell ref="WM61:WS61"/>
    <mergeCell ref="VY61:WE61"/>
    <mergeCell ref="VR61:VX61"/>
    <mergeCell ref="WF61:WL61"/>
    <mergeCell ref="VY62:WE62"/>
    <mergeCell ref="VR62:VX62"/>
    <mergeCell ref="VY63:WE63"/>
    <mergeCell ref="VY64:WE64"/>
    <mergeCell ref="UB63:UH63"/>
    <mergeCell ref="VR63:VX63"/>
    <mergeCell ref="VR64:VX64"/>
    <mergeCell ref="VK65:VQ65"/>
    <mergeCell ref="UW65:VC65"/>
    <mergeCell ref="VD65:VJ65"/>
    <mergeCell ref="VY65:WE65"/>
    <mergeCell ref="TN61:TT61"/>
    <mergeCell ref="TN62:TT62"/>
    <mergeCell ref="TU62:UA62"/>
    <mergeCell ref="UB62:UH62"/>
    <mergeCell ref="UB61:UH61"/>
    <mergeCell ref="TG62:TM62"/>
    <mergeCell ref="SZ61:TF61"/>
    <mergeCell ref="TG61:TM61"/>
    <mergeCell ref="TU61:UA61"/>
    <mergeCell ref="YJ62:YP62"/>
    <mergeCell ref="YC62:YI62"/>
    <mergeCell ref="YJ61:YP61"/>
    <mergeCell ref="YC61:YI61"/>
    <mergeCell ref="YQ62:YW62"/>
    <mergeCell ref="YX62:ZD62"/>
    <mergeCell ref="YX63:ZD63"/>
    <mergeCell ref="YQ61:YW61"/>
    <mergeCell ref="YX61:ZD61"/>
    <mergeCell ref="YQ63:YW63"/>
    <mergeCell ref="XO61:XU61"/>
    <mergeCell ref="XA61:XG61"/>
    <mergeCell ref="XH61:XN61"/>
    <mergeCell ref="XV61:YB61"/>
    <mergeCell ref="XH62:XN62"/>
    <mergeCell ref="XV62:YB62"/>
    <mergeCell ref="XO62:XU62"/>
    <mergeCell ref="XV63:YB63"/>
    <mergeCell ref="XO63:XU63"/>
    <mergeCell ref="YC63:YI63"/>
    <mergeCell ref="YJ63:YP63"/>
    <mergeCell ref="XA62:XG62"/>
    <mergeCell ref="YQ64:YW64"/>
    <mergeCell ref="YX64:ZD64"/>
    <mergeCell ref="XH63:XN63"/>
    <mergeCell ref="XA64:XG64"/>
    <mergeCell ref="XA63:XG63"/>
    <mergeCell ref="XH64:XN64"/>
    <mergeCell ref="XO64:XU64"/>
    <mergeCell ref="YC64:YI64"/>
    <mergeCell ref="YJ64:YP64"/>
    <mergeCell ref="XV64:YB64"/>
    <mergeCell ref="FU55:GA55"/>
    <mergeCell ref="FN55:FT55"/>
    <mergeCell ref="EZ54:FF54"/>
    <mergeCell ref="EZ55:FF55"/>
    <mergeCell ref="GI55:GO55"/>
    <mergeCell ref="GP55:GV55"/>
    <mergeCell ref="GP54:GV54"/>
    <mergeCell ref="FU54:GA54"/>
    <mergeCell ref="FN54:FT54"/>
    <mergeCell ref="FG54:FM54"/>
    <mergeCell ref="GB55:GH55"/>
    <mergeCell ref="FG55:FM55"/>
    <mergeCell ref="RC61:RI61"/>
    <mergeCell ref="RC62:RI62"/>
    <mergeCell ref="PF62:PL62"/>
    <mergeCell ref="PM62:PS62"/>
    <mergeCell ref="QV62:RB62"/>
    <mergeCell ref="QO62:QU62"/>
    <mergeCell ref="QV61:RB61"/>
    <mergeCell ref="QO61:QU61"/>
    <mergeCell ref="RQ62:RW62"/>
    <mergeCell ref="GW61:HC61"/>
    <mergeCell ref="GW60:HC60"/>
    <mergeCell ref="HD60:HJ60"/>
    <mergeCell ref="HK60:HQ60"/>
    <mergeCell ref="HR60:HX60"/>
    <mergeCell ref="GP61:GV61"/>
    <mergeCell ref="GB61:GH61"/>
    <mergeCell ref="FU60:GA60"/>
    <mergeCell ref="JA62:JG62"/>
    <mergeCell ref="JA61:JG61"/>
    <mergeCell ref="IM60:IS60"/>
    <mergeCell ref="IF60:IL60"/>
    <mergeCell ref="IT62:IZ62"/>
    <mergeCell ref="IM62:IS62"/>
    <mergeCell ref="IM61:IS61"/>
    <mergeCell ref="IT61:IZ61"/>
    <mergeCell ref="HD61:HJ61"/>
    <mergeCell ref="IF61:IL61"/>
    <mergeCell ref="IF62:IL62"/>
    <mergeCell ref="HK62:HQ62"/>
    <mergeCell ref="HD62:HJ62"/>
    <mergeCell ref="HR62:IE62"/>
    <mergeCell ref="HR61:HX61"/>
    <mergeCell ref="JH61:JN61"/>
    <mergeCell ref="JH60:JN60"/>
    <mergeCell ref="JO61:JU61"/>
    <mergeCell ref="JV60:KB60"/>
    <mergeCell ref="JO60:JU60"/>
    <mergeCell ref="JH62:JN62"/>
    <mergeCell ref="JO62:JU62"/>
    <mergeCell ref="JV62:KB62"/>
    <mergeCell ref="JV61:KB61"/>
    <mergeCell ref="HY67:IE67"/>
    <mergeCell ref="HR67:HX67"/>
    <mergeCell ref="HK67:HQ67"/>
    <mergeCell ref="HK65:HQ65"/>
    <mergeCell ref="IF63:IL66"/>
    <mergeCell ref="HR63:IE66"/>
    <mergeCell ref="IM65:IS65"/>
    <mergeCell ref="IM66:IS66"/>
    <mergeCell ref="KX66:LD66"/>
    <mergeCell ref="KX67:LD67"/>
    <mergeCell ref="LL66:LR66"/>
    <mergeCell ref="LS66:LY66"/>
    <mergeCell ref="KQ67:KW67"/>
    <mergeCell ref="LE66:LK66"/>
    <mergeCell ref="LS67:LY67"/>
    <mergeCell ref="IT65:IZ65"/>
    <mergeCell ref="IT66:IZ66"/>
    <mergeCell ref="KQ66:KW66"/>
    <mergeCell ref="JO63:JU63"/>
    <mergeCell ref="JV63:KB63"/>
    <mergeCell ref="JH63:JN63"/>
    <mergeCell ref="JA65:JG65"/>
    <mergeCell ref="JH65:JN65"/>
    <mergeCell ref="JH66:JN66"/>
    <mergeCell ref="JA66:JG66"/>
    <mergeCell ref="MG65:MM65"/>
    <mergeCell ref="MG64:MM64"/>
    <mergeCell ref="MN63:MT63"/>
    <mergeCell ref="MG63:MM63"/>
    <mergeCell ref="LZ67:MF67"/>
    <mergeCell ref="LZ66:MF66"/>
    <mergeCell ref="MN65:MT65"/>
    <mergeCell ref="MU65:NA65"/>
    <mergeCell ref="MU63:NA63"/>
    <mergeCell ref="MU64:NA64"/>
    <mergeCell ref="MG66:MM66"/>
    <mergeCell ref="RQ63:RW63"/>
    <mergeCell ref="RX63:SD63"/>
    <mergeCell ref="RJ62:RP62"/>
    <mergeCell ref="RJ61:RP61"/>
    <mergeCell ref="SL62:SR62"/>
    <mergeCell ref="RX61:SD61"/>
    <mergeCell ref="RX62:SD62"/>
    <mergeCell ref="SE62:SK62"/>
    <mergeCell ref="SE61:SK61"/>
    <mergeCell ref="VY66:WE66"/>
    <mergeCell ref="VR65:VX65"/>
    <mergeCell ref="UB66:UH66"/>
    <mergeCell ref="TU66:UA66"/>
    <mergeCell ref="UW67:VC67"/>
    <mergeCell ref="VD67:VJ67"/>
    <mergeCell ref="UW66:VC66"/>
    <mergeCell ref="UB67:UH67"/>
    <mergeCell ref="VY67:WE67"/>
    <mergeCell ref="YC66:YI66"/>
    <mergeCell ref="XV66:YB66"/>
    <mergeCell ref="YX66:ZD66"/>
    <mergeCell ref="WF66:WL66"/>
    <mergeCell ref="YQ66:YW66"/>
    <mergeCell ref="YJ66:YP66"/>
    <mergeCell ref="WM66:WS66"/>
    <mergeCell ref="XH66:XN66"/>
    <mergeCell ref="XO66:XU66"/>
    <mergeCell ref="XO67:XU67"/>
    <mergeCell ref="YC67:YI67"/>
    <mergeCell ref="XV67:YB67"/>
    <mergeCell ref="YJ67:YP67"/>
    <mergeCell ref="XH67:XN67"/>
    <mergeCell ref="UI66:UO66"/>
    <mergeCell ref="UP66:UV66"/>
    <mergeCell ref="VK67:VQ67"/>
    <mergeCell ref="VR67:VX67"/>
    <mergeCell ref="WT66:WZ66"/>
    <mergeCell ref="XA66:XG66"/>
    <mergeCell ref="XA65:XG65"/>
    <mergeCell ref="VD66:VJ66"/>
    <mergeCell ref="VK66:VQ66"/>
    <mergeCell ref="VR66:VX66"/>
    <mergeCell ref="WF67:WL67"/>
    <mergeCell ref="WM67:WS67"/>
    <mergeCell ref="WT67:WZ67"/>
    <mergeCell ref="XA67:XG67"/>
    <mergeCell ref="YQ67:YW67"/>
    <mergeCell ref="YX67:ZD67"/>
    <mergeCell ref="YJ65:YP65"/>
    <mergeCell ref="YC65:YI65"/>
    <mergeCell ref="XV65:YB65"/>
    <mergeCell ref="XH65:XN65"/>
    <mergeCell ref="XO65:XU65"/>
    <mergeCell ref="YQ65:YW65"/>
    <mergeCell ref="YX65:ZD65"/>
    <mergeCell ref="KX65:LD65"/>
    <mergeCell ref="LL65:LR65"/>
    <mergeCell ref="LE65:LK65"/>
    <mergeCell ref="KC65:KI65"/>
    <mergeCell ref="JV65:KB65"/>
    <mergeCell ref="RC64:RI64"/>
    <mergeCell ref="PT65:PZ65"/>
    <mergeCell ref="QH65:QN65"/>
    <mergeCell ref="QA65:QG65"/>
    <mergeCell ref="QO65:QU65"/>
    <mergeCell ref="QV65:RB65"/>
    <mergeCell ref="RC65:RI65"/>
    <mergeCell ref="OR65:OX65"/>
    <mergeCell ref="OY65:PE65"/>
    <mergeCell ref="PM65:PS65"/>
    <mergeCell ref="PF65:PL65"/>
    <mergeCell ref="RJ64:RP64"/>
    <mergeCell ref="RJ65:RP65"/>
    <mergeCell ref="OK65:OQ65"/>
    <mergeCell ref="NP65:NV65"/>
    <mergeCell ref="NW65:OC65"/>
    <mergeCell ref="NI65:NO65"/>
    <mergeCell ref="NB65:NH65"/>
    <mergeCell ref="OD65:OJ65"/>
    <mergeCell ref="KJ65:KP65"/>
    <mergeCell ref="HD65:HJ65"/>
    <mergeCell ref="HD64:HJ64"/>
    <mergeCell ref="KQ65:KW65"/>
    <mergeCell ref="LZ65:MF65"/>
    <mergeCell ref="JV64:KB64"/>
    <mergeCell ref="LS65:LY65"/>
    <mergeCell ref="TN64:TT64"/>
    <mergeCell ref="TU64:UA64"/>
    <mergeCell ref="TN65:TT65"/>
    <mergeCell ref="HK66:HQ66"/>
    <mergeCell ref="HD66:HJ66"/>
    <mergeCell ref="HD67:HJ67"/>
    <mergeCell ref="JO64:JU64"/>
    <mergeCell ref="JO65:JU65"/>
    <mergeCell ref="JO66:JU66"/>
    <mergeCell ref="JV66:KB66"/>
    <mergeCell ref="KC66:KI66"/>
    <mergeCell ref="KJ66:KP66"/>
    <mergeCell ref="OK66:OQ66"/>
    <mergeCell ref="OD66:OJ66"/>
    <mergeCell ref="NW66:OC66"/>
    <mergeCell ref="NW67:OC67"/>
    <mergeCell ref="OD67:OJ67"/>
    <mergeCell ref="TG66:TM66"/>
    <mergeCell ref="TG65:TM65"/>
    <mergeCell ref="IF67:IL67"/>
    <mergeCell ref="IM67:IS67"/>
    <mergeCell ref="OY67:PE67"/>
    <mergeCell ref="PF67:PL67"/>
    <mergeCell ref="QO67:QU67"/>
    <mergeCell ref="QH67:QN67"/>
    <mergeCell ref="OR66:OX66"/>
    <mergeCell ref="OY66:PE66"/>
    <mergeCell ref="OK67:OQ67"/>
    <mergeCell ref="OR67:OX67"/>
    <mergeCell ref="PF66:PL66"/>
    <mergeCell ref="QH66:QN66"/>
    <mergeCell ref="NI66:NO66"/>
    <mergeCell ref="NP66:NV66"/>
    <mergeCell ref="NB67:NH67"/>
    <mergeCell ref="NB66:NH66"/>
    <mergeCell ref="MG67:MM67"/>
    <mergeCell ref="MN67:MT67"/>
    <mergeCell ref="MU67:NA67"/>
    <mergeCell ref="MN66:MT66"/>
    <mergeCell ref="MU66:NA66"/>
    <mergeCell ref="NI67:NO67"/>
    <mergeCell ref="NP67:NV67"/>
    <mergeCell ref="QA67:QG67"/>
    <mergeCell ref="QO66:QU66"/>
    <mergeCell ref="QA66:QG66"/>
    <mergeCell ref="PT67:PZ67"/>
    <mergeCell ref="PT66:PZ66"/>
    <mergeCell ref="PM64:PS64"/>
    <mergeCell ref="PM67:PS67"/>
    <mergeCell ref="PM66:PS66"/>
    <mergeCell ref="RX66:SD66"/>
    <mergeCell ref="SL66:SR66"/>
    <mergeCell ref="SE66:SK66"/>
    <mergeCell ref="RX67:SD67"/>
    <mergeCell ref="RQ67:RW67"/>
    <mergeCell ref="SE67:SK67"/>
    <mergeCell ref="SL67:SR67"/>
    <mergeCell ref="SE65:SK65"/>
    <mergeCell ref="SZ65:TF65"/>
    <mergeCell ref="SL64:SR64"/>
    <mergeCell ref="SS66:SY66"/>
    <mergeCell ref="RJ66:RP66"/>
    <mergeCell ref="RQ64:RW64"/>
    <mergeCell ref="RX64:SD64"/>
    <mergeCell ref="SS65:SY65"/>
    <mergeCell ref="SL65:SR65"/>
    <mergeCell ref="SZ66:TF66"/>
    <mergeCell ref="TG67:TM67"/>
    <mergeCell ref="RJ67:RP67"/>
    <mergeCell ref="QV64:RB64"/>
    <mergeCell ref="RC67:RI67"/>
    <mergeCell ref="QV67:RB67"/>
    <mergeCell ref="QV66:RB66"/>
    <mergeCell ref="RC66:RI66"/>
    <mergeCell ref="UI67:UO67"/>
    <mergeCell ref="PT64:PZ64"/>
    <mergeCell ref="QA64:QG64"/>
    <mergeCell ref="TN66:TT66"/>
    <mergeCell ref="SS67:SY67"/>
    <mergeCell ref="UI65:UO65"/>
    <mergeCell ref="UB65:UH65"/>
    <mergeCell ref="RQ66:RW66"/>
    <mergeCell ref="RX65:SD65"/>
    <mergeCell ref="RQ65:RW65"/>
    <mergeCell ref="TU65:UA65"/>
    <mergeCell ref="TU67:UA67"/>
    <mergeCell ref="TN67:TT67"/>
    <mergeCell ref="SZ67:TF67"/>
    <mergeCell ref="UP67:UV67"/>
    <mergeCell ref="UP65:UV65"/>
    <mergeCell ref="UI64:UO64"/>
    <mergeCell ref="UB64:UH64"/>
    <mergeCell ref="UP64:UV64"/>
    <mergeCell ref="TG64:TM64"/>
    <mergeCell ref="SZ64:TF64"/>
    <mergeCell ref="SE64:SK64"/>
    <mergeCell ref="SS64:SY64"/>
    <mergeCell ref="KC67:KI67"/>
    <mergeCell ref="KJ67:KP67"/>
    <mergeCell ref="JO67:JU67"/>
    <mergeCell ref="JH67:JN67"/>
    <mergeCell ref="IT67:IZ67"/>
    <mergeCell ref="JA67:JG67"/>
    <mergeCell ref="JV67:KB67"/>
    <mergeCell ref="LL67:LR67"/>
    <mergeCell ref="LE67:LK67"/>
    <mergeCell ref="NP64:NV64"/>
    <mergeCell ref="NW64:OC64"/>
    <mergeCell ref="NI64:NO64"/>
    <mergeCell ref="NI63:NO63"/>
    <mergeCell ref="NI62:NO62"/>
    <mergeCell ref="OK63:OQ63"/>
    <mergeCell ref="NP63:NV63"/>
    <mergeCell ref="NP62:NV62"/>
    <mergeCell ref="NW62:OC62"/>
    <mergeCell ref="NW63:OC63"/>
    <mergeCell ref="OD63:OJ63"/>
    <mergeCell ref="OD64:OJ64"/>
    <mergeCell ref="OD62:OJ62"/>
    <mergeCell ref="NI61:NO61"/>
    <mergeCell ref="NP61:NV61"/>
    <mergeCell ref="MU61:NA61"/>
    <mergeCell ref="MU62:NA62"/>
    <mergeCell ref="MG62:MM62"/>
    <mergeCell ref="MN62:MT62"/>
    <mergeCell ref="MG61:MM61"/>
    <mergeCell ref="MN61:MT61"/>
    <mergeCell ref="NB64:NH64"/>
    <mergeCell ref="LZ64:MF64"/>
    <mergeCell ref="MN64:MT64"/>
    <mergeCell ref="LZ63:MF63"/>
    <mergeCell ref="NB63:NH63"/>
    <mergeCell ref="LZ62:MF62"/>
    <mergeCell ref="LZ61:MF61"/>
    <mergeCell ref="KX57:LD57"/>
    <mergeCell ref="KQ57:KW57"/>
    <mergeCell ref="KC57:KI57"/>
    <mergeCell ref="KJ56:KP56"/>
    <mergeCell ref="KJ57:KP57"/>
    <mergeCell ref="KC56:KI56"/>
    <mergeCell ref="KX55:LD55"/>
    <mergeCell ref="KX54:LD54"/>
    <mergeCell ref="LL54:LR54"/>
    <mergeCell ref="LE54:LK54"/>
    <mergeCell ref="KC54:KI54"/>
    <mergeCell ref="KJ54:KP54"/>
    <mergeCell ref="LS54:LY54"/>
    <mergeCell ref="LS55:LY55"/>
    <mergeCell ref="LZ54:MF54"/>
    <mergeCell ref="LZ58:MF58"/>
    <mergeCell ref="LS58:LY58"/>
    <mergeCell ref="LE57:LK57"/>
    <mergeCell ref="LE56:LK56"/>
    <mergeCell ref="LE58:LK58"/>
    <mergeCell ref="LL58:LR58"/>
    <mergeCell ref="LL57:LR57"/>
    <mergeCell ref="KQ55:KW55"/>
    <mergeCell ref="KQ54:KW54"/>
    <mergeCell ref="KQ56:KW56"/>
    <mergeCell ref="KQ58:KW58"/>
    <mergeCell ref="LE64:LK64"/>
    <mergeCell ref="LE62:LK62"/>
    <mergeCell ref="LS61:LY61"/>
    <mergeCell ref="LL61:LR61"/>
    <mergeCell ref="KX60:LD60"/>
    <mergeCell ref="LL60:LR60"/>
    <mergeCell ref="LE60:LK60"/>
    <mergeCell ref="KX62:LD62"/>
    <mergeCell ref="LL62:LR62"/>
    <mergeCell ref="LL63:LR63"/>
    <mergeCell ref="LS63:LY63"/>
    <mergeCell ref="LS64:LY64"/>
    <mergeCell ref="LL64:LR64"/>
    <mergeCell ref="KQ60:KW60"/>
    <mergeCell ref="KQ64:KW64"/>
    <mergeCell ref="KX64:LD64"/>
    <mergeCell ref="KX63:LD63"/>
    <mergeCell ref="LE61:LK61"/>
    <mergeCell ref="KQ62:KW62"/>
    <mergeCell ref="LS62:LY62"/>
    <mergeCell ref="LS60:LY60"/>
    <mergeCell ref="LL59:LR59"/>
    <mergeCell ref="LE59:LK59"/>
    <mergeCell ref="LS59:LY59"/>
    <mergeCell ref="KJ58:KP58"/>
    <mergeCell ref="KJ59:KP59"/>
    <mergeCell ref="KX58:LD58"/>
    <mergeCell ref="KX59:LD59"/>
    <mergeCell ref="KC58:KI58"/>
    <mergeCell ref="KQ59:KW59"/>
    <mergeCell ref="QA62:QG62"/>
    <mergeCell ref="QA63:QG63"/>
    <mergeCell ref="QA61:QG61"/>
    <mergeCell ref="QH61:QN61"/>
    <mergeCell ref="QH62:QN62"/>
    <mergeCell ref="QO64:QU64"/>
    <mergeCell ref="OR63:OX63"/>
    <mergeCell ref="OK64:OQ64"/>
    <mergeCell ref="OR64:OX64"/>
    <mergeCell ref="OY64:PE64"/>
    <mergeCell ref="PM63:PS63"/>
    <mergeCell ref="QO63:QU63"/>
    <mergeCell ref="NW61:OC61"/>
    <mergeCell ref="OD61:OJ61"/>
    <mergeCell ref="KX61:LD61"/>
    <mergeCell ref="KQ61:KW61"/>
    <mergeCell ref="KC62:KI62"/>
    <mergeCell ref="KJ62:KP62"/>
    <mergeCell ref="LZ60:MF60"/>
    <mergeCell ref="LZ59:MF59"/>
    <mergeCell ref="MU60:NA60"/>
    <mergeCell ref="MN60:MT60"/>
    <mergeCell ref="MG60:MM60"/>
    <mergeCell ref="OR61:OX61"/>
    <mergeCell ref="OR62:OX62"/>
    <mergeCell ref="PF64:PL64"/>
    <mergeCell ref="PF63:PL63"/>
    <mergeCell ref="PF61:PL61"/>
    <mergeCell ref="OY61:PE61"/>
    <mergeCell ref="PT61:PZ61"/>
    <mergeCell ref="PT62:PZ62"/>
    <mergeCell ref="PM61:PS61"/>
    <mergeCell ref="LZ41:MF41"/>
    <mergeCell ref="LZ38:MF38"/>
    <mergeCell ref="MN58:MT58"/>
    <mergeCell ref="MG58:MM58"/>
    <mergeCell ref="MG59:MM59"/>
    <mergeCell ref="LS33:LY33"/>
    <mergeCell ref="LL33:LR33"/>
    <mergeCell ref="LZ33:MF33"/>
    <mergeCell ref="LL39:LR39"/>
    <mergeCell ref="FU37:GA37"/>
    <mergeCell ref="GP37:GV37"/>
    <mergeCell ref="GB37:GH37"/>
    <mergeCell ref="GI37:GO37"/>
    <mergeCell ref="GB36:GH36"/>
    <mergeCell ref="EZ36:FF36"/>
    <mergeCell ref="FN36:FT36"/>
    <mergeCell ref="FG36:FM36"/>
    <mergeCell ref="EE36:EK36"/>
    <mergeCell ref="EL36:ER36"/>
    <mergeCell ref="EL37:ER37"/>
    <mergeCell ref="FN37:FT37"/>
    <mergeCell ref="FG37:FM37"/>
    <mergeCell ref="LZ37:MF37"/>
    <mergeCell ref="LZ36:MF36"/>
    <mergeCell ref="DX36:ED36"/>
    <mergeCell ref="DQ37:DW37"/>
    <mergeCell ref="DX37:ED37"/>
    <mergeCell ref="EE37:EK37"/>
    <mergeCell ref="ES36:EY36"/>
    <mergeCell ref="DX35:ED35"/>
    <mergeCell ref="EE35:EK35"/>
    <mergeCell ref="ES35:EY35"/>
    <mergeCell ref="EL35:ER35"/>
    <mergeCell ref="CH36:CN36"/>
    <mergeCell ref="CH37:CN37"/>
    <mergeCell ref="CV37:DB37"/>
    <mergeCell ref="CO37:CU37"/>
    <mergeCell ref="DC36:DI36"/>
    <mergeCell ref="DC35:DI35"/>
    <mergeCell ref="BM36:BS36"/>
    <mergeCell ref="AY37:BE37"/>
    <mergeCell ref="AR37:AX37"/>
    <mergeCell ref="AK37:AQ37"/>
    <mergeCell ref="AK35:AQ35"/>
    <mergeCell ref="AK36:AQ36"/>
    <mergeCell ref="ES37:EY37"/>
    <mergeCell ref="EZ37:FF37"/>
    <mergeCell ref="EZ35:FF35"/>
    <mergeCell ref="DQ35:DW35"/>
    <mergeCell ref="BM35:BS35"/>
    <mergeCell ref="BT35:BZ35"/>
    <mergeCell ref="BT36:BZ36"/>
    <mergeCell ref="EL39:ER39"/>
    <mergeCell ref="ES39:EY39"/>
    <mergeCell ref="MG39:MM39"/>
    <mergeCell ref="LZ39:MF39"/>
    <mergeCell ref="DQ39:DW39"/>
    <mergeCell ref="DC39:DI39"/>
    <mergeCell ref="DJ39:DP39"/>
    <mergeCell ref="DX39:ED39"/>
    <mergeCell ref="EE39:EK39"/>
    <mergeCell ref="MG35:MM35"/>
    <mergeCell ref="MG38:MM38"/>
    <mergeCell ref="MG37:MM37"/>
    <mergeCell ref="MG36:MM36"/>
    <mergeCell ref="LZ35:MF35"/>
    <mergeCell ref="LL35:LR35"/>
    <mergeCell ref="LS35:LY35"/>
    <mergeCell ref="MN35:MT35"/>
    <mergeCell ref="LS39:LY39"/>
    <mergeCell ref="LZ40:MF40"/>
    <mergeCell ref="LL40:LR40"/>
    <mergeCell ref="LS40:LY40"/>
    <mergeCell ref="MG40:MM40"/>
    <mergeCell ref="MN39:MT39"/>
    <mergeCell ref="MN38:MT38"/>
    <mergeCell ref="MN40:MT40"/>
    <mergeCell ref="CA35:CG35"/>
    <mergeCell ref="CA36:CG36"/>
    <mergeCell ref="FN39:FT39"/>
    <mergeCell ref="FU39:GA39"/>
    <mergeCell ref="GP35:GV35"/>
    <mergeCell ref="GI35:GO35"/>
    <mergeCell ref="GI36:GO36"/>
    <mergeCell ref="GP36:GV36"/>
    <mergeCell ref="FG35:FM35"/>
    <mergeCell ref="GB35:GH35"/>
    <mergeCell ref="FN35:FT35"/>
    <mergeCell ref="GW35:HC35"/>
    <mergeCell ref="HD35:HJ35"/>
    <mergeCell ref="MU55:NA55"/>
    <mergeCell ref="MN55:MT55"/>
    <mergeCell ref="MG54:MM54"/>
    <mergeCell ref="MN54:MT54"/>
    <mergeCell ref="MU54:NA54"/>
    <mergeCell ref="MU56:NA56"/>
    <mergeCell ref="MU59:NA59"/>
    <mergeCell ref="MU58:NA58"/>
    <mergeCell ref="MU57:NA57"/>
    <mergeCell ref="MN59:MT59"/>
    <mergeCell ref="MN57:MT57"/>
    <mergeCell ref="MN56:MT56"/>
    <mergeCell ref="MU43:NA43"/>
    <mergeCell ref="MU44:NA44"/>
    <mergeCell ref="MU40:NA40"/>
    <mergeCell ref="MU41:NA41"/>
    <mergeCell ref="MU33:NA33"/>
    <mergeCell ref="MU34:NA34"/>
    <mergeCell ref="MU39:NA39"/>
    <mergeCell ref="MU38:NA38"/>
    <mergeCell ref="MU35:NA35"/>
    <mergeCell ref="MU36:NA36"/>
    <mergeCell ref="MU37:NA37"/>
    <mergeCell ref="LS37:LY37"/>
    <mergeCell ref="LS36:LY36"/>
    <mergeCell ref="MN37:MT37"/>
    <mergeCell ref="MN36:MT36"/>
    <mergeCell ref="LL36:LR36"/>
    <mergeCell ref="LL37:LR37"/>
    <mergeCell ref="LL45:LR45"/>
    <mergeCell ref="LL44:LR44"/>
    <mergeCell ref="LL41:LR41"/>
    <mergeCell ref="LL43:LR43"/>
    <mergeCell ref="LL42:LR42"/>
    <mergeCell ref="LL38:LR38"/>
    <mergeCell ref="LS38:LY38"/>
    <mergeCell ref="LS43:LY43"/>
    <mergeCell ref="LS41:LY41"/>
    <mergeCell ref="KX35:LD35"/>
    <mergeCell ref="KX36:LD36"/>
    <mergeCell ref="LE33:LK33"/>
    <mergeCell ref="LE35:LK35"/>
    <mergeCell ref="KX40:LD40"/>
    <mergeCell ref="LE37:LK37"/>
    <mergeCell ref="LE39:LK39"/>
    <mergeCell ref="KX39:LD39"/>
    <mergeCell ref="KX38:LD38"/>
    <mergeCell ref="KX37:LD37"/>
    <mergeCell ref="MG33:MM33"/>
    <mergeCell ref="LZ34:MF34"/>
    <mergeCell ref="MG34:MM34"/>
    <mergeCell ref="KX33:LD33"/>
    <mergeCell ref="LE34:LK34"/>
    <mergeCell ref="KX34:LD34"/>
    <mergeCell ref="MN33:MT33"/>
    <mergeCell ref="MU45:NA45"/>
    <mergeCell ref="MN45:MT45"/>
    <mergeCell ref="MN41:MT41"/>
    <mergeCell ref="MN43:MT43"/>
    <mergeCell ref="LS42:NA42"/>
    <mergeCell ref="LZ43:MF43"/>
    <mergeCell ref="MG43:MM43"/>
    <mergeCell ref="MG41:MM41"/>
    <mergeCell ref="LS49:LY49"/>
    <mergeCell ref="LS50:LY50"/>
    <mergeCell ref="LL51:LR51"/>
    <mergeCell ref="LL50:LR50"/>
    <mergeCell ref="LS46:LY46"/>
    <mergeCell ref="LS47:LY47"/>
    <mergeCell ref="LL47:LR47"/>
    <mergeCell ref="LL48:LR48"/>
    <mergeCell ref="LL49:LR49"/>
    <mergeCell ref="LS48:LY48"/>
    <mergeCell ref="LS51:LY51"/>
    <mergeCell ref="LL46:LR46"/>
    <mergeCell ref="MG44:MM44"/>
    <mergeCell ref="MN44:MT44"/>
    <mergeCell ref="LZ46:MF46"/>
    <mergeCell ref="LZ47:MF47"/>
    <mergeCell ref="LZ49:MF49"/>
    <mergeCell ref="LZ48:MF48"/>
    <mergeCell ref="LZ51:MF51"/>
    <mergeCell ref="LZ50:MF50"/>
    <mergeCell ref="LS44:LY44"/>
    <mergeCell ref="LS45:LY45"/>
    <mergeCell ref="MN46:MT46"/>
    <mergeCell ref="MG46:MM46"/>
    <mergeCell ref="MU46:NA46"/>
    <mergeCell ref="MU48:NA48"/>
    <mergeCell ref="MU47:NA47"/>
    <mergeCell ref="MN48:MT48"/>
    <mergeCell ref="MN47:MT47"/>
    <mergeCell ref="LZ44:MF44"/>
    <mergeCell ref="LZ45:MF45"/>
    <mergeCell ref="MG45:MM45"/>
    <mergeCell ref="MU51:NA51"/>
    <mergeCell ref="MU50:NA50"/>
    <mergeCell ref="MG51:MM51"/>
    <mergeCell ref="MG50:MM50"/>
    <mergeCell ref="MG48:MM48"/>
    <mergeCell ref="MG47:MM47"/>
    <mergeCell ref="MG49:MM49"/>
    <mergeCell ref="MN49:MT49"/>
    <mergeCell ref="MU49:NA49"/>
    <mergeCell ref="MN51:MT51"/>
    <mergeCell ref="MN50:MT50"/>
    <mergeCell ref="FU35:GA35"/>
    <mergeCell ref="FU36:GA36"/>
    <mergeCell ref="DQ36:DW36"/>
    <mergeCell ref="DJ36:DP36"/>
    <mergeCell ref="CH35:CN35"/>
    <mergeCell ref="CO36:CU36"/>
    <mergeCell ref="CO35:CU35"/>
    <mergeCell ref="CV35:DB35"/>
    <mergeCell ref="CV36:DB36"/>
    <mergeCell ref="DJ35:DP35"/>
    <mergeCell ref="ES34:EY34"/>
    <mergeCell ref="EE34:EK34"/>
    <mergeCell ref="EL34:ER34"/>
    <mergeCell ref="DX34:ED34"/>
    <mergeCell ref="DX33:ED33"/>
    <mergeCell ref="EL33:ER33"/>
    <mergeCell ref="EE33:EK33"/>
    <mergeCell ref="LS34:LY34"/>
    <mergeCell ref="LL34:LR34"/>
    <mergeCell ref="MN34:MT34"/>
    <mergeCell ref="ES33:EY33"/>
    <mergeCell ref="FN34:FT34"/>
    <mergeCell ref="EZ33:FF33"/>
    <mergeCell ref="DQ34:DW34"/>
    <mergeCell ref="CO34:CU34"/>
    <mergeCell ref="CH34:CN34"/>
    <mergeCell ref="EZ34:FF34"/>
    <mergeCell ref="FG34:FM34"/>
    <mergeCell ref="GP34:GV34"/>
    <mergeCell ref="GI34:GO34"/>
    <mergeCell ref="GB33:GH33"/>
    <mergeCell ref="FU33:GA33"/>
    <mergeCell ref="CV34:DB34"/>
    <mergeCell ref="CO33:CU33"/>
    <mergeCell ref="CV33:DB33"/>
    <mergeCell ref="CH33:CN33"/>
    <mergeCell ref="CA33:CG33"/>
    <mergeCell ref="CA34:CG34"/>
    <mergeCell ref="DC34:DI34"/>
    <mergeCell ref="DJ34:DP34"/>
    <mergeCell ref="DQ33:DW33"/>
    <mergeCell ref="DJ33:DP33"/>
    <mergeCell ref="DC33:DI33"/>
    <mergeCell ref="BT22:BZ22"/>
    <mergeCell ref="BM22:BS22"/>
    <mergeCell ref="DJ21:DP21"/>
    <mergeCell ref="DC21:DI21"/>
    <mergeCell ref="DJ22:DP22"/>
    <mergeCell ref="DC22:DI22"/>
    <mergeCell ref="CA21:CG21"/>
    <mergeCell ref="CH21:CN21"/>
    <mergeCell ref="CV22:DB22"/>
    <mergeCell ref="CH22:CN22"/>
    <mergeCell ref="CA19:CN19"/>
    <mergeCell ref="CA20:CG20"/>
    <mergeCell ref="CH20:DB20"/>
    <mergeCell ref="BM21:BS21"/>
    <mergeCell ref="BT21:BZ21"/>
    <mergeCell ref="CO22:CU22"/>
    <mergeCell ref="DJ11:DQ11"/>
    <mergeCell ref="DJ10:DQ10"/>
    <mergeCell ref="DC11:DI11"/>
    <mergeCell ref="DJ12:DP12"/>
    <mergeCell ref="DC12:DI12"/>
    <mergeCell ref="DJ16:DP16"/>
    <mergeCell ref="DC15:DI15"/>
    <mergeCell ref="DJ15:DP15"/>
    <mergeCell ref="DJ17:DP17"/>
    <mergeCell ref="DC6:DI6"/>
    <mergeCell ref="DJ6:DP6"/>
    <mergeCell ref="DJ8:DP8"/>
    <mergeCell ref="DC7:DI7"/>
    <mergeCell ref="DJ7:DP7"/>
    <mergeCell ref="DC10:DI10"/>
    <mergeCell ref="DQ7:DW7"/>
    <mergeCell ref="DQ9:ED9"/>
    <mergeCell ref="DQ8:ED8"/>
    <mergeCell ref="DX13:ED13"/>
    <mergeCell ref="DX12:ED12"/>
    <mergeCell ref="DR11:DW11"/>
    <mergeCell ref="DQ12:DW12"/>
    <mergeCell ref="EE17:EK17"/>
    <mergeCell ref="EE16:EK16"/>
    <mergeCell ref="DQ16:DW16"/>
    <mergeCell ref="DX16:ED16"/>
    <mergeCell ref="DX15:ED15"/>
    <mergeCell ref="DQ15:DW15"/>
    <mergeCell ref="DQ17:DW17"/>
    <mergeCell ref="DX7:ED7"/>
    <mergeCell ref="EE7:EK7"/>
    <mergeCell ref="EE12:EK12"/>
    <mergeCell ref="EE13:EK13"/>
    <mergeCell ref="EE15:EK15"/>
    <mergeCell ref="DX17:ED17"/>
    <mergeCell ref="DQ14:DV14"/>
    <mergeCell ref="BT10:BZ10"/>
    <mergeCell ref="CA10:CG10"/>
    <mergeCell ref="CA12:CG12"/>
    <mergeCell ref="CA11:CG11"/>
    <mergeCell ref="CH15:CN15"/>
    <mergeCell ref="CH12:CN12"/>
    <mergeCell ref="BM12:BS12"/>
    <mergeCell ref="BM13:BS13"/>
    <mergeCell ref="BM14:BS14"/>
    <mergeCell ref="CA15:CG15"/>
    <mergeCell ref="BM10:BS10"/>
    <mergeCell ref="BM11:BS11"/>
    <mergeCell ref="CO15:CU15"/>
    <mergeCell ref="CO14:CU14"/>
    <mergeCell ref="DJ14:DP14"/>
    <mergeCell ref="EE14:EK14"/>
    <mergeCell ref="CA14:CN14"/>
    <mergeCell ref="ES13:EY13"/>
    <mergeCell ref="EL13:ER13"/>
    <mergeCell ref="BJ1:CN1"/>
    <mergeCell ref="BJ2:CN2"/>
    <mergeCell ref="CO2:DR2"/>
    <mergeCell ref="CO1:DR1"/>
    <mergeCell ref="CO8:DI8"/>
    <mergeCell ref="CA8:CN8"/>
    <mergeCell ref="CP9:DB9"/>
    <mergeCell ref="CA9:CN9"/>
    <mergeCell ref="BM9:BZ9"/>
    <mergeCell ref="CA7:CG7"/>
    <mergeCell ref="BT7:BZ7"/>
    <mergeCell ref="BM8:BZ8"/>
    <mergeCell ref="BM7:BS7"/>
    <mergeCell ref="CV7:DB7"/>
    <mergeCell ref="CH7:CN7"/>
    <mergeCell ref="CO7:CU7"/>
    <mergeCell ref="DJ9:DP9"/>
    <mergeCell ref="DC9:DI9"/>
    <mergeCell ref="CV10:DB10"/>
    <mergeCell ref="CP10:CU10"/>
    <mergeCell ref="EE10:EK10"/>
    <mergeCell ref="CO12:CU12"/>
    <mergeCell ref="CP11:CU11"/>
    <mergeCell ref="CH11:CO11"/>
    <mergeCell ref="CH10:CO10"/>
    <mergeCell ref="CH13:CO13"/>
    <mergeCell ref="CA6:CG6"/>
    <mergeCell ref="BT6:BZ6"/>
    <mergeCell ref="BM6:BS6"/>
    <mergeCell ref="EL6:ER6"/>
    <mergeCell ref="ES6:EY6"/>
    <mergeCell ref="CV6:DB6"/>
    <mergeCell ref="DQ6:DW6"/>
    <mergeCell ref="EE6:EK6"/>
    <mergeCell ref="CO6:CU6"/>
    <mergeCell ref="CH6:CN6"/>
    <mergeCell ref="EL21:ER21"/>
    <mergeCell ref="EL22:ER22"/>
    <mergeCell ref="EL18:ER18"/>
    <mergeCell ref="EL17:ER17"/>
    <mergeCell ref="EL19:ER19"/>
    <mergeCell ref="ES19:EY19"/>
    <mergeCell ref="ES18:EY18"/>
    <mergeCell ref="ES17:EY17"/>
    <mergeCell ref="ES22:EY22"/>
    <mergeCell ref="ES21:EY21"/>
    <mergeCell ref="EL7:ER7"/>
    <mergeCell ref="ES7:EY7"/>
    <mergeCell ref="DX6:ED6"/>
    <mergeCell ref="DS2:EW2"/>
    <mergeCell ref="DS1:EW1"/>
    <mergeCell ref="DR10:DW10"/>
    <mergeCell ref="DX10:ED10"/>
    <mergeCell ref="EL10:ER10"/>
    <mergeCell ref="ES10:EY10"/>
    <mergeCell ref="EL11:ER11"/>
    <mergeCell ref="EL12:ER12"/>
    <mergeCell ref="ES12:EY12"/>
    <mergeCell ref="EE8:EY8"/>
    <mergeCell ref="EE9:EY9"/>
    <mergeCell ref="DX11:ED11"/>
    <mergeCell ref="EE11:EK11"/>
    <mergeCell ref="DX21:ED21"/>
    <mergeCell ref="EE21:EK21"/>
    <mergeCell ref="DX22:ED22"/>
    <mergeCell ref="EE22:EK22"/>
    <mergeCell ref="DX19:ED19"/>
    <mergeCell ref="EE19:EK19"/>
    <mergeCell ref="FG21:FM21"/>
    <mergeCell ref="FG22:FM22"/>
    <mergeCell ref="GB14:GH14"/>
    <mergeCell ref="FU14:GA14"/>
    <mergeCell ref="ES14:EY14"/>
    <mergeCell ref="EZ14:FM14"/>
    <mergeCell ref="FN15:FT15"/>
    <mergeCell ref="FU15:GA15"/>
    <mergeCell ref="GB15:GH15"/>
    <mergeCell ref="ES15:EY15"/>
    <mergeCell ref="ES16:EY16"/>
    <mergeCell ref="EZ15:FF15"/>
    <mergeCell ref="EZ16:FF16"/>
    <mergeCell ref="EZ12:FF12"/>
    <mergeCell ref="EZ13:FF13"/>
    <mergeCell ref="GI11:GO11"/>
    <mergeCell ref="GI20:GO20"/>
    <mergeCell ref="GI14:GO14"/>
    <mergeCell ref="GI15:GO15"/>
    <mergeCell ref="EZ11:FF11"/>
    <mergeCell ref="FG11:FM11"/>
    <mergeCell ref="FU11:GA11"/>
    <mergeCell ref="FN11:FT11"/>
    <mergeCell ref="EZ17:FF17"/>
    <mergeCell ref="FG17:FM17"/>
    <mergeCell ref="FG19:FM19"/>
    <mergeCell ref="EZ18:FM18"/>
    <mergeCell ref="EZ22:FF22"/>
    <mergeCell ref="EZ21:FF21"/>
    <mergeCell ref="FU16:GA16"/>
    <mergeCell ref="FN16:FT16"/>
    <mergeCell ref="FN22:FT22"/>
    <mergeCell ref="FU22:GA22"/>
    <mergeCell ref="FN20:FT20"/>
    <mergeCell ref="FN19:FT19"/>
    <mergeCell ref="FN18:FT18"/>
    <mergeCell ref="FN17:FT17"/>
    <mergeCell ref="FN21:FT21"/>
    <mergeCell ref="GP15:GV15"/>
    <mergeCell ref="GP14:GV14"/>
    <mergeCell ref="GP11:GV11"/>
    <mergeCell ref="GP21:GV21"/>
    <mergeCell ref="GP22:GV22"/>
    <mergeCell ref="GP19:GV19"/>
    <mergeCell ref="GP18:GV18"/>
    <mergeCell ref="GP20:GV20"/>
    <mergeCell ref="GP17:GV17"/>
    <mergeCell ref="GP16:GV16"/>
    <mergeCell ref="FN12:FT12"/>
    <mergeCell ref="FU12:GA12"/>
    <mergeCell ref="GB12:GH12"/>
    <mergeCell ref="GI12:GO12"/>
    <mergeCell ref="FU13:GA13"/>
    <mergeCell ref="GB13:GH13"/>
    <mergeCell ref="GP13:GV13"/>
    <mergeCell ref="GI13:GO13"/>
    <mergeCell ref="HK12:HQ12"/>
    <mergeCell ref="HK9:HQ9"/>
    <mergeCell ref="HR9:HX9"/>
    <mergeCell ref="HY9:IE9"/>
    <mergeCell ref="HR8:IE8"/>
    <mergeCell ref="HY10:IE10"/>
    <mergeCell ref="HK10:HQ10"/>
    <mergeCell ref="HR10:HX10"/>
    <mergeCell ref="GI10:GO10"/>
    <mergeCell ref="GW9:HC9"/>
    <mergeCell ref="GI9:GO9"/>
    <mergeCell ref="GP9:GV9"/>
    <mergeCell ref="GB9:GH9"/>
    <mergeCell ref="GI8:HQ8"/>
    <mergeCell ref="GP10:GV10"/>
    <mergeCell ref="GW10:HC10"/>
    <mergeCell ref="GB6:GH6"/>
    <mergeCell ref="GP6:GV6"/>
    <mergeCell ref="GI6:GO6"/>
    <mergeCell ref="FN6:FT6"/>
    <mergeCell ref="FU6:GA6"/>
    <mergeCell ref="GB7:HQ7"/>
    <mergeCell ref="HR7:IE7"/>
    <mergeCell ref="HY6:IE6"/>
    <mergeCell ref="HR6:HX6"/>
    <mergeCell ref="HK6:HQ6"/>
    <mergeCell ref="FG6:FM6"/>
    <mergeCell ref="EZ6:FF6"/>
    <mergeCell ref="GB1:HF1"/>
    <mergeCell ref="HG1:IK1"/>
    <mergeCell ref="GB2:HF2"/>
    <mergeCell ref="HG2:IK2"/>
    <mergeCell ref="EZ7:FF7"/>
    <mergeCell ref="FG7:FM7"/>
    <mergeCell ref="FG12:FM12"/>
    <mergeCell ref="EZ10:FF10"/>
    <mergeCell ref="FG10:FM10"/>
    <mergeCell ref="EZ9:FM9"/>
    <mergeCell ref="EX1:GA1"/>
    <mergeCell ref="EX2:GA2"/>
    <mergeCell ref="GB8:GH8"/>
    <mergeCell ref="FN7:FT7"/>
    <mergeCell ref="FN8:GA8"/>
    <mergeCell ref="FU7:GA7"/>
    <mergeCell ref="EZ8:FM8"/>
    <mergeCell ref="GB10:GH10"/>
    <mergeCell ref="FU10:GA10"/>
    <mergeCell ref="FN10:FT10"/>
    <mergeCell ref="FN9:GA9"/>
    <mergeCell ref="HD9:HJ9"/>
    <mergeCell ref="HD10:HJ10"/>
    <mergeCell ref="GW6:HC6"/>
    <mergeCell ref="HD6:HJ6"/>
    <mergeCell ref="CH18:CN18"/>
    <mergeCell ref="DQ18:ED18"/>
    <mergeCell ref="DJ18:DP18"/>
    <mergeCell ref="CO23:CU23"/>
    <mergeCell ref="CA23:CG23"/>
    <mergeCell ref="CH23:CN23"/>
    <mergeCell ref="BT23:BZ23"/>
    <mergeCell ref="BM23:BS23"/>
    <mergeCell ref="FU18:GA18"/>
    <mergeCell ref="FU19:GA19"/>
    <mergeCell ref="GB19:GH19"/>
    <mergeCell ref="FU21:GA21"/>
    <mergeCell ref="FU20:GH20"/>
    <mergeCell ref="FU17:GA17"/>
    <mergeCell ref="GB17:GH17"/>
    <mergeCell ref="GB18:GH18"/>
    <mergeCell ref="GB16:GH16"/>
    <mergeCell ref="GI16:GO16"/>
    <mergeCell ref="GI17:GO17"/>
    <mergeCell ref="GI18:GO18"/>
    <mergeCell ref="DX23:ED23"/>
    <mergeCell ref="DJ23:DP23"/>
    <mergeCell ref="EL23:ER23"/>
    <mergeCell ref="ES23:EY23"/>
    <mergeCell ref="EE20:EK20"/>
    <mergeCell ref="EE23:EK23"/>
    <mergeCell ref="FG23:FM23"/>
    <mergeCell ref="CO16:CU16"/>
    <mergeCell ref="CH16:CN16"/>
    <mergeCell ref="CO17:CU17"/>
    <mergeCell ref="CH17:CN17"/>
    <mergeCell ref="EE18:EK18"/>
    <mergeCell ref="DC23:DI23"/>
    <mergeCell ref="CV23:DB23"/>
    <mergeCell ref="GP28:GV28"/>
    <mergeCell ref="FU28:GA28"/>
    <mergeCell ref="GB28:GH28"/>
    <mergeCell ref="FN28:FT28"/>
    <mergeCell ref="EZ28:FF28"/>
    <mergeCell ref="FG28:FM28"/>
    <mergeCell ref="HK28:HQ28"/>
    <mergeCell ref="HR28:HX28"/>
    <mergeCell ref="CH28:CN28"/>
    <mergeCell ref="CO28:CU28"/>
    <mergeCell ref="ES28:EY28"/>
    <mergeCell ref="CA28:CG28"/>
    <mergeCell ref="DJ28:DP28"/>
    <mergeCell ref="DX28:ED28"/>
    <mergeCell ref="EL28:ER28"/>
    <mergeCell ref="BM28:BS28"/>
    <mergeCell ref="BT28:BZ28"/>
    <mergeCell ref="BM27:BS27"/>
    <mergeCell ref="BM26:BS26"/>
    <mergeCell ref="BM25:BS25"/>
    <mergeCell ref="CA24:CG24"/>
    <mergeCell ref="BT24:BZ24"/>
    <mergeCell ref="CH24:CN24"/>
    <mergeCell ref="BM24:BS24"/>
    <mergeCell ref="DJ24:DP24"/>
    <mergeCell ref="ES24:EY24"/>
    <mergeCell ref="DQ24:DW24"/>
    <mergeCell ref="DX24:ED24"/>
    <mergeCell ref="DX27:ED27"/>
    <mergeCell ref="EE27:EK27"/>
    <mergeCell ref="DQ27:DW27"/>
    <mergeCell ref="DQ28:DW28"/>
    <mergeCell ref="EE28:EK28"/>
    <mergeCell ref="EL27:ER27"/>
    <mergeCell ref="EE26:EK26"/>
    <mergeCell ref="DX25:ED25"/>
    <mergeCell ref="DQ25:DW25"/>
    <mergeCell ref="DJ25:DP25"/>
    <mergeCell ref="EL25:ER25"/>
    <mergeCell ref="EE25:EK25"/>
    <mergeCell ref="CA25:CG25"/>
    <mergeCell ref="CH25:CN25"/>
    <mergeCell ref="CO25:CU25"/>
    <mergeCell ref="BT25:BZ25"/>
    <mergeCell ref="DC25:DI25"/>
    <mergeCell ref="DC27:DI27"/>
    <mergeCell ref="DJ27:DP27"/>
    <mergeCell ref="DC26:DI26"/>
    <mergeCell ref="CV26:DB26"/>
    <mergeCell ref="DQ26:DW26"/>
    <mergeCell ref="DX26:ED26"/>
    <mergeCell ref="CA26:CG26"/>
    <mergeCell ref="BT26:BZ26"/>
    <mergeCell ref="CH26:CN26"/>
    <mergeCell ref="CO26:CU26"/>
    <mergeCell ref="BT27:BZ27"/>
    <mergeCell ref="DJ26:DP26"/>
    <mergeCell ref="CA17:CG17"/>
    <mergeCell ref="CA18:CG18"/>
    <mergeCell ref="BT12:BZ12"/>
    <mergeCell ref="BT13:BZ13"/>
    <mergeCell ref="BT17:BZ17"/>
    <mergeCell ref="BT15:BZ15"/>
    <mergeCell ref="BT18:BZ18"/>
    <mergeCell ref="CA13:CG13"/>
    <mergeCell ref="BT14:BZ14"/>
    <mergeCell ref="BM20:BZ20"/>
    <mergeCell ref="BM19:BZ19"/>
    <mergeCell ref="BT16:BZ16"/>
    <mergeCell ref="CA16:CG16"/>
    <mergeCell ref="BT11:BZ11"/>
    <mergeCell ref="BM16:BS16"/>
    <mergeCell ref="BM15:BS15"/>
    <mergeCell ref="BM17:BS17"/>
    <mergeCell ref="BM18:BS18"/>
    <mergeCell ref="GW23:HC23"/>
    <mergeCell ref="GW24:HC24"/>
    <mergeCell ref="HD23:HJ23"/>
    <mergeCell ref="GW22:HC22"/>
    <mergeCell ref="HD25:HJ25"/>
    <mergeCell ref="HD26:HJ26"/>
    <mergeCell ref="GI26:GO26"/>
    <mergeCell ref="GP25:GV25"/>
    <mergeCell ref="GI25:GO25"/>
    <mergeCell ref="HD21:HJ21"/>
    <mergeCell ref="GW21:HC21"/>
    <mergeCell ref="GP23:GV23"/>
    <mergeCell ref="GW26:HC26"/>
    <mergeCell ref="GP26:GV26"/>
    <mergeCell ref="HD15:HJ15"/>
    <mergeCell ref="HD16:HJ16"/>
    <mergeCell ref="HD24:HJ24"/>
    <mergeCell ref="GW25:HC25"/>
    <mergeCell ref="HK16:HQ16"/>
    <mergeCell ref="HY16:IE16"/>
    <mergeCell ref="HK15:HQ15"/>
    <mergeCell ref="HY15:IE15"/>
    <mergeCell ref="HR12:HX12"/>
    <mergeCell ref="HD12:HJ12"/>
    <mergeCell ref="HD17:HJ17"/>
    <mergeCell ref="HD18:HJ18"/>
    <mergeCell ref="HY19:IE19"/>
    <mergeCell ref="HY24:IE24"/>
    <mergeCell ref="HY23:IE23"/>
    <mergeCell ref="HY25:IE25"/>
    <mergeCell ref="HY26:IE26"/>
    <mergeCell ref="HY22:IE22"/>
    <mergeCell ref="HY21:IE21"/>
    <mergeCell ref="HY12:IE12"/>
    <mergeCell ref="GP12:GV12"/>
    <mergeCell ref="HR21:HX21"/>
    <mergeCell ref="HK21:HQ21"/>
    <mergeCell ref="HR24:HX24"/>
    <mergeCell ref="HR25:HX25"/>
    <mergeCell ref="HR23:HX23"/>
    <mergeCell ref="HR22:HX22"/>
    <mergeCell ref="HK25:HQ25"/>
    <mergeCell ref="HR27:HX27"/>
    <mergeCell ref="HK26:HQ26"/>
    <mergeCell ref="DR19:DW19"/>
    <mergeCell ref="DH19:DQ19"/>
    <mergeCell ref="DQ21:DW21"/>
    <mergeCell ref="DQ22:DW22"/>
    <mergeCell ref="EL14:ER14"/>
    <mergeCell ref="EL16:ER16"/>
    <mergeCell ref="EL15:ER15"/>
    <mergeCell ref="EL24:ER24"/>
    <mergeCell ref="EE24:EK24"/>
    <mergeCell ref="DW14:ED14"/>
    <mergeCell ref="DR13:DW13"/>
    <mergeCell ref="DQ23:DW23"/>
    <mergeCell ref="DJ20:DQ20"/>
    <mergeCell ref="DR20:ED20"/>
    <mergeCell ref="DC14:DI14"/>
    <mergeCell ref="DJ13:DQ13"/>
    <mergeCell ref="DD13:DI13"/>
    <mergeCell ref="HR13:HX13"/>
    <mergeCell ref="HR14:HX14"/>
    <mergeCell ref="HY14:IE14"/>
    <mergeCell ref="GW16:HC16"/>
    <mergeCell ref="CO19:CU19"/>
    <mergeCell ref="CO24:CU24"/>
    <mergeCell ref="CV17:DB17"/>
    <mergeCell ref="CV18:DB18"/>
    <mergeCell ref="CV25:DB25"/>
    <mergeCell ref="DC20:DI20"/>
    <mergeCell ref="DC17:DI17"/>
    <mergeCell ref="CV19:DG19"/>
    <mergeCell ref="DC18:DI18"/>
    <mergeCell ref="DC16:DI16"/>
    <mergeCell ref="FG25:FM25"/>
    <mergeCell ref="FG20:FM20"/>
    <mergeCell ref="HK27:HQ27"/>
    <mergeCell ref="HY27:IE27"/>
    <mergeCell ref="ES27:EY27"/>
    <mergeCell ref="EZ25:FF25"/>
    <mergeCell ref="ES25:EY25"/>
    <mergeCell ref="ES26:EY26"/>
    <mergeCell ref="EL26:ER26"/>
    <mergeCell ref="EL20:FF20"/>
    <mergeCell ref="HK22:HQ22"/>
    <mergeCell ref="HD22:HJ22"/>
    <mergeCell ref="CV13:DC13"/>
    <mergeCell ref="CP13:CU13"/>
    <mergeCell ref="CO18:CU18"/>
    <mergeCell ref="CV21:DB21"/>
    <mergeCell ref="CV12:DB12"/>
    <mergeCell ref="CV14:DB14"/>
    <mergeCell ref="CV11:DB11"/>
    <mergeCell ref="CV16:DB16"/>
    <mergeCell ref="CV15:DB15"/>
    <mergeCell ref="CO21:CU21"/>
    <mergeCell ref="FG27:FM27"/>
    <mergeCell ref="FN27:FT27"/>
    <mergeCell ref="FN26:FT26"/>
    <mergeCell ref="FG26:FM26"/>
    <mergeCell ref="FU26:GA26"/>
    <mergeCell ref="EZ26:FF26"/>
    <mergeCell ref="GB26:GH26"/>
    <mergeCell ref="HD27:HJ27"/>
    <mergeCell ref="GP27:GV27"/>
    <mergeCell ref="FU27:GA27"/>
    <mergeCell ref="GB27:GH27"/>
    <mergeCell ref="GW27:HC27"/>
    <mergeCell ref="EZ27:FF27"/>
    <mergeCell ref="HR26:HX26"/>
    <mergeCell ref="FG13:FM13"/>
    <mergeCell ref="FG15:FM15"/>
    <mergeCell ref="FN13:FT13"/>
    <mergeCell ref="GB11:GH11"/>
    <mergeCell ref="ES11:EY11"/>
    <mergeCell ref="EZ23:FF23"/>
    <mergeCell ref="EZ19:FF19"/>
    <mergeCell ref="FN14:FT14"/>
    <mergeCell ref="FG16:FM16"/>
    <mergeCell ref="GB22:GH22"/>
    <mergeCell ref="GB21:GH21"/>
    <mergeCell ref="FG24:FM24"/>
    <mergeCell ref="GB24:GH24"/>
    <mergeCell ref="GB23:GH23"/>
    <mergeCell ref="GI23:GO23"/>
    <mergeCell ref="GI22:GO22"/>
    <mergeCell ref="GI21:GO21"/>
    <mergeCell ref="GI19:GO19"/>
    <mergeCell ref="HD11:HJ11"/>
    <mergeCell ref="HD14:HJ14"/>
    <mergeCell ref="HD13:HJ13"/>
    <mergeCell ref="HR17:HX17"/>
    <mergeCell ref="HY17:IE17"/>
    <mergeCell ref="GW11:HC11"/>
    <mergeCell ref="HY11:IE11"/>
    <mergeCell ref="HR11:HX11"/>
    <mergeCell ref="HK11:HQ11"/>
    <mergeCell ref="HK17:HQ17"/>
    <mergeCell ref="HR16:HX16"/>
    <mergeCell ref="HR15:HX15"/>
    <mergeCell ref="HK19:HX19"/>
    <mergeCell ref="GW19:HJ19"/>
    <mergeCell ref="HY18:IE18"/>
    <mergeCell ref="HK18:HX18"/>
    <mergeCell ref="HY20:IE20"/>
    <mergeCell ref="HR20:HX20"/>
    <mergeCell ref="HK20:HQ20"/>
    <mergeCell ref="GW20:HC20"/>
    <mergeCell ref="HD20:HJ20"/>
    <mergeCell ref="GW18:HC18"/>
    <mergeCell ref="GW14:HC14"/>
    <mergeCell ref="HK14:HQ14"/>
    <mergeCell ref="GW15:HC15"/>
    <mergeCell ref="GW17:HC17"/>
    <mergeCell ref="GW12:HC12"/>
    <mergeCell ref="GW13:HC13"/>
    <mergeCell ref="HK13:HQ13"/>
    <mergeCell ref="HY13:IE13"/>
    <mergeCell ref="FU23:GA23"/>
    <mergeCell ref="FN23:FT23"/>
    <mergeCell ref="FU24:GA24"/>
    <mergeCell ref="FN24:FT24"/>
    <mergeCell ref="FN25:FT25"/>
    <mergeCell ref="FU25:GA25"/>
    <mergeCell ref="GB25:GH25"/>
    <mergeCell ref="CV24:DB24"/>
    <mergeCell ref="DC24:DI24"/>
    <mergeCell ref="HK24:HQ24"/>
    <mergeCell ref="HK23:HQ23"/>
    <mergeCell ref="EZ24:FF24"/>
    <mergeCell ref="GI24:GO24"/>
    <mergeCell ref="GP24:GV24"/>
    <mergeCell ref="HY35:IE35"/>
    <mergeCell ref="HY36:IE36"/>
    <mergeCell ref="HY34:IE34"/>
    <mergeCell ref="HY41:IE41"/>
    <mergeCell ref="IF39:IL39"/>
    <mergeCell ref="IM39:IS39"/>
    <mergeCell ref="HY40:IE40"/>
    <mergeCell ref="IT15:IZ15"/>
    <mergeCell ref="IM15:IS15"/>
    <mergeCell ref="KQ15:KW15"/>
    <mergeCell ref="KX15:LD15"/>
    <mergeCell ref="KC16:KI16"/>
    <mergeCell ref="KC17:KI17"/>
    <mergeCell ref="JV24:KB24"/>
    <mergeCell ref="JV25:KB25"/>
    <mergeCell ref="KC15:KI15"/>
    <mergeCell ref="JV15:KB15"/>
    <mergeCell ref="IM17:IS17"/>
    <mergeCell ref="IT17:IZ17"/>
    <mergeCell ref="IT16:IZ16"/>
    <mergeCell ref="IM16:IS16"/>
    <mergeCell ref="JV17:KB17"/>
    <mergeCell ref="JV26:KB26"/>
    <mergeCell ref="JV23:KB23"/>
    <mergeCell ref="JV21:KB21"/>
    <mergeCell ref="JV22:KB22"/>
    <mergeCell ref="JV20:KB20"/>
    <mergeCell ref="HY33:IE33"/>
    <mergeCell ref="IF33:IL33"/>
    <mergeCell ref="KQ17:KW17"/>
    <mergeCell ref="KX17:LD17"/>
    <mergeCell ref="KJ17:KP17"/>
    <mergeCell ref="JA17:JG17"/>
    <mergeCell ref="JA21:JG21"/>
    <mergeCell ref="KJ16:KP16"/>
    <mergeCell ref="JV16:KB16"/>
    <mergeCell ref="IF17:IL17"/>
    <mergeCell ref="IF16:IL16"/>
    <mergeCell ref="JH16:JN16"/>
    <mergeCell ref="JO16:JU16"/>
    <mergeCell ref="JO17:JU17"/>
    <mergeCell ref="JH17:JN17"/>
    <mergeCell ref="LE16:LK16"/>
    <mergeCell ref="KX16:LD16"/>
    <mergeCell ref="KQ16:KW16"/>
    <mergeCell ref="LE17:LK17"/>
    <mergeCell ref="LE15:LK15"/>
    <mergeCell ref="JO26:JU26"/>
    <mergeCell ref="JO23:JU23"/>
    <mergeCell ref="JO24:JU24"/>
    <mergeCell ref="JH18:JN18"/>
    <mergeCell ref="JH19:JN19"/>
    <mergeCell ref="JA27:JG27"/>
    <mergeCell ref="IT28:IZ28"/>
    <mergeCell ref="IT27:IZ27"/>
    <mergeCell ref="JA28:JG28"/>
    <mergeCell ref="IT32:IZ32"/>
    <mergeCell ref="IM32:IS32"/>
    <mergeCell ref="IT25:IZ25"/>
    <mergeCell ref="JA25:JG25"/>
    <mergeCell ref="IM24:IS24"/>
    <mergeCell ref="IM25:IS25"/>
    <mergeCell ref="JA18:JG18"/>
    <mergeCell ref="JA31:JG31"/>
    <mergeCell ref="JH31:JN31"/>
    <mergeCell ref="HR32:HX32"/>
    <mergeCell ref="IF32:IL32"/>
    <mergeCell ref="HY32:IE32"/>
    <mergeCell ref="JA24:JG24"/>
    <mergeCell ref="IT24:IZ24"/>
    <mergeCell ref="IM23:IS23"/>
    <mergeCell ref="IM22:IS22"/>
    <mergeCell ref="IM21:IS21"/>
    <mergeCell ref="IT21:IZ21"/>
    <mergeCell ref="JV28:KB28"/>
    <mergeCell ref="KC28:KI28"/>
    <mergeCell ref="KC30:KI30"/>
    <mergeCell ref="KC31:KI31"/>
    <mergeCell ref="JV30:KB30"/>
    <mergeCell ref="JH26:JN26"/>
    <mergeCell ref="JH27:JN27"/>
    <mergeCell ref="IM26:IS26"/>
    <mergeCell ref="JO32:JU32"/>
    <mergeCell ref="JV32:KB32"/>
    <mergeCell ref="KC32:KI32"/>
    <mergeCell ref="JO31:JU31"/>
    <mergeCell ref="JV31:KB31"/>
    <mergeCell ref="IT31:IZ31"/>
    <mergeCell ref="JO30:JU30"/>
    <mergeCell ref="JA32:JG32"/>
    <mergeCell ref="HY29:IE29"/>
    <mergeCell ref="JH29:JN29"/>
    <mergeCell ref="KC27:KI27"/>
    <mergeCell ref="KC29:KI29"/>
    <mergeCell ref="JO27:JU27"/>
    <mergeCell ref="JO28:JU28"/>
    <mergeCell ref="KC18:KI18"/>
    <mergeCell ref="JO18:JU18"/>
    <mergeCell ref="JV18:KB18"/>
    <mergeCell ref="JO19:JU19"/>
    <mergeCell ref="JV19:KB19"/>
    <mergeCell ref="JO21:JU21"/>
    <mergeCell ref="JO22:JU22"/>
    <mergeCell ref="JO29:JU29"/>
    <mergeCell ref="KC20:KI20"/>
    <mergeCell ref="KC22:KI22"/>
    <mergeCell ref="KC21:KI21"/>
    <mergeCell ref="JO25:JU25"/>
    <mergeCell ref="KC26:KI26"/>
    <mergeCell ref="KC24:KI24"/>
    <mergeCell ref="KJ21:KP21"/>
    <mergeCell ref="KJ20:KP20"/>
    <mergeCell ref="LE24:LK24"/>
    <mergeCell ref="LE26:LK26"/>
    <mergeCell ref="KX22:LD22"/>
    <mergeCell ref="KX26:LD26"/>
    <mergeCell ref="KJ26:KP26"/>
    <mergeCell ref="KQ26:KW26"/>
    <mergeCell ref="KQ29:KW29"/>
    <mergeCell ref="KJ29:KP29"/>
    <mergeCell ref="KJ28:KP28"/>
    <mergeCell ref="KQ28:KW28"/>
    <mergeCell ref="KJ27:KP27"/>
    <mergeCell ref="KX27:LD27"/>
    <mergeCell ref="KX28:LD28"/>
    <mergeCell ref="KX29:LD29"/>
    <mergeCell ref="LE29:LK29"/>
    <mergeCell ref="KJ34:KP34"/>
    <mergeCell ref="KJ31:KP31"/>
    <mergeCell ref="KJ32:KP32"/>
    <mergeCell ref="KQ31:KW31"/>
    <mergeCell ref="KX31:LD31"/>
    <mergeCell ref="KQ32:KW32"/>
    <mergeCell ref="KX32:LD32"/>
    <mergeCell ref="KQ34:KW34"/>
    <mergeCell ref="LE22:LK22"/>
    <mergeCell ref="LE23:LK23"/>
    <mergeCell ref="KX23:LD23"/>
    <mergeCell ref="KJ22:KP22"/>
    <mergeCell ref="KX24:LD24"/>
    <mergeCell ref="LE30:LK30"/>
    <mergeCell ref="LE32:LK32"/>
    <mergeCell ref="KX19:LD19"/>
    <mergeCell ref="LE19:LK19"/>
    <mergeCell ref="KQ23:KW23"/>
    <mergeCell ref="KQ18:KW18"/>
    <mergeCell ref="KQ22:KW22"/>
    <mergeCell ref="KQ21:KW21"/>
    <mergeCell ref="KJ18:KP18"/>
    <mergeCell ref="LE18:LK18"/>
    <mergeCell ref="KJ23:KP23"/>
    <mergeCell ref="KX18:LD18"/>
    <mergeCell ref="LE27:LK27"/>
    <mergeCell ref="KQ27:KW27"/>
    <mergeCell ref="KX25:LD25"/>
    <mergeCell ref="KQ25:KW25"/>
    <mergeCell ref="KJ25:KP25"/>
    <mergeCell ref="KQ24:KW24"/>
    <mergeCell ref="KJ24:KP24"/>
    <mergeCell ref="LE28:LK28"/>
    <mergeCell ref="KX30:LD30"/>
    <mergeCell ref="KJ30:KP30"/>
    <mergeCell ref="KQ30:KW30"/>
    <mergeCell ref="KX21:LD21"/>
    <mergeCell ref="KX20:LD20"/>
    <mergeCell ref="LE25:LK25"/>
    <mergeCell ref="LE31:LK31"/>
    <mergeCell ref="HR31:HX31"/>
    <mergeCell ref="HR29:HX29"/>
    <mergeCell ref="HR30:HX30"/>
    <mergeCell ref="HY31:IE31"/>
    <mergeCell ref="HY30:IE30"/>
    <mergeCell ref="IF23:IL23"/>
    <mergeCell ref="IF22:IL22"/>
    <mergeCell ref="HY28:IE28"/>
    <mergeCell ref="IF24:IL24"/>
    <mergeCell ref="IF25:IL25"/>
    <mergeCell ref="IF19:IL19"/>
    <mergeCell ref="IF20:IL20"/>
    <mergeCell ref="IF18:IL18"/>
    <mergeCell ref="IF29:IL29"/>
    <mergeCell ref="IF26:IL26"/>
    <mergeCell ref="JA20:JG20"/>
    <mergeCell ref="IM20:IZ20"/>
    <mergeCell ref="JA29:JG29"/>
    <mergeCell ref="JA30:JG30"/>
    <mergeCell ref="IM18:IS18"/>
    <mergeCell ref="IT18:IZ18"/>
    <mergeCell ref="IT29:IZ29"/>
    <mergeCell ref="IT30:IZ30"/>
    <mergeCell ref="IT23:IZ23"/>
    <mergeCell ref="IT22:IZ22"/>
    <mergeCell ref="IT26:IZ26"/>
    <mergeCell ref="JA26:JG26"/>
    <mergeCell ref="JA22:JG22"/>
    <mergeCell ref="JA23:JG23"/>
    <mergeCell ref="JH20:JN20"/>
    <mergeCell ref="JH21:JN21"/>
    <mergeCell ref="JH30:JN30"/>
    <mergeCell ref="JH32:JN32"/>
    <mergeCell ref="JH24:JN24"/>
    <mergeCell ref="JH22:JN22"/>
    <mergeCell ref="JH23:JN23"/>
    <mergeCell ref="JH25:JN25"/>
    <mergeCell ref="JH28:JN28"/>
    <mergeCell ref="EE30:EK30"/>
    <mergeCell ref="DQ30:DW30"/>
    <mergeCell ref="FU30:GA30"/>
    <mergeCell ref="FN30:FT30"/>
    <mergeCell ref="FG30:FM30"/>
    <mergeCell ref="CA29:CG29"/>
    <mergeCell ref="CO29:CU29"/>
    <mergeCell ref="ES29:EY29"/>
    <mergeCell ref="CH30:CN30"/>
    <mergeCell ref="FU29:GA29"/>
    <mergeCell ref="FN29:FT29"/>
    <mergeCell ref="EZ29:FF29"/>
    <mergeCell ref="FG29:FM29"/>
    <mergeCell ref="EL30:ER30"/>
    <mergeCell ref="EL29:ER29"/>
    <mergeCell ref="DJ30:DP30"/>
    <mergeCell ref="DC30:DI30"/>
    <mergeCell ref="ES30:EY30"/>
    <mergeCell ref="EZ30:FF30"/>
    <mergeCell ref="CV30:DB30"/>
    <mergeCell ref="CO30:CU30"/>
    <mergeCell ref="DX29:ED29"/>
    <mergeCell ref="EE29:EK29"/>
    <mergeCell ref="BF26:BL26"/>
    <mergeCell ref="BF25:BL25"/>
    <mergeCell ref="AY22:BE22"/>
    <mergeCell ref="AR22:AX22"/>
    <mergeCell ref="AY23:BE23"/>
    <mergeCell ref="AR23:AX23"/>
    <mergeCell ref="AY27:BE27"/>
    <mergeCell ref="AY24:BE24"/>
    <mergeCell ref="AY25:BE25"/>
    <mergeCell ref="AY26:BE26"/>
    <mergeCell ref="AR24:AX24"/>
    <mergeCell ref="AR25:AX25"/>
    <mergeCell ref="CV27:DB27"/>
    <mergeCell ref="CA27:CG27"/>
    <mergeCell ref="CH27:CN27"/>
    <mergeCell ref="CO27:CU27"/>
    <mergeCell ref="AR27:AX27"/>
    <mergeCell ref="CA22:CG22"/>
    <mergeCell ref="AR26:AX26"/>
    <mergeCell ref="B23:H23"/>
    <mergeCell ref="I23:O23"/>
    <mergeCell ref="W23:AC23"/>
    <mergeCell ref="P23:V23"/>
    <mergeCell ref="B22:H22"/>
    <mergeCell ref="AD22:AJ22"/>
    <mergeCell ref="AK23:AQ23"/>
    <mergeCell ref="AK22:AQ22"/>
    <mergeCell ref="W22:AC22"/>
    <mergeCell ref="AD23:AJ23"/>
    <mergeCell ref="AK24:AQ24"/>
    <mergeCell ref="AK25:AQ25"/>
    <mergeCell ref="P22:V22"/>
    <mergeCell ref="I22:O22"/>
    <mergeCell ref="AD24:AJ24"/>
    <mergeCell ref="W24:AC24"/>
    <mergeCell ref="P24:V24"/>
    <mergeCell ref="P25:V25"/>
    <mergeCell ref="W25:AC25"/>
    <mergeCell ref="GI29:GO29"/>
    <mergeCell ref="GI28:GO28"/>
    <mergeCell ref="GI27:GO27"/>
    <mergeCell ref="DC28:DI28"/>
    <mergeCell ref="CV28:DB28"/>
    <mergeCell ref="BF28:BL28"/>
    <mergeCell ref="AR28:AX28"/>
    <mergeCell ref="AY28:BE28"/>
    <mergeCell ref="B27:H27"/>
    <mergeCell ref="B28:H28"/>
    <mergeCell ref="AY30:BE30"/>
    <mergeCell ref="AR30:AX30"/>
    <mergeCell ref="BT30:BZ30"/>
    <mergeCell ref="BM30:BS30"/>
    <mergeCell ref="CA30:CG30"/>
    <mergeCell ref="DQ31:DW31"/>
    <mergeCell ref="CO31:CU31"/>
    <mergeCell ref="CV31:DB31"/>
    <mergeCell ref="DC31:DI31"/>
    <mergeCell ref="DX31:ED31"/>
    <mergeCell ref="DX30:ED30"/>
    <mergeCell ref="CA31:CG31"/>
    <mergeCell ref="CV29:DB29"/>
    <mergeCell ref="DC29:DI29"/>
    <mergeCell ref="CH29:CN29"/>
    <mergeCell ref="BM29:BS29"/>
    <mergeCell ref="BF29:BL29"/>
    <mergeCell ref="AY29:BE29"/>
    <mergeCell ref="AR29:AX29"/>
    <mergeCell ref="BT29:BZ29"/>
    <mergeCell ref="DQ29:DW29"/>
    <mergeCell ref="DJ29:DP29"/>
    <mergeCell ref="AD25:AJ25"/>
    <mergeCell ref="AD26:AJ26"/>
    <mergeCell ref="BF21:BL21"/>
    <mergeCell ref="AK20:BL20"/>
    <mergeCell ref="BF24:BL24"/>
    <mergeCell ref="BF23:BL23"/>
    <mergeCell ref="BF22:BL22"/>
    <mergeCell ref="BF27:BL27"/>
    <mergeCell ref="AK27:AQ27"/>
    <mergeCell ref="AK28:AQ28"/>
    <mergeCell ref="AK26:AQ26"/>
    <mergeCell ref="W38:AC38"/>
    <mergeCell ref="AK38:AQ38"/>
    <mergeCell ref="AD38:AJ38"/>
    <mergeCell ref="BM38:BS38"/>
    <mergeCell ref="BF38:BL38"/>
    <mergeCell ref="BT38:BZ38"/>
    <mergeCell ref="P38:V38"/>
    <mergeCell ref="AY38:BE38"/>
    <mergeCell ref="AR38:AX38"/>
    <mergeCell ref="AK39:AQ39"/>
    <mergeCell ref="AD39:AJ39"/>
    <mergeCell ref="AY39:BE39"/>
    <mergeCell ref="AR39:AX39"/>
    <mergeCell ref="W39:AC39"/>
    <mergeCell ref="BF8:BL8"/>
    <mergeCell ref="I9:AJ9"/>
    <mergeCell ref="I8:AJ8"/>
    <mergeCell ref="AE10:AJ10"/>
    <mergeCell ref="AV8:BE8"/>
    <mergeCell ref="AK8:AU8"/>
    <mergeCell ref="AK10:AU10"/>
    <mergeCell ref="AK11:AN11"/>
    <mergeCell ref="AK19:AS19"/>
    <mergeCell ref="AD19:AJ19"/>
    <mergeCell ref="BF18:BL18"/>
    <mergeCell ref="BF17:BL17"/>
    <mergeCell ref="I17:O17"/>
    <mergeCell ref="I18:O18"/>
    <mergeCell ref="W18:AC18"/>
    <mergeCell ref="P18:V18"/>
    <mergeCell ref="W19:AC19"/>
    <mergeCell ref="I14:P14"/>
    <mergeCell ref="Q14:R14"/>
    <mergeCell ref="P19:V19"/>
    <mergeCell ref="I19:O19"/>
    <mergeCell ref="P15:V15"/>
    <mergeCell ref="W15:AC15"/>
    <mergeCell ref="I15:O15"/>
    <mergeCell ref="AD15:AJ15"/>
    <mergeCell ref="AE14:AJ14"/>
    <mergeCell ref="S14:AD14"/>
    <mergeCell ref="AD30:AJ30"/>
    <mergeCell ref="AK30:AQ30"/>
    <mergeCell ref="AD29:AJ29"/>
    <mergeCell ref="AD28:AJ28"/>
    <mergeCell ref="W27:AC27"/>
    <mergeCell ref="W28:AC28"/>
    <mergeCell ref="P29:V29"/>
    <mergeCell ref="W29:AC29"/>
    <mergeCell ref="AK29:AQ29"/>
    <mergeCell ref="W26:AC26"/>
    <mergeCell ref="P26:V26"/>
    <mergeCell ref="P27:V27"/>
    <mergeCell ref="P28:V28"/>
    <mergeCell ref="W30:AC30"/>
    <mergeCell ref="AD27:AJ27"/>
    <mergeCell ref="P30:V30"/>
    <mergeCell ref="I25:O25"/>
    <mergeCell ref="I24:O24"/>
    <mergeCell ref="B24:H24"/>
    <mergeCell ref="I30:O30"/>
    <mergeCell ref="I29:O29"/>
    <mergeCell ref="B30:H30"/>
    <mergeCell ref="B32:H32"/>
    <mergeCell ref="B31:H31"/>
    <mergeCell ref="I32:O32"/>
    <mergeCell ref="I31:O31"/>
    <mergeCell ref="I26:O26"/>
    <mergeCell ref="I27:O27"/>
    <mergeCell ref="I28:O28"/>
    <mergeCell ref="W10:AD10"/>
    <mergeCell ref="W11:AD11"/>
    <mergeCell ref="W12:AJ12"/>
    <mergeCell ref="AE13:AJ13"/>
    <mergeCell ref="P7:V7"/>
    <mergeCell ref="AY7:BE7"/>
    <mergeCell ref="AK7:AQ7"/>
    <mergeCell ref="BF12:BL12"/>
    <mergeCell ref="BG13:BL13"/>
    <mergeCell ref="B7:H7"/>
    <mergeCell ref="I7:O7"/>
    <mergeCell ref="B12:H12"/>
    <mergeCell ref="I12:V12"/>
    <mergeCell ref="AE11:AJ11"/>
    <mergeCell ref="B8:H8"/>
    <mergeCell ref="B9:H9"/>
    <mergeCell ref="I11:O11"/>
    <mergeCell ref="I10:O10"/>
    <mergeCell ref="P11:V11"/>
    <mergeCell ref="P10:V10"/>
    <mergeCell ref="B13:H13"/>
    <mergeCell ref="I13:O13"/>
    <mergeCell ref="P13:V13"/>
    <mergeCell ref="W13:AD13"/>
    <mergeCell ref="BF10:BL10"/>
    <mergeCell ref="BF9:BL9"/>
    <mergeCell ref="AD7:AJ7"/>
    <mergeCell ref="W7:AC7"/>
    <mergeCell ref="B15:H15"/>
    <mergeCell ref="B16:H16"/>
    <mergeCell ref="B18:H18"/>
    <mergeCell ref="B19:H19"/>
    <mergeCell ref="B10:H10"/>
    <mergeCell ref="B11:H11"/>
    <mergeCell ref="B14:H14"/>
    <mergeCell ref="B26:H26"/>
    <mergeCell ref="B25:H25"/>
    <mergeCell ref="B29:H29"/>
    <mergeCell ref="B17:H17"/>
    <mergeCell ref="BF19:BL19"/>
    <mergeCell ref="AT18:AX18"/>
    <mergeCell ref="AT19:AX19"/>
    <mergeCell ref="AY18:BE18"/>
    <mergeCell ref="AY19:BE19"/>
    <mergeCell ref="BF15:BL15"/>
    <mergeCell ref="AV15:BE15"/>
    <mergeCell ref="BF7:BL7"/>
    <mergeCell ref="BF16:BL16"/>
    <mergeCell ref="BF14:BL14"/>
    <mergeCell ref="BG11:BL11"/>
    <mergeCell ref="AR7:AX7"/>
    <mergeCell ref="AV10:BE10"/>
    <mergeCell ref="AY16:BE16"/>
    <mergeCell ref="AU14:BE14"/>
    <mergeCell ref="BF31:BL31"/>
    <mergeCell ref="BM31:BS31"/>
    <mergeCell ref="P31:V31"/>
    <mergeCell ref="W31:AC31"/>
    <mergeCell ref="AD31:AJ31"/>
    <mergeCell ref="P32:V32"/>
    <mergeCell ref="BT31:BZ31"/>
    <mergeCell ref="BT32:BZ32"/>
    <mergeCell ref="BF30:BL30"/>
    <mergeCell ref="B33:H33"/>
    <mergeCell ref="I33:O33"/>
    <mergeCell ref="B35:H35"/>
    <mergeCell ref="B34:H34"/>
    <mergeCell ref="W34:AC34"/>
    <mergeCell ref="W33:AC33"/>
    <mergeCell ref="P33:V33"/>
    <mergeCell ref="P34:V34"/>
    <mergeCell ref="AD34:AJ34"/>
    <mergeCell ref="AD35:AJ35"/>
    <mergeCell ref="P37:V37"/>
    <mergeCell ref="I37:O37"/>
    <mergeCell ref="AD33:AJ33"/>
    <mergeCell ref="I35:O35"/>
    <mergeCell ref="W36:AC36"/>
    <mergeCell ref="I34:O34"/>
    <mergeCell ref="P35:V35"/>
    <mergeCell ref="W35:AC35"/>
    <mergeCell ref="I40:O40"/>
    <mergeCell ref="B40:H40"/>
    <mergeCell ref="W17:AC17"/>
    <mergeCell ref="P17:V17"/>
    <mergeCell ref="AY17:BE17"/>
    <mergeCell ref="AR17:AX17"/>
    <mergeCell ref="W21:AC21"/>
    <mergeCell ref="P21:V21"/>
    <mergeCell ref="I21:O21"/>
    <mergeCell ref="B21:H21"/>
    <mergeCell ref="B20:H20"/>
    <mergeCell ref="AD21:AJ21"/>
    <mergeCell ref="AY21:BE21"/>
    <mergeCell ref="AR21:AX21"/>
    <mergeCell ref="P16:V16"/>
    <mergeCell ref="I16:O16"/>
    <mergeCell ref="P20:AJ20"/>
    <mergeCell ref="I20:O20"/>
    <mergeCell ref="AK16:AQ16"/>
    <mergeCell ref="AD16:AJ16"/>
    <mergeCell ref="AD17:AJ17"/>
    <mergeCell ref="AD18:AJ18"/>
    <mergeCell ref="W16:AC16"/>
    <mergeCell ref="I38:O38"/>
    <mergeCell ref="B38:H38"/>
    <mergeCell ref="I39:O39"/>
    <mergeCell ref="B39:H39"/>
    <mergeCell ref="P39:V39"/>
    <mergeCell ref="P40:V40"/>
    <mergeCell ref="W40:AC40"/>
    <mergeCell ref="AK17:AQ17"/>
    <mergeCell ref="AK18:AS18"/>
    <mergeCell ref="AK21:AQ21"/>
    <mergeCell ref="AK14:AT14"/>
    <mergeCell ref="AO13:AU13"/>
    <mergeCell ref="AK13:AN13"/>
    <mergeCell ref="AK15:AU15"/>
    <mergeCell ref="AR16:AX16"/>
    <mergeCell ref="GB40:GH40"/>
    <mergeCell ref="GP40:GV40"/>
    <mergeCell ref="LE41:LK41"/>
    <mergeCell ref="KX41:LD41"/>
    <mergeCell ref="LE40:LK40"/>
    <mergeCell ref="KQ41:KW41"/>
    <mergeCell ref="HR39:HX39"/>
    <mergeCell ref="GW39:HC39"/>
    <mergeCell ref="HD39:HJ39"/>
    <mergeCell ref="GB41:GH41"/>
    <mergeCell ref="FU41:GA41"/>
    <mergeCell ref="FU40:GA40"/>
    <mergeCell ref="HR40:HX40"/>
    <mergeCell ref="GP39:GV39"/>
    <mergeCell ref="GW37:HC37"/>
    <mergeCell ref="DJ37:DP37"/>
    <mergeCell ref="IM37:IS37"/>
    <mergeCell ref="IF37:IL37"/>
    <mergeCell ref="HK37:HQ37"/>
    <mergeCell ref="HY37:IE37"/>
    <mergeCell ref="GB38:GH38"/>
    <mergeCell ref="EZ38:FF38"/>
    <mergeCell ref="FG38:FM38"/>
    <mergeCell ref="JH15:JN15"/>
    <mergeCell ref="JO15:JU15"/>
    <mergeCell ref="LE14:LK14"/>
    <mergeCell ref="LE13:LK13"/>
    <mergeCell ref="KQ14:LD14"/>
    <mergeCell ref="KQ12:KW12"/>
    <mergeCell ref="KX12:LD12"/>
    <mergeCell ref="LE12:LK12"/>
    <mergeCell ref="LE9:LK9"/>
    <mergeCell ref="JH14:JN14"/>
    <mergeCell ref="KJ14:KP14"/>
    <mergeCell ref="KJ15:KP15"/>
    <mergeCell ref="IF15:IL15"/>
    <mergeCell ref="IT14:IZ14"/>
    <mergeCell ref="IF14:IS14"/>
    <mergeCell ref="IT13:IZ13"/>
    <mergeCell ref="JO10:JU10"/>
    <mergeCell ref="JO9:JU9"/>
    <mergeCell ref="IN11:IS11"/>
    <mergeCell ref="IN10:IS10"/>
    <mergeCell ref="IN13:IS13"/>
    <mergeCell ref="IF12:IM12"/>
    <mergeCell ref="IT12:IZ12"/>
    <mergeCell ref="IF13:IM13"/>
    <mergeCell ref="IN12:IS12"/>
    <mergeCell ref="IF10:IM10"/>
    <mergeCell ref="IT11:IZ11"/>
    <mergeCell ref="IT10:IZ10"/>
    <mergeCell ref="JO11:JU11"/>
    <mergeCell ref="JV11:KB11"/>
    <mergeCell ref="JO14:KI14"/>
    <mergeCell ref="JO13:JU13"/>
    <mergeCell ref="JO12:JU12"/>
    <mergeCell ref="JH12:JN12"/>
    <mergeCell ref="KC10:KI10"/>
    <mergeCell ref="KJ9:KP9"/>
    <mergeCell ref="JV10:KB10"/>
    <mergeCell ref="JH10:JN10"/>
    <mergeCell ref="HK29:HQ29"/>
    <mergeCell ref="HK30:HQ30"/>
    <mergeCell ref="GW30:HC30"/>
    <mergeCell ref="GP30:GV30"/>
    <mergeCell ref="GB29:GH29"/>
    <mergeCell ref="GB31:GH31"/>
    <mergeCell ref="GB30:GH30"/>
    <mergeCell ref="HD31:HJ31"/>
    <mergeCell ref="HD30:HJ30"/>
    <mergeCell ref="GP29:GV29"/>
    <mergeCell ref="GW29:HC29"/>
    <mergeCell ref="HD28:HJ28"/>
    <mergeCell ref="GW28:HC28"/>
    <mergeCell ref="GI30:GO30"/>
    <mergeCell ref="HD29:HJ29"/>
    <mergeCell ref="ES38:EY38"/>
    <mergeCell ref="DX38:ED38"/>
    <mergeCell ref="DQ38:DW38"/>
    <mergeCell ref="DJ38:DP38"/>
    <mergeCell ref="DC38:DI38"/>
    <mergeCell ref="CV38:DB38"/>
    <mergeCell ref="CO38:CU38"/>
    <mergeCell ref="GI40:GO40"/>
    <mergeCell ref="FN40:FT40"/>
    <mergeCell ref="EL38:ER38"/>
    <mergeCell ref="EE38:EK38"/>
    <mergeCell ref="EZ39:FF39"/>
    <mergeCell ref="FG39:FM39"/>
    <mergeCell ref="GI39:GO39"/>
    <mergeCell ref="GB39:GH39"/>
    <mergeCell ref="ES40:EY40"/>
    <mergeCell ref="DX40:ED40"/>
    <mergeCell ref="DC41:DI41"/>
    <mergeCell ref="DJ41:DP41"/>
    <mergeCell ref="DC40:DI40"/>
    <mergeCell ref="CV40:DB40"/>
    <mergeCell ref="DJ40:DP40"/>
    <mergeCell ref="DQ40:DW40"/>
    <mergeCell ref="CH39:CN39"/>
    <mergeCell ref="CA39:CG39"/>
    <mergeCell ref="BM39:BS39"/>
    <mergeCell ref="BF39:BL39"/>
    <mergeCell ref="BT39:BZ39"/>
    <mergeCell ref="CV39:DB39"/>
    <mergeCell ref="CO39:CU39"/>
    <mergeCell ref="AR41:AX41"/>
    <mergeCell ref="AR40:AX40"/>
    <mergeCell ref="AY40:BE40"/>
    <mergeCell ref="AY41:BE41"/>
    <mergeCell ref="AD40:AJ40"/>
    <mergeCell ref="P41:V41"/>
    <mergeCell ref="W41:AC41"/>
    <mergeCell ref="I41:O41"/>
    <mergeCell ref="B41:H41"/>
    <mergeCell ref="AD41:AJ41"/>
    <mergeCell ref="ES32:EY32"/>
    <mergeCell ref="EL32:ER32"/>
    <mergeCell ref="DJ32:DP32"/>
    <mergeCell ref="CV32:DB32"/>
    <mergeCell ref="DC32:DI32"/>
    <mergeCell ref="CA32:CG32"/>
    <mergeCell ref="DX32:ED32"/>
    <mergeCell ref="GP31:GV31"/>
    <mergeCell ref="GW31:HC31"/>
    <mergeCell ref="HK31:HQ31"/>
    <mergeCell ref="EE31:EK31"/>
    <mergeCell ref="FG32:FM32"/>
    <mergeCell ref="EZ32:FF32"/>
    <mergeCell ref="EE32:EK32"/>
    <mergeCell ref="AV11:BF11"/>
    <mergeCell ref="AO11:AU11"/>
    <mergeCell ref="AV13:AX13"/>
    <mergeCell ref="AV12:BE12"/>
    <mergeCell ref="AV9:BE9"/>
    <mergeCell ref="AK9:AU9"/>
    <mergeCell ref="AS12:AU12"/>
    <mergeCell ref="AK12:AR12"/>
    <mergeCell ref="AY13:BF13"/>
    <mergeCell ref="W37:AC37"/>
    <mergeCell ref="AD37:AJ37"/>
    <mergeCell ref="BT37:BZ37"/>
    <mergeCell ref="CA37:CG37"/>
    <mergeCell ref="BM37:BS37"/>
    <mergeCell ref="BF37:BL37"/>
    <mergeCell ref="AR36:AX36"/>
    <mergeCell ref="AR35:AX35"/>
    <mergeCell ref="BF35:BL35"/>
    <mergeCell ref="BF36:BL36"/>
    <mergeCell ref="CH38:CN38"/>
    <mergeCell ref="CA38:CG38"/>
    <mergeCell ref="AY36:BE36"/>
    <mergeCell ref="AY35:BE35"/>
    <mergeCell ref="AD36:AJ36"/>
    <mergeCell ref="B37:H37"/>
    <mergeCell ref="P36:V36"/>
    <mergeCell ref="JV36:KB36"/>
    <mergeCell ref="JV37:KB37"/>
    <mergeCell ref="LE38:LK38"/>
    <mergeCell ref="LE36:LK36"/>
    <mergeCell ref="JA36:JG36"/>
    <mergeCell ref="JA35:JG35"/>
    <mergeCell ref="FU38:GA38"/>
    <mergeCell ref="FN38:FT38"/>
    <mergeCell ref="DC37:DI37"/>
    <mergeCell ref="GP38:GV38"/>
    <mergeCell ref="GI38:GO38"/>
    <mergeCell ref="GW36:HC36"/>
    <mergeCell ref="B36:H36"/>
    <mergeCell ref="I36:O36"/>
    <mergeCell ref="IM36:IS36"/>
    <mergeCell ref="HR36:HX36"/>
    <mergeCell ref="HR35:HX35"/>
    <mergeCell ref="HK35:HQ35"/>
    <mergeCell ref="HR37:HX37"/>
    <mergeCell ref="HD37:HJ37"/>
    <mergeCell ref="HD36:HJ36"/>
    <mergeCell ref="HK36:HQ36"/>
    <mergeCell ref="IT36:IZ36"/>
    <mergeCell ref="IM35:IS35"/>
    <mergeCell ref="IF35:IL35"/>
    <mergeCell ref="JO36:JU36"/>
    <mergeCell ref="JH36:JN36"/>
    <mergeCell ref="JO35:JU35"/>
    <mergeCell ref="JH35:JN35"/>
    <mergeCell ref="W32:AC32"/>
    <mergeCell ref="AR32:AX32"/>
    <mergeCell ref="AK32:AQ32"/>
    <mergeCell ref="GP32:GV32"/>
    <mergeCell ref="GI32:GO32"/>
    <mergeCell ref="GW32:HC32"/>
    <mergeCell ref="HK32:HQ32"/>
    <mergeCell ref="FU32:GA32"/>
    <mergeCell ref="GB32:GH32"/>
    <mergeCell ref="DQ32:DW32"/>
    <mergeCell ref="HD32:HJ32"/>
    <mergeCell ref="AY31:BE31"/>
    <mergeCell ref="AR31:AX31"/>
    <mergeCell ref="AD32:AJ32"/>
    <mergeCell ref="CH32:CN32"/>
    <mergeCell ref="CH31:CN31"/>
    <mergeCell ref="DJ31:DP31"/>
    <mergeCell ref="CO32:CU32"/>
    <mergeCell ref="BM32:BS32"/>
    <mergeCell ref="BF32:BL32"/>
    <mergeCell ref="AK31:AQ31"/>
    <mergeCell ref="JA34:JG34"/>
    <mergeCell ref="JO33:JU33"/>
    <mergeCell ref="KQ33:KW33"/>
    <mergeCell ref="KC34:KI34"/>
    <mergeCell ref="KJ33:KP33"/>
    <mergeCell ref="KC33:KI33"/>
    <mergeCell ref="JV34:KB34"/>
    <mergeCell ref="HD34:HJ34"/>
    <mergeCell ref="HK34:HQ34"/>
    <mergeCell ref="AY34:BE34"/>
    <mergeCell ref="AR34:AX34"/>
    <mergeCell ref="BF34:BL34"/>
    <mergeCell ref="BM34:BS34"/>
    <mergeCell ref="BT34:BZ34"/>
    <mergeCell ref="AK34:AQ34"/>
    <mergeCell ref="HK33:HQ33"/>
    <mergeCell ref="HR33:HX33"/>
    <mergeCell ref="FG31:FM31"/>
    <mergeCell ref="EZ31:FF31"/>
    <mergeCell ref="ES31:EY31"/>
    <mergeCell ref="EL31:ER31"/>
    <mergeCell ref="FU34:GA34"/>
    <mergeCell ref="FN33:FT33"/>
    <mergeCell ref="FG33:FM33"/>
    <mergeCell ref="GI31:GO31"/>
    <mergeCell ref="FN31:FT31"/>
    <mergeCell ref="FU31:GA31"/>
    <mergeCell ref="FN32:FT32"/>
    <mergeCell ref="AY32:BE32"/>
    <mergeCell ref="AY33:BE33"/>
    <mergeCell ref="AR33:AX33"/>
    <mergeCell ref="BF33:BL33"/>
    <mergeCell ref="BM33:BS33"/>
    <mergeCell ref="BT33:BZ33"/>
    <mergeCell ref="AK33:AQ33"/>
    <mergeCell ref="GW33:HC33"/>
    <mergeCell ref="HD33:HJ33"/>
    <mergeCell ref="JO34:JU34"/>
    <mergeCell ref="JH34:JN34"/>
    <mergeCell ref="GW34:HC34"/>
    <mergeCell ref="GB34:GH34"/>
    <mergeCell ref="GP33:GV33"/>
    <mergeCell ref="GI33:GO33"/>
    <mergeCell ref="HR34:HX34"/>
    <mergeCell ref="IF27:IL27"/>
    <mergeCell ref="IF28:IL28"/>
    <mergeCell ref="IF31:IL31"/>
    <mergeCell ref="IF30:IL30"/>
    <mergeCell ref="IM30:IS30"/>
    <mergeCell ref="IM31:IS31"/>
    <mergeCell ref="IM28:IS28"/>
    <mergeCell ref="IM29:IS29"/>
    <mergeCell ref="IM27:IS27"/>
    <mergeCell ref="IF47:IL47"/>
    <mergeCell ref="IF42:IL42"/>
    <mergeCell ref="IF43:IL43"/>
    <mergeCell ref="IF34:IL34"/>
    <mergeCell ref="IF36:IL36"/>
    <mergeCell ref="IF48:IL48"/>
    <mergeCell ref="IF50:IL50"/>
    <mergeCell ref="IF49:IL49"/>
    <mergeCell ref="IM46:IS46"/>
    <mergeCell ref="IM47:IS47"/>
    <mergeCell ref="JV45:KB45"/>
    <mergeCell ref="JV44:KB44"/>
    <mergeCell ref="JV48:KB48"/>
    <mergeCell ref="JA50:JG50"/>
    <mergeCell ref="JH50:JN50"/>
    <mergeCell ref="JV50:KB50"/>
    <mergeCell ref="JV49:KB49"/>
    <mergeCell ref="JO49:JU49"/>
    <mergeCell ref="JH49:JN49"/>
    <mergeCell ref="JH48:JN48"/>
    <mergeCell ref="JH47:JN47"/>
    <mergeCell ref="IT49:IZ49"/>
    <mergeCell ref="JA48:JG48"/>
    <mergeCell ref="IT48:IZ48"/>
    <mergeCell ref="IM49:IS49"/>
    <mergeCell ref="IM50:IS50"/>
    <mergeCell ref="JO46:JU46"/>
    <mergeCell ref="JO45:JU45"/>
    <mergeCell ref="HR42:HX42"/>
    <mergeCell ref="HY42:IE42"/>
    <mergeCell ref="HD42:HJ42"/>
    <mergeCell ref="GW42:HC42"/>
    <mergeCell ref="JA47:JG47"/>
    <mergeCell ref="IT47:IZ47"/>
    <mergeCell ref="HR43:HX43"/>
    <mergeCell ref="GW43:HC43"/>
    <mergeCell ref="HD43:HJ43"/>
    <mergeCell ref="HK43:HQ43"/>
    <mergeCell ref="HK42:HQ42"/>
    <mergeCell ref="LE49:LK49"/>
    <mergeCell ref="KX49:LD49"/>
    <mergeCell ref="KJ48:KP48"/>
    <mergeCell ref="KC48:KI48"/>
    <mergeCell ref="KX47:LD47"/>
    <mergeCell ref="KX48:LD48"/>
    <mergeCell ref="KQ48:KW48"/>
    <mergeCell ref="KQ47:KW47"/>
    <mergeCell ref="LE48:LK48"/>
    <mergeCell ref="KQ38:KW38"/>
    <mergeCell ref="KQ37:KW37"/>
    <mergeCell ref="JV35:KB35"/>
    <mergeCell ref="JV29:KB29"/>
    <mergeCell ref="JV27:KB27"/>
    <mergeCell ref="JV43:KB43"/>
    <mergeCell ref="JV33:KB33"/>
    <mergeCell ref="JV38:KB38"/>
    <mergeCell ref="KC42:KP42"/>
    <mergeCell ref="KC43:KI43"/>
    <mergeCell ref="KX42:LD42"/>
    <mergeCell ref="LE42:LK42"/>
    <mergeCell ref="LE43:LK43"/>
    <mergeCell ref="KX43:LD43"/>
    <mergeCell ref="KC44:KI44"/>
    <mergeCell ref="KC47:KI47"/>
    <mergeCell ref="KX51:LD51"/>
    <mergeCell ref="KX50:LD50"/>
    <mergeCell ref="KQ46:KW46"/>
    <mergeCell ref="KQ44:KW44"/>
    <mergeCell ref="KX46:LD46"/>
    <mergeCell ref="KX45:LD45"/>
    <mergeCell ref="LE45:LK45"/>
    <mergeCell ref="LE46:LK46"/>
    <mergeCell ref="LE44:LK44"/>
    <mergeCell ref="KX44:LD44"/>
    <mergeCell ref="LE51:LK51"/>
    <mergeCell ref="LE50:LK50"/>
    <mergeCell ref="JA64:JG64"/>
    <mergeCell ref="JH64:JN64"/>
    <mergeCell ref="KJ63:KP63"/>
    <mergeCell ref="LE63:LK63"/>
    <mergeCell ref="KJ64:KP64"/>
    <mergeCell ref="HK64:HQ64"/>
    <mergeCell ref="IT64:IZ64"/>
    <mergeCell ref="JA63:JG63"/>
    <mergeCell ref="IT63:IZ63"/>
    <mergeCell ref="IM64:IS64"/>
    <mergeCell ref="IM63:IS63"/>
    <mergeCell ref="HY61:IE61"/>
    <mergeCell ref="HK61:HQ61"/>
    <mergeCell ref="HY57:IE57"/>
    <mergeCell ref="HR57:HX57"/>
    <mergeCell ref="HD54:HJ54"/>
    <mergeCell ref="GW54:HC54"/>
    <mergeCell ref="HK54:HQ54"/>
    <mergeCell ref="HD55:HJ55"/>
    <mergeCell ref="GW55:HC55"/>
    <mergeCell ref="HK63:HQ63"/>
    <mergeCell ref="HD63:HJ63"/>
    <mergeCell ref="GW57:HC57"/>
    <mergeCell ref="HY58:IE58"/>
    <mergeCell ref="HY59:IE59"/>
    <mergeCell ref="HY60:IE60"/>
    <mergeCell ref="HD59:HJ59"/>
    <mergeCell ref="IM54:IS54"/>
    <mergeCell ref="IT54:IZ54"/>
    <mergeCell ref="HK57:HQ57"/>
    <mergeCell ref="HR56:HX56"/>
    <mergeCell ref="HK56:HQ56"/>
    <mergeCell ref="HY56:IE56"/>
    <mergeCell ref="JH59:JN59"/>
    <mergeCell ref="IF59:IL59"/>
    <mergeCell ref="HK55:HQ55"/>
    <mergeCell ref="IF57:IL57"/>
    <mergeCell ref="IF38:IL38"/>
    <mergeCell ref="HY38:IE38"/>
    <mergeCell ref="HK38:HQ38"/>
    <mergeCell ref="HK39:HQ39"/>
    <mergeCell ref="ES46:EY46"/>
    <mergeCell ref="EE46:EK46"/>
    <mergeCell ref="EL46:ER46"/>
    <mergeCell ref="DX46:ED46"/>
    <mergeCell ref="DQ46:DW46"/>
    <mergeCell ref="EE47:EK47"/>
    <mergeCell ref="EL47:ER47"/>
    <mergeCell ref="FN41:FT41"/>
    <mergeCell ref="FG42:FM42"/>
    <mergeCell ref="FN42:FT42"/>
    <mergeCell ref="GI49:GO49"/>
    <mergeCell ref="GI48:GO48"/>
    <mergeCell ref="GI47:GO47"/>
    <mergeCell ref="GW46:HC46"/>
    <mergeCell ref="GW44:HC44"/>
    <mergeCell ref="GW47:HC47"/>
    <mergeCell ref="GP47:GV47"/>
    <mergeCell ref="HK44:HQ44"/>
    <mergeCell ref="HK45:HQ45"/>
    <mergeCell ref="I45:O45"/>
    <mergeCell ref="I46:O46"/>
    <mergeCell ref="P45:V45"/>
    <mergeCell ref="B45:H45"/>
    <mergeCell ref="A42:A49"/>
    <mergeCell ref="B1:AG1"/>
    <mergeCell ref="B2:AG2"/>
    <mergeCell ref="A4:A5"/>
    <mergeCell ref="W6:AC6"/>
    <mergeCell ref="P6:V6"/>
    <mergeCell ref="B44:AC44"/>
    <mergeCell ref="B43:AC43"/>
    <mergeCell ref="AK6:AQ6"/>
    <mergeCell ref="AH1:BI1"/>
    <mergeCell ref="AH2:BI2"/>
    <mergeCell ref="B6:H6"/>
    <mergeCell ref="I6:O6"/>
    <mergeCell ref="IF6:IL6"/>
    <mergeCell ref="BF6:BL6"/>
    <mergeCell ref="AD6:AJ6"/>
    <mergeCell ref="AY6:BE6"/>
    <mergeCell ref="AR6:AX6"/>
    <mergeCell ref="GW40:HC40"/>
    <mergeCell ref="GW45:HC45"/>
    <mergeCell ref="GB42:GH42"/>
    <mergeCell ref="GP43:GV43"/>
    <mergeCell ref="GP42:GV42"/>
    <mergeCell ref="GI43:GO43"/>
    <mergeCell ref="GI42:GO42"/>
    <mergeCell ref="GW38:HC38"/>
    <mergeCell ref="FG45:FM45"/>
    <mergeCell ref="EZ45:FF45"/>
    <mergeCell ref="ES45:EY45"/>
    <mergeCell ref="FG46:FM46"/>
    <mergeCell ref="EZ46:FF46"/>
    <mergeCell ref="FU42:GA42"/>
    <mergeCell ref="AD45:AJ45"/>
    <mergeCell ref="AR45:AX45"/>
    <mergeCell ref="W46:AC46"/>
    <mergeCell ref="AD46:AJ46"/>
    <mergeCell ref="AD43:AJ43"/>
    <mergeCell ref="B42:CN42"/>
    <mergeCell ref="GB43:GH43"/>
    <mergeCell ref="EZ43:GA43"/>
    <mergeCell ref="P46:V46"/>
    <mergeCell ref="AD44:AJ44"/>
    <mergeCell ref="BF44:BL44"/>
    <mergeCell ref="B46:H46"/>
    <mergeCell ref="W45:AC45"/>
    <mergeCell ref="JO41:JU41"/>
    <mergeCell ref="JO42:JU42"/>
    <mergeCell ref="JV51:KB51"/>
    <mergeCell ref="JO51:JU51"/>
    <mergeCell ref="KC51:KI51"/>
    <mergeCell ref="JA49:JG49"/>
    <mergeCell ref="JA51:JG51"/>
    <mergeCell ref="JH51:JN51"/>
    <mergeCell ref="JV39:KB39"/>
    <mergeCell ref="JO39:JU39"/>
    <mergeCell ref="JO43:JU43"/>
    <mergeCell ref="JV42:KB42"/>
    <mergeCell ref="JH42:JN42"/>
    <mergeCell ref="JH43:JN43"/>
    <mergeCell ref="JA43:JG43"/>
    <mergeCell ref="EZ41:FF41"/>
    <mergeCell ref="ES41:EY41"/>
    <mergeCell ref="EL41:ER41"/>
    <mergeCell ref="EE41:EK41"/>
    <mergeCell ref="FG40:FM40"/>
    <mergeCell ref="EZ40:FF40"/>
    <mergeCell ref="FG41:FM41"/>
    <mergeCell ref="EL40:ER40"/>
    <mergeCell ref="EE40:EK40"/>
    <mergeCell ref="DX41:ED41"/>
    <mergeCell ref="DQ41:DW41"/>
    <mergeCell ref="IF51:IL51"/>
    <mergeCell ref="IM51:IS51"/>
    <mergeCell ref="IT51:IZ51"/>
    <mergeCell ref="IT50:IZ50"/>
    <mergeCell ref="GP49:GV49"/>
    <mergeCell ref="GP48:GV48"/>
    <mergeCell ref="HY51:IE51"/>
    <mergeCell ref="HY50:IE50"/>
    <mergeCell ref="HY49:IE49"/>
    <mergeCell ref="HD50:HJ50"/>
    <mergeCell ref="HK50:HQ50"/>
    <mergeCell ref="HD48:HJ48"/>
    <mergeCell ref="HD49:HJ49"/>
    <mergeCell ref="GI51:GO51"/>
    <mergeCell ref="GP51:GV51"/>
    <mergeCell ref="HD51:HJ51"/>
    <mergeCell ref="GW51:HC51"/>
    <mergeCell ref="GW48:HC48"/>
    <mergeCell ref="GI50:GO50"/>
    <mergeCell ref="GP50:GV50"/>
    <mergeCell ref="HK48:HQ48"/>
    <mergeCell ref="HK49:HQ49"/>
    <mergeCell ref="GW50:HC50"/>
    <mergeCell ref="GW49:HC49"/>
    <mergeCell ref="HR50:HX50"/>
    <mergeCell ref="HR49:HX49"/>
    <mergeCell ref="HR51:HX51"/>
    <mergeCell ref="HK51:HQ51"/>
    <mergeCell ref="HR48:HX48"/>
    <mergeCell ref="GP44:GV44"/>
    <mergeCell ref="GP45:GV45"/>
    <mergeCell ref="FU45:GA45"/>
    <mergeCell ref="FU44:GA44"/>
    <mergeCell ref="GB44:GH44"/>
    <mergeCell ref="GI44:GO44"/>
    <mergeCell ref="FG44:FM44"/>
    <mergeCell ref="FN44:FT44"/>
    <mergeCell ref="GB45:GH45"/>
    <mergeCell ref="GI45:GO45"/>
    <mergeCell ref="GB46:GH46"/>
    <mergeCell ref="GI46:GO46"/>
    <mergeCell ref="FU46:GA46"/>
    <mergeCell ref="FN46:FT46"/>
    <mergeCell ref="IM45:IS45"/>
    <mergeCell ref="IM48:IS48"/>
    <mergeCell ref="IF46:IL46"/>
    <mergeCell ref="HY45:IE45"/>
    <mergeCell ref="IF45:IL45"/>
    <mergeCell ref="IT45:IZ45"/>
    <mergeCell ref="JO48:JU48"/>
    <mergeCell ref="JO47:JU47"/>
    <mergeCell ref="JV47:KB47"/>
    <mergeCell ref="IT39:IZ39"/>
    <mergeCell ref="IT40:IZ40"/>
    <mergeCell ref="KJ40:KP40"/>
    <mergeCell ref="KC40:KI40"/>
    <mergeCell ref="KC39:KI39"/>
    <mergeCell ref="KJ39:KP39"/>
    <mergeCell ref="KC41:KI41"/>
    <mergeCell ref="KJ41:KP41"/>
    <mergeCell ref="KJ46:KP46"/>
    <mergeCell ref="KC46:KI46"/>
    <mergeCell ref="KJ45:KP45"/>
    <mergeCell ref="KC45:KI45"/>
    <mergeCell ref="LE47:LK47"/>
    <mergeCell ref="IM41:IS41"/>
    <mergeCell ref="IT41:IZ41"/>
    <mergeCell ref="KJ38:KP38"/>
    <mergeCell ref="KC38:KI38"/>
    <mergeCell ref="IT38:IZ38"/>
    <mergeCell ref="JH41:JN41"/>
    <mergeCell ref="JA41:JG41"/>
    <mergeCell ref="IF41:IL41"/>
    <mergeCell ref="JH40:JN40"/>
    <mergeCell ref="HY47:IE47"/>
    <mergeCell ref="HY48:IE48"/>
    <mergeCell ref="HY39:IE39"/>
    <mergeCell ref="HY43:IE43"/>
    <mergeCell ref="IM38:IS38"/>
    <mergeCell ref="HR38:HX38"/>
    <mergeCell ref="HD46:HJ46"/>
    <mergeCell ref="HD45:HJ45"/>
    <mergeCell ref="HR45:HX45"/>
    <mergeCell ref="HD38:HJ38"/>
    <mergeCell ref="HR47:HX47"/>
    <mergeCell ref="KJ37:KP37"/>
    <mergeCell ref="KC37:KI37"/>
    <mergeCell ref="IT37:IZ37"/>
    <mergeCell ref="JA37:JG37"/>
    <mergeCell ref="JO37:JU37"/>
    <mergeCell ref="JH37:JN37"/>
    <mergeCell ref="KJ35:KP35"/>
    <mergeCell ref="KQ35:KW35"/>
    <mergeCell ref="KQ45:KW45"/>
    <mergeCell ref="IT35:IZ35"/>
    <mergeCell ref="IT33:IZ33"/>
    <mergeCell ref="IM33:IS33"/>
    <mergeCell ref="IT34:IZ34"/>
    <mergeCell ref="IM34:IS34"/>
    <mergeCell ref="JA33:JG33"/>
    <mergeCell ref="JH33:JN33"/>
    <mergeCell ref="KJ60:KP60"/>
    <mergeCell ref="KJ55:KP55"/>
    <mergeCell ref="KC61:KI61"/>
    <mergeCell ref="KC64:KI64"/>
    <mergeCell ref="KJ61:KP61"/>
    <mergeCell ref="KC63:KI63"/>
    <mergeCell ref="KQ63:KW63"/>
    <mergeCell ref="IT57:IZ57"/>
    <mergeCell ref="IT60:IZ60"/>
    <mergeCell ref="KC60:KI60"/>
    <mergeCell ref="KC59:KI59"/>
    <mergeCell ref="JV59:KB59"/>
    <mergeCell ref="JO59:JU59"/>
    <mergeCell ref="IM57:IS57"/>
    <mergeCell ref="IM56:IS56"/>
    <mergeCell ref="IT56:IZ56"/>
    <mergeCell ref="JA60:JG60"/>
    <mergeCell ref="IM43:IS43"/>
    <mergeCell ref="IT43:IZ43"/>
    <mergeCell ref="IM42:IS42"/>
    <mergeCell ref="IT42:JG42"/>
    <mergeCell ref="KC12:KI12"/>
    <mergeCell ref="KJ12:KP12"/>
    <mergeCell ref="JO20:JU20"/>
    <mergeCell ref="KC19:KI19"/>
    <mergeCell ref="KC7:KI7"/>
    <mergeCell ref="KC6:KI6"/>
    <mergeCell ref="JP1:KT1"/>
    <mergeCell ref="JP2:KT2"/>
    <mergeCell ref="JO8:KI8"/>
    <mergeCell ref="KJ8:KP8"/>
    <mergeCell ref="KC9:KI9"/>
    <mergeCell ref="KC11:KI11"/>
    <mergeCell ref="KJ10:KP10"/>
    <mergeCell ref="KJ11:KP11"/>
    <mergeCell ref="KJ43:KP43"/>
    <mergeCell ref="KJ47:KP47"/>
    <mergeCell ref="KJ44:KP44"/>
    <mergeCell ref="KJ7:KP7"/>
    <mergeCell ref="KC13:KI13"/>
    <mergeCell ref="KJ13:KP13"/>
    <mergeCell ref="KJ6:KP6"/>
    <mergeCell ref="KC23:KI23"/>
    <mergeCell ref="MN6:MT6"/>
    <mergeCell ref="MU6:NA6"/>
    <mergeCell ref="KQ7:KW7"/>
    <mergeCell ref="KQ6:KW6"/>
    <mergeCell ref="LL6:LR6"/>
    <mergeCell ref="LE6:LK6"/>
    <mergeCell ref="MG6:MM6"/>
    <mergeCell ref="LZ6:MF6"/>
    <mergeCell ref="LL7:NA7"/>
    <mergeCell ref="JH11:JN11"/>
    <mergeCell ref="JA11:JG11"/>
    <mergeCell ref="JA7:JG7"/>
    <mergeCell ref="JA6:JG6"/>
    <mergeCell ref="JH13:JN13"/>
    <mergeCell ref="JO7:JU7"/>
    <mergeCell ref="JO6:JU6"/>
    <mergeCell ref="JH7:JN7"/>
    <mergeCell ref="JH8:JN8"/>
    <mergeCell ref="JA10:JG10"/>
    <mergeCell ref="JH9:JN9"/>
    <mergeCell ref="JH6:JN6"/>
    <mergeCell ref="JV40:KB40"/>
    <mergeCell ref="JV41:KB41"/>
    <mergeCell ref="JO40:JU40"/>
    <mergeCell ref="JA40:JG40"/>
    <mergeCell ref="JA39:JG39"/>
    <mergeCell ref="JH39:JN39"/>
    <mergeCell ref="JA38:JG38"/>
    <mergeCell ref="IT6:IZ6"/>
    <mergeCell ref="IM6:IS6"/>
    <mergeCell ref="IL2:JO2"/>
    <mergeCell ref="IL1:JO1"/>
    <mergeCell ref="JV6:KB6"/>
    <mergeCell ref="JV7:KB7"/>
    <mergeCell ref="IF8:JG8"/>
    <mergeCell ref="IF9:JG9"/>
    <mergeCell ref="IF7:IZ7"/>
    <mergeCell ref="IF11:IM11"/>
    <mergeCell ref="JV13:KB13"/>
    <mergeCell ref="JV9:KB9"/>
    <mergeCell ref="JA16:JG16"/>
    <mergeCell ref="JA19:JG19"/>
    <mergeCell ref="IM19:IZ19"/>
    <mergeCell ref="IF21:IL21"/>
    <mergeCell ref="JO38:JU38"/>
    <mergeCell ref="JH38:JN38"/>
    <mergeCell ref="JA12:JG12"/>
    <mergeCell ref="JV12:KB12"/>
    <mergeCell ref="JA14:JG14"/>
    <mergeCell ref="JA15:JG15"/>
    <mergeCell ref="JA13:JG13"/>
    <mergeCell ref="KX13:LD13"/>
    <mergeCell ref="KQ13:KW13"/>
    <mergeCell ref="LE8:LO8"/>
    <mergeCell ref="LP8:LS8"/>
    <mergeCell ref="KU1:LX1"/>
    <mergeCell ref="KU2:LX2"/>
    <mergeCell ref="LT8:MA8"/>
    <mergeCell ref="LS10:LY10"/>
    <mergeCell ref="LS9:LY9"/>
    <mergeCell ref="KX7:LD7"/>
    <mergeCell ref="KX6:LD6"/>
    <mergeCell ref="KQ11:KW11"/>
    <mergeCell ref="LS11:LY11"/>
    <mergeCell ref="LL11:LR11"/>
    <mergeCell ref="LS6:LY6"/>
    <mergeCell ref="LS20:LY20"/>
    <mergeCell ref="LL17:LR17"/>
    <mergeCell ref="LL15:LR15"/>
    <mergeCell ref="LS15:LY15"/>
    <mergeCell ref="LL9:LR9"/>
    <mergeCell ref="MU16:NA16"/>
    <mergeCell ref="MU15:NA15"/>
    <mergeCell ref="MG15:MM15"/>
    <mergeCell ref="LZ15:MF15"/>
    <mergeCell ref="MG11:MM11"/>
    <mergeCell ref="LZ11:MF11"/>
    <mergeCell ref="LL20:LR20"/>
    <mergeCell ref="LE20:LK20"/>
    <mergeCell ref="KQ20:KW20"/>
    <mergeCell ref="MG18:MM18"/>
    <mergeCell ref="LE21:LK21"/>
    <mergeCell ref="MG22:MM22"/>
    <mergeCell ref="MG23:MM23"/>
    <mergeCell ref="LL22:LR22"/>
    <mergeCell ref="LL23:LR23"/>
    <mergeCell ref="MG9:MM9"/>
    <mergeCell ref="MN9:MT9"/>
    <mergeCell ref="MN11:MT11"/>
    <mergeCell ref="MU11:NA11"/>
    <mergeCell ref="MG20:MM20"/>
    <mergeCell ref="LZ23:MF23"/>
    <mergeCell ref="MU17:NA17"/>
    <mergeCell ref="MS14:NA14"/>
    <mergeCell ref="MU18:NA18"/>
    <mergeCell ref="MU12:NA12"/>
    <mergeCell ref="MU13:NA13"/>
    <mergeCell ref="LE11:LK11"/>
    <mergeCell ref="KX11:LD11"/>
    <mergeCell ref="KQ43:KW43"/>
    <mergeCell ref="KQ42:KW42"/>
    <mergeCell ref="KQ9:LD9"/>
    <mergeCell ref="KQ10:LD10"/>
    <mergeCell ref="LE7:LK7"/>
    <mergeCell ref="KQ8:LD8"/>
    <mergeCell ref="LE10:LK10"/>
    <mergeCell ref="KQ49:KW49"/>
    <mergeCell ref="KQ50:KW50"/>
    <mergeCell ref="KQ51:KW51"/>
    <mergeCell ref="KJ51:KP51"/>
    <mergeCell ref="KJ50:KP50"/>
    <mergeCell ref="KJ49:KP49"/>
    <mergeCell ref="KC50:KI50"/>
    <mergeCell ref="KC49:KI49"/>
    <mergeCell ref="KC55:KI55"/>
    <mergeCell ref="KQ36:KW36"/>
    <mergeCell ref="KC36:KI36"/>
    <mergeCell ref="KJ36:KP36"/>
    <mergeCell ref="KC35:KI35"/>
    <mergeCell ref="KQ40:KW40"/>
    <mergeCell ref="KQ39:KW39"/>
    <mergeCell ref="MN10:MT10"/>
    <mergeCell ref="MG10:MM10"/>
    <mergeCell ref="MU8:NA8"/>
    <mergeCell ref="MB8:MT8"/>
    <mergeCell ref="LY1:NC1"/>
    <mergeCell ref="LY2:NC2"/>
    <mergeCell ref="MU9:NA9"/>
    <mergeCell ref="LZ9:MF9"/>
    <mergeCell ref="MU21:NA21"/>
    <mergeCell ref="MU20:NA20"/>
    <mergeCell ref="MU19:NB19"/>
    <mergeCell ref="LV18:MF18"/>
    <mergeCell ref="MA19:MT19"/>
    <mergeCell ref="MN18:MT18"/>
    <mergeCell ref="LZ22:MF22"/>
    <mergeCell ref="MN22:MT22"/>
    <mergeCell ref="MN23:MT23"/>
    <mergeCell ref="MN21:MT21"/>
    <mergeCell ref="MN20:MT20"/>
    <mergeCell ref="LZ21:MF21"/>
    <mergeCell ref="LZ20:MF20"/>
    <mergeCell ref="LS22:LY22"/>
    <mergeCell ref="LS23:LY23"/>
    <mergeCell ref="MG21:MM21"/>
    <mergeCell ref="LL21:LR21"/>
    <mergeCell ref="LS21:LY21"/>
    <mergeCell ref="LL18:LR18"/>
    <mergeCell ref="LL19:LZ19"/>
    <mergeCell ref="LS27:LY27"/>
    <mergeCell ref="LS28:LY28"/>
    <mergeCell ref="LS29:LY29"/>
    <mergeCell ref="LL27:LR27"/>
    <mergeCell ref="LL28:LR28"/>
    <mergeCell ref="LL29:LR29"/>
    <mergeCell ref="LL14:LR14"/>
    <mergeCell ref="MD14:MR14"/>
    <mergeCell ref="LS14:MC14"/>
    <mergeCell ref="MG29:MM29"/>
    <mergeCell ref="MG28:MM28"/>
    <mergeCell ref="MG27:MM27"/>
    <mergeCell ref="LZ27:MF27"/>
    <mergeCell ref="MN29:MT29"/>
    <mergeCell ref="MN27:MT27"/>
    <mergeCell ref="MN28:MT28"/>
    <mergeCell ref="LZ28:MF28"/>
    <mergeCell ref="MN15:MT15"/>
    <mergeCell ref="LZ29:MF29"/>
    <mergeCell ref="LS13:LY13"/>
    <mergeCell ref="LL13:LR13"/>
    <mergeCell ref="LS12:LY12"/>
    <mergeCell ref="LL10:LR10"/>
    <mergeCell ref="LL12:LR12"/>
    <mergeCell ref="MN12:MT12"/>
    <mergeCell ref="LZ13:MF13"/>
    <mergeCell ref="MK13:MT13"/>
    <mergeCell ref="MG13:MJ13"/>
    <mergeCell ref="LZ10:MF10"/>
    <mergeCell ref="MU10:NA10"/>
    <mergeCell ref="MG12:MM12"/>
    <mergeCell ref="LZ12:MF12"/>
    <mergeCell ref="MG31:MM31"/>
    <mergeCell ref="MU31:NA31"/>
    <mergeCell ref="MN31:MT31"/>
    <mergeCell ref="LL32:LR32"/>
    <mergeCell ref="LS32:LY32"/>
    <mergeCell ref="MU32:NA32"/>
    <mergeCell ref="MN32:MT32"/>
    <mergeCell ref="LZ30:MF30"/>
    <mergeCell ref="LZ31:MF31"/>
    <mergeCell ref="LS30:LY30"/>
    <mergeCell ref="LL30:LR30"/>
    <mergeCell ref="MN30:MT30"/>
    <mergeCell ref="MG30:MM30"/>
    <mergeCell ref="MG32:MM32"/>
    <mergeCell ref="LS31:LY31"/>
    <mergeCell ref="LL31:LR31"/>
    <mergeCell ref="LZ32:MF32"/>
    <mergeCell ref="MG25:MM25"/>
    <mergeCell ref="LS25:LY25"/>
    <mergeCell ref="LZ25:MF25"/>
    <mergeCell ref="LL16:LR16"/>
    <mergeCell ref="LS17:LY17"/>
    <mergeCell ref="MG17:MM17"/>
    <mergeCell ref="MG26:MM26"/>
    <mergeCell ref="MN26:MT26"/>
    <mergeCell ref="LZ17:MF17"/>
    <mergeCell ref="MN17:MT17"/>
    <mergeCell ref="LS26:LY26"/>
    <mergeCell ref="LZ26:MF26"/>
    <mergeCell ref="LL24:LR24"/>
    <mergeCell ref="LS24:LY24"/>
    <mergeCell ref="MN25:MT25"/>
    <mergeCell ref="MN24:MT24"/>
    <mergeCell ref="LS16:LY16"/>
    <mergeCell ref="LZ16:MF16"/>
    <mergeCell ref="MN16:MT16"/>
    <mergeCell ref="MG16:MM16"/>
    <mergeCell ref="LL26:LR26"/>
    <mergeCell ref="LL25:LR25"/>
    <mergeCell ref="MG24:MM24"/>
    <mergeCell ref="LZ24:MF24"/>
    <mergeCell ref="MU22:NA22"/>
    <mergeCell ref="MU23:NA23"/>
    <mergeCell ref="MU30:NA30"/>
    <mergeCell ref="MU29:NA29"/>
    <mergeCell ref="MU28:NA28"/>
    <mergeCell ref="MU27:NA27"/>
    <mergeCell ref="MU25:NA25"/>
    <mergeCell ref="MU24:NA24"/>
    <mergeCell ref="MU26:NA26"/>
  </mergeCells>
  <conditionalFormatting sqref="DX6:ED6">
    <cfRule type="containsBlanks" dxfId="0" priority="1">
      <formula>LEN(TRIM(DX6))=0</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6.0" topLeftCell="B7" activePane="bottomRight" state="frozen"/>
      <selection activeCell="B1" sqref="B1" pane="topRight"/>
      <selection activeCell="A7" sqref="A7" pane="bottomLeft"/>
      <selection activeCell="B7" sqref="B7" pane="bottomRight"/>
    </sheetView>
  </sheetViews>
  <sheetFormatPr customHeight="1" defaultColWidth="14.43" defaultRowHeight="15.75"/>
  <cols>
    <col customWidth="1" min="1" max="1" width="37.86"/>
    <col customWidth="1" min="2" max="7" width="4.43"/>
    <col customWidth="1" min="8" max="8" width="3.14"/>
    <col customWidth="1" min="9" max="9" width="4.43"/>
    <col customWidth="1" min="10" max="10" width="3.71"/>
    <col customWidth="1" min="11" max="21" width="4.43"/>
    <col customWidth="1" min="22" max="22" width="4.86"/>
    <col customWidth="1" min="23" max="25" width="4.43"/>
    <col customWidth="1" min="26" max="26" width="5.29"/>
    <col customWidth="1" min="27" max="27" width="4.71"/>
    <col customWidth="1" min="28" max="28" width="4.43"/>
    <col customWidth="1" min="29" max="29" width="3.14"/>
    <col customWidth="1" min="30" max="35" width="4.43"/>
    <col customWidth="1" min="36" max="36" width="3.14"/>
    <col customWidth="1" min="37" max="42" width="4.43"/>
    <col customWidth="1" min="43" max="43" width="3.14"/>
    <col customWidth="1" min="44" max="49" width="4.43"/>
    <col customWidth="1" min="50" max="50" width="5.43"/>
    <col customWidth="1" min="51" max="56" width="4.43"/>
    <col customWidth="1" min="57" max="57" width="3.14"/>
    <col customWidth="1" min="58" max="63" width="4.43"/>
    <col customWidth="1" min="64" max="64" width="3.14"/>
    <col customWidth="1" min="65" max="76" width="4.43"/>
    <col customWidth="1" min="77" max="77" width="4.71"/>
    <col customWidth="1" min="78" max="84" width="4.43"/>
    <col customWidth="1" min="85" max="85" width="3.14"/>
    <col customWidth="1" min="86" max="105" width="4.43"/>
    <col customWidth="1" min="106" max="106" width="3.14"/>
    <col customWidth="1" min="107" max="119" width="4.43"/>
    <col customWidth="1" min="120" max="120" width="3.14"/>
    <col customWidth="1" min="121" max="126" width="4.43"/>
    <col customWidth="1" min="127" max="127" width="5.43"/>
    <col customWidth="1" min="128" max="133" width="4.43"/>
    <col customWidth="1" min="134" max="134" width="3.14"/>
    <col customWidth="1" min="135" max="147" width="4.43"/>
    <col customWidth="1" min="148" max="148" width="3.14"/>
    <col customWidth="1" min="149" max="154" width="4.43"/>
    <col customWidth="1" min="155" max="155" width="3.14"/>
    <col customWidth="1" min="156" max="161" width="4.43"/>
    <col customWidth="1" min="162" max="162" width="3.14"/>
    <col customWidth="1" min="163" max="168" width="4.43"/>
    <col customWidth="1" min="169" max="169" width="3.14"/>
    <col customWidth="1" min="170" max="189" width="4.43"/>
    <col customWidth="1" min="190" max="190" width="3.14"/>
    <col customWidth="1" min="191" max="196" width="4.43"/>
    <col customWidth="1" min="197" max="197" width="3.14"/>
    <col customWidth="1" min="198" max="203" width="4.43"/>
    <col customWidth="1" min="204" max="204" width="4.86"/>
    <col customWidth="1" min="205" max="210" width="4.43"/>
    <col customWidth="1" min="211" max="211" width="3.14"/>
    <col customWidth="1" min="212" max="212" width="4.43"/>
    <col customWidth="1" min="213" max="213" width="4.0"/>
    <col customWidth="1" min="214" max="224" width="4.43"/>
    <col customWidth="1" min="225" max="225" width="3.14"/>
    <col customWidth="1" min="226" max="231" width="4.43"/>
    <col customWidth="1" min="232" max="232" width="3.14"/>
    <col customWidth="1" min="233" max="252" width="4.43"/>
    <col customWidth="1" min="253" max="253" width="3.14"/>
    <col customWidth="1" min="254" max="259" width="4.43"/>
    <col customWidth="1" min="260" max="260" width="3.14"/>
    <col customWidth="1" min="261" max="266" width="4.43"/>
    <col customWidth="1" min="267" max="267" width="5.57"/>
    <col customWidth="1" min="268" max="272" width="4.43"/>
    <col customWidth="1" min="273" max="273" width="4.0"/>
    <col customWidth="1" min="274" max="274" width="3.57"/>
    <col customWidth="1" min="275" max="280" width="4.43"/>
    <col customWidth="1" min="281" max="281" width="5.57"/>
    <col customWidth="1" min="282" max="287" width="4.43"/>
    <col customWidth="1" min="288" max="288" width="3.14"/>
    <col customWidth="1" min="289" max="294" width="4.43"/>
    <col customWidth="1" min="295" max="295" width="3.14"/>
    <col customWidth="1" min="296" max="301" width="4.43"/>
    <col customWidth="1" min="302" max="302" width="3.14"/>
    <col customWidth="1" min="303" max="304" width="4.43"/>
    <col customWidth="1" min="305" max="305" width="3.57"/>
    <col customWidth="1" min="306" max="308" width="4.43"/>
    <col customWidth="1" min="309" max="309" width="3.14"/>
    <col customWidth="1" min="310" max="315" width="4.43"/>
    <col customWidth="1" min="316" max="316" width="3.14"/>
    <col customWidth="1" min="317" max="322" width="4.43"/>
    <col customWidth="1" min="323" max="323" width="3.14"/>
    <col customWidth="1" min="324" max="325" width="4.43"/>
    <col customWidth="1" min="326" max="326" width="3.57"/>
    <col customWidth="1" min="327" max="329" width="4.43"/>
    <col customWidth="1" min="330" max="330" width="3.14"/>
    <col customWidth="1" min="331" max="343" width="4.43"/>
    <col customWidth="1" min="344" max="344" width="3.14"/>
    <col customWidth="1" min="345" max="347" width="4.43"/>
    <col customWidth="1" min="348" max="348" width="3.14"/>
    <col customWidth="1" min="349" max="366" width="4.43"/>
    <col customWidth="1" min="367" max="367" width="80.43"/>
    <col customWidth="1" min="368" max="681" width="4.43"/>
  </cols>
  <sheetData>
    <row r="1">
      <c r="A1" s="1"/>
      <c r="B1" s="2">
        <v>19.0</v>
      </c>
      <c r="C1" s="6">
        <v>20.0</v>
      </c>
      <c r="D1" s="6">
        <v>21.0</v>
      </c>
      <c r="E1" s="6">
        <v>22.0</v>
      </c>
      <c r="F1" s="6">
        <v>23.0</v>
      </c>
      <c r="G1" s="6">
        <v>24.0</v>
      </c>
      <c r="H1" s="2">
        <v>25.0</v>
      </c>
      <c r="I1" s="6">
        <v>26.0</v>
      </c>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13"/>
      <c r="JM1" s="13"/>
      <c r="JN1" s="13"/>
      <c r="JO1" s="13"/>
      <c r="JP1" s="13"/>
      <c r="JQ1" s="13"/>
      <c r="JR1" s="13"/>
      <c r="JS1" s="13"/>
      <c r="JT1" s="13"/>
      <c r="JU1" s="13"/>
      <c r="JV1" s="13"/>
      <c r="JW1" s="13"/>
      <c r="JX1" s="13"/>
      <c r="JY1" s="13"/>
      <c r="JZ1" s="13"/>
      <c r="KA1" s="13"/>
      <c r="KB1" s="13"/>
      <c r="KC1" s="13"/>
      <c r="KD1" s="13"/>
      <c r="KE1" s="13"/>
      <c r="KF1" s="13"/>
      <c r="KG1" s="13"/>
      <c r="KH1" s="13"/>
      <c r="KI1" s="13"/>
      <c r="KJ1" s="13"/>
      <c r="KK1" s="13"/>
      <c r="KL1" s="13"/>
      <c r="KM1" s="13"/>
      <c r="KN1" s="13"/>
      <c r="KO1" s="13"/>
      <c r="KP1" s="13"/>
      <c r="KQ1" s="13"/>
      <c r="KR1" s="13"/>
      <c r="KS1" s="13"/>
      <c r="KT1" s="13"/>
      <c r="KU1" s="13"/>
      <c r="KV1" s="13"/>
      <c r="KW1" s="13"/>
      <c r="KX1" s="13"/>
      <c r="KY1" s="13"/>
      <c r="KZ1" s="13"/>
      <c r="LA1" s="13"/>
      <c r="LB1" s="13"/>
      <c r="LC1" s="13"/>
      <c r="LD1" s="13"/>
      <c r="LE1" s="13"/>
      <c r="LF1" s="13"/>
      <c r="LG1" s="13"/>
      <c r="LH1" s="13"/>
      <c r="LI1" s="13"/>
      <c r="LJ1" s="13"/>
      <c r="LK1" s="13"/>
      <c r="LL1" s="13"/>
      <c r="LM1" s="13"/>
      <c r="LN1" s="13"/>
      <c r="LO1" s="13"/>
      <c r="LP1" s="13"/>
      <c r="LQ1" s="13"/>
      <c r="LR1" s="13"/>
      <c r="LS1" s="13"/>
      <c r="LT1" s="13"/>
      <c r="LU1" s="13"/>
      <c r="LV1" s="13"/>
      <c r="LW1" s="13"/>
      <c r="LX1" s="13"/>
      <c r="LY1" s="13"/>
      <c r="LZ1" s="13"/>
      <c r="MA1" s="13"/>
      <c r="MB1" s="13"/>
      <c r="MC1" s="13"/>
      <c r="MD1" s="13"/>
      <c r="ME1" s="13"/>
      <c r="MF1" s="13"/>
      <c r="MG1" s="13"/>
      <c r="MH1" s="13"/>
      <c r="MI1" s="13"/>
      <c r="MJ1" s="13"/>
      <c r="MK1" s="13"/>
      <c r="ML1" s="13"/>
      <c r="MM1" s="13"/>
      <c r="MN1" s="13"/>
      <c r="MO1" s="13"/>
      <c r="MP1" s="13"/>
      <c r="MQ1" s="13"/>
      <c r="MR1" s="13"/>
      <c r="MS1" s="13"/>
      <c r="MT1" s="13"/>
      <c r="MU1" s="13"/>
      <c r="MV1" s="13"/>
      <c r="MW1" s="13"/>
      <c r="MX1" s="13"/>
      <c r="MY1" s="13"/>
      <c r="MZ1" s="13"/>
      <c r="NA1" s="13"/>
      <c r="NB1" s="13"/>
      <c r="NC1" s="20"/>
      <c r="ND1" s="20"/>
      <c r="NE1" s="20"/>
      <c r="NF1" s="20"/>
      <c r="NG1" s="20"/>
      <c r="NH1" s="20"/>
      <c r="NI1" s="20"/>
      <c r="NJ1" s="20"/>
      <c r="NK1" s="20"/>
      <c r="NL1" s="20"/>
      <c r="NM1" s="20"/>
      <c r="NN1" s="20"/>
      <c r="NO1" s="20"/>
      <c r="NP1" s="20"/>
      <c r="NQ1" s="20"/>
      <c r="NR1" s="20"/>
      <c r="NS1" s="20"/>
      <c r="NT1" s="20"/>
      <c r="NU1" s="20"/>
      <c r="NV1" s="20"/>
      <c r="NW1" s="20"/>
      <c r="NX1" s="20"/>
      <c r="NY1" s="20"/>
      <c r="NZ1" s="20"/>
      <c r="OA1" s="20"/>
      <c r="OB1" s="20"/>
      <c r="OC1" s="20"/>
      <c r="OD1" s="20"/>
      <c r="OE1" s="20"/>
      <c r="OF1" s="20"/>
      <c r="OG1" s="20"/>
      <c r="OH1" s="20"/>
      <c r="OI1" s="20"/>
      <c r="OJ1" s="20"/>
      <c r="OK1" s="20"/>
      <c r="OL1" s="20"/>
      <c r="OM1" s="20"/>
      <c r="ON1" s="20"/>
      <c r="OO1" s="20"/>
      <c r="OP1" s="20"/>
      <c r="OQ1" s="20"/>
      <c r="OR1" s="20"/>
      <c r="OS1" s="20"/>
      <c r="OT1" s="20"/>
      <c r="OU1" s="20"/>
      <c r="OV1" s="20"/>
      <c r="OW1" s="20"/>
      <c r="OX1" s="20"/>
      <c r="OY1" s="20"/>
      <c r="OZ1" s="20"/>
      <c r="PA1" s="20"/>
      <c r="PB1" s="20"/>
      <c r="PC1" s="20"/>
      <c r="PD1" s="20"/>
      <c r="PE1" s="20"/>
      <c r="PF1" s="20"/>
      <c r="PG1" s="20"/>
      <c r="PH1" s="20"/>
      <c r="PI1" s="20"/>
      <c r="PJ1" s="20"/>
      <c r="PK1" s="20"/>
      <c r="PL1" s="20"/>
      <c r="PM1" s="20"/>
      <c r="PN1" s="20"/>
      <c r="PO1" s="20"/>
      <c r="PP1" s="20"/>
      <c r="PQ1" s="20"/>
      <c r="PR1" s="20"/>
      <c r="PS1" s="20"/>
      <c r="PT1" s="20"/>
      <c r="PU1" s="20"/>
      <c r="PV1" s="20"/>
      <c r="PW1" s="20"/>
      <c r="PX1" s="20"/>
      <c r="PY1" s="20"/>
      <c r="PZ1" s="20"/>
      <c r="QA1" s="20"/>
      <c r="QB1" s="20"/>
      <c r="QC1" s="20"/>
      <c r="QD1" s="20"/>
      <c r="QE1" s="20"/>
      <c r="QF1" s="20"/>
      <c r="QG1" s="20"/>
      <c r="QH1" s="20"/>
      <c r="QI1" s="20"/>
      <c r="QJ1" s="20"/>
      <c r="QK1" s="20"/>
      <c r="QL1" s="20"/>
      <c r="QM1" s="20"/>
      <c r="QN1" s="20"/>
      <c r="QO1" s="20"/>
      <c r="QP1" s="20"/>
      <c r="QQ1" s="20"/>
      <c r="QR1" s="20"/>
      <c r="QS1" s="20"/>
      <c r="QT1" s="20"/>
      <c r="QU1" s="20"/>
      <c r="QV1" s="20"/>
      <c r="QW1" s="20"/>
      <c r="QX1" s="20"/>
      <c r="QY1" s="20"/>
      <c r="QZ1" s="20"/>
      <c r="RA1" s="20"/>
      <c r="RB1" s="20"/>
      <c r="RC1" s="20"/>
      <c r="RD1" s="20"/>
      <c r="RE1" s="20"/>
      <c r="RF1" s="20"/>
      <c r="RG1" s="20"/>
      <c r="RH1" s="20"/>
      <c r="RI1" s="20"/>
      <c r="RJ1" s="20"/>
      <c r="RK1" s="20"/>
      <c r="RL1" s="20"/>
      <c r="RM1" s="20"/>
      <c r="RN1" s="20"/>
      <c r="RO1" s="20"/>
      <c r="RP1" s="20"/>
      <c r="RQ1" s="20"/>
      <c r="RR1" s="20"/>
      <c r="RS1" s="20"/>
      <c r="RT1" s="20"/>
      <c r="RU1" s="20"/>
      <c r="RV1" s="20"/>
      <c r="RW1" s="20"/>
      <c r="RX1" s="20"/>
      <c r="RY1" s="20"/>
      <c r="RZ1" s="20"/>
      <c r="SA1" s="20"/>
      <c r="SB1" s="20"/>
      <c r="SC1" s="20"/>
      <c r="SD1" s="20"/>
      <c r="SE1" s="20"/>
      <c r="SF1" s="20"/>
      <c r="SG1" s="20"/>
      <c r="SH1" s="20"/>
      <c r="SI1" s="20"/>
      <c r="SJ1" s="20"/>
      <c r="SK1" s="20"/>
      <c r="SL1" s="20"/>
      <c r="SM1" s="20"/>
      <c r="SN1" s="20"/>
      <c r="SO1" s="20"/>
      <c r="SP1" s="20"/>
      <c r="SQ1" s="20"/>
      <c r="SR1" s="20"/>
      <c r="SS1" s="20"/>
      <c r="ST1" s="20"/>
      <c r="SU1" s="20"/>
      <c r="SV1" s="20"/>
      <c r="SW1" s="20"/>
      <c r="SX1" s="20"/>
      <c r="SY1" s="20"/>
      <c r="SZ1" s="20"/>
      <c r="TA1" s="20"/>
      <c r="TB1" s="20"/>
      <c r="TC1" s="20"/>
      <c r="TD1" s="20"/>
      <c r="TE1" s="20"/>
      <c r="TF1" s="20"/>
      <c r="TG1" s="20"/>
      <c r="TH1" s="20"/>
      <c r="TI1" s="20"/>
      <c r="TJ1" s="20"/>
      <c r="TK1" s="20"/>
      <c r="TL1" s="20"/>
      <c r="TM1" s="20"/>
      <c r="TN1" s="20"/>
      <c r="TO1" s="20"/>
      <c r="TP1" s="20"/>
      <c r="TQ1" s="20"/>
      <c r="TR1" s="20"/>
      <c r="TS1" s="20"/>
      <c r="TT1" s="20"/>
      <c r="TU1" s="20"/>
      <c r="TV1" s="20"/>
      <c r="TW1" s="20"/>
      <c r="TX1" s="20"/>
      <c r="TY1" s="20"/>
      <c r="TZ1" s="20"/>
      <c r="UA1" s="20"/>
      <c r="UB1" s="20"/>
      <c r="UC1" s="20"/>
      <c r="UD1" s="20"/>
      <c r="UE1" s="20"/>
      <c r="UF1" s="20"/>
      <c r="UG1" s="20"/>
      <c r="UH1" s="20"/>
      <c r="UI1" s="20"/>
      <c r="UJ1" s="20"/>
      <c r="UK1" s="20"/>
      <c r="UL1" s="20"/>
      <c r="UM1" s="20"/>
      <c r="UN1" s="20"/>
      <c r="UO1" s="20"/>
      <c r="UP1" s="20"/>
      <c r="UQ1" s="20"/>
      <c r="UR1" s="20"/>
      <c r="US1" s="20"/>
      <c r="UT1" s="20"/>
      <c r="UU1" s="20"/>
      <c r="UV1" s="20"/>
      <c r="UW1" s="20"/>
      <c r="UX1" s="20"/>
      <c r="UY1" s="20"/>
      <c r="UZ1" s="20"/>
      <c r="VA1" s="20"/>
      <c r="VB1" s="20"/>
      <c r="VC1" s="20"/>
      <c r="VD1" s="20"/>
      <c r="VE1" s="20"/>
      <c r="VF1" s="20"/>
      <c r="VG1" s="20"/>
      <c r="VH1" s="20"/>
      <c r="VI1" s="20"/>
      <c r="VJ1" s="20"/>
      <c r="VK1" s="20"/>
      <c r="VL1" s="20"/>
      <c r="VM1" s="20"/>
      <c r="VN1" s="20"/>
      <c r="VO1" s="20"/>
      <c r="VP1" s="20"/>
      <c r="VQ1" s="20"/>
      <c r="VR1" s="20"/>
      <c r="VS1" s="20"/>
      <c r="VT1" s="20"/>
      <c r="VU1" s="20"/>
      <c r="VV1" s="20"/>
      <c r="VW1" s="20"/>
      <c r="VX1" s="20"/>
      <c r="VY1" s="20"/>
      <c r="VZ1" s="20"/>
      <c r="WA1" s="20"/>
      <c r="WB1" s="20"/>
      <c r="WC1" s="20"/>
      <c r="WD1" s="20"/>
      <c r="WE1" s="20"/>
      <c r="WF1" s="20"/>
      <c r="WG1" s="20"/>
      <c r="WH1" s="20"/>
      <c r="WI1" s="20"/>
      <c r="WJ1" s="20"/>
      <c r="WK1" s="20"/>
      <c r="WL1" s="20"/>
      <c r="WM1" s="20"/>
      <c r="WN1" s="20"/>
      <c r="WO1" s="20"/>
      <c r="WP1" s="20"/>
      <c r="WQ1" s="20"/>
      <c r="WR1" s="20"/>
      <c r="WS1" s="20"/>
      <c r="WT1" s="20"/>
      <c r="WU1" s="20"/>
      <c r="WV1" s="20"/>
      <c r="WW1" s="20"/>
      <c r="WX1" s="20"/>
      <c r="WY1" s="20"/>
      <c r="WZ1" s="20"/>
      <c r="XA1" s="20"/>
      <c r="XB1" s="20"/>
      <c r="XC1" s="20"/>
      <c r="XD1" s="20"/>
      <c r="XE1" s="20"/>
      <c r="XF1" s="20"/>
      <c r="XG1" s="20"/>
      <c r="XH1" s="20"/>
      <c r="XI1" s="20"/>
      <c r="XJ1" s="20"/>
      <c r="XK1" s="20"/>
      <c r="XL1" s="20"/>
      <c r="XM1" s="20"/>
      <c r="XN1" s="20"/>
      <c r="XO1" s="20"/>
      <c r="XP1" s="20"/>
      <c r="XQ1" s="20"/>
      <c r="XR1" s="20"/>
      <c r="XS1" s="20"/>
      <c r="XT1" s="20"/>
      <c r="XU1" s="20"/>
      <c r="XV1" s="20"/>
      <c r="XW1" s="20"/>
      <c r="XX1" s="20"/>
      <c r="XY1" s="20"/>
      <c r="XZ1" s="20"/>
      <c r="YA1" s="20"/>
      <c r="YB1" s="20"/>
      <c r="YC1" s="20"/>
      <c r="YD1" s="20"/>
      <c r="YE1" s="20"/>
      <c r="YF1" s="20"/>
      <c r="YG1" s="20"/>
      <c r="YH1" s="20"/>
      <c r="YI1" s="20"/>
      <c r="YJ1" s="20"/>
      <c r="YK1" s="20"/>
      <c r="YL1" s="20"/>
      <c r="YM1" s="20"/>
      <c r="YN1" s="20"/>
      <c r="YO1" s="20"/>
      <c r="YP1" s="20"/>
      <c r="YQ1" s="20"/>
      <c r="YR1" s="20"/>
      <c r="YS1" s="20"/>
      <c r="YT1" s="20"/>
      <c r="YU1" s="20"/>
      <c r="YV1" s="20"/>
      <c r="YW1" s="20"/>
      <c r="YX1" s="20"/>
      <c r="YY1" s="20"/>
      <c r="YZ1" s="20"/>
      <c r="ZA1" s="20"/>
      <c r="ZB1" s="20"/>
      <c r="ZC1" s="20"/>
      <c r="ZD1" s="20"/>
      <c r="ZE1" s="20"/>
    </row>
    <row r="2">
      <c r="A2" s="26" t="s">
        <v>0</v>
      </c>
      <c r="B2" s="28" t="s">
        <v>29</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28" t="s">
        <v>34</v>
      </c>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29" t="s">
        <v>38</v>
      </c>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29" t="s">
        <v>41</v>
      </c>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29" t="s">
        <v>45</v>
      </c>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29" t="s">
        <v>63</v>
      </c>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29" t="s">
        <v>81</v>
      </c>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29" t="s">
        <v>100</v>
      </c>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29" t="s">
        <v>103</v>
      </c>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29" t="s">
        <v>105</v>
      </c>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29" t="s">
        <v>106</v>
      </c>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29" t="s">
        <v>115</v>
      </c>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52"/>
      <c r="ND2" s="52"/>
      <c r="NE2" s="52"/>
      <c r="NF2" s="52"/>
      <c r="NG2" s="52"/>
      <c r="NH2" s="52"/>
      <c r="NI2" s="52"/>
      <c r="NJ2" s="52"/>
      <c r="NK2" s="52"/>
      <c r="NL2" s="52"/>
      <c r="NM2" s="52"/>
      <c r="NN2" s="52"/>
      <c r="NO2" s="52"/>
      <c r="NP2" s="52"/>
      <c r="NQ2" s="52"/>
      <c r="NR2" s="52"/>
      <c r="NS2" s="52"/>
      <c r="NT2" s="52"/>
      <c r="NU2" s="52"/>
      <c r="NV2" s="52"/>
      <c r="NW2" s="52"/>
      <c r="NX2" s="52"/>
      <c r="NY2" s="52"/>
      <c r="NZ2" s="52"/>
      <c r="OA2" s="52"/>
      <c r="OB2" s="52"/>
      <c r="OC2" s="52"/>
      <c r="OD2" s="52"/>
      <c r="OE2" s="52"/>
      <c r="OF2" s="52"/>
      <c r="OG2" s="52"/>
      <c r="OH2" s="52"/>
      <c r="OI2" s="52"/>
      <c r="OJ2" s="52"/>
      <c r="OK2" s="52"/>
      <c r="OL2" s="52"/>
      <c r="OM2" s="52"/>
      <c r="ON2" s="52"/>
      <c r="OO2" s="52"/>
      <c r="OP2" s="52"/>
      <c r="OQ2" s="52"/>
      <c r="OR2" s="52"/>
      <c r="OS2" s="52"/>
      <c r="OT2" s="52"/>
      <c r="OU2" s="52"/>
      <c r="OV2" s="52"/>
      <c r="OW2" s="52"/>
      <c r="OX2" s="52"/>
      <c r="OY2" s="52"/>
      <c r="OZ2" s="52"/>
      <c r="PA2" s="52"/>
      <c r="PB2" s="52"/>
      <c r="PC2" s="52"/>
      <c r="PD2" s="52"/>
      <c r="PE2" s="52"/>
      <c r="PF2" s="52"/>
      <c r="PG2" s="52"/>
      <c r="PH2" s="52"/>
      <c r="PI2" s="52"/>
      <c r="PJ2" s="52"/>
      <c r="PK2" s="52"/>
      <c r="PL2" s="52"/>
      <c r="PM2" s="52"/>
      <c r="PN2" s="52"/>
      <c r="PO2" s="52"/>
      <c r="PP2" s="52"/>
      <c r="PQ2" s="52"/>
      <c r="PR2" s="52"/>
      <c r="PS2" s="52"/>
      <c r="PT2" s="52"/>
      <c r="PU2" s="52"/>
      <c r="PV2" s="52"/>
      <c r="PW2" s="52"/>
      <c r="PX2" s="52"/>
      <c r="PY2" s="52"/>
      <c r="PZ2" s="52"/>
      <c r="QA2" s="52"/>
      <c r="QB2" s="52"/>
      <c r="QC2" s="52"/>
      <c r="QD2" s="52"/>
      <c r="QE2" s="52"/>
      <c r="QF2" s="52"/>
      <c r="QG2" s="52"/>
      <c r="QH2" s="52"/>
      <c r="QI2" s="52"/>
      <c r="QJ2" s="52"/>
      <c r="QK2" s="52"/>
      <c r="QL2" s="52"/>
      <c r="QM2" s="52"/>
      <c r="QN2" s="52"/>
      <c r="QO2" s="52"/>
      <c r="QP2" s="52"/>
      <c r="QQ2" s="52"/>
      <c r="QR2" s="52"/>
      <c r="QS2" s="52"/>
      <c r="QT2" s="52"/>
      <c r="QU2" s="52"/>
      <c r="QV2" s="52"/>
      <c r="QW2" s="52"/>
      <c r="QX2" s="52"/>
      <c r="QY2" s="52"/>
      <c r="QZ2" s="52"/>
      <c r="RA2" s="52"/>
      <c r="RB2" s="52"/>
      <c r="RC2" s="52"/>
      <c r="RD2" s="52"/>
      <c r="RE2" s="52"/>
      <c r="RF2" s="52"/>
      <c r="RG2" s="52"/>
      <c r="RH2" s="52"/>
      <c r="RI2" s="52"/>
      <c r="RJ2" s="52"/>
      <c r="RK2" s="52"/>
      <c r="RL2" s="52"/>
      <c r="RM2" s="52"/>
      <c r="RN2" s="52"/>
      <c r="RO2" s="52"/>
      <c r="RP2" s="52"/>
      <c r="RQ2" s="52"/>
      <c r="RR2" s="52"/>
      <c r="RS2" s="52"/>
      <c r="RT2" s="52"/>
      <c r="RU2" s="52"/>
      <c r="RV2" s="52"/>
      <c r="RW2" s="52"/>
      <c r="RX2" s="52"/>
      <c r="RY2" s="52"/>
      <c r="RZ2" s="52"/>
      <c r="SA2" s="52"/>
      <c r="SB2" s="52"/>
      <c r="SC2" s="52"/>
      <c r="SD2" s="52"/>
      <c r="SE2" s="52"/>
      <c r="SF2" s="52"/>
      <c r="SG2" s="52"/>
      <c r="SH2" s="52"/>
      <c r="SI2" s="52"/>
      <c r="SJ2" s="52"/>
      <c r="SK2" s="52"/>
      <c r="SL2" s="52"/>
      <c r="SM2" s="52"/>
      <c r="SN2" s="52"/>
      <c r="SO2" s="52"/>
      <c r="SP2" s="52"/>
      <c r="SQ2" s="52"/>
      <c r="SR2" s="52"/>
      <c r="SS2" s="52"/>
      <c r="ST2" s="52"/>
      <c r="SU2" s="52"/>
      <c r="SV2" s="52"/>
      <c r="SW2" s="52"/>
      <c r="SX2" s="52"/>
      <c r="SY2" s="52"/>
      <c r="SZ2" s="52"/>
      <c r="TA2" s="52"/>
      <c r="TB2" s="52"/>
      <c r="TC2" s="52"/>
      <c r="TD2" s="52"/>
      <c r="TE2" s="52"/>
      <c r="TF2" s="52"/>
      <c r="TG2" s="52"/>
      <c r="TH2" s="52"/>
      <c r="TI2" s="52"/>
      <c r="TJ2" s="52"/>
      <c r="TK2" s="52"/>
      <c r="TL2" s="52"/>
      <c r="TM2" s="52"/>
      <c r="TN2" s="52"/>
      <c r="TO2" s="52"/>
      <c r="TP2" s="52"/>
      <c r="TQ2" s="52"/>
      <c r="TR2" s="52"/>
      <c r="TS2" s="52"/>
      <c r="TT2" s="52"/>
      <c r="TU2" s="52"/>
      <c r="TV2" s="52"/>
      <c r="TW2" s="52"/>
      <c r="TX2" s="52"/>
      <c r="TY2" s="52"/>
      <c r="TZ2" s="52"/>
      <c r="UA2" s="52"/>
      <c r="UB2" s="52"/>
      <c r="UC2" s="52"/>
      <c r="UD2" s="52"/>
      <c r="UE2" s="52"/>
      <c r="UF2" s="52"/>
      <c r="UG2" s="52"/>
      <c r="UH2" s="52"/>
      <c r="UI2" s="52"/>
      <c r="UJ2" s="52"/>
      <c r="UK2" s="52"/>
      <c r="UL2" s="52"/>
      <c r="UM2" s="52"/>
      <c r="UN2" s="52"/>
      <c r="UO2" s="52"/>
      <c r="UP2" s="52"/>
      <c r="UQ2" s="52"/>
      <c r="UR2" s="52"/>
      <c r="US2" s="52"/>
      <c r="UT2" s="52"/>
      <c r="UU2" s="52"/>
      <c r="UV2" s="52"/>
      <c r="UW2" s="52"/>
      <c r="UX2" s="52"/>
      <c r="UY2" s="52"/>
      <c r="UZ2" s="52"/>
      <c r="VA2" s="52"/>
      <c r="VB2" s="52"/>
      <c r="VC2" s="52"/>
      <c r="VD2" s="52"/>
      <c r="VE2" s="52"/>
      <c r="VF2" s="52"/>
      <c r="VG2" s="52"/>
      <c r="VH2" s="52"/>
      <c r="VI2" s="52"/>
      <c r="VJ2" s="52"/>
      <c r="VK2" s="52"/>
      <c r="VL2" s="52"/>
      <c r="VM2" s="52"/>
      <c r="VN2" s="52"/>
      <c r="VO2" s="52"/>
      <c r="VP2" s="52"/>
      <c r="VQ2" s="52"/>
      <c r="VR2" s="52"/>
      <c r="VS2" s="52"/>
      <c r="VT2" s="52"/>
      <c r="VU2" s="52"/>
      <c r="VV2" s="52"/>
      <c r="VW2" s="52"/>
      <c r="VX2" s="52"/>
      <c r="VY2" s="52"/>
      <c r="VZ2" s="52"/>
      <c r="WA2" s="52"/>
      <c r="WB2" s="52"/>
      <c r="WC2" s="52"/>
      <c r="WD2" s="52"/>
      <c r="WE2" s="52"/>
      <c r="WF2" s="52"/>
      <c r="WG2" s="52"/>
      <c r="WH2" s="52"/>
      <c r="WI2" s="52"/>
      <c r="WJ2" s="52"/>
      <c r="WK2" s="52"/>
      <c r="WL2" s="52"/>
      <c r="WM2" s="52"/>
      <c r="WN2" s="52"/>
      <c r="WO2" s="52"/>
      <c r="WP2" s="52"/>
      <c r="WQ2" s="52"/>
      <c r="WR2" s="52"/>
      <c r="WS2" s="52"/>
      <c r="WT2" s="52"/>
      <c r="WU2" s="52"/>
      <c r="WV2" s="52"/>
      <c r="WW2" s="52"/>
      <c r="WX2" s="52"/>
      <c r="WY2" s="52"/>
      <c r="WZ2" s="52"/>
      <c r="XA2" s="52"/>
      <c r="XB2" s="52"/>
      <c r="XC2" s="52"/>
      <c r="XD2" s="52"/>
      <c r="XE2" s="52"/>
      <c r="XF2" s="52"/>
      <c r="XG2" s="52"/>
      <c r="XH2" s="52"/>
      <c r="XI2" s="52"/>
      <c r="XJ2" s="52"/>
      <c r="XK2" s="52"/>
      <c r="XL2" s="52"/>
      <c r="XM2" s="52"/>
      <c r="XN2" s="52"/>
      <c r="XO2" s="52"/>
      <c r="XP2" s="52"/>
      <c r="XQ2" s="52"/>
      <c r="XR2" s="52"/>
      <c r="XS2" s="52"/>
      <c r="XT2" s="52"/>
      <c r="XU2" s="52"/>
      <c r="XV2" s="52"/>
      <c r="XW2" s="52"/>
      <c r="XX2" s="52"/>
      <c r="XY2" s="52"/>
      <c r="XZ2" s="52"/>
      <c r="YA2" s="52"/>
      <c r="YB2" s="52"/>
      <c r="YC2" s="52"/>
      <c r="YD2" s="52"/>
      <c r="YE2" s="52"/>
      <c r="YF2" s="52"/>
      <c r="YG2" s="52"/>
      <c r="YH2" s="52"/>
      <c r="YI2" s="52"/>
      <c r="YJ2" s="52"/>
      <c r="YK2" s="52"/>
      <c r="YL2" s="52"/>
      <c r="YM2" s="52"/>
      <c r="YN2" s="52"/>
      <c r="YO2" s="52"/>
      <c r="YP2" s="52"/>
      <c r="YQ2" s="52"/>
      <c r="YR2" s="52"/>
      <c r="YS2" s="52"/>
      <c r="YT2" s="52"/>
      <c r="YU2" s="52"/>
      <c r="YV2" s="52"/>
      <c r="YW2" s="52"/>
      <c r="YX2" s="52"/>
      <c r="YY2" s="52"/>
      <c r="YZ2" s="52"/>
      <c r="ZA2" s="52"/>
      <c r="ZB2" s="52"/>
      <c r="ZC2" s="52"/>
      <c r="ZD2" s="52"/>
      <c r="ZE2" s="52"/>
    </row>
    <row r="3">
      <c r="A3" s="57" t="s">
        <v>17</v>
      </c>
      <c r="B3" s="59" t="s">
        <v>119</v>
      </c>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59" t="s">
        <v>121</v>
      </c>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59">
        <v>0.0</v>
      </c>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64" t="s">
        <v>124</v>
      </c>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64" t="s">
        <v>126</v>
      </c>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64" t="s">
        <v>127</v>
      </c>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64" t="s">
        <v>128</v>
      </c>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64" t="s">
        <v>129</v>
      </c>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64" t="s">
        <v>130</v>
      </c>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64" t="s">
        <v>131</v>
      </c>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64" t="s">
        <v>132</v>
      </c>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64" t="s">
        <v>133</v>
      </c>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9"/>
      <c r="ND3" s="19"/>
      <c r="NE3" s="19"/>
      <c r="NF3" s="19"/>
      <c r="NG3" s="19"/>
      <c r="NH3" s="19"/>
      <c r="NI3" s="19"/>
      <c r="NJ3" s="19"/>
      <c r="NK3" s="19"/>
      <c r="NL3" s="19"/>
      <c r="NM3" s="19"/>
      <c r="NN3" s="19"/>
      <c r="NO3" s="19"/>
      <c r="NP3" s="19"/>
      <c r="NQ3" s="19"/>
      <c r="NR3" s="19"/>
      <c r="NS3" s="19"/>
      <c r="NT3" s="19"/>
      <c r="NU3" s="19"/>
      <c r="NV3" s="19"/>
      <c r="NW3" s="19"/>
      <c r="NX3" s="19"/>
      <c r="NY3" s="19"/>
      <c r="NZ3" s="19"/>
      <c r="OA3" s="19"/>
      <c r="OB3" s="19"/>
      <c r="OC3" s="19"/>
      <c r="OD3" s="19"/>
      <c r="OE3" s="19"/>
      <c r="OF3" s="19"/>
      <c r="OG3" s="19"/>
      <c r="OH3" s="19"/>
      <c r="OI3" s="19"/>
      <c r="OJ3" s="19"/>
      <c r="OK3" s="19"/>
      <c r="OL3" s="19"/>
      <c r="OM3" s="19"/>
      <c r="ON3" s="19"/>
      <c r="OO3" s="19"/>
      <c r="OP3" s="19"/>
      <c r="OQ3" s="19"/>
      <c r="OR3" s="19"/>
      <c r="OS3" s="19"/>
      <c r="OT3" s="19"/>
      <c r="OU3" s="19"/>
      <c r="OV3" s="19"/>
      <c r="OW3" s="19"/>
      <c r="OX3" s="19"/>
      <c r="OY3" s="19"/>
      <c r="OZ3" s="19"/>
      <c r="PA3" s="19"/>
      <c r="PB3" s="19"/>
      <c r="PC3" s="19"/>
      <c r="PD3" s="19"/>
      <c r="PE3" s="19"/>
      <c r="PF3" s="19"/>
      <c r="PG3" s="19"/>
      <c r="PH3" s="19"/>
      <c r="PI3" s="19"/>
      <c r="PJ3" s="19"/>
      <c r="PK3" s="19"/>
      <c r="PL3" s="19"/>
      <c r="PM3" s="19"/>
      <c r="PN3" s="19"/>
      <c r="PO3" s="19"/>
      <c r="PP3" s="19"/>
      <c r="PQ3" s="19"/>
      <c r="PR3" s="19"/>
      <c r="PS3" s="19"/>
      <c r="PT3" s="19"/>
      <c r="PU3" s="19"/>
      <c r="PV3" s="19"/>
      <c r="PW3" s="19"/>
      <c r="PX3" s="19"/>
      <c r="PY3" s="19"/>
      <c r="PZ3" s="19"/>
      <c r="QA3" s="19"/>
      <c r="QB3" s="19"/>
      <c r="QC3" s="19"/>
      <c r="QD3" s="19"/>
      <c r="QE3" s="19"/>
      <c r="QF3" s="19"/>
      <c r="QG3" s="19"/>
      <c r="QH3" s="19"/>
      <c r="QI3" s="19"/>
      <c r="QJ3" s="19"/>
      <c r="QK3" s="19"/>
      <c r="QL3" s="19"/>
      <c r="QM3" s="19"/>
      <c r="QN3" s="19"/>
      <c r="QO3" s="19"/>
      <c r="QP3" s="19"/>
      <c r="QQ3" s="19"/>
      <c r="QR3" s="19"/>
      <c r="QS3" s="19"/>
      <c r="QT3" s="19"/>
      <c r="QU3" s="19"/>
      <c r="QV3" s="19"/>
      <c r="QW3" s="19"/>
      <c r="QX3" s="19"/>
      <c r="QY3" s="19"/>
      <c r="QZ3" s="19"/>
      <c r="RA3" s="19"/>
      <c r="RB3" s="19"/>
      <c r="RC3" s="19"/>
      <c r="RD3" s="19"/>
      <c r="RE3" s="19"/>
      <c r="RF3" s="19"/>
      <c r="RG3" s="19"/>
      <c r="RH3" s="19"/>
      <c r="RI3" s="19"/>
      <c r="RJ3" s="19"/>
      <c r="RK3" s="19"/>
      <c r="RL3" s="19"/>
      <c r="RM3" s="19"/>
      <c r="RN3" s="19"/>
      <c r="RO3" s="19"/>
      <c r="RP3" s="19"/>
      <c r="RQ3" s="19"/>
      <c r="RR3" s="19"/>
      <c r="RS3" s="19"/>
      <c r="RT3" s="19"/>
      <c r="RU3" s="19"/>
      <c r="RV3" s="19"/>
      <c r="RW3" s="19"/>
      <c r="RX3" s="19"/>
      <c r="RY3" s="19"/>
      <c r="RZ3" s="19"/>
      <c r="SA3" s="19"/>
      <c r="SB3" s="19"/>
      <c r="SC3" s="19"/>
      <c r="SD3" s="19"/>
      <c r="SE3" s="19"/>
      <c r="SF3" s="19"/>
      <c r="SG3" s="19"/>
      <c r="SH3" s="19"/>
      <c r="SI3" s="19"/>
      <c r="SJ3" s="19"/>
      <c r="SK3" s="19"/>
      <c r="SL3" s="19"/>
      <c r="SM3" s="19"/>
      <c r="SN3" s="19"/>
      <c r="SO3" s="19"/>
      <c r="SP3" s="19"/>
      <c r="SQ3" s="19"/>
      <c r="SR3" s="19"/>
      <c r="SS3" s="19"/>
      <c r="ST3" s="19"/>
      <c r="SU3" s="19"/>
      <c r="SV3" s="19"/>
      <c r="SW3" s="19"/>
      <c r="SX3" s="19"/>
      <c r="SY3" s="19"/>
      <c r="SZ3" s="19"/>
      <c r="TA3" s="19"/>
      <c r="TB3" s="19"/>
      <c r="TC3" s="19"/>
      <c r="TD3" s="19"/>
      <c r="TE3" s="19"/>
      <c r="TF3" s="19"/>
      <c r="TG3" s="19"/>
      <c r="TH3" s="19"/>
      <c r="TI3" s="19"/>
      <c r="TJ3" s="19"/>
      <c r="TK3" s="19"/>
      <c r="TL3" s="19"/>
      <c r="TM3" s="19"/>
      <c r="TN3" s="19"/>
      <c r="TO3" s="19"/>
      <c r="TP3" s="19"/>
      <c r="TQ3" s="19"/>
      <c r="TR3" s="19"/>
      <c r="TS3" s="19"/>
      <c r="TT3" s="19"/>
      <c r="TU3" s="19"/>
      <c r="TV3" s="19"/>
      <c r="TW3" s="19"/>
      <c r="TX3" s="19"/>
      <c r="TY3" s="19"/>
      <c r="TZ3" s="19"/>
      <c r="UA3" s="19"/>
      <c r="UB3" s="19"/>
      <c r="UC3" s="19"/>
      <c r="UD3" s="19"/>
      <c r="UE3" s="19"/>
      <c r="UF3" s="19"/>
      <c r="UG3" s="19"/>
      <c r="UH3" s="19"/>
      <c r="UI3" s="19"/>
      <c r="UJ3" s="19"/>
      <c r="UK3" s="19"/>
      <c r="UL3" s="19"/>
      <c r="UM3" s="19"/>
      <c r="UN3" s="19"/>
      <c r="UO3" s="19"/>
      <c r="UP3" s="19"/>
      <c r="UQ3" s="19"/>
      <c r="UR3" s="19"/>
      <c r="US3" s="19"/>
      <c r="UT3" s="19"/>
      <c r="UU3" s="19"/>
      <c r="UV3" s="19"/>
      <c r="UW3" s="19"/>
      <c r="UX3" s="19"/>
      <c r="UY3" s="19"/>
      <c r="UZ3" s="19"/>
      <c r="VA3" s="19"/>
      <c r="VB3" s="19"/>
      <c r="VC3" s="19"/>
      <c r="VD3" s="19"/>
      <c r="VE3" s="19"/>
      <c r="VF3" s="19"/>
      <c r="VG3" s="19"/>
      <c r="VH3" s="19"/>
      <c r="VI3" s="19"/>
      <c r="VJ3" s="19"/>
      <c r="VK3" s="19"/>
      <c r="VL3" s="19"/>
      <c r="VM3" s="19"/>
      <c r="VN3" s="19"/>
      <c r="VO3" s="19"/>
      <c r="VP3" s="19"/>
      <c r="VQ3" s="19"/>
      <c r="VR3" s="19"/>
      <c r="VS3" s="19"/>
      <c r="VT3" s="19"/>
      <c r="VU3" s="19"/>
      <c r="VV3" s="19"/>
      <c r="VW3" s="19"/>
      <c r="VX3" s="19"/>
      <c r="VY3" s="19"/>
      <c r="VZ3" s="19"/>
      <c r="WA3" s="19"/>
      <c r="WB3" s="19"/>
      <c r="WC3" s="19"/>
      <c r="WD3" s="19"/>
      <c r="WE3" s="19"/>
      <c r="WF3" s="19"/>
      <c r="WG3" s="19"/>
      <c r="WH3" s="19"/>
      <c r="WI3" s="19"/>
      <c r="WJ3" s="19"/>
      <c r="WK3" s="19"/>
      <c r="WL3" s="19"/>
      <c r="WM3" s="19"/>
      <c r="WN3" s="19"/>
      <c r="WO3" s="19"/>
      <c r="WP3" s="19"/>
      <c r="WQ3" s="19"/>
      <c r="WR3" s="19"/>
      <c r="WS3" s="19"/>
      <c r="WT3" s="19"/>
      <c r="WU3" s="19"/>
      <c r="WV3" s="19"/>
      <c r="WW3" s="19"/>
      <c r="WX3" s="19"/>
      <c r="WY3" s="19"/>
      <c r="WZ3" s="19"/>
      <c r="XA3" s="19"/>
      <c r="XB3" s="19"/>
      <c r="XC3" s="19"/>
      <c r="XD3" s="19"/>
      <c r="XE3" s="19"/>
      <c r="XF3" s="19"/>
      <c r="XG3" s="19"/>
      <c r="XH3" s="19"/>
      <c r="XI3" s="19"/>
      <c r="XJ3" s="19"/>
      <c r="XK3" s="19"/>
      <c r="XL3" s="19"/>
      <c r="XM3" s="19"/>
      <c r="XN3" s="19"/>
      <c r="XO3" s="19"/>
      <c r="XP3" s="19"/>
      <c r="XQ3" s="19"/>
      <c r="XR3" s="19"/>
      <c r="XS3" s="19"/>
      <c r="XT3" s="19"/>
      <c r="XU3" s="19"/>
      <c r="XV3" s="19"/>
      <c r="XW3" s="19"/>
      <c r="XX3" s="19"/>
      <c r="XY3" s="19"/>
      <c r="XZ3" s="19"/>
      <c r="YA3" s="19"/>
      <c r="YB3" s="19"/>
      <c r="YC3" s="19"/>
      <c r="YD3" s="19"/>
      <c r="YE3" s="19"/>
      <c r="YF3" s="19"/>
      <c r="YG3" s="19"/>
      <c r="YH3" s="19"/>
      <c r="YI3" s="19"/>
      <c r="YJ3" s="19"/>
      <c r="YK3" s="19"/>
      <c r="YL3" s="19"/>
      <c r="YM3" s="19"/>
      <c r="YN3" s="19"/>
      <c r="YO3" s="19"/>
      <c r="YP3" s="19"/>
      <c r="YQ3" s="19"/>
      <c r="YR3" s="19"/>
      <c r="YS3" s="19"/>
      <c r="YT3" s="19"/>
      <c r="YU3" s="19"/>
      <c r="YV3" s="19"/>
      <c r="YW3" s="19"/>
      <c r="YX3" s="19"/>
      <c r="YY3" s="19"/>
      <c r="YZ3" s="19"/>
      <c r="ZA3" s="19"/>
      <c r="ZB3" s="19"/>
      <c r="ZC3" s="19"/>
      <c r="ZD3" s="19"/>
      <c r="ZE3" s="19"/>
    </row>
    <row r="4">
      <c r="A4" s="89"/>
      <c r="B4" s="91" t="s">
        <v>43</v>
      </c>
      <c r="C4" s="93"/>
      <c r="D4" s="93"/>
      <c r="E4" s="93"/>
      <c r="F4" s="93"/>
      <c r="G4" s="93"/>
      <c r="H4" s="93"/>
      <c r="I4" s="95" t="s">
        <v>46</v>
      </c>
      <c r="J4" s="93"/>
      <c r="K4" s="93"/>
      <c r="L4" s="93"/>
      <c r="M4" s="93"/>
      <c r="N4" s="93"/>
      <c r="O4" s="97"/>
      <c r="P4" s="91" t="s">
        <v>47</v>
      </c>
      <c r="Q4" s="93"/>
      <c r="R4" s="93"/>
      <c r="S4" s="93"/>
      <c r="T4" s="93"/>
      <c r="U4" s="93"/>
      <c r="V4" s="93"/>
      <c r="W4" s="95" t="s">
        <v>48</v>
      </c>
      <c r="X4" s="93"/>
      <c r="Y4" s="93"/>
      <c r="Z4" s="93"/>
      <c r="AA4" s="93"/>
      <c r="AB4" s="93"/>
      <c r="AC4" s="97"/>
      <c r="AD4" s="91" t="s">
        <v>49</v>
      </c>
      <c r="AE4" s="93"/>
      <c r="AF4" s="93"/>
      <c r="AG4" s="93"/>
      <c r="AH4" s="93"/>
      <c r="AI4" s="93"/>
      <c r="AJ4" s="93"/>
      <c r="AK4" s="95" t="s">
        <v>50</v>
      </c>
      <c r="AL4" s="93"/>
      <c r="AM4" s="93"/>
      <c r="AN4" s="93"/>
      <c r="AO4" s="93"/>
      <c r="AP4" s="93"/>
      <c r="AQ4" s="97"/>
      <c r="AR4" s="91" t="s">
        <v>51</v>
      </c>
      <c r="AS4" s="93"/>
      <c r="AT4" s="93"/>
      <c r="AU4" s="93"/>
      <c r="AV4" s="93"/>
      <c r="AW4" s="93"/>
      <c r="AX4" s="93"/>
      <c r="AY4" s="95" t="s">
        <v>52</v>
      </c>
      <c r="AZ4" s="93"/>
      <c r="BA4" s="93"/>
      <c r="BB4" s="93"/>
      <c r="BC4" s="93"/>
      <c r="BD4" s="93"/>
      <c r="BE4" s="97"/>
      <c r="BF4" s="91" t="s">
        <v>53</v>
      </c>
      <c r="BG4" s="93"/>
      <c r="BH4" s="93"/>
      <c r="BI4" s="93"/>
      <c r="BJ4" s="93"/>
      <c r="BK4" s="93"/>
      <c r="BL4" s="93"/>
      <c r="BM4" s="95" t="s">
        <v>54</v>
      </c>
      <c r="BN4" s="98"/>
      <c r="BO4" s="98"/>
      <c r="BP4" s="98"/>
      <c r="BQ4" s="98"/>
      <c r="BR4" s="98"/>
      <c r="BS4" s="99"/>
      <c r="BT4" s="100" t="s">
        <v>55</v>
      </c>
      <c r="BU4" s="98"/>
      <c r="BV4" s="98"/>
      <c r="BW4" s="98"/>
      <c r="BX4" s="98"/>
      <c r="BY4" s="98"/>
      <c r="BZ4" s="98"/>
      <c r="CA4" s="101" t="s">
        <v>56</v>
      </c>
      <c r="CB4" s="98"/>
      <c r="CC4" s="98"/>
      <c r="CD4" s="98"/>
      <c r="CE4" s="98"/>
      <c r="CF4" s="98"/>
      <c r="CG4" s="99"/>
      <c r="CH4" s="100" t="s">
        <v>57</v>
      </c>
      <c r="CI4" s="98"/>
      <c r="CJ4" s="98"/>
      <c r="CK4" s="98"/>
      <c r="CL4" s="98"/>
      <c r="CM4" s="98"/>
      <c r="CN4" s="98"/>
      <c r="CO4" s="101" t="s">
        <v>58</v>
      </c>
      <c r="CP4" s="98"/>
      <c r="CQ4" s="98"/>
      <c r="CR4" s="98"/>
      <c r="CS4" s="98"/>
      <c r="CT4" s="98"/>
      <c r="CU4" s="99"/>
      <c r="CV4" s="100" t="s">
        <v>59</v>
      </c>
      <c r="CW4" s="98"/>
      <c r="CX4" s="98"/>
      <c r="CY4" s="98"/>
      <c r="CZ4" s="98"/>
      <c r="DA4" s="98"/>
      <c r="DB4" s="98"/>
      <c r="DC4" s="101" t="s">
        <v>60</v>
      </c>
      <c r="DD4" s="98"/>
      <c r="DE4" s="98"/>
      <c r="DF4" s="98"/>
      <c r="DG4" s="98"/>
      <c r="DH4" s="98"/>
      <c r="DI4" s="99"/>
      <c r="DJ4" s="100" t="s">
        <v>61</v>
      </c>
      <c r="DK4" s="98"/>
      <c r="DL4" s="98"/>
      <c r="DM4" s="98"/>
      <c r="DN4" s="98"/>
      <c r="DO4" s="98"/>
      <c r="DP4" s="98"/>
      <c r="DQ4" s="101" t="s">
        <v>62</v>
      </c>
      <c r="DR4" s="98"/>
      <c r="DS4" s="98"/>
      <c r="DT4" s="98"/>
      <c r="DU4" s="98"/>
      <c r="DV4" s="98"/>
      <c r="DW4" s="99"/>
      <c r="DX4" s="100" t="s">
        <v>64</v>
      </c>
      <c r="DY4" s="98"/>
      <c r="DZ4" s="98"/>
      <c r="EA4" s="98"/>
      <c r="EB4" s="98"/>
      <c r="EC4" s="98"/>
      <c r="ED4" s="98"/>
      <c r="EE4" s="101" t="s">
        <v>65</v>
      </c>
      <c r="EF4" s="98"/>
      <c r="EG4" s="98"/>
      <c r="EH4" s="98"/>
      <c r="EI4" s="98"/>
      <c r="EJ4" s="98"/>
      <c r="EK4" s="99"/>
      <c r="EL4" s="100" t="s">
        <v>66</v>
      </c>
      <c r="EM4" s="98"/>
      <c r="EN4" s="98"/>
      <c r="EO4" s="98"/>
      <c r="EP4" s="98"/>
      <c r="EQ4" s="98"/>
      <c r="ER4" s="98"/>
      <c r="ES4" s="101" t="s">
        <v>67</v>
      </c>
      <c r="ET4" s="98"/>
      <c r="EU4" s="98"/>
      <c r="EV4" s="98"/>
      <c r="EW4" s="98"/>
      <c r="EX4" s="98"/>
      <c r="EY4" s="99"/>
      <c r="EZ4" s="100" t="s">
        <v>68</v>
      </c>
      <c r="FA4" s="98"/>
      <c r="FB4" s="98"/>
      <c r="FC4" s="98"/>
      <c r="FD4" s="98"/>
      <c r="FE4" s="98"/>
      <c r="FF4" s="98"/>
      <c r="FG4" s="101" t="s">
        <v>69</v>
      </c>
      <c r="FH4" s="98"/>
      <c r="FI4" s="98"/>
      <c r="FJ4" s="98"/>
      <c r="FK4" s="98"/>
      <c r="FL4" s="98"/>
      <c r="FM4" s="99"/>
      <c r="FN4" s="100" t="s">
        <v>70</v>
      </c>
      <c r="FO4" s="98"/>
      <c r="FP4" s="98"/>
      <c r="FQ4" s="98"/>
      <c r="FR4" s="98"/>
      <c r="FS4" s="98"/>
      <c r="FT4" s="98"/>
      <c r="FU4" s="101" t="s">
        <v>71</v>
      </c>
      <c r="FV4" s="98"/>
      <c r="FW4" s="98"/>
      <c r="FX4" s="98"/>
      <c r="FY4" s="98"/>
      <c r="FZ4" s="98"/>
      <c r="GA4" s="99"/>
      <c r="GB4" s="100" t="s">
        <v>72</v>
      </c>
      <c r="GC4" s="98"/>
      <c r="GD4" s="98"/>
      <c r="GE4" s="98"/>
      <c r="GF4" s="98"/>
      <c r="GG4" s="98"/>
      <c r="GH4" s="98"/>
      <c r="GI4" s="101" t="s">
        <v>74</v>
      </c>
      <c r="GJ4" s="98"/>
      <c r="GK4" s="98"/>
      <c r="GL4" s="98"/>
      <c r="GM4" s="98"/>
      <c r="GN4" s="98"/>
      <c r="GO4" s="99"/>
      <c r="GP4" s="101" t="s">
        <v>75</v>
      </c>
      <c r="GQ4" s="98"/>
      <c r="GR4" s="98"/>
      <c r="GS4" s="98"/>
      <c r="GT4" s="98"/>
      <c r="GU4" s="98"/>
      <c r="GV4" s="98"/>
      <c r="GW4" s="101" t="s">
        <v>76</v>
      </c>
      <c r="GX4" s="98"/>
      <c r="GY4" s="98"/>
      <c r="GZ4" s="98"/>
      <c r="HA4" s="98"/>
      <c r="HB4" s="98"/>
      <c r="HC4" s="99"/>
      <c r="HD4" s="100" t="s">
        <v>77</v>
      </c>
      <c r="HE4" s="98"/>
      <c r="HF4" s="98"/>
      <c r="HG4" s="98"/>
      <c r="HH4" s="98"/>
      <c r="HI4" s="98"/>
      <c r="HJ4" s="98"/>
      <c r="HK4" s="101" t="s">
        <v>78</v>
      </c>
      <c r="HL4" s="98"/>
      <c r="HM4" s="98"/>
      <c r="HN4" s="98"/>
      <c r="HO4" s="98"/>
      <c r="HP4" s="98"/>
      <c r="HQ4" s="99"/>
      <c r="HR4" s="100" t="s">
        <v>79</v>
      </c>
      <c r="HS4" s="98"/>
      <c r="HT4" s="98"/>
      <c r="HU4" s="98"/>
      <c r="HV4" s="98"/>
      <c r="HW4" s="98"/>
      <c r="HX4" s="98"/>
      <c r="HY4" s="101" t="s">
        <v>80</v>
      </c>
      <c r="HZ4" s="98"/>
      <c r="IA4" s="98"/>
      <c r="IB4" s="98"/>
      <c r="IC4" s="98"/>
      <c r="ID4" s="98"/>
      <c r="IE4" s="99"/>
      <c r="IF4" s="100" t="s">
        <v>82</v>
      </c>
      <c r="IG4" s="98"/>
      <c r="IH4" s="98"/>
      <c r="II4" s="98"/>
      <c r="IJ4" s="98"/>
      <c r="IK4" s="98"/>
      <c r="IL4" s="98"/>
      <c r="IM4" s="101" t="s">
        <v>83</v>
      </c>
      <c r="IN4" s="98"/>
      <c r="IO4" s="98"/>
      <c r="IP4" s="98"/>
      <c r="IQ4" s="98"/>
      <c r="IR4" s="98"/>
      <c r="IS4" s="99"/>
      <c r="IT4" s="100" t="s">
        <v>84</v>
      </c>
      <c r="IU4" s="98"/>
      <c r="IV4" s="98"/>
      <c r="IW4" s="98"/>
      <c r="IX4" s="98"/>
      <c r="IY4" s="98"/>
      <c r="IZ4" s="98"/>
      <c r="JA4" s="101" t="s">
        <v>85</v>
      </c>
      <c r="JB4" s="98"/>
      <c r="JC4" s="98"/>
      <c r="JD4" s="98"/>
      <c r="JE4" s="98"/>
      <c r="JF4" s="98"/>
      <c r="JG4" s="99"/>
      <c r="JH4" s="100" t="s">
        <v>86</v>
      </c>
      <c r="JI4" s="98"/>
      <c r="JJ4" s="98"/>
      <c r="JK4" s="98"/>
      <c r="JL4" s="98"/>
      <c r="JM4" s="98"/>
      <c r="JN4" s="98"/>
      <c r="JO4" s="101" t="s">
        <v>87</v>
      </c>
      <c r="JP4" s="98"/>
      <c r="JQ4" s="98"/>
      <c r="JR4" s="98"/>
      <c r="JS4" s="98"/>
      <c r="JT4" s="98"/>
      <c r="JU4" s="99"/>
      <c r="JV4" s="100" t="s">
        <v>88</v>
      </c>
      <c r="JW4" s="98"/>
      <c r="JX4" s="98"/>
      <c r="JY4" s="98"/>
      <c r="JZ4" s="98"/>
      <c r="KA4" s="98"/>
      <c r="KB4" s="98"/>
      <c r="KC4" s="101" t="s">
        <v>89</v>
      </c>
      <c r="KD4" s="98"/>
      <c r="KE4" s="98"/>
      <c r="KF4" s="98"/>
      <c r="KG4" s="98"/>
      <c r="KH4" s="98"/>
      <c r="KI4" s="99"/>
      <c r="KJ4" s="100" t="s">
        <v>90</v>
      </c>
      <c r="KK4" s="98"/>
      <c r="KL4" s="98"/>
      <c r="KM4" s="98"/>
      <c r="KN4" s="98"/>
      <c r="KO4" s="98"/>
      <c r="KP4" s="98"/>
      <c r="KQ4" s="101" t="s">
        <v>91</v>
      </c>
      <c r="KR4" s="98"/>
      <c r="KS4" s="98"/>
      <c r="KT4" s="98"/>
      <c r="KU4" s="98"/>
      <c r="KV4" s="98"/>
      <c r="KW4" s="99"/>
      <c r="KX4" s="100" t="s">
        <v>92</v>
      </c>
      <c r="KY4" s="98"/>
      <c r="KZ4" s="98"/>
      <c r="LA4" s="98"/>
      <c r="LB4" s="98"/>
      <c r="LC4" s="98"/>
      <c r="LD4" s="98"/>
      <c r="LE4" s="101" t="s">
        <v>93</v>
      </c>
      <c r="LF4" s="98"/>
      <c r="LG4" s="98"/>
      <c r="LH4" s="98"/>
      <c r="LI4" s="98"/>
      <c r="LJ4" s="98"/>
      <c r="LK4" s="99"/>
      <c r="LL4" s="100" t="s">
        <v>94</v>
      </c>
      <c r="LM4" s="98"/>
      <c r="LN4" s="98"/>
      <c r="LO4" s="98"/>
      <c r="LP4" s="98"/>
      <c r="LQ4" s="98"/>
      <c r="LR4" s="98"/>
      <c r="LS4" s="101" t="s">
        <v>95</v>
      </c>
      <c r="LT4" s="98"/>
      <c r="LU4" s="98"/>
      <c r="LV4" s="98"/>
      <c r="LW4" s="98"/>
      <c r="LX4" s="98"/>
      <c r="LY4" s="99"/>
      <c r="LZ4" s="100" t="s">
        <v>97</v>
      </c>
      <c r="MA4" s="98"/>
      <c r="MB4" s="98"/>
      <c r="MC4" s="98"/>
      <c r="MD4" s="98"/>
      <c r="ME4" s="98"/>
      <c r="MF4" s="98"/>
      <c r="MG4" s="101" t="s">
        <v>98</v>
      </c>
      <c r="MH4" s="98"/>
      <c r="MI4" s="98"/>
      <c r="MJ4" s="98"/>
      <c r="MK4" s="98"/>
      <c r="ML4" s="98"/>
      <c r="MM4" s="99"/>
      <c r="MN4" s="100" t="s">
        <v>99</v>
      </c>
      <c r="MO4" s="98"/>
      <c r="MP4" s="98"/>
      <c r="MQ4" s="98"/>
      <c r="MR4" s="98"/>
      <c r="MS4" s="98"/>
      <c r="MT4" s="98"/>
      <c r="MU4" s="101" t="s">
        <v>101</v>
      </c>
      <c r="MV4" s="98"/>
      <c r="MW4" s="98"/>
      <c r="MX4" s="98"/>
      <c r="MY4" s="98"/>
      <c r="MZ4" s="98"/>
      <c r="NA4" s="99"/>
      <c r="NB4" s="100" t="s">
        <v>43</v>
      </c>
      <c r="NC4" s="107"/>
      <c r="ND4" s="107"/>
      <c r="NE4" s="107"/>
      <c r="NF4" s="107"/>
      <c r="NG4" s="107"/>
      <c r="NH4" s="107"/>
      <c r="NI4" s="107"/>
      <c r="NJ4" s="107"/>
      <c r="NK4" s="107"/>
      <c r="NL4" s="107"/>
      <c r="NM4" s="107"/>
      <c r="NN4" s="107"/>
      <c r="NO4" s="107"/>
      <c r="NP4" s="107"/>
      <c r="NQ4" s="107"/>
      <c r="NR4" s="107"/>
      <c r="NS4" s="107"/>
      <c r="NT4" s="107"/>
      <c r="NU4" s="107"/>
      <c r="NV4" s="107"/>
      <c r="NW4" s="107"/>
      <c r="NX4" s="107"/>
      <c r="NY4" s="107"/>
      <c r="NZ4" s="107"/>
      <c r="OA4" s="107"/>
      <c r="OB4" s="107"/>
      <c r="OC4" s="107"/>
      <c r="OD4" s="107"/>
      <c r="OE4" s="107"/>
      <c r="OF4" s="107"/>
      <c r="OG4" s="107"/>
      <c r="OH4" s="107"/>
      <c r="OI4" s="107"/>
      <c r="OJ4" s="107"/>
      <c r="OK4" s="107"/>
      <c r="OL4" s="107"/>
      <c r="OM4" s="107"/>
      <c r="ON4" s="107"/>
      <c r="OO4" s="107"/>
      <c r="OP4" s="107"/>
      <c r="OQ4" s="107"/>
      <c r="OR4" s="107"/>
      <c r="OS4" s="107"/>
      <c r="OT4" s="107"/>
      <c r="OU4" s="107"/>
      <c r="OV4" s="107"/>
      <c r="OW4" s="107"/>
      <c r="OX4" s="107"/>
      <c r="OY4" s="107"/>
      <c r="OZ4" s="107"/>
      <c r="PA4" s="107"/>
      <c r="PB4" s="107"/>
      <c r="PC4" s="107"/>
      <c r="PD4" s="107"/>
      <c r="PE4" s="107"/>
      <c r="PF4" s="107"/>
      <c r="PG4" s="107"/>
      <c r="PH4" s="107"/>
      <c r="PI4" s="107"/>
      <c r="PJ4" s="107"/>
      <c r="PK4" s="107"/>
      <c r="PL4" s="107"/>
      <c r="PM4" s="107"/>
      <c r="PN4" s="107"/>
      <c r="PO4" s="107"/>
      <c r="PP4" s="107"/>
      <c r="PQ4" s="107"/>
      <c r="PR4" s="107"/>
      <c r="PS4" s="107"/>
      <c r="PT4" s="107"/>
      <c r="PU4" s="107"/>
      <c r="PV4" s="107"/>
      <c r="PW4" s="107"/>
      <c r="PX4" s="107"/>
      <c r="PY4" s="107"/>
      <c r="PZ4" s="107"/>
      <c r="QA4" s="107"/>
      <c r="QB4" s="107"/>
      <c r="QC4" s="107"/>
      <c r="QD4" s="107"/>
      <c r="QE4" s="107"/>
      <c r="QF4" s="107"/>
      <c r="QG4" s="107"/>
      <c r="QH4" s="107"/>
      <c r="QI4" s="107"/>
      <c r="QJ4" s="107"/>
      <c r="QK4" s="107"/>
      <c r="QL4" s="107"/>
      <c r="QM4" s="107"/>
      <c r="QN4" s="107"/>
      <c r="QO4" s="107"/>
      <c r="QP4" s="107"/>
      <c r="QQ4" s="107"/>
      <c r="QR4" s="107"/>
      <c r="QS4" s="107"/>
      <c r="QT4" s="107"/>
      <c r="QU4" s="107"/>
      <c r="QV4" s="107"/>
      <c r="QW4" s="107"/>
      <c r="QX4" s="107"/>
      <c r="QY4" s="107"/>
      <c r="QZ4" s="107"/>
      <c r="RA4" s="107"/>
      <c r="RB4" s="107"/>
      <c r="RC4" s="107"/>
      <c r="RD4" s="107"/>
      <c r="RE4" s="107"/>
      <c r="RF4" s="107"/>
      <c r="RG4" s="107"/>
      <c r="RH4" s="107"/>
      <c r="RI4" s="107"/>
      <c r="RJ4" s="107"/>
      <c r="RK4" s="107"/>
      <c r="RL4" s="107"/>
      <c r="RM4" s="107"/>
      <c r="RN4" s="107"/>
      <c r="RO4" s="107"/>
      <c r="RP4" s="107"/>
      <c r="RQ4" s="107"/>
      <c r="RR4" s="107"/>
      <c r="RS4" s="107"/>
      <c r="RT4" s="107"/>
      <c r="RU4" s="107"/>
      <c r="RV4" s="107"/>
      <c r="RW4" s="107"/>
      <c r="RX4" s="107"/>
      <c r="RY4" s="107"/>
      <c r="RZ4" s="107"/>
      <c r="SA4" s="107"/>
      <c r="SB4" s="107"/>
      <c r="SC4" s="107"/>
      <c r="SD4" s="107"/>
      <c r="SE4" s="107"/>
      <c r="SF4" s="107"/>
      <c r="SG4" s="107"/>
      <c r="SH4" s="107"/>
      <c r="SI4" s="107"/>
      <c r="SJ4" s="107"/>
      <c r="SK4" s="107"/>
      <c r="SL4" s="107"/>
      <c r="SM4" s="107"/>
      <c r="SN4" s="107"/>
      <c r="SO4" s="107"/>
      <c r="SP4" s="107"/>
      <c r="SQ4" s="107"/>
      <c r="SR4" s="107"/>
      <c r="SS4" s="107"/>
      <c r="ST4" s="107"/>
      <c r="SU4" s="107"/>
      <c r="SV4" s="107"/>
      <c r="SW4" s="107"/>
      <c r="SX4" s="107"/>
      <c r="SY4" s="107"/>
      <c r="SZ4" s="107"/>
      <c r="TA4" s="107"/>
      <c r="TB4" s="107"/>
      <c r="TC4" s="107"/>
      <c r="TD4" s="107"/>
      <c r="TE4" s="107"/>
      <c r="TF4" s="107"/>
      <c r="TG4" s="107"/>
      <c r="TH4" s="107"/>
      <c r="TI4" s="107"/>
      <c r="TJ4" s="107"/>
      <c r="TK4" s="107"/>
      <c r="TL4" s="107"/>
      <c r="TM4" s="107"/>
      <c r="TN4" s="107"/>
      <c r="TO4" s="107"/>
      <c r="TP4" s="107"/>
      <c r="TQ4" s="107"/>
      <c r="TR4" s="107"/>
      <c r="TS4" s="107"/>
      <c r="TT4" s="107"/>
      <c r="TU4" s="107"/>
      <c r="TV4" s="107"/>
      <c r="TW4" s="107"/>
      <c r="TX4" s="107"/>
      <c r="TY4" s="107"/>
      <c r="TZ4" s="107"/>
      <c r="UA4" s="107"/>
      <c r="UB4" s="107"/>
      <c r="UC4" s="107"/>
      <c r="UD4" s="107"/>
      <c r="UE4" s="107"/>
      <c r="UF4" s="107"/>
      <c r="UG4" s="107"/>
      <c r="UH4" s="107"/>
      <c r="UI4" s="107"/>
      <c r="UJ4" s="107"/>
      <c r="UK4" s="107"/>
      <c r="UL4" s="107"/>
      <c r="UM4" s="107"/>
      <c r="UN4" s="107"/>
      <c r="UO4" s="107"/>
      <c r="UP4" s="107"/>
      <c r="UQ4" s="107"/>
      <c r="UR4" s="107"/>
      <c r="US4" s="107"/>
      <c r="UT4" s="107"/>
      <c r="UU4" s="107"/>
      <c r="UV4" s="107"/>
      <c r="UW4" s="107"/>
      <c r="UX4" s="107"/>
      <c r="UY4" s="107"/>
      <c r="UZ4" s="107"/>
      <c r="VA4" s="107"/>
      <c r="VB4" s="107"/>
      <c r="VC4" s="107"/>
      <c r="VD4" s="107"/>
      <c r="VE4" s="107"/>
      <c r="VF4" s="107"/>
      <c r="VG4" s="107"/>
      <c r="VH4" s="107"/>
      <c r="VI4" s="107"/>
      <c r="VJ4" s="107"/>
      <c r="VK4" s="107"/>
      <c r="VL4" s="107"/>
      <c r="VM4" s="107"/>
      <c r="VN4" s="107"/>
      <c r="VO4" s="107"/>
      <c r="VP4" s="107"/>
      <c r="VQ4" s="107"/>
      <c r="VR4" s="107"/>
      <c r="VS4" s="107"/>
      <c r="VT4" s="107"/>
      <c r="VU4" s="107"/>
      <c r="VV4" s="107"/>
      <c r="VW4" s="107"/>
      <c r="VX4" s="107"/>
      <c r="VY4" s="107"/>
      <c r="VZ4" s="107"/>
      <c r="WA4" s="107"/>
      <c r="WB4" s="107"/>
      <c r="WC4" s="107"/>
      <c r="WD4" s="107"/>
      <c r="WE4" s="107"/>
      <c r="WF4" s="107"/>
      <c r="WG4" s="107"/>
      <c r="WH4" s="107"/>
      <c r="WI4" s="107"/>
      <c r="WJ4" s="107"/>
      <c r="WK4" s="107"/>
      <c r="WL4" s="107"/>
      <c r="WM4" s="107"/>
      <c r="WN4" s="107"/>
      <c r="WO4" s="107"/>
      <c r="WP4" s="107"/>
      <c r="WQ4" s="107"/>
      <c r="WR4" s="107"/>
      <c r="WS4" s="107"/>
      <c r="WT4" s="107"/>
      <c r="WU4" s="107"/>
      <c r="WV4" s="107"/>
      <c r="WW4" s="107"/>
      <c r="WX4" s="107"/>
      <c r="WY4" s="107"/>
      <c r="WZ4" s="107"/>
      <c r="XA4" s="107"/>
      <c r="XB4" s="107"/>
      <c r="XC4" s="107"/>
      <c r="XD4" s="107"/>
      <c r="XE4" s="107"/>
      <c r="XF4" s="107"/>
      <c r="XG4" s="107"/>
      <c r="XH4" s="107"/>
      <c r="XI4" s="107"/>
      <c r="XJ4" s="107"/>
      <c r="XK4" s="107"/>
      <c r="XL4" s="107"/>
      <c r="XM4" s="107"/>
      <c r="XN4" s="107"/>
      <c r="XO4" s="107"/>
      <c r="XP4" s="107"/>
      <c r="XQ4" s="107"/>
      <c r="XR4" s="107"/>
      <c r="XS4" s="107"/>
      <c r="XT4" s="107"/>
      <c r="XU4" s="107"/>
      <c r="XV4" s="107"/>
      <c r="XW4" s="107"/>
      <c r="XX4" s="107"/>
      <c r="XY4" s="107"/>
      <c r="XZ4" s="107"/>
      <c r="YA4" s="107"/>
      <c r="YB4" s="107"/>
      <c r="YC4" s="107"/>
      <c r="YD4" s="107"/>
      <c r="YE4" s="107"/>
      <c r="YF4" s="107"/>
      <c r="YG4" s="107"/>
      <c r="YH4" s="107"/>
      <c r="YI4" s="107"/>
      <c r="YJ4" s="107"/>
      <c r="YK4" s="107"/>
      <c r="YL4" s="107"/>
      <c r="YM4" s="107"/>
      <c r="YN4" s="107"/>
      <c r="YO4" s="107"/>
      <c r="YP4" s="107"/>
      <c r="YQ4" s="107"/>
      <c r="YR4" s="107"/>
      <c r="YS4" s="107"/>
      <c r="YT4" s="107"/>
      <c r="YU4" s="107"/>
      <c r="YV4" s="107"/>
      <c r="YW4" s="107"/>
      <c r="YX4" s="107"/>
      <c r="YY4" s="107"/>
      <c r="YZ4" s="107"/>
      <c r="ZA4" s="107"/>
      <c r="ZB4" s="107"/>
      <c r="ZC4" s="107"/>
      <c r="ZD4" s="107"/>
      <c r="ZE4" s="107"/>
    </row>
    <row r="5">
      <c r="A5" s="48"/>
      <c r="B5" s="13" t="s">
        <v>108</v>
      </c>
      <c r="C5" s="13" t="s">
        <v>109</v>
      </c>
      <c r="D5" s="13" t="s">
        <v>110</v>
      </c>
      <c r="E5" s="13" t="s">
        <v>111</v>
      </c>
      <c r="F5" s="13" t="s">
        <v>112</v>
      </c>
      <c r="G5" s="13" t="s">
        <v>113</v>
      </c>
      <c r="H5" s="13" t="s">
        <v>114</v>
      </c>
      <c r="I5" s="49" t="s">
        <v>108</v>
      </c>
      <c r="J5" s="13" t="s">
        <v>109</v>
      </c>
      <c r="K5" s="13" t="s">
        <v>110</v>
      </c>
      <c r="L5" s="13" t="s">
        <v>111</v>
      </c>
      <c r="M5" s="13" t="s">
        <v>112</v>
      </c>
      <c r="N5" s="13" t="s">
        <v>113</v>
      </c>
      <c r="O5" s="50" t="s">
        <v>114</v>
      </c>
      <c r="P5" s="13" t="s">
        <v>108</v>
      </c>
      <c r="Q5" s="13" t="s">
        <v>109</v>
      </c>
      <c r="R5" s="13" t="s">
        <v>110</v>
      </c>
      <c r="S5" s="13" t="s">
        <v>111</v>
      </c>
      <c r="T5" s="13" t="s">
        <v>112</v>
      </c>
      <c r="U5" s="13" t="s">
        <v>113</v>
      </c>
      <c r="V5" s="13" t="s">
        <v>114</v>
      </c>
      <c r="W5" s="49" t="s">
        <v>108</v>
      </c>
      <c r="X5" s="13" t="s">
        <v>109</v>
      </c>
      <c r="Y5" s="13" t="s">
        <v>110</v>
      </c>
      <c r="Z5" s="13" t="s">
        <v>111</v>
      </c>
      <c r="AA5" s="13" t="s">
        <v>112</v>
      </c>
      <c r="AB5" s="13" t="s">
        <v>113</v>
      </c>
      <c r="AC5" s="50" t="s">
        <v>114</v>
      </c>
      <c r="AD5" s="13" t="s">
        <v>108</v>
      </c>
      <c r="AE5" s="13" t="s">
        <v>109</v>
      </c>
      <c r="AF5" s="13" t="s">
        <v>110</v>
      </c>
      <c r="AG5" s="13" t="s">
        <v>111</v>
      </c>
      <c r="AH5" s="13" t="s">
        <v>112</v>
      </c>
      <c r="AI5" s="13" t="s">
        <v>113</v>
      </c>
      <c r="AJ5" s="13" t="s">
        <v>114</v>
      </c>
      <c r="AK5" s="49" t="s">
        <v>108</v>
      </c>
      <c r="AL5" s="13" t="s">
        <v>109</v>
      </c>
      <c r="AM5" s="13" t="s">
        <v>110</v>
      </c>
      <c r="AN5" s="13" t="s">
        <v>111</v>
      </c>
      <c r="AO5" s="13" t="s">
        <v>112</v>
      </c>
      <c r="AP5" s="13" t="s">
        <v>113</v>
      </c>
      <c r="AQ5" s="50" t="s">
        <v>114</v>
      </c>
      <c r="AR5" s="13" t="s">
        <v>108</v>
      </c>
      <c r="AS5" s="13" t="s">
        <v>109</v>
      </c>
      <c r="AT5" s="13" t="s">
        <v>110</v>
      </c>
      <c r="AU5" s="13" t="s">
        <v>111</v>
      </c>
      <c r="AV5" s="13" t="s">
        <v>112</v>
      </c>
      <c r="AW5" s="13" t="s">
        <v>113</v>
      </c>
      <c r="AX5" s="13" t="s">
        <v>114</v>
      </c>
      <c r="AY5" s="49" t="s">
        <v>108</v>
      </c>
      <c r="AZ5" s="13" t="s">
        <v>109</v>
      </c>
      <c r="BA5" s="13" t="s">
        <v>110</v>
      </c>
      <c r="BB5" s="13" t="s">
        <v>111</v>
      </c>
      <c r="BC5" s="13" t="s">
        <v>112</v>
      </c>
      <c r="BD5" s="13" t="s">
        <v>113</v>
      </c>
      <c r="BE5" s="50" t="s">
        <v>114</v>
      </c>
      <c r="BF5" s="13" t="s">
        <v>108</v>
      </c>
      <c r="BG5" s="13" t="s">
        <v>109</v>
      </c>
      <c r="BH5" s="13" t="s">
        <v>110</v>
      </c>
      <c r="BI5" s="13" t="s">
        <v>111</v>
      </c>
      <c r="BJ5" s="13" t="s">
        <v>112</v>
      </c>
      <c r="BK5" s="13" t="s">
        <v>113</v>
      </c>
      <c r="BL5" s="13" t="s">
        <v>114</v>
      </c>
      <c r="BM5" s="49" t="s">
        <v>108</v>
      </c>
      <c r="BN5" s="6" t="s">
        <v>109</v>
      </c>
      <c r="BO5" s="6" t="s">
        <v>110</v>
      </c>
      <c r="BP5" s="6" t="s">
        <v>111</v>
      </c>
      <c r="BQ5" s="6" t="s">
        <v>112</v>
      </c>
      <c r="BR5" s="6" t="s">
        <v>113</v>
      </c>
      <c r="BS5" s="2" t="s">
        <v>114</v>
      </c>
      <c r="BT5" s="6" t="s">
        <v>108</v>
      </c>
      <c r="BU5" s="6" t="s">
        <v>109</v>
      </c>
      <c r="BV5" s="6" t="s">
        <v>110</v>
      </c>
      <c r="BW5" s="6" t="s">
        <v>111</v>
      </c>
      <c r="BX5" s="6" t="s">
        <v>112</v>
      </c>
      <c r="BY5" s="6" t="s">
        <v>113</v>
      </c>
      <c r="BZ5" s="6" t="s">
        <v>114</v>
      </c>
      <c r="CA5" s="51" t="s">
        <v>108</v>
      </c>
      <c r="CB5" s="6" t="s">
        <v>109</v>
      </c>
      <c r="CC5" s="6" t="s">
        <v>110</v>
      </c>
      <c r="CD5" s="6" t="s">
        <v>111</v>
      </c>
      <c r="CE5" s="6" t="s">
        <v>112</v>
      </c>
      <c r="CF5" s="6" t="s">
        <v>113</v>
      </c>
      <c r="CG5" s="2" t="s">
        <v>114</v>
      </c>
      <c r="CH5" s="6" t="s">
        <v>108</v>
      </c>
      <c r="CI5" s="6" t="s">
        <v>109</v>
      </c>
      <c r="CJ5" s="6" t="s">
        <v>110</v>
      </c>
      <c r="CK5" s="6" t="s">
        <v>111</v>
      </c>
      <c r="CL5" s="6" t="s">
        <v>112</v>
      </c>
      <c r="CM5" s="6" t="s">
        <v>113</v>
      </c>
      <c r="CN5" s="6" t="s">
        <v>114</v>
      </c>
      <c r="CO5" s="51" t="s">
        <v>108</v>
      </c>
      <c r="CP5" s="6" t="s">
        <v>109</v>
      </c>
      <c r="CQ5" s="6" t="s">
        <v>110</v>
      </c>
      <c r="CR5" s="6" t="s">
        <v>111</v>
      </c>
      <c r="CS5" s="6" t="s">
        <v>112</v>
      </c>
      <c r="CT5" s="6" t="s">
        <v>113</v>
      </c>
      <c r="CU5" s="2" t="s">
        <v>114</v>
      </c>
      <c r="CV5" s="6" t="s">
        <v>108</v>
      </c>
      <c r="CW5" s="6" t="s">
        <v>109</v>
      </c>
      <c r="CX5" s="6" t="s">
        <v>110</v>
      </c>
      <c r="CY5" s="6" t="s">
        <v>111</v>
      </c>
      <c r="CZ5" s="6" t="s">
        <v>112</v>
      </c>
      <c r="DA5" s="6" t="s">
        <v>113</v>
      </c>
      <c r="DB5" s="6" t="s">
        <v>114</v>
      </c>
      <c r="DC5" s="51" t="s">
        <v>108</v>
      </c>
      <c r="DD5" s="6" t="s">
        <v>109</v>
      </c>
      <c r="DE5" s="6" t="s">
        <v>110</v>
      </c>
      <c r="DF5" s="6" t="s">
        <v>111</v>
      </c>
      <c r="DG5" s="6" t="s">
        <v>112</v>
      </c>
      <c r="DH5" s="6" t="s">
        <v>113</v>
      </c>
      <c r="DI5" s="2" t="s">
        <v>114</v>
      </c>
      <c r="DJ5" s="6" t="s">
        <v>108</v>
      </c>
      <c r="DK5" s="6" t="s">
        <v>109</v>
      </c>
      <c r="DL5" s="6" t="s">
        <v>110</v>
      </c>
      <c r="DM5" s="6" t="s">
        <v>111</v>
      </c>
      <c r="DN5" s="6" t="s">
        <v>112</v>
      </c>
      <c r="DO5" s="6" t="s">
        <v>113</v>
      </c>
      <c r="DP5" s="6" t="s">
        <v>114</v>
      </c>
      <c r="DQ5" s="51" t="s">
        <v>108</v>
      </c>
      <c r="DR5" s="6" t="s">
        <v>109</v>
      </c>
      <c r="DS5" s="6" t="s">
        <v>110</v>
      </c>
      <c r="DT5" s="6" t="s">
        <v>111</v>
      </c>
      <c r="DU5" s="6" t="s">
        <v>112</v>
      </c>
      <c r="DV5" s="6" t="s">
        <v>113</v>
      </c>
      <c r="DW5" s="2" t="s">
        <v>114</v>
      </c>
      <c r="DX5" s="6" t="s">
        <v>108</v>
      </c>
      <c r="DY5" s="6" t="s">
        <v>109</v>
      </c>
      <c r="DZ5" s="6" t="s">
        <v>110</v>
      </c>
      <c r="EA5" s="6" t="s">
        <v>111</v>
      </c>
      <c r="EB5" s="6" t="s">
        <v>112</v>
      </c>
      <c r="EC5" s="6" t="s">
        <v>113</v>
      </c>
      <c r="ED5" s="6" t="s">
        <v>114</v>
      </c>
      <c r="EE5" s="51" t="s">
        <v>108</v>
      </c>
      <c r="EF5" s="6" t="s">
        <v>109</v>
      </c>
      <c r="EG5" s="6" t="s">
        <v>110</v>
      </c>
      <c r="EH5" s="6" t="s">
        <v>111</v>
      </c>
      <c r="EI5" s="6" t="s">
        <v>112</v>
      </c>
      <c r="EJ5" s="6" t="s">
        <v>113</v>
      </c>
      <c r="EK5" s="2" t="s">
        <v>114</v>
      </c>
      <c r="EL5" s="6" t="s">
        <v>108</v>
      </c>
      <c r="EM5" s="6" t="s">
        <v>109</v>
      </c>
      <c r="EN5" s="6" t="s">
        <v>110</v>
      </c>
      <c r="EO5" s="6" t="s">
        <v>111</v>
      </c>
      <c r="EP5" s="6" t="s">
        <v>112</v>
      </c>
      <c r="EQ5" s="6" t="s">
        <v>113</v>
      </c>
      <c r="ER5" s="6" t="s">
        <v>114</v>
      </c>
      <c r="ES5" s="51" t="s">
        <v>108</v>
      </c>
      <c r="ET5" s="6" t="s">
        <v>109</v>
      </c>
      <c r="EU5" s="6" t="s">
        <v>110</v>
      </c>
      <c r="EV5" s="6" t="s">
        <v>111</v>
      </c>
      <c r="EW5" s="6" t="s">
        <v>112</v>
      </c>
      <c r="EX5" s="6" t="s">
        <v>113</v>
      </c>
      <c r="EY5" s="2" t="s">
        <v>114</v>
      </c>
      <c r="EZ5" s="6" t="s">
        <v>108</v>
      </c>
      <c r="FA5" s="6" t="s">
        <v>109</v>
      </c>
      <c r="FB5" s="6" t="s">
        <v>110</v>
      </c>
      <c r="FC5" s="6" t="s">
        <v>111</v>
      </c>
      <c r="FD5" s="6" t="s">
        <v>112</v>
      </c>
      <c r="FE5" s="6" t="s">
        <v>113</v>
      </c>
      <c r="FF5" s="6" t="s">
        <v>114</v>
      </c>
      <c r="FG5" s="51" t="s">
        <v>108</v>
      </c>
      <c r="FH5" s="6" t="s">
        <v>109</v>
      </c>
      <c r="FI5" s="6" t="s">
        <v>110</v>
      </c>
      <c r="FJ5" s="6" t="s">
        <v>111</v>
      </c>
      <c r="FK5" s="6" t="s">
        <v>112</v>
      </c>
      <c r="FL5" s="6" t="s">
        <v>113</v>
      </c>
      <c r="FM5" s="2" t="s">
        <v>114</v>
      </c>
      <c r="FN5" s="6" t="s">
        <v>108</v>
      </c>
      <c r="FO5" s="6" t="s">
        <v>109</v>
      </c>
      <c r="FP5" s="6" t="s">
        <v>110</v>
      </c>
      <c r="FQ5" s="6" t="s">
        <v>111</v>
      </c>
      <c r="FR5" s="6" t="s">
        <v>112</v>
      </c>
      <c r="FS5" s="6" t="s">
        <v>113</v>
      </c>
      <c r="FT5" s="6" t="s">
        <v>114</v>
      </c>
      <c r="FU5" s="51" t="s">
        <v>108</v>
      </c>
      <c r="FV5" s="6" t="s">
        <v>109</v>
      </c>
      <c r="FW5" s="6" t="s">
        <v>110</v>
      </c>
      <c r="FX5" s="6" t="s">
        <v>111</v>
      </c>
      <c r="FY5" s="6" t="s">
        <v>112</v>
      </c>
      <c r="FZ5" s="6" t="s">
        <v>113</v>
      </c>
      <c r="GA5" s="2" t="s">
        <v>114</v>
      </c>
      <c r="GB5" s="6" t="s">
        <v>108</v>
      </c>
      <c r="GC5" s="6" t="s">
        <v>109</v>
      </c>
      <c r="GD5" s="6" t="s">
        <v>110</v>
      </c>
      <c r="GE5" s="6" t="s">
        <v>111</v>
      </c>
      <c r="GF5" s="6" t="s">
        <v>112</v>
      </c>
      <c r="GG5" s="6" t="s">
        <v>113</v>
      </c>
      <c r="GH5" s="6" t="s">
        <v>114</v>
      </c>
      <c r="GI5" s="51" t="s">
        <v>108</v>
      </c>
      <c r="GJ5" s="6" t="s">
        <v>109</v>
      </c>
      <c r="GK5" s="6" t="s">
        <v>110</v>
      </c>
      <c r="GL5" s="6" t="s">
        <v>111</v>
      </c>
      <c r="GM5" s="6" t="s">
        <v>112</v>
      </c>
      <c r="GN5" s="6" t="s">
        <v>113</v>
      </c>
      <c r="GO5" s="2" t="s">
        <v>114</v>
      </c>
      <c r="GP5" s="6" t="s">
        <v>108</v>
      </c>
      <c r="GQ5" s="6" t="s">
        <v>109</v>
      </c>
      <c r="GR5" s="6" t="s">
        <v>110</v>
      </c>
      <c r="GS5" s="6" t="s">
        <v>111</v>
      </c>
      <c r="GT5" s="6" t="s">
        <v>112</v>
      </c>
      <c r="GU5" s="6" t="s">
        <v>113</v>
      </c>
      <c r="GV5" s="53" t="s">
        <v>114</v>
      </c>
      <c r="GW5" s="51" t="s">
        <v>108</v>
      </c>
      <c r="GX5" s="6" t="s">
        <v>109</v>
      </c>
      <c r="GY5" s="6" t="s">
        <v>110</v>
      </c>
      <c r="GZ5" s="6" t="s">
        <v>111</v>
      </c>
      <c r="HA5" s="6" t="s">
        <v>112</v>
      </c>
      <c r="HB5" s="6" t="s">
        <v>113</v>
      </c>
      <c r="HC5" s="2" t="s">
        <v>114</v>
      </c>
      <c r="HD5" s="6" t="s">
        <v>108</v>
      </c>
      <c r="HE5" s="6" t="s">
        <v>109</v>
      </c>
      <c r="HF5" s="6" t="s">
        <v>110</v>
      </c>
      <c r="HG5" s="6" t="s">
        <v>111</v>
      </c>
      <c r="HH5" s="6" t="s">
        <v>112</v>
      </c>
      <c r="HI5" s="6" t="s">
        <v>113</v>
      </c>
      <c r="HJ5" s="6" t="s">
        <v>114</v>
      </c>
      <c r="HK5" s="51" t="s">
        <v>108</v>
      </c>
      <c r="HL5" s="6" t="s">
        <v>109</v>
      </c>
      <c r="HM5" s="6" t="s">
        <v>110</v>
      </c>
      <c r="HN5" s="6" t="s">
        <v>111</v>
      </c>
      <c r="HO5" s="6" t="s">
        <v>112</v>
      </c>
      <c r="HP5" s="6" t="s">
        <v>113</v>
      </c>
      <c r="HQ5" s="2" t="s">
        <v>114</v>
      </c>
      <c r="HR5" s="6" t="s">
        <v>108</v>
      </c>
      <c r="HS5" s="6" t="s">
        <v>109</v>
      </c>
      <c r="HT5" s="6" t="s">
        <v>110</v>
      </c>
      <c r="HU5" s="6" t="s">
        <v>111</v>
      </c>
      <c r="HV5" s="6" t="s">
        <v>112</v>
      </c>
      <c r="HW5" s="6" t="s">
        <v>113</v>
      </c>
      <c r="HX5" s="6" t="s">
        <v>114</v>
      </c>
      <c r="HY5" s="51" t="s">
        <v>108</v>
      </c>
      <c r="HZ5" s="6" t="s">
        <v>109</v>
      </c>
      <c r="IA5" s="6" t="s">
        <v>110</v>
      </c>
      <c r="IB5" s="6" t="s">
        <v>111</v>
      </c>
      <c r="IC5" s="6" t="s">
        <v>112</v>
      </c>
      <c r="ID5" s="6" t="s">
        <v>113</v>
      </c>
      <c r="IE5" s="2" t="s">
        <v>114</v>
      </c>
      <c r="IF5" s="6" t="s">
        <v>108</v>
      </c>
      <c r="IG5" s="6" t="s">
        <v>109</v>
      </c>
      <c r="IH5" s="6" t="s">
        <v>110</v>
      </c>
      <c r="II5" s="6" t="s">
        <v>111</v>
      </c>
      <c r="IJ5" s="6" t="s">
        <v>112</v>
      </c>
      <c r="IK5" s="6" t="s">
        <v>113</v>
      </c>
      <c r="IL5" s="6" t="s">
        <v>114</v>
      </c>
      <c r="IM5" s="51" t="s">
        <v>108</v>
      </c>
      <c r="IN5" s="6" t="s">
        <v>109</v>
      </c>
      <c r="IO5" s="6" t="s">
        <v>110</v>
      </c>
      <c r="IP5" s="6" t="s">
        <v>111</v>
      </c>
      <c r="IQ5" s="6" t="s">
        <v>112</v>
      </c>
      <c r="IR5" s="6" t="s">
        <v>113</v>
      </c>
      <c r="IS5" s="2" t="s">
        <v>114</v>
      </c>
      <c r="IT5" s="6" t="s">
        <v>108</v>
      </c>
      <c r="IU5" s="6" t="s">
        <v>109</v>
      </c>
      <c r="IV5" s="6" t="s">
        <v>110</v>
      </c>
      <c r="IW5" s="6" t="s">
        <v>111</v>
      </c>
      <c r="IX5" s="6" t="s">
        <v>112</v>
      </c>
      <c r="IY5" s="6" t="s">
        <v>113</v>
      </c>
      <c r="IZ5" s="6" t="s">
        <v>114</v>
      </c>
      <c r="JA5" s="51" t="s">
        <v>108</v>
      </c>
      <c r="JB5" s="6" t="s">
        <v>109</v>
      </c>
      <c r="JC5" s="6" t="s">
        <v>110</v>
      </c>
      <c r="JD5" s="6" t="s">
        <v>111</v>
      </c>
      <c r="JE5" s="6" t="s">
        <v>112</v>
      </c>
      <c r="JF5" s="6" t="s">
        <v>113</v>
      </c>
      <c r="JG5" s="2" t="s">
        <v>114</v>
      </c>
      <c r="JH5" s="6" t="s">
        <v>108</v>
      </c>
      <c r="JI5" s="6" t="s">
        <v>109</v>
      </c>
      <c r="JJ5" s="6" t="s">
        <v>110</v>
      </c>
      <c r="JK5" s="6" t="s">
        <v>111</v>
      </c>
      <c r="JL5" s="6" t="s">
        <v>112</v>
      </c>
      <c r="JM5" s="6" t="s">
        <v>113</v>
      </c>
      <c r="JN5" s="6" t="s">
        <v>114</v>
      </c>
      <c r="JO5" s="54" t="s">
        <v>108</v>
      </c>
      <c r="JP5" s="55" t="s">
        <v>109</v>
      </c>
      <c r="JQ5" s="55" t="s">
        <v>110</v>
      </c>
      <c r="JR5" s="55" t="s">
        <v>111</v>
      </c>
      <c r="JS5" s="55" t="s">
        <v>112</v>
      </c>
      <c r="JT5" s="55" t="s">
        <v>113</v>
      </c>
      <c r="JU5" s="56" t="s">
        <v>114</v>
      </c>
      <c r="JV5" s="54" t="s">
        <v>108</v>
      </c>
      <c r="JW5" s="55" t="s">
        <v>109</v>
      </c>
      <c r="JX5" s="55" t="s">
        <v>110</v>
      </c>
      <c r="JY5" s="55" t="s">
        <v>111</v>
      </c>
      <c r="JZ5" s="55" t="s">
        <v>112</v>
      </c>
      <c r="KA5" s="55" t="s">
        <v>113</v>
      </c>
      <c r="KB5" s="56" t="s">
        <v>114</v>
      </c>
      <c r="KC5" s="54" t="s">
        <v>108</v>
      </c>
      <c r="KD5" s="55" t="s">
        <v>109</v>
      </c>
      <c r="KE5" s="55" t="s">
        <v>110</v>
      </c>
      <c r="KF5" s="55" t="s">
        <v>111</v>
      </c>
      <c r="KG5" s="55" t="s">
        <v>112</v>
      </c>
      <c r="KH5" s="55" t="s">
        <v>113</v>
      </c>
      <c r="KI5" s="56" t="s">
        <v>114</v>
      </c>
      <c r="KJ5" s="54" t="s">
        <v>108</v>
      </c>
      <c r="KK5" s="55" t="s">
        <v>109</v>
      </c>
      <c r="KL5" s="55" t="s">
        <v>110</v>
      </c>
      <c r="KM5" s="55" t="s">
        <v>111</v>
      </c>
      <c r="KN5" s="55" t="s">
        <v>112</v>
      </c>
      <c r="KO5" s="55" t="s">
        <v>113</v>
      </c>
      <c r="KP5" s="56" t="s">
        <v>114</v>
      </c>
      <c r="KQ5" s="54" t="s">
        <v>108</v>
      </c>
      <c r="KR5" s="55" t="s">
        <v>109</v>
      </c>
      <c r="KS5" s="55" t="s">
        <v>110</v>
      </c>
      <c r="KT5" s="55" t="s">
        <v>111</v>
      </c>
      <c r="KU5" s="55" t="s">
        <v>112</v>
      </c>
      <c r="KV5" s="55" t="s">
        <v>113</v>
      </c>
      <c r="KW5" s="55" t="s">
        <v>114</v>
      </c>
      <c r="KX5" s="54" t="s">
        <v>108</v>
      </c>
      <c r="KY5" s="55" t="s">
        <v>109</v>
      </c>
      <c r="KZ5" s="55" t="s">
        <v>110</v>
      </c>
      <c r="LA5" s="55" t="s">
        <v>111</v>
      </c>
      <c r="LB5" s="55" t="s">
        <v>112</v>
      </c>
      <c r="LC5" s="55" t="s">
        <v>113</v>
      </c>
      <c r="LD5" s="56" t="s">
        <v>114</v>
      </c>
      <c r="LE5" s="54" t="s">
        <v>108</v>
      </c>
      <c r="LF5" s="55" t="s">
        <v>109</v>
      </c>
      <c r="LG5" s="55" t="s">
        <v>110</v>
      </c>
      <c r="LH5" s="55" t="s">
        <v>111</v>
      </c>
      <c r="LI5" s="55" t="s">
        <v>112</v>
      </c>
      <c r="LJ5" s="55" t="s">
        <v>113</v>
      </c>
      <c r="LK5" s="56" t="s">
        <v>114</v>
      </c>
      <c r="LL5" s="54" t="s">
        <v>108</v>
      </c>
      <c r="LM5" s="55" t="s">
        <v>109</v>
      </c>
      <c r="LN5" s="55" t="s">
        <v>110</v>
      </c>
      <c r="LO5" s="55" t="s">
        <v>111</v>
      </c>
      <c r="LP5" s="55" t="s">
        <v>112</v>
      </c>
      <c r="LQ5" s="55" t="s">
        <v>113</v>
      </c>
      <c r="LR5" s="56" t="s">
        <v>114</v>
      </c>
      <c r="LS5" s="51" t="s">
        <v>108</v>
      </c>
      <c r="LT5" s="6" t="s">
        <v>109</v>
      </c>
      <c r="LU5" s="6" t="s">
        <v>110</v>
      </c>
      <c r="LV5" s="6" t="s">
        <v>111</v>
      </c>
      <c r="LW5" s="6" t="s">
        <v>112</v>
      </c>
      <c r="LX5" s="6" t="s">
        <v>113</v>
      </c>
      <c r="LY5" s="2" t="s">
        <v>114</v>
      </c>
      <c r="LZ5" s="6" t="s">
        <v>108</v>
      </c>
      <c r="MA5" s="6" t="s">
        <v>109</v>
      </c>
      <c r="MB5" s="6" t="s">
        <v>110</v>
      </c>
      <c r="MC5" s="6" t="s">
        <v>111</v>
      </c>
      <c r="MD5" s="6" t="s">
        <v>112</v>
      </c>
      <c r="ME5" s="6" t="s">
        <v>113</v>
      </c>
      <c r="MF5" s="6" t="s">
        <v>114</v>
      </c>
      <c r="MG5" s="51" t="s">
        <v>108</v>
      </c>
      <c r="MH5" s="6" t="s">
        <v>109</v>
      </c>
      <c r="MI5" s="6" t="s">
        <v>110</v>
      </c>
      <c r="MJ5" s="6" t="s">
        <v>111</v>
      </c>
      <c r="MK5" s="6" t="s">
        <v>112</v>
      </c>
      <c r="ML5" s="6" t="s">
        <v>113</v>
      </c>
      <c r="MM5" s="2" t="s">
        <v>114</v>
      </c>
      <c r="MN5" s="6" t="s">
        <v>108</v>
      </c>
      <c r="MO5" s="6" t="s">
        <v>109</v>
      </c>
      <c r="MP5" s="6" t="s">
        <v>110</v>
      </c>
      <c r="MQ5" s="6" t="s">
        <v>111</v>
      </c>
      <c r="MR5" s="6" t="s">
        <v>112</v>
      </c>
      <c r="MS5" s="6" t="s">
        <v>113</v>
      </c>
      <c r="MT5" s="2" t="s">
        <v>114</v>
      </c>
      <c r="MU5" s="6" t="s">
        <v>108</v>
      </c>
      <c r="MV5" s="6" t="s">
        <v>109</v>
      </c>
      <c r="MW5" s="6" t="s">
        <v>110</v>
      </c>
      <c r="MX5" s="6" t="s">
        <v>111</v>
      </c>
      <c r="MY5" s="6" t="s">
        <v>112</v>
      </c>
      <c r="MZ5" s="6" t="s">
        <v>113</v>
      </c>
      <c r="NA5" s="2" t="s">
        <v>114</v>
      </c>
      <c r="NB5" s="6" t="s">
        <v>108</v>
      </c>
      <c r="NC5" s="58"/>
      <c r="ND5" s="58"/>
      <c r="NE5" s="58"/>
      <c r="NF5" s="58"/>
      <c r="NG5" s="58"/>
      <c r="NH5" s="58"/>
      <c r="NI5" s="58"/>
      <c r="NJ5" s="58"/>
      <c r="NK5" s="58"/>
      <c r="NL5" s="58"/>
      <c r="NM5" s="58"/>
      <c r="NN5" s="58"/>
      <c r="NO5" s="58"/>
      <c r="NP5" s="58"/>
      <c r="NQ5" s="58"/>
      <c r="NR5" s="58"/>
      <c r="NS5" s="58"/>
      <c r="NT5" s="58"/>
      <c r="NU5" s="58"/>
      <c r="NV5" s="58"/>
      <c r="NW5" s="58"/>
      <c r="NX5" s="58"/>
      <c r="NY5" s="58"/>
      <c r="NZ5" s="58"/>
      <c r="OA5" s="58"/>
      <c r="OB5" s="58"/>
      <c r="OC5" s="58"/>
      <c r="OD5" s="58"/>
      <c r="OE5" s="58"/>
      <c r="OF5" s="58"/>
      <c r="OG5" s="58"/>
      <c r="OH5" s="58"/>
      <c r="OI5" s="58"/>
      <c r="OJ5" s="58"/>
      <c r="OK5" s="58"/>
      <c r="OL5" s="58"/>
      <c r="OM5" s="58"/>
      <c r="ON5" s="58"/>
      <c r="OO5" s="58"/>
      <c r="OP5" s="58"/>
      <c r="OQ5" s="58"/>
      <c r="OR5" s="58"/>
      <c r="OS5" s="58"/>
      <c r="OT5" s="58"/>
      <c r="OU5" s="58"/>
      <c r="OV5" s="58"/>
      <c r="OW5" s="58"/>
      <c r="OX5" s="58"/>
      <c r="OY5" s="58"/>
      <c r="OZ5" s="58"/>
      <c r="PA5" s="58"/>
      <c r="PB5" s="58"/>
      <c r="PC5" s="58"/>
      <c r="PD5" s="58"/>
      <c r="PE5" s="58"/>
      <c r="PF5" s="58"/>
      <c r="PG5" s="58"/>
      <c r="PH5" s="58"/>
      <c r="PI5" s="58"/>
      <c r="PJ5" s="58"/>
      <c r="PK5" s="58"/>
      <c r="PL5" s="58"/>
      <c r="PM5" s="58"/>
      <c r="PN5" s="58"/>
      <c r="PO5" s="58"/>
      <c r="PP5" s="58"/>
      <c r="PQ5" s="58"/>
      <c r="PR5" s="58"/>
      <c r="PS5" s="58"/>
      <c r="PT5" s="58"/>
      <c r="PU5" s="58"/>
      <c r="PV5" s="58"/>
      <c r="PW5" s="58"/>
      <c r="PX5" s="58"/>
      <c r="PY5" s="58"/>
      <c r="PZ5" s="58"/>
      <c r="QA5" s="58"/>
      <c r="QB5" s="58"/>
      <c r="QC5" s="58"/>
      <c r="QD5" s="58"/>
      <c r="QE5" s="58"/>
      <c r="QF5" s="58"/>
      <c r="QG5" s="58"/>
      <c r="QH5" s="58"/>
      <c r="QI5" s="58"/>
      <c r="QJ5" s="58"/>
      <c r="QK5" s="58"/>
      <c r="QL5" s="58"/>
      <c r="QM5" s="58"/>
      <c r="QN5" s="58"/>
      <c r="QO5" s="58"/>
      <c r="QP5" s="58"/>
      <c r="QQ5" s="58"/>
      <c r="QR5" s="58"/>
      <c r="QS5" s="58"/>
      <c r="QT5" s="58"/>
      <c r="QU5" s="58"/>
      <c r="QV5" s="58"/>
      <c r="QW5" s="58"/>
      <c r="QX5" s="58"/>
      <c r="QY5" s="58"/>
      <c r="QZ5" s="58"/>
      <c r="RA5" s="58"/>
      <c r="RB5" s="58"/>
      <c r="RC5" s="58"/>
      <c r="RD5" s="58"/>
      <c r="RE5" s="58"/>
      <c r="RF5" s="58"/>
      <c r="RG5" s="58"/>
      <c r="RH5" s="58"/>
      <c r="RI5" s="58"/>
      <c r="RJ5" s="58"/>
      <c r="RK5" s="58"/>
      <c r="RL5" s="58"/>
      <c r="RM5" s="58"/>
      <c r="RN5" s="58"/>
      <c r="RO5" s="58"/>
      <c r="RP5" s="58"/>
      <c r="RQ5" s="58"/>
      <c r="RR5" s="58"/>
      <c r="RS5" s="58"/>
      <c r="RT5" s="58"/>
      <c r="RU5" s="58"/>
      <c r="RV5" s="58"/>
      <c r="RW5" s="58"/>
      <c r="RX5" s="58"/>
      <c r="RY5" s="58"/>
      <c r="RZ5" s="58"/>
      <c r="SA5" s="58"/>
      <c r="SB5" s="58"/>
      <c r="SC5" s="58"/>
      <c r="SD5" s="58"/>
      <c r="SE5" s="58"/>
      <c r="SF5" s="58"/>
      <c r="SG5" s="58"/>
      <c r="SH5" s="58"/>
      <c r="SI5" s="58"/>
      <c r="SJ5" s="58"/>
      <c r="SK5" s="58"/>
      <c r="SL5" s="58"/>
      <c r="SM5" s="58"/>
      <c r="SN5" s="58"/>
      <c r="SO5" s="58"/>
      <c r="SP5" s="58"/>
      <c r="SQ5" s="58"/>
      <c r="SR5" s="58"/>
      <c r="SS5" s="58"/>
      <c r="ST5" s="58"/>
      <c r="SU5" s="58"/>
      <c r="SV5" s="58"/>
      <c r="SW5" s="58"/>
      <c r="SX5" s="58"/>
      <c r="SY5" s="58"/>
      <c r="SZ5" s="58"/>
      <c r="TA5" s="58"/>
      <c r="TB5" s="58"/>
      <c r="TC5" s="58"/>
      <c r="TD5" s="58"/>
      <c r="TE5" s="58"/>
      <c r="TF5" s="58"/>
      <c r="TG5" s="58"/>
      <c r="TH5" s="58"/>
      <c r="TI5" s="58"/>
      <c r="TJ5" s="58"/>
      <c r="TK5" s="58"/>
      <c r="TL5" s="58"/>
      <c r="TM5" s="58"/>
      <c r="TN5" s="58"/>
      <c r="TO5" s="58"/>
      <c r="TP5" s="58"/>
      <c r="TQ5" s="58"/>
      <c r="TR5" s="58"/>
      <c r="TS5" s="58"/>
      <c r="TT5" s="58"/>
      <c r="TU5" s="58"/>
      <c r="TV5" s="58"/>
      <c r="TW5" s="58"/>
      <c r="TX5" s="58"/>
      <c r="TY5" s="58"/>
      <c r="TZ5" s="58"/>
      <c r="UA5" s="58"/>
      <c r="UB5" s="58"/>
      <c r="UC5" s="58"/>
      <c r="UD5" s="58"/>
      <c r="UE5" s="58"/>
      <c r="UF5" s="58"/>
      <c r="UG5" s="58"/>
      <c r="UH5" s="58"/>
      <c r="UI5" s="58"/>
      <c r="UJ5" s="58"/>
      <c r="UK5" s="58"/>
      <c r="UL5" s="58"/>
      <c r="UM5" s="58"/>
      <c r="UN5" s="58"/>
      <c r="UO5" s="58"/>
      <c r="UP5" s="58"/>
      <c r="UQ5" s="58"/>
      <c r="UR5" s="58"/>
      <c r="US5" s="58"/>
      <c r="UT5" s="58"/>
      <c r="UU5" s="58"/>
      <c r="UV5" s="58"/>
      <c r="UW5" s="58"/>
      <c r="UX5" s="58"/>
      <c r="UY5" s="58"/>
      <c r="UZ5" s="58"/>
      <c r="VA5" s="58"/>
      <c r="VB5" s="58"/>
      <c r="VC5" s="58"/>
      <c r="VD5" s="58"/>
      <c r="VE5" s="58"/>
      <c r="VF5" s="58"/>
      <c r="VG5" s="58"/>
      <c r="VH5" s="58"/>
      <c r="VI5" s="58"/>
      <c r="VJ5" s="58"/>
      <c r="VK5" s="58"/>
      <c r="VL5" s="58"/>
      <c r="VM5" s="58"/>
      <c r="VN5" s="58"/>
      <c r="VO5" s="58"/>
      <c r="VP5" s="58"/>
      <c r="VQ5" s="58"/>
      <c r="VR5" s="58"/>
      <c r="VS5" s="58"/>
      <c r="VT5" s="58"/>
      <c r="VU5" s="58"/>
      <c r="VV5" s="58"/>
      <c r="VW5" s="58"/>
      <c r="VX5" s="58"/>
      <c r="VY5" s="58"/>
      <c r="VZ5" s="58"/>
      <c r="WA5" s="58"/>
      <c r="WB5" s="58"/>
      <c r="WC5" s="58"/>
      <c r="WD5" s="58"/>
      <c r="WE5" s="58"/>
      <c r="WF5" s="58"/>
      <c r="WG5" s="58"/>
      <c r="WH5" s="58"/>
      <c r="WI5" s="58"/>
      <c r="WJ5" s="58"/>
      <c r="WK5" s="58"/>
      <c r="WL5" s="58"/>
      <c r="WM5" s="58"/>
      <c r="WN5" s="58"/>
      <c r="WO5" s="58"/>
      <c r="WP5" s="58"/>
      <c r="WQ5" s="58"/>
      <c r="WR5" s="58"/>
      <c r="WS5" s="58"/>
      <c r="WT5" s="58"/>
      <c r="WU5" s="58"/>
      <c r="WV5" s="58"/>
      <c r="WW5" s="58"/>
      <c r="WX5" s="58"/>
      <c r="WY5" s="58"/>
      <c r="WZ5" s="58"/>
      <c r="XA5" s="58"/>
      <c r="XB5" s="58"/>
      <c r="XC5" s="58"/>
      <c r="XD5" s="58"/>
      <c r="XE5" s="58"/>
      <c r="XF5" s="58"/>
      <c r="XG5" s="58"/>
      <c r="XH5" s="58"/>
      <c r="XI5" s="58"/>
      <c r="XJ5" s="58"/>
      <c r="XK5" s="58"/>
      <c r="XL5" s="58"/>
      <c r="XM5" s="58"/>
      <c r="XN5" s="58"/>
      <c r="XO5" s="58"/>
      <c r="XP5" s="58"/>
      <c r="XQ5" s="58"/>
      <c r="XR5" s="58"/>
      <c r="XS5" s="58"/>
      <c r="XT5" s="58"/>
      <c r="XU5" s="58"/>
      <c r="XV5" s="58"/>
      <c r="XW5" s="58"/>
      <c r="XX5" s="58"/>
      <c r="XY5" s="58"/>
      <c r="XZ5" s="58"/>
      <c r="YA5" s="58"/>
      <c r="YB5" s="58"/>
      <c r="YC5" s="58"/>
      <c r="YD5" s="58"/>
      <c r="YE5" s="58"/>
      <c r="YF5" s="58"/>
      <c r="YG5" s="58"/>
      <c r="YH5" s="58"/>
      <c r="YI5" s="58"/>
      <c r="YJ5" s="58"/>
      <c r="YK5" s="58"/>
      <c r="YL5" s="58"/>
      <c r="YM5" s="58"/>
      <c r="YN5" s="58"/>
      <c r="YO5" s="58"/>
      <c r="YP5" s="58"/>
      <c r="YQ5" s="58"/>
      <c r="YR5" s="58"/>
      <c r="YS5" s="58"/>
      <c r="YT5" s="58"/>
      <c r="YU5" s="58"/>
      <c r="YV5" s="58"/>
      <c r="YW5" s="58"/>
      <c r="YX5" s="58"/>
      <c r="YY5" s="58"/>
      <c r="YZ5" s="58"/>
      <c r="ZA5" s="58"/>
      <c r="ZB5" s="58"/>
      <c r="ZC5" s="58"/>
      <c r="ZD5" s="58"/>
      <c r="ZE5" s="58"/>
    </row>
    <row r="6" ht="18.75" customHeight="1">
      <c r="B6" s="13">
        <v>1.0</v>
      </c>
      <c r="C6" s="13">
        <v>2.0</v>
      </c>
      <c r="D6" s="13">
        <v>3.0</v>
      </c>
      <c r="E6" s="13">
        <v>4.0</v>
      </c>
      <c r="F6" s="13">
        <v>5.0</v>
      </c>
      <c r="G6" s="13">
        <v>6.0</v>
      </c>
      <c r="H6" s="50">
        <v>7.0</v>
      </c>
      <c r="I6" s="13">
        <v>8.0</v>
      </c>
      <c r="J6" s="13">
        <v>9.0</v>
      </c>
      <c r="K6" s="13">
        <v>10.0</v>
      </c>
      <c r="L6" s="13">
        <v>11.0</v>
      </c>
      <c r="M6" s="13">
        <v>12.0</v>
      </c>
      <c r="N6" s="13">
        <v>13.0</v>
      </c>
      <c r="O6" s="50">
        <v>14.0</v>
      </c>
      <c r="P6" s="13">
        <v>15.0</v>
      </c>
      <c r="Q6" s="13">
        <v>16.0</v>
      </c>
      <c r="R6" s="13">
        <v>17.0</v>
      </c>
      <c r="S6" s="13">
        <v>18.0</v>
      </c>
      <c r="T6" s="13">
        <v>19.0</v>
      </c>
      <c r="U6" s="13">
        <v>20.0</v>
      </c>
      <c r="V6" s="50">
        <v>21.0</v>
      </c>
      <c r="W6" s="13">
        <v>22.0</v>
      </c>
      <c r="X6" s="13">
        <v>23.0</v>
      </c>
      <c r="Y6" s="13">
        <v>24.0</v>
      </c>
      <c r="Z6" s="13">
        <v>25.0</v>
      </c>
      <c r="AA6" s="13">
        <v>26.0</v>
      </c>
      <c r="AB6" s="13">
        <v>27.0</v>
      </c>
      <c r="AC6" s="50">
        <v>28.0</v>
      </c>
      <c r="AD6" s="13">
        <v>29.0</v>
      </c>
      <c r="AE6" s="13">
        <v>30.0</v>
      </c>
      <c r="AF6" s="13">
        <v>31.0</v>
      </c>
      <c r="AG6" s="13">
        <v>1.0</v>
      </c>
      <c r="AH6" s="13">
        <v>2.0</v>
      </c>
      <c r="AI6" s="13">
        <v>3.0</v>
      </c>
      <c r="AJ6" s="50">
        <v>4.0</v>
      </c>
      <c r="AK6" s="13">
        <v>5.0</v>
      </c>
      <c r="AL6" s="13">
        <v>6.0</v>
      </c>
      <c r="AM6" s="13">
        <v>7.0</v>
      </c>
      <c r="AN6" s="13">
        <v>8.0</v>
      </c>
      <c r="AO6" s="13">
        <v>9.0</v>
      </c>
      <c r="AP6" s="13">
        <v>10.0</v>
      </c>
      <c r="AQ6" s="50">
        <v>11.0</v>
      </c>
      <c r="AR6" s="13">
        <v>12.0</v>
      </c>
      <c r="AS6" s="13">
        <v>13.0</v>
      </c>
      <c r="AT6" s="13">
        <v>14.0</v>
      </c>
      <c r="AU6" s="13">
        <v>15.0</v>
      </c>
      <c r="AV6" s="13">
        <v>16.0</v>
      </c>
      <c r="AW6" s="13">
        <v>17.0</v>
      </c>
      <c r="AX6" s="50">
        <v>18.0</v>
      </c>
      <c r="AY6" s="13">
        <v>19.0</v>
      </c>
      <c r="AZ6" s="13">
        <v>20.0</v>
      </c>
      <c r="BA6" s="13">
        <v>21.0</v>
      </c>
      <c r="BB6" s="13">
        <v>22.0</v>
      </c>
      <c r="BC6" s="13">
        <v>23.0</v>
      </c>
      <c r="BD6" s="13">
        <v>24.0</v>
      </c>
      <c r="BE6" s="50">
        <v>25.0</v>
      </c>
      <c r="BF6" s="13">
        <v>26.0</v>
      </c>
      <c r="BG6" s="13">
        <v>27.0</v>
      </c>
      <c r="BH6" s="13">
        <v>28.0</v>
      </c>
      <c r="BI6" s="13">
        <v>1.0</v>
      </c>
      <c r="BJ6" s="13">
        <v>2.0</v>
      </c>
      <c r="BK6" s="13">
        <v>3.0</v>
      </c>
      <c r="BL6" s="50">
        <v>4.0</v>
      </c>
      <c r="BM6" s="13">
        <v>5.0</v>
      </c>
      <c r="BN6" s="13">
        <v>6.0</v>
      </c>
      <c r="BO6" s="13">
        <v>7.0</v>
      </c>
      <c r="BP6" s="13">
        <v>8.0</v>
      </c>
      <c r="BQ6" s="13">
        <v>9.0</v>
      </c>
      <c r="BR6" s="13">
        <v>10.0</v>
      </c>
      <c r="BS6" s="50">
        <v>11.0</v>
      </c>
      <c r="BT6" s="13">
        <v>12.0</v>
      </c>
      <c r="BU6" s="13">
        <v>13.0</v>
      </c>
      <c r="BV6" s="13">
        <v>14.0</v>
      </c>
      <c r="BW6" s="13">
        <v>15.0</v>
      </c>
      <c r="BX6" s="13">
        <v>16.0</v>
      </c>
      <c r="BY6" s="13">
        <v>17.0</v>
      </c>
      <c r="BZ6" s="50">
        <v>18.0</v>
      </c>
      <c r="CA6" s="13">
        <v>19.0</v>
      </c>
      <c r="CB6" s="13">
        <v>20.0</v>
      </c>
      <c r="CC6" s="13">
        <v>21.0</v>
      </c>
      <c r="CD6" s="13">
        <v>22.0</v>
      </c>
      <c r="CE6" s="13">
        <v>23.0</v>
      </c>
      <c r="CF6" s="13">
        <v>24.0</v>
      </c>
      <c r="CG6" s="50">
        <v>25.0</v>
      </c>
      <c r="CH6" s="13">
        <v>26.0</v>
      </c>
      <c r="CI6" s="13">
        <v>27.0</v>
      </c>
      <c r="CJ6" s="13">
        <v>28.0</v>
      </c>
      <c r="CK6" s="13">
        <v>29.0</v>
      </c>
      <c r="CL6" s="13">
        <v>30.0</v>
      </c>
      <c r="CM6" s="13">
        <v>31.0</v>
      </c>
      <c r="CN6" s="6">
        <v>1.0</v>
      </c>
      <c r="CO6" s="51">
        <v>2.0</v>
      </c>
      <c r="CP6" s="6">
        <v>3.0</v>
      </c>
      <c r="CQ6" s="6">
        <v>4.0</v>
      </c>
      <c r="CR6" s="6">
        <v>5.0</v>
      </c>
      <c r="CS6" s="6">
        <v>6.0</v>
      </c>
      <c r="CT6" s="6">
        <v>7.0</v>
      </c>
      <c r="CU6" s="6">
        <v>8.0</v>
      </c>
      <c r="CV6" s="51">
        <v>9.0</v>
      </c>
      <c r="CW6" s="6">
        <v>10.0</v>
      </c>
      <c r="CX6" s="6">
        <v>11.0</v>
      </c>
      <c r="CY6" s="6">
        <v>12.0</v>
      </c>
      <c r="CZ6" s="6">
        <v>13.0</v>
      </c>
      <c r="DA6" s="6">
        <v>14.0</v>
      </c>
      <c r="DB6" s="2">
        <v>15.0</v>
      </c>
      <c r="DC6" s="6">
        <v>16.0</v>
      </c>
      <c r="DD6" s="6">
        <v>17.0</v>
      </c>
      <c r="DE6" s="6">
        <v>18.0</v>
      </c>
      <c r="DF6" s="6">
        <v>19.0</v>
      </c>
      <c r="DG6" s="6">
        <v>20.0</v>
      </c>
      <c r="DH6" s="6">
        <v>21.0</v>
      </c>
      <c r="DI6" s="2">
        <v>22.0</v>
      </c>
      <c r="DJ6" s="6">
        <v>23.0</v>
      </c>
      <c r="DK6" s="6">
        <v>24.0</v>
      </c>
      <c r="DL6" s="6">
        <v>25.0</v>
      </c>
      <c r="DM6" s="6">
        <v>26.0</v>
      </c>
      <c r="DN6" s="6">
        <v>27.0</v>
      </c>
      <c r="DO6" s="6">
        <v>28.0</v>
      </c>
      <c r="DP6" s="6">
        <v>29.0</v>
      </c>
      <c r="DQ6" s="51">
        <v>30.0</v>
      </c>
      <c r="DR6" s="6">
        <v>1.0</v>
      </c>
      <c r="DS6" s="6">
        <v>2.0</v>
      </c>
      <c r="DT6" s="6">
        <v>3.0</v>
      </c>
      <c r="DU6" s="6">
        <v>4.0</v>
      </c>
      <c r="DV6" s="6">
        <v>5.0</v>
      </c>
      <c r="DW6" s="2">
        <v>6.0</v>
      </c>
      <c r="DX6" s="6">
        <v>7.0</v>
      </c>
      <c r="DY6" s="6">
        <v>8.0</v>
      </c>
      <c r="DZ6" s="6">
        <v>9.0</v>
      </c>
      <c r="EA6" s="6">
        <v>10.0</v>
      </c>
      <c r="EB6" s="6">
        <v>11.0</v>
      </c>
      <c r="EC6" s="6">
        <v>12.0</v>
      </c>
      <c r="ED6" s="2">
        <v>13.0</v>
      </c>
      <c r="EE6" s="6">
        <v>14.0</v>
      </c>
      <c r="EF6" s="6">
        <v>15.0</v>
      </c>
      <c r="EG6" s="6">
        <v>16.0</v>
      </c>
      <c r="EH6" s="6">
        <v>17.0</v>
      </c>
      <c r="EI6" s="6">
        <v>18.0</v>
      </c>
      <c r="EJ6" s="6">
        <v>19.0</v>
      </c>
      <c r="EK6" s="2">
        <v>20.0</v>
      </c>
      <c r="EL6" s="6">
        <v>21.0</v>
      </c>
      <c r="EM6" s="6">
        <v>22.0</v>
      </c>
      <c r="EN6" s="6">
        <v>23.0</v>
      </c>
      <c r="EO6" s="6">
        <v>24.0</v>
      </c>
      <c r="EP6" s="6">
        <v>25.0</v>
      </c>
      <c r="EQ6" s="6">
        <v>26.0</v>
      </c>
      <c r="ER6" s="2">
        <v>27.0</v>
      </c>
      <c r="ES6" s="6">
        <v>28.0</v>
      </c>
      <c r="ET6" s="6">
        <v>29.0</v>
      </c>
      <c r="EU6" s="6">
        <v>30.0</v>
      </c>
      <c r="EV6" s="6">
        <v>31.0</v>
      </c>
      <c r="EW6" s="6">
        <v>1.0</v>
      </c>
      <c r="EX6" s="6">
        <v>2.0</v>
      </c>
      <c r="EY6" s="2">
        <v>3.0</v>
      </c>
      <c r="EZ6" s="6">
        <v>4.0</v>
      </c>
      <c r="FA6" s="6">
        <v>5.0</v>
      </c>
      <c r="FB6" s="6">
        <v>6.0</v>
      </c>
      <c r="FC6" s="6">
        <v>7.0</v>
      </c>
      <c r="FD6" s="6">
        <v>8.0</v>
      </c>
      <c r="FE6" s="6">
        <v>9.0</v>
      </c>
      <c r="FF6" s="2">
        <v>10.0</v>
      </c>
      <c r="FG6" s="6">
        <v>11.0</v>
      </c>
      <c r="FH6" s="6">
        <v>12.0</v>
      </c>
      <c r="FI6" s="6">
        <v>13.0</v>
      </c>
      <c r="FJ6" s="6">
        <v>14.0</v>
      </c>
      <c r="FK6" s="6">
        <v>15.0</v>
      </c>
      <c r="FL6" s="6">
        <v>16.0</v>
      </c>
      <c r="FM6" s="2">
        <v>17.0</v>
      </c>
      <c r="FN6" s="6">
        <v>18.0</v>
      </c>
      <c r="FO6" s="6">
        <v>19.0</v>
      </c>
      <c r="FP6" s="6">
        <v>20.0</v>
      </c>
      <c r="FQ6" s="6">
        <v>21.0</v>
      </c>
      <c r="FR6" s="6">
        <v>22.0</v>
      </c>
      <c r="FS6" s="6">
        <v>23.0</v>
      </c>
      <c r="FT6" s="2">
        <v>24.0</v>
      </c>
      <c r="FU6" s="6">
        <v>25.0</v>
      </c>
      <c r="FV6" s="6">
        <v>26.0</v>
      </c>
      <c r="FW6" s="6">
        <v>27.0</v>
      </c>
      <c r="FX6" s="6">
        <v>28.0</v>
      </c>
      <c r="FY6" s="6">
        <v>29.0</v>
      </c>
      <c r="FZ6" s="6">
        <v>30.0</v>
      </c>
      <c r="GA6" s="2">
        <v>1.0</v>
      </c>
      <c r="GB6" s="6">
        <v>2.0</v>
      </c>
      <c r="GC6" s="6">
        <v>3.0</v>
      </c>
      <c r="GD6" s="6">
        <v>4.0</v>
      </c>
      <c r="GE6" s="6">
        <v>5.0</v>
      </c>
      <c r="GF6" s="6">
        <v>6.0</v>
      </c>
      <c r="GG6" s="6">
        <v>7.0</v>
      </c>
      <c r="GH6" s="2">
        <v>8.0</v>
      </c>
      <c r="GI6" s="6">
        <v>9.0</v>
      </c>
      <c r="GJ6" s="6">
        <v>10.0</v>
      </c>
      <c r="GK6" s="6">
        <v>11.0</v>
      </c>
      <c r="GL6" s="6">
        <v>12.0</v>
      </c>
      <c r="GM6" s="6">
        <v>13.0</v>
      </c>
      <c r="GN6" s="6">
        <v>14.0</v>
      </c>
      <c r="GO6" s="2">
        <v>15.0</v>
      </c>
      <c r="GP6" s="6">
        <v>16.0</v>
      </c>
      <c r="GQ6" s="6">
        <v>17.0</v>
      </c>
      <c r="GR6" s="6">
        <v>18.0</v>
      </c>
      <c r="GS6" s="6">
        <v>19.0</v>
      </c>
      <c r="GT6" s="6">
        <v>20.0</v>
      </c>
      <c r="GU6" s="6">
        <v>21.0</v>
      </c>
      <c r="GV6" s="126">
        <v>22.0</v>
      </c>
      <c r="GW6" s="6">
        <v>23.0</v>
      </c>
      <c r="GX6" s="6">
        <v>24.0</v>
      </c>
      <c r="GY6" s="6">
        <v>25.0</v>
      </c>
      <c r="GZ6" s="6">
        <v>26.0</v>
      </c>
      <c r="HA6" s="6">
        <v>27.0</v>
      </c>
      <c r="HB6" s="6">
        <v>28.0</v>
      </c>
      <c r="HC6" s="2">
        <v>29.0</v>
      </c>
      <c r="HD6" s="6">
        <v>30.0</v>
      </c>
      <c r="HE6" s="6">
        <v>31.0</v>
      </c>
      <c r="HF6" s="6">
        <v>1.0</v>
      </c>
      <c r="HG6" s="6">
        <v>2.0</v>
      </c>
      <c r="HH6" s="6">
        <v>3.0</v>
      </c>
      <c r="HI6" s="6">
        <v>4.0</v>
      </c>
      <c r="HJ6" s="2">
        <v>5.0</v>
      </c>
      <c r="HK6" s="6">
        <v>6.0</v>
      </c>
      <c r="HL6" s="6">
        <v>7.0</v>
      </c>
      <c r="HM6" s="6">
        <v>8.0</v>
      </c>
      <c r="HN6" s="6">
        <v>9.0</v>
      </c>
      <c r="HO6" s="6">
        <v>10.0</v>
      </c>
      <c r="HP6" s="6">
        <v>11.0</v>
      </c>
      <c r="HQ6" s="2">
        <v>12.0</v>
      </c>
      <c r="HR6" s="6">
        <v>13.0</v>
      </c>
      <c r="HS6" s="6">
        <v>14.0</v>
      </c>
      <c r="HT6" s="6">
        <v>15.0</v>
      </c>
      <c r="HU6" s="6">
        <v>16.0</v>
      </c>
      <c r="HV6" s="6">
        <v>17.0</v>
      </c>
      <c r="HW6" s="6">
        <v>18.0</v>
      </c>
      <c r="HX6" s="2">
        <v>19.0</v>
      </c>
      <c r="HY6" s="6">
        <v>20.0</v>
      </c>
      <c r="HZ6" s="6">
        <v>21.0</v>
      </c>
      <c r="IA6" s="6">
        <v>22.0</v>
      </c>
      <c r="IB6" s="6">
        <v>23.0</v>
      </c>
      <c r="IC6" s="6">
        <v>24.0</v>
      </c>
      <c r="ID6" s="6">
        <v>25.0</v>
      </c>
      <c r="IE6" s="2">
        <v>26.0</v>
      </c>
      <c r="IF6" s="6">
        <v>27.0</v>
      </c>
      <c r="IG6" s="6">
        <v>28.0</v>
      </c>
      <c r="IH6" s="6">
        <v>29.0</v>
      </c>
      <c r="II6" s="6">
        <v>30.0</v>
      </c>
      <c r="IJ6" s="6">
        <v>31.0</v>
      </c>
      <c r="IK6" s="6">
        <v>1.0</v>
      </c>
      <c r="IL6" s="6">
        <v>2.0</v>
      </c>
      <c r="IM6" s="51">
        <v>3.0</v>
      </c>
      <c r="IN6" s="6">
        <v>4.0</v>
      </c>
      <c r="IO6" s="6">
        <v>5.0</v>
      </c>
      <c r="IP6" s="6">
        <v>6.0</v>
      </c>
      <c r="IQ6" s="6">
        <v>7.0</v>
      </c>
      <c r="IR6" s="6">
        <v>8.0</v>
      </c>
      <c r="IS6" s="2">
        <v>9.0</v>
      </c>
      <c r="IT6" s="6">
        <v>10.0</v>
      </c>
      <c r="IU6" s="6">
        <v>11.0</v>
      </c>
      <c r="IV6" s="6">
        <v>12.0</v>
      </c>
      <c r="IW6" s="6">
        <v>13.0</v>
      </c>
      <c r="IX6" s="6">
        <v>14.0</v>
      </c>
      <c r="IY6" s="6">
        <v>15.0</v>
      </c>
      <c r="IZ6" s="2">
        <v>16.0</v>
      </c>
      <c r="JA6" s="6">
        <v>17.0</v>
      </c>
      <c r="JB6" s="6">
        <v>18.0</v>
      </c>
      <c r="JC6" s="6">
        <v>19.0</v>
      </c>
      <c r="JD6" s="6">
        <v>20.0</v>
      </c>
      <c r="JE6" s="6">
        <v>21.0</v>
      </c>
      <c r="JF6" s="6">
        <v>22.0</v>
      </c>
      <c r="JG6" s="2">
        <v>23.0</v>
      </c>
      <c r="JH6" s="6">
        <v>24.0</v>
      </c>
      <c r="JI6" s="6">
        <v>25.0</v>
      </c>
      <c r="JJ6" s="6">
        <v>26.0</v>
      </c>
      <c r="JK6" s="6">
        <v>27.0</v>
      </c>
      <c r="JL6" s="6">
        <v>28.0</v>
      </c>
      <c r="JM6" s="6">
        <v>29.0</v>
      </c>
      <c r="JN6" s="6">
        <v>30.0</v>
      </c>
      <c r="JO6" s="127">
        <v>1.0</v>
      </c>
      <c r="JP6" s="66">
        <v>2.0</v>
      </c>
      <c r="JQ6" s="66">
        <v>3.0</v>
      </c>
      <c r="JR6" s="66">
        <v>4.0</v>
      </c>
      <c r="JS6" s="66">
        <v>5.0</v>
      </c>
      <c r="JT6" s="66">
        <v>6.0</v>
      </c>
      <c r="JU6" s="67">
        <v>7.0</v>
      </c>
      <c r="JV6" s="127">
        <v>8.0</v>
      </c>
      <c r="JW6" s="66">
        <v>9.0</v>
      </c>
      <c r="JX6" s="66">
        <v>10.0</v>
      </c>
      <c r="JY6" s="66">
        <v>11.0</v>
      </c>
      <c r="JZ6" s="66">
        <v>12.0</v>
      </c>
      <c r="KA6" s="66">
        <v>13.0</v>
      </c>
      <c r="KB6" s="67">
        <v>14.0</v>
      </c>
      <c r="KC6" s="127">
        <v>15.0</v>
      </c>
      <c r="KD6" s="66">
        <v>16.0</v>
      </c>
      <c r="KE6" s="66">
        <v>17.0</v>
      </c>
      <c r="KF6" s="66">
        <v>18.0</v>
      </c>
      <c r="KG6" s="66">
        <v>19.0</v>
      </c>
      <c r="KH6" s="66">
        <v>20.0</v>
      </c>
      <c r="KI6" s="67">
        <v>21.0</v>
      </c>
      <c r="KJ6" s="127">
        <v>22.0</v>
      </c>
      <c r="KK6" s="66">
        <v>23.0</v>
      </c>
      <c r="KL6" s="66">
        <v>24.0</v>
      </c>
      <c r="KM6" s="66">
        <v>25.0</v>
      </c>
      <c r="KN6" s="66">
        <v>26.0</v>
      </c>
      <c r="KO6" s="66">
        <v>27.0</v>
      </c>
      <c r="KP6" s="67">
        <v>28.0</v>
      </c>
      <c r="KQ6" s="127">
        <v>29.0</v>
      </c>
      <c r="KR6" s="66">
        <v>30.0</v>
      </c>
      <c r="KS6" s="66">
        <v>31.0</v>
      </c>
      <c r="KT6" s="66">
        <v>1.0</v>
      </c>
      <c r="KU6" s="66">
        <v>2.0</v>
      </c>
      <c r="KV6" s="66">
        <v>3.0</v>
      </c>
      <c r="KW6" s="66">
        <v>4.0</v>
      </c>
      <c r="KX6" s="127">
        <v>5.0</v>
      </c>
      <c r="KY6" s="66">
        <v>6.0</v>
      </c>
      <c r="KZ6" s="66">
        <v>7.0</v>
      </c>
      <c r="LA6" s="66">
        <v>8.0</v>
      </c>
      <c r="LB6" s="66">
        <v>9.0</v>
      </c>
      <c r="LC6" s="66">
        <v>10.0</v>
      </c>
      <c r="LD6" s="67">
        <v>11.0</v>
      </c>
      <c r="LE6" s="127">
        <v>12.0</v>
      </c>
      <c r="LF6" s="66">
        <v>13.0</v>
      </c>
      <c r="LG6" s="66">
        <v>14.0</v>
      </c>
      <c r="LH6" s="66">
        <v>15.0</v>
      </c>
      <c r="LI6" s="66">
        <v>16.0</v>
      </c>
      <c r="LJ6" s="66">
        <v>17.0</v>
      </c>
      <c r="LK6" s="67">
        <v>18.0</v>
      </c>
      <c r="LL6" s="127">
        <v>19.0</v>
      </c>
      <c r="LM6" s="66">
        <v>20.0</v>
      </c>
      <c r="LN6" s="66">
        <v>21.0</v>
      </c>
      <c r="LO6" s="66">
        <v>22.0</v>
      </c>
      <c r="LP6" s="66">
        <v>23.0</v>
      </c>
      <c r="LQ6" s="66">
        <v>24.0</v>
      </c>
      <c r="LR6" s="67">
        <v>25.0</v>
      </c>
      <c r="LS6" s="58">
        <v>26.0</v>
      </c>
      <c r="LT6" s="6">
        <v>27.0</v>
      </c>
      <c r="LU6" s="6">
        <v>28.0</v>
      </c>
      <c r="LV6" s="6">
        <v>29.0</v>
      </c>
      <c r="LW6" s="6">
        <v>30.0</v>
      </c>
      <c r="LX6" s="6">
        <v>1.0</v>
      </c>
      <c r="LY6" s="2">
        <v>2.0</v>
      </c>
      <c r="LZ6" s="6">
        <v>3.0</v>
      </c>
      <c r="MA6" s="6">
        <v>4.0</v>
      </c>
      <c r="MB6" s="6">
        <v>5.0</v>
      </c>
      <c r="MC6" s="6">
        <v>6.0</v>
      </c>
      <c r="MD6" s="6">
        <v>7.0</v>
      </c>
      <c r="ME6" s="6">
        <v>8.0</v>
      </c>
      <c r="MF6" s="2">
        <v>9.0</v>
      </c>
      <c r="MG6" s="6">
        <v>10.0</v>
      </c>
      <c r="MH6" s="6">
        <v>11.0</v>
      </c>
      <c r="MI6" s="6">
        <v>12.0</v>
      </c>
      <c r="MJ6" s="6">
        <v>13.0</v>
      </c>
      <c r="MK6" s="6">
        <v>14.0</v>
      </c>
      <c r="ML6" s="6">
        <v>15.0</v>
      </c>
      <c r="MM6" s="6">
        <v>16.0</v>
      </c>
      <c r="MN6" s="51">
        <v>17.0</v>
      </c>
      <c r="MO6" s="6">
        <v>18.0</v>
      </c>
      <c r="MP6" s="6">
        <v>19.0</v>
      </c>
      <c r="MQ6" s="6">
        <v>20.0</v>
      </c>
      <c r="MR6" s="6">
        <v>21.0</v>
      </c>
      <c r="MS6" s="6">
        <v>22.0</v>
      </c>
      <c r="MT6" s="2">
        <v>23.0</v>
      </c>
      <c r="MU6" s="6">
        <v>24.0</v>
      </c>
      <c r="MV6" s="6">
        <v>25.0</v>
      </c>
      <c r="MW6" s="6">
        <v>26.0</v>
      </c>
      <c r="MX6" s="6">
        <v>27.0</v>
      </c>
      <c r="MY6" s="6">
        <v>28.0</v>
      </c>
      <c r="MZ6" s="6">
        <v>29.0</v>
      </c>
      <c r="NA6" s="2">
        <v>30.0</v>
      </c>
      <c r="NB6" s="6">
        <v>31.0</v>
      </c>
      <c r="NC6" s="58"/>
      <c r="ND6" s="58"/>
      <c r="NE6" s="58"/>
      <c r="NF6" s="58"/>
      <c r="NG6" s="58"/>
      <c r="NH6" s="58"/>
      <c r="NI6" s="58"/>
      <c r="NJ6" s="58"/>
      <c r="NK6" s="58"/>
      <c r="NL6" s="58"/>
      <c r="NM6" s="58"/>
      <c r="NN6" s="58"/>
      <c r="NO6" s="58"/>
      <c r="NP6" s="58"/>
      <c r="NQ6" s="58"/>
      <c r="NR6" s="58"/>
      <c r="NS6" s="58"/>
      <c r="NT6" s="58"/>
      <c r="NU6" s="58"/>
      <c r="NV6" s="58"/>
      <c r="NW6" s="58"/>
      <c r="NX6" s="58"/>
      <c r="NY6" s="58"/>
      <c r="NZ6" s="58"/>
      <c r="OA6" s="58"/>
      <c r="OB6" s="58"/>
      <c r="OC6" s="58"/>
      <c r="OD6" s="58"/>
      <c r="OE6" s="58"/>
      <c r="OF6" s="58"/>
      <c r="OG6" s="58"/>
      <c r="OH6" s="58"/>
      <c r="OI6" s="58"/>
      <c r="OJ6" s="58"/>
      <c r="OK6" s="58"/>
      <c r="OL6" s="58"/>
      <c r="OM6" s="58"/>
      <c r="ON6" s="58"/>
      <c r="OO6" s="58"/>
      <c r="OP6" s="58"/>
      <c r="OQ6" s="58"/>
      <c r="OR6" s="58"/>
      <c r="OS6" s="58"/>
      <c r="OT6" s="58"/>
      <c r="OU6" s="58"/>
      <c r="OV6" s="58"/>
      <c r="OW6" s="58"/>
      <c r="OX6" s="58"/>
      <c r="OY6" s="58"/>
      <c r="OZ6" s="58"/>
      <c r="PA6" s="58"/>
      <c r="PB6" s="58"/>
      <c r="PC6" s="58"/>
      <c r="PD6" s="58"/>
      <c r="PE6" s="58"/>
      <c r="PF6" s="58"/>
      <c r="PG6" s="58"/>
      <c r="PH6" s="58"/>
      <c r="PI6" s="58"/>
      <c r="PJ6" s="58"/>
      <c r="PK6" s="58"/>
      <c r="PL6" s="58"/>
      <c r="PM6" s="58"/>
      <c r="PN6" s="58"/>
      <c r="PO6" s="58"/>
      <c r="PP6" s="58"/>
      <c r="PQ6" s="58"/>
      <c r="PR6" s="58"/>
      <c r="PS6" s="58"/>
      <c r="PT6" s="58"/>
      <c r="PU6" s="58"/>
      <c r="PV6" s="58"/>
      <c r="PW6" s="58"/>
      <c r="PX6" s="58"/>
      <c r="PY6" s="58"/>
      <c r="PZ6" s="58"/>
      <c r="QA6" s="58"/>
      <c r="QB6" s="58"/>
      <c r="QC6" s="58"/>
      <c r="QD6" s="58"/>
      <c r="QE6" s="58"/>
      <c r="QF6" s="58"/>
      <c r="QG6" s="58"/>
      <c r="QH6" s="58"/>
      <c r="QI6" s="58"/>
      <c r="QJ6" s="58"/>
      <c r="QK6" s="58"/>
      <c r="QL6" s="58"/>
      <c r="QM6" s="58"/>
      <c r="QN6" s="58"/>
      <c r="QO6" s="58"/>
      <c r="QP6" s="58"/>
      <c r="QQ6" s="58"/>
      <c r="QR6" s="58"/>
      <c r="QS6" s="58"/>
      <c r="QT6" s="58"/>
      <c r="QU6" s="58"/>
      <c r="QV6" s="58"/>
      <c r="QW6" s="58"/>
      <c r="QX6" s="58"/>
      <c r="QY6" s="58"/>
      <c r="QZ6" s="58"/>
      <c r="RA6" s="58"/>
      <c r="RB6" s="58"/>
      <c r="RC6" s="58"/>
      <c r="RD6" s="58"/>
      <c r="RE6" s="58"/>
      <c r="RF6" s="58"/>
      <c r="RG6" s="58"/>
      <c r="RH6" s="58"/>
      <c r="RI6" s="58"/>
      <c r="RJ6" s="58"/>
      <c r="RK6" s="58"/>
      <c r="RL6" s="58"/>
      <c r="RM6" s="58"/>
      <c r="RN6" s="58"/>
      <c r="RO6" s="58"/>
      <c r="RP6" s="58"/>
      <c r="RQ6" s="58"/>
      <c r="RR6" s="58"/>
      <c r="RS6" s="58"/>
      <c r="RT6" s="58"/>
      <c r="RU6" s="58"/>
      <c r="RV6" s="58"/>
      <c r="RW6" s="58"/>
      <c r="RX6" s="58"/>
      <c r="RY6" s="58"/>
      <c r="RZ6" s="58"/>
      <c r="SA6" s="58"/>
      <c r="SB6" s="58"/>
      <c r="SC6" s="58"/>
      <c r="SD6" s="58"/>
      <c r="SE6" s="58"/>
      <c r="SF6" s="58"/>
      <c r="SG6" s="58"/>
      <c r="SH6" s="58"/>
      <c r="SI6" s="58"/>
      <c r="SJ6" s="58"/>
      <c r="SK6" s="58"/>
      <c r="SL6" s="58"/>
      <c r="SM6" s="58"/>
      <c r="SN6" s="58"/>
      <c r="SO6" s="58"/>
      <c r="SP6" s="58"/>
      <c r="SQ6" s="58"/>
      <c r="SR6" s="58"/>
      <c r="SS6" s="58"/>
      <c r="ST6" s="58"/>
      <c r="SU6" s="58"/>
      <c r="SV6" s="58"/>
      <c r="SW6" s="58"/>
      <c r="SX6" s="58"/>
      <c r="SY6" s="58"/>
      <c r="SZ6" s="58"/>
      <c r="TA6" s="58"/>
      <c r="TB6" s="58"/>
      <c r="TC6" s="58"/>
      <c r="TD6" s="58"/>
      <c r="TE6" s="58"/>
      <c r="TF6" s="58"/>
      <c r="TG6" s="58"/>
      <c r="TH6" s="58"/>
      <c r="TI6" s="58"/>
      <c r="TJ6" s="58"/>
      <c r="TK6" s="58"/>
      <c r="TL6" s="58"/>
      <c r="TM6" s="58"/>
      <c r="TN6" s="58"/>
      <c r="TO6" s="58"/>
      <c r="TP6" s="58"/>
      <c r="TQ6" s="58"/>
      <c r="TR6" s="58"/>
      <c r="TS6" s="58"/>
      <c r="TT6" s="58"/>
      <c r="TU6" s="58"/>
      <c r="TV6" s="58"/>
      <c r="TW6" s="58"/>
      <c r="TX6" s="58"/>
      <c r="TY6" s="58"/>
      <c r="TZ6" s="58"/>
      <c r="UA6" s="58"/>
      <c r="UB6" s="58"/>
      <c r="UC6" s="58"/>
      <c r="UD6" s="58"/>
      <c r="UE6" s="58"/>
      <c r="UF6" s="58"/>
      <c r="UG6" s="58"/>
      <c r="UH6" s="58"/>
      <c r="UI6" s="58"/>
      <c r="UJ6" s="58"/>
      <c r="UK6" s="58"/>
      <c r="UL6" s="58"/>
      <c r="UM6" s="58"/>
      <c r="UN6" s="58"/>
      <c r="UO6" s="58"/>
      <c r="UP6" s="58"/>
      <c r="UQ6" s="58"/>
      <c r="UR6" s="58"/>
      <c r="US6" s="58"/>
      <c r="UT6" s="58"/>
      <c r="UU6" s="58"/>
      <c r="UV6" s="58"/>
      <c r="UW6" s="58"/>
      <c r="UX6" s="58"/>
      <c r="UY6" s="58"/>
      <c r="UZ6" s="58"/>
      <c r="VA6" s="58"/>
      <c r="VB6" s="58"/>
      <c r="VC6" s="58"/>
      <c r="VD6" s="58"/>
      <c r="VE6" s="58"/>
      <c r="VF6" s="58"/>
      <c r="VG6" s="58"/>
      <c r="VH6" s="58"/>
      <c r="VI6" s="58"/>
      <c r="VJ6" s="58"/>
      <c r="VK6" s="58"/>
      <c r="VL6" s="58"/>
      <c r="VM6" s="58"/>
      <c r="VN6" s="58"/>
      <c r="VO6" s="58"/>
      <c r="VP6" s="58"/>
      <c r="VQ6" s="58"/>
      <c r="VR6" s="58"/>
      <c r="VS6" s="58"/>
      <c r="VT6" s="58"/>
      <c r="VU6" s="58"/>
      <c r="VV6" s="58"/>
      <c r="VW6" s="58"/>
      <c r="VX6" s="58"/>
      <c r="VY6" s="58"/>
      <c r="VZ6" s="58"/>
      <c r="WA6" s="58"/>
      <c r="WB6" s="58"/>
      <c r="WC6" s="58"/>
      <c r="WD6" s="58"/>
      <c r="WE6" s="58"/>
      <c r="WF6" s="58"/>
      <c r="WG6" s="58"/>
      <c r="WH6" s="58"/>
      <c r="WI6" s="58"/>
      <c r="WJ6" s="58"/>
      <c r="WK6" s="58"/>
      <c r="WL6" s="58"/>
      <c r="WM6" s="58"/>
      <c r="WN6" s="58"/>
      <c r="WO6" s="58"/>
      <c r="WP6" s="58"/>
      <c r="WQ6" s="58"/>
      <c r="WR6" s="58"/>
      <c r="WS6" s="58"/>
      <c r="WT6" s="58"/>
      <c r="WU6" s="58"/>
      <c r="WV6" s="58"/>
      <c r="WW6" s="58"/>
      <c r="WX6" s="58"/>
      <c r="WY6" s="58"/>
      <c r="WZ6" s="58"/>
      <c r="XA6" s="58"/>
      <c r="XB6" s="58"/>
      <c r="XC6" s="58"/>
      <c r="XD6" s="58"/>
      <c r="XE6" s="58"/>
      <c r="XF6" s="58"/>
      <c r="XG6" s="58"/>
      <c r="XH6" s="58"/>
      <c r="XI6" s="58"/>
      <c r="XJ6" s="58"/>
      <c r="XK6" s="58"/>
      <c r="XL6" s="58"/>
      <c r="XM6" s="58"/>
      <c r="XN6" s="58"/>
      <c r="XO6" s="58"/>
      <c r="XP6" s="58"/>
      <c r="XQ6" s="58"/>
      <c r="XR6" s="58"/>
      <c r="XS6" s="58"/>
      <c r="XT6" s="58"/>
      <c r="XU6" s="58"/>
      <c r="XV6" s="58"/>
      <c r="XW6" s="58"/>
      <c r="XX6" s="58"/>
      <c r="XY6" s="58"/>
      <c r="XZ6" s="58"/>
      <c r="YA6" s="58"/>
      <c r="YB6" s="58"/>
      <c r="YC6" s="58"/>
      <c r="YD6" s="58"/>
      <c r="YE6" s="58"/>
      <c r="YF6" s="58"/>
      <c r="YG6" s="58"/>
      <c r="YH6" s="58"/>
      <c r="YI6" s="58"/>
      <c r="YJ6" s="58"/>
      <c r="YK6" s="58"/>
      <c r="YL6" s="58"/>
      <c r="YM6" s="58"/>
      <c r="YN6" s="58"/>
      <c r="YO6" s="58"/>
      <c r="YP6" s="58"/>
      <c r="YQ6" s="58"/>
      <c r="YR6" s="58"/>
      <c r="YS6" s="58"/>
      <c r="YT6" s="58"/>
      <c r="YU6" s="58"/>
      <c r="YV6" s="58"/>
      <c r="YW6" s="58"/>
      <c r="YX6" s="58"/>
      <c r="YY6" s="58"/>
      <c r="YZ6" s="58"/>
      <c r="ZA6" s="58"/>
      <c r="ZB6" s="58"/>
      <c r="ZC6" s="58"/>
      <c r="ZD6" s="58"/>
      <c r="ZE6" s="58"/>
    </row>
    <row r="7" ht="69.75" customHeight="1">
      <c r="A7" s="13" t="s">
        <v>134</v>
      </c>
      <c r="B7" s="81" t="s">
        <v>232</v>
      </c>
      <c r="I7" s="82"/>
      <c r="P7" s="81" t="s">
        <v>234</v>
      </c>
      <c r="W7" s="82"/>
      <c r="AC7" s="83"/>
      <c r="AD7" s="84" t="s">
        <v>235</v>
      </c>
      <c r="AK7" s="86" t="s">
        <v>236</v>
      </c>
      <c r="AQ7" s="83"/>
      <c r="AR7" s="81" t="s">
        <v>237</v>
      </c>
      <c r="AY7" s="86" t="s">
        <v>238</v>
      </c>
      <c r="BF7" s="90" t="s">
        <v>239</v>
      </c>
      <c r="BM7" s="86" t="s">
        <v>240</v>
      </c>
      <c r="BT7" s="86" t="s">
        <v>241</v>
      </c>
      <c r="CA7" s="86" t="s">
        <v>242</v>
      </c>
      <c r="CH7" s="86" t="s">
        <v>243</v>
      </c>
      <c r="CO7" s="86" t="s">
        <v>244</v>
      </c>
      <c r="CV7" s="86" t="s">
        <v>245</v>
      </c>
      <c r="DC7" s="96" t="s">
        <v>246</v>
      </c>
      <c r="DJ7" s="90" t="s">
        <v>247</v>
      </c>
      <c r="DQ7" s="86" t="s">
        <v>248</v>
      </c>
      <c r="DX7" s="90" t="s">
        <v>249</v>
      </c>
      <c r="EE7" s="86" t="s">
        <v>250</v>
      </c>
      <c r="EL7" s="86" t="s">
        <v>251</v>
      </c>
      <c r="ES7" s="86" t="s">
        <v>252</v>
      </c>
      <c r="EZ7" s="86" t="s">
        <v>253</v>
      </c>
      <c r="FG7" s="90" t="s">
        <v>255</v>
      </c>
      <c r="FN7" s="90" t="s">
        <v>159</v>
      </c>
      <c r="FU7" s="86" t="s">
        <v>256</v>
      </c>
      <c r="GB7" s="90" t="s">
        <v>258</v>
      </c>
      <c r="GI7" s="86" t="s">
        <v>162</v>
      </c>
      <c r="GP7" s="90" t="s">
        <v>163</v>
      </c>
      <c r="GW7" s="90" t="s">
        <v>164</v>
      </c>
      <c r="HD7" s="90" t="s">
        <v>260</v>
      </c>
      <c r="HK7" s="90" t="s">
        <v>166</v>
      </c>
      <c r="HR7" s="90" t="s">
        <v>261</v>
      </c>
      <c r="HY7" s="90" t="s">
        <v>168</v>
      </c>
      <c r="IF7" s="90" t="s">
        <v>169</v>
      </c>
      <c r="IM7" s="86"/>
      <c r="IT7" s="86" t="s">
        <v>263</v>
      </c>
      <c r="JA7" s="90" t="s">
        <v>264</v>
      </c>
      <c r="JH7" s="90" t="s">
        <v>265</v>
      </c>
      <c r="JO7" s="90" t="s">
        <v>266</v>
      </c>
      <c r="JV7" s="102" t="s">
        <v>268</v>
      </c>
      <c r="KC7" s="90" t="s">
        <v>270</v>
      </c>
      <c r="KJ7" s="86" t="s">
        <v>271</v>
      </c>
      <c r="KQ7" s="90" t="s">
        <v>274</v>
      </c>
      <c r="KX7" s="103" t="s">
        <v>275</v>
      </c>
      <c r="KY7" s="23"/>
      <c r="KZ7" s="23"/>
      <c r="LA7" s="23"/>
      <c r="LB7" s="23"/>
      <c r="LC7" s="23"/>
      <c r="LD7" s="104"/>
      <c r="LE7" s="106" t="s">
        <v>277</v>
      </c>
      <c r="LF7" s="16"/>
      <c r="LG7" s="16"/>
      <c r="LH7" s="16"/>
      <c r="LI7" s="16"/>
      <c r="LJ7" s="16"/>
      <c r="LK7" s="25"/>
      <c r="LL7" s="106" t="s">
        <v>181</v>
      </c>
      <c r="LM7" s="16"/>
      <c r="LN7" s="16"/>
      <c r="LO7" s="16"/>
      <c r="LP7" s="16"/>
      <c r="LQ7" s="16"/>
      <c r="LR7" s="25"/>
      <c r="LS7" s="108" t="s">
        <v>281</v>
      </c>
      <c r="LT7" s="16"/>
      <c r="LU7" s="16"/>
      <c r="LV7" s="16"/>
      <c r="LW7" s="16"/>
      <c r="LX7" s="16"/>
      <c r="LY7" s="25"/>
      <c r="LZ7" s="108" t="s">
        <v>183</v>
      </c>
      <c r="MA7" s="16"/>
      <c r="MB7" s="16"/>
      <c r="MC7" s="16"/>
      <c r="MD7" s="16"/>
      <c r="ME7" s="16"/>
      <c r="MF7" s="25"/>
      <c r="MG7" s="108"/>
      <c r="MH7" s="16"/>
      <c r="MI7" s="16"/>
      <c r="MJ7" s="16"/>
      <c r="MK7" s="16"/>
      <c r="ML7" s="16"/>
      <c r="MM7" s="25"/>
      <c r="MN7" s="106" t="s">
        <v>289</v>
      </c>
      <c r="MO7" s="16"/>
      <c r="MP7" s="16"/>
      <c r="MQ7" s="16"/>
      <c r="MR7" s="16"/>
      <c r="MS7" s="16"/>
      <c r="MT7" s="25"/>
      <c r="MU7" s="106" t="s">
        <v>294</v>
      </c>
      <c r="MV7" s="16"/>
      <c r="MW7" s="16"/>
      <c r="MX7" s="16"/>
      <c r="MY7" s="16"/>
      <c r="MZ7" s="16"/>
      <c r="NA7" s="25"/>
      <c r="NB7" s="109"/>
      <c r="NC7" s="110"/>
      <c r="ND7" s="110"/>
      <c r="NE7" s="110"/>
      <c r="NF7" s="110"/>
      <c r="NG7" s="110"/>
      <c r="NH7" s="110"/>
      <c r="NI7" s="110"/>
      <c r="NJ7" s="110"/>
      <c r="NK7" s="110"/>
      <c r="NL7" s="110"/>
      <c r="NM7" s="110"/>
      <c r="NN7" s="110"/>
      <c r="NO7" s="110"/>
      <c r="NP7" s="110"/>
      <c r="NQ7" s="110"/>
      <c r="NR7" s="110"/>
      <c r="NS7" s="110"/>
      <c r="NT7" s="110"/>
      <c r="NU7" s="110"/>
      <c r="NV7" s="110"/>
      <c r="NW7" s="110"/>
      <c r="NX7" s="110"/>
      <c r="NY7" s="110"/>
      <c r="NZ7" s="110"/>
      <c r="OA7" s="110"/>
      <c r="OB7" s="110"/>
      <c r="OC7" s="110"/>
      <c r="OD7" s="110"/>
      <c r="OE7" s="110"/>
      <c r="OF7" s="110"/>
      <c r="OG7" s="110"/>
      <c r="OH7" s="110"/>
      <c r="OI7" s="110"/>
      <c r="OJ7" s="110"/>
      <c r="OK7" s="110"/>
      <c r="OL7" s="110"/>
      <c r="OM7" s="110"/>
      <c r="ON7" s="110"/>
      <c r="OO7" s="110"/>
      <c r="OP7" s="110"/>
      <c r="OQ7" s="110"/>
      <c r="OR7" s="110"/>
      <c r="OS7" s="110"/>
      <c r="OT7" s="110"/>
      <c r="OU7" s="110"/>
      <c r="OV7" s="110"/>
      <c r="OW7" s="110"/>
      <c r="OX7" s="110"/>
      <c r="OY7" s="110"/>
      <c r="OZ7" s="110"/>
      <c r="PA7" s="110"/>
      <c r="PB7" s="110"/>
      <c r="PC7" s="110"/>
      <c r="PD7" s="110"/>
      <c r="PE7" s="110"/>
      <c r="PF7" s="110"/>
      <c r="PG7" s="110"/>
      <c r="PH7" s="110"/>
      <c r="PI7" s="110"/>
      <c r="PJ7" s="110"/>
      <c r="PK7" s="110"/>
      <c r="PL7" s="110"/>
      <c r="PM7" s="110"/>
      <c r="PN7" s="110"/>
      <c r="PO7" s="110"/>
      <c r="PP7" s="110"/>
      <c r="PQ7" s="110"/>
      <c r="PR7" s="110"/>
      <c r="PS7" s="110"/>
      <c r="PT7" s="110"/>
      <c r="PU7" s="110"/>
      <c r="PV7" s="110"/>
      <c r="PW7" s="110"/>
      <c r="PX7" s="110"/>
      <c r="PY7" s="110"/>
      <c r="PZ7" s="110"/>
      <c r="QA7" s="110"/>
      <c r="QB7" s="110"/>
      <c r="QC7" s="110"/>
      <c r="QD7" s="110"/>
      <c r="QE7" s="110"/>
      <c r="QF7" s="110"/>
      <c r="QG7" s="110"/>
      <c r="QH7" s="110"/>
      <c r="QI7" s="110"/>
      <c r="QJ7" s="110"/>
      <c r="QK7" s="110"/>
      <c r="QL7" s="110"/>
      <c r="QM7" s="110"/>
      <c r="QN7" s="110"/>
      <c r="QO7" s="110"/>
      <c r="QP7" s="110"/>
      <c r="QQ7" s="110"/>
      <c r="QR7" s="110"/>
      <c r="QS7" s="110"/>
      <c r="QT7" s="110"/>
      <c r="QU7" s="110"/>
      <c r="QV7" s="110"/>
      <c r="QW7" s="110"/>
      <c r="QX7" s="110"/>
      <c r="QY7" s="110"/>
      <c r="QZ7" s="110"/>
      <c r="RA7" s="110"/>
      <c r="RB7" s="110"/>
      <c r="RC7" s="110"/>
      <c r="RD7" s="110"/>
      <c r="RE7" s="110"/>
      <c r="RF7" s="110"/>
      <c r="RG7" s="110"/>
      <c r="RH7" s="110"/>
      <c r="RI7" s="110"/>
      <c r="RJ7" s="110"/>
      <c r="RK7" s="110"/>
      <c r="RL7" s="110"/>
      <c r="RM7" s="110"/>
      <c r="RN7" s="110"/>
      <c r="RO7" s="110"/>
      <c r="RP7" s="110"/>
      <c r="RQ7" s="110"/>
      <c r="RR7" s="110"/>
      <c r="RS7" s="110"/>
      <c r="RT7" s="110"/>
      <c r="RU7" s="110"/>
      <c r="RV7" s="110"/>
      <c r="RW7" s="110"/>
      <c r="RX7" s="110"/>
      <c r="RY7" s="110"/>
      <c r="RZ7" s="110"/>
      <c r="SA7" s="110"/>
      <c r="SB7" s="110"/>
      <c r="SC7" s="110"/>
      <c r="SD7" s="110"/>
      <c r="SE7" s="110"/>
      <c r="SF7" s="110"/>
      <c r="SG7" s="110"/>
      <c r="SH7" s="110"/>
      <c r="SI7" s="110"/>
      <c r="SJ7" s="110"/>
      <c r="SK7" s="110"/>
      <c r="SL7" s="110"/>
      <c r="SM7" s="110"/>
      <c r="SN7" s="110"/>
      <c r="SO7" s="110"/>
      <c r="SP7" s="110"/>
      <c r="SQ7" s="110"/>
      <c r="SR7" s="110"/>
      <c r="SS7" s="110"/>
      <c r="ST7" s="110"/>
      <c r="SU7" s="110"/>
      <c r="SV7" s="110"/>
      <c r="SW7" s="110"/>
      <c r="SX7" s="110"/>
      <c r="SY7" s="110"/>
      <c r="SZ7" s="110"/>
      <c r="TA7" s="110"/>
      <c r="TB7" s="110"/>
      <c r="TC7" s="110"/>
      <c r="TD7" s="110"/>
      <c r="TE7" s="110"/>
      <c r="TF7" s="110"/>
      <c r="TG7" s="110"/>
      <c r="TH7" s="110"/>
      <c r="TI7" s="110"/>
      <c r="TJ7" s="110"/>
      <c r="TK7" s="110"/>
      <c r="TL7" s="110"/>
      <c r="TM7" s="110"/>
      <c r="TN7" s="110"/>
      <c r="TO7" s="110"/>
      <c r="TP7" s="110"/>
      <c r="TQ7" s="110"/>
      <c r="TR7" s="110"/>
      <c r="TS7" s="110"/>
      <c r="TT7" s="110"/>
      <c r="TU7" s="110"/>
      <c r="TV7" s="110"/>
      <c r="TW7" s="110"/>
      <c r="TX7" s="110"/>
      <c r="TY7" s="110"/>
      <c r="TZ7" s="110"/>
      <c r="UA7" s="110"/>
      <c r="UB7" s="110"/>
      <c r="UC7" s="110"/>
      <c r="UD7" s="110"/>
      <c r="UE7" s="110"/>
      <c r="UF7" s="110"/>
      <c r="UG7" s="110"/>
      <c r="UH7" s="110"/>
      <c r="UI7" s="110"/>
      <c r="UJ7" s="110"/>
      <c r="UK7" s="110"/>
      <c r="UL7" s="110"/>
      <c r="UM7" s="110"/>
      <c r="UN7" s="110"/>
      <c r="UO7" s="110"/>
      <c r="UP7" s="110"/>
      <c r="UQ7" s="110"/>
      <c r="UR7" s="110"/>
      <c r="US7" s="110"/>
      <c r="UT7" s="110"/>
      <c r="UU7" s="110"/>
      <c r="UV7" s="110"/>
      <c r="UW7" s="110"/>
      <c r="UX7" s="110"/>
      <c r="UY7" s="110"/>
      <c r="UZ7" s="110"/>
      <c r="VA7" s="110"/>
      <c r="VB7" s="110"/>
      <c r="VC7" s="110"/>
      <c r="VD7" s="110"/>
      <c r="VE7" s="110"/>
      <c r="VF7" s="110"/>
      <c r="VG7" s="110"/>
      <c r="VH7" s="110"/>
      <c r="VI7" s="110"/>
      <c r="VJ7" s="110"/>
      <c r="VK7" s="110"/>
      <c r="VL7" s="110"/>
      <c r="VM7" s="110"/>
      <c r="VN7" s="110"/>
      <c r="VO7" s="110"/>
      <c r="VP7" s="110"/>
      <c r="VQ7" s="110"/>
      <c r="VR7" s="110"/>
      <c r="VS7" s="110"/>
      <c r="VT7" s="110"/>
      <c r="VU7" s="110"/>
      <c r="VV7" s="110"/>
      <c r="VW7" s="110"/>
      <c r="VX7" s="110"/>
      <c r="VY7" s="110"/>
      <c r="VZ7" s="110"/>
      <c r="WA7" s="110"/>
      <c r="WB7" s="110"/>
      <c r="WC7" s="110"/>
      <c r="WD7" s="110"/>
      <c r="WE7" s="110"/>
      <c r="WF7" s="110"/>
      <c r="WG7" s="110"/>
      <c r="WH7" s="110"/>
      <c r="WI7" s="110"/>
      <c r="WJ7" s="110"/>
      <c r="WK7" s="110"/>
      <c r="WL7" s="110"/>
      <c r="WM7" s="110"/>
      <c r="WN7" s="110"/>
      <c r="WO7" s="110"/>
      <c r="WP7" s="110"/>
      <c r="WQ7" s="110"/>
      <c r="WR7" s="110"/>
      <c r="WS7" s="110"/>
      <c r="WT7" s="110"/>
      <c r="WU7" s="110"/>
      <c r="WV7" s="110"/>
      <c r="WW7" s="110"/>
      <c r="WX7" s="110"/>
      <c r="WY7" s="110"/>
      <c r="WZ7" s="110"/>
      <c r="XA7" s="110"/>
      <c r="XB7" s="110"/>
      <c r="XC7" s="110"/>
      <c r="XD7" s="110"/>
      <c r="XE7" s="110"/>
      <c r="XF7" s="110"/>
      <c r="XG7" s="110"/>
      <c r="XH7" s="110"/>
      <c r="XI7" s="110"/>
      <c r="XJ7" s="110"/>
      <c r="XK7" s="110"/>
      <c r="XL7" s="110"/>
      <c r="XM7" s="110"/>
      <c r="XN7" s="110"/>
      <c r="XO7" s="110"/>
      <c r="XP7" s="110"/>
      <c r="XQ7" s="110"/>
      <c r="XR7" s="110"/>
      <c r="XS7" s="110"/>
      <c r="XT7" s="110"/>
      <c r="XU7" s="110"/>
      <c r="XV7" s="110"/>
      <c r="XW7" s="110"/>
      <c r="XX7" s="110"/>
      <c r="XY7" s="110"/>
      <c r="XZ7" s="110"/>
      <c r="YA7" s="110"/>
      <c r="YB7" s="110"/>
      <c r="YC7" s="110"/>
      <c r="YD7" s="110"/>
      <c r="YE7" s="110"/>
      <c r="YF7" s="110"/>
      <c r="YG7" s="110"/>
      <c r="YH7" s="110"/>
      <c r="YI7" s="110"/>
      <c r="YJ7" s="110"/>
      <c r="YK7" s="110"/>
      <c r="YL7" s="110"/>
      <c r="YM7" s="110"/>
      <c r="YN7" s="110"/>
      <c r="YO7" s="110"/>
      <c r="YP7" s="110"/>
      <c r="YQ7" s="110"/>
      <c r="YR7" s="110"/>
      <c r="YS7" s="110"/>
      <c r="YT7" s="110"/>
      <c r="YU7" s="110"/>
      <c r="YV7" s="110"/>
      <c r="YW7" s="110"/>
      <c r="YX7" s="110"/>
      <c r="YY7" s="110"/>
      <c r="YZ7" s="110"/>
      <c r="ZA7" s="110"/>
      <c r="ZB7" s="110"/>
      <c r="ZC7" s="110"/>
      <c r="ZD7" s="110"/>
      <c r="ZE7" s="110"/>
    </row>
    <row r="8" ht="1.5" customHeight="1">
      <c r="A8" s="143" t="s">
        <v>191</v>
      </c>
      <c r="B8" s="145"/>
      <c r="C8" s="10"/>
      <c r="D8" s="10"/>
      <c r="E8" s="10"/>
      <c r="F8" s="10"/>
      <c r="G8" s="10"/>
      <c r="H8" s="121"/>
      <c r="I8" s="145"/>
      <c r="J8" s="10"/>
      <c r="K8" s="10"/>
      <c r="L8" s="10"/>
      <c r="M8" s="10"/>
      <c r="N8" s="10"/>
      <c r="O8" s="121"/>
      <c r="P8" s="145"/>
      <c r="Q8" s="10"/>
      <c r="R8" s="10"/>
      <c r="S8" s="10"/>
      <c r="T8" s="10"/>
      <c r="U8" s="10"/>
      <c r="V8" s="121"/>
      <c r="W8" s="145"/>
      <c r="X8" s="10"/>
      <c r="Y8" s="10"/>
      <c r="Z8" s="10"/>
      <c r="AA8" s="10"/>
      <c r="AB8" s="10"/>
      <c r="AC8" s="121"/>
      <c r="AD8" s="145"/>
      <c r="AE8" s="10"/>
      <c r="AF8" s="10"/>
      <c r="AG8" s="10"/>
      <c r="AH8" s="10"/>
      <c r="AI8" s="10"/>
      <c r="AJ8" s="121"/>
      <c r="AK8" s="145"/>
      <c r="AL8" s="10"/>
      <c r="AM8" s="10"/>
      <c r="AN8" s="10"/>
      <c r="AO8" s="10"/>
      <c r="AP8" s="10"/>
      <c r="AQ8" s="121"/>
      <c r="AR8" s="145"/>
      <c r="AS8" s="10"/>
      <c r="AT8" s="10"/>
      <c r="AU8" s="10"/>
      <c r="AV8" s="10"/>
      <c r="AW8" s="10"/>
      <c r="AX8" s="121"/>
      <c r="AY8" s="145"/>
      <c r="AZ8" s="10"/>
      <c r="BA8" s="10"/>
      <c r="BB8" s="10"/>
      <c r="BC8" s="10"/>
      <c r="BD8" s="10"/>
      <c r="BE8" s="121"/>
      <c r="BF8" s="145"/>
      <c r="BG8" s="10"/>
      <c r="BH8" s="10"/>
      <c r="BI8" s="10"/>
      <c r="BJ8" s="10"/>
      <c r="BK8" s="10"/>
      <c r="BL8" s="121"/>
      <c r="BM8" s="148"/>
      <c r="BN8" s="10"/>
      <c r="BO8" s="10"/>
      <c r="BP8" s="10"/>
      <c r="BQ8" s="10"/>
      <c r="BR8" s="10"/>
      <c r="BS8" s="121"/>
      <c r="BT8" s="145"/>
      <c r="BU8" s="10"/>
      <c r="BV8" s="10"/>
      <c r="BW8" s="10"/>
      <c r="BX8" s="10"/>
      <c r="BY8" s="10"/>
      <c r="BZ8" s="121"/>
      <c r="CA8" s="145"/>
      <c r="CB8" s="10"/>
      <c r="CC8" s="10"/>
      <c r="CD8" s="10"/>
      <c r="CE8" s="10"/>
      <c r="CF8" s="10"/>
      <c r="CG8" s="121"/>
      <c r="CH8" s="145"/>
      <c r="CI8" s="10"/>
      <c r="CJ8" s="10"/>
      <c r="CK8" s="10"/>
      <c r="CL8" s="10"/>
      <c r="CM8" s="10"/>
      <c r="CN8" s="121"/>
      <c r="CO8" s="145"/>
      <c r="CP8" s="10"/>
      <c r="CQ8" s="10"/>
      <c r="CR8" s="10"/>
      <c r="CS8" s="10"/>
      <c r="CT8" s="10"/>
      <c r="CU8" s="121"/>
      <c r="CV8" s="145"/>
      <c r="CW8" s="10"/>
      <c r="CX8" s="10"/>
      <c r="CY8" s="10"/>
      <c r="CZ8" s="10"/>
      <c r="DA8" s="10"/>
      <c r="DB8" s="121"/>
      <c r="DC8" s="145"/>
      <c r="DD8" s="10"/>
      <c r="DE8" s="10"/>
      <c r="DF8" s="10"/>
      <c r="DG8" s="10"/>
      <c r="DH8" s="10"/>
      <c r="DI8" s="121"/>
      <c r="DJ8" s="145"/>
      <c r="DK8" s="10"/>
      <c r="DL8" s="10"/>
      <c r="DM8" s="10"/>
      <c r="DN8" s="10"/>
      <c r="DO8" s="10"/>
      <c r="DP8" s="121"/>
      <c r="DQ8" s="145"/>
      <c r="DR8" s="10"/>
      <c r="DS8" s="10"/>
      <c r="DT8" s="10"/>
      <c r="DU8" s="10"/>
      <c r="DV8" s="10"/>
      <c r="DW8" s="121"/>
      <c r="DX8" s="145"/>
      <c r="DY8" s="10"/>
      <c r="DZ8" s="10"/>
      <c r="EA8" s="10"/>
      <c r="EB8" s="10"/>
      <c r="EC8" s="10"/>
      <c r="ED8" s="121"/>
      <c r="EE8" s="145"/>
      <c r="EF8" s="10"/>
      <c r="EG8" s="10"/>
      <c r="EH8" s="10"/>
      <c r="EI8" s="10"/>
      <c r="EJ8" s="10"/>
      <c r="EK8" s="121"/>
      <c r="EL8" s="145"/>
      <c r="EM8" s="10"/>
      <c r="EN8" s="10"/>
      <c r="EO8" s="10"/>
      <c r="EP8" s="10"/>
      <c r="EQ8" s="10"/>
      <c r="ER8" s="121"/>
      <c r="ES8" s="145"/>
      <c r="ET8" s="10"/>
      <c r="EU8" s="10"/>
      <c r="EV8" s="10"/>
      <c r="EW8" s="10"/>
      <c r="EX8" s="10"/>
      <c r="EY8" s="121"/>
      <c r="EZ8" s="145"/>
      <c r="FA8" s="10"/>
      <c r="FB8" s="10"/>
      <c r="FC8" s="10"/>
      <c r="FD8" s="10"/>
      <c r="FE8" s="10"/>
      <c r="FF8" s="121"/>
      <c r="FG8" s="145"/>
      <c r="FH8" s="10"/>
      <c r="FI8" s="10"/>
      <c r="FJ8" s="10"/>
      <c r="FK8" s="10"/>
      <c r="FL8" s="10"/>
      <c r="FM8" s="121"/>
      <c r="FN8" s="148"/>
      <c r="FO8" s="10"/>
      <c r="FP8" s="10"/>
      <c r="FQ8" s="10"/>
      <c r="FR8" s="10"/>
      <c r="FS8" s="10"/>
      <c r="FT8" s="121"/>
      <c r="FU8" s="145"/>
      <c r="FV8" s="10"/>
      <c r="FW8" s="10"/>
      <c r="FX8" s="10"/>
      <c r="FY8" s="10"/>
      <c r="FZ8" s="10"/>
      <c r="GA8" s="121"/>
      <c r="GB8" s="155"/>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25"/>
      <c r="HR8" s="155"/>
      <c r="HS8" s="16"/>
      <c r="HT8" s="16"/>
      <c r="HU8" s="16"/>
      <c r="HV8" s="16"/>
      <c r="HW8" s="16"/>
      <c r="HX8" s="16"/>
      <c r="HY8" s="16"/>
      <c r="HZ8" s="16"/>
      <c r="IA8" s="16"/>
      <c r="IB8" s="16"/>
      <c r="IC8" s="16"/>
      <c r="ID8" s="16"/>
      <c r="IE8" s="25"/>
      <c r="IF8" s="155"/>
      <c r="IG8" s="16"/>
      <c r="IH8" s="16"/>
      <c r="II8" s="16"/>
      <c r="IJ8" s="16"/>
      <c r="IK8" s="16"/>
      <c r="IL8" s="16"/>
      <c r="IM8" s="16"/>
      <c r="IN8" s="16"/>
      <c r="IO8" s="16"/>
      <c r="IP8" s="16"/>
      <c r="IQ8" s="16"/>
      <c r="IR8" s="16"/>
      <c r="IS8" s="16"/>
      <c r="IT8" s="16"/>
      <c r="IU8" s="16"/>
      <c r="IV8" s="16"/>
      <c r="IW8" s="16"/>
      <c r="IX8" s="16"/>
      <c r="IY8" s="16"/>
      <c r="IZ8" s="25"/>
      <c r="JA8" s="155"/>
      <c r="JB8" s="16"/>
      <c r="JC8" s="16"/>
      <c r="JD8" s="16"/>
      <c r="JE8" s="16"/>
      <c r="JF8" s="16"/>
      <c r="JG8" s="25"/>
      <c r="JH8" s="155"/>
      <c r="JI8" s="16"/>
      <c r="JJ8" s="16"/>
      <c r="JK8" s="16"/>
      <c r="JL8" s="16"/>
      <c r="JM8" s="16"/>
      <c r="JN8" s="25"/>
      <c r="JO8" s="145"/>
      <c r="JP8" s="10"/>
      <c r="JQ8" s="10"/>
      <c r="JR8" s="10"/>
      <c r="JS8" s="10"/>
      <c r="JT8" s="10"/>
      <c r="JU8" s="121"/>
      <c r="JV8" s="145"/>
      <c r="JW8" s="10"/>
      <c r="JX8" s="10"/>
      <c r="JY8" s="10"/>
      <c r="JZ8" s="10"/>
      <c r="KA8" s="10"/>
      <c r="KB8" s="121"/>
      <c r="KC8" s="145"/>
      <c r="KD8" s="10"/>
      <c r="KE8" s="10"/>
      <c r="KF8" s="10"/>
      <c r="KG8" s="10"/>
      <c r="KH8" s="10"/>
      <c r="KI8" s="121"/>
      <c r="KJ8" s="145"/>
      <c r="KK8" s="10"/>
      <c r="KL8" s="10"/>
      <c r="KM8" s="10"/>
      <c r="KN8" s="10"/>
      <c r="KO8" s="10"/>
      <c r="KP8" s="121"/>
      <c r="KQ8" s="145"/>
      <c r="KR8" s="10"/>
      <c r="KS8" s="10"/>
      <c r="KT8" s="10"/>
      <c r="KU8" s="10"/>
      <c r="KV8" s="10"/>
      <c r="KW8" s="121"/>
      <c r="KX8" s="145"/>
      <c r="KY8" s="10"/>
      <c r="KZ8" s="10"/>
      <c r="LA8" s="10"/>
      <c r="LB8" s="10"/>
      <c r="LC8" s="10"/>
      <c r="LD8" s="121"/>
      <c r="LE8" s="145"/>
      <c r="LF8" s="10"/>
      <c r="LG8" s="10"/>
      <c r="LH8" s="10"/>
      <c r="LI8" s="10"/>
      <c r="LJ8" s="10"/>
      <c r="LK8" s="121"/>
      <c r="LL8" s="16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21"/>
      <c r="NB8" s="161"/>
      <c r="NC8" s="162"/>
      <c r="ND8" s="162"/>
      <c r="NE8" s="162"/>
      <c r="NF8" s="162"/>
      <c r="NG8" s="162"/>
      <c r="NH8" s="162"/>
      <c r="NI8" s="162"/>
      <c r="NJ8" s="162"/>
      <c r="NK8" s="162"/>
      <c r="NL8" s="162"/>
      <c r="NM8" s="162"/>
      <c r="NN8" s="162"/>
      <c r="NO8" s="162"/>
      <c r="NP8" s="162"/>
      <c r="NQ8" s="162"/>
      <c r="NR8" s="162"/>
      <c r="NS8" s="162"/>
      <c r="NT8" s="162"/>
      <c r="NU8" s="162"/>
      <c r="NV8" s="162"/>
      <c r="NW8" s="162"/>
      <c r="NX8" s="162"/>
      <c r="NY8" s="162"/>
      <c r="NZ8" s="162"/>
      <c r="OA8" s="162"/>
      <c r="OB8" s="162"/>
      <c r="OC8" s="162"/>
      <c r="OD8" s="162"/>
      <c r="OE8" s="162"/>
      <c r="OF8" s="162"/>
      <c r="OG8" s="162"/>
      <c r="OH8" s="162"/>
      <c r="OI8" s="162"/>
      <c r="OJ8" s="162"/>
      <c r="OK8" s="162"/>
      <c r="OL8" s="162"/>
      <c r="OM8" s="162"/>
      <c r="ON8" s="162"/>
      <c r="OO8" s="162"/>
      <c r="OP8" s="162"/>
      <c r="OQ8" s="162"/>
      <c r="OR8" s="162"/>
      <c r="OS8" s="162"/>
      <c r="OT8" s="162"/>
      <c r="OU8" s="162"/>
      <c r="OV8" s="162"/>
      <c r="OW8" s="162"/>
      <c r="OX8" s="162"/>
      <c r="OY8" s="162"/>
      <c r="OZ8" s="162"/>
      <c r="PA8" s="162"/>
      <c r="PB8" s="162"/>
      <c r="PC8" s="162"/>
      <c r="PD8" s="162"/>
      <c r="PE8" s="162"/>
      <c r="PF8" s="162"/>
      <c r="PG8" s="162"/>
      <c r="PH8" s="162"/>
      <c r="PI8" s="162"/>
      <c r="PJ8" s="162"/>
      <c r="PK8" s="162"/>
      <c r="PL8" s="162"/>
      <c r="PM8" s="162"/>
      <c r="PN8" s="162"/>
      <c r="PO8" s="162"/>
      <c r="PP8" s="162"/>
      <c r="PQ8" s="162"/>
      <c r="PR8" s="162"/>
      <c r="PS8" s="162"/>
      <c r="PT8" s="162"/>
      <c r="PU8" s="162"/>
      <c r="PV8" s="162"/>
      <c r="PW8" s="162"/>
      <c r="PX8" s="162"/>
      <c r="PY8" s="162"/>
      <c r="PZ8" s="162"/>
      <c r="QA8" s="162"/>
      <c r="QB8" s="162"/>
      <c r="QC8" s="162"/>
      <c r="QD8" s="162"/>
      <c r="QE8" s="162"/>
      <c r="QF8" s="162"/>
      <c r="QG8" s="162"/>
      <c r="QH8" s="162"/>
      <c r="QI8" s="162"/>
      <c r="QJ8" s="162"/>
      <c r="QK8" s="162"/>
      <c r="QL8" s="162"/>
      <c r="QM8" s="162"/>
      <c r="QN8" s="162"/>
      <c r="QO8" s="162"/>
      <c r="QP8" s="162"/>
      <c r="QQ8" s="162"/>
      <c r="QR8" s="162"/>
      <c r="QS8" s="162"/>
      <c r="QT8" s="162"/>
      <c r="QU8" s="162"/>
      <c r="QV8" s="162"/>
      <c r="QW8" s="162"/>
      <c r="QX8" s="162"/>
      <c r="QY8" s="162"/>
      <c r="QZ8" s="162"/>
      <c r="RA8" s="162"/>
      <c r="RB8" s="162"/>
      <c r="RC8" s="162"/>
      <c r="RD8" s="162"/>
      <c r="RE8" s="162"/>
      <c r="RF8" s="162"/>
      <c r="RG8" s="162"/>
      <c r="RH8" s="162"/>
      <c r="RI8" s="162"/>
      <c r="RJ8" s="162"/>
      <c r="RK8" s="162"/>
      <c r="RL8" s="162"/>
      <c r="RM8" s="162"/>
      <c r="RN8" s="162"/>
      <c r="RO8" s="162"/>
      <c r="RP8" s="162"/>
      <c r="RQ8" s="162"/>
      <c r="RR8" s="162"/>
      <c r="RS8" s="162"/>
      <c r="RT8" s="162"/>
      <c r="RU8" s="162"/>
      <c r="RV8" s="162"/>
      <c r="RW8" s="162"/>
      <c r="RX8" s="162"/>
      <c r="RY8" s="162"/>
      <c r="RZ8" s="162"/>
      <c r="SA8" s="162"/>
      <c r="SB8" s="162"/>
      <c r="SC8" s="162"/>
      <c r="SD8" s="162"/>
      <c r="SE8" s="162"/>
      <c r="SF8" s="162"/>
      <c r="SG8" s="162"/>
      <c r="SH8" s="162"/>
      <c r="SI8" s="162"/>
      <c r="SJ8" s="162"/>
      <c r="SK8" s="162"/>
      <c r="SL8" s="162"/>
      <c r="SM8" s="162"/>
      <c r="SN8" s="162"/>
      <c r="SO8" s="162"/>
      <c r="SP8" s="162"/>
      <c r="SQ8" s="162"/>
      <c r="SR8" s="162"/>
      <c r="SS8" s="162"/>
      <c r="ST8" s="162"/>
      <c r="SU8" s="162"/>
      <c r="SV8" s="162"/>
      <c r="SW8" s="162"/>
      <c r="SX8" s="162"/>
      <c r="SY8" s="162"/>
      <c r="SZ8" s="162"/>
      <c r="TA8" s="162"/>
      <c r="TB8" s="162"/>
      <c r="TC8" s="162"/>
      <c r="TD8" s="162"/>
      <c r="TE8" s="162"/>
      <c r="TF8" s="162"/>
      <c r="TG8" s="162"/>
      <c r="TH8" s="162"/>
      <c r="TI8" s="162"/>
      <c r="TJ8" s="162"/>
      <c r="TK8" s="162"/>
      <c r="TL8" s="162"/>
      <c r="TM8" s="162"/>
      <c r="TN8" s="162"/>
      <c r="TO8" s="162"/>
      <c r="TP8" s="162"/>
      <c r="TQ8" s="162"/>
      <c r="TR8" s="162"/>
      <c r="TS8" s="162"/>
      <c r="TT8" s="162"/>
      <c r="TU8" s="162"/>
      <c r="TV8" s="162"/>
      <c r="TW8" s="162"/>
      <c r="TX8" s="162"/>
      <c r="TY8" s="162"/>
      <c r="TZ8" s="162"/>
      <c r="UA8" s="162"/>
      <c r="UB8" s="162"/>
      <c r="UC8" s="162"/>
      <c r="UD8" s="162"/>
      <c r="UE8" s="162"/>
      <c r="UF8" s="162"/>
      <c r="UG8" s="162"/>
      <c r="UH8" s="162"/>
      <c r="UI8" s="162"/>
      <c r="UJ8" s="162"/>
      <c r="UK8" s="162"/>
      <c r="UL8" s="162"/>
      <c r="UM8" s="162"/>
      <c r="UN8" s="162"/>
      <c r="UO8" s="162"/>
      <c r="UP8" s="162"/>
      <c r="UQ8" s="162"/>
      <c r="UR8" s="162"/>
      <c r="US8" s="162"/>
      <c r="UT8" s="162"/>
      <c r="UU8" s="162"/>
      <c r="UV8" s="162"/>
      <c r="UW8" s="162"/>
      <c r="UX8" s="162"/>
      <c r="UY8" s="162"/>
      <c r="UZ8" s="162"/>
      <c r="VA8" s="162"/>
      <c r="VB8" s="162"/>
      <c r="VC8" s="162"/>
      <c r="VD8" s="162"/>
      <c r="VE8" s="162"/>
      <c r="VF8" s="162"/>
      <c r="VG8" s="162"/>
      <c r="VH8" s="162"/>
      <c r="VI8" s="162"/>
      <c r="VJ8" s="162"/>
      <c r="VK8" s="162"/>
      <c r="VL8" s="162"/>
      <c r="VM8" s="162"/>
      <c r="VN8" s="162"/>
      <c r="VO8" s="162"/>
      <c r="VP8" s="162"/>
      <c r="VQ8" s="162"/>
      <c r="VR8" s="162"/>
      <c r="VS8" s="162"/>
      <c r="VT8" s="162"/>
      <c r="VU8" s="162"/>
      <c r="VV8" s="162"/>
      <c r="VW8" s="162"/>
      <c r="VX8" s="162"/>
      <c r="VY8" s="162"/>
      <c r="VZ8" s="162"/>
      <c r="WA8" s="162"/>
      <c r="WB8" s="162"/>
      <c r="WC8" s="162"/>
      <c r="WD8" s="162"/>
      <c r="WE8" s="162"/>
      <c r="WF8" s="162"/>
      <c r="WG8" s="162"/>
      <c r="WH8" s="162"/>
      <c r="WI8" s="162"/>
      <c r="WJ8" s="162"/>
      <c r="WK8" s="162"/>
      <c r="WL8" s="162"/>
      <c r="WM8" s="162"/>
      <c r="WN8" s="162"/>
      <c r="WO8" s="162"/>
      <c r="WP8" s="162"/>
      <c r="WQ8" s="162"/>
      <c r="WR8" s="162"/>
      <c r="WS8" s="162"/>
      <c r="WT8" s="162"/>
      <c r="WU8" s="162"/>
      <c r="WV8" s="162"/>
      <c r="WW8" s="162"/>
      <c r="WX8" s="162"/>
      <c r="WY8" s="162"/>
      <c r="WZ8" s="162"/>
      <c r="XA8" s="162"/>
      <c r="XB8" s="162"/>
      <c r="XC8" s="162"/>
      <c r="XD8" s="162"/>
      <c r="XE8" s="162"/>
      <c r="XF8" s="162"/>
      <c r="XG8" s="162"/>
      <c r="XH8" s="162"/>
      <c r="XI8" s="162"/>
      <c r="XJ8" s="162"/>
      <c r="XK8" s="162"/>
      <c r="XL8" s="162"/>
      <c r="XM8" s="162"/>
      <c r="XN8" s="162"/>
      <c r="XO8" s="162"/>
      <c r="XP8" s="162"/>
      <c r="XQ8" s="162"/>
      <c r="XR8" s="162"/>
      <c r="XS8" s="162"/>
      <c r="XT8" s="162"/>
      <c r="XU8" s="162"/>
      <c r="XV8" s="162"/>
      <c r="XW8" s="162"/>
      <c r="XX8" s="162"/>
      <c r="XY8" s="162"/>
      <c r="XZ8" s="162"/>
      <c r="YA8" s="162"/>
      <c r="YB8" s="162"/>
      <c r="YC8" s="162"/>
      <c r="YD8" s="162"/>
      <c r="YE8" s="162"/>
      <c r="YF8" s="162"/>
      <c r="YG8" s="162"/>
      <c r="YH8" s="162"/>
      <c r="YI8" s="162"/>
      <c r="YJ8" s="162"/>
      <c r="YK8" s="162"/>
      <c r="YL8" s="162"/>
      <c r="YM8" s="162"/>
      <c r="YN8" s="162"/>
      <c r="YO8" s="162"/>
      <c r="YP8" s="162"/>
      <c r="YQ8" s="162"/>
      <c r="YR8" s="162"/>
      <c r="YS8" s="162"/>
      <c r="YT8" s="162"/>
      <c r="YU8" s="162"/>
      <c r="YV8" s="162"/>
      <c r="YW8" s="162"/>
      <c r="YX8" s="162"/>
      <c r="YY8" s="162"/>
      <c r="YZ8" s="162"/>
      <c r="ZA8" s="162"/>
      <c r="ZB8" s="162"/>
      <c r="ZC8" s="162"/>
      <c r="ZD8" s="162"/>
      <c r="ZE8" s="162"/>
    </row>
    <row r="9">
      <c r="A9" s="169" t="s">
        <v>254</v>
      </c>
      <c r="B9" s="172" t="s">
        <v>257</v>
      </c>
      <c r="I9" s="172" t="s">
        <v>259</v>
      </c>
      <c r="AD9" s="172" t="s">
        <v>262</v>
      </c>
      <c r="AU9" s="172" t="s">
        <v>391</v>
      </c>
      <c r="CI9" s="172" t="s">
        <v>393</v>
      </c>
      <c r="DJ9" s="174" t="s">
        <v>394</v>
      </c>
      <c r="DN9" s="172" t="s">
        <v>398</v>
      </c>
      <c r="EE9" s="172" t="s">
        <v>399</v>
      </c>
      <c r="EZ9" s="135" t="s">
        <v>400</v>
      </c>
      <c r="FA9" s="16"/>
      <c r="FB9" s="16"/>
      <c r="FC9" s="16"/>
      <c r="FD9" s="16"/>
      <c r="FE9" s="16"/>
      <c r="FF9" s="16"/>
      <c r="FG9" s="16"/>
      <c r="FH9" s="16"/>
      <c r="FI9" s="16"/>
      <c r="FJ9" s="16"/>
      <c r="FK9" s="16"/>
      <c r="FL9" s="16"/>
      <c r="FM9" s="25"/>
      <c r="FN9" s="135" t="s">
        <v>404</v>
      </c>
      <c r="FO9" s="16"/>
      <c r="FP9" s="16"/>
      <c r="FQ9" s="16"/>
      <c r="FR9" s="16"/>
      <c r="FS9" s="16"/>
      <c r="FT9" s="16"/>
      <c r="FU9" s="16"/>
      <c r="FV9" s="16"/>
      <c r="FW9" s="16"/>
      <c r="FX9" s="16"/>
      <c r="FY9" s="16"/>
      <c r="FZ9" s="16"/>
      <c r="GA9" s="16"/>
      <c r="GB9" s="16"/>
      <c r="GC9" s="16"/>
      <c r="GD9" s="16"/>
      <c r="GE9" s="16"/>
      <c r="GF9" s="16"/>
      <c r="GG9" s="16"/>
      <c r="GH9" s="25"/>
      <c r="GI9" s="179" t="s">
        <v>233</v>
      </c>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25"/>
      <c r="HR9" s="179" t="s">
        <v>412</v>
      </c>
      <c r="HS9" s="16"/>
      <c r="HT9" s="16"/>
      <c r="HU9" s="16"/>
      <c r="HV9" s="16"/>
      <c r="HW9" s="16"/>
      <c r="HX9" s="16"/>
      <c r="HY9" s="16"/>
      <c r="HZ9" s="16"/>
      <c r="IA9" s="16"/>
      <c r="IB9" s="16"/>
      <c r="IC9" s="16"/>
      <c r="ID9" s="16"/>
      <c r="IE9" s="25"/>
      <c r="IF9" s="179" t="s">
        <v>414</v>
      </c>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25"/>
      <c r="JH9" s="183" t="s">
        <v>416</v>
      </c>
      <c r="JI9" s="16"/>
      <c r="JJ9" s="16"/>
      <c r="JK9" s="16"/>
      <c r="JL9" s="16"/>
      <c r="JM9" s="16"/>
      <c r="JN9" s="25"/>
      <c r="JO9" s="135" t="s">
        <v>422</v>
      </c>
      <c r="JP9" s="16"/>
      <c r="JQ9" s="16"/>
      <c r="JR9" s="16"/>
      <c r="JS9" s="16"/>
      <c r="JT9" s="16"/>
      <c r="JU9" s="16"/>
      <c r="JV9" s="16"/>
      <c r="JW9" s="16"/>
      <c r="JX9" s="16"/>
      <c r="JY9" s="16"/>
      <c r="JZ9" s="16"/>
      <c r="KA9" s="16"/>
      <c r="KB9" s="16"/>
      <c r="KC9" s="16"/>
      <c r="KD9" s="16"/>
      <c r="KE9" s="16"/>
      <c r="KF9" s="16"/>
      <c r="KG9" s="16"/>
      <c r="KH9" s="16"/>
      <c r="KI9" s="16"/>
      <c r="KJ9" s="135" t="s">
        <v>425</v>
      </c>
      <c r="KK9" s="16"/>
      <c r="KL9" s="16"/>
      <c r="KM9" s="16"/>
      <c r="KN9" s="16"/>
      <c r="KO9" s="16"/>
      <c r="KP9" s="25"/>
      <c r="KQ9" s="135" t="s">
        <v>427</v>
      </c>
      <c r="KR9" s="16"/>
      <c r="KS9" s="16"/>
      <c r="KT9" s="16"/>
      <c r="KU9" s="16"/>
      <c r="KV9" s="16"/>
      <c r="KW9" s="16"/>
      <c r="KX9" s="16"/>
      <c r="KY9" s="16"/>
      <c r="KZ9" s="16"/>
      <c r="LA9" s="16"/>
      <c r="LB9" s="16"/>
      <c r="LC9" s="16"/>
      <c r="LD9" s="25"/>
      <c r="LE9" s="135" t="s">
        <v>429</v>
      </c>
      <c r="LF9" s="16"/>
      <c r="LG9" s="16"/>
      <c r="LH9" s="16"/>
      <c r="LI9" s="16"/>
      <c r="LJ9" s="16"/>
      <c r="LK9" s="16"/>
      <c r="LL9" s="16"/>
      <c r="LM9" s="16"/>
      <c r="LN9" s="16"/>
      <c r="LO9" s="16"/>
      <c r="LP9" s="16"/>
      <c r="LQ9" s="16"/>
      <c r="LR9" s="16"/>
      <c r="LS9" s="187" t="s">
        <v>322</v>
      </c>
      <c r="LT9" s="16"/>
      <c r="LU9" s="16"/>
      <c r="LV9" s="16"/>
      <c r="LW9" s="16"/>
      <c r="LX9" s="16"/>
      <c r="LY9" s="16"/>
      <c r="LZ9" s="16"/>
      <c r="MA9" s="25"/>
      <c r="MB9" s="135" t="s">
        <v>323</v>
      </c>
      <c r="MC9" s="16"/>
      <c r="MD9" s="16"/>
      <c r="ME9" s="16"/>
      <c r="MF9" s="16"/>
      <c r="MG9" s="16"/>
      <c r="MH9" s="16"/>
      <c r="MI9" s="16"/>
      <c r="MJ9" s="16"/>
      <c r="MK9" s="16"/>
      <c r="ML9" s="16"/>
      <c r="MM9" s="16"/>
      <c r="MN9" s="16"/>
      <c r="MO9" s="16"/>
      <c r="MP9" s="16"/>
      <c r="MQ9" s="16"/>
      <c r="MR9" s="16"/>
      <c r="MS9" s="16"/>
      <c r="MT9" s="25"/>
      <c r="MU9" s="108" t="s">
        <v>325</v>
      </c>
      <c r="MV9" s="16"/>
      <c r="MW9" s="16"/>
      <c r="MX9" s="16"/>
      <c r="MY9" s="16"/>
      <c r="MZ9" s="16"/>
      <c r="NA9" s="25"/>
      <c r="NB9" s="81"/>
      <c r="NC9" s="111"/>
      <c r="ND9" s="111"/>
      <c r="NE9" s="111"/>
      <c r="NF9" s="111"/>
      <c r="NG9" s="111"/>
      <c r="NH9" s="111"/>
      <c r="NI9" s="111"/>
      <c r="NJ9" s="111"/>
      <c r="NK9" s="111"/>
      <c r="NL9" s="111"/>
      <c r="NM9" s="111"/>
      <c r="NN9" s="111"/>
      <c r="NO9" s="111"/>
      <c r="NP9" s="111"/>
      <c r="NQ9" s="111"/>
      <c r="NR9" s="111"/>
      <c r="NS9" s="111"/>
      <c r="NT9" s="111"/>
      <c r="NU9" s="111"/>
      <c r="NV9" s="111"/>
      <c r="NW9" s="111"/>
      <c r="NX9" s="111"/>
      <c r="NY9" s="111"/>
      <c r="NZ9" s="111"/>
      <c r="OA9" s="111"/>
      <c r="OB9" s="111"/>
      <c r="OC9" s="111"/>
      <c r="OD9" s="111"/>
      <c r="OE9" s="111"/>
      <c r="OF9" s="111"/>
      <c r="OG9" s="111"/>
      <c r="OH9" s="111"/>
      <c r="OI9" s="111"/>
      <c r="OJ9" s="111"/>
      <c r="OK9" s="111"/>
      <c r="OL9" s="111"/>
      <c r="OM9" s="111"/>
      <c r="ON9" s="111"/>
      <c r="OO9" s="111"/>
      <c r="OP9" s="111"/>
      <c r="OQ9" s="111"/>
      <c r="OR9" s="111"/>
      <c r="OS9" s="111"/>
      <c r="OT9" s="111"/>
      <c r="OU9" s="111"/>
      <c r="OV9" s="111"/>
      <c r="OW9" s="111"/>
      <c r="OX9" s="111"/>
      <c r="OY9" s="111"/>
      <c r="OZ9" s="111"/>
      <c r="PA9" s="111"/>
      <c r="PB9" s="111"/>
      <c r="PC9" s="111"/>
      <c r="PD9" s="111"/>
      <c r="PE9" s="111"/>
      <c r="PF9" s="111"/>
      <c r="PG9" s="111"/>
      <c r="PH9" s="111"/>
      <c r="PI9" s="111"/>
      <c r="PJ9" s="111"/>
      <c r="PK9" s="111"/>
      <c r="PL9" s="111"/>
      <c r="PM9" s="111"/>
      <c r="PN9" s="111"/>
      <c r="PO9" s="111"/>
      <c r="PP9" s="111"/>
      <c r="PQ9" s="111"/>
      <c r="PR9" s="111"/>
      <c r="PS9" s="111"/>
      <c r="PT9" s="111"/>
      <c r="PU9" s="111"/>
      <c r="PV9" s="111"/>
      <c r="PW9" s="111"/>
      <c r="PX9" s="111"/>
      <c r="PY9" s="111"/>
      <c r="PZ9" s="111"/>
      <c r="QA9" s="111"/>
      <c r="QB9" s="111"/>
      <c r="QC9" s="111"/>
      <c r="QD9" s="111"/>
      <c r="QE9" s="111"/>
      <c r="QF9" s="111"/>
      <c r="QG9" s="111"/>
      <c r="QH9" s="111"/>
      <c r="QI9" s="111"/>
      <c r="QJ9" s="111"/>
      <c r="QK9" s="111"/>
      <c r="QL9" s="111"/>
      <c r="QM9" s="111"/>
      <c r="QN9" s="111"/>
      <c r="QO9" s="111"/>
      <c r="QP9" s="111"/>
      <c r="QQ9" s="111"/>
      <c r="QR9" s="111"/>
      <c r="QS9" s="111"/>
      <c r="QT9" s="111"/>
      <c r="QU9" s="111"/>
      <c r="QV9" s="111"/>
      <c r="QW9" s="111"/>
      <c r="QX9" s="111"/>
      <c r="QY9" s="111"/>
      <c r="QZ9" s="111"/>
      <c r="RA9" s="111"/>
      <c r="RB9" s="111"/>
      <c r="RC9" s="111"/>
      <c r="RD9" s="111"/>
      <c r="RE9" s="111"/>
      <c r="RF9" s="111"/>
      <c r="RG9" s="111"/>
      <c r="RH9" s="111"/>
      <c r="RI9" s="111"/>
      <c r="RJ9" s="111"/>
      <c r="RK9" s="111"/>
      <c r="RL9" s="111"/>
      <c r="RM9" s="111"/>
      <c r="RN9" s="111"/>
      <c r="RO9" s="111"/>
      <c r="RP9" s="111"/>
      <c r="RQ9" s="111"/>
      <c r="RR9" s="111"/>
      <c r="RS9" s="111"/>
      <c r="RT9" s="111"/>
      <c r="RU9" s="111"/>
      <c r="RV9" s="111"/>
      <c r="RW9" s="111"/>
      <c r="RX9" s="111"/>
      <c r="RY9" s="111"/>
      <c r="RZ9" s="111"/>
      <c r="SA9" s="111"/>
      <c r="SB9" s="111"/>
      <c r="SC9" s="111"/>
      <c r="SD9" s="111"/>
      <c r="SE9" s="111"/>
      <c r="SF9" s="111"/>
      <c r="SG9" s="111"/>
      <c r="SH9" s="111"/>
      <c r="SI9" s="111"/>
      <c r="SJ9" s="111"/>
      <c r="SK9" s="111"/>
      <c r="SL9" s="111"/>
      <c r="SM9" s="111"/>
      <c r="SN9" s="111"/>
      <c r="SO9" s="111"/>
      <c r="SP9" s="111"/>
      <c r="SQ9" s="111"/>
      <c r="SR9" s="111"/>
      <c r="SS9" s="111"/>
      <c r="ST9" s="111"/>
      <c r="SU9" s="111"/>
      <c r="SV9" s="111"/>
      <c r="SW9" s="111"/>
      <c r="SX9" s="111"/>
      <c r="SY9" s="111"/>
      <c r="SZ9" s="111"/>
      <c r="TA9" s="111"/>
      <c r="TB9" s="111"/>
      <c r="TC9" s="111"/>
      <c r="TD9" s="111"/>
      <c r="TE9" s="111"/>
      <c r="TF9" s="111"/>
      <c r="TG9" s="111"/>
      <c r="TH9" s="111"/>
      <c r="TI9" s="111"/>
      <c r="TJ9" s="111"/>
      <c r="TK9" s="111"/>
      <c r="TL9" s="111"/>
      <c r="TM9" s="111"/>
      <c r="TN9" s="111"/>
      <c r="TO9" s="111"/>
      <c r="TP9" s="111"/>
      <c r="TQ9" s="111"/>
      <c r="TR9" s="111"/>
      <c r="TS9" s="111"/>
      <c r="TT9" s="111"/>
      <c r="TU9" s="111"/>
      <c r="TV9" s="111"/>
      <c r="TW9" s="111"/>
      <c r="TX9" s="111"/>
      <c r="TY9" s="111"/>
      <c r="TZ9" s="111"/>
      <c r="UA9" s="111"/>
      <c r="UB9" s="111"/>
      <c r="UC9" s="111"/>
      <c r="UD9" s="111"/>
      <c r="UE9" s="111"/>
      <c r="UF9" s="111"/>
      <c r="UG9" s="111"/>
      <c r="UH9" s="111"/>
      <c r="UI9" s="111"/>
      <c r="UJ9" s="111"/>
      <c r="UK9" s="111"/>
      <c r="UL9" s="111"/>
      <c r="UM9" s="111"/>
      <c r="UN9" s="111"/>
      <c r="UO9" s="111"/>
      <c r="UP9" s="111"/>
      <c r="UQ9" s="111"/>
      <c r="UR9" s="111"/>
      <c r="US9" s="111"/>
      <c r="UT9" s="111"/>
      <c r="UU9" s="111"/>
      <c r="UV9" s="111"/>
      <c r="UW9" s="111"/>
      <c r="UX9" s="111"/>
      <c r="UY9" s="111"/>
      <c r="UZ9" s="111"/>
      <c r="VA9" s="111"/>
      <c r="VB9" s="111"/>
      <c r="VC9" s="111"/>
      <c r="VD9" s="111"/>
      <c r="VE9" s="111"/>
      <c r="VF9" s="111"/>
      <c r="VG9" s="111"/>
      <c r="VH9" s="111"/>
      <c r="VI9" s="111"/>
      <c r="VJ9" s="111"/>
      <c r="VK9" s="111"/>
      <c r="VL9" s="111"/>
      <c r="VM9" s="111"/>
      <c r="VN9" s="111"/>
      <c r="VO9" s="111"/>
      <c r="VP9" s="111"/>
      <c r="VQ9" s="111"/>
      <c r="VR9" s="111"/>
      <c r="VS9" s="111"/>
      <c r="VT9" s="111"/>
      <c r="VU9" s="111"/>
      <c r="VV9" s="111"/>
      <c r="VW9" s="111"/>
      <c r="VX9" s="111"/>
      <c r="VY9" s="111"/>
      <c r="VZ9" s="111"/>
      <c r="WA9" s="111"/>
      <c r="WB9" s="111"/>
      <c r="WC9" s="111"/>
      <c r="WD9" s="111"/>
      <c r="WE9" s="111"/>
      <c r="WF9" s="111"/>
      <c r="WG9" s="111"/>
      <c r="WH9" s="111"/>
      <c r="WI9" s="111"/>
      <c r="WJ9" s="111"/>
      <c r="WK9" s="111"/>
      <c r="WL9" s="111"/>
      <c r="WM9" s="111"/>
      <c r="WN9" s="111"/>
      <c r="WO9" s="111"/>
      <c r="WP9" s="111"/>
      <c r="WQ9" s="111"/>
      <c r="WR9" s="111"/>
      <c r="WS9" s="111"/>
      <c r="WT9" s="111"/>
      <c r="WU9" s="111"/>
      <c r="WV9" s="111"/>
      <c r="WW9" s="111"/>
      <c r="WX9" s="111"/>
      <c r="WY9" s="111"/>
      <c r="WZ9" s="111"/>
      <c r="XA9" s="111"/>
      <c r="XB9" s="111"/>
      <c r="XC9" s="111"/>
      <c r="XD9" s="111"/>
      <c r="XE9" s="111"/>
      <c r="XF9" s="111"/>
      <c r="XG9" s="111"/>
      <c r="XH9" s="111"/>
      <c r="XI9" s="111"/>
      <c r="XJ9" s="111"/>
      <c r="XK9" s="111"/>
      <c r="XL9" s="111"/>
      <c r="XM9" s="111"/>
      <c r="XN9" s="111"/>
      <c r="XO9" s="111"/>
      <c r="XP9" s="111"/>
      <c r="XQ9" s="111"/>
      <c r="XR9" s="111"/>
      <c r="XS9" s="111"/>
      <c r="XT9" s="111"/>
      <c r="XU9" s="111"/>
      <c r="XV9" s="111"/>
      <c r="XW9" s="111"/>
      <c r="XX9" s="111"/>
      <c r="XY9" s="111"/>
      <c r="XZ9" s="111"/>
      <c r="YA9" s="111"/>
      <c r="YB9" s="111"/>
      <c r="YC9" s="111"/>
      <c r="YD9" s="111"/>
      <c r="YE9" s="111"/>
      <c r="YF9" s="111"/>
      <c r="YG9" s="111"/>
      <c r="YH9" s="111"/>
      <c r="YI9" s="111"/>
      <c r="YJ9" s="111"/>
      <c r="YK9" s="111"/>
      <c r="YL9" s="111"/>
      <c r="YM9" s="111"/>
      <c r="YN9" s="111"/>
      <c r="YO9" s="111"/>
      <c r="YP9" s="111"/>
      <c r="YQ9" s="111"/>
      <c r="YR9" s="111"/>
      <c r="YS9" s="111"/>
      <c r="YT9" s="111"/>
      <c r="YU9" s="111"/>
      <c r="YV9" s="111"/>
      <c r="YW9" s="111"/>
      <c r="YX9" s="111"/>
      <c r="YY9" s="111"/>
      <c r="YZ9" s="111"/>
      <c r="ZA9" s="111"/>
      <c r="ZB9" s="111"/>
      <c r="ZC9" s="111"/>
      <c r="ZD9" s="111"/>
      <c r="ZE9" s="111"/>
    </row>
    <row r="10" ht="102.0" customHeight="1">
      <c r="A10" s="13" t="s">
        <v>348</v>
      </c>
      <c r="B10" s="84" t="s">
        <v>445</v>
      </c>
      <c r="I10" s="84" t="s">
        <v>446</v>
      </c>
      <c r="AD10" s="192" t="s">
        <v>447</v>
      </c>
      <c r="AU10" s="84" t="s">
        <v>450</v>
      </c>
      <c r="CI10" s="84" t="s">
        <v>452</v>
      </c>
      <c r="DJ10" s="84"/>
      <c r="DN10" s="84" t="s">
        <v>453</v>
      </c>
      <c r="EE10" s="193" t="s">
        <v>455</v>
      </c>
      <c r="EZ10" s="167" t="s">
        <v>457</v>
      </c>
      <c r="FM10" s="83"/>
      <c r="FN10" s="106" t="s">
        <v>459</v>
      </c>
      <c r="FO10" s="16"/>
      <c r="FP10" s="16"/>
      <c r="FQ10" s="16"/>
      <c r="FR10" s="16"/>
      <c r="FS10" s="16"/>
      <c r="FT10" s="16"/>
      <c r="FU10" s="16"/>
      <c r="FV10" s="16"/>
      <c r="FW10" s="16"/>
      <c r="FX10" s="16"/>
      <c r="FY10" s="16"/>
      <c r="FZ10" s="16"/>
      <c r="GA10" s="16"/>
      <c r="GB10" s="106" t="s">
        <v>461</v>
      </c>
      <c r="GC10" s="16"/>
      <c r="GD10" s="16"/>
      <c r="GE10" s="16"/>
      <c r="GF10" s="16"/>
      <c r="GG10" s="16"/>
      <c r="GH10" s="25"/>
      <c r="GI10" s="106" t="s">
        <v>462</v>
      </c>
      <c r="GJ10" s="16"/>
      <c r="GK10" s="16"/>
      <c r="GL10" s="16"/>
      <c r="GM10" s="16"/>
      <c r="GN10" s="16"/>
      <c r="GO10" s="25"/>
      <c r="GP10" s="146" t="s">
        <v>465</v>
      </c>
      <c r="GQ10" s="16"/>
      <c r="GR10" s="16"/>
      <c r="GS10" s="16"/>
      <c r="GT10" s="16"/>
      <c r="GU10" s="16"/>
      <c r="GV10" s="25"/>
      <c r="GW10" s="106" t="s">
        <v>468</v>
      </c>
      <c r="GX10" s="16"/>
      <c r="GY10" s="16"/>
      <c r="GZ10" s="16"/>
      <c r="HA10" s="16"/>
      <c r="HB10" s="16"/>
      <c r="HC10" s="25"/>
      <c r="HD10" s="197" t="s">
        <v>472</v>
      </c>
      <c r="HE10" s="16"/>
      <c r="HF10" s="16"/>
      <c r="HG10" s="16"/>
      <c r="HH10" s="16"/>
      <c r="HI10" s="16"/>
      <c r="HJ10" s="25"/>
      <c r="HK10" s="197" t="s">
        <v>477</v>
      </c>
      <c r="HL10" s="16"/>
      <c r="HM10" s="16"/>
      <c r="HN10" s="16"/>
      <c r="HO10" s="16"/>
      <c r="HP10" s="16"/>
      <c r="HQ10" s="25"/>
      <c r="HR10" s="198" t="s">
        <v>479</v>
      </c>
      <c r="HS10" s="16"/>
      <c r="HT10" s="16"/>
      <c r="HU10" s="16"/>
      <c r="HV10" s="16"/>
      <c r="HW10" s="16"/>
      <c r="HX10" s="25"/>
      <c r="HY10" s="198" t="s">
        <v>482</v>
      </c>
      <c r="HZ10" s="16"/>
      <c r="IA10" s="16"/>
      <c r="IB10" s="16"/>
      <c r="IC10" s="16"/>
      <c r="ID10" s="16"/>
      <c r="IE10" s="25"/>
      <c r="IF10" s="201" t="s">
        <v>485</v>
      </c>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25"/>
      <c r="JH10" s="205" t="s">
        <v>489</v>
      </c>
      <c r="JI10" s="16"/>
      <c r="JJ10" s="16"/>
      <c r="JK10" s="16"/>
      <c r="JL10" s="16"/>
      <c r="JM10" s="16"/>
      <c r="JN10" s="25"/>
      <c r="JO10" s="206" t="s">
        <v>493</v>
      </c>
      <c r="JV10" s="207" t="s">
        <v>495</v>
      </c>
      <c r="KB10" s="83"/>
      <c r="KC10" s="208" t="s">
        <v>498</v>
      </c>
      <c r="KD10" s="16"/>
      <c r="KE10" s="16"/>
      <c r="KF10" s="16"/>
      <c r="KG10" s="16"/>
      <c r="KH10" s="16"/>
      <c r="KI10" s="25"/>
      <c r="KJ10" s="210" t="s">
        <v>501</v>
      </c>
      <c r="KQ10" s="106" t="s">
        <v>503</v>
      </c>
      <c r="KR10" s="16"/>
      <c r="KS10" s="16"/>
      <c r="KT10" s="16"/>
      <c r="KU10" s="16"/>
      <c r="KV10" s="16"/>
      <c r="KW10" s="16"/>
      <c r="KX10" s="16"/>
      <c r="KY10" s="16"/>
      <c r="KZ10" s="16"/>
      <c r="LA10" s="16"/>
      <c r="LB10" s="16"/>
      <c r="LC10" s="16"/>
      <c r="LD10" s="16"/>
      <c r="LE10" s="212" t="s">
        <v>508</v>
      </c>
      <c r="LF10" s="16"/>
      <c r="LG10" s="16"/>
      <c r="LH10" s="16"/>
      <c r="LI10" s="16"/>
      <c r="LJ10" s="16"/>
      <c r="LK10" s="25"/>
      <c r="LL10" s="106" t="s">
        <v>518</v>
      </c>
      <c r="LM10" s="16"/>
      <c r="LN10" s="16"/>
      <c r="LO10" s="16"/>
      <c r="LP10" s="16"/>
      <c r="LQ10" s="16"/>
      <c r="LR10" s="25"/>
      <c r="LS10" s="208" t="s">
        <v>520</v>
      </c>
      <c r="LT10" s="16"/>
      <c r="LU10" s="16"/>
      <c r="LV10" s="16"/>
      <c r="LW10" s="16"/>
      <c r="LX10" s="16"/>
      <c r="LY10" s="25"/>
      <c r="LZ10" s="207" t="s">
        <v>523</v>
      </c>
      <c r="MF10" s="83"/>
      <c r="MG10" s="207" t="s">
        <v>525</v>
      </c>
      <c r="MM10" s="83"/>
      <c r="MN10" s="207" t="s">
        <v>523</v>
      </c>
      <c r="MT10" s="83"/>
      <c r="MU10" s="110" t="s">
        <v>528</v>
      </c>
      <c r="NA10" s="83"/>
      <c r="NB10" s="84"/>
      <c r="NC10" s="110"/>
      <c r="ND10" s="110"/>
      <c r="NE10" s="110"/>
      <c r="NF10" s="110"/>
      <c r="NG10" s="110"/>
      <c r="NH10" s="110"/>
      <c r="NI10" s="110"/>
      <c r="NJ10" s="110"/>
      <c r="NK10" s="110"/>
      <c r="NL10" s="110"/>
      <c r="NM10" s="110"/>
      <c r="NN10" s="110"/>
      <c r="NO10" s="110"/>
      <c r="NP10" s="110"/>
      <c r="NQ10" s="110"/>
      <c r="NR10" s="110"/>
      <c r="NS10" s="110"/>
      <c r="NT10" s="110"/>
      <c r="NU10" s="110"/>
      <c r="NV10" s="110"/>
      <c r="NW10" s="110"/>
      <c r="NX10" s="110"/>
      <c r="NY10" s="110"/>
      <c r="NZ10" s="110"/>
      <c r="OA10" s="110"/>
      <c r="OB10" s="110"/>
      <c r="OC10" s="110"/>
      <c r="OD10" s="110"/>
      <c r="OE10" s="110"/>
      <c r="OF10" s="110"/>
      <c r="OG10" s="110"/>
      <c r="OH10" s="110"/>
      <c r="OI10" s="110"/>
      <c r="OJ10" s="110"/>
      <c r="OK10" s="110"/>
      <c r="OL10" s="110"/>
      <c r="OM10" s="110"/>
      <c r="ON10" s="110"/>
      <c r="OO10" s="110"/>
      <c r="OP10" s="110"/>
      <c r="OQ10" s="110"/>
      <c r="OR10" s="110"/>
      <c r="OS10" s="110"/>
      <c r="OT10" s="110"/>
      <c r="OU10" s="110"/>
      <c r="OV10" s="110"/>
      <c r="OW10" s="110"/>
      <c r="OX10" s="110"/>
      <c r="OY10" s="110"/>
      <c r="OZ10" s="110"/>
      <c r="PA10" s="110"/>
      <c r="PB10" s="110"/>
      <c r="PC10" s="110"/>
      <c r="PD10" s="110"/>
      <c r="PE10" s="110"/>
      <c r="PF10" s="110"/>
      <c r="PG10" s="110"/>
      <c r="PH10" s="110"/>
      <c r="PI10" s="110"/>
      <c r="PJ10" s="110"/>
      <c r="PK10" s="110"/>
      <c r="PL10" s="110"/>
      <c r="PM10" s="110"/>
      <c r="PN10" s="110"/>
      <c r="PO10" s="110"/>
      <c r="PP10" s="110"/>
      <c r="PQ10" s="110"/>
      <c r="PR10" s="110"/>
      <c r="PS10" s="110"/>
      <c r="PT10" s="110"/>
      <c r="PU10" s="110"/>
      <c r="PV10" s="110"/>
      <c r="PW10" s="110"/>
      <c r="PX10" s="110"/>
      <c r="PY10" s="110"/>
      <c r="PZ10" s="110"/>
      <c r="QA10" s="110"/>
      <c r="QB10" s="110"/>
      <c r="QC10" s="110"/>
      <c r="QD10" s="110"/>
      <c r="QE10" s="110"/>
      <c r="QF10" s="110"/>
      <c r="QG10" s="110"/>
      <c r="QH10" s="110"/>
      <c r="QI10" s="110"/>
      <c r="QJ10" s="110"/>
      <c r="QK10" s="110"/>
      <c r="QL10" s="110"/>
      <c r="QM10" s="110"/>
      <c r="QN10" s="110"/>
      <c r="QO10" s="110"/>
      <c r="QP10" s="110"/>
      <c r="QQ10" s="110"/>
      <c r="QR10" s="110"/>
      <c r="QS10" s="110"/>
      <c r="QT10" s="110"/>
      <c r="QU10" s="110"/>
      <c r="QV10" s="110"/>
      <c r="QW10" s="110"/>
      <c r="QX10" s="110"/>
      <c r="QY10" s="110"/>
      <c r="QZ10" s="110"/>
      <c r="RA10" s="110"/>
      <c r="RB10" s="110"/>
      <c r="RC10" s="110"/>
      <c r="RD10" s="110"/>
      <c r="RE10" s="110"/>
      <c r="RF10" s="110"/>
      <c r="RG10" s="110"/>
      <c r="RH10" s="110"/>
      <c r="RI10" s="110"/>
      <c r="RJ10" s="110"/>
      <c r="RK10" s="110"/>
      <c r="RL10" s="110"/>
      <c r="RM10" s="110"/>
      <c r="RN10" s="110"/>
      <c r="RO10" s="110"/>
      <c r="RP10" s="110"/>
      <c r="RQ10" s="110"/>
      <c r="RR10" s="110"/>
      <c r="RS10" s="110"/>
      <c r="RT10" s="110"/>
      <c r="RU10" s="110"/>
      <c r="RV10" s="110"/>
      <c r="RW10" s="110"/>
      <c r="RX10" s="110"/>
      <c r="RY10" s="110"/>
      <c r="RZ10" s="110"/>
      <c r="SA10" s="110"/>
      <c r="SB10" s="110"/>
      <c r="SC10" s="110"/>
      <c r="SD10" s="110"/>
      <c r="SE10" s="110"/>
      <c r="SF10" s="110"/>
      <c r="SG10" s="110"/>
      <c r="SH10" s="110"/>
      <c r="SI10" s="110"/>
      <c r="SJ10" s="110"/>
      <c r="SK10" s="110"/>
      <c r="SL10" s="110"/>
      <c r="SM10" s="110"/>
      <c r="SN10" s="110"/>
      <c r="SO10" s="110"/>
      <c r="SP10" s="110"/>
      <c r="SQ10" s="110"/>
      <c r="SR10" s="110"/>
      <c r="SS10" s="110"/>
      <c r="ST10" s="110"/>
      <c r="SU10" s="110"/>
      <c r="SV10" s="110"/>
      <c r="SW10" s="110"/>
      <c r="SX10" s="110"/>
      <c r="SY10" s="110"/>
      <c r="SZ10" s="110"/>
      <c r="TA10" s="110"/>
      <c r="TB10" s="110"/>
      <c r="TC10" s="110"/>
      <c r="TD10" s="110"/>
      <c r="TE10" s="110"/>
      <c r="TF10" s="110"/>
      <c r="TG10" s="110"/>
      <c r="TH10" s="110"/>
      <c r="TI10" s="110"/>
      <c r="TJ10" s="110"/>
      <c r="TK10" s="110"/>
      <c r="TL10" s="110"/>
      <c r="TM10" s="110"/>
      <c r="TN10" s="110"/>
      <c r="TO10" s="110"/>
      <c r="TP10" s="110"/>
      <c r="TQ10" s="110"/>
      <c r="TR10" s="110"/>
      <c r="TS10" s="110"/>
      <c r="TT10" s="110"/>
      <c r="TU10" s="110"/>
      <c r="TV10" s="110"/>
      <c r="TW10" s="110"/>
      <c r="TX10" s="110"/>
      <c r="TY10" s="110"/>
      <c r="TZ10" s="110"/>
      <c r="UA10" s="110"/>
      <c r="UB10" s="110"/>
      <c r="UC10" s="110"/>
      <c r="UD10" s="110"/>
      <c r="UE10" s="110"/>
      <c r="UF10" s="110"/>
      <c r="UG10" s="110"/>
      <c r="UH10" s="110"/>
      <c r="UI10" s="110"/>
      <c r="UJ10" s="110"/>
      <c r="UK10" s="110"/>
      <c r="UL10" s="110"/>
      <c r="UM10" s="110"/>
      <c r="UN10" s="110"/>
      <c r="UO10" s="110"/>
      <c r="UP10" s="110"/>
      <c r="UQ10" s="110"/>
      <c r="UR10" s="110"/>
      <c r="US10" s="110"/>
      <c r="UT10" s="110"/>
      <c r="UU10" s="110"/>
      <c r="UV10" s="110"/>
      <c r="UW10" s="110"/>
      <c r="UX10" s="110"/>
      <c r="UY10" s="110"/>
      <c r="UZ10" s="110"/>
      <c r="VA10" s="110"/>
      <c r="VB10" s="110"/>
      <c r="VC10" s="110"/>
      <c r="VD10" s="110"/>
      <c r="VE10" s="110"/>
      <c r="VF10" s="110"/>
      <c r="VG10" s="110"/>
      <c r="VH10" s="110"/>
      <c r="VI10" s="110"/>
      <c r="VJ10" s="110"/>
      <c r="VK10" s="110"/>
      <c r="VL10" s="110"/>
      <c r="VM10" s="110"/>
      <c r="VN10" s="110"/>
      <c r="VO10" s="110"/>
      <c r="VP10" s="110"/>
      <c r="VQ10" s="110"/>
      <c r="VR10" s="110"/>
      <c r="VS10" s="110"/>
      <c r="VT10" s="110"/>
      <c r="VU10" s="110"/>
      <c r="VV10" s="110"/>
      <c r="VW10" s="110"/>
      <c r="VX10" s="110"/>
      <c r="VY10" s="110"/>
      <c r="VZ10" s="110"/>
      <c r="WA10" s="110"/>
      <c r="WB10" s="110"/>
      <c r="WC10" s="110"/>
      <c r="WD10" s="110"/>
      <c r="WE10" s="110"/>
      <c r="WF10" s="110"/>
      <c r="WG10" s="110"/>
      <c r="WH10" s="110"/>
      <c r="WI10" s="110"/>
      <c r="WJ10" s="110"/>
      <c r="WK10" s="110"/>
      <c r="WL10" s="110"/>
      <c r="WM10" s="110"/>
      <c r="WN10" s="110"/>
      <c r="WO10" s="110"/>
      <c r="WP10" s="110"/>
      <c r="WQ10" s="110"/>
      <c r="WR10" s="110"/>
      <c r="WS10" s="110"/>
      <c r="WT10" s="110"/>
      <c r="WU10" s="110"/>
      <c r="WV10" s="110"/>
      <c r="WW10" s="110"/>
      <c r="WX10" s="110"/>
      <c r="WY10" s="110"/>
      <c r="WZ10" s="110"/>
      <c r="XA10" s="110"/>
      <c r="XB10" s="110"/>
      <c r="XC10" s="110"/>
      <c r="XD10" s="110"/>
      <c r="XE10" s="110"/>
      <c r="XF10" s="110"/>
      <c r="XG10" s="110"/>
      <c r="XH10" s="110"/>
      <c r="XI10" s="110"/>
      <c r="XJ10" s="110"/>
      <c r="XK10" s="110"/>
      <c r="XL10" s="110"/>
      <c r="XM10" s="110"/>
      <c r="XN10" s="110"/>
      <c r="XO10" s="110"/>
      <c r="XP10" s="110"/>
      <c r="XQ10" s="110"/>
      <c r="XR10" s="110"/>
      <c r="XS10" s="110"/>
      <c r="XT10" s="110"/>
      <c r="XU10" s="110"/>
      <c r="XV10" s="110"/>
      <c r="XW10" s="110"/>
      <c r="XX10" s="110"/>
      <c r="XY10" s="110"/>
      <c r="XZ10" s="110"/>
      <c r="YA10" s="110"/>
      <c r="YB10" s="110"/>
      <c r="YC10" s="110"/>
      <c r="YD10" s="110"/>
      <c r="YE10" s="110"/>
      <c r="YF10" s="110"/>
      <c r="YG10" s="110"/>
      <c r="YH10" s="110"/>
      <c r="YI10" s="110"/>
      <c r="YJ10" s="110"/>
      <c r="YK10" s="110"/>
      <c r="YL10" s="110"/>
      <c r="YM10" s="110"/>
      <c r="YN10" s="110"/>
      <c r="YO10" s="110"/>
      <c r="YP10" s="110"/>
      <c r="YQ10" s="110"/>
      <c r="YR10" s="110"/>
      <c r="YS10" s="110"/>
      <c r="YT10" s="110"/>
      <c r="YU10" s="110"/>
      <c r="YV10" s="110"/>
      <c r="YW10" s="110"/>
      <c r="YX10" s="110"/>
      <c r="YY10" s="110"/>
      <c r="YZ10" s="110"/>
      <c r="ZA10" s="110"/>
      <c r="ZB10" s="110"/>
      <c r="ZC10" s="110"/>
      <c r="ZD10" s="110"/>
      <c r="ZE10" s="110"/>
    </row>
    <row r="11" ht="30.75" customHeight="1">
      <c r="A11" s="13" t="s">
        <v>442</v>
      </c>
      <c r="B11" s="81" t="s">
        <v>540</v>
      </c>
      <c r="I11" s="81" t="s">
        <v>449</v>
      </c>
      <c r="P11" s="192" t="s">
        <v>454</v>
      </c>
      <c r="W11" s="81" t="s">
        <v>474</v>
      </c>
      <c r="AD11" s="192" t="s">
        <v>454</v>
      </c>
      <c r="AK11" s="81" t="s">
        <v>454</v>
      </c>
      <c r="AU11" s="84" t="s">
        <v>541</v>
      </c>
      <c r="BF11" s="81" t="s">
        <v>449</v>
      </c>
      <c r="BM11" s="81" t="s">
        <v>542</v>
      </c>
      <c r="BW11" s="81" t="s">
        <v>543</v>
      </c>
      <c r="CI11" s="84" t="s">
        <v>476</v>
      </c>
      <c r="CP11" s="84" t="s">
        <v>546</v>
      </c>
      <c r="CV11" s="81" t="s">
        <v>547</v>
      </c>
      <c r="DC11" s="81" t="s">
        <v>549</v>
      </c>
      <c r="DJ11" s="84" t="s">
        <v>550</v>
      </c>
      <c r="DN11" s="81" t="s">
        <v>551</v>
      </c>
      <c r="EE11" s="84" t="s">
        <v>476</v>
      </c>
      <c r="EL11" s="81" t="s">
        <v>552</v>
      </c>
      <c r="ES11" s="84" t="s">
        <v>553</v>
      </c>
      <c r="EZ11" s="106" t="s">
        <v>554</v>
      </c>
      <c r="FA11" s="16"/>
      <c r="FB11" s="16"/>
      <c r="FC11" s="16"/>
      <c r="FD11" s="16"/>
      <c r="FE11" s="16"/>
      <c r="FF11" s="25"/>
      <c r="FG11" s="106" t="s">
        <v>557</v>
      </c>
      <c r="FH11" s="16"/>
      <c r="FI11" s="16"/>
      <c r="FJ11" s="16"/>
      <c r="FK11" s="16"/>
      <c r="FL11" s="16"/>
      <c r="FM11" s="25"/>
      <c r="FN11" s="108" t="s">
        <v>561</v>
      </c>
      <c r="FO11" s="16"/>
      <c r="FP11" s="16"/>
      <c r="FQ11" s="16"/>
      <c r="FR11" s="16"/>
      <c r="FS11" s="16"/>
      <c r="FT11" s="25"/>
      <c r="FU11" s="108" t="s">
        <v>563</v>
      </c>
      <c r="FV11" s="16"/>
      <c r="FW11" s="16"/>
      <c r="FX11" s="16"/>
      <c r="FY11" s="16"/>
      <c r="FZ11" s="16"/>
      <c r="GA11" s="25"/>
      <c r="GB11" s="223" t="s">
        <v>365</v>
      </c>
      <c r="GC11" s="16"/>
      <c r="GD11" s="16"/>
      <c r="GE11" s="16"/>
      <c r="GF11" s="16"/>
      <c r="GG11" s="16"/>
      <c r="GH11" s="25"/>
      <c r="GI11" s="106" t="s">
        <v>566</v>
      </c>
      <c r="GJ11" s="16"/>
      <c r="GK11" s="16"/>
      <c r="GL11" s="16"/>
      <c r="GM11" s="16"/>
      <c r="GN11" s="16"/>
      <c r="GO11" s="25"/>
      <c r="GP11" s="146" t="s">
        <v>567</v>
      </c>
      <c r="GQ11" s="16"/>
      <c r="GR11" s="16"/>
      <c r="GS11" s="16"/>
      <c r="GT11" s="16"/>
      <c r="GU11" s="16"/>
      <c r="GV11" s="25"/>
      <c r="GW11" s="106" t="s">
        <v>568</v>
      </c>
      <c r="GX11" s="16"/>
      <c r="GY11" s="16"/>
      <c r="GZ11" s="16"/>
      <c r="HA11" s="16"/>
      <c r="HB11" s="16"/>
      <c r="HC11" s="25"/>
      <c r="HD11" s="226" t="s">
        <v>569</v>
      </c>
      <c r="HE11" s="16"/>
      <c r="HF11" s="16"/>
      <c r="HG11" s="16"/>
      <c r="HH11" s="16"/>
      <c r="HI11" s="16"/>
      <c r="HJ11" s="25"/>
      <c r="HK11" s="223" t="s">
        <v>572</v>
      </c>
      <c r="HL11" s="16"/>
      <c r="HM11" s="16"/>
      <c r="HN11" s="16"/>
      <c r="HO11" s="16"/>
      <c r="HP11" s="16"/>
      <c r="HQ11" s="25"/>
      <c r="HR11" s="106" t="s">
        <v>574</v>
      </c>
      <c r="HS11" s="16"/>
      <c r="HT11" s="16"/>
      <c r="HU11" s="16"/>
      <c r="HV11" s="16"/>
      <c r="HW11" s="16"/>
      <c r="HX11" s="25"/>
      <c r="HY11" s="106" t="s">
        <v>576</v>
      </c>
      <c r="HZ11" s="16"/>
      <c r="IA11" s="16"/>
      <c r="IB11" s="16"/>
      <c r="IC11" s="16"/>
      <c r="ID11" s="16"/>
      <c r="IE11" s="25"/>
      <c r="IF11" s="106" t="s">
        <v>572</v>
      </c>
      <c r="IG11" s="16"/>
      <c r="IH11" s="16"/>
      <c r="II11" s="16"/>
      <c r="IJ11" s="16"/>
      <c r="IK11" s="16"/>
      <c r="IL11" s="16"/>
      <c r="IM11" s="16"/>
      <c r="IN11" s="106" t="s">
        <v>580</v>
      </c>
      <c r="IO11" s="16"/>
      <c r="IP11" s="16"/>
      <c r="IQ11" s="16"/>
      <c r="IR11" s="16"/>
      <c r="IS11" s="25"/>
      <c r="IT11" s="106" t="s">
        <v>582</v>
      </c>
      <c r="IU11" s="16"/>
      <c r="IV11" s="16"/>
      <c r="IW11" s="16"/>
      <c r="IX11" s="16"/>
      <c r="IY11" s="16"/>
      <c r="IZ11" s="25"/>
      <c r="JA11" s="106" t="s">
        <v>566</v>
      </c>
      <c r="JB11" s="16"/>
      <c r="JC11" s="16"/>
      <c r="JD11" s="16"/>
      <c r="JE11" s="16"/>
      <c r="JF11" s="16"/>
      <c r="JG11" s="25"/>
      <c r="JH11" s="106" t="s">
        <v>585</v>
      </c>
      <c r="JI11" s="16"/>
      <c r="JJ11" s="16"/>
      <c r="JK11" s="16"/>
      <c r="JL11" s="16"/>
      <c r="JM11" s="16"/>
      <c r="JN11" s="25"/>
      <c r="JO11" s="106" t="s">
        <v>588</v>
      </c>
      <c r="JP11" s="16"/>
      <c r="JQ11" s="16"/>
      <c r="JR11" s="16"/>
      <c r="JS11" s="16"/>
      <c r="JT11" s="16"/>
      <c r="JU11" s="25"/>
      <c r="JV11" s="106" t="s">
        <v>566</v>
      </c>
      <c r="JW11" s="16"/>
      <c r="JX11" s="16"/>
      <c r="JY11" s="16"/>
      <c r="JZ11" s="16"/>
      <c r="KA11" s="16"/>
      <c r="KB11" s="25"/>
      <c r="KC11" s="106" t="s">
        <v>591</v>
      </c>
      <c r="KD11" s="16"/>
      <c r="KE11" s="16"/>
      <c r="KF11" s="16"/>
      <c r="KG11" s="16"/>
      <c r="KH11" s="16"/>
      <c r="KI11" s="25"/>
      <c r="KJ11" s="106" t="s">
        <v>594</v>
      </c>
      <c r="KK11" s="16"/>
      <c r="KL11" s="16"/>
      <c r="KM11" s="16"/>
      <c r="KN11" s="16"/>
      <c r="KO11" s="16"/>
      <c r="KP11" s="25"/>
      <c r="KQ11" s="108" t="s">
        <v>596</v>
      </c>
      <c r="KR11" s="16"/>
      <c r="KS11" s="16"/>
      <c r="KT11" s="16"/>
      <c r="KU11" s="16"/>
      <c r="KV11" s="16"/>
      <c r="KW11" s="16"/>
      <c r="KX11" s="16"/>
      <c r="KY11" s="16"/>
      <c r="KZ11" s="16"/>
      <c r="LA11" s="16"/>
      <c r="LB11" s="16"/>
      <c r="LC11" s="16"/>
      <c r="LD11" s="16"/>
      <c r="LE11" s="106" t="s">
        <v>576</v>
      </c>
      <c r="LF11" s="16"/>
      <c r="LG11" s="16"/>
      <c r="LH11" s="16"/>
      <c r="LI11" s="16"/>
      <c r="LJ11" s="16"/>
      <c r="LK11" s="25"/>
      <c r="LL11" s="106" t="s">
        <v>600</v>
      </c>
      <c r="LM11" s="16"/>
      <c r="LN11" s="16"/>
      <c r="LO11" s="16"/>
      <c r="LP11" s="16"/>
      <c r="LQ11" s="16"/>
      <c r="LR11" s="25"/>
      <c r="LS11" s="106" t="s">
        <v>602</v>
      </c>
      <c r="LT11" s="16"/>
      <c r="LU11" s="16"/>
      <c r="LV11" s="16"/>
      <c r="LW11" s="16"/>
      <c r="LX11" s="16"/>
      <c r="LY11" s="25"/>
      <c r="LZ11" s="106" t="s">
        <v>603</v>
      </c>
      <c r="MA11" s="16"/>
      <c r="MB11" s="16"/>
      <c r="MC11" s="16"/>
      <c r="MD11" s="16"/>
      <c r="ME11" s="16"/>
      <c r="MF11" s="25"/>
      <c r="MG11" s="108" t="s">
        <v>566</v>
      </c>
      <c r="MH11" s="16"/>
      <c r="MI11" s="16"/>
      <c r="MJ11" s="16"/>
      <c r="MK11" s="16"/>
      <c r="ML11" s="16"/>
      <c r="MM11" s="25"/>
      <c r="MN11" s="108" t="s">
        <v>605</v>
      </c>
      <c r="MO11" s="16"/>
      <c r="MP11" s="16"/>
      <c r="MQ11" s="16"/>
      <c r="MR11" s="16"/>
      <c r="MS11" s="16"/>
      <c r="MT11" s="25"/>
      <c r="MU11" s="108" t="s">
        <v>605</v>
      </c>
      <c r="MV11" s="16"/>
      <c r="MW11" s="16"/>
      <c r="MX11" s="16"/>
      <c r="MY11" s="16"/>
      <c r="MZ11" s="16"/>
      <c r="NA11" s="25"/>
      <c r="NB11" s="84"/>
      <c r="NC11" s="110"/>
      <c r="ND11" s="110"/>
      <c r="NE11" s="110"/>
      <c r="NF11" s="110"/>
      <c r="NG11" s="110"/>
      <c r="NH11" s="110"/>
      <c r="NI11" s="110"/>
      <c r="NJ11" s="110"/>
      <c r="NK11" s="110"/>
      <c r="NL11" s="110"/>
      <c r="NM11" s="110"/>
      <c r="NN11" s="110"/>
      <c r="NO11" s="110"/>
      <c r="NP11" s="110"/>
      <c r="NQ11" s="110"/>
      <c r="NR11" s="110"/>
      <c r="NS11" s="110"/>
      <c r="NT11" s="110"/>
      <c r="NU11" s="110"/>
      <c r="NV11" s="110"/>
      <c r="NW11" s="110"/>
      <c r="NX11" s="110"/>
      <c r="NY11" s="110"/>
      <c r="NZ11" s="110"/>
      <c r="OA11" s="110"/>
      <c r="OB11" s="110"/>
      <c r="OC11" s="110"/>
      <c r="OD11" s="110"/>
      <c r="OE11" s="110"/>
      <c r="OF11" s="110"/>
      <c r="OG11" s="110"/>
      <c r="OH11" s="110"/>
      <c r="OI11" s="110"/>
      <c r="OJ11" s="110"/>
      <c r="OK11" s="110"/>
      <c r="OL11" s="110"/>
      <c r="OM11" s="110"/>
      <c r="ON11" s="110"/>
      <c r="OO11" s="110"/>
      <c r="OP11" s="110"/>
      <c r="OQ11" s="110"/>
      <c r="OR11" s="110"/>
      <c r="OS11" s="110"/>
      <c r="OT11" s="110"/>
      <c r="OU11" s="110"/>
      <c r="OV11" s="110"/>
      <c r="OW11" s="110"/>
      <c r="OX11" s="110"/>
      <c r="OY11" s="110"/>
      <c r="OZ11" s="110"/>
      <c r="PA11" s="110"/>
      <c r="PB11" s="110"/>
      <c r="PC11" s="110"/>
      <c r="PD11" s="110"/>
      <c r="PE11" s="110"/>
      <c r="PF11" s="110"/>
      <c r="PG11" s="110"/>
      <c r="PH11" s="110"/>
      <c r="PI11" s="110"/>
      <c r="PJ11" s="110"/>
      <c r="PK11" s="110"/>
      <c r="PL11" s="110"/>
      <c r="PM11" s="110"/>
      <c r="PN11" s="110"/>
      <c r="PO11" s="110"/>
      <c r="PP11" s="110"/>
      <c r="PQ11" s="110"/>
      <c r="PR11" s="110"/>
      <c r="PS11" s="110"/>
      <c r="PT11" s="110"/>
      <c r="PU11" s="110"/>
      <c r="PV11" s="110"/>
      <c r="PW11" s="110"/>
      <c r="PX11" s="110"/>
      <c r="PY11" s="110"/>
      <c r="PZ11" s="110"/>
      <c r="QA11" s="110"/>
      <c r="QB11" s="110"/>
      <c r="QC11" s="110"/>
      <c r="QD11" s="110"/>
      <c r="QE11" s="110"/>
      <c r="QF11" s="110"/>
      <c r="QG11" s="110"/>
      <c r="QH11" s="110"/>
      <c r="QI11" s="110"/>
      <c r="QJ11" s="110"/>
      <c r="QK11" s="110"/>
      <c r="QL11" s="110"/>
      <c r="QM11" s="110"/>
      <c r="QN11" s="110"/>
      <c r="QO11" s="110"/>
      <c r="QP11" s="110"/>
      <c r="QQ11" s="110"/>
      <c r="QR11" s="110"/>
      <c r="QS11" s="110"/>
      <c r="QT11" s="110"/>
      <c r="QU11" s="110"/>
      <c r="QV11" s="110"/>
      <c r="QW11" s="110"/>
      <c r="QX11" s="110"/>
      <c r="QY11" s="110"/>
      <c r="QZ11" s="110"/>
      <c r="RA11" s="110"/>
      <c r="RB11" s="110"/>
      <c r="RC11" s="110"/>
      <c r="RD11" s="110"/>
      <c r="RE11" s="110"/>
      <c r="RF11" s="110"/>
      <c r="RG11" s="110"/>
      <c r="RH11" s="110"/>
      <c r="RI11" s="110"/>
      <c r="RJ11" s="110"/>
      <c r="RK11" s="110"/>
      <c r="RL11" s="110"/>
      <c r="RM11" s="110"/>
      <c r="RN11" s="110"/>
      <c r="RO11" s="110"/>
      <c r="RP11" s="110"/>
      <c r="RQ11" s="110"/>
      <c r="RR11" s="110"/>
      <c r="RS11" s="110"/>
      <c r="RT11" s="110"/>
      <c r="RU11" s="110"/>
      <c r="RV11" s="110"/>
      <c r="RW11" s="110"/>
      <c r="RX11" s="110"/>
      <c r="RY11" s="110"/>
      <c r="RZ11" s="110"/>
      <c r="SA11" s="110"/>
      <c r="SB11" s="110"/>
      <c r="SC11" s="110"/>
      <c r="SD11" s="110"/>
      <c r="SE11" s="110"/>
      <c r="SF11" s="110"/>
      <c r="SG11" s="110"/>
      <c r="SH11" s="110"/>
      <c r="SI11" s="110"/>
      <c r="SJ11" s="110"/>
      <c r="SK11" s="110"/>
      <c r="SL11" s="110"/>
      <c r="SM11" s="110"/>
      <c r="SN11" s="110"/>
      <c r="SO11" s="110"/>
      <c r="SP11" s="110"/>
      <c r="SQ11" s="110"/>
      <c r="SR11" s="110"/>
      <c r="SS11" s="110"/>
      <c r="ST11" s="110"/>
      <c r="SU11" s="110"/>
      <c r="SV11" s="110"/>
      <c r="SW11" s="110"/>
      <c r="SX11" s="110"/>
      <c r="SY11" s="110"/>
      <c r="SZ11" s="110"/>
      <c r="TA11" s="110"/>
      <c r="TB11" s="110"/>
      <c r="TC11" s="110"/>
      <c r="TD11" s="110"/>
      <c r="TE11" s="110"/>
      <c r="TF11" s="110"/>
      <c r="TG11" s="110"/>
      <c r="TH11" s="110"/>
      <c r="TI11" s="110"/>
      <c r="TJ11" s="110"/>
      <c r="TK11" s="110"/>
      <c r="TL11" s="110"/>
      <c r="TM11" s="110"/>
      <c r="TN11" s="110"/>
      <c r="TO11" s="110"/>
      <c r="TP11" s="110"/>
      <c r="TQ11" s="110"/>
      <c r="TR11" s="110"/>
      <c r="TS11" s="110"/>
      <c r="TT11" s="110"/>
      <c r="TU11" s="110"/>
      <c r="TV11" s="110"/>
      <c r="TW11" s="110"/>
      <c r="TX11" s="110"/>
      <c r="TY11" s="110"/>
      <c r="TZ11" s="110"/>
      <c r="UA11" s="110"/>
      <c r="UB11" s="110"/>
      <c r="UC11" s="110"/>
      <c r="UD11" s="110"/>
      <c r="UE11" s="110"/>
      <c r="UF11" s="110"/>
      <c r="UG11" s="110"/>
      <c r="UH11" s="110"/>
      <c r="UI11" s="110"/>
      <c r="UJ11" s="110"/>
      <c r="UK11" s="110"/>
      <c r="UL11" s="110"/>
      <c r="UM11" s="110"/>
      <c r="UN11" s="110"/>
      <c r="UO11" s="110"/>
      <c r="UP11" s="110"/>
      <c r="UQ11" s="110"/>
      <c r="UR11" s="110"/>
      <c r="US11" s="110"/>
      <c r="UT11" s="110"/>
      <c r="UU11" s="110"/>
      <c r="UV11" s="110"/>
      <c r="UW11" s="110"/>
      <c r="UX11" s="110"/>
      <c r="UY11" s="110"/>
      <c r="UZ11" s="110"/>
      <c r="VA11" s="110"/>
      <c r="VB11" s="110"/>
      <c r="VC11" s="110"/>
      <c r="VD11" s="110"/>
      <c r="VE11" s="110"/>
      <c r="VF11" s="110"/>
      <c r="VG11" s="110"/>
      <c r="VH11" s="110"/>
      <c r="VI11" s="110"/>
      <c r="VJ11" s="110"/>
      <c r="VK11" s="110"/>
      <c r="VL11" s="110"/>
      <c r="VM11" s="110"/>
      <c r="VN11" s="110"/>
      <c r="VO11" s="110"/>
      <c r="VP11" s="110"/>
      <c r="VQ11" s="110"/>
      <c r="VR11" s="110"/>
      <c r="VS11" s="110"/>
      <c r="VT11" s="110"/>
      <c r="VU11" s="110"/>
      <c r="VV11" s="110"/>
      <c r="VW11" s="110"/>
      <c r="VX11" s="110"/>
      <c r="VY11" s="110"/>
      <c r="VZ11" s="110"/>
      <c r="WA11" s="110"/>
      <c r="WB11" s="110"/>
      <c r="WC11" s="110"/>
      <c r="WD11" s="110"/>
      <c r="WE11" s="110"/>
      <c r="WF11" s="110"/>
      <c r="WG11" s="110"/>
      <c r="WH11" s="110"/>
      <c r="WI11" s="110"/>
      <c r="WJ11" s="110"/>
      <c r="WK11" s="110"/>
      <c r="WL11" s="110"/>
      <c r="WM11" s="110"/>
      <c r="WN11" s="110"/>
      <c r="WO11" s="110"/>
      <c r="WP11" s="110"/>
      <c r="WQ11" s="110"/>
      <c r="WR11" s="110"/>
      <c r="WS11" s="110"/>
      <c r="WT11" s="110"/>
      <c r="WU11" s="110"/>
      <c r="WV11" s="110"/>
      <c r="WW11" s="110"/>
      <c r="WX11" s="110"/>
      <c r="WY11" s="110"/>
      <c r="WZ11" s="110"/>
      <c r="XA11" s="110"/>
      <c r="XB11" s="110"/>
      <c r="XC11" s="110"/>
      <c r="XD11" s="110"/>
      <c r="XE11" s="110"/>
      <c r="XF11" s="110"/>
      <c r="XG11" s="110"/>
      <c r="XH11" s="110"/>
      <c r="XI11" s="110"/>
      <c r="XJ11" s="110"/>
      <c r="XK11" s="110"/>
      <c r="XL11" s="110"/>
      <c r="XM11" s="110"/>
      <c r="XN11" s="110"/>
      <c r="XO11" s="110"/>
      <c r="XP11" s="110"/>
      <c r="XQ11" s="110"/>
      <c r="XR11" s="110"/>
      <c r="XS11" s="110"/>
      <c r="XT11" s="110"/>
      <c r="XU11" s="110"/>
      <c r="XV11" s="110"/>
      <c r="XW11" s="110"/>
      <c r="XX11" s="110"/>
      <c r="XY11" s="110"/>
      <c r="XZ11" s="110"/>
      <c r="YA11" s="110"/>
      <c r="YB11" s="110"/>
      <c r="YC11" s="110"/>
      <c r="YD11" s="110"/>
      <c r="YE11" s="110"/>
      <c r="YF11" s="110"/>
      <c r="YG11" s="110"/>
      <c r="YH11" s="110"/>
      <c r="YI11" s="110"/>
      <c r="YJ11" s="110"/>
      <c r="YK11" s="110"/>
      <c r="YL11" s="110"/>
      <c r="YM11" s="110"/>
      <c r="YN11" s="110"/>
      <c r="YO11" s="110"/>
      <c r="YP11" s="110"/>
      <c r="YQ11" s="110"/>
      <c r="YR11" s="110"/>
      <c r="YS11" s="110"/>
      <c r="YT11" s="110"/>
      <c r="YU11" s="110"/>
      <c r="YV11" s="110"/>
      <c r="YW11" s="110"/>
      <c r="YX11" s="110"/>
      <c r="YY11" s="110"/>
      <c r="YZ11" s="110"/>
      <c r="ZA11" s="110"/>
      <c r="ZB11" s="110"/>
      <c r="ZC11" s="110"/>
      <c r="ZD11" s="110"/>
      <c r="ZE11" s="110"/>
    </row>
    <row r="12" ht="21.0" customHeight="1">
      <c r="A12" s="13" t="s">
        <v>609</v>
      </c>
      <c r="B12" s="230" t="s">
        <v>610</v>
      </c>
      <c r="C12" s="16"/>
      <c r="D12" s="16"/>
      <c r="E12" s="16"/>
      <c r="F12" s="16"/>
      <c r="G12" s="16"/>
      <c r="H12" s="25"/>
      <c r="I12" s="108" t="s">
        <v>611</v>
      </c>
      <c r="J12" s="16"/>
      <c r="K12" s="16"/>
      <c r="L12" s="16"/>
      <c r="M12" s="16"/>
      <c r="N12" s="16"/>
      <c r="O12" s="25"/>
      <c r="P12" s="108" t="s">
        <v>612</v>
      </c>
      <c r="Q12" s="16"/>
      <c r="R12" s="16"/>
      <c r="S12" s="16"/>
      <c r="T12" s="16"/>
      <c r="U12" s="16"/>
      <c r="V12" s="25"/>
      <c r="W12" s="108" t="s">
        <v>613</v>
      </c>
      <c r="X12" s="16"/>
      <c r="Y12" s="16"/>
      <c r="Z12" s="16"/>
      <c r="AA12" s="16"/>
      <c r="AB12" s="16"/>
      <c r="AC12" s="25"/>
      <c r="AD12" s="108" t="s">
        <v>614</v>
      </c>
      <c r="AE12" s="16"/>
      <c r="AF12" s="16"/>
      <c r="AG12" s="16"/>
      <c r="AH12" s="16"/>
      <c r="AI12" s="16"/>
      <c r="AJ12" s="25"/>
      <c r="AK12" s="108" t="s">
        <v>615</v>
      </c>
      <c r="AL12" s="16"/>
      <c r="AM12" s="16"/>
      <c r="AN12" s="16"/>
      <c r="AO12" s="16"/>
      <c r="AP12" s="16"/>
      <c r="AQ12" s="25"/>
      <c r="AR12" s="108" t="s">
        <v>616</v>
      </c>
      <c r="AS12" s="16"/>
      <c r="AT12" s="16"/>
      <c r="AU12" s="16"/>
      <c r="AV12" s="16"/>
      <c r="AW12" s="16"/>
      <c r="AX12" s="25"/>
      <c r="AY12" s="108" t="s">
        <v>617</v>
      </c>
      <c r="AZ12" s="16"/>
      <c r="BA12" s="16"/>
      <c r="BB12" s="16"/>
      <c r="BC12" s="16"/>
      <c r="BD12" s="16"/>
      <c r="BE12" s="25"/>
      <c r="BF12" s="108" t="s">
        <v>619</v>
      </c>
      <c r="BG12" s="16"/>
      <c r="BH12" s="16"/>
      <c r="BI12" s="16"/>
      <c r="BJ12" s="16"/>
      <c r="BK12" s="16"/>
      <c r="BL12" s="16"/>
      <c r="BM12" s="25"/>
      <c r="BN12" s="108" t="s">
        <v>620</v>
      </c>
      <c r="BO12" s="16"/>
      <c r="BP12" s="16"/>
      <c r="BQ12" s="16"/>
      <c r="BR12" s="16"/>
      <c r="BS12" s="16"/>
      <c r="BT12" s="16"/>
      <c r="BU12" s="16"/>
      <c r="BV12" s="25"/>
      <c r="BW12" s="108" t="s">
        <v>623</v>
      </c>
      <c r="BX12" s="16"/>
      <c r="BY12" s="16"/>
      <c r="BZ12" s="16"/>
      <c r="CA12" s="16"/>
      <c r="CB12" s="16"/>
      <c r="CC12" s="16"/>
      <c r="CD12" s="16"/>
      <c r="CE12" s="16"/>
      <c r="CF12" s="16"/>
      <c r="CG12" s="25"/>
      <c r="CH12" s="231" t="s">
        <v>621</v>
      </c>
      <c r="CI12" s="16"/>
      <c r="CJ12" s="16"/>
      <c r="CK12" s="25"/>
      <c r="CL12" s="232" t="s">
        <v>625</v>
      </c>
      <c r="CM12" s="232"/>
      <c r="CN12" s="232"/>
      <c r="CO12" s="234" t="s">
        <v>626</v>
      </c>
      <c r="CP12" s="16"/>
      <c r="CQ12" s="16"/>
      <c r="CR12" s="16"/>
      <c r="CS12" s="16"/>
      <c r="CT12" s="16"/>
      <c r="CU12" s="25"/>
      <c r="CV12" s="108" t="s">
        <v>628</v>
      </c>
      <c r="CW12" s="16"/>
      <c r="CX12" s="16"/>
      <c r="CY12" s="16"/>
      <c r="CZ12" s="16"/>
      <c r="DA12" s="16"/>
      <c r="DB12" s="25"/>
      <c r="DC12" s="108" t="s">
        <v>390</v>
      </c>
      <c r="DD12" s="16"/>
      <c r="DE12" s="16"/>
      <c r="DF12" s="16"/>
      <c r="DG12" s="16"/>
      <c r="DH12" s="16"/>
      <c r="DI12" s="25"/>
      <c r="DJ12" s="108" t="s">
        <v>629</v>
      </c>
      <c r="DK12" s="16"/>
      <c r="DL12" s="16"/>
      <c r="DM12" s="25"/>
      <c r="DN12" s="108" t="s">
        <v>630</v>
      </c>
      <c r="DO12" s="16"/>
      <c r="DP12" s="16"/>
      <c r="DQ12" s="16"/>
      <c r="DR12" s="16"/>
      <c r="DS12" s="16"/>
      <c r="DT12" s="16"/>
      <c r="DU12" s="16"/>
      <c r="DV12" s="16"/>
      <c r="DW12" s="25"/>
      <c r="DX12" s="108" t="s">
        <v>398</v>
      </c>
      <c r="DY12" s="16"/>
      <c r="DZ12" s="16"/>
      <c r="EA12" s="16"/>
      <c r="EB12" s="16"/>
      <c r="EC12" s="16"/>
      <c r="ED12" s="25"/>
      <c r="EE12" s="108" t="s">
        <v>631</v>
      </c>
      <c r="EF12" s="16"/>
      <c r="EG12" s="16"/>
      <c r="EH12" s="16"/>
      <c r="EI12" s="16"/>
      <c r="EJ12" s="16"/>
      <c r="EK12" s="25"/>
      <c r="EL12" s="108" t="s">
        <v>632</v>
      </c>
      <c r="EM12" s="16"/>
      <c r="EN12" s="16"/>
      <c r="EO12" s="16"/>
      <c r="EP12" s="16"/>
      <c r="EQ12" s="16"/>
      <c r="ER12" s="25"/>
      <c r="ES12" s="108" t="s">
        <v>635</v>
      </c>
      <c r="ET12" s="16"/>
      <c r="EU12" s="16"/>
      <c r="EV12" s="16"/>
      <c r="EW12" s="16"/>
      <c r="EX12" s="16"/>
      <c r="EY12" s="25"/>
      <c r="EZ12" s="108" t="s">
        <v>636</v>
      </c>
      <c r="FA12" s="16"/>
      <c r="FB12" s="16"/>
      <c r="FC12" s="16"/>
      <c r="FD12" s="16"/>
      <c r="FE12" s="16"/>
      <c r="FF12" s="25"/>
      <c r="FG12" s="232" t="s">
        <v>638</v>
      </c>
      <c r="FH12" s="232"/>
      <c r="FI12" s="232" t="s">
        <v>639</v>
      </c>
      <c r="FJ12" s="232"/>
      <c r="FK12" s="108" t="s">
        <v>638</v>
      </c>
      <c r="FL12" s="16"/>
      <c r="FM12" s="25"/>
      <c r="FN12" s="108" t="s">
        <v>641</v>
      </c>
      <c r="FO12" s="16"/>
      <c r="FP12" s="16"/>
      <c r="FQ12" s="16"/>
      <c r="FR12" s="16"/>
      <c r="FS12" s="16"/>
      <c r="FT12" s="25"/>
      <c r="FU12" s="108" t="s">
        <v>643</v>
      </c>
      <c r="FV12" s="16"/>
      <c r="FW12" s="16"/>
      <c r="FX12" s="16"/>
      <c r="FY12" s="16"/>
      <c r="FZ12" s="16"/>
      <c r="GA12" s="25"/>
      <c r="GB12" s="108" t="s">
        <v>647</v>
      </c>
      <c r="GC12" s="16"/>
      <c r="GD12" s="16"/>
      <c r="GE12" s="16"/>
      <c r="GF12" s="16"/>
      <c r="GG12" s="16"/>
      <c r="GH12" s="25"/>
      <c r="GI12" s="108" t="s">
        <v>648</v>
      </c>
      <c r="GJ12" s="16"/>
      <c r="GK12" s="16"/>
      <c r="GL12" s="16"/>
      <c r="GM12" s="16"/>
      <c r="GN12" s="16"/>
      <c r="GO12" s="16"/>
      <c r="GP12" s="25"/>
      <c r="GQ12" s="230" t="s">
        <v>651</v>
      </c>
      <c r="GR12" s="16"/>
      <c r="GS12" s="16"/>
      <c r="GT12" s="16"/>
      <c r="GU12" s="108" t="s">
        <v>654</v>
      </c>
      <c r="GV12" s="16"/>
      <c r="GW12" s="108" t="s">
        <v>655</v>
      </c>
      <c r="GX12" s="16"/>
      <c r="GY12" s="16"/>
      <c r="GZ12" s="16"/>
      <c r="HA12" s="16"/>
      <c r="HB12" s="16"/>
      <c r="HC12" s="25"/>
      <c r="HD12" s="108" t="s">
        <v>661</v>
      </c>
      <c r="HE12" s="16"/>
      <c r="HF12" s="16"/>
      <c r="HG12" s="16"/>
      <c r="HH12" s="16"/>
      <c r="HI12" s="16"/>
      <c r="HJ12" s="25"/>
      <c r="HK12" s="108" t="s">
        <v>335</v>
      </c>
      <c r="HL12" s="16"/>
      <c r="HM12" s="16"/>
      <c r="HN12" s="16"/>
      <c r="HO12" s="16"/>
      <c r="HP12" s="16"/>
      <c r="HQ12" s="25"/>
      <c r="HR12" s="108" t="s">
        <v>664</v>
      </c>
      <c r="HS12" s="16"/>
      <c r="HT12" s="16"/>
      <c r="HU12" s="16"/>
      <c r="HV12" s="16"/>
      <c r="HW12" s="16"/>
      <c r="HX12" s="25"/>
      <c r="HY12" s="108" t="s">
        <v>666</v>
      </c>
      <c r="HZ12" s="16"/>
      <c r="IA12" s="16"/>
      <c r="IB12" s="16"/>
      <c r="IC12" s="16"/>
      <c r="ID12" s="16"/>
      <c r="IE12" s="25"/>
      <c r="IF12" s="108" t="s">
        <v>667</v>
      </c>
      <c r="IG12" s="16"/>
      <c r="IH12" s="16"/>
      <c r="II12" s="16"/>
      <c r="IJ12" s="16"/>
      <c r="IK12" s="16"/>
      <c r="IL12" s="16"/>
      <c r="IM12" s="25"/>
      <c r="IN12" s="108" t="s">
        <v>670</v>
      </c>
      <c r="IO12" s="16"/>
      <c r="IP12" s="16"/>
      <c r="IQ12" s="16"/>
      <c r="IR12" s="16"/>
      <c r="IS12" s="25"/>
      <c r="IT12" s="108" t="s">
        <v>672</v>
      </c>
      <c r="IU12" s="16"/>
      <c r="IV12" s="16"/>
      <c r="IW12" s="16"/>
      <c r="IX12" s="16"/>
      <c r="IY12" s="16"/>
      <c r="IZ12" s="25"/>
      <c r="JA12" s="108"/>
      <c r="JB12" s="16"/>
      <c r="JC12" s="16"/>
      <c r="JD12" s="16"/>
      <c r="JE12" s="16"/>
      <c r="JF12" s="16"/>
      <c r="JG12" s="25"/>
      <c r="JH12" s="108"/>
      <c r="JI12" s="16"/>
      <c r="JJ12" s="16"/>
      <c r="JK12" s="16"/>
      <c r="JL12" s="16"/>
      <c r="JM12" s="16"/>
      <c r="JN12" s="25"/>
      <c r="JO12" s="108" t="s">
        <v>335</v>
      </c>
      <c r="JP12" s="16"/>
      <c r="JQ12" s="16"/>
      <c r="JR12" s="16"/>
      <c r="JS12" s="16"/>
      <c r="JT12" s="16"/>
      <c r="JU12" s="25"/>
      <c r="JV12" s="108" t="s">
        <v>329</v>
      </c>
      <c r="JW12" s="16"/>
      <c r="JX12" s="16"/>
      <c r="JY12" s="16"/>
      <c r="JZ12" s="16"/>
      <c r="KA12" s="16"/>
      <c r="KB12" s="25"/>
      <c r="KC12" s="108" t="s">
        <v>343</v>
      </c>
      <c r="KD12" s="16"/>
      <c r="KE12" s="16"/>
      <c r="KF12" s="16"/>
      <c r="KG12" s="16"/>
      <c r="KH12" s="16"/>
      <c r="KI12" s="25"/>
      <c r="KJ12" s="108"/>
      <c r="KK12" s="16"/>
      <c r="KL12" s="16"/>
      <c r="KM12" s="16"/>
      <c r="KN12" s="16"/>
      <c r="KO12" s="16"/>
      <c r="KP12" s="25"/>
      <c r="KQ12" s="108" t="s">
        <v>684</v>
      </c>
      <c r="KR12" s="16"/>
      <c r="KS12" s="16"/>
      <c r="KT12" s="16"/>
      <c r="KU12" s="16"/>
      <c r="KV12" s="16"/>
      <c r="KW12" s="25"/>
      <c r="KX12" s="108" t="s">
        <v>685</v>
      </c>
      <c r="KY12" s="16"/>
      <c r="KZ12" s="16"/>
      <c r="LA12" s="16"/>
      <c r="LB12" s="16"/>
      <c r="LC12" s="16"/>
      <c r="LD12" s="25"/>
      <c r="LE12" s="108" t="s">
        <v>687</v>
      </c>
      <c r="LF12" s="16"/>
      <c r="LG12" s="16"/>
      <c r="LH12" s="16"/>
      <c r="LI12" s="16"/>
      <c r="LJ12" s="16"/>
      <c r="LK12" s="25"/>
      <c r="LL12" s="108" t="s">
        <v>689</v>
      </c>
      <c r="LM12" s="16"/>
      <c r="LN12" s="16"/>
      <c r="LO12" s="16"/>
      <c r="LP12" s="16"/>
      <c r="LQ12" s="16"/>
      <c r="LR12" s="25"/>
      <c r="LS12" s="106" t="s">
        <v>690</v>
      </c>
      <c r="LT12" s="16"/>
      <c r="LU12" s="16"/>
      <c r="LV12" s="16"/>
      <c r="LW12" s="16"/>
      <c r="LX12" s="16"/>
      <c r="LY12" s="25"/>
      <c r="LZ12" s="111" t="s">
        <v>367</v>
      </c>
      <c r="MG12" s="108" t="s">
        <v>696</v>
      </c>
      <c r="MH12" s="16"/>
      <c r="MI12" s="16"/>
      <c r="MJ12" s="25"/>
      <c r="MK12" s="108" t="s">
        <v>699</v>
      </c>
      <c r="ML12" s="16"/>
      <c r="MM12" s="16"/>
      <c r="MN12" s="25"/>
      <c r="MO12" s="108" t="s">
        <v>703</v>
      </c>
      <c r="MP12" s="16"/>
      <c r="MQ12" s="16"/>
      <c r="MR12" s="16"/>
      <c r="MS12" s="16"/>
      <c r="MT12" s="25"/>
      <c r="MU12" s="108"/>
      <c r="MV12" s="16"/>
      <c r="MW12" s="16"/>
      <c r="MX12" s="16"/>
      <c r="MY12" s="16"/>
      <c r="MZ12" s="16"/>
      <c r="NA12" s="25"/>
      <c r="NB12" s="241"/>
      <c r="NC12" s="235"/>
      <c r="ND12" s="235"/>
      <c r="NE12" s="235"/>
      <c r="NF12" s="235"/>
      <c r="NG12" s="235"/>
      <c r="NH12" s="235"/>
      <c r="NI12" s="235"/>
      <c r="NJ12" s="235"/>
      <c r="NK12" s="235"/>
      <c r="NL12" s="235"/>
      <c r="NM12" s="235"/>
      <c r="NN12" s="235"/>
      <c r="NO12" s="235"/>
      <c r="NP12" s="235"/>
      <c r="NQ12" s="235"/>
      <c r="NR12" s="235"/>
      <c r="NS12" s="235"/>
      <c r="NT12" s="235"/>
      <c r="NU12" s="235"/>
      <c r="NV12" s="235"/>
      <c r="NW12" s="235"/>
      <c r="NX12" s="235"/>
      <c r="NY12" s="235"/>
      <c r="NZ12" s="235"/>
      <c r="OA12" s="235"/>
      <c r="OB12" s="235"/>
      <c r="OC12" s="235"/>
      <c r="OD12" s="235"/>
      <c r="OE12" s="235"/>
      <c r="OF12" s="235"/>
      <c r="OG12" s="235"/>
      <c r="OH12" s="235"/>
      <c r="OI12" s="235"/>
      <c r="OJ12" s="235"/>
      <c r="OK12" s="235"/>
      <c r="OL12" s="235"/>
      <c r="OM12" s="235"/>
      <c r="ON12" s="235"/>
      <c r="OO12" s="235"/>
      <c r="OP12" s="235"/>
      <c r="OQ12" s="235"/>
      <c r="OR12" s="235"/>
      <c r="OS12" s="235"/>
      <c r="OT12" s="235"/>
      <c r="OU12" s="235"/>
      <c r="OV12" s="235"/>
      <c r="OW12" s="235"/>
      <c r="OX12" s="235"/>
      <c r="OY12" s="235"/>
      <c r="OZ12" s="235"/>
      <c r="PA12" s="235"/>
      <c r="PB12" s="235"/>
      <c r="PC12" s="235"/>
      <c r="PD12" s="235"/>
      <c r="PE12" s="235"/>
      <c r="PF12" s="235"/>
      <c r="PG12" s="235"/>
      <c r="PH12" s="235"/>
      <c r="PI12" s="235"/>
      <c r="PJ12" s="235"/>
      <c r="PK12" s="235"/>
      <c r="PL12" s="235"/>
      <c r="PM12" s="235"/>
      <c r="PN12" s="235"/>
      <c r="PO12" s="235"/>
      <c r="PP12" s="235"/>
      <c r="PQ12" s="235"/>
      <c r="PR12" s="235"/>
      <c r="PS12" s="235"/>
      <c r="PT12" s="235"/>
      <c r="PU12" s="235"/>
      <c r="PV12" s="235"/>
      <c r="PW12" s="235"/>
      <c r="PX12" s="235"/>
      <c r="PY12" s="235"/>
      <c r="PZ12" s="235"/>
      <c r="QA12" s="235"/>
      <c r="QB12" s="235"/>
      <c r="QC12" s="235"/>
      <c r="QD12" s="235"/>
      <c r="QE12" s="235"/>
      <c r="QF12" s="235"/>
      <c r="QG12" s="235"/>
      <c r="QH12" s="235"/>
      <c r="QI12" s="235"/>
      <c r="QJ12" s="235"/>
      <c r="QK12" s="235"/>
      <c r="QL12" s="235"/>
      <c r="QM12" s="235"/>
      <c r="QN12" s="235"/>
      <c r="QO12" s="235"/>
      <c r="QP12" s="235"/>
      <c r="QQ12" s="235"/>
      <c r="QR12" s="235"/>
      <c r="QS12" s="235"/>
      <c r="QT12" s="235"/>
      <c r="QU12" s="235"/>
      <c r="QV12" s="235"/>
      <c r="QW12" s="235"/>
      <c r="QX12" s="235"/>
      <c r="QY12" s="235"/>
      <c r="QZ12" s="235"/>
      <c r="RA12" s="235"/>
      <c r="RB12" s="235"/>
      <c r="RC12" s="235"/>
      <c r="RD12" s="235"/>
      <c r="RE12" s="235"/>
      <c r="RF12" s="235"/>
      <c r="RG12" s="235"/>
      <c r="RH12" s="235"/>
      <c r="RI12" s="235"/>
      <c r="RJ12" s="235"/>
      <c r="RK12" s="235"/>
      <c r="RL12" s="235"/>
      <c r="RM12" s="235"/>
      <c r="RN12" s="235"/>
      <c r="RO12" s="235"/>
      <c r="RP12" s="235"/>
      <c r="RQ12" s="235"/>
      <c r="RR12" s="235"/>
      <c r="RS12" s="235"/>
      <c r="RT12" s="235"/>
      <c r="RU12" s="235"/>
      <c r="RV12" s="235"/>
      <c r="RW12" s="235"/>
      <c r="RX12" s="235"/>
      <c r="RY12" s="235"/>
      <c r="RZ12" s="235"/>
      <c r="SA12" s="235"/>
      <c r="SB12" s="235"/>
      <c r="SC12" s="235"/>
      <c r="SD12" s="235"/>
      <c r="SE12" s="235"/>
      <c r="SF12" s="235"/>
      <c r="SG12" s="235"/>
      <c r="SH12" s="235"/>
      <c r="SI12" s="235"/>
      <c r="SJ12" s="235"/>
      <c r="SK12" s="235"/>
      <c r="SL12" s="235"/>
      <c r="SM12" s="235"/>
      <c r="SN12" s="235"/>
      <c r="SO12" s="235"/>
      <c r="SP12" s="235"/>
      <c r="SQ12" s="235"/>
      <c r="SR12" s="235"/>
      <c r="SS12" s="235"/>
      <c r="ST12" s="235"/>
      <c r="SU12" s="235"/>
      <c r="SV12" s="235"/>
      <c r="SW12" s="235"/>
      <c r="SX12" s="235"/>
      <c r="SY12" s="235"/>
      <c r="SZ12" s="235"/>
      <c r="TA12" s="235"/>
      <c r="TB12" s="235"/>
      <c r="TC12" s="235"/>
      <c r="TD12" s="235"/>
      <c r="TE12" s="235"/>
      <c r="TF12" s="235"/>
      <c r="TG12" s="235"/>
      <c r="TH12" s="235"/>
      <c r="TI12" s="235"/>
      <c r="TJ12" s="235"/>
      <c r="TK12" s="235"/>
      <c r="TL12" s="235"/>
      <c r="TM12" s="235"/>
      <c r="TN12" s="235"/>
      <c r="TO12" s="235"/>
      <c r="TP12" s="235"/>
      <c r="TQ12" s="235"/>
      <c r="TR12" s="235"/>
      <c r="TS12" s="235"/>
      <c r="TT12" s="235"/>
      <c r="TU12" s="235"/>
      <c r="TV12" s="235"/>
      <c r="TW12" s="235"/>
      <c r="TX12" s="235"/>
      <c r="TY12" s="235"/>
      <c r="TZ12" s="235"/>
      <c r="UA12" s="235"/>
      <c r="UB12" s="235"/>
      <c r="UC12" s="235"/>
      <c r="UD12" s="235"/>
      <c r="UE12" s="235"/>
      <c r="UF12" s="235"/>
      <c r="UG12" s="235"/>
      <c r="UH12" s="235"/>
      <c r="UI12" s="235"/>
      <c r="UJ12" s="235"/>
      <c r="UK12" s="235"/>
      <c r="UL12" s="235"/>
      <c r="UM12" s="235"/>
      <c r="UN12" s="235"/>
      <c r="UO12" s="235"/>
      <c r="UP12" s="235"/>
      <c r="UQ12" s="235"/>
      <c r="UR12" s="235"/>
      <c r="US12" s="235"/>
      <c r="UT12" s="235"/>
      <c r="UU12" s="235"/>
      <c r="UV12" s="235"/>
      <c r="UW12" s="235"/>
      <c r="UX12" s="235"/>
      <c r="UY12" s="235"/>
      <c r="UZ12" s="235"/>
      <c r="VA12" s="235"/>
      <c r="VB12" s="235"/>
      <c r="VC12" s="235"/>
      <c r="VD12" s="235"/>
      <c r="VE12" s="235"/>
      <c r="VF12" s="235"/>
      <c r="VG12" s="235"/>
      <c r="VH12" s="235"/>
      <c r="VI12" s="235"/>
      <c r="VJ12" s="235"/>
      <c r="VK12" s="235"/>
      <c r="VL12" s="235"/>
      <c r="VM12" s="235"/>
      <c r="VN12" s="235"/>
      <c r="VO12" s="235"/>
      <c r="VP12" s="235"/>
      <c r="VQ12" s="235"/>
      <c r="VR12" s="235"/>
      <c r="VS12" s="235"/>
      <c r="VT12" s="235"/>
      <c r="VU12" s="235"/>
      <c r="VV12" s="235"/>
      <c r="VW12" s="235"/>
      <c r="VX12" s="235"/>
      <c r="VY12" s="235"/>
      <c r="VZ12" s="235"/>
      <c r="WA12" s="235"/>
      <c r="WB12" s="235"/>
      <c r="WC12" s="235"/>
      <c r="WD12" s="235"/>
      <c r="WE12" s="235"/>
      <c r="WF12" s="235"/>
      <c r="WG12" s="235"/>
      <c r="WH12" s="235"/>
      <c r="WI12" s="235"/>
      <c r="WJ12" s="235"/>
      <c r="WK12" s="235"/>
      <c r="WL12" s="235"/>
      <c r="WM12" s="235"/>
      <c r="WN12" s="235"/>
      <c r="WO12" s="235"/>
      <c r="WP12" s="235"/>
      <c r="WQ12" s="235"/>
      <c r="WR12" s="235"/>
      <c r="WS12" s="235"/>
      <c r="WT12" s="235"/>
      <c r="WU12" s="235"/>
      <c r="WV12" s="235"/>
      <c r="WW12" s="235"/>
      <c r="WX12" s="235"/>
      <c r="WY12" s="235"/>
      <c r="WZ12" s="235"/>
      <c r="XA12" s="235"/>
      <c r="XB12" s="235"/>
      <c r="XC12" s="235"/>
      <c r="XD12" s="235"/>
      <c r="XE12" s="235"/>
      <c r="XF12" s="235"/>
      <c r="XG12" s="235"/>
      <c r="XH12" s="235"/>
      <c r="XI12" s="235"/>
      <c r="XJ12" s="235"/>
      <c r="XK12" s="235"/>
      <c r="XL12" s="235"/>
      <c r="XM12" s="235"/>
      <c r="XN12" s="235"/>
      <c r="XO12" s="235"/>
      <c r="XP12" s="235"/>
      <c r="XQ12" s="235"/>
      <c r="XR12" s="235"/>
      <c r="XS12" s="235"/>
      <c r="XT12" s="235"/>
      <c r="XU12" s="235"/>
      <c r="XV12" s="235"/>
      <c r="XW12" s="235"/>
      <c r="XX12" s="235"/>
      <c r="XY12" s="235"/>
      <c r="XZ12" s="235"/>
      <c r="YA12" s="235"/>
      <c r="YB12" s="235"/>
      <c r="YC12" s="235"/>
      <c r="YD12" s="235"/>
      <c r="YE12" s="235"/>
      <c r="YF12" s="235"/>
      <c r="YG12" s="235"/>
      <c r="YH12" s="235"/>
      <c r="YI12" s="235"/>
      <c r="YJ12" s="235"/>
      <c r="YK12" s="235"/>
      <c r="YL12" s="235"/>
      <c r="YM12" s="235"/>
      <c r="YN12" s="235"/>
      <c r="YO12" s="235"/>
      <c r="YP12" s="235"/>
      <c r="YQ12" s="235"/>
      <c r="YR12" s="235"/>
      <c r="YS12" s="235"/>
      <c r="YT12" s="235"/>
      <c r="YU12" s="235"/>
      <c r="YV12" s="235"/>
      <c r="YW12" s="235"/>
      <c r="YX12" s="235"/>
      <c r="YY12" s="235"/>
      <c r="YZ12" s="235"/>
      <c r="ZA12" s="235"/>
      <c r="ZB12" s="235"/>
      <c r="ZC12" s="235"/>
      <c r="ZD12" s="235"/>
      <c r="ZE12" s="235"/>
    </row>
    <row r="13" ht="21.0" customHeight="1">
      <c r="A13" s="6" t="s">
        <v>633</v>
      </c>
      <c r="B13" s="242"/>
      <c r="C13" s="16"/>
      <c r="D13" s="16"/>
      <c r="E13" s="16"/>
      <c r="F13" s="16"/>
      <c r="G13" s="16"/>
      <c r="H13" s="25"/>
      <c r="I13" s="240"/>
      <c r="J13" s="16"/>
      <c r="K13" s="16"/>
      <c r="L13" s="16"/>
      <c r="M13" s="16"/>
      <c r="N13" s="16"/>
      <c r="O13" s="25"/>
      <c r="P13" s="240"/>
      <c r="Q13" s="16"/>
      <c r="R13" s="16"/>
      <c r="S13" s="16"/>
      <c r="T13" s="16"/>
      <c r="U13" s="16"/>
      <c r="V13" s="25"/>
      <c r="W13" s="240"/>
      <c r="X13" s="16"/>
      <c r="Y13" s="16"/>
      <c r="Z13" s="16"/>
      <c r="AA13" s="16"/>
      <c r="AB13" s="16"/>
      <c r="AC13" s="25"/>
      <c r="AD13" s="240"/>
      <c r="AE13" s="16"/>
      <c r="AF13" s="16"/>
      <c r="AG13" s="16"/>
      <c r="AH13" s="16"/>
      <c r="AI13" s="16"/>
      <c r="AJ13" s="25"/>
      <c r="AK13" s="240"/>
      <c r="AL13" s="16"/>
      <c r="AM13" s="16"/>
      <c r="AN13" s="16"/>
      <c r="AO13" s="16"/>
      <c r="AP13" s="16"/>
      <c r="AQ13" s="25"/>
      <c r="AR13" s="240"/>
      <c r="AS13" s="16"/>
      <c r="AT13" s="16"/>
      <c r="AU13" s="16"/>
      <c r="AV13" s="16"/>
      <c r="AW13" s="16"/>
      <c r="AX13" s="25"/>
      <c r="AY13" s="240"/>
      <c r="AZ13" s="16"/>
      <c r="BA13" s="16"/>
      <c r="BB13" s="16"/>
      <c r="BC13" s="16"/>
      <c r="BD13" s="16"/>
      <c r="BE13" s="25"/>
      <c r="BF13" s="240"/>
      <c r="BG13" s="16"/>
      <c r="BH13" s="16"/>
      <c r="BI13" s="16"/>
      <c r="BJ13" s="16"/>
      <c r="BK13" s="16"/>
      <c r="BL13" s="16"/>
      <c r="BM13" s="25"/>
      <c r="BN13" s="106"/>
      <c r="BO13" s="16"/>
      <c r="BP13" s="16"/>
      <c r="BQ13" s="16"/>
      <c r="BR13" s="16"/>
      <c r="BS13" s="16"/>
      <c r="BT13" s="16"/>
      <c r="BU13" s="16"/>
      <c r="BV13" s="25"/>
      <c r="BW13" s="108"/>
      <c r="BX13" s="16"/>
      <c r="BY13" s="16"/>
      <c r="BZ13" s="16"/>
      <c r="CA13" s="16"/>
      <c r="CB13" s="16"/>
      <c r="CC13" s="16"/>
      <c r="CD13" s="16"/>
      <c r="CE13" s="16"/>
      <c r="CF13" s="16"/>
      <c r="CG13" s="25"/>
      <c r="CH13" s="108"/>
      <c r="CI13" s="16"/>
      <c r="CJ13" s="16"/>
      <c r="CK13" s="25"/>
      <c r="CL13" s="240"/>
      <c r="CM13" s="16"/>
      <c r="CN13" s="25"/>
      <c r="CO13" s="240"/>
      <c r="CP13" s="16"/>
      <c r="CQ13" s="16"/>
      <c r="CR13" s="16"/>
      <c r="CS13" s="16"/>
      <c r="CT13" s="16"/>
      <c r="CU13" s="25"/>
      <c r="CV13" s="240"/>
      <c r="CW13" s="16"/>
      <c r="CX13" s="16"/>
      <c r="CY13" s="16"/>
      <c r="CZ13" s="16"/>
      <c r="DA13" s="16"/>
      <c r="DB13" s="25"/>
      <c r="DC13" s="240"/>
      <c r="DD13" s="16"/>
      <c r="DE13" s="16"/>
      <c r="DF13" s="16"/>
      <c r="DG13" s="16"/>
      <c r="DH13" s="16"/>
      <c r="DI13" s="25"/>
      <c r="DJ13" s="106"/>
      <c r="DK13" s="16"/>
      <c r="DL13" s="16"/>
      <c r="DM13" s="25"/>
      <c r="DN13" s="106"/>
      <c r="DO13" s="16"/>
      <c r="DP13" s="16"/>
      <c r="DQ13" s="16"/>
      <c r="DR13" s="16"/>
      <c r="DS13" s="16"/>
      <c r="DT13" s="16"/>
      <c r="DU13" s="16"/>
      <c r="DV13" s="16"/>
      <c r="DW13" s="25"/>
      <c r="DX13" s="240"/>
      <c r="DY13" s="16"/>
      <c r="DZ13" s="16"/>
      <c r="EA13" s="16"/>
      <c r="EB13" s="16"/>
      <c r="EC13" s="16"/>
      <c r="ED13" s="25"/>
      <c r="EE13" s="240"/>
      <c r="EF13" s="16"/>
      <c r="EG13" s="16"/>
      <c r="EH13" s="16"/>
      <c r="EI13" s="16"/>
      <c r="EJ13" s="16"/>
      <c r="EK13" s="25"/>
      <c r="EL13" s="240"/>
      <c r="EM13" s="16"/>
      <c r="EN13" s="16"/>
      <c r="EO13" s="16"/>
      <c r="EP13" s="16"/>
      <c r="EQ13" s="16"/>
      <c r="ER13" s="25"/>
      <c r="ES13" s="240"/>
      <c r="ET13" s="16"/>
      <c r="EU13" s="16"/>
      <c r="EV13" s="16"/>
      <c r="EW13" s="16"/>
      <c r="EX13" s="16"/>
      <c r="EY13" s="25"/>
      <c r="EZ13" s="240"/>
      <c r="FA13" s="16"/>
      <c r="FB13" s="16"/>
      <c r="FC13" s="16"/>
      <c r="FD13" s="16"/>
      <c r="FE13" s="16"/>
      <c r="FF13" s="25"/>
      <c r="FG13" s="240"/>
      <c r="FH13" s="16"/>
      <c r="FI13" s="16"/>
      <c r="FJ13" s="16"/>
      <c r="FK13" s="16"/>
      <c r="FL13" s="16"/>
      <c r="FM13" s="25"/>
      <c r="FN13" s="240"/>
      <c r="FO13" s="16"/>
      <c r="FP13" s="16"/>
      <c r="FQ13" s="16"/>
      <c r="FR13" s="16"/>
      <c r="FS13" s="16"/>
      <c r="FT13" s="25"/>
      <c r="FU13" s="240"/>
      <c r="FV13" s="16"/>
      <c r="FW13" s="16"/>
      <c r="FX13" s="16"/>
      <c r="FY13" s="16"/>
      <c r="FZ13" s="16"/>
      <c r="GA13" s="25"/>
      <c r="GB13" s="106" t="s">
        <v>732</v>
      </c>
      <c r="GC13" s="16"/>
      <c r="GD13" s="16"/>
      <c r="GE13" s="16"/>
      <c r="GF13" s="16"/>
      <c r="GG13" s="16"/>
      <c r="GH13" s="25"/>
      <c r="GI13" s="108" t="s">
        <v>735</v>
      </c>
      <c r="GJ13" s="16"/>
      <c r="GK13" s="16"/>
      <c r="GL13" s="16"/>
      <c r="GM13" s="16"/>
      <c r="GN13" s="16"/>
      <c r="GO13" s="25"/>
      <c r="GP13" s="108" t="s">
        <v>735</v>
      </c>
      <c r="GQ13" s="16"/>
      <c r="GR13" s="16"/>
      <c r="GS13" s="16"/>
      <c r="GT13" s="16"/>
      <c r="GU13" s="16"/>
      <c r="GV13" s="25"/>
      <c r="GW13" s="106" t="s">
        <v>738</v>
      </c>
      <c r="GX13" s="16"/>
      <c r="GY13" s="16"/>
      <c r="GZ13" s="16"/>
      <c r="HA13" s="16"/>
      <c r="HB13" s="16"/>
      <c r="HC13" s="25"/>
      <c r="HD13" s="197" t="s">
        <v>740</v>
      </c>
      <c r="HE13" s="16"/>
      <c r="HF13" s="16"/>
      <c r="HG13" s="16"/>
      <c r="HH13" s="16"/>
      <c r="HI13" s="16"/>
      <c r="HJ13" s="25"/>
      <c r="HK13" s="197" t="s">
        <v>740</v>
      </c>
      <c r="HL13" s="16"/>
      <c r="HM13" s="16"/>
      <c r="HN13" s="16"/>
      <c r="HO13" s="16"/>
      <c r="HP13" s="16"/>
      <c r="HQ13" s="25"/>
      <c r="HR13" s="106" t="s">
        <v>749</v>
      </c>
      <c r="HS13" s="16"/>
      <c r="HT13" s="16"/>
      <c r="HU13" s="16"/>
      <c r="HV13" s="16"/>
      <c r="HW13" s="16"/>
      <c r="HX13" s="25"/>
      <c r="HY13" s="106" t="s">
        <v>749</v>
      </c>
      <c r="HZ13" s="16"/>
      <c r="IA13" s="16"/>
      <c r="IB13" s="16"/>
      <c r="IC13" s="16"/>
      <c r="ID13" s="16"/>
      <c r="IE13" s="25"/>
      <c r="IF13" s="106" t="s">
        <v>749</v>
      </c>
      <c r="IG13" s="16"/>
      <c r="IH13" s="16"/>
      <c r="II13" s="16"/>
      <c r="IJ13" s="16"/>
      <c r="IK13" s="16"/>
      <c r="IL13" s="16"/>
      <c r="IM13" s="25"/>
      <c r="IN13" s="106" t="s">
        <v>749</v>
      </c>
      <c r="IO13" s="16"/>
      <c r="IP13" s="16"/>
      <c r="IQ13" s="16"/>
      <c r="IR13" s="16"/>
      <c r="IS13" s="25"/>
      <c r="IT13" s="106" t="s">
        <v>749</v>
      </c>
      <c r="IU13" s="16"/>
      <c r="IV13" s="16"/>
      <c r="IW13" s="16"/>
      <c r="IX13" s="16"/>
      <c r="IY13" s="16"/>
      <c r="IZ13" s="25"/>
      <c r="JA13" s="106" t="s">
        <v>749</v>
      </c>
      <c r="JB13" s="16"/>
      <c r="JC13" s="16"/>
      <c r="JD13" s="16"/>
      <c r="JE13" s="16"/>
      <c r="JF13" s="16"/>
      <c r="JG13" s="25"/>
      <c r="JH13" s="106" t="s">
        <v>749</v>
      </c>
      <c r="JI13" s="16"/>
      <c r="JJ13" s="16"/>
      <c r="JK13" s="16"/>
      <c r="JL13" s="16"/>
      <c r="JM13" s="16"/>
      <c r="JN13" s="25"/>
      <c r="JO13" s="106" t="s">
        <v>758</v>
      </c>
      <c r="JP13" s="16"/>
      <c r="JQ13" s="16"/>
      <c r="JR13" s="16"/>
      <c r="JS13" s="16"/>
      <c r="JT13" s="16"/>
      <c r="JU13" s="25"/>
      <c r="JV13" s="106" t="s">
        <v>759</v>
      </c>
      <c r="JW13" s="16"/>
      <c r="JX13" s="16"/>
      <c r="JY13" s="16"/>
      <c r="JZ13" s="16"/>
      <c r="KA13" s="16"/>
      <c r="KB13" s="25"/>
      <c r="KC13" s="106" t="s">
        <v>759</v>
      </c>
      <c r="KD13" s="16"/>
      <c r="KE13" s="16"/>
      <c r="KF13" s="16"/>
      <c r="KG13" s="16"/>
      <c r="KH13" s="16"/>
      <c r="KI13" s="25"/>
      <c r="KJ13" s="106" t="s">
        <v>759</v>
      </c>
      <c r="KK13" s="16"/>
      <c r="KL13" s="16"/>
      <c r="KM13" s="16"/>
      <c r="KN13" s="16"/>
      <c r="KO13" s="16"/>
      <c r="KP13" s="25"/>
      <c r="KQ13" s="106" t="s">
        <v>425</v>
      </c>
      <c r="KR13" s="16"/>
      <c r="KS13" s="16"/>
      <c r="KT13" s="16"/>
      <c r="KU13" s="16"/>
      <c r="KV13" s="16"/>
      <c r="KW13" s="16"/>
      <c r="KX13" s="106" t="s">
        <v>425</v>
      </c>
      <c r="KY13" s="16"/>
      <c r="KZ13" s="16"/>
      <c r="LA13" s="16"/>
      <c r="LB13" s="16"/>
      <c r="LC13" s="16"/>
      <c r="LD13" s="16"/>
      <c r="LE13" s="106" t="s">
        <v>425</v>
      </c>
      <c r="LF13" s="16"/>
      <c r="LG13" s="16"/>
      <c r="LH13" s="16"/>
      <c r="LI13" s="16"/>
      <c r="LJ13" s="16"/>
      <c r="LK13" s="25"/>
      <c r="LL13" s="106" t="s">
        <v>425</v>
      </c>
      <c r="LM13" s="16"/>
      <c r="LN13" s="16"/>
      <c r="LO13" s="16"/>
      <c r="LP13" s="16"/>
      <c r="LQ13" s="16"/>
      <c r="LR13" s="25"/>
      <c r="LS13" s="106" t="s">
        <v>772</v>
      </c>
      <c r="LT13" s="16"/>
      <c r="LU13" s="16"/>
      <c r="LV13" s="16"/>
      <c r="LW13" s="16"/>
      <c r="LX13" s="16"/>
      <c r="LY13" s="25"/>
      <c r="LZ13" s="106" t="s">
        <v>775</v>
      </c>
      <c r="MA13" s="16"/>
      <c r="MB13" s="16"/>
      <c r="MC13" s="16"/>
      <c r="MD13" s="16"/>
      <c r="ME13" s="16"/>
      <c r="MF13" s="16"/>
      <c r="MG13" s="16"/>
      <c r="MH13" s="106" t="s">
        <v>778</v>
      </c>
      <c r="MI13" s="16"/>
      <c r="MJ13" s="25"/>
      <c r="MK13" s="106" t="s">
        <v>780</v>
      </c>
      <c r="ML13" s="16"/>
      <c r="MM13" s="16"/>
      <c r="MN13" s="16"/>
      <c r="MO13" s="16"/>
      <c r="MP13" s="16"/>
      <c r="MQ13" s="16"/>
      <c r="MR13" s="16"/>
      <c r="MS13" s="16"/>
      <c r="MT13" s="25"/>
      <c r="MU13" s="106" t="s">
        <v>634</v>
      </c>
      <c r="MV13" s="16"/>
      <c r="MW13" s="16"/>
      <c r="MX13" s="16"/>
      <c r="MY13" s="16"/>
      <c r="MZ13" s="16"/>
      <c r="NA13" s="25"/>
      <c r="NB13" s="81"/>
      <c r="NC13" s="111"/>
      <c r="ND13" s="111"/>
      <c r="NE13" s="111"/>
      <c r="NF13" s="111"/>
      <c r="NG13" s="111"/>
      <c r="NH13" s="111"/>
      <c r="NI13" s="111"/>
      <c r="NJ13" s="111"/>
      <c r="NK13" s="111"/>
      <c r="NL13" s="111"/>
      <c r="NM13" s="111"/>
      <c r="NN13" s="111"/>
      <c r="NO13" s="111"/>
      <c r="NP13" s="111"/>
      <c r="NQ13" s="111"/>
      <c r="NR13" s="111"/>
      <c r="NS13" s="111"/>
      <c r="NT13" s="111"/>
      <c r="NU13" s="111"/>
      <c r="NV13" s="111"/>
      <c r="NW13" s="111"/>
      <c r="NX13" s="111"/>
      <c r="NY13" s="111"/>
      <c r="NZ13" s="111"/>
      <c r="OA13" s="111"/>
      <c r="OB13" s="111"/>
      <c r="OC13" s="111"/>
      <c r="OD13" s="111"/>
      <c r="OE13" s="111"/>
      <c r="OF13" s="111"/>
      <c r="OG13" s="111"/>
      <c r="OH13" s="111"/>
      <c r="OI13" s="111"/>
      <c r="OJ13" s="111"/>
      <c r="OK13" s="111"/>
      <c r="OL13" s="111"/>
      <c r="OM13" s="111"/>
      <c r="ON13" s="111"/>
      <c r="OO13" s="111"/>
      <c r="OP13" s="111"/>
      <c r="OQ13" s="111"/>
      <c r="OR13" s="111"/>
      <c r="OS13" s="111"/>
      <c r="OT13" s="111"/>
      <c r="OU13" s="111"/>
      <c r="OV13" s="111"/>
      <c r="OW13" s="111"/>
      <c r="OX13" s="111"/>
      <c r="OY13" s="111"/>
      <c r="OZ13" s="111"/>
      <c r="PA13" s="111"/>
      <c r="PB13" s="111"/>
      <c r="PC13" s="111"/>
      <c r="PD13" s="111"/>
      <c r="PE13" s="111"/>
      <c r="PF13" s="111"/>
      <c r="PG13" s="111"/>
      <c r="PH13" s="111"/>
      <c r="PI13" s="111"/>
      <c r="PJ13" s="111"/>
      <c r="PK13" s="111"/>
      <c r="PL13" s="111"/>
      <c r="PM13" s="111"/>
      <c r="PN13" s="111"/>
      <c r="PO13" s="111"/>
      <c r="PP13" s="111"/>
      <c r="PQ13" s="111"/>
      <c r="PR13" s="111"/>
      <c r="PS13" s="111"/>
      <c r="PT13" s="111"/>
      <c r="PU13" s="111"/>
      <c r="PV13" s="111"/>
      <c r="PW13" s="111"/>
      <c r="PX13" s="111"/>
      <c r="PY13" s="111"/>
      <c r="PZ13" s="111"/>
      <c r="QA13" s="111"/>
      <c r="QB13" s="111"/>
      <c r="QC13" s="111"/>
      <c r="QD13" s="111"/>
      <c r="QE13" s="111"/>
      <c r="QF13" s="111"/>
      <c r="QG13" s="111"/>
      <c r="QH13" s="111"/>
      <c r="QI13" s="111"/>
      <c r="QJ13" s="111"/>
      <c r="QK13" s="111"/>
      <c r="QL13" s="111"/>
      <c r="QM13" s="111"/>
      <c r="QN13" s="111"/>
      <c r="QO13" s="111"/>
      <c r="QP13" s="111"/>
      <c r="QQ13" s="111"/>
      <c r="QR13" s="111"/>
      <c r="QS13" s="111"/>
      <c r="QT13" s="111"/>
      <c r="QU13" s="111"/>
      <c r="QV13" s="111"/>
      <c r="QW13" s="111"/>
      <c r="QX13" s="111"/>
      <c r="QY13" s="111"/>
      <c r="QZ13" s="111"/>
      <c r="RA13" s="111"/>
      <c r="RB13" s="111"/>
      <c r="RC13" s="111"/>
      <c r="RD13" s="111"/>
      <c r="RE13" s="111"/>
      <c r="RF13" s="111"/>
      <c r="RG13" s="111"/>
      <c r="RH13" s="111"/>
      <c r="RI13" s="111"/>
      <c r="RJ13" s="111"/>
      <c r="RK13" s="111"/>
      <c r="RL13" s="111"/>
      <c r="RM13" s="111"/>
      <c r="RN13" s="111"/>
      <c r="RO13" s="111"/>
      <c r="RP13" s="111"/>
      <c r="RQ13" s="111"/>
      <c r="RR13" s="111"/>
      <c r="RS13" s="111"/>
      <c r="RT13" s="111"/>
      <c r="RU13" s="111"/>
      <c r="RV13" s="111"/>
      <c r="RW13" s="111"/>
      <c r="RX13" s="111"/>
      <c r="RY13" s="111"/>
      <c r="RZ13" s="111"/>
      <c r="SA13" s="111"/>
      <c r="SB13" s="111"/>
      <c r="SC13" s="111"/>
      <c r="SD13" s="111"/>
      <c r="SE13" s="111"/>
      <c r="SF13" s="111"/>
      <c r="SG13" s="111"/>
      <c r="SH13" s="111"/>
      <c r="SI13" s="111"/>
      <c r="SJ13" s="111"/>
      <c r="SK13" s="111"/>
      <c r="SL13" s="111"/>
      <c r="SM13" s="111"/>
      <c r="SN13" s="111"/>
      <c r="SO13" s="111"/>
      <c r="SP13" s="111"/>
      <c r="SQ13" s="111"/>
      <c r="SR13" s="111"/>
      <c r="SS13" s="111"/>
      <c r="ST13" s="111"/>
      <c r="SU13" s="111"/>
      <c r="SV13" s="111"/>
      <c r="SW13" s="111"/>
      <c r="SX13" s="111"/>
      <c r="SY13" s="111"/>
      <c r="SZ13" s="111"/>
      <c r="TA13" s="111"/>
      <c r="TB13" s="111"/>
      <c r="TC13" s="111"/>
      <c r="TD13" s="111"/>
      <c r="TE13" s="111"/>
      <c r="TF13" s="111"/>
      <c r="TG13" s="111"/>
      <c r="TH13" s="111"/>
      <c r="TI13" s="111"/>
      <c r="TJ13" s="111"/>
      <c r="TK13" s="111"/>
      <c r="TL13" s="111"/>
      <c r="TM13" s="111"/>
      <c r="TN13" s="111"/>
      <c r="TO13" s="111"/>
      <c r="TP13" s="111"/>
      <c r="TQ13" s="111"/>
      <c r="TR13" s="111"/>
      <c r="TS13" s="111"/>
      <c r="TT13" s="111"/>
      <c r="TU13" s="111"/>
      <c r="TV13" s="111"/>
      <c r="TW13" s="111"/>
      <c r="TX13" s="111"/>
      <c r="TY13" s="111"/>
      <c r="TZ13" s="111"/>
      <c r="UA13" s="111"/>
      <c r="UB13" s="111"/>
      <c r="UC13" s="111"/>
      <c r="UD13" s="111"/>
      <c r="UE13" s="111"/>
      <c r="UF13" s="111"/>
      <c r="UG13" s="111"/>
      <c r="UH13" s="111"/>
      <c r="UI13" s="111"/>
      <c r="UJ13" s="111"/>
      <c r="UK13" s="111"/>
      <c r="UL13" s="111"/>
      <c r="UM13" s="111"/>
      <c r="UN13" s="111"/>
      <c r="UO13" s="111"/>
      <c r="UP13" s="111"/>
      <c r="UQ13" s="111"/>
      <c r="UR13" s="111"/>
      <c r="US13" s="111"/>
      <c r="UT13" s="111"/>
      <c r="UU13" s="111"/>
      <c r="UV13" s="111"/>
      <c r="UW13" s="111"/>
      <c r="UX13" s="111"/>
      <c r="UY13" s="111"/>
      <c r="UZ13" s="111"/>
      <c r="VA13" s="111"/>
      <c r="VB13" s="111"/>
      <c r="VC13" s="111"/>
      <c r="VD13" s="111"/>
      <c r="VE13" s="111"/>
      <c r="VF13" s="111"/>
      <c r="VG13" s="111"/>
      <c r="VH13" s="111"/>
      <c r="VI13" s="111"/>
      <c r="VJ13" s="111"/>
      <c r="VK13" s="111"/>
      <c r="VL13" s="111"/>
      <c r="VM13" s="111"/>
      <c r="VN13" s="111"/>
      <c r="VO13" s="111"/>
      <c r="VP13" s="111"/>
      <c r="VQ13" s="111"/>
      <c r="VR13" s="111"/>
      <c r="VS13" s="111"/>
      <c r="VT13" s="111"/>
      <c r="VU13" s="111"/>
      <c r="VV13" s="111"/>
      <c r="VW13" s="111"/>
      <c r="VX13" s="111"/>
      <c r="VY13" s="111"/>
      <c r="VZ13" s="111"/>
      <c r="WA13" s="111"/>
      <c r="WB13" s="111"/>
      <c r="WC13" s="111"/>
      <c r="WD13" s="111"/>
      <c r="WE13" s="111"/>
      <c r="WF13" s="111"/>
      <c r="WG13" s="111"/>
      <c r="WH13" s="111"/>
      <c r="WI13" s="111"/>
      <c r="WJ13" s="111"/>
      <c r="WK13" s="111"/>
      <c r="WL13" s="111"/>
      <c r="WM13" s="111"/>
      <c r="WN13" s="111"/>
      <c r="WO13" s="111"/>
      <c r="WP13" s="111"/>
      <c r="WQ13" s="111"/>
      <c r="WR13" s="111"/>
      <c r="WS13" s="111"/>
      <c r="WT13" s="111"/>
      <c r="WU13" s="111"/>
      <c r="WV13" s="111"/>
      <c r="WW13" s="111"/>
      <c r="WX13" s="111"/>
      <c r="WY13" s="111"/>
      <c r="WZ13" s="111"/>
      <c r="XA13" s="111"/>
      <c r="XB13" s="111"/>
      <c r="XC13" s="111"/>
      <c r="XD13" s="111"/>
      <c r="XE13" s="111"/>
      <c r="XF13" s="111"/>
      <c r="XG13" s="111"/>
      <c r="XH13" s="111"/>
      <c r="XI13" s="111"/>
      <c r="XJ13" s="111"/>
      <c r="XK13" s="111"/>
      <c r="XL13" s="111"/>
      <c r="XM13" s="111"/>
      <c r="XN13" s="111"/>
      <c r="XO13" s="111"/>
      <c r="XP13" s="111"/>
      <c r="XQ13" s="111"/>
      <c r="XR13" s="111"/>
      <c r="XS13" s="111"/>
      <c r="XT13" s="111"/>
      <c r="XU13" s="111"/>
      <c r="XV13" s="111"/>
      <c r="XW13" s="111"/>
      <c r="XX13" s="111"/>
      <c r="XY13" s="111"/>
      <c r="XZ13" s="111"/>
      <c r="YA13" s="111"/>
      <c r="YB13" s="111"/>
      <c r="YC13" s="111"/>
      <c r="YD13" s="111"/>
      <c r="YE13" s="111"/>
      <c r="YF13" s="111"/>
      <c r="YG13" s="111"/>
      <c r="YH13" s="111"/>
      <c r="YI13" s="111"/>
      <c r="YJ13" s="111"/>
      <c r="YK13" s="111"/>
      <c r="YL13" s="111"/>
      <c r="YM13" s="111"/>
      <c r="YN13" s="111"/>
      <c r="YO13" s="111"/>
      <c r="YP13" s="111"/>
      <c r="YQ13" s="111"/>
      <c r="YR13" s="111"/>
      <c r="YS13" s="111"/>
      <c r="YT13" s="111"/>
      <c r="YU13" s="111"/>
      <c r="YV13" s="111"/>
      <c r="YW13" s="111"/>
      <c r="YX13" s="111"/>
      <c r="YY13" s="111"/>
      <c r="YZ13" s="111"/>
      <c r="ZA13" s="111"/>
      <c r="ZB13" s="111"/>
      <c r="ZC13" s="111"/>
      <c r="ZD13" s="111"/>
      <c r="ZE13" s="111"/>
    </row>
    <row r="14" ht="20.25" customHeight="1">
      <c r="A14" s="236" t="s">
        <v>790</v>
      </c>
      <c r="B14" s="240"/>
      <c r="C14" s="16"/>
      <c r="D14" s="16"/>
      <c r="E14" s="16"/>
      <c r="F14" s="16"/>
      <c r="G14" s="16"/>
      <c r="H14" s="25"/>
      <c r="I14" s="240"/>
      <c r="J14" s="16"/>
      <c r="K14" s="16"/>
      <c r="L14" s="16"/>
      <c r="M14" s="16"/>
      <c r="N14" s="16"/>
      <c r="O14" s="25"/>
      <c r="P14" s="240"/>
      <c r="Q14" s="16"/>
      <c r="R14" s="16"/>
      <c r="S14" s="16"/>
      <c r="T14" s="16"/>
      <c r="U14" s="16"/>
      <c r="V14" s="25"/>
      <c r="W14" s="240"/>
      <c r="X14" s="16"/>
      <c r="Y14" s="16"/>
      <c r="Z14" s="16"/>
      <c r="AA14" s="16"/>
      <c r="AB14" s="16"/>
      <c r="AC14" s="25"/>
      <c r="AD14" s="240"/>
      <c r="AE14" s="16"/>
      <c r="AF14" s="16"/>
      <c r="AG14" s="16"/>
      <c r="AH14" s="16"/>
      <c r="AI14" s="16"/>
      <c r="AJ14" s="25"/>
      <c r="AK14" s="240"/>
      <c r="AL14" s="16"/>
      <c r="AM14" s="16"/>
      <c r="AN14" s="16"/>
      <c r="AO14" s="16"/>
      <c r="AP14" s="16"/>
      <c r="AQ14" s="16"/>
      <c r="AR14" s="16"/>
      <c r="AS14" s="16"/>
      <c r="AT14" s="25"/>
      <c r="AU14" s="106"/>
      <c r="AV14" s="16"/>
      <c r="AW14" s="16"/>
      <c r="AX14" s="16"/>
      <c r="AY14" s="16"/>
      <c r="AZ14" s="16"/>
      <c r="BA14" s="16"/>
      <c r="BB14" s="16"/>
      <c r="BC14" s="16"/>
      <c r="BD14" s="16"/>
      <c r="BE14" s="25"/>
      <c r="BF14" s="240"/>
      <c r="BG14" s="16"/>
      <c r="BH14" s="16"/>
      <c r="BI14" s="16"/>
      <c r="BJ14" s="16"/>
      <c r="BK14" s="16"/>
      <c r="BL14" s="25"/>
      <c r="BM14" s="106"/>
      <c r="BN14" s="16"/>
      <c r="BO14" s="16"/>
      <c r="BP14" s="16"/>
      <c r="BQ14" s="16"/>
      <c r="BR14" s="16"/>
      <c r="BS14" s="16"/>
      <c r="BT14" s="16"/>
      <c r="BU14" s="16"/>
      <c r="BV14" s="25"/>
      <c r="BW14" s="108"/>
      <c r="BX14" s="16"/>
      <c r="BY14" s="16"/>
      <c r="BZ14" s="16"/>
      <c r="CA14" s="16"/>
      <c r="CB14" s="16"/>
      <c r="CC14" s="16"/>
      <c r="CD14" s="16"/>
      <c r="CE14" s="16"/>
      <c r="CF14" s="16"/>
      <c r="CG14" s="16"/>
      <c r="CH14" s="25"/>
      <c r="CI14" s="240"/>
      <c r="CJ14" s="16"/>
      <c r="CK14" s="16"/>
      <c r="CL14" s="16"/>
      <c r="CM14" s="16"/>
      <c r="CN14" s="16"/>
      <c r="CO14" s="25"/>
      <c r="CP14" s="106"/>
      <c r="CQ14" s="16"/>
      <c r="CR14" s="16"/>
      <c r="CS14" s="16"/>
      <c r="CT14" s="16"/>
      <c r="CU14" s="25"/>
      <c r="CV14" s="240"/>
      <c r="CW14" s="16"/>
      <c r="CX14" s="16"/>
      <c r="CY14" s="16"/>
      <c r="CZ14" s="16"/>
      <c r="DA14" s="16"/>
      <c r="DB14" s="25"/>
      <c r="DC14" s="240"/>
      <c r="DD14" s="16"/>
      <c r="DE14" s="16"/>
      <c r="DF14" s="16"/>
      <c r="DG14" s="16"/>
      <c r="DH14" s="16"/>
      <c r="DI14" s="25"/>
      <c r="DJ14" s="106"/>
      <c r="DK14" s="16"/>
      <c r="DL14" s="16"/>
      <c r="DM14" s="25"/>
      <c r="DN14" s="106"/>
      <c r="DO14" s="16"/>
      <c r="DP14" s="16"/>
      <c r="DQ14" s="25"/>
      <c r="DR14" s="108"/>
      <c r="DS14" s="16"/>
      <c r="DT14" s="16"/>
      <c r="DU14" s="16"/>
      <c r="DV14" s="16"/>
      <c r="DW14" s="25"/>
      <c r="DX14" s="240"/>
      <c r="DY14" s="16"/>
      <c r="DZ14" s="16"/>
      <c r="EA14" s="16"/>
      <c r="EB14" s="16"/>
      <c r="EC14" s="16"/>
      <c r="ED14" s="25"/>
      <c r="EE14" s="240"/>
      <c r="EF14" s="16"/>
      <c r="EG14" s="16"/>
      <c r="EH14" s="16"/>
      <c r="EI14" s="16"/>
      <c r="EJ14" s="16"/>
      <c r="EK14" s="25"/>
      <c r="EL14" s="240"/>
      <c r="EM14" s="16"/>
      <c r="EN14" s="16"/>
      <c r="EO14" s="16"/>
      <c r="EP14" s="16"/>
      <c r="EQ14" s="16"/>
      <c r="ER14" s="25"/>
      <c r="ES14" s="240"/>
      <c r="ET14" s="16"/>
      <c r="EU14" s="16"/>
      <c r="EV14" s="16"/>
      <c r="EW14" s="16"/>
      <c r="EX14" s="16"/>
      <c r="EY14" s="25"/>
      <c r="EZ14" s="240"/>
      <c r="FA14" s="16"/>
      <c r="FB14" s="16"/>
      <c r="FC14" s="16"/>
      <c r="FD14" s="16"/>
      <c r="FE14" s="16"/>
      <c r="FF14" s="25"/>
      <c r="FG14" s="240"/>
      <c r="FH14" s="16"/>
      <c r="FI14" s="16"/>
      <c r="FJ14" s="16"/>
      <c r="FK14" s="16"/>
      <c r="FL14" s="16"/>
      <c r="FM14" s="25"/>
      <c r="FN14" s="240"/>
      <c r="FO14" s="16"/>
      <c r="FP14" s="16"/>
      <c r="FQ14" s="16"/>
      <c r="FR14" s="16"/>
      <c r="FS14" s="16"/>
      <c r="FT14" s="25"/>
      <c r="FU14" s="240"/>
      <c r="FV14" s="16"/>
      <c r="FW14" s="16"/>
      <c r="FX14" s="16"/>
      <c r="FY14" s="16"/>
      <c r="FZ14" s="16"/>
      <c r="GA14" s="25"/>
      <c r="GB14" s="106" t="s">
        <v>797</v>
      </c>
      <c r="GC14" s="16"/>
      <c r="GD14" s="16"/>
      <c r="GE14" s="16"/>
      <c r="GF14" s="16"/>
      <c r="GG14" s="16"/>
      <c r="GH14" s="25"/>
      <c r="GI14" s="108" t="s">
        <v>798</v>
      </c>
      <c r="GJ14" s="16"/>
      <c r="GK14" s="16"/>
      <c r="GL14" s="16"/>
      <c r="GM14" s="16"/>
      <c r="GN14" s="16"/>
      <c r="GO14" s="16"/>
      <c r="GP14" s="25"/>
      <c r="GQ14" s="146" t="s">
        <v>799</v>
      </c>
      <c r="GR14" s="16"/>
      <c r="GS14" s="16"/>
      <c r="GT14" s="25"/>
      <c r="GU14" s="146" t="s">
        <v>801</v>
      </c>
      <c r="GV14" s="25"/>
      <c r="GW14" s="146" t="s">
        <v>802</v>
      </c>
      <c r="GX14" s="16"/>
      <c r="GY14" s="16"/>
      <c r="GZ14" s="16"/>
      <c r="HA14" s="16"/>
      <c r="HB14" s="16"/>
      <c r="HC14" s="25"/>
      <c r="HD14" s="197" t="s">
        <v>804</v>
      </c>
      <c r="HE14" s="16"/>
      <c r="HF14" s="16"/>
      <c r="HG14" s="16"/>
      <c r="HH14" s="16"/>
      <c r="HI14" s="16"/>
      <c r="HJ14" s="25"/>
      <c r="HK14" s="197" t="s">
        <v>805</v>
      </c>
      <c r="HL14" s="16"/>
      <c r="HM14" s="16"/>
      <c r="HN14" s="16"/>
      <c r="HO14" s="16"/>
      <c r="HP14" s="16"/>
      <c r="HQ14" s="25"/>
      <c r="HR14" s="106"/>
      <c r="HS14" s="16"/>
      <c r="HT14" s="16"/>
      <c r="HU14" s="16"/>
      <c r="HV14" s="16"/>
      <c r="HW14" s="16"/>
      <c r="HX14" s="25"/>
      <c r="HY14" s="106" t="s">
        <v>804</v>
      </c>
      <c r="HZ14" s="16"/>
      <c r="IA14" s="16"/>
      <c r="IB14" s="16"/>
      <c r="IC14" s="16"/>
      <c r="ID14" s="16"/>
      <c r="IE14" s="25"/>
      <c r="IF14" s="249" t="s">
        <v>805</v>
      </c>
      <c r="IG14" s="16"/>
      <c r="IH14" s="16"/>
      <c r="II14" s="16"/>
      <c r="IJ14" s="16"/>
      <c r="IK14" s="16"/>
      <c r="IL14" s="16"/>
      <c r="IM14" s="25"/>
      <c r="IN14" s="249" t="s">
        <v>802</v>
      </c>
      <c r="IO14" s="16"/>
      <c r="IP14" s="16"/>
      <c r="IQ14" s="16"/>
      <c r="IR14" s="16"/>
      <c r="IS14" s="25"/>
      <c r="IT14" s="106" t="s">
        <v>808</v>
      </c>
      <c r="IU14" s="16"/>
      <c r="IV14" s="16"/>
      <c r="IW14" s="16"/>
      <c r="IX14" s="16"/>
      <c r="IY14" s="16"/>
      <c r="IZ14" s="25"/>
      <c r="JA14" s="106" t="s">
        <v>804</v>
      </c>
      <c r="JB14" s="16"/>
      <c r="JC14" s="16"/>
      <c r="JD14" s="16"/>
      <c r="JE14" s="16"/>
      <c r="JF14" s="16"/>
      <c r="JG14" s="25"/>
      <c r="JH14" s="106" t="s">
        <v>809</v>
      </c>
      <c r="JI14" s="16"/>
      <c r="JJ14" s="16"/>
      <c r="JK14" s="16"/>
      <c r="JL14" s="16"/>
      <c r="JM14" s="16"/>
      <c r="JN14" s="25"/>
      <c r="JO14" s="106" t="s">
        <v>810</v>
      </c>
      <c r="JP14" s="16"/>
      <c r="JQ14" s="16"/>
      <c r="JR14" s="16"/>
      <c r="JS14" s="16"/>
      <c r="JT14" s="16"/>
      <c r="JU14" s="25"/>
      <c r="JV14" s="106" t="s">
        <v>798</v>
      </c>
      <c r="JW14" s="16"/>
      <c r="JX14" s="16"/>
      <c r="JY14" s="16"/>
      <c r="JZ14" s="16"/>
      <c r="KA14" s="16"/>
      <c r="KB14" s="25"/>
      <c r="KC14" s="106" t="s">
        <v>802</v>
      </c>
      <c r="KD14" s="16"/>
      <c r="KE14" s="16"/>
      <c r="KF14" s="16"/>
      <c r="KG14" s="16"/>
      <c r="KH14" s="16"/>
      <c r="KI14" s="25"/>
      <c r="KJ14" s="106" t="s">
        <v>812</v>
      </c>
      <c r="KK14" s="16"/>
      <c r="KL14" s="16"/>
      <c r="KM14" s="16"/>
      <c r="KN14" s="16"/>
      <c r="KO14" s="16"/>
      <c r="KP14" s="25"/>
      <c r="KQ14" s="106" t="s">
        <v>813</v>
      </c>
      <c r="KR14" s="16"/>
      <c r="KS14" s="16"/>
      <c r="KT14" s="16"/>
      <c r="KU14" s="16"/>
      <c r="KV14" s="16"/>
      <c r="KW14" s="16"/>
      <c r="KX14" s="16"/>
      <c r="KY14" s="16"/>
      <c r="KZ14" s="16"/>
      <c r="LA14" s="16"/>
      <c r="LB14" s="16"/>
      <c r="LC14" s="16"/>
      <c r="LD14" s="16"/>
      <c r="LE14" s="106" t="s">
        <v>804</v>
      </c>
      <c r="LF14" s="16"/>
      <c r="LG14" s="16"/>
      <c r="LH14" s="16"/>
      <c r="LI14" s="16"/>
      <c r="LJ14" s="16"/>
      <c r="LK14" s="25"/>
      <c r="LL14" s="106" t="s">
        <v>814</v>
      </c>
      <c r="LM14" s="16"/>
      <c r="LN14" s="16"/>
      <c r="LO14" s="16"/>
      <c r="LP14" s="16"/>
      <c r="LQ14" s="16"/>
      <c r="LR14" s="25"/>
      <c r="LS14" s="108" t="s">
        <v>815</v>
      </c>
      <c r="LT14" s="16"/>
      <c r="LU14" s="16"/>
      <c r="LV14" s="16"/>
      <c r="LW14" s="16"/>
      <c r="LX14" s="16"/>
      <c r="LY14" s="25"/>
      <c r="LZ14" s="108" t="s">
        <v>816</v>
      </c>
      <c r="MA14" s="16"/>
      <c r="MB14" s="16"/>
      <c r="MC14" s="16"/>
      <c r="MD14" s="16"/>
      <c r="ME14" s="16"/>
      <c r="MF14" s="25"/>
      <c r="MG14" s="108" t="s">
        <v>798</v>
      </c>
      <c r="MH14" s="16"/>
      <c r="MI14" s="16"/>
      <c r="MJ14" s="16"/>
      <c r="MK14" s="108" t="s">
        <v>817</v>
      </c>
      <c r="ML14" s="16"/>
      <c r="MM14" s="16"/>
      <c r="MN14" s="16"/>
      <c r="MO14" s="16"/>
      <c r="MP14" s="16"/>
      <c r="MQ14" s="16"/>
      <c r="MR14" s="16"/>
      <c r="MS14" s="16"/>
      <c r="MT14" s="25"/>
      <c r="MU14" s="108" t="s">
        <v>818</v>
      </c>
      <c r="MV14" s="16"/>
      <c r="MW14" s="16"/>
      <c r="MX14" s="16"/>
      <c r="MY14" s="16"/>
      <c r="MZ14" s="16"/>
      <c r="NA14" s="25"/>
      <c r="NB14" s="232"/>
      <c r="NC14" s="235"/>
      <c r="ND14" s="235"/>
      <c r="NE14" s="235"/>
      <c r="NF14" s="235"/>
      <c r="NG14" s="235"/>
      <c r="NH14" s="235"/>
      <c r="NI14" s="235"/>
      <c r="NJ14" s="235"/>
      <c r="NK14" s="235"/>
      <c r="NL14" s="235"/>
      <c r="NM14" s="235"/>
      <c r="NN14" s="235"/>
      <c r="NO14" s="235"/>
      <c r="NP14" s="235"/>
      <c r="NQ14" s="235"/>
      <c r="NR14" s="235"/>
      <c r="NS14" s="235"/>
      <c r="NT14" s="235"/>
      <c r="NU14" s="235"/>
      <c r="NV14" s="235"/>
      <c r="NW14" s="235"/>
      <c r="NX14" s="235"/>
      <c r="NY14" s="235"/>
      <c r="NZ14" s="235"/>
      <c r="OA14" s="235"/>
      <c r="OB14" s="235"/>
      <c r="OC14" s="235"/>
      <c r="OD14" s="235"/>
      <c r="OE14" s="235"/>
      <c r="OF14" s="235"/>
      <c r="OG14" s="235"/>
      <c r="OH14" s="235"/>
      <c r="OI14" s="235"/>
      <c r="OJ14" s="235"/>
      <c r="OK14" s="235"/>
      <c r="OL14" s="235"/>
      <c r="OM14" s="235"/>
      <c r="ON14" s="235"/>
      <c r="OO14" s="235"/>
      <c r="OP14" s="235"/>
      <c r="OQ14" s="235"/>
      <c r="OR14" s="235"/>
      <c r="OS14" s="235"/>
      <c r="OT14" s="235"/>
      <c r="OU14" s="235"/>
      <c r="OV14" s="235"/>
      <c r="OW14" s="235"/>
      <c r="OX14" s="235"/>
      <c r="OY14" s="235"/>
      <c r="OZ14" s="235"/>
      <c r="PA14" s="235"/>
      <c r="PB14" s="235"/>
      <c r="PC14" s="235"/>
      <c r="PD14" s="235"/>
      <c r="PE14" s="235"/>
      <c r="PF14" s="235"/>
      <c r="PG14" s="235"/>
      <c r="PH14" s="235"/>
      <c r="PI14" s="235"/>
      <c r="PJ14" s="235"/>
      <c r="PK14" s="235"/>
      <c r="PL14" s="235"/>
      <c r="PM14" s="235"/>
      <c r="PN14" s="235"/>
      <c r="PO14" s="235"/>
      <c r="PP14" s="235"/>
      <c r="PQ14" s="235"/>
      <c r="PR14" s="235"/>
      <c r="PS14" s="235"/>
      <c r="PT14" s="235"/>
      <c r="PU14" s="235"/>
      <c r="PV14" s="235"/>
      <c r="PW14" s="235"/>
      <c r="PX14" s="235"/>
      <c r="PY14" s="235"/>
      <c r="PZ14" s="235"/>
      <c r="QA14" s="235"/>
      <c r="QB14" s="235"/>
      <c r="QC14" s="235"/>
      <c r="QD14" s="235"/>
      <c r="QE14" s="235"/>
      <c r="QF14" s="235"/>
      <c r="QG14" s="235"/>
      <c r="QH14" s="235"/>
      <c r="QI14" s="235"/>
      <c r="QJ14" s="235"/>
      <c r="QK14" s="235"/>
      <c r="QL14" s="235"/>
      <c r="QM14" s="235"/>
      <c r="QN14" s="235"/>
      <c r="QO14" s="235"/>
      <c r="QP14" s="235"/>
      <c r="QQ14" s="235"/>
      <c r="QR14" s="235"/>
      <c r="QS14" s="235"/>
      <c r="QT14" s="235"/>
      <c r="QU14" s="235"/>
      <c r="QV14" s="235"/>
      <c r="QW14" s="235"/>
      <c r="QX14" s="235"/>
      <c r="QY14" s="235"/>
      <c r="QZ14" s="235"/>
      <c r="RA14" s="235"/>
      <c r="RB14" s="235"/>
      <c r="RC14" s="235"/>
      <c r="RD14" s="235"/>
      <c r="RE14" s="235"/>
      <c r="RF14" s="235"/>
      <c r="RG14" s="235"/>
      <c r="RH14" s="235"/>
      <c r="RI14" s="235"/>
      <c r="RJ14" s="235"/>
      <c r="RK14" s="235"/>
      <c r="RL14" s="235"/>
      <c r="RM14" s="235"/>
      <c r="RN14" s="235"/>
      <c r="RO14" s="235"/>
      <c r="RP14" s="235"/>
      <c r="RQ14" s="235"/>
      <c r="RR14" s="235"/>
      <c r="RS14" s="235"/>
      <c r="RT14" s="235"/>
      <c r="RU14" s="235"/>
      <c r="RV14" s="235"/>
      <c r="RW14" s="235"/>
      <c r="RX14" s="235"/>
      <c r="RY14" s="235"/>
      <c r="RZ14" s="235"/>
      <c r="SA14" s="235"/>
      <c r="SB14" s="235"/>
      <c r="SC14" s="235"/>
      <c r="SD14" s="235"/>
      <c r="SE14" s="235"/>
      <c r="SF14" s="235"/>
      <c r="SG14" s="235"/>
      <c r="SH14" s="235"/>
      <c r="SI14" s="235"/>
      <c r="SJ14" s="235"/>
      <c r="SK14" s="235"/>
      <c r="SL14" s="235"/>
      <c r="SM14" s="235"/>
      <c r="SN14" s="235"/>
      <c r="SO14" s="235"/>
      <c r="SP14" s="235"/>
      <c r="SQ14" s="235"/>
      <c r="SR14" s="235"/>
      <c r="SS14" s="235"/>
      <c r="ST14" s="235"/>
      <c r="SU14" s="235"/>
      <c r="SV14" s="235"/>
      <c r="SW14" s="235"/>
      <c r="SX14" s="235"/>
      <c r="SY14" s="235"/>
      <c r="SZ14" s="235"/>
      <c r="TA14" s="235"/>
      <c r="TB14" s="235"/>
      <c r="TC14" s="235"/>
      <c r="TD14" s="235"/>
      <c r="TE14" s="235"/>
      <c r="TF14" s="235"/>
      <c r="TG14" s="235"/>
      <c r="TH14" s="235"/>
      <c r="TI14" s="235"/>
      <c r="TJ14" s="235"/>
      <c r="TK14" s="235"/>
      <c r="TL14" s="235"/>
      <c r="TM14" s="235"/>
      <c r="TN14" s="235"/>
      <c r="TO14" s="235"/>
      <c r="TP14" s="235"/>
      <c r="TQ14" s="235"/>
      <c r="TR14" s="235"/>
      <c r="TS14" s="235"/>
      <c r="TT14" s="235"/>
      <c r="TU14" s="235"/>
      <c r="TV14" s="235"/>
      <c r="TW14" s="235"/>
      <c r="TX14" s="235"/>
      <c r="TY14" s="235"/>
      <c r="TZ14" s="235"/>
      <c r="UA14" s="235"/>
      <c r="UB14" s="235"/>
      <c r="UC14" s="235"/>
      <c r="UD14" s="235"/>
      <c r="UE14" s="235"/>
      <c r="UF14" s="235"/>
      <c r="UG14" s="235"/>
      <c r="UH14" s="235"/>
      <c r="UI14" s="235"/>
      <c r="UJ14" s="235"/>
      <c r="UK14" s="235"/>
      <c r="UL14" s="235"/>
      <c r="UM14" s="235"/>
      <c r="UN14" s="235"/>
      <c r="UO14" s="235"/>
      <c r="UP14" s="235"/>
      <c r="UQ14" s="235"/>
      <c r="UR14" s="235"/>
      <c r="US14" s="235"/>
      <c r="UT14" s="235"/>
      <c r="UU14" s="235"/>
      <c r="UV14" s="235"/>
      <c r="UW14" s="235"/>
      <c r="UX14" s="235"/>
      <c r="UY14" s="235"/>
      <c r="UZ14" s="235"/>
      <c r="VA14" s="235"/>
      <c r="VB14" s="235"/>
      <c r="VC14" s="235"/>
      <c r="VD14" s="235"/>
      <c r="VE14" s="235"/>
      <c r="VF14" s="235"/>
      <c r="VG14" s="235"/>
      <c r="VH14" s="235"/>
      <c r="VI14" s="235"/>
      <c r="VJ14" s="235"/>
      <c r="VK14" s="235"/>
      <c r="VL14" s="235"/>
      <c r="VM14" s="235"/>
      <c r="VN14" s="235"/>
      <c r="VO14" s="235"/>
      <c r="VP14" s="235"/>
      <c r="VQ14" s="235"/>
      <c r="VR14" s="235"/>
      <c r="VS14" s="235"/>
      <c r="VT14" s="235"/>
      <c r="VU14" s="235"/>
      <c r="VV14" s="235"/>
      <c r="VW14" s="235"/>
      <c r="VX14" s="235"/>
      <c r="VY14" s="235"/>
      <c r="VZ14" s="235"/>
      <c r="WA14" s="235"/>
      <c r="WB14" s="235"/>
      <c r="WC14" s="235"/>
      <c r="WD14" s="235"/>
      <c r="WE14" s="235"/>
      <c r="WF14" s="235"/>
      <c r="WG14" s="235"/>
      <c r="WH14" s="235"/>
      <c r="WI14" s="235"/>
      <c r="WJ14" s="235"/>
      <c r="WK14" s="235"/>
      <c r="WL14" s="235"/>
      <c r="WM14" s="235"/>
      <c r="WN14" s="235"/>
      <c r="WO14" s="235"/>
      <c r="WP14" s="235"/>
      <c r="WQ14" s="235"/>
      <c r="WR14" s="235"/>
      <c r="WS14" s="235"/>
      <c r="WT14" s="235"/>
      <c r="WU14" s="235"/>
      <c r="WV14" s="235"/>
      <c r="WW14" s="235"/>
      <c r="WX14" s="235"/>
      <c r="WY14" s="235"/>
      <c r="WZ14" s="235"/>
      <c r="XA14" s="235"/>
      <c r="XB14" s="235"/>
      <c r="XC14" s="235"/>
      <c r="XD14" s="235"/>
      <c r="XE14" s="235"/>
      <c r="XF14" s="235"/>
      <c r="XG14" s="235"/>
      <c r="XH14" s="235"/>
      <c r="XI14" s="235"/>
      <c r="XJ14" s="235"/>
      <c r="XK14" s="235"/>
      <c r="XL14" s="235"/>
      <c r="XM14" s="235"/>
      <c r="XN14" s="235"/>
      <c r="XO14" s="235"/>
      <c r="XP14" s="235"/>
      <c r="XQ14" s="235"/>
      <c r="XR14" s="235"/>
      <c r="XS14" s="235"/>
      <c r="XT14" s="235"/>
      <c r="XU14" s="235"/>
      <c r="XV14" s="235"/>
      <c r="XW14" s="235"/>
      <c r="XX14" s="235"/>
      <c r="XY14" s="235"/>
      <c r="XZ14" s="235"/>
      <c r="YA14" s="235"/>
      <c r="YB14" s="235"/>
      <c r="YC14" s="235"/>
      <c r="YD14" s="235"/>
      <c r="YE14" s="235"/>
      <c r="YF14" s="235"/>
      <c r="YG14" s="235"/>
      <c r="YH14" s="235"/>
      <c r="YI14" s="235"/>
      <c r="YJ14" s="235"/>
      <c r="YK14" s="235"/>
      <c r="YL14" s="235"/>
      <c r="YM14" s="235"/>
      <c r="YN14" s="235"/>
      <c r="YO14" s="235"/>
      <c r="YP14" s="235"/>
      <c r="YQ14" s="235"/>
      <c r="YR14" s="235"/>
      <c r="YS14" s="235"/>
      <c r="YT14" s="235"/>
      <c r="YU14" s="235"/>
      <c r="YV14" s="235"/>
      <c r="YW14" s="235"/>
      <c r="YX14" s="235"/>
      <c r="YY14" s="235"/>
      <c r="YZ14" s="235"/>
      <c r="ZA14" s="235"/>
      <c r="ZB14" s="235"/>
      <c r="ZC14" s="235"/>
      <c r="ZD14" s="235"/>
      <c r="ZE14" s="235"/>
    </row>
    <row r="15" ht="60.0" customHeight="1">
      <c r="A15" s="156" t="s">
        <v>371</v>
      </c>
      <c r="B15" s="240" t="s">
        <v>819</v>
      </c>
      <c r="C15" s="16"/>
      <c r="D15" s="16"/>
      <c r="E15" s="16"/>
      <c r="F15" s="16"/>
      <c r="G15" s="16"/>
      <c r="H15" s="25"/>
      <c r="I15" s="108" t="s">
        <v>820</v>
      </c>
      <c r="J15" s="16"/>
      <c r="K15" s="16"/>
      <c r="L15" s="16"/>
      <c r="M15" s="16"/>
      <c r="N15" s="16"/>
      <c r="O15" s="25"/>
      <c r="P15" s="240" t="s">
        <v>821</v>
      </c>
      <c r="Q15" s="16"/>
      <c r="R15" s="16"/>
      <c r="S15" s="16"/>
      <c r="T15" s="16"/>
      <c r="U15" s="16"/>
      <c r="V15" s="25"/>
      <c r="W15" s="240" t="s">
        <v>822</v>
      </c>
      <c r="X15" s="16"/>
      <c r="Y15" s="16"/>
      <c r="Z15" s="16"/>
      <c r="AA15" s="16"/>
      <c r="AB15" s="16"/>
      <c r="AC15" s="25"/>
      <c r="AD15" s="240" t="s">
        <v>823</v>
      </c>
      <c r="AE15" s="16"/>
      <c r="AF15" s="16"/>
      <c r="AG15" s="16"/>
      <c r="AH15" s="16"/>
      <c r="AI15" s="16"/>
      <c r="AJ15" s="25"/>
      <c r="AK15" s="240" t="s">
        <v>824</v>
      </c>
      <c r="AL15" s="16"/>
      <c r="AM15" s="16"/>
      <c r="AN15" s="16"/>
      <c r="AO15" s="16"/>
      <c r="AP15" s="16"/>
      <c r="AQ15" s="16"/>
      <c r="AR15" s="16"/>
      <c r="AS15" s="16"/>
      <c r="AT15" s="25"/>
      <c r="AU15" s="106" t="s">
        <v>827</v>
      </c>
      <c r="AV15" s="16"/>
      <c r="AW15" s="16"/>
      <c r="AX15" s="16"/>
      <c r="AY15" s="16"/>
      <c r="AZ15" s="16"/>
      <c r="BA15" s="16"/>
      <c r="BB15" s="16"/>
      <c r="BC15" s="16"/>
      <c r="BD15" s="16"/>
      <c r="BE15" s="25"/>
      <c r="BF15" s="106" t="s">
        <v>828</v>
      </c>
      <c r="BG15" s="16"/>
      <c r="BH15" s="16"/>
      <c r="BI15" s="16"/>
      <c r="BJ15" s="16"/>
      <c r="BK15" s="16"/>
      <c r="BL15" s="25"/>
      <c r="BM15" s="106" t="s">
        <v>830</v>
      </c>
      <c r="BN15" s="16"/>
      <c r="BO15" s="16"/>
      <c r="BP15" s="16"/>
      <c r="BQ15" s="16"/>
      <c r="BR15" s="16"/>
      <c r="BS15" s="16"/>
      <c r="BT15" s="16"/>
      <c r="BU15" s="16"/>
      <c r="BV15" s="25"/>
      <c r="BW15" s="108" t="s">
        <v>832</v>
      </c>
      <c r="BX15" s="16"/>
      <c r="BY15" s="16"/>
      <c r="BZ15" s="16"/>
      <c r="CA15" s="16"/>
      <c r="CB15" s="16"/>
      <c r="CC15" s="16"/>
      <c r="CD15" s="16"/>
      <c r="CE15" s="16"/>
      <c r="CF15" s="16"/>
      <c r="CG15" s="16"/>
      <c r="CH15" s="25"/>
      <c r="CI15" s="106" t="s">
        <v>833</v>
      </c>
      <c r="CJ15" s="16"/>
      <c r="CK15" s="16"/>
      <c r="CL15" s="16"/>
      <c r="CM15" s="16"/>
      <c r="CN15" s="16"/>
      <c r="CO15" s="25"/>
      <c r="CP15" s="106" t="s">
        <v>835</v>
      </c>
      <c r="CQ15" s="16"/>
      <c r="CR15" s="16"/>
      <c r="CS15" s="16"/>
      <c r="CT15" s="16"/>
      <c r="CU15" s="25"/>
      <c r="CV15" s="106" t="s">
        <v>836</v>
      </c>
      <c r="CW15" s="16"/>
      <c r="CX15" s="16"/>
      <c r="CY15" s="16"/>
      <c r="CZ15" s="16"/>
      <c r="DA15" s="16"/>
      <c r="DB15" s="25"/>
      <c r="DC15" s="106" t="s">
        <v>838</v>
      </c>
      <c r="DD15" s="16"/>
      <c r="DE15" s="16"/>
      <c r="DF15" s="16"/>
      <c r="DG15" s="16"/>
      <c r="DH15" s="16"/>
      <c r="DI15" s="25"/>
      <c r="DJ15" s="106"/>
      <c r="DK15" s="16"/>
      <c r="DL15" s="16"/>
      <c r="DM15" s="25"/>
      <c r="DN15" s="106" t="s">
        <v>841</v>
      </c>
      <c r="DO15" s="16"/>
      <c r="DP15" s="16"/>
      <c r="DQ15" s="25"/>
      <c r="DR15" s="108" t="s">
        <v>842</v>
      </c>
      <c r="DS15" s="16"/>
      <c r="DT15" s="16"/>
      <c r="DU15" s="16"/>
      <c r="DV15" s="16"/>
      <c r="DW15" s="25"/>
      <c r="DX15" s="106" t="s">
        <v>843</v>
      </c>
      <c r="DY15" s="16"/>
      <c r="DZ15" s="16"/>
      <c r="EA15" s="16"/>
      <c r="EB15" s="16"/>
      <c r="EC15" s="16"/>
      <c r="ED15" s="25"/>
      <c r="EE15" s="106" t="s">
        <v>849</v>
      </c>
      <c r="EF15" s="16"/>
      <c r="EG15" s="16"/>
      <c r="EH15" s="16"/>
      <c r="EI15" s="16"/>
      <c r="EJ15" s="16"/>
      <c r="EK15" s="25"/>
      <c r="EL15" s="106" t="s">
        <v>851</v>
      </c>
      <c r="EM15" s="16"/>
      <c r="EN15" s="16"/>
      <c r="EO15" s="16"/>
      <c r="EP15" s="16"/>
      <c r="EQ15" s="16"/>
      <c r="ER15" s="25"/>
      <c r="ES15" s="106" t="s">
        <v>854</v>
      </c>
      <c r="ET15" s="16"/>
      <c r="EU15" s="16"/>
      <c r="EV15" s="16"/>
      <c r="EW15" s="16"/>
      <c r="EX15" s="16"/>
      <c r="EY15" s="25"/>
      <c r="EZ15" s="106" t="s">
        <v>379</v>
      </c>
      <c r="FA15" s="16"/>
      <c r="FB15" s="16"/>
      <c r="FC15" s="16"/>
      <c r="FD15" s="16"/>
      <c r="FE15" s="16"/>
      <c r="FF15" s="25"/>
      <c r="FG15" s="106" t="s">
        <v>859</v>
      </c>
      <c r="FH15" s="16"/>
      <c r="FI15" s="16"/>
      <c r="FJ15" s="16"/>
      <c r="FK15" s="16"/>
      <c r="FL15" s="16"/>
      <c r="FM15" s="25"/>
      <c r="FN15" s="106" t="s">
        <v>862</v>
      </c>
      <c r="FO15" s="16"/>
      <c r="FP15" s="16"/>
      <c r="FQ15" s="16"/>
      <c r="FR15" s="16"/>
      <c r="FS15" s="16"/>
      <c r="FT15" s="25"/>
      <c r="FU15" s="106" t="s">
        <v>867</v>
      </c>
      <c r="FV15" s="16"/>
      <c r="FW15" s="16"/>
      <c r="FX15" s="16"/>
      <c r="FY15" s="16"/>
      <c r="FZ15" s="16"/>
      <c r="GA15" s="25"/>
      <c r="GB15" s="106" t="s">
        <v>870</v>
      </c>
      <c r="GC15" s="16"/>
      <c r="GD15" s="16"/>
      <c r="GE15" s="16"/>
      <c r="GF15" s="16"/>
      <c r="GG15" s="16"/>
      <c r="GH15" s="25"/>
      <c r="GI15" s="108" t="s">
        <v>872</v>
      </c>
      <c r="GJ15" s="16"/>
      <c r="GK15" s="16"/>
      <c r="GL15" s="16"/>
      <c r="GM15" s="16"/>
      <c r="GN15" s="16"/>
      <c r="GO15" s="25"/>
      <c r="GP15" s="146" t="s">
        <v>876</v>
      </c>
      <c r="GQ15" s="16"/>
      <c r="GR15" s="16"/>
      <c r="GS15" s="16"/>
      <c r="GT15" s="16"/>
      <c r="GU15" s="16"/>
      <c r="GV15" s="25"/>
      <c r="GW15" s="106" t="s">
        <v>877</v>
      </c>
      <c r="GX15" s="16"/>
      <c r="GY15" s="16"/>
      <c r="GZ15" s="16"/>
      <c r="HA15" s="16"/>
      <c r="HB15" s="16"/>
      <c r="HC15" s="25"/>
      <c r="HD15" s="197" t="s">
        <v>880</v>
      </c>
      <c r="HE15" s="16"/>
      <c r="HF15" s="16"/>
      <c r="HG15" s="16"/>
      <c r="HH15" s="16"/>
      <c r="HI15" s="16"/>
      <c r="HJ15" s="25"/>
      <c r="HK15" s="197" t="s">
        <v>883</v>
      </c>
      <c r="HL15" s="16"/>
      <c r="HM15" s="16"/>
      <c r="HN15" s="16"/>
      <c r="HO15" s="16"/>
      <c r="HP15" s="16"/>
      <c r="HQ15" s="25"/>
      <c r="HR15" s="106" t="s">
        <v>886</v>
      </c>
      <c r="HS15" s="16"/>
      <c r="HT15" s="16"/>
      <c r="HU15" s="16"/>
      <c r="HV15" s="16"/>
      <c r="HW15" s="16"/>
      <c r="HX15" s="25"/>
      <c r="HY15" s="106" t="s">
        <v>892</v>
      </c>
      <c r="HZ15" s="16"/>
      <c r="IA15" s="16"/>
      <c r="IB15" s="16"/>
      <c r="IC15" s="16"/>
      <c r="ID15" s="16"/>
      <c r="IE15" s="25"/>
      <c r="IF15" s="267" t="s">
        <v>895</v>
      </c>
      <c r="IG15" s="16"/>
      <c r="IH15" s="16"/>
      <c r="II15" s="16"/>
      <c r="IJ15" s="16"/>
      <c r="IK15" s="16"/>
      <c r="IL15" s="16"/>
      <c r="IM15" s="16"/>
      <c r="IN15" s="106" t="s">
        <v>898</v>
      </c>
      <c r="IO15" s="16"/>
      <c r="IP15" s="16"/>
      <c r="IQ15" s="16"/>
      <c r="IR15" s="16"/>
      <c r="IS15" s="25"/>
      <c r="IT15" s="106" t="s">
        <v>900</v>
      </c>
      <c r="IU15" s="16"/>
      <c r="IV15" s="16"/>
      <c r="IW15" s="16"/>
      <c r="IX15" s="16"/>
      <c r="IY15" s="16"/>
      <c r="IZ15" s="25"/>
      <c r="JA15" s="106" t="s">
        <v>902</v>
      </c>
      <c r="JB15" s="16"/>
      <c r="JC15" s="16"/>
      <c r="JD15" s="16"/>
      <c r="JE15" s="16"/>
      <c r="JF15" s="16"/>
      <c r="JG15" s="25"/>
      <c r="JH15" s="106" t="s">
        <v>905</v>
      </c>
      <c r="JI15" s="16"/>
      <c r="JJ15" s="16"/>
      <c r="JK15" s="16"/>
      <c r="JL15" s="16"/>
      <c r="JM15" s="16"/>
      <c r="JN15" s="25"/>
      <c r="JO15" s="271" t="s">
        <v>906</v>
      </c>
      <c r="JV15" s="106" t="s">
        <v>907</v>
      </c>
      <c r="JW15" s="16"/>
      <c r="JX15" s="16"/>
      <c r="JY15" s="16"/>
      <c r="JZ15" s="16"/>
      <c r="KA15" s="16"/>
      <c r="KB15" s="25"/>
      <c r="KC15" s="106" t="s">
        <v>908</v>
      </c>
      <c r="KD15" s="16"/>
      <c r="KE15" s="16"/>
      <c r="KF15" s="16"/>
      <c r="KG15" s="16"/>
      <c r="KH15" s="16"/>
      <c r="KI15" s="25"/>
      <c r="KJ15" s="106" t="s">
        <v>909</v>
      </c>
      <c r="KK15" s="16"/>
      <c r="KL15" s="16"/>
      <c r="KM15" s="16"/>
      <c r="KN15" s="16"/>
      <c r="KO15" s="16"/>
      <c r="KP15" s="25"/>
      <c r="KQ15" s="106" t="s">
        <v>911</v>
      </c>
      <c r="KR15" s="16"/>
      <c r="KS15" s="16"/>
      <c r="KT15" s="16"/>
      <c r="KU15" s="16"/>
      <c r="KV15" s="16"/>
      <c r="KW15" s="25"/>
      <c r="KX15" s="106" t="s">
        <v>912</v>
      </c>
      <c r="KY15" s="16"/>
      <c r="KZ15" s="16"/>
      <c r="LA15" s="16"/>
      <c r="LB15" s="16"/>
      <c r="LC15" s="16"/>
      <c r="LD15" s="25"/>
      <c r="LE15" s="106" t="s">
        <v>914</v>
      </c>
      <c r="LF15" s="16"/>
      <c r="LG15" s="16"/>
      <c r="LH15" s="16"/>
      <c r="LI15" s="16"/>
      <c r="LJ15" s="16"/>
      <c r="LK15" s="25"/>
      <c r="LL15" s="106" t="s">
        <v>915</v>
      </c>
      <c r="LM15" s="16"/>
      <c r="LN15" s="16"/>
      <c r="LO15" s="16"/>
      <c r="LP15" s="16"/>
      <c r="LQ15" s="16"/>
      <c r="LR15" s="25"/>
      <c r="LS15" s="106" t="s">
        <v>916</v>
      </c>
      <c r="LT15" s="16"/>
      <c r="LU15" s="16"/>
      <c r="LV15" s="16"/>
      <c r="LW15" s="16"/>
      <c r="LX15" s="16"/>
      <c r="LY15" s="25"/>
      <c r="LZ15" s="106" t="s">
        <v>918</v>
      </c>
      <c r="MA15" s="16"/>
      <c r="MB15" s="16"/>
      <c r="MC15" s="16"/>
      <c r="MD15" s="106" t="s">
        <v>919</v>
      </c>
      <c r="ME15" s="16"/>
      <c r="MF15" s="25"/>
      <c r="MG15" s="227" t="s">
        <v>921</v>
      </c>
      <c r="MH15" s="16"/>
      <c r="MI15" s="16"/>
      <c r="MJ15" s="16"/>
      <c r="MK15" s="106" t="s">
        <v>922</v>
      </c>
      <c r="ML15" s="16"/>
      <c r="MM15" s="16"/>
      <c r="MN15" s="16"/>
      <c r="MO15" s="16"/>
      <c r="MP15" s="16"/>
      <c r="MQ15" s="227" t="s">
        <v>924</v>
      </c>
      <c r="MR15" s="16"/>
      <c r="MS15" s="16"/>
      <c r="MT15" s="25"/>
      <c r="MU15" s="106" t="s">
        <v>925</v>
      </c>
      <c r="MV15" s="16"/>
      <c r="MW15" s="16"/>
      <c r="MX15" s="16"/>
      <c r="MY15" s="16"/>
      <c r="MZ15" s="16"/>
      <c r="NA15" s="25"/>
      <c r="NB15" s="232"/>
      <c r="NC15" s="235"/>
      <c r="ND15" s="235"/>
      <c r="NE15" s="235"/>
      <c r="NF15" s="235"/>
      <c r="NG15" s="235"/>
      <c r="NH15" s="235"/>
      <c r="NI15" s="235"/>
      <c r="NJ15" s="235"/>
      <c r="NK15" s="235"/>
      <c r="NL15" s="235"/>
      <c r="NM15" s="235"/>
      <c r="NN15" s="235"/>
      <c r="NO15" s="235"/>
      <c r="NP15" s="235"/>
      <c r="NQ15" s="235"/>
      <c r="NR15" s="235"/>
      <c r="NS15" s="235"/>
      <c r="NT15" s="235"/>
      <c r="NU15" s="235"/>
      <c r="NV15" s="235"/>
      <c r="NW15" s="235"/>
      <c r="NX15" s="235"/>
      <c r="NY15" s="235"/>
      <c r="NZ15" s="235"/>
      <c r="OA15" s="235"/>
      <c r="OB15" s="235"/>
      <c r="OC15" s="235"/>
      <c r="OD15" s="235"/>
      <c r="OE15" s="235"/>
      <c r="OF15" s="235"/>
      <c r="OG15" s="235"/>
      <c r="OH15" s="235"/>
      <c r="OI15" s="235"/>
      <c r="OJ15" s="235"/>
      <c r="OK15" s="235"/>
      <c r="OL15" s="235"/>
      <c r="OM15" s="235"/>
      <c r="ON15" s="235"/>
      <c r="OO15" s="235"/>
      <c r="OP15" s="235"/>
      <c r="OQ15" s="235"/>
      <c r="OR15" s="235"/>
      <c r="OS15" s="235"/>
      <c r="OT15" s="235"/>
      <c r="OU15" s="235"/>
      <c r="OV15" s="235"/>
      <c r="OW15" s="235"/>
      <c r="OX15" s="235"/>
      <c r="OY15" s="235"/>
      <c r="OZ15" s="235"/>
      <c r="PA15" s="235"/>
      <c r="PB15" s="235"/>
      <c r="PC15" s="235"/>
      <c r="PD15" s="235"/>
      <c r="PE15" s="235"/>
      <c r="PF15" s="235"/>
      <c r="PG15" s="235"/>
      <c r="PH15" s="235"/>
      <c r="PI15" s="235"/>
      <c r="PJ15" s="235"/>
      <c r="PK15" s="235"/>
      <c r="PL15" s="235"/>
      <c r="PM15" s="235"/>
      <c r="PN15" s="235"/>
      <c r="PO15" s="235"/>
      <c r="PP15" s="235"/>
      <c r="PQ15" s="235"/>
      <c r="PR15" s="235"/>
      <c r="PS15" s="235"/>
      <c r="PT15" s="235"/>
      <c r="PU15" s="235"/>
      <c r="PV15" s="235"/>
      <c r="PW15" s="235"/>
      <c r="PX15" s="235"/>
      <c r="PY15" s="235"/>
      <c r="PZ15" s="235"/>
      <c r="QA15" s="235"/>
      <c r="QB15" s="235"/>
      <c r="QC15" s="235"/>
      <c r="QD15" s="235"/>
      <c r="QE15" s="235"/>
      <c r="QF15" s="235"/>
      <c r="QG15" s="235"/>
      <c r="QH15" s="235"/>
      <c r="QI15" s="235"/>
      <c r="QJ15" s="235"/>
      <c r="QK15" s="235"/>
      <c r="QL15" s="235"/>
      <c r="QM15" s="235"/>
      <c r="QN15" s="235"/>
      <c r="QO15" s="235"/>
      <c r="QP15" s="235"/>
      <c r="QQ15" s="235"/>
      <c r="QR15" s="235"/>
      <c r="QS15" s="235"/>
      <c r="QT15" s="235"/>
      <c r="QU15" s="235"/>
      <c r="QV15" s="235"/>
      <c r="QW15" s="235"/>
      <c r="QX15" s="235"/>
      <c r="QY15" s="235"/>
      <c r="QZ15" s="235"/>
      <c r="RA15" s="235"/>
      <c r="RB15" s="235"/>
      <c r="RC15" s="235"/>
      <c r="RD15" s="235"/>
      <c r="RE15" s="235"/>
      <c r="RF15" s="235"/>
      <c r="RG15" s="235"/>
      <c r="RH15" s="235"/>
      <c r="RI15" s="235"/>
      <c r="RJ15" s="235"/>
      <c r="RK15" s="235"/>
      <c r="RL15" s="235"/>
      <c r="RM15" s="235"/>
      <c r="RN15" s="235"/>
      <c r="RO15" s="235"/>
      <c r="RP15" s="235"/>
      <c r="RQ15" s="235"/>
      <c r="RR15" s="235"/>
      <c r="RS15" s="235"/>
      <c r="RT15" s="235"/>
      <c r="RU15" s="235"/>
      <c r="RV15" s="235"/>
      <c r="RW15" s="235"/>
      <c r="RX15" s="235"/>
      <c r="RY15" s="235"/>
      <c r="RZ15" s="235"/>
      <c r="SA15" s="235"/>
      <c r="SB15" s="235"/>
      <c r="SC15" s="235"/>
      <c r="SD15" s="235"/>
      <c r="SE15" s="235"/>
      <c r="SF15" s="235"/>
      <c r="SG15" s="235"/>
      <c r="SH15" s="235"/>
      <c r="SI15" s="235"/>
      <c r="SJ15" s="235"/>
      <c r="SK15" s="235"/>
      <c r="SL15" s="235"/>
      <c r="SM15" s="235"/>
      <c r="SN15" s="235"/>
      <c r="SO15" s="235"/>
      <c r="SP15" s="235"/>
      <c r="SQ15" s="235"/>
      <c r="SR15" s="235"/>
      <c r="SS15" s="235"/>
      <c r="ST15" s="235"/>
      <c r="SU15" s="235"/>
      <c r="SV15" s="235"/>
      <c r="SW15" s="235"/>
      <c r="SX15" s="235"/>
      <c r="SY15" s="235"/>
      <c r="SZ15" s="235"/>
      <c r="TA15" s="235"/>
      <c r="TB15" s="235"/>
      <c r="TC15" s="235"/>
      <c r="TD15" s="235"/>
      <c r="TE15" s="235"/>
      <c r="TF15" s="235"/>
      <c r="TG15" s="235"/>
      <c r="TH15" s="235"/>
      <c r="TI15" s="235"/>
      <c r="TJ15" s="235"/>
      <c r="TK15" s="235"/>
      <c r="TL15" s="235"/>
      <c r="TM15" s="235"/>
      <c r="TN15" s="235"/>
      <c r="TO15" s="235"/>
      <c r="TP15" s="235"/>
      <c r="TQ15" s="235"/>
      <c r="TR15" s="235"/>
      <c r="TS15" s="235"/>
      <c r="TT15" s="235"/>
      <c r="TU15" s="235"/>
      <c r="TV15" s="235"/>
      <c r="TW15" s="235"/>
      <c r="TX15" s="235"/>
      <c r="TY15" s="235"/>
      <c r="TZ15" s="235"/>
      <c r="UA15" s="235"/>
      <c r="UB15" s="235"/>
      <c r="UC15" s="235"/>
      <c r="UD15" s="235"/>
      <c r="UE15" s="235"/>
      <c r="UF15" s="235"/>
      <c r="UG15" s="235"/>
      <c r="UH15" s="235"/>
      <c r="UI15" s="235"/>
      <c r="UJ15" s="235"/>
      <c r="UK15" s="235"/>
      <c r="UL15" s="235"/>
      <c r="UM15" s="235"/>
      <c r="UN15" s="235"/>
      <c r="UO15" s="235"/>
      <c r="UP15" s="235"/>
      <c r="UQ15" s="235"/>
      <c r="UR15" s="235"/>
      <c r="US15" s="235"/>
      <c r="UT15" s="235"/>
      <c r="UU15" s="235"/>
      <c r="UV15" s="235"/>
      <c r="UW15" s="235"/>
      <c r="UX15" s="235"/>
      <c r="UY15" s="235"/>
      <c r="UZ15" s="235"/>
      <c r="VA15" s="235"/>
      <c r="VB15" s="235"/>
      <c r="VC15" s="235"/>
      <c r="VD15" s="235"/>
      <c r="VE15" s="235"/>
      <c r="VF15" s="235"/>
      <c r="VG15" s="235"/>
      <c r="VH15" s="235"/>
      <c r="VI15" s="235"/>
      <c r="VJ15" s="235"/>
      <c r="VK15" s="235"/>
      <c r="VL15" s="235"/>
      <c r="VM15" s="235"/>
      <c r="VN15" s="235"/>
      <c r="VO15" s="235"/>
      <c r="VP15" s="235"/>
      <c r="VQ15" s="235"/>
      <c r="VR15" s="235"/>
      <c r="VS15" s="235"/>
      <c r="VT15" s="235"/>
      <c r="VU15" s="235"/>
      <c r="VV15" s="235"/>
      <c r="VW15" s="235"/>
      <c r="VX15" s="235"/>
      <c r="VY15" s="235"/>
      <c r="VZ15" s="235"/>
      <c r="WA15" s="235"/>
      <c r="WB15" s="235"/>
      <c r="WC15" s="235"/>
      <c r="WD15" s="235"/>
      <c r="WE15" s="235"/>
      <c r="WF15" s="235"/>
      <c r="WG15" s="235"/>
      <c r="WH15" s="235"/>
      <c r="WI15" s="235"/>
      <c r="WJ15" s="235"/>
      <c r="WK15" s="235"/>
      <c r="WL15" s="235"/>
      <c r="WM15" s="235"/>
      <c r="WN15" s="235"/>
      <c r="WO15" s="235"/>
      <c r="WP15" s="235"/>
      <c r="WQ15" s="235"/>
      <c r="WR15" s="235"/>
      <c r="WS15" s="235"/>
      <c r="WT15" s="235"/>
      <c r="WU15" s="235"/>
      <c r="WV15" s="235"/>
      <c r="WW15" s="235"/>
      <c r="WX15" s="235"/>
      <c r="WY15" s="235"/>
      <c r="WZ15" s="235"/>
      <c r="XA15" s="235"/>
      <c r="XB15" s="235"/>
      <c r="XC15" s="235"/>
      <c r="XD15" s="235"/>
      <c r="XE15" s="235"/>
      <c r="XF15" s="235"/>
      <c r="XG15" s="235"/>
      <c r="XH15" s="235"/>
      <c r="XI15" s="235"/>
      <c r="XJ15" s="235"/>
      <c r="XK15" s="235"/>
      <c r="XL15" s="235"/>
      <c r="XM15" s="235"/>
      <c r="XN15" s="235"/>
      <c r="XO15" s="235"/>
      <c r="XP15" s="235"/>
      <c r="XQ15" s="235"/>
      <c r="XR15" s="235"/>
      <c r="XS15" s="235"/>
      <c r="XT15" s="235"/>
      <c r="XU15" s="235"/>
      <c r="XV15" s="235"/>
      <c r="XW15" s="235"/>
      <c r="XX15" s="235"/>
      <c r="XY15" s="235"/>
      <c r="XZ15" s="235"/>
      <c r="YA15" s="235"/>
      <c r="YB15" s="235"/>
      <c r="YC15" s="235"/>
      <c r="YD15" s="235"/>
      <c r="YE15" s="235"/>
      <c r="YF15" s="235"/>
      <c r="YG15" s="235"/>
      <c r="YH15" s="235"/>
      <c r="YI15" s="235"/>
      <c r="YJ15" s="235"/>
      <c r="YK15" s="235"/>
      <c r="YL15" s="235"/>
      <c r="YM15" s="235"/>
      <c r="YN15" s="235"/>
      <c r="YO15" s="235"/>
      <c r="YP15" s="235"/>
      <c r="YQ15" s="235"/>
      <c r="YR15" s="235"/>
      <c r="YS15" s="235"/>
      <c r="YT15" s="235"/>
      <c r="YU15" s="235"/>
      <c r="YV15" s="235"/>
      <c r="YW15" s="235"/>
      <c r="YX15" s="235"/>
      <c r="YY15" s="235"/>
      <c r="YZ15" s="235"/>
      <c r="ZA15" s="235"/>
      <c r="ZB15" s="235"/>
      <c r="ZC15" s="235"/>
      <c r="ZD15" s="235"/>
      <c r="ZE15" s="235"/>
    </row>
    <row r="16" ht="21.75" customHeight="1">
      <c r="A16" s="277" t="s">
        <v>934</v>
      </c>
      <c r="B16" s="240"/>
      <c r="C16" s="16"/>
      <c r="D16" s="16"/>
      <c r="E16" s="16"/>
      <c r="F16" s="16"/>
      <c r="G16" s="16"/>
      <c r="H16" s="25"/>
      <c r="I16" s="134"/>
      <c r="J16" s="16"/>
      <c r="K16" s="16"/>
      <c r="L16" s="16"/>
      <c r="M16" s="16"/>
      <c r="N16" s="16"/>
      <c r="O16" s="25"/>
      <c r="P16" s="134"/>
      <c r="Q16" s="16"/>
      <c r="R16" s="16"/>
      <c r="S16" s="16"/>
      <c r="T16" s="16"/>
      <c r="U16" s="16"/>
      <c r="V16" s="25"/>
      <c r="W16" s="134"/>
      <c r="X16" s="16"/>
      <c r="Y16" s="16"/>
      <c r="Z16" s="16"/>
      <c r="AA16" s="16"/>
      <c r="AB16" s="16"/>
      <c r="AC16" s="25"/>
      <c r="AD16" s="240"/>
      <c r="AE16" s="16"/>
      <c r="AF16" s="16"/>
      <c r="AG16" s="16"/>
      <c r="AH16" s="16"/>
      <c r="AI16" s="16"/>
      <c r="AJ16" s="25"/>
      <c r="AK16" s="240"/>
      <c r="AL16" s="16"/>
      <c r="AM16" s="16"/>
      <c r="AN16" s="16"/>
      <c r="AO16" s="16"/>
      <c r="AP16" s="16"/>
      <c r="AQ16" s="16"/>
      <c r="AR16" s="16"/>
      <c r="AS16" s="16"/>
      <c r="AT16" s="25"/>
      <c r="AU16" s="108"/>
      <c r="AV16" s="16"/>
      <c r="AW16" s="16"/>
      <c r="AX16" s="16"/>
      <c r="AY16" s="16"/>
      <c r="AZ16" s="16"/>
      <c r="BA16" s="16"/>
      <c r="BB16" s="16"/>
      <c r="BC16" s="16"/>
      <c r="BD16" s="16"/>
      <c r="BE16" s="25"/>
      <c r="BF16" s="108"/>
      <c r="BG16" s="16"/>
      <c r="BH16" s="16"/>
      <c r="BI16" s="16"/>
      <c r="BJ16" s="16"/>
      <c r="BK16" s="16"/>
      <c r="BL16" s="25"/>
      <c r="BM16" s="108"/>
      <c r="BN16" s="16"/>
      <c r="BO16" s="16"/>
      <c r="BP16" s="16"/>
      <c r="BQ16" s="16"/>
      <c r="BR16" s="16"/>
      <c r="BS16" s="16"/>
      <c r="BT16" s="16"/>
      <c r="BU16" s="16"/>
      <c r="BV16" s="25"/>
      <c r="BW16" s="240"/>
      <c r="BX16" s="16"/>
      <c r="BY16" s="16"/>
      <c r="BZ16" s="16"/>
      <c r="CA16" s="16"/>
      <c r="CB16" s="16"/>
      <c r="CC16" s="16"/>
      <c r="CD16" s="16"/>
      <c r="CE16" s="16"/>
      <c r="CF16" s="16"/>
      <c r="CG16" s="16"/>
      <c r="CH16" s="25"/>
      <c r="CI16" s="108"/>
      <c r="CJ16" s="16"/>
      <c r="CK16" s="16"/>
      <c r="CL16" s="16"/>
      <c r="CM16" s="16"/>
      <c r="CN16" s="16"/>
      <c r="CO16" s="25"/>
      <c r="CP16" s="106"/>
      <c r="CQ16" s="16"/>
      <c r="CR16" s="16"/>
      <c r="CS16" s="16"/>
      <c r="CT16" s="16"/>
      <c r="CU16" s="25"/>
      <c r="CV16" s="108"/>
      <c r="CW16" s="16"/>
      <c r="CX16" s="16"/>
      <c r="CY16" s="16"/>
      <c r="CZ16" s="16"/>
      <c r="DA16" s="16"/>
      <c r="DB16" s="25"/>
      <c r="DC16" s="108"/>
      <c r="DD16" s="16"/>
      <c r="DE16" s="16"/>
      <c r="DF16" s="16"/>
      <c r="DG16" s="16"/>
      <c r="DH16" s="16"/>
      <c r="DI16" s="25"/>
      <c r="DJ16" s="106"/>
      <c r="DK16" s="16"/>
      <c r="DL16" s="16"/>
      <c r="DM16" s="25"/>
      <c r="DN16" s="106"/>
      <c r="DO16" s="16"/>
      <c r="DP16" s="16"/>
      <c r="DQ16" s="25"/>
      <c r="DR16" s="240"/>
      <c r="DS16" s="16"/>
      <c r="DT16" s="16"/>
      <c r="DU16" s="16"/>
      <c r="DV16" s="16"/>
      <c r="DW16" s="25"/>
      <c r="DX16" s="240"/>
      <c r="DY16" s="16"/>
      <c r="DZ16" s="16"/>
      <c r="EA16" s="16"/>
      <c r="EB16" s="16"/>
      <c r="EC16" s="16"/>
      <c r="ED16" s="25"/>
      <c r="EE16" s="247"/>
      <c r="EF16" s="16"/>
      <c r="EG16" s="16"/>
      <c r="EH16" s="16"/>
      <c r="EI16" s="16"/>
      <c r="EJ16" s="16"/>
      <c r="EK16" s="25"/>
      <c r="EL16" s="106"/>
      <c r="EM16" s="16"/>
      <c r="EN16" s="16"/>
      <c r="EO16" s="16"/>
      <c r="EP16" s="16"/>
      <c r="EQ16" s="16"/>
      <c r="ER16" s="25"/>
      <c r="ES16" s="106"/>
      <c r="ET16" s="16"/>
      <c r="EU16" s="16"/>
      <c r="EV16" s="16"/>
      <c r="EW16" s="16"/>
      <c r="EX16" s="16"/>
      <c r="EY16" s="25"/>
      <c r="EZ16" s="240"/>
      <c r="FA16" s="16"/>
      <c r="FB16" s="16"/>
      <c r="FC16" s="16"/>
      <c r="FD16" s="16"/>
      <c r="FE16" s="16"/>
      <c r="FF16" s="25"/>
      <c r="FG16" s="240"/>
      <c r="FH16" s="16"/>
      <c r="FI16" s="16"/>
      <c r="FJ16" s="16"/>
      <c r="FK16" s="16"/>
      <c r="FL16" s="16"/>
      <c r="FM16" s="25"/>
      <c r="FN16" s="284"/>
      <c r="FO16" s="16"/>
      <c r="FP16" s="16"/>
      <c r="FQ16" s="16"/>
      <c r="FR16" s="16"/>
      <c r="FS16" s="16"/>
      <c r="FT16" s="25"/>
      <c r="FU16" s="284"/>
      <c r="FV16" s="16"/>
      <c r="FW16" s="16"/>
      <c r="FX16" s="16"/>
      <c r="FY16" s="16"/>
      <c r="FZ16" s="16"/>
      <c r="GA16" s="25"/>
      <c r="GB16" s="284"/>
      <c r="GC16" s="16"/>
      <c r="GD16" s="16"/>
      <c r="GE16" s="16"/>
      <c r="GF16" s="16"/>
      <c r="GG16" s="16"/>
      <c r="GH16" s="25"/>
      <c r="GI16" s="284"/>
      <c r="GJ16" s="16"/>
      <c r="GK16" s="16"/>
      <c r="GL16" s="16"/>
      <c r="GM16" s="16"/>
      <c r="GN16" s="16"/>
      <c r="GO16" s="25"/>
      <c r="GP16" s="284"/>
      <c r="GQ16" s="16"/>
      <c r="GR16" s="16"/>
      <c r="GS16" s="16"/>
      <c r="GT16" s="16"/>
      <c r="GU16" s="16"/>
      <c r="GV16" s="25"/>
      <c r="GW16" s="197" t="s">
        <v>943</v>
      </c>
      <c r="GX16" s="16"/>
      <c r="GY16" s="16"/>
      <c r="GZ16" s="16"/>
      <c r="HA16" s="16"/>
      <c r="HB16" s="16"/>
      <c r="HC16" s="25"/>
      <c r="HD16" s="197"/>
      <c r="HE16" s="16"/>
      <c r="HF16" s="16"/>
      <c r="HG16" s="16"/>
      <c r="HH16" s="16"/>
      <c r="HI16" s="16"/>
      <c r="HJ16" s="25"/>
      <c r="HK16" s="197" t="s">
        <v>946</v>
      </c>
      <c r="HL16" s="16"/>
      <c r="HM16" s="16"/>
      <c r="HN16" s="16"/>
      <c r="HO16" s="16"/>
      <c r="HP16" s="16"/>
      <c r="HQ16" s="25"/>
      <c r="HR16" s="284"/>
      <c r="HS16" s="16"/>
      <c r="HT16" s="16"/>
      <c r="HU16" s="16"/>
      <c r="HV16" s="16"/>
      <c r="HW16" s="16"/>
      <c r="HX16" s="25"/>
      <c r="HY16" s="197" t="s">
        <v>947</v>
      </c>
      <c r="HZ16" s="16"/>
      <c r="IA16" s="16"/>
      <c r="IB16" s="16"/>
      <c r="IC16" s="16"/>
      <c r="ID16" s="16"/>
      <c r="IE16" s="25"/>
      <c r="IF16" s="223"/>
      <c r="IG16" s="16"/>
      <c r="IH16" s="16"/>
      <c r="II16" s="16"/>
      <c r="IJ16" s="16"/>
      <c r="IK16" s="16"/>
      <c r="IL16" s="25"/>
      <c r="IM16" s="284"/>
      <c r="IN16" s="16"/>
      <c r="IO16" s="16"/>
      <c r="IP16" s="16"/>
      <c r="IQ16" s="16"/>
      <c r="IR16" s="16"/>
      <c r="IS16" s="25"/>
      <c r="IT16" s="284"/>
      <c r="IU16" s="16"/>
      <c r="IV16" s="16"/>
      <c r="IW16" s="16"/>
      <c r="IX16" s="16"/>
      <c r="IY16" s="16"/>
      <c r="IZ16" s="25"/>
      <c r="JA16" s="284"/>
      <c r="JB16" s="16"/>
      <c r="JC16" s="16"/>
      <c r="JD16" s="16"/>
      <c r="JE16" s="16"/>
      <c r="JF16" s="16"/>
      <c r="JG16" s="25"/>
      <c r="JH16" s="284"/>
      <c r="JI16" s="16"/>
      <c r="JJ16" s="16"/>
      <c r="JK16" s="16"/>
      <c r="JL16" s="16"/>
      <c r="JM16" s="16"/>
      <c r="JN16" s="25"/>
      <c r="JO16" s="284"/>
      <c r="JP16" s="16"/>
      <c r="JQ16" s="16"/>
      <c r="JR16" s="16"/>
      <c r="JS16" s="16"/>
      <c r="JT16" s="16"/>
      <c r="JU16" s="25"/>
      <c r="JV16" s="106"/>
      <c r="JW16" s="16"/>
      <c r="JX16" s="16"/>
      <c r="JY16" s="16"/>
      <c r="JZ16" s="16"/>
      <c r="KA16" s="16"/>
      <c r="KB16" s="25"/>
      <c r="KC16" s="106"/>
      <c r="KD16" s="16"/>
      <c r="KE16" s="16"/>
      <c r="KF16" s="16"/>
      <c r="KG16" s="16"/>
      <c r="KH16" s="16"/>
      <c r="KI16" s="25"/>
      <c r="KJ16" s="240"/>
      <c r="KK16" s="16"/>
      <c r="KL16" s="16"/>
      <c r="KM16" s="16"/>
      <c r="KN16" s="16"/>
      <c r="KO16" s="16"/>
      <c r="KP16" s="25"/>
      <c r="KQ16" s="240"/>
      <c r="KR16" s="16"/>
      <c r="KS16" s="16"/>
      <c r="KT16" s="16"/>
      <c r="KU16" s="16"/>
      <c r="KV16" s="16"/>
      <c r="KW16" s="25"/>
      <c r="KX16" s="240"/>
      <c r="KY16" s="16"/>
      <c r="KZ16" s="16"/>
      <c r="LA16" s="16"/>
      <c r="LB16" s="16"/>
      <c r="LC16" s="16"/>
      <c r="LD16" s="25"/>
      <c r="LE16" s="106"/>
      <c r="LF16" s="16"/>
      <c r="LG16" s="16"/>
      <c r="LH16" s="16"/>
      <c r="LI16" s="16"/>
      <c r="LJ16" s="16"/>
      <c r="LK16" s="25"/>
      <c r="LL16" s="106"/>
      <c r="LM16" s="16"/>
      <c r="LN16" s="16"/>
      <c r="LO16" s="16"/>
      <c r="LP16" s="106" t="s">
        <v>955</v>
      </c>
      <c r="LQ16" s="16"/>
      <c r="LR16" s="16"/>
      <c r="LS16" s="16"/>
      <c r="LT16" s="227"/>
      <c r="LU16" s="16"/>
      <c r="LV16" s="16"/>
      <c r="LW16" s="16"/>
      <c r="LX16" s="16"/>
      <c r="LY16" s="25"/>
      <c r="LZ16" s="106"/>
      <c r="MA16" s="16"/>
      <c r="MB16" s="16"/>
      <c r="MC16" s="16"/>
      <c r="MD16" s="16"/>
      <c r="ME16" s="16"/>
      <c r="MF16" s="25"/>
      <c r="MG16" s="242"/>
      <c r="MH16" s="16"/>
      <c r="MI16" s="16"/>
      <c r="MJ16" s="16"/>
      <c r="MK16" s="240" t="s">
        <v>958</v>
      </c>
      <c r="ML16" s="16"/>
      <c r="MM16" s="16"/>
      <c r="MN16" s="16"/>
      <c r="MO16" s="16"/>
      <c r="MP16" s="16"/>
      <c r="MQ16" s="16"/>
      <c r="MR16" s="16"/>
      <c r="MS16" s="16"/>
      <c r="MT16" s="25"/>
      <c r="MU16" s="108"/>
      <c r="MV16" s="16"/>
      <c r="MW16" s="16"/>
      <c r="MX16" s="16"/>
      <c r="MY16" s="16"/>
      <c r="MZ16" s="16"/>
      <c r="NA16" s="25"/>
      <c r="NB16" s="232"/>
      <c r="NC16" s="235"/>
      <c r="ND16" s="235"/>
      <c r="NE16" s="235"/>
      <c r="NF16" s="235"/>
      <c r="NG16" s="235"/>
      <c r="NH16" s="235"/>
      <c r="NI16" s="235"/>
      <c r="NJ16" s="235"/>
      <c r="NK16" s="235"/>
      <c r="NL16" s="235"/>
      <c r="NM16" s="235"/>
      <c r="NN16" s="235"/>
      <c r="NO16" s="235"/>
      <c r="NP16" s="235"/>
      <c r="NQ16" s="235"/>
      <c r="NR16" s="235"/>
      <c r="NS16" s="235"/>
      <c r="NT16" s="235"/>
      <c r="NU16" s="235"/>
      <c r="NV16" s="235"/>
      <c r="NW16" s="235"/>
      <c r="NX16" s="235"/>
      <c r="NY16" s="235"/>
      <c r="NZ16" s="235"/>
      <c r="OA16" s="235"/>
      <c r="OB16" s="235"/>
      <c r="OC16" s="235"/>
      <c r="OD16" s="235"/>
      <c r="OE16" s="235"/>
      <c r="OF16" s="235"/>
      <c r="OG16" s="235"/>
      <c r="OH16" s="235"/>
      <c r="OI16" s="235"/>
      <c r="OJ16" s="235"/>
      <c r="OK16" s="235"/>
      <c r="OL16" s="235"/>
      <c r="OM16" s="235"/>
      <c r="ON16" s="235"/>
      <c r="OO16" s="235"/>
      <c r="OP16" s="235"/>
      <c r="OQ16" s="235"/>
      <c r="OR16" s="235"/>
      <c r="OS16" s="235"/>
      <c r="OT16" s="235"/>
      <c r="OU16" s="235"/>
      <c r="OV16" s="235"/>
      <c r="OW16" s="235"/>
      <c r="OX16" s="235"/>
      <c r="OY16" s="235"/>
      <c r="OZ16" s="235"/>
      <c r="PA16" s="235"/>
      <c r="PB16" s="235"/>
      <c r="PC16" s="235"/>
      <c r="PD16" s="235"/>
      <c r="PE16" s="235"/>
      <c r="PF16" s="235"/>
      <c r="PG16" s="235"/>
      <c r="PH16" s="235"/>
      <c r="PI16" s="235"/>
      <c r="PJ16" s="235"/>
      <c r="PK16" s="235"/>
      <c r="PL16" s="235"/>
      <c r="PM16" s="235"/>
      <c r="PN16" s="235"/>
      <c r="PO16" s="235"/>
      <c r="PP16" s="235"/>
      <c r="PQ16" s="235"/>
      <c r="PR16" s="235"/>
      <c r="PS16" s="235"/>
      <c r="PT16" s="235"/>
      <c r="PU16" s="235"/>
      <c r="PV16" s="235"/>
      <c r="PW16" s="235"/>
      <c r="PX16" s="235"/>
      <c r="PY16" s="235"/>
      <c r="PZ16" s="235"/>
      <c r="QA16" s="235"/>
      <c r="QB16" s="235"/>
      <c r="QC16" s="235"/>
      <c r="QD16" s="235"/>
      <c r="QE16" s="235"/>
      <c r="QF16" s="235"/>
      <c r="QG16" s="235"/>
      <c r="QH16" s="235"/>
      <c r="QI16" s="235"/>
      <c r="QJ16" s="235"/>
      <c r="QK16" s="235"/>
      <c r="QL16" s="235"/>
      <c r="QM16" s="235"/>
      <c r="QN16" s="235"/>
      <c r="QO16" s="235"/>
      <c r="QP16" s="235"/>
      <c r="QQ16" s="235"/>
      <c r="QR16" s="235"/>
      <c r="QS16" s="235"/>
      <c r="QT16" s="235"/>
      <c r="QU16" s="235"/>
      <c r="QV16" s="235"/>
      <c r="QW16" s="235"/>
      <c r="QX16" s="235"/>
      <c r="QY16" s="235"/>
      <c r="QZ16" s="235"/>
      <c r="RA16" s="235"/>
      <c r="RB16" s="235"/>
      <c r="RC16" s="235"/>
      <c r="RD16" s="235"/>
      <c r="RE16" s="235"/>
      <c r="RF16" s="235"/>
      <c r="RG16" s="235"/>
      <c r="RH16" s="235"/>
      <c r="RI16" s="235"/>
      <c r="RJ16" s="235"/>
      <c r="RK16" s="235"/>
      <c r="RL16" s="235"/>
      <c r="RM16" s="235"/>
      <c r="RN16" s="235"/>
      <c r="RO16" s="235"/>
      <c r="RP16" s="235"/>
      <c r="RQ16" s="235"/>
      <c r="RR16" s="235"/>
      <c r="RS16" s="235"/>
      <c r="RT16" s="235"/>
      <c r="RU16" s="235"/>
      <c r="RV16" s="235"/>
      <c r="RW16" s="235"/>
      <c r="RX16" s="235"/>
      <c r="RY16" s="235"/>
      <c r="RZ16" s="235"/>
      <c r="SA16" s="235"/>
      <c r="SB16" s="235"/>
      <c r="SC16" s="235"/>
      <c r="SD16" s="235"/>
      <c r="SE16" s="235"/>
      <c r="SF16" s="235"/>
      <c r="SG16" s="235"/>
      <c r="SH16" s="235"/>
      <c r="SI16" s="235"/>
      <c r="SJ16" s="235"/>
      <c r="SK16" s="235"/>
      <c r="SL16" s="235"/>
      <c r="SM16" s="235"/>
      <c r="SN16" s="235"/>
      <c r="SO16" s="235"/>
      <c r="SP16" s="235"/>
      <c r="SQ16" s="235"/>
      <c r="SR16" s="235"/>
      <c r="SS16" s="235"/>
      <c r="ST16" s="235"/>
      <c r="SU16" s="235"/>
      <c r="SV16" s="235"/>
      <c r="SW16" s="235"/>
      <c r="SX16" s="235"/>
      <c r="SY16" s="235"/>
      <c r="SZ16" s="235"/>
      <c r="TA16" s="235"/>
      <c r="TB16" s="235"/>
      <c r="TC16" s="235"/>
      <c r="TD16" s="235"/>
      <c r="TE16" s="235"/>
      <c r="TF16" s="235"/>
      <c r="TG16" s="235"/>
      <c r="TH16" s="235"/>
      <c r="TI16" s="235"/>
      <c r="TJ16" s="235"/>
      <c r="TK16" s="235"/>
      <c r="TL16" s="235"/>
      <c r="TM16" s="235"/>
      <c r="TN16" s="235"/>
      <c r="TO16" s="235"/>
      <c r="TP16" s="235"/>
      <c r="TQ16" s="235"/>
      <c r="TR16" s="235"/>
      <c r="TS16" s="235"/>
      <c r="TT16" s="235"/>
      <c r="TU16" s="235"/>
      <c r="TV16" s="235"/>
      <c r="TW16" s="235"/>
      <c r="TX16" s="235"/>
      <c r="TY16" s="235"/>
      <c r="TZ16" s="235"/>
      <c r="UA16" s="235"/>
      <c r="UB16" s="235"/>
      <c r="UC16" s="235"/>
      <c r="UD16" s="235"/>
      <c r="UE16" s="235"/>
      <c r="UF16" s="235"/>
      <c r="UG16" s="235"/>
      <c r="UH16" s="235"/>
      <c r="UI16" s="235"/>
      <c r="UJ16" s="235"/>
      <c r="UK16" s="235"/>
      <c r="UL16" s="235"/>
      <c r="UM16" s="235"/>
      <c r="UN16" s="235"/>
      <c r="UO16" s="235"/>
      <c r="UP16" s="235"/>
      <c r="UQ16" s="235"/>
      <c r="UR16" s="235"/>
      <c r="US16" s="235"/>
      <c r="UT16" s="235"/>
      <c r="UU16" s="235"/>
      <c r="UV16" s="235"/>
      <c r="UW16" s="235"/>
      <c r="UX16" s="235"/>
      <c r="UY16" s="235"/>
      <c r="UZ16" s="235"/>
      <c r="VA16" s="235"/>
      <c r="VB16" s="235"/>
      <c r="VC16" s="235"/>
      <c r="VD16" s="235"/>
      <c r="VE16" s="235"/>
      <c r="VF16" s="235"/>
      <c r="VG16" s="235"/>
      <c r="VH16" s="235"/>
      <c r="VI16" s="235"/>
      <c r="VJ16" s="235"/>
      <c r="VK16" s="235"/>
      <c r="VL16" s="235"/>
      <c r="VM16" s="235"/>
      <c r="VN16" s="235"/>
      <c r="VO16" s="235"/>
      <c r="VP16" s="235"/>
      <c r="VQ16" s="235"/>
      <c r="VR16" s="235"/>
      <c r="VS16" s="235"/>
      <c r="VT16" s="235"/>
      <c r="VU16" s="235"/>
      <c r="VV16" s="235"/>
      <c r="VW16" s="235"/>
      <c r="VX16" s="235"/>
      <c r="VY16" s="235"/>
      <c r="VZ16" s="235"/>
      <c r="WA16" s="235"/>
      <c r="WB16" s="235"/>
      <c r="WC16" s="235"/>
      <c r="WD16" s="235"/>
      <c r="WE16" s="235"/>
      <c r="WF16" s="235"/>
      <c r="WG16" s="235"/>
      <c r="WH16" s="235"/>
      <c r="WI16" s="235"/>
      <c r="WJ16" s="235"/>
      <c r="WK16" s="235"/>
      <c r="WL16" s="235"/>
      <c r="WM16" s="235"/>
      <c r="WN16" s="235"/>
      <c r="WO16" s="235"/>
      <c r="WP16" s="235"/>
      <c r="WQ16" s="235"/>
      <c r="WR16" s="235"/>
      <c r="WS16" s="235"/>
      <c r="WT16" s="235"/>
      <c r="WU16" s="235"/>
      <c r="WV16" s="235"/>
      <c r="WW16" s="235"/>
      <c r="WX16" s="235"/>
      <c r="WY16" s="235"/>
      <c r="WZ16" s="235"/>
      <c r="XA16" s="235"/>
      <c r="XB16" s="235"/>
      <c r="XC16" s="235"/>
      <c r="XD16" s="235"/>
      <c r="XE16" s="235"/>
      <c r="XF16" s="235"/>
      <c r="XG16" s="235"/>
      <c r="XH16" s="235"/>
      <c r="XI16" s="235"/>
      <c r="XJ16" s="235"/>
      <c r="XK16" s="235"/>
      <c r="XL16" s="235"/>
      <c r="XM16" s="235"/>
      <c r="XN16" s="235"/>
      <c r="XO16" s="235"/>
      <c r="XP16" s="235"/>
      <c r="XQ16" s="235"/>
      <c r="XR16" s="235"/>
      <c r="XS16" s="235"/>
      <c r="XT16" s="235"/>
      <c r="XU16" s="235"/>
      <c r="XV16" s="235"/>
      <c r="XW16" s="235"/>
      <c r="XX16" s="235"/>
      <c r="XY16" s="235"/>
      <c r="XZ16" s="235"/>
      <c r="YA16" s="235"/>
      <c r="YB16" s="235"/>
      <c r="YC16" s="235"/>
      <c r="YD16" s="235"/>
      <c r="YE16" s="235"/>
      <c r="YF16" s="235"/>
      <c r="YG16" s="235"/>
      <c r="YH16" s="235"/>
      <c r="YI16" s="235"/>
      <c r="YJ16" s="235"/>
      <c r="YK16" s="235"/>
      <c r="YL16" s="235"/>
      <c r="YM16" s="235"/>
      <c r="YN16" s="235"/>
      <c r="YO16" s="235"/>
      <c r="YP16" s="235"/>
      <c r="YQ16" s="235"/>
      <c r="YR16" s="235"/>
      <c r="YS16" s="235"/>
      <c r="YT16" s="235"/>
      <c r="YU16" s="235"/>
      <c r="YV16" s="235"/>
      <c r="YW16" s="235"/>
      <c r="YX16" s="235"/>
      <c r="YY16" s="235"/>
      <c r="YZ16" s="235"/>
      <c r="ZA16" s="235"/>
      <c r="ZB16" s="235"/>
      <c r="ZC16" s="235"/>
      <c r="ZD16" s="235"/>
      <c r="ZE16" s="235"/>
    </row>
    <row r="17" ht="44.25" customHeight="1">
      <c r="A17" s="156" t="s">
        <v>441</v>
      </c>
      <c r="B17" s="240"/>
      <c r="C17" s="16"/>
      <c r="D17" s="16"/>
      <c r="E17" s="16"/>
      <c r="F17" s="16"/>
      <c r="G17" s="16"/>
      <c r="H17" s="25"/>
      <c r="I17" s="134" t="s">
        <v>973</v>
      </c>
      <c r="J17" s="16"/>
      <c r="K17" s="16"/>
      <c r="L17" s="16"/>
      <c r="M17" s="16"/>
      <c r="N17" s="16"/>
      <c r="O17" s="16"/>
      <c r="P17" s="16"/>
      <c r="Q17" s="16"/>
      <c r="R17" s="16"/>
      <c r="S17" s="16"/>
      <c r="T17" s="16"/>
      <c r="U17" s="16"/>
      <c r="V17" s="16"/>
      <c r="W17" s="16"/>
      <c r="X17" s="16"/>
      <c r="Y17" s="16"/>
      <c r="Z17" s="16"/>
      <c r="AA17" s="16"/>
      <c r="AB17" s="16"/>
      <c r="AC17" s="25"/>
      <c r="AD17" s="240"/>
      <c r="AE17" s="16"/>
      <c r="AF17" s="25"/>
      <c r="AG17" s="240" t="s">
        <v>974</v>
      </c>
      <c r="AH17" s="16"/>
      <c r="AI17" s="16"/>
      <c r="AJ17" s="16"/>
      <c r="AK17" s="16"/>
      <c r="AL17" s="16"/>
      <c r="AM17" s="16"/>
      <c r="AN17" s="16"/>
      <c r="AO17" s="16"/>
      <c r="AP17" s="16"/>
      <c r="AQ17" s="16"/>
      <c r="AR17" s="16"/>
      <c r="AS17" s="16"/>
      <c r="AT17" s="25"/>
      <c r="AU17" s="108"/>
      <c r="AV17" s="16"/>
      <c r="AW17" s="16"/>
      <c r="AX17" s="16"/>
      <c r="AY17" s="16"/>
      <c r="AZ17" s="16"/>
      <c r="BA17" s="16"/>
      <c r="BB17" s="16"/>
      <c r="BC17" s="16"/>
      <c r="BD17" s="16"/>
      <c r="BE17" s="25"/>
      <c r="BF17" s="108"/>
      <c r="BG17" s="16"/>
      <c r="BH17" s="16"/>
      <c r="BI17" s="16"/>
      <c r="BJ17" s="16"/>
      <c r="BK17" s="16"/>
      <c r="BL17" s="16"/>
      <c r="BM17" s="25"/>
      <c r="BN17" s="240"/>
      <c r="BO17" s="16"/>
      <c r="BP17" s="16"/>
      <c r="BQ17" s="16"/>
      <c r="BR17" s="16"/>
      <c r="BS17" s="16"/>
      <c r="BT17" s="16"/>
      <c r="BU17" s="16"/>
      <c r="BV17" s="25"/>
      <c r="BW17" s="240" t="s">
        <v>978</v>
      </c>
      <c r="BX17" s="16"/>
      <c r="BY17" s="16"/>
      <c r="BZ17" s="16"/>
      <c r="CA17" s="16"/>
      <c r="CB17" s="16"/>
      <c r="CC17" s="16"/>
      <c r="CD17" s="16"/>
      <c r="CE17" s="16"/>
      <c r="CF17" s="16"/>
      <c r="CG17" s="16"/>
      <c r="CH17" s="25"/>
      <c r="CI17" s="108"/>
      <c r="CJ17" s="16"/>
      <c r="CK17" s="16"/>
      <c r="CL17" s="16"/>
      <c r="CM17" s="16"/>
      <c r="CN17" s="16"/>
      <c r="CO17" s="25"/>
      <c r="CP17" s="106"/>
      <c r="CQ17" s="16"/>
      <c r="CR17" s="16"/>
      <c r="CS17" s="16"/>
      <c r="CT17" s="16"/>
      <c r="CU17" s="25"/>
      <c r="CV17" s="106"/>
      <c r="CW17" s="16"/>
      <c r="CX17" s="16"/>
      <c r="CY17" s="16"/>
      <c r="CZ17" s="16"/>
      <c r="DA17" s="16"/>
      <c r="DB17" s="25"/>
      <c r="DC17" s="106"/>
      <c r="DD17" s="16"/>
      <c r="DE17" s="16"/>
      <c r="DF17" s="16"/>
      <c r="DG17" s="16"/>
      <c r="DH17" s="16"/>
      <c r="DI17" s="25"/>
      <c r="DJ17" s="106"/>
      <c r="DK17" s="16"/>
      <c r="DL17" s="16"/>
      <c r="DM17" s="16"/>
      <c r="DN17" s="16"/>
      <c r="DO17" s="16"/>
      <c r="DP17" s="16"/>
      <c r="DQ17" s="25"/>
      <c r="DR17" s="240" t="s">
        <v>984</v>
      </c>
      <c r="DS17" s="16"/>
      <c r="DT17" s="16"/>
      <c r="DU17" s="16"/>
      <c r="DV17" s="16"/>
      <c r="DW17" s="16"/>
      <c r="DX17" s="16"/>
      <c r="DY17" s="16"/>
      <c r="DZ17" s="16"/>
      <c r="EA17" s="16"/>
      <c r="EB17" s="16"/>
      <c r="EC17" s="16"/>
      <c r="ED17" s="25"/>
      <c r="EE17" s="247"/>
      <c r="EF17" s="16"/>
      <c r="EG17" s="16"/>
      <c r="EH17" s="16"/>
      <c r="EI17" s="16"/>
      <c r="EJ17" s="16"/>
      <c r="EK17" s="25"/>
      <c r="EL17" s="106"/>
      <c r="EM17" s="16"/>
      <c r="EN17" s="16"/>
      <c r="EO17" s="16"/>
      <c r="EP17" s="16"/>
      <c r="EQ17" s="16"/>
      <c r="ER17" s="25"/>
      <c r="ES17" s="106"/>
      <c r="ET17" s="16"/>
      <c r="EU17" s="16"/>
      <c r="EV17" s="16"/>
      <c r="EW17" s="16"/>
      <c r="EX17" s="16"/>
      <c r="EY17" s="25"/>
      <c r="EZ17" s="240" t="s">
        <v>989</v>
      </c>
      <c r="FA17" s="16"/>
      <c r="FB17" s="16"/>
      <c r="FC17" s="16"/>
      <c r="FD17" s="16"/>
      <c r="FE17" s="16"/>
      <c r="FF17" s="16"/>
      <c r="FG17" s="16"/>
      <c r="FH17" s="16"/>
      <c r="FI17" s="16"/>
      <c r="FJ17" s="16"/>
      <c r="FK17" s="16"/>
      <c r="FL17" s="16"/>
      <c r="FM17" s="25"/>
      <c r="FN17" s="108"/>
      <c r="FO17" s="16"/>
      <c r="FP17" s="16"/>
      <c r="FQ17" s="16"/>
      <c r="FR17" s="16"/>
      <c r="FS17" s="16"/>
      <c r="FT17" s="25"/>
      <c r="FU17" s="106"/>
      <c r="FV17" s="16"/>
      <c r="FW17" s="16"/>
      <c r="FX17" s="16"/>
      <c r="FY17" s="16"/>
      <c r="FZ17" s="16"/>
      <c r="GA17" s="25"/>
      <c r="GB17" s="106"/>
      <c r="GC17" s="16"/>
      <c r="GD17" s="16"/>
      <c r="GE17" s="16"/>
      <c r="GF17" s="16"/>
      <c r="GG17" s="16"/>
      <c r="GH17" s="25"/>
      <c r="GI17" s="108"/>
      <c r="GJ17" s="16"/>
      <c r="GK17" s="16"/>
      <c r="GL17" s="16"/>
      <c r="GM17" s="16"/>
      <c r="GN17" s="16"/>
      <c r="GO17" s="25"/>
      <c r="GP17" s="146"/>
      <c r="GQ17" s="16"/>
      <c r="GR17" s="16"/>
      <c r="GS17" s="16"/>
      <c r="GT17" s="16"/>
      <c r="GU17" s="16"/>
      <c r="GV17" s="25"/>
      <c r="GW17" s="108"/>
      <c r="GX17" s="16"/>
      <c r="GY17" s="16"/>
      <c r="GZ17" s="16"/>
      <c r="HA17" s="16"/>
      <c r="HB17" s="16"/>
      <c r="HC17" s="25"/>
      <c r="HD17" s="284"/>
      <c r="HE17" s="16"/>
      <c r="HF17" s="16"/>
      <c r="HG17" s="16"/>
      <c r="HH17" s="16"/>
      <c r="HI17" s="16"/>
      <c r="HJ17" s="25"/>
      <c r="HK17" s="284"/>
      <c r="HL17" s="16"/>
      <c r="HM17" s="16"/>
      <c r="HN17" s="16"/>
      <c r="HO17" s="16"/>
      <c r="HP17" s="16"/>
      <c r="HQ17" s="25"/>
      <c r="HR17" s="106"/>
      <c r="HS17" s="16"/>
      <c r="HT17" s="16"/>
      <c r="HU17" s="16"/>
      <c r="HV17" s="16"/>
      <c r="HW17" s="16"/>
      <c r="HX17" s="25"/>
      <c r="HY17" s="106"/>
      <c r="HZ17" s="16"/>
      <c r="IA17" s="16"/>
      <c r="IB17" s="16"/>
      <c r="IC17" s="16"/>
      <c r="ID17" s="16"/>
      <c r="IE17" s="25"/>
      <c r="IF17" s="300" t="s">
        <v>1022</v>
      </c>
      <c r="IG17" s="16"/>
      <c r="IH17" s="16"/>
      <c r="II17" s="16"/>
      <c r="IJ17" s="16"/>
      <c r="IK17" s="16"/>
      <c r="IL17" s="16"/>
      <c r="IM17" s="16"/>
      <c r="IN17" s="16"/>
      <c r="IO17" s="16"/>
      <c r="IP17" s="16"/>
      <c r="IQ17" s="16"/>
      <c r="IR17" s="16"/>
      <c r="IS17" s="25"/>
      <c r="JA17" s="106"/>
      <c r="JB17" s="16"/>
      <c r="JC17" s="16"/>
      <c r="JD17" s="16"/>
      <c r="JE17" s="16"/>
      <c r="JF17" s="16"/>
      <c r="JG17" s="25"/>
      <c r="JH17" s="106"/>
      <c r="JI17" s="16"/>
      <c r="JJ17" s="16"/>
      <c r="JK17" s="16"/>
      <c r="JL17" s="16"/>
      <c r="JM17" s="16"/>
      <c r="JN17" s="25"/>
      <c r="JO17" s="247" t="s">
        <v>1040</v>
      </c>
      <c r="JP17" s="16"/>
      <c r="JQ17" s="16"/>
      <c r="JR17" s="16"/>
      <c r="JS17" s="16"/>
      <c r="JT17" s="16"/>
      <c r="JU17" s="16"/>
      <c r="JV17" s="16"/>
      <c r="JW17" s="16"/>
      <c r="JX17" s="16"/>
      <c r="JY17" s="16"/>
      <c r="JZ17" s="16"/>
      <c r="KA17" s="16"/>
      <c r="KB17" s="16"/>
      <c r="KC17" s="16"/>
      <c r="KD17" s="16"/>
      <c r="KE17" s="16"/>
      <c r="KF17" s="16"/>
      <c r="KG17" s="16"/>
      <c r="KH17" s="16"/>
      <c r="KI17" s="25"/>
      <c r="KJ17" s="300"/>
      <c r="KK17" s="16"/>
      <c r="KL17" s="16"/>
      <c r="KM17" s="16"/>
      <c r="KN17" s="16"/>
      <c r="KO17" s="16"/>
      <c r="KP17" s="16"/>
      <c r="KQ17" s="240" t="s">
        <v>1052</v>
      </c>
      <c r="KR17" s="16"/>
      <c r="KS17" s="16"/>
      <c r="KT17" s="16"/>
      <c r="KU17" s="16"/>
      <c r="KV17" s="16"/>
      <c r="KW17" s="16"/>
      <c r="KX17" s="16"/>
      <c r="KY17" s="16"/>
      <c r="KZ17" s="16"/>
      <c r="LA17" s="16"/>
      <c r="LB17" s="16"/>
      <c r="LC17" s="16"/>
      <c r="LD17" s="25"/>
      <c r="LE17" s="106"/>
      <c r="LF17" s="16"/>
      <c r="LG17" s="16"/>
      <c r="LH17" s="16"/>
      <c r="LI17" s="16"/>
      <c r="LJ17" s="16"/>
      <c r="LK17" s="25"/>
      <c r="LL17" s="106"/>
      <c r="LM17" s="16"/>
      <c r="LN17" s="16"/>
      <c r="LO17" s="16"/>
      <c r="LP17" s="16"/>
      <c r="LQ17" s="16"/>
      <c r="LR17" s="25"/>
      <c r="LS17" s="247"/>
      <c r="LT17" s="16"/>
      <c r="LU17" s="16"/>
      <c r="LV17" s="16"/>
      <c r="LW17" s="16"/>
      <c r="LX17" s="16"/>
      <c r="LY17" s="16"/>
      <c r="LZ17" s="16"/>
      <c r="MA17" s="16"/>
      <c r="MB17" s="16"/>
      <c r="MC17" s="16"/>
      <c r="MD17" s="305" t="s">
        <v>1067</v>
      </c>
      <c r="ME17" s="23"/>
      <c r="MF17" s="23"/>
      <c r="MG17" s="23"/>
      <c r="MH17" s="23"/>
      <c r="MI17" s="23"/>
      <c r="MJ17" s="23"/>
      <c r="MK17" s="23"/>
      <c r="ML17" s="23"/>
      <c r="MM17" s="23"/>
      <c r="MN17" s="23"/>
      <c r="MO17" s="23"/>
      <c r="MP17" s="23"/>
      <c r="MQ17" s="23"/>
      <c r="MR17" s="23"/>
      <c r="MS17" s="240"/>
      <c r="MT17" s="16"/>
      <c r="MU17" s="16"/>
      <c r="MV17" s="16"/>
      <c r="MW17" s="16"/>
      <c r="MX17" s="16"/>
      <c r="MY17" s="16"/>
      <c r="MZ17" s="16"/>
      <c r="NA17" s="25"/>
      <c r="NB17" s="232"/>
      <c r="NC17" s="235"/>
      <c r="ND17" s="235"/>
      <c r="NE17" s="235"/>
      <c r="NF17" s="235"/>
      <c r="NG17" s="235"/>
      <c r="NH17" s="235"/>
      <c r="NI17" s="235"/>
      <c r="NJ17" s="235"/>
      <c r="NK17" s="235"/>
      <c r="NL17" s="235"/>
      <c r="NM17" s="235"/>
      <c r="NN17" s="235"/>
      <c r="NO17" s="235"/>
      <c r="NP17" s="235"/>
      <c r="NQ17" s="235"/>
      <c r="NR17" s="235"/>
      <c r="NS17" s="235"/>
      <c r="NT17" s="235"/>
      <c r="NU17" s="235"/>
      <c r="NV17" s="235"/>
      <c r="NW17" s="235"/>
      <c r="NX17" s="235"/>
      <c r="NY17" s="235"/>
      <c r="NZ17" s="235"/>
      <c r="OA17" s="235"/>
      <c r="OB17" s="235"/>
      <c r="OC17" s="235"/>
      <c r="OD17" s="235"/>
      <c r="OE17" s="235"/>
      <c r="OF17" s="235"/>
      <c r="OG17" s="235"/>
      <c r="OH17" s="235"/>
      <c r="OI17" s="235"/>
      <c r="OJ17" s="235"/>
      <c r="OK17" s="235"/>
      <c r="OL17" s="235"/>
      <c r="OM17" s="235"/>
      <c r="ON17" s="235"/>
      <c r="OO17" s="235"/>
      <c r="OP17" s="235"/>
      <c r="OQ17" s="235"/>
      <c r="OR17" s="235"/>
      <c r="OS17" s="235"/>
      <c r="OT17" s="235"/>
      <c r="OU17" s="235"/>
      <c r="OV17" s="235"/>
      <c r="OW17" s="235"/>
      <c r="OX17" s="235"/>
      <c r="OY17" s="235"/>
      <c r="OZ17" s="235"/>
      <c r="PA17" s="235"/>
      <c r="PB17" s="235"/>
      <c r="PC17" s="235"/>
      <c r="PD17" s="235"/>
      <c r="PE17" s="235"/>
      <c r="PF17" s="235"/>
      <c r="PG17" s="235"/>
      <c r="PH17" s="235"/>
      <c r="PI17" s="235"/>
      <c r="PJ17" s="235"/>
      <c r="PK17" s="235"/>
      <c r="PL17" s="235"/>
      <c r="PM17" s="235"/>
      <c r="PN17" s="235"/>
      <c r="PO17" s="235"/>
      <c r="PP17" s="235"/>
      <c r="PQ17" s="235"/>
      <c r="PR17" s="235"/>
      <c r="PS17" s="235"/>
      <c r="PT17" s="235"/>
      <c r="PU17" s="235"/>
      <c r="PV17" s="235"/>
      <c r="PW17" s="235"/>
      <c r="PX17" s="235"/>
      <c r="PY17" s="235"/>
      <c r="PZ17" s="235"/>
      <c r="QA17" s="235"/>
      <c r="QB17" s="235"/>
      <c r="QC17" s="235"/>
      <c r="QD17" s="235"/>
      <c r="QE17" s="235"/>
      <c r="QF17" s="235"/>
      <c r="QG17" s="235"/>
      <c r="QH17" s="235"/>
      <c r="QI17" s="235"/>
      <c r="QJ17" s="235"/>
      <c r="QK17" s="235"/>
      <c r="QL17" s="235"/>
      <c r="QM17" s="235"/>
      <c r="QN17" s="235"/>
      <c r="QO17" s="235"/>
      <c r="QP17" s="235"/>
      <c r="QQ17" s="235"/>
      <c r="QR17" s="235"/>
      <c r="QS17" s="235"/>
      <c r="QT17" s="235"/>
      <c r="QU17" s="235"/>
      <c r="QV17" s="235"/>
      <c r="QW17" s="235"/>
      <c r="QX17" s="235"/>
      <c r="QY17" s="235"/>
      <c r="QZ17" s="235"/>
      <c r="RA17" s="235"/>
      <c r="RB17" s="235"/>
      <c r="RC17" s="235"/>
      <c r="RD17" s="235"/>
      <c r="RE17" s="235"/>
      <c r="RF17" s="235"/>
      <c r="RG17" s="235"/>
      <c r="RH17" s="235"/>
      <c r="RI17" s="235"/>
      <c r="RJ17" s="235"/>
      <c r="RK17" s="235"/>
      <c r="RL17" s="235"/>
      <c r="RM17" s="235"/>
      <c r="RN17" s="235"/>
      <c r="RO17" s="235"/>
      <c r="RP17" s="235"/>
      <c r="RQ17" s="235"/>
      <c r="RR17" s="235"/>
      <c r="RS17" s="235"/>
      <c r="RT17" s="235"/>
      <c r="RU17" s="235"/>
      <c r="RV17" s="235"/>
      <c r="RW17" s="235"/>
      <c r="RX17" s="235"/>
      <c r="RY17" s="235"/>
      <c r="RZ17" s="235"/>
      <c r="SA17" s="235"/>
      <c r="SB17" s="235"/>
      <c r="SC17" s="235"/>
      <c r="SD17" s="235"/>
      <c r="SE17" s="235"/>
      <c r="SF17" s="235"/>
      <c r="SG17" s="235"/>
      <c r="SH17" s="235"/>
      <c r="SI17" s="235"/>
      <c r="SJ17" s="235"/>
      <c r="SK17" s="235"/>
      <c r="SL17" s="235"/>
      <c r="SM17" s="235"/>
      <c r="SN17" s="235"/>
      <c r="SO17" s="235"/>
      <c r="SP17" s="235"/>
      <c r="SQ17" s="235"/>
      <c r="SR17" s="235"/>
      <c r="SS17" s="235"/>
      <c r="ST17" s="235"/>
      <c r="SU17" s="235"/>
      <c r="SV17" s="235"/>
      <c r="SW17" s="235"/>
      <c r="SX17" s="235"/>
      <c r="SY17" s="235"/>
      <c r="SZ17" s="235"/>
      <c r="TA17" s="235"/>
      <c r="TB17" s="235"/>
      <c r="TC17" s="235"/>
      <c r="TD17" s="235"/>
      <c r="TE17" s="235"/>
      <c r="TF17" s="235"/>
      <c r="TG17" s="235"/>
      <c r="TH17" s="235"/>
      <c r="TI17" s="235"/>
      <c r="TJ17" s="235"/>
      <c r="TK17" s="235"/>
      <c r="TL17" s="235"/>
      <c r="TM17" s="235"/>
      <c r="TN17" s="235"/>
      <c r="TO17" s="235"/>
      <c r="TP17" s="235"/>
      <c r="TQ17" s="235"/>
      <c r="TR17" s="235"/>
      <c r="TS17" s="235"/>
      <c r="TT17" s="235"/>
      <c r="TU17" s="235"/>
      <c r="TV17" s="235"/>
      <c r="TW17" s="235"/>
      <c r="TX17" s="235"/>
      <c r="TY17" s="235"/>
      <c r="TZ17" s="235"/>
      <c r="UA17" s="235"/>
      <c r="UB17" s="235"/>
      <c r="UC17" s="235"/>
      <c r="UD17" s="235"/>
      <c r="UE17" s="235"/>
      <c r="UF17" s="235"/>
      <c r="UG17" s="235"/>
      <c r="UH17" s="235"/>
      <c r="UI17" s="235"/>
      <c r="UJ17" s="235"/>
      <c r="UK17" s="235"/>
      <c r="UL17" s="235"/>
      <c r="UM17" s="235"/>
      <c r="UN17" s="235"/>
      <c r="UO17" s="235"/>
      <c r="UP17" s="235"/>
      <c r="UQ17" s="235"/>
      <c r="UR17" s="235"/>
      <c r="US17" s="235"/>
      <c r="UT17" s="235"/>
      <c r="UU17" s="235"/>
      <c r="UV17" s="235"/>
      <c r="UW17" s="235"/>
      <c r="UX17" s="235"/>
      <c r="UY17" s="235"/>
      <c r="UZ17" s="235"/>
      <c r="VA17" s="235"/>
      <c r="VB17" s="235"/>
      <c r="VC17" s="235"/>
      <c r="VD17" s="235"/>
      <c r="VE17" s="235"/>
      <c r="VF17" s="235"/>
      <c r="VG17" s="235"/>
      <c r="VH17" s="235"/>
      <c r="VI17" s="235"/>
      <c r="VJ17" s="235"/>
      <c r="VK17" s="235"/>
      <c r="VL17" s="235"/>
      <c r="VM17" s="235"/>
      <c r="VN17" s="235"/>
      <c r="VO17" s="235"/>
      <c r="VP17" s="235"/>
      <c r="VQ17" s="235"/>
      <c r="VR17" s="235"/>
      <c r="VS17" s="235"/>
      <c r="VT17" s="235"/>
      <c r="VU17" s="235"/>
      <c r="VV17" s="235"/>
      <c r="VW17" s="235"/>
      <c r="VX17" s="235"/>
      <c r="VY17" s="235"/>
      <c r="VZ17" s="235"/>
      <c r="WA17" s="235"/>
      <c r="WB17" s="235"/>
      <c r="WC17" s="235"/>
      <c r="WD17" s="235"/>
      <c r="WE17" s="235"/>
      <c r="WF17" s="235"/>
      <c r="WG17" s="235"/>
      <c r="WH17" s="235"/>
      <c r="WI17" s="235"/>
      <c r="WJ17" s="235"/>
      <c r="WK17" s="235"/>
      <c r="WL17" s="235"/>
      <c r="WM17" s="235"/>
      <c r="WN17" s="235"/>
      <c r="WO17" s="235"/>
      <c r="WP17" s="235"/>
      <c r="WQ17" s="235"/>
      <c r="WR17" s="235"/>
      <c r="WS17" s="235"/>
      <c r="WT17" s="235"/>
      <c r="WU17" s="235"/>
      <c r="WV17" s="235"/>
      <c r="WW17" s="235"/>
      <c r="WX17" s="235"/>
      <c r="WY17" s="235"/>
      <c r="WZ17" s="235"/>
      <c r="XA17" s="235"/>
      <c r="XB17" s="235"/>
      <c r="XC17" s="235"/>
      <c r="XD17" s="235"/>
      <c r="XE17" s="235"/>
      <c r="XF17" s="235"/>
      <c r="XG17" s="235"/>
      <c r="XH17" s="235"/>
      <c r="XI17" s="235"/>
      <c r="XJ17" s="235"/>
      <c r="XK17" s="235"/>
      <c r="XL17" s="235"/>
      <c r="XM17" s="235"/>
      <c r="XN17" s="235"/>
      <c r="XO17" s="235"/>
      <c r="XP17" s="235"/>
      <c r="XQ17" s="235"/>
      <c r="XR17" s="235"/>
      <c r="XS17" s="235"/>
      <c r="XT17" s="235"/>
      <c r="XU17" s="235"/>
      <c r="XV17" s="235"/>
      <c r="XW17" s="235"/>
      <c r="XX17" s="235"/>
      <c r="XY17" s="235"/>
      <c r="XZ17" s="235"/>
      <c r="YA17" s="235"/>
      <c r="YB17" s="235"/>
      <c r="YC17" s="235"/>
      <c r="YD17" s="235"/>
      <c r="YE17" s="235"/>
      <c r="YF17" s="235"/>
      <c r="YG17" s="235"/>
      <c r="YH17" s="235"/>
      <c r="YI17" s="235"/>
      <c r="YJ17" s="235"/>
      <c r="YK17" s="235"/>
      <c r="YL17" s="235"/>
      <c r="YM17" s="235"/>
      <c r="YN17" s="235"/>
      <c r="YO17" s="235"/>
      <c r="YP17" s="235"/>
      <c r="YQ17" s="235"/>
      <c r="YR17" s="235"/>
      <c r="YS17" s="235"/>
      <c r="YT17" s="235"/>
      <c r="YU17" s="235"/>
      <c r="YV17" s="235"/>
      <c r="YW17" s="235"/>
      <c r="YX17" s="235"/>
      <c r="YY17" s="235"/>
      <c r="YZ17" s="235"/>
      <c r="ZA17" s="235"/>
      <c r="ZB17" s="235"/>
      <c r="ZC17" s="235"/>
      <c r="ZD17" s="235"/>
      <c r="ZE17" s="235"/>
    </row>
    <row r="18" ht="19.5" customHeight="1">
      <c r="A18" s="236" t="s">
        <v>840</v>
      </c>
      <c r="B18" s="309"/>
      <c r="C18" s="16"/>
      <c r="D18" s="16"/>
      <c r="E18" s="16"/>
      <c r="F18" s="16"/>
      <c r="G18" s="16"/>
      <c r="H18" s="25"/>
      <c r="I18" s="309"/>
      <c r="J18" s="16"/>
      <c r="K18" s="16"/>
      <c r="L18" s="16"/>
      <c r="M18" s="16"/>
      <c r="N18" s="16"/>
      <c r="O18" s="25"/>
      <c r="P18" s="309"/>
      <c r="Q18" s="16"/>
      <c r="R18" s="16"/>
      <c r="S18" s="16"/>
      <c r="T18" s="16"/>
      <c r="U18" s="16"/>
      <c r="V18" s="25"/>
      <c r="W18" s="309"/>
      <c r="X18" s="16"/>
      <c r="Y18" s="16"/>
      <c r="Z18" s="16"/>
      <c r="AA18" s="16"/>
      <c r="AB18" s="16"/>
      <c r="AC18" s="25"/>
      <c r="AD18" s="309"/>
      <c r="AE18" s="16"/>
      <c r="AF18" s="25"/>
      <c r="AG18" s="309"/>
      <c r="AH18" s="16"/>
      <c r="AI18" s="16"/>
      <c r="AJ18" s="16"/>
      <c r="AK18" s="16"/>
      <c r="AL18" s="16"/>
      <c r="AM18" s="16"/>
      <c r="AN18" s="16"/>
      <c r="AO18" s="16"/>
      <c r="AP18" s="16"/>
      <c r="AQ18" s="16"/>
      <c r="AR18" s="16"/>
      <c r="AS18" s="16"/>
      <c r="AT18" s="25"/>
      <c r="AU18" s="309"/>
      <c r="AV18" s="16"/>
      <c r="AW18" s="16"/>
      <c r="AX18" s="16"/>
      <c r="AY18" s="16"/>
      <c r="AZ18" s="16"/>
      <c r="BA18" s="16"/>
      <c r="BB18" s="16"/>
      <c r="BC18" s="16"/>
      <c r="BD18" s="16"/>
      <c r="BE18" s="25"/>
      <c r="BF18" s="309"/>
      <c r="BG18" s="16"/>
      <c r="BH18" s="16"/>
      <c r="BI18" s="16"/>
      <c r="BJ18" s="16"/>
      <c r="BK18" s="16"/>
      <c r="BL18" s="16"/>
      <c r="BM18" s="25"/>
      <c r="BN18" s="309"/>
      <c r="BO18" s="16"/>
      <c r="BP18" s="16"/>
      <c r="BQ18" s="16"/>
      <c r="BR18" s="16"/>
      <c r="BS18" s="16"/>
      <c r="BT18" s="16"/>
      <c r="BU18" s="16"/>
      <c r="BV18" s="25"/>
      <c r="BW18" s="309"/>
      <c r="BX18" s="16"/>
      <c r="BY18" s="16"/>
      <c r="BZ18" s="16"/>
      <c r="CA18" s="16"/>
      <c r="CB18" s="16"/>
      <c r="CC18" s="16"/>
      <c r="CD18" s="16"/>
      <c r="CE18" s="16"/>
      <c r="CF18" s="16"/>
      <c r="CG18" s="16"/>
      <c r="CH18" s="25"/>
      <c r="CI18" s="309"/>
      <c r="CJ18" s="16"/>
      <c r="CK18" s="16"/>
      <c r="CL18" s="16"/>
      <c r="CM18" s="16"/>
      <c r="CN18" s="16"/>
      <c r="CO18" s="25"/>
      <c r="CP18" s="309"/>
      <c r="CQ18" s="16"/>
      <c r="CR18" s="16"/>
      <c r="CS18" s="16"/>
      <c r="CT18" s="16"/>
      <c r="CU18" s="25"/>
      <c r="CV18" s="309"/>
      <c r="CW18" s="16"/>
      <c r="CX18" s="16"/>
      <c r="CY18" s="16"/>
      <c r="CZ18" s="16"/>
      <c r="DA18" s="16"/>
      <c r="DB18" s="25"/>
      <c r="DC18" s="309"/>
      <c r="DD18" s="16"/>
      <c r="DE18" s="16"/>
      <c r="DF18" s="16"/>
      <c r="DG18" s="16"/>
      <c r="DH18" s="16"/>
      <c r="DI18" s="25"/>
      <c r="DJ18" s="309"/>
      <c r="DK18" s="16"/>
      <c r="DL18" s="16"/>
      <c r="DM18" s="16"/>
      <c r="DN18" s="16"/>
      <c r="DO18" s="16"/>
      <c r="DP18" s="16"/>
      <c r="DQ18" s="25"/>
      <c r="DR18" s="309"/>
      <c r="DS18" s="16"/>
      <c r="DT18" s="16"/>
      <c r="DU18" s="16"/>
      <c r="DV18" s="16"/>
      <c r="DW18" s="16"/>
      <c r="DX18" s="16"/>
      <c r="DY18" s="16"/>
      <c r="DZ18" s="16"/>
      <c r="EA18" s="16"/>
      <c r="EB18" s="16"/>
      <c r="EC18" s="16"/>
      <c r="ED18" s="25"/>
      <c r="EE18" s="309"/>
      <c r="EF18" s="16"/>
      <c r="EG18" s="16"/>
      <c r="EH18" s="16"/>
      <c r="EI18" s="16"/>
      <c r="EJ18" s="16"/>
      <c r="EK18" s="25"/>
      <c r="EL18" s="309"/>
      <c r="EM18" s="16"/>
      <c r="EN18" s="16"/>
      <c r="EO18" s="16"/>
      <c r="EP18" s="16"/>
      <c r="EQ18" s="16"/>
      <c r="ER18" s="25"/>
      <c r="ES18" s="309"/>
      <c r="ET18" s="16"/>
      <c r="EU18" s="16"/>
      <c r="EV18" s="16"/>
      <c r="EW18" s="16"/>
      <c r="EX18" s="16"/>
      <c r="EY18" s="25"/>
      <c r="EZ18" s="309"/>
      <c r="FA18" s="16"/>
      <c r="FB18" s="16"/>
      <c r="FC18" s="16"/>
      <c r="FD18" s="16"/>
      <c r="FE18" s="16"/>
      <c r="FF18" s="16"/>
      <c r="FG18" s="16"/>
      <c r="FH18" s="16"/>
      <c r="FI18" s="16"/>
      <c r="FJ18" s="16"/>
      <c r="FK18" s="16"/>
      <c r="FL18" s="16"/>
      <c r="FM18" s="25"/>
      <c r="FN18" s="309"/>
      <c r="FO18" s="16"/>
      <c r="FP18" s="16"/>
      <c r="FQ18" s="16"/>
      <c r="FR18" s="16"/>
      <c r="FS18" s="16"/>
      <c r="FT18" s="25"/>
      <c r="FU18" s="309"/>
      <c r="FV18" s="16"/>
      <c r="FW18" s="16"/>
      <c r="FX18" s="16"/>
      <c r="FY18" s="16"/>
      <c r="FZ18" s="16"/>
      <c r="GA18" s="25"/>
      <c r="GB18" s="309"/>
      <c r="GC18" s="16"/>
      <c r="GD18" s="16"/>
      <c r="GE18" s="16"/>
      <c r="GF18" s="16"/>
      <c r="GG18" s="16"/>
      <c r="GH18" s="25"/>
      <c r="GI18" s="309"/>
      <c r="GJ18" s="16"/>
      <c r="GK18" s="16"/>
      <c r="GL18" s="16"/>
      <c r="GM18" s="16"/>
      <c r="GN18" s="16"/>
      <c r="GO18" s="25"/>
      <c r="GP18" s="309"/>
      <c r="GQ18" s="16"/>
      <c r="GR18" s="16"/>
      <c r="GS18" s="16"/>
      <c r="GT18" s="16"/>
      <c r="GU18" s="16"/>
      <c r="GV18" s="25"/>
      <c r="GW18" s="309"/>
      <c r="GX18" s="16"/>
      <c r="GY18" s="16"/>
      <c r="GZ18" s="16"/>
      <c r="HA18" s="16"/>
      <c r="HB18" s="16"/>
      <c r="HC18" s="25"/>
      <c r="HD18" s="231"/>
      <c r="HE18" s="16"/>
      <c r="HF18" s="16"/>
      <c r="HG18" s="16"/>
      <c r="HH18" s="16"/>
      <c r="HI18" s="16"/>
      <c r="HJ18" s="25"/>
      <c r="HK18" s="309"/>
      <c r="HL18" s="16"/>
      <c r="HM18" s="16"/>
      <c r="HN18" s="16"/>
      <c r="HO18" s="16"/>
      <c r="HP18" s="16"/>
      <c r="HQ18" s="25"/>
      <c r="HR18" s="231" t="s">
        <v>1182</v>
      </c>
      <c r="HS18" s="16"/>
      <c r="HT18" s="16"/>
      <c r="HU18" s="16"/>
      <c r="HV18" s="16"/>
      <c r="HW18" s="16"/>
      <c r="HX18" s="25"/>
      <c r="HY18" s="231" t="s">
        <v>1182</v>
      </c>
      <c r="HZ18" s="16"/>
      <c r="IA18" s="16"/>
      <c r="IB18" s="16"/>
      <c r="IC18" s="16"/>
      <c r="ID18" s="16"/>
      <c r="IE18" s="25"/>
      <c r="IF18" s="320" t="s">
        <v>1184</v>
      </c>
      <c r="IG18" s="16"/>
      <c r="IH18" s="16"/>
      <c r="II18" s="16"/>
      <c r="IJ18" s="16"/>
      <c r="IK18" s="16"/>
      <c r="IL18" s="25"/>
      <c r="IM18" s="231"/>
      <c r="IN18" s="16"/>
      <c r="IO18" s="16"/>
      <c r="IP18" s="16"/>
      <c r="IQ18" s="16"/>
      <c r="IR18" s="16"/>
      <c r="IS18" s="25"/>
      <c r="IT18" s="309"/>
      <c r="IU18" s="16"/>
      <c r="IV18" s="16"/>
      <c r="IW18" s="16"/>
      <c r="IX18" s="16"/>
      <c r="IY18" s="16"/>
      <c r="IZ18" s="25"/>
      <c r="JA18" s="309"/>
      <c r="JB18" s="16"/>
      <c r="JC18" s="16"/>
      <c r="JD18" s="16"/>
      <c r="JE18" s="16"/>
      <c r="JF18" s="16"/>
      <c r="JG18" s="25"/>
      <c r="JH18" s="309"/>
      <c r="JI18" s="16"/>
      <c r="JJ18" s="16"/>
      <c r="JK18" s="16"/>
      <c r="JL18" s="16"/>
      <c r="JM18" s="16"/>
      <c r="JN18" s="25"/>
      <c r="JO18" s="197" t="s">
        <v>1192</v>
      </c>
      <c r="JP18" s="16"/>
      <c r="JQ18" s="16"/>
      <c r="JR18" s="16"/>
      <c r="JS18" s="16"/>
      <c r="JT18" s="16"/>
      <c r="JU18" s="25"/>
      <c r="JV18" s="284"/>
      <c r="JW18" s="16"/>
      <c r="JX18" s="16"/>
      <c r="JY18" s="16"/>
      <c r="JZ18" s="16"/>
      <c r="KA18" s="16"/>
      <c r="KB18" s="25"/>
      <c r="KC18" s="284"/>
      <c r="KD18" s="16"/>
      <c r="KE18" s="16"/>
      <c r="KF18" s="16"/>
      <c r="KG18" s="16"/>
      <c r="KH18" s="16"/>
      <c r="KI18" s="25"/>
      <c r="KJ18" s="197" t="s">
        <v>1202</v>
      </c>
      <c r="KK18" s="16"/>
      <c r="KL18" s="16"/>
      <c r="KM18" s="16"/>
      <c r="KN18" s="16"/>
      <c r="KO18" s="16"/>
      <c r="KP18" s="25"/>
      <c r="KQ18" s="284"/>
      <c r="KR18" s="16"/>
      <c r="KS18" s="16"/>
      <c r="KT18" s="16"/>
      <c r="KU18" s="16"/>
      <c r="KV18" s="16"/>
      <c r="KW18" s="25"/>
      <c r="KX18" s="197" t="s">
        <v>1206</v>
      </c>
      <c r="KY18" s="16"/>
      <c r="KZ18" s="16"/>
      <c r="LA18" s="16"/>
      <c r="LB18" s="16"/>
      <c r="LC18" s="16"/>
      <c r="LD18" s="25"/>
      <c r="LE18" s="197" t="s">
        <v>1209</v>
      </c>
      <c r="LF18" s="16"/>
      <c r="LG18" s="16"/>
      <c r="LH18" s="16"/>
      <c r="LI18" s="16"/>
      <c r="LJ18" s="16"/>
      <c r="LK18" s="25"/>
      <c r="LL18" s="106"/>
      <c r="LM18" s="16"/>
      <c r="LN18" s="16"/>
      <c r="LO18" s="16"/>
      <c r="LP18" s="16"/>
      <c r="LQ18" s="16"/>
      <c r="LR18" s="25"/>
      <c r="LS18" s="197" t="s">
        <v>1210</v>
      </c>
      <c r="LT18" s="16"/>
      <c r="LU18" s="16"/>
      <c r="LV18" s="16"/>
      <c r="LW18" s="16"/>
      <c r="LX18" s="16"/>
      <c r="LY18" s="25"/>
      <c r="LZ18" s="284"/>
      <c r="MA18" s="16"/>
      <c r="MB18" s="16"/>
      <c r="MC18" s="16"/>
      <c r="MD18" s="16"/>
      <c r="ME18" s="16"/>
      <c r="MF18" s="25"/>
      <c r="MG18" s="284"/>
      <c r="MH18" s="16"/>
      <c r="MI18" s="16"/>
      <c r="MJ18" s="16"/>
      <c r="MK18" s="16"/>
      <c r="ML18" s="16"/>
      <c r="MM18" s="25"/>
      <c r="MN18" s="284"/>
      <c r="MO18" s="16"/>
      <c r="MP18" s="16"/>
      <c r="MQ18" s="16"/>
      <c r="MR18" s="16"/>
      <c r="MS18" s="16"/>
      <c r="MT18" s="25"/>
      <c r="MU18" s="284"/>
      <c r="MV18" s="16"/>
      <c r="MW18" s="16"/>
      <c r="MX18" s="16"/>
      <c r="MY18" s="16"/>
      <c r="MZ18" s="16"/>
      <c r="NA18" s="25"/>
      <c r="NB18" s="32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74"/>
      <c r="SK18" s="274"/>
      <c r="SL18" s="274"/>
      <c r="SM18" s="274"/>
      <c r="SN18" s="274"/>
      <c r="SO18" s="274"/>
      <c r="SP18" s="274"/>
      <c r="SQ18" s="274"/>
      <c r="SR18" s="274"/>
      <c r="SS18" s="274"/>
      <c r="ST18" s="274"/>
      <c r="SU18" s="274"/>
      <c r="SV18" s="274"/>
      <c r="SW18" s="274"/>
      <c r="SX18" s="274"/>
      <c r="SY18" s="274"/>
      <c r="SZ18" s="274"/>
      <c r="TA18" s="274"/>
      <c r="TB18" s="274"/>
      <c r="TC18" s="274"/>
      <c r="TD18" s="274"/>
      <c r="TE18" s="274"/>
      <c r="TF18" s="274"/>
      <c r="TG18" s="274"/>
      <c r="TH18" s="274"/>
      <c r="TI18" s="274"/>
      <c r="TJ18" s="274"/>
      <c r="TK18" s="274"/>
      <c r="TL18" s="274"/>
      <c r="TM18" s="274"/>
      <c r="TN18" s="274"/>
      <c r="TO18" s="274"/>
      <c r="TP18" s="274"/>
      <c r="TQ18" s="274"/>
      <c r="TR18" s="274"/>
      <c r="TS18" s="274"/>
      <c r="TT18" s="274"/>
      <c r="TU18" s="274"/>
      <c r="TV18" s="274"/>
      <c r="TW18" s="274"/>
      <c r="TX18" s="274"/>
      <c r="TY18" s="274"/>
      <c r="TZ18" s="274"/>
      <c r="UA18" s="274"/>
      <c r="UB18" s="274"/>
      <c r="UC18" s="274"/>
      <c r="UD18" s="274"/>
      <c r="UE18" s="274"/>
      <c r="UF18" s="274"/>
      <c r="UG18" s="274"/>
      <c r="UH18" s="274"/>
      <c r="UI18" s="274"/>
      <c r="UJ18" s="274"/>
      <c r="UK18" s="274"/>
      <c r="UL18" s="274"/>
      <c r="UM18" s="274"/>
      <c r="UN18" s="274"/>
      <c r="UO18" s="274"/>
      <c r="UP18" s="274"/>
      <c r="UQ18" s="274"/>
      <c r="UR18" s="274"/>
      <c r="US18" s="274"/>
      <c r="UT18" s="274"/>
      <c r="UU18" s="274"/>
      <c r="UV18" s="274"/>
      <c r="UW18" s="274"/>
      <c r="UX18" s="274"/>
      <c r="UY18" s="274"/>
      <c r="UZ18" s="274"/>
      <c r="VA18" s="274"/>
      <c r="VB18" s="274"/>
      <c r="VC18" s="274"/>
      <c r="VD18" s="274"/>
      <c r="VE18" s="274"/>
      <c r="VF18" s="274"/>
      <c r="VG18" s="274"/>
      <c r="VH18" s="274"/>
      <c r="VI18" s="274"/>
      <c r="VJ18" s="274"/>
      <c r="VK18" s="274"/>
      <c r="VL18" s="274"/>
      <c r="VM18" s="274"/>
      <c r="VN18" s="274"/>
      <c r="VO18" s="274"/>
      <c r="VP18" s="274"/>
      <c r="VQ18" s="274"/>
      <c r="VR18" s="274"/>
      <c r="VS18" s="274"/>
      <c r="VT18" s="274"/>
      <c r="VU18" s="274"/>
      <c r="VV18" s="274"/>
      <c r="VW18" s="274"/>
      <c r="VX18" s="274"/>
      <c r="VY18" s="274"/>
      <c r="VZ18" s="274"/>
      <c r="WA18" s="274"/>
      <c r="WB18" s="274"/>
      <c r="WC18" s="274"/>
      <c r="WD18" s="274"/>
      <c r="WE18" s="274"/>
      <c r="WF18" s="274"/>
      <c r="WG18" s="274"/>
      <c r="WH18" s="274"/>
      <c r="WI18" s="274"/>
      <c r="WJ18" s="274"/>
      <c r="WK18" s="274"/>
      <c r="WL18" s="274"/>
      <c r="WM18" s="274"/>
      <c r="WN18" s="274"/>
      <c r="WO18" s="274"/>
      <c r="WP18" s="274"/>
      <c r="WQ18" s="274"/>
      <c r="WR18" s="274"/>
      <c r="WS18" s="274"/>
      <c r="WT18" s="274"/>
      <c r="WU18" s="274"/>
      <c r="WV18" s="274"/>
      <c r="WW18" s="274"/>
      <c r="WX18" s="274"/>
      <c r="WY18" s="274"/>
      <c r="WZ18" s="274"/>
      <c r="XA18" s="274"/>
      <c r="XB18" s="274"/>
      <c r="XC18" s="274"/>
      <c r="XD18" s="274"/>
      <c r="XE18" s="274"/>
      <c r="XF18" s="274"/>
      <c r="XG18" s="274"/>
      <c r="XH18" s="274"/>
      <c r="XI18" s="274"/>
      <c r="XJ18" s="274"/>
      <c r="XK18" s="274"/>
      <c r="XL18" s="274"/>
      <c r="XM18" s="274"/>
      <c r="XN18" s="274"/>
      <c r="XO18" s="274"/>
      <c r="XP18" s="274"/>
      <c r="XQ18" s="274"/>
      <c r="XR18" s="274"/>
      <c r="XS18" s="274"/>
      <c r="XT18" s="274"/>
      <c r="XU18" s="274"/>
      <c r="XV18" s="274"/>
      <c r="XW18" s="274"/>
      <c r="XX18" s="274"/>
      <c r="XY18" s="274"/>
      <c r="XZ18" s="274"/>
      <c r="YA18" s="274"/>
      <c r="YB18" s="274"/>
      <c r="YC18" s="274"/>
      <c r="YD18" s="274"/>
      <c r="YE18" s="274"/>
      <c r="YF18" s="274"/>
      <c r="YG18" s="274"/>
      <c r="YH18" s="274"/>
      <c r="YI18" s="274"/>
      <c r="YJ18" s="274"/>
      <c r="YK18" s="274"/>
      <c r="YL18" s="274"/>
      <c r="YM18" s="274"/>
      <c r="YN18" s="274"/>
      <c r="YO18" s="274"/>
      <c r="YP18" s="274"/>
      <c r="YQ18" s="274"/>
      <c r="YR18" s="274"/>
      <c r="YS18" s="274"/>
      <c r="YT18" s="274"/>
      <c r="YU18" s="274"/>
      <c r="YV18" s="274"/>
      <c r="YW18" s="274"/>
      <c r="YX18" s="274"/>
      <c r="YY18" s="274"/>
      <c r="YZ18" s="274"/>
      <c r="ZA18" s="274"/>
      <c r="ZB18" s="274"/>
      <c r="ZC18" s="274"/>
      <c r="ZD18" s="274"/>
      <c r="ZE18" s="274"/>
    </row>
    <row r="19">
      <c r="A19" s="328" t="s">
        <v>927</v>
      </c>
      <c r="B19" s="330"/>
      <c r="C19" s="23"/>
      <c r="D19" s="23"/>
      <c r="E19" s="23"/>
      <c r="F19" s="23"/>
      <c r="G19" s="23"/>
      <c r="H19" s="23"/>
      <c r="I19" s="330"/>
      <c r="J19" s="23"/>
      <c r="K19" s="23"/>
      <c r="L19" s="23"/>
      <c r="M19" s="23"/>
      <c r="N19" s="23"/>
      <c r="O19" s="23"/>
      <c r="P19" s="330"/>
      <c r="Q19" s="23"/>
      <c r="R19" s="23"/>
      <c r="S19" s="23"/>
      <c r="T19" s="23"/>
      <c r="U19" s="23"/>
      <c r="V19" s="23"/>
      <c r="W19" s="330"/>
      <c r="X19" s="23"/>
      <c r="Y19" s="23"/>
      <c r="Z19" s="23"/>
      <c r="AA19" s="23"/>
      <c r="AB19" s="23"/>
      <c r="AC19" s="23"/>
      <c r="AD19" s="330"/>
      <c r="AE19" s="23"/>
      <c r="AF19" s="23"/>
      <c r="AG19" s="23"/>
      <c r="AH19" s="23"/>
      <c r="AI19" s="23"/>
      <c r="AJ19" s="23"/>
      <c r="AK19" s="330"/>
      <c r="AL19" s="23"/>
      <c r="AM19" s="23"/>
      <c r="AN19" s="23"/>
      <c r="AO19" s="23"/>
      <c r="AP19" s="23"/>
      <c r="AQ19" s="23"/>
      <c r="AR19" s="330"/>
      <c r="AS19" s="23"/>
      <c r="AT19" s="23"/>
      <c r="AU19" s="23"/>
      <c r="AV19" s="23"/>
      <c r="AW19" s="23"/>
      <c r="AX19" s="23"/>
      <c r="AY19" s="330"/>
      <c r="AZ19" s="23"/>
      <c r="BA19" s="23"/>
      <c r="BB19" s="23"/>
      <c r="BC19" s="23"/>
      <c r="BD19" s="23"/>
      <c r="BE19" s="23"/>
      <c r="BF19" s="330"/>
      <c r="BG19" s="23"/>
      <c r="BH19" s="23"/>
      <c r="BI19" s="23"/>
      <c r="BJ19" s="23"/>
      <c r="BK19" s="23"/>
      <c r="BL19" s="23"/>
      <c r="BM19" s="330"/>
      <c r="BN19" s="23"/>
      <c r="BO19" s="23"/>
      <c r="BP19" s="23"/>
      <c r="BQ19" s="23"/>
      <c r="BR19" s="23"/>
      <c r="BS19" s="23"/>
      <c r="BT19" s="330"/>
      <c r="BU19" s="23"/>
      <c r="BV19" s="23"/>
      <c r="BW19" s="23"/>
      <c r="BX19" s="23"/>
      <c r="BY19" s="23"/>
      <c r="BZ19" s="23"/>
      <c r="CA19" s="330"/>
      <c r="CB19" s="23"/>
      <c r="CC19" s="23"/>
      <c r="CD19" s="23"/>
      <c r="CE19" s="23"/>
      <c r="CF19" s="23"/>
      <c r="CG19" s="23"/>
      <c r="CH19" s="330"/>
      <c r="CI19" s="23"/>
      <c r="CJ19" s="23"/>
      <c r="CK19" s="23"/>
      <c r="CL19" s="23"/>
      <c r="CM19" s="23"/>
      <c r="CN19" s="23"/>
      <c r="CO19" s="330"/>
      <c r="CP19" s="23"/>
      <c r="CQ19" s="23"/>
      <c r="CR19" s="23"/>
      <c r="CS19" s="23"/>
      <c r="CT19" s="23"/>
      <c r="CU19" s="23"/>
      <c r="CV19" s="330"/>
      <c r="CW19" s="23"/>
      <c r="CX19" s="23"/>
      <c r="CY19" s="23"/>
      <c r="CZ19" s="23"/>
      <c r="DA19" s="23"/>
      <c r="DB19" s="23"/>
      <c r="DC19" s="330"/>
      <c r="DD19" s="23"/>
      <c r="DE19" s="23"/>
      <c r="DF19" s="23"/>
      <c r="DG19" s="23"/>
      <c r="DH19" s="23"/>
      <c r="DI19" s="23"/>
      <c r="DJ19" s="330"/>
      <c r="DK19" s="23"/>
      <c r="DL19" s="23"/>
      <c r="DM19" s="23"/>
      <c r="DN19" s="23"/>
      <c r="DO19" s="23"/>
      <c r="DP19" s="23"/>
      <c r="DQ19" s="330"/>
      <c r="DR19" s="23"/>
      <c r="DS19" s="23"/>
      <c r="DT19" s="23"/>
      <c r="DU19" s="23"/>
      <c r="DV19" s="23"/>
      <c r="DW19" s="23"/>
      <c r="DX19" s="330"/>
      <c r="DY19" s="23"/>
      <c r="DZ19" s="23"/>
      <c r="EA19" s="23"/>
      <c r="EB19" s="23"/>
      <c r="EC19" s="23"/>
      <c r="ED19" s="23"/>
      <c r="EE19" s="330"/>
      <c r="EF19" s="23"/>
      <c r="EG19" s="23"/>
      <c r="EH19" s="23"/>
      <c r="EI19" s="23"/>
      <c r="EJ19" s="23"/>
      <c r="EK19" s="23"/>
      <c r="EL19" s="330"/>
      <c r="EM19" s="23"/>
      <c r="EN19" s="23"/>
      <c r="EO19" s="23"/>
      <c r="EP19" s="23"/>
      <c r="EQ19" s="23"/>
      <c r="ER19" s="23"/>
      <c r="ES19" s="330"/>
      <c r="ET19" s="23"/>
      <c r="EU19" s="23"/>
      <c r="EV19" s="23"/>
      <c r="EW19" s="23"/>
      <c r="EX19" s="23"/>
      <c r="EY19" s="23"/>
      <c r="EZ19" s="330"/>
      <c r="FA19" s="23"/>
      <c r="FB19" s="23"/>
      <c r="FC19" s="23"/>
      <c r="FD19" s="23"/>
      <c r="FE19" s="23"/>
      <c r="FF19" s="23"/>
      <c r="FG19" s="330"/>
      <c r="FH19" s="23"/>
      <c r="FI19" s="23"/>
      <c r="FJ19" s="23"/>
      <c r="FK19" s="23"/>
      <c r="FL19" s="23"/>
      <c r="FM19" s="23"/>
      <c r="FN19" s="330"/>
      <c r="FO19" s="23"/>
      <c r="FP19" s="23"/>
      <c r="FQ19" s="23"/>
      <c r="FR19" s="23"/>
      <c r="FS19" s="23"/>
      <c r="FT19" s="23"/>
      <c r="FU19" s="330"/>
      <c r="FV19" s="23"/>
      <c r="FW19" s="23"/>
      <c r="FX19" s="23"/>
      <c r="FY19" s="23"/>
      <c r="FZ19" s="23"/>
      <c r="GA19" s="23"/>
      <c r="GB19" s="330"/>
      <c r="GC19" s="23"/>
      <c r="GD19" s="23"/>
      <c r="GE19" s="23"/>
      <c r="GF19" s="23"/>
      <c r="GG19" s="23"/>
      <c r="GH19" s="23"/>
      <c r="GI19" s="330"/>
      <c r="GJ19" s="23"/>
      <c r="GK19" s="23"/>
      <c r="GL19" s="23"/>
      <c r="GM19" s="23"/>
      <c r="GN19" s="23"/>
      <c r="GO19" s="23"/>
      <c r="GP19" s="330"/>
      <c r="GQ19" s="23"/>
      <c r="GR19" s="23"/>
      <c r="GS19" s="23"/>
      <c r="GT19" s="23"/>
      <c r="GU19" s="23"/>
      <c r="GV19" s="23"/>
      <c r="GW19" s="330"/>
      <c r="GX19" s="23"/>
      <c r="GY19" s="23"/>
      <c r="GZ19" s="23"/>
      <c r="HA19" s="23"/>
      <c r="HB19" s="23"/>
      <c r="HC19" s="23"/>
      <c r="HD19" s="330"/>
      <c r="HE19" s="23"/>
      <c r="HF19" s="23"/>
      <c r="HG19" s="23"/>
      <c r="HH19" s="23"/>
      <c r="HI19" s="23"/>
      <c r="HJ19" s="23"/>
      <c r="HK19" s="330"/>
      <c r="HL19" s="23"/>
      <c r="HM19" s="23"/>
      <c r="HN19" s="23"/>
      <c r="HO19" s="23"/>
      <c r="HP19" s="23"/>
      <c r="HQ19" s="23"/>
      <c r="HR19" s="330"/>
      <c r="HS19" s="23"/>
      <c r="HT19" s="23"/>
      <c r="HU19" s="23"/>
      <c r="HV19" s="23"/>
      <c r="HW19" s="23"/>
      <c r="HX19" s="23"/>
      <c r="HY19" s="330"/>
      <c r="HZ19" s="23"/>
      <c r="IA19" s="23"/>
      <c r="IB19" s="23"/>
      <c r="IC19" s="23"/>
      <c r="ID19" s="23"/>
      <c r="IE19" s="23"/>
      <c r="IF19" s="330"/>
      <c r="IG19" s="23"/>
      <c r="IH19" s="23"/>
      <c r="II19" s="23"/>
      <c r="IJ19" s="23"/>
      <c r="IK19" s="23"/>
      <c r="IL19" s="23"/>
      <c r="IM19" s="330"/>
      <c r="IN19" s="23"/>
      <c r="IO19" s="23"/>
      <c r="IP19" s="23"/>
      <c r="IQ19" s="23"/>
      <c r="IR19" s="23"/>
      <c r="IS19" s="23"/>
      <c r="IT19" s="330"/>
      <c r="IU19" s="23"/>
      <c r="IV19" s="23"/>
      <c r="IW19" s="23"/>
      <c r="IX19" s="23"/>
      <c r="IY19" s="23"/>
      <c r="IZ19" s="23"/>
      <c r="JA19" s="330"/>
      <c r="JB19" s="23"/>
      <c r="JC19" s="23"/>
      <c r="JD19" s="23"/>
      <c r="JE19" s="23"/>
      <c r="JF19" s="23"/>
      <c r="JG19" s="23"/>
      <c r="JH19" s="330"/>
      <c r="JI19" s="23"/>
      <c r="JJ19" s="23"/>
      <c r="JK19" s="23"/>
      <c r="JL19" s="23"/>
      <c r="JM19" s="23"/>
      <c r="JN19" s="23"/>
      <c r="JO19" s="332"/>
      <c r="JP19" s="23"/>
      <c r="JQ19" s="23"/>
      <c r="JR19" s="23"/>
      <c r="JS19" s="23"/>
      <c r="JT19" s="23"/>
      <c r="JU19" s="23"/>
      <c r="JV19" s="330"/>
      <c r="JW19" s="23"/>
      <c r="JX19" s="23"/>
      <c r="JY19" s="23"/>
      <c r="JZ19" s="23"/>
      <c r="KA19" s="23"/>
      <c r="KB19" s="23"/>
      <c r="KC19" s="330"/>
      <c r="KD19" s="23"/>
      <c r="KE19" s="23"/>
      <c r="KF19" s="23"/>
      <c r="KG19" s="23"/>
      <c r="KH19" s="23"/>
      <c r="KI19" s="23"/>
      <c r="KJ19" s="330"/>
      <c r="KK19" s="23"/>
      <c r="KL19" s="23"/>
      <c r="KM19" s="23"/>
      <c r="KN19" s="23"/>
      <c r="KO19" s="23"/>
      <c r="KP19" s="23"/>
      <c r="KQ19" s="330"/>
      <c r="KR19" s="23"/>
      <c r="KS19" s="23"/>
      <c r="KT19" s="23"/>
      <c r="KU19" s="23"/>
      <c r="KV19" s="23"/>
      <c r="KW19" s="23"/>
      <c r="KX19" s="330"/>
      <c r="KY19" s="23"/>
      <c r="KZ19" s="23"/>
      <c r="LA19" s="23"/>
      <c r="LB19" s="23"/>
      <c r="LC19" s="23"/>
      <c r="LD19" s="23"/>
      <c r="LE19" s="330"/>
      <c r="LF19" s="23"/>
      <c r="LG19" s="23"/>
      <c r="LH19" s="23"/>
      <c r="LI19" s="23"/>
      <c r="LJ19" s="23"/>
      <c r="LK19" s="23"/>
      <c r="LL19" s="330"/>
      <c r="LM19" s="23"/>
      <c r="LN19" s="23"/>
      <c r="LO19" s="23"/>
      <c r="LP19" s="23"/>
      <c r="LQ19" s="23"/>
      <c r="LR19" s="23"/>
      <c r="LS19" s="330"/>
      <c r="LT19" s="23"/>
      <c r="LU19" s="23"/>
      <c r="LV19" s="23"/>
      <c r="LW19" s="23"/>
      <c r="LX19" s="23"/>
      <c r="LY19" s="23"/>
      <c r="LZ19" s="330"/>
      <c r="MA19" s="23"/>
      <c r="MB19" s="23"/>
      <c r="MC19" s="23"/>
      <c r="MD19" s="23"/>
      <c r="ME19" s="23"/>
      <c r="MF19" s="23"/>
      <c r="MG19" s="330"/>
      <c r="MH19" s="23"/>
      <c r="MI19" s="23"/>
      <c r="MJ19" s="23"/>
      <c r="MK19" s="23"/>
      <c r="ML19" s="23"/>
      <c r="MM19" s="23"/>
      <c r="MN19" s="330"/>
      <c r="MO19" s="23"/>
      <c r="MP19" s="23"/>
      <c r="MQ19" s="23"/>
      <c r="MR19" s="23"/>
      <c r="MS19" s="23"/>
      <c r="MT19" s="23"/>
      <c r="MU19" s="330"/>
      <c r="MV19" s="23"/>
      <c r="MW19" s="23"/>
      <c r="MX19" s="23"/>
      <c r="MY19" s="23"/>
      <c r="MZ19" s="23"/>
      <c r="NA19" s="23"/>
      <c r="NB19" s="334"/>
      <c r="NC19" s="335"/>
      <c r="ND19" s="335"/>
      <c r="NE19" s="335"/>
      <c r="NF19" s="335"/>
      <c r="NG19" s="335"/>
      <c r="NH19" s="335"/>
      <c r="NI19" s="335"/>
      <c r="NJ19" s="335"/>
      <c r="NK19" s="335"/>
      <c r="NL19" s="335"/>
      <c r="NM19" s="335"/>
      <c r="NN19" s="335"/>
      <c r="NO19" s="335"/>
      <c r="NP19" s="335"/>
      <c r="NQ19" s="335"/>
      <c r="NR19" s="335"/>
      <c r="NS19" s="335"/>
      <c r="NT19" s="335"/>
      <c r="NU19" s="335"/>
      <c r="NV19" s="335"/>
      <c r="NW19" s="335"/>
      <c r="NX19" s="335"/>
      <c r="NY19" s="335"/>
      <c r="NZ19" s="335"/>
      <c r="OA19" s="335"/>
      <c r="OB19" s="335"/>
      <c r="OC19" s="335"/>
      <c r="OD19" s="335"/>
      <c r="OE19" s="335"/>
      <c r="OF19" s="335"/>
      <c r="OG19" s="335"/>
      <c r="OH19" s="335"/>
      <c r="OI19" s="335"/>
      <c r="OJ19" s="335"/>
      <c r="OK19" s="335"/>
      <c r="OL19" s="335"/>
      <c r="OM19" s="335"/>
      <c r="ON19" s="335"/>
      <c r="OO19" s="335"/>
      <c r="OP19" s="335"/>
      <c r="OQ19" s="335"/>
      <c r="OR19" s="335"/>
      <c r="OS19" s="335"/>
      <c r="OT19" s="335"/>
      <c r="OU19" s="335"/>
      <c r="OV19" s="335"/>
      <c r="OW19" s="335"/>
      <c r="OX19" s="335"/>
      <c r="OY19" s="335"/>
      <c r="OZ19" s="335"/>
      <c r="PA19" s="335"/>
      <c r="PB19" s="335"/>
      <c r="PC19" s="335"/>
      <c r="PD19" s="335"/>
      <c r="PE19" s="335"/>
      <c r="PF19" s="335"/>
      <c r="PG19" s="335"/>
      <c r="PH19" s="335"/>
      <c r="PI19" s="335"/>
      <c r="PJ19" s="335"/>
      <c r="PK19" s="335"/>
      <c r="PL19" s="335"/>
      <c r="PM19" s="335"/>
      <c r="PN19" s="335"/>
      <c r="PO19" s="335"/>
      <c r="PP19" s="335"/>
      <c r="PQ19" s="335"/>
      <c r="PR19" s="335"/>
      <c r="PS19" s="335"/>
      <c r="PT19" s="335"/>
      <c r="PU19" s="335"/>
      <c r="PV19" s="335"/>
      <c r="PW19" s="335"/>
      <c r="PX19" s="335"/>
      <c r="PY19" s="335"/>
      <c r="PZ19" s="335"/>
      <c r="QA19" s="335"/>
      <c r="QB19" s="335"/>
      <c r="QC19" s="335"/>
      <c r="QD19" s="335"/>
      <c r="QE19" s="335"/>
      <c r="QF19" s="335"/>
      <c r="QG19" s="335"/>
      <c r="QH19" s="335"/>
      <c r="QI19" s="335"/>
      <c r="QJ19" s="335"/>
      <c r="QK19" s="335"/>
      <c r="QL19" s="335"/>
      <c r="QM19" s="335"/>
      <c r="QN19" s="335"/>
      <c r="QO19" s="335"/>
      <c r="QP19" s="335"/>
      <c r="QQ19" s="335"/>
      <c r="QR19" s="335"/>
      <c r="QS19" s="335"/>
      <c r="QT19" s="335"/>
      <c r="QU19" s="335"/>
      <c r="QV19" s="335"/>
      <c r="QW19" s="335"/>
      <c r="QX19" s="335"/>
      <c r="QY19" s="335"/>
      <c r="QZ19" s="335"/>
      <c r="RA19" s="335"/>
      <c r="RB19" s="335"/>
      <c r="RC19" s="335"/>
      <c r="RD19" s="335"/>
      <c r="RE19" s="335"/>
      <c r="RF19" s="335"/>
      <c r="RG19" s="335"/>
      <c r="RH19" s="335"/>
      <c r="RI19" s="335"/>
      <c r="RJ19" s="335"/>
      <c r="RK19" s="335"/>
      <c r="RL19" s="335"/>
      <c r="RM19" s="335"/>
      <c r="RN19" s="335"/>
      <c r="RO19" s="335"/>
      <c r="RP19" s="335"/>
      <c r="RQ19" s="335"/>
      <c r="RR19" s="335"/>
      <c r="RS19" s="335"/>
      <c r="RT19" s="335"/>
      <c r="RU19" s="335"/>
      <c r="RV19" s="335"/>
      <c r="RW19" s="335"/>
      <c r="RX19" s="335"/>
      <c r="RY19" s="335"/>
      <c r="RZ19" s="335"/>
      <c r="SA19" s="335"/>
      <c r="SB19" s="335"/>
      <c r="SC19" s="335"/>
      <c r="SD19" s="335"/>
      <c r="SE19" s="335"/>
      <c r="SF19" s="335"/>
      <c r="SG19" s="335"/>
      <c r="SH19" s="335"/>
      <c r="SI19" s="335"/>
      <c r="SJ19" s="335"/>
      <c r="SK19" s="335"/>
      <c r="SL19" s="335"/>
      <c r="SM19" s="335"/>
      <c r="SN19" s="335"/>
      <c r="SO19" s="335"/>
      <c r="SP19" s="335"/>
      <c r="SQ19" s="335"/>
      <c r="SR19" s="335"/>
      <c r="SS19" s="335"/>
      <c r="ST19" s="335"/>
      <c r="SU19" s="335"/>
      <c r="SV19" s="335"/>
      <c r="SW19" s="335"/>
      <c r="SX19" s="335"/>
      <c r="SY19" s="335"/>
      <c r="SZ19" s="335"/>
      <c r="TA19" s="335"/>
      <c r="TB19" s="335"/>
      <c r="TC19" s="335"/>
      <c r="TD19" s="335"/>
      <c r="TE19" s="335"/>
      <c r="TF19" s="335"/>
      <c r="TG19" s="335"/>
      <c r="TH19" s="335"/>
      <c r="TI19" s="335"/>
      <c r="TJ19" s="335"/>
      <c r="TK19" s="335"/>
      <c r="TL19" s="335"/>
      <c r="TM19" s="335"/>
      <c r="TN19" s="335"/>
      <c r="TO19" s="335"/>
      <c r="TP19" s="335"/>
      <c r="TQ19" s="335"/>
      <c r="TR19" s="335"/>
      <c r="TS19" s="335"/>
      <c r="TT19" s="335"/>
      <c r="TU19" s="335"/>
      <c r="TV19" s="335"/>
      <c r="TW19" s="335"/>
      <c r="TX19" s="335"/>
      <c r="TY19" s="335"/>
      <c r="TZ19" s="335"/>
      <c r="UA19" s="335"/>
      <c r="UB19" s="335"/>
      <c r="UC19" s="335"/>
      <c r="UD19" s="335"/>
      <c r="UE19" s="335"/>
      <c r="UF19" s="335"/>
      <c r="UG19" s="335"/>
      <c r="UH19" s="335"/>
      <c r="UI19" s="335"/>
      <c r="UJ19" s="335"/>
      <c r="UK19" s="335"/>
      <c r="UL19" s="335"/>
      <c r="UM19" s="335"/>
      <c r="UN19" s="335"/>
      <c r="UO19" s="335"/>
      <c r="UP19" s="335"/>
      <c r="UQ19" s="335"/>
      <c r="UR19" s="335"/>
      <c r="US19" s="335"/>
      <c r="UT19" s="335"/>
      <c r="UU19" s="335"/>
      <c r="UV19" s="335"/>
      <c r="UW19" s="335"/>
      <c r="UX19" s="335"/>
      <c r="UY19" s="335"/>
      <c r="UZ19" s="335"/>
      <c r="VA19" s="335"/>
      <c r="VB19" s="335"/>
      <c r="VC19" s="335"/>
      <c r="VD19" s="335"/>
      <c r="VE19" s="335"/>
      <c r="VF19" s="335"/>
      <c r="VG19" s="335"/>
      <c r="VH19" s="335"/>
      <c r="VI19" s="335"/>
      <c r="VJ19" s="335"/>
      <c r="VK19" s="335"/>
      <c r="VL19" s="335"/>
      <c r="VM19" s="335"/>
      <c r="VN19" s="335"/>
      <c r="VO19" s="335"/>
      <c r="VP19" s="335"/>
      <c r="VQ19" s="335"/>
      <c r="VR19" s="335"/>
      <c r="VS19" s="335"/>
      <c r="VT19" s="335"/>
      <c r="VU19" s="335"/>
      <c r="VV19" s="335"/>
      <c r="VW19" s="335"/>
      <c r="VX19" s="335"/>
      <c r="VY19" s="335"/>
      <c r="VZ19" s="335"/>
      <c r="WA19" s="335"/>
      <c r="WB19" s="335"/>
      <c r="WC19" s="335"/>
      <c r="WD19" s="335"/>
      <c r="WE19" s="335"/>
      <c r="WF19" s="335"/>
      <c r="WG19" s="335"/>
      <c r="WH19" s="335"/>
      <c r="WI19" s="335"/>
      <c r="WJ19" s="335"/>
      <c r="WK19" s="335"/>
      <c r="WL19" s="335"/>
      <c r="WM19" s="335"/>
      <c r="WN19" s="335"/>
      <c r="WO19" s="335"/>
      <c r="WP19" s="335"/>
      <c r="WQ19" s="335"/>
      <c r="WR19" s="335"/>
      <c r="WS19" s="335"/>
      <c r="WT19" s="335"/>
      <c r="WU19" s="335"/>
      <c r="WV19" s="335"/>
      <c r="WW19" s="335"/>
      <c r="WX19" s="335"/>
      <c r="WY19" s="335"/>
      <c r="WZ19" s="335"/>
      <c r="XA19" s="335"/>
      <c r="XB19" s="335"/>
      <c r="XC19" s="335"/>
      <c r="XD19" s="335"/>
      <c r="XE19" s="335"/>
      <c r="XF19" s="335"/>
      <c r="XG19" s="335"/>
      <c r="XH19" s="335"/>
      <c r="XI19" s="335"/>
      <c r="XJ19" s="335"/>
      <c r="XK19" s="335"/>
      <c r="XL19" s="335"/>
      <c r="XM19" s="335"/>
      <c r="XN19" s="335"/>
      <c r="XO19" s="335"/>
      <c r="XP19" s="335"/>
      <c r="XQ19" s="335"/>
      <c r="XR19" s="335"/>
      <c r="XS19" s="335"/>
      <c r="XT19" s="335"/>
      <c r="XU19" s="335"/>
      <c r="XV19" s="335"/>
      <c r="XW19" s="335"/>
      <c r="XX19" s="335"/>
      <c r="XY19" s="335"/>
      <c r="XZ19" s="335"/>
      <c r="YA19" s="335"/>
      <c r="YB19" s="335"/>
      <c r="YC19" s="335"/>
      <c r="YD19" s="335"/>
      <c r="YE19" s="335"/>
      <c r="YF19" s="335"/>
      <c r="YG19" s="335"/>
      <c r="YH19" s="335"/>
      <c r="YI19" s="335"/>
      <c r="YJ19" s="335"/>
      <c r="YK19" s="335"/>
      <c r="YL19" s="335"/>
      <c r="YM19" s="335"/>
      <c r="YN19" s="335"/>
      <c r="YO19" s="335"/>
      <c r="YP19" s="335"/>
      <c r="YQ19" s="335"/>
      <c r="YR19" s="335"/>
      <c r="YS19" s="335"/>
      <c r="YT19" s="335"/>
      <c r="YU19" s="335"/>
      <c r="YV19" s="335"/>
      <c r="YW19" s="335"/>
      <c r="YX19" s="335"/>
      <c r="YY19" s="335"/>
      <c r="YZ19" s="335"/>
      <c r="ZA19" s="335"/>
      <c r="ZB19" s="335"/>
      <c r="ZC19" s="335"/>
      <c r="ZD19" s="335"/>
      <c r="ZE19" s="335"/>
    </row>
    <row r="20">
      <c r="A20" s="13" t="s">
        <v>811</v>
      </c>
      <c r="B20" s="337"/>
      <c r="H20" s="83"/>
      <c r="I20" s="82"/>
      <c r="O20" s="83"/>
      <c r="P20" s="82"/>
      <c r="V20" s="83"/>
      <c r="W20" s="82"/>
      <c r="AC20" s="83"/>
      <c r="AD20" s="82"/>
      <c r="AJ20" s="83"/>
      <c r="AK20" s="82"/>
      <c r="AQ20" s="83"/>
      <c r="AR20" s="82"/>
      <c r="AX20" s="83"/>
      <c r="AY20" s="82"/>
      <c r="BE20" s="83"/>
      <c r="BF20" s="82"/>
      <c r="BL20" s="83"/>
      <c r="BM20" s="82"/>
      <c r="BS20" s="83"/>
      <c r="BT20" s="82"/>
      <c r="BZ20" s="83"/>
      <c r="CA20" s="82"/>
      <c r="CH20" s="82"/>
      <c r="CO20" s="82"/>
      <c r="CV20" s="338"/>
      <c r="CW20" s="10"/>
      <c r="CX20" s="10"/>
      <c r="CY20" s="10"/>
      <c r="CZ20" s="10"/>
      <c r="DA20" s="10"/>
      <c r="DB20" s="121"/>
      <c r="DC20" s="338"/>
      <c r="DD20" s="10"/>
      <c r="DE20" s="10"/>
      <c r="DF20" s="10"/>
      <c r="DG20" s="10"/>
      <c r="DH20" s="10"/>
      <c r="DI20" s="121"/>
      <c r="DJ20" s="82"/>
      <c r="DQ20" s="82"/>
      <c r="DX20" s="82"/>
      <c r="EE20" s="82"/>
      <c r="EK20" s="83"/>
      <c r="EL20" s="82"/>
      <c r="ES20" s="82"/>
      <c r="EZ20" s="82"/>
      <c r="FG20" s="82"/>
      <c r="FM20" s="83"/>
      <c r="FN20" s="82"/>
      <c r="FU20" s="82"/>
      <c r="GB20" s="82"/>
      <c r="GI20" s="82"/>
      <c r="GO20" s="83"/>
      <c r="GP20" s="82"/>
      <c r="GW20" s="82"/>
      <c r="HD20" s="82"/>
      <c r="HJ20" s="83"/>
      <c r="HK20" s="82"/>
      <c r="HR20" s="82"/>
      <c r="HY20" s="82"/>
      <c r="IE20" s="83"/>
      <c r="IF20" s="82"/>
      <c r="IM20" s="82"/>
      <c r="IT20" s="82"/>
      <c r="IZ20" s="83"/>
      <c r="JA20" s="82"/>
      <c r="JH20" s="82"/>
      <c r="JN20" s="83"/>
      <c r="JO20" s="340"/>
      <c r="JV20" s="82"/>
      <c r="KC20" s="82"/>
      <c r="KI20" s="83"/>
      <c r="KJ20" s="82"/>
      <c r="KP20" s="83"/>
      <c r="KQ20" s="82"/>
      <c r="KW20" s="83"/>
      <c r="KX20" s="82"/>
      <c r="LE20" s="82"/>
      <c r="LL20" s="82"/>
      <c r="LS20" s="82"/>
      <c r="LZ20" s="82"/>
      <c r="MG20" s="82"/>
      <c r="MN20" s="82"/>
      <c r="MU20" s="82"/>
      <c r="NB20" s="337"/>
      <c r="NC20" s="113"/>
      <c r="ND20" s="113"/>
      <c r="NE20" s="113"/>
      <c r="NF20" s="113"/>
      <c r="NG20" s="113"/>
      <c r="NH20" s="113"/>
      <c r="NI20" s="113"/>
      <c r="NJ20" s="113"/>
      <c r="NK20" s="113"/>
      <c r="NL20" s="113"/>
      <c r="NM20" s="113"/>
      <c r="NN20" s="113"/>
      <c r="NO20" s="113"/>
      <c r="NP20" s="113"/>
      <c r="NQ20" s="113"/>
      <c r="NR20" s="113"/>
      <c r="NS20" s="113"/>
      <c r="NT20" s="113"/>
      <c r="NU20" s="113"/>
      <c r="NV20" s="113"/>
      <c r="NW20" s="113"/>
      <c r="NX20" s="113"/>
      <c r="NY20" s="113"/>
      <c r="NZ20" s="113"/>
      <c r="OA20" s="113"/>
      <c r="OB20" s="113"/>
      <c r="OC20" s="113"/>
      <c r="OD20" s="113"/>
      <c r="OE20" s="113"/>
      <c r="OF20" s="113"/>
      <c r="OG20" s="113"/>
      <c r="OH20" s="113"/>
      <c r="OI20" s="113"/>
      <c r="OJ20" s="113"/>
      <c r="OK20" s="113"/>
      <c r="OL20" s="113"/>
      <c r="OM20" s="113"/>
      <c r="ON20" s="113"/>
      <c r="OO20" s="113"/>
      <c r="OP20" s="113"/>
      <c r="OQ20" s="113"/>
      <c r="OR20" s="113"/>
      <c r="OS20" s="113"/>
      <c r="OT20" s="113"/>
      <c r="OU20" s="113"/>
      <c r="OV20" s="113"/>
      <c r="OW20" s="113"/>
      <c r="OX20" s="113"/>
      <c r="OY20" s="113"/>
      <c r="OZ20" s="113"/>
      <c r="PA20" s="113"/>
      <c r="PB20" s="113"/>
      <c r="PC20" s="113"/>
      <c r="PD20" s="113"/>
      <c r="PE20" s="113"/>
      <c r="PF20" s="113"/>
      <c r="PG20" s="113"/>
      <c r="PH20" s="113"/>
      <c r="PI20" s="113"/>
      <c r="PJ20" s="113"/>
      <c r="PK20" s="113"/>
      <c r="PL20" s="113"/>
      <c r="PM20" s="113"/>
      <c r="PN20" s="113"/>
      <c r="PO20" s="113"/>
      <c r="PP20" s="113"/>
      <c r="PQ20" s="113"/>
      <c r="PR20" s="113"/>
      <c r="PS20" s="113"/>
      <c r="PT20" s="113"/>
      <c r="PU20" s="113"/>
      <c r="PV20" s="113"/>
      <c r="PW20" s="113"/>
      <c r="PX20" s="113"/>
      <c r="PY20" s="113"/>
      <c r="PZ20" s="113"/>
      <c r="QA20" s="113"/>
      <c r="QB20" s="113"/>
      <c r="QC20" s="113"/>
      <c r="QD20" s="113"/>
      <c r="QE20" s="113"/>
      <c r="QF20" s="113"/>
      <c r="QG20" s="113"/>
      <c r="QH20" s="113"/>
      <c r="QI20" s="113"/>
      <c r="QJ20" s="113"/>
      <c r="QK20" s="113"/>
      <c r="QL20" s="113"/>
      <c r="QM20" s="113"/>
      <c r="QN20" s="113"/>
      <c r="QO20" s="113"/>
      <c r="QP20" s="113"/>
      <c r="QQ20" s="113"/>
      <c r="QR20" s="113"/>
      <c r="QS20" s="113"/>
      <c r="QT20" s="113"/>
      <c r="QU20" s="113"/>
      <c r="QV20" s="113"/>
      <c r="QW20" s="113"/>
      <c r="QX20" s="113"/>
      <c r="QY20" s="113"/>
      <c r="QZ20" s="113"/>
      <c r="RA20" s="113"/>
      <c r="RB20" s="113"/>
      <c r="RC20" s="113"/>
      <c r="RD20" s="113"/>
      <c r="RE20" s="113"/>
      <c r="RF20" s="113"/>
      <c r="RG20" s="113"/>
      <c r="RH20" s="113"/>
      <c r="RI20" s="113"/>
      <c r="RJ20" s="113"/>
      <c r="RK20" s="113"/>
      <c r="RL20" s="113"/>
      <c r="RM20" s="113"/>
      <c r="RN20" s="113"/>
      <c r="RO20" s="113"/>
      <c r="RP20" s="113"/>
      <c r="RQ20" s="113"/>
      <c r="RR20" s="113"/>
      <c r="RS20" s="113"/>
      <c r="RT20" s="113"/>
      <c r="RU20" s="113"/>
      <c r="RV20" s="113"/>
      <c r="RW20" s="113"/>
      <c r="RX20" s="113"/>
      <c r="RY20" s="113"/>
      <c r="RZ20" s="113"/>
      <c r="SA20" s="113"/>
      <c r="SB20" s="113"/>
      <c r="SC20" s="113"/>
      <c r="SD20" s="113"/>
      <c r="SE20" s="113"/>
      <c r="SF20" s="113"/>
      <c r="SG20" s="113"/>
      <c r="SH20" s="113"/>
      <c r="SI20" s="113"/>
      <c r="SJ20" s="113"/>
      <c r="SK20" s="113"/>
      <c r="SL20" s="113"/>
      <c r="SM20" s="113"/>
      <c r="SN20" s="113"/>
      <c r="SO20" s="113"/>
      <c r="SP20" s="113"/>
      <c r="SQ20" s="113"/>
      <c r="SR20" s="113"/>
      <c r="SS20" s="113"/>
      <c r="ST20" s="113"/>
      <c r="SU20" s="113"/>
      <c r="SV20" s="113"/>
      <c r="SW20" s="113"/>
      <c r="SX20" s="113"/>
      <c r="SY20" s="113"/>
      <c r="SZ20" s="113"/>
      <c r="TA20" s="113"/>
      <c r="TB20" s="113"/>
      <c r="TC20" s="113"/>
      <c r="TD20" s="113"/>
      <c r="TE20" s="113"/>
      <c r="TF20" s="113"/>
      <c r="TG20" s="113"/>
      <c r="TH20" s="113"/>
      <c r="TI20" s="113"/>
      <c r="TJ20" s="113"/>
      <c r="TK20" s="113"/>
      <c r="TL20" s="113"/>
      <c r="TM20" s="113"/>
      <c r="TN20" s="113"/>
      <c r="TO20" s="113"/>
      <c r="TP20" s="113"/>
      <c r="TQ20" s="113"/>
      <c r="TR20" s="113"/>
      <c r="TS20" s="113"/>
      <c r="TT20" s="113"/>
      <c r="TU20" s="113"/>
      <c r="TV20" s="113"/>
      <c r="TW20" s="113"/>
      <c r="TX20" s="113"/>
      <c r="TY20" s="113"/>
      <c r="TZ20" s="113"/>
      <c r="UA20" s="113"/>
      <c r="UB20" s="113"/>
      <c r="UC20" s="113"/>
      <c r="UD20" s="113"/>
      <c r="UE20" s="113"/>
      <c r="UF20" s="113"/>
      <c r="UG20" s="113"/>
      <c r="UH20" s="113"/>
      <c r="UI20" s="113"/>
      <c r="UJ20" s="113"/>
      <c r="UK20" s="113"/>
      <c r="UL20" s="113"/>
      <c r="UM20" s="113"/>
      <c r="UN20" s="113"/>
      <c r="UO20" s="113"/>
      <c r="UP20" s="113"/>
      <c r="UQ20" s="113"/>
      <c r="UR20" s="113"/>
      <c r="US20" s="113"/>
      <c r="UT20" s="113"/>
      <c r="UU20" s="113"/>
      <c r="UV20" s="113"/>
      <c r="UW20" s="113"/>
      <c r="UX20" s="113"/>
      <c r="UY20" s="113"/>
      <c r="UZ20" s="113"/>
      <c r="VA20" s="113"/>
      <c r="VB20" s="113"/>
      <c r="VC20" s="113"/>
      <c r="VD20" s="113"/>
      <c r="VE20" s="113"/>
      <c r="VF20" s="113"/>
      <c r="VG20" s="113"/>
      <c r="VH20" s="113"/>
      <c r="VI20" s="113"/>
      <c r="VJ20" s="113"/>
      <c r="VK20" s="113"/>
      <c r="VL20" s="113"/>
      <c r="VM20" s="113"/>
      <c r="VN20" s="113"/>
      <c r="VO20" s="113"/>
      <c r="VP20" s="113"/>
      <c r="VQ20" s="113"/>
      <c r="VR20" s="113"/>
      <c r="VS20" s="113"/>
      <c r="VT20" s="113"/>
      <c r="VU20" s="113"/>
      <c r="VV20" s="113"/>
      <c r="VW20" s="113"/>
      <c r="VX20" s="113"/>
      <c r="VY20" s="113"/>
      <c r="VZ20" s="113"/>
      <c r="WA20" s="113"/>
      <c r="WB20" s="113"/>
      <c r="WC20" s="113"/>
      <c r="WD20" s="113"/>
      <c r="WE20" s="113"/>
      <c r="WF20" s="113"/>
      <c r="WG20" s="113"/>
      <c r="WH20" s="113"/>
      <c r="WI20" s="113"/>
      <c r="WJ20" s="113"/>
      <c r="WK20" s="113"/>
      <c r="WL20" s="113"/>
      <c r="WM20" s="113"/>
      <c r="WN20" s="113"/>
      <c r="WO20" s="113"/>
      <c r="WP20" s="113"/>
      <c r="WQ20" s="113"/>
      <c r="WR20" s="113"/>
      <c r="WS20" s="113"/>
      <c r="WT20" s="113"/>
      <c r="WU20" s="113"/>
      <c r="WV20" s="113"/>
      <c r="WW20" s="113"/>
      <c r="WX20" s="113"/>
      <c r="WY20" s="113"/>
      <c r="WZ20" s="113"/>
      <c r="XA20" s="113"/>
      <c r="XB20" s="113"/>
      <c r="XC20" s="113"/>
      <c r="XD20" s="113"/>
      <c r="XE20" s="113"/>
      <c r="XF20" s="113"/>
      <c r="XG20" s="113"/>
      <c r="XH20" s="113"/>
      <c r="XI20" s="113"/>
      <c r="XJ20" s="113"/>
      <c r="XK20" s="113"/>
      <c r="XL20" s="113"/>
      <c r="XM20" s="113"/>
      <c r="XN20" s="113"/>
      <c r="XO20" s="113"/>
      <c r="XP20" s="113"/>
      <c r="XQ20" s="113"/>
      <c r="XR20" s="113"/>
      <c r="XS20" s="113"/>
      <c r="XT20" s="113"/>
      <c r="XU20" s="113"/>
      <c r="XV20" s="113"/>
      <c r="XW20" s="113"/>
      <c r="XX20" s="113"/>
      <c r="XY20" s="113"/>
      <c r="XZ20" s="113"/>
      <c r="YA20" s="113"/>
      <c r="YB20" s="113"/>
      <c r="YC20" s="113"/>
      <c r="YD20" s="113"/>
      <c r="YE20" s="113"/>
      <c r="YF20" s="113"/>
      <c r="YG20" s="113"/>
      <c r="YH20" s="113"/>
      <c r="YI20" s="113"/>
      <c r="YJ20" s="113"/>
      <c r="YK20" s="113"/>
      <c r="YL20" s="113"/>
      <c r="YM20" s="113"/>
      <c r="YN20" s="113"/>
      <c r="YO20" s="113"/>
      <c r="YP20" s="113"/>
      <c r="YQ20" s="113"/>
      <c r="YR20" s="113"/>
      <c r="YS20" s="113"/>
      <c r="YT20" s="113"/>
      <c r="YU20" s="113"/>
      <c r="YV20" s="113"/>
      <c r="YW20" s="113"/>
      <c r="YX20" s="113"/>
      <c r="YY20" s="113"/>
      <c r="YZ20" s="113"/>
      <c r="ZA20" s="113"/>
      <c r="ZB20" s="113"/>
      <c r="ZC20" s="113"/>
      <c r="ZD20" s="113"/>
      <c r="ZE20" s="113"/>
    </row>
    <row r="21">
      <c r="A21" s="13" t="s">
        <v>957</v>
      </c>
      <c r="B21" s="81" t="s">
        <v>1327</v>
      </c>
      <c r="H21" s="83"/>
      <c r="I21" s="86" t="s">
        <v>1328</v>
      </c>
      <c r="O21" s="83"/>
      <c r="P21" s="86" t="s">
        <v>1329</v>
      </c>
      <c r="V21" s="83"/>
      <c r="W21" s="86" t="s">
        <v>1330</v>
      </c>
      <c r="AC21" s="83"/>
      <c r="AD21" s="82"/>
      <c r="AE21" s="337"/>
      <c r="AF21" s="337"/>
      <c r="AG21" s="134" t="s">
        <v>1331</v>
      </c>
      <c r="AH21" s="16"/>
      <c r="AI21" s="16"/>
      <c r="AJ21" s="16"/>
      <c r="AK21" s="16"/>
      <c r="AL21" s="16"/>
      <c r="AM21" s="16"/>
      <c r="AN21" s="16"/>
      <c r="AO21" s="16"/>
      <c r="AP21" s="16"/>
      <c r="AQ21" s="16"/>
      <c r="AR21" s="16"/>
      <c r="AS21" s="16"/>
      <c r="AT21" s="25"/>
      <c r="AU21" s="341"/>
      <c r="AV21" s="341"/>
      <c r="AW21" s="341"/>
      <c r="AX21" s="342"/>
      <c r="AY21" s="82"/>
      <c r="BE21" s="83"/>
      <c r="BF21" s="108" t="s">
        <v>1335</v>
      </c>
      <c r="BG21" s="16"/>
      <c r="BH21" s="16"/>
      <c r="BI21" s="16"/>
      <c r="BJ21" s="16"/>
      <c r="BK21" s="16"/>
      <c r="BL21" s="25"/>
      <c r="BM21" s="82"/>
      <c r="BS21" s="83"/>
      <c r="BT21" s="134" t="s">
        <v>434</v>
      </c>
      <c r="BU21" s="16"/>
      <c r="BV21" s="16"/>
      <c r="BW21" s="16"/>
      <c r="BX21" s="16"/>
      <c r="BY21" s="16"/>
      <c r="BZ21" s="25"/>
      <c r="CA21" s="134"/>
      <c r="CB21" s="341"/>
      <c r="CC21" s="341"/>
      <c r="CD21" s="341"/>
      <c r="CE21" s="134" t="s">
        <v>1339</v>
      </c>
      <c r="CF21" s="16"/>
      <c r="CG21" s="16"/>
      <c r="CH21" s="16"/>
      <c r="CI21" s="16"/>
      <c r="CJ21" s="16"/>
      <c r="CK21" s="16"/>
      <c r="CL21" s="16"/>
      <c r="CM21" s="16"/>
      <c r="CN21" s="16"/>
      <c r="CO21" s="16"/>
      <c r="CP21" s="16"/>
      <c r="CQ21" s="16"/>
      <c r="CR21" s="16"/>
      <c r="CS21" s="25"/>
      <c r="CT21" s="337"/>
      <c r="CU21" s="337"/>
      <c r="CV21" s="134" t="s">
        <v>1341</v>
      </c>
      <c r="CW21" s="16"/>
      <c r="CX21" s="16"/>
      <c r="CY21" s="16"/>
      <c r="CZ21" s="16"/>
      <c r="DA21" s="16"/>
      <c r="DB21" s="25"/>
      <c r="DC21" s="82"/>
      <c r="DI21" s="83"/>
      <c r="DJ21" s="6" t="s">
        <v>1344</v>
      </c>
      <c r="DQ21" s="343"/>
      <c r="DR21" s="134" t="s">
        <v>1348</v>
      </c>
      <c r="DS21" s="16"/>
      <c r="DT21" s="16"/>
      <c r="DU21" s="16"/>
      <c r="DV21" s="16"/>
      <c r="DW21" s="16"/>
      <c r="DX21" s="16"/>
      <c r="DY21" s="16"/>
      <c r="DZ21" s="16"/>
      <c r="EA21" s="16"/>
      <c r="EB21" s="16"/>
      <c r="EC21" s="16"/>
      <c r="ED21" s="16"/>
      <c r="EE21" s="82"/>
      <c r="EK21" s="83"/>
      <c r="EL21" s="134" t="s">
        <v>384</v>
      </c>
      <c r="EM21" s="16"/>
      <c r="EN21" s="16"/>
      <c r="EO21" s="16"/>
      <c r="EP21" s="16"/>
      <c r="EQ21" s="16"/>
      <c r="ER21" s="25"/>
      <c r="ES21" s="134" t="s">
        <v>1356</v>
      </c>
      <c r="ET21" s="16"/>
      <c r="EU21" s="16"/>
      <c r="EV21" s="16"/>
      <c r="EW21" s="16"/>
      <c r="EX21" s="16"/>
      <c r="EY21" s="25"/>
      <c r="EZ21" s="134" t="s">
        <v>1360</v>
      </c>
      <c r="FA21" s="16"/>
      <c r="FB21" s="16"/>
      <c r="FC21" s="16"/>
      <c r="FD21" s="16"/>
      <c r="FE21" s="16"/>
      <c r="FF21" s="16"/>
      <c r="FG21" s="16"/>
      <c r="FH21" s="16"/>
      <c r="FI21" s="16"/>
      <c r="FJ21" s="16"/>
      <c r="FK21" s="16"/>
      <c r="FL21" s="16"/>
      <c r="FM21" s="25"/>
      <c r="FN21" s="134" t="s">
        <v>982</v>
      </c>
      <c r="FO21" s="16"/>
      <c r="FP21" s="16"/>
      <c r="FQ21" s="16"/>
      <c r="FR21" s="16"/>
      <c r="FS21" s="16"/>
      <c r="FT21" s="25"/>
      <c r="FU21" s="82"/>
      <c r="GB21" s="82"/>
      <c r="GI21" s="134" t="s">
        <v>985</v>
      </c>
      <c r="GJ21" s="16"/>
      <c r="GK21" s="16"/>
      <c r="GL21" s="16"/>
      <c r="GM21" s="16"/>
      <c r="GN21" s="16"/>
      <c r="GO21" s="25"/>
      <c r="GP21" s="108" t="s">
        <v>986</v>
      </c>
      <c r="GQ21" s="16"/>
      <c r="GR21" s="16"/>
      <c r="GS21" s="16"/>
      <c r="GT21" s="16"/>
      <c r="GU21" s="16"/>
      <c r="GV21" s="25"/>
      <c r="GW21" s="82"/>
      <c r="HD21" s="134" t="s">
        <v>988</v>
      </c>
      <c r="HE21" s="16"/>
      <c r="HF21" s="16"/>
      <c r="HG21" s="16"/>
      <c r="HH21" s="16"/>
      <c r="HI21" s="16"/>
      <c r="HJ21" s="25"/>
      <c r="HK21" s="172"/>
      <c r="HY21" s="134" t="s">
        <v>990</v>
      </c>
      <c r="HZ21" s="16"/>
      <c r="IA21" s="16"/>
      <c r="IB21" s="16"/>
      <c r="IC21" s="16"/>
      <c r="ID21" s="16"/>
      <c r="IE21" s="25"/>
      <c r="IF21" s="82"/>
      <c r="IM21" s="343"/>
      <c r="IT21" s="343"/>
      <c r="JA21" s="108" t="s">
        <v>1001</v>
      </c>
      <c r="JB21" s="16"/>
      <c r="JC21" s="16"/>
      <c r="JD21" s="16"/>
      <c r="JE21" s="16"/>
      <c r="JF21" s="16"/>
      <c r="JG21" s="25"/>
      <c r="JH21" s="108" t="s">
        <v>1004</v>
      </c>
      <c r="JI21" s="16"/>
      <c r="JJ21" s="16"/>
      <c r="JK21" s="16"/>
      <c r="JL21" s="16"/>
      <c r="JM21" s="16"/>
      <c r="JN21" s="25"/>
      <c r="JO21" s="340"/>
      <c r="JV21" s="86" t="s">
        <v>1009</v>
      </c>
      <c r="KB21" s="83"/>
      <c r="KC21" s="82"/>
      <c r="KI21" s="83"/>
      <c r="KJ21" s="82"/>
      <c r="KP21" s="83"/>
      <c r="KQ21" s="82"/>
      <c r="KW21" s="83"/>
      <c r="KX21" s="82"/>
      <c r="LE21" s="108" t="s">
        <v>1015</v>
      </c>
      <c r="LF21" s="16"/>
      <c r="LG21" s="16"/>
      <c r="LH21" s="16"/>
      <c r="LI21" s="16"/>
      <c r="LJ21" s="16"/>
      <c r="LK21" s="25"/>
      <c r="LL21" s="108" t="s">
        <v>1020</v>
      </c>
      <c r="LM21" s="16"/>
      <c r="LN21" s="16"/>
      <c r="LO21" s="16"/>
      <c r="LP21" s="16"/>
      <c r="LQ21" s="16"/>
      <c r="LR21" s="25"/>
      <c r="LV21" s="237" t="s">
        <v>1024</v>
      </c>
      <c r="LW21" s="16"/>
      <c r="LX21" s="16"/>
      <c r="LY21" s="16"/>
      <c r="LZ21" s="16"/>
      <c r="MA21" s="16"/>
      <c r="MB21" s="16"/>
      <c r="MC21" s="16"/>
      <c r="MD21" s="16"/>
      <c r="ME21" s="16"/>
      <c r="MF21" s="25"/>
      <c r="MG21" s="108" t="s">
        <v>1034</v>
      </c>
      <c r="MH21" s="16"/>
      <c r="MI21" s="16"/>
      <c r="MJ21" s="16"/>
      <c r="MK21" s="16"/>
      <c r="ML21" s="16"/>
      <c r="MM21" s="25"/>
      <c r="MN21" s="82"/>
      <c r="MU21" s="82"/>
      <c r="NB21" s="337"/>
      <c r="NC21" s="113"/>
      <c r="ND21" s="113"/>
      <c r="NE21" s="113"/>
      <c r="NF21" s="113"/>
      <c r="NG21" s="113"/>
      <c r="NH21" s="113"/>
      <c r="NI21" s="113"/>
      <c r="NJ21" s="113"/>
      <c r="NK21" s="113"/>
      <c r="NL21" s="113"/>
      <c r="NM21" s="113"/>
      <c r="NN21" s="113"/>
      <c r="NO21" s="113"/>
      <c r="NP21" s="113"/>
      <c r="NQ21" s="113"/>
      <c r="NR21" s="113"/>
      <c r="NS21" s="113"/>
      <c r="NT21" s="113"/>
      <c r="NU21" s="113"/>
      <c r="NV21" s="113"/>
      <c r="NW21" s="113"/>
      <c r="NX21" s="113"/>
      <c r="NY21" s="113"/>
      <c r="NZ21" s="113"/>
      <c r="OA21" s="113"/>
      <c r="OB21" s="113"/>
      <c r="OC21" s="113"/>
      <c r="OD21" s="113"/>
      <c r="OE21" s="113"/>
      <c r="OF21" s="113"/>
      <c r="OG21" s="113"/>
      <c r="OH21" s="113"/>
      <c r="OI21" s="113"/>
      <c r="OJ21" s="113"/>
      <c r="OK21" s="113"/>
      <c r="OL21" s="113"/>
      <c r="OM21" s="113"/>
      <c r="ON21" s="113"/>
      <c r="OO21" s="113"/>
      <c r="OP21" s="113"/>
      <c r="OQ21" s="113"/>
      <c r="OR21" s="113"/>
      <c r="OS21" s="113"/>
      <c r="OT21" s="113"/>
      <c r="OU21" s="113"/>
      <c r="OV21" s="113"/>
      <c r="OW21" s="113"/>
      <c r="OX21" s="113"/>
      <c r="OY21" s="113"/>
      <c r="OZ21" s="113"/>
      <c r="PA21" s="113"/>
      <c r="PB21" s="113"/>
      <c r="PC21" s="113"/>
      <c r="PD21" s="113"/>
      <c r="PE21" s="113"/>
      <c r="PF21" s="113"/>
      <c r="PG21" s="113"/>
      <c r="PH21" s="113"/>
      <c r="PI21" s="113"/>
      <c r="PJ21" s="113"/>
      <c r="PK21" s="113"/>
      <c r="PL21" s="113"/>
      <c r="PM21" s="113"/>
      <c r="PN21" s="113"/>
      <c r="PO21" s="113"/>
      <c r="PP21" s="113"/>
      <c r="PQ21" s="113"/>
      <c r="PR21" s="113"/>
      <c r="PS21" s="113"/>
      <c r="PT21" s="113"/>
      <c r="PU21" s="113"/>
      <c r="PV21" s="113"/>
      <c r="PW21" s="113"/>
      <c r="PX21" s="113"/>
      <c r="PY21" s="113"/>
      <c r="PZ21" s="113"/>
      <c r="QA21" s="113"/>
      <c r="QB21" s="113"/>
      <c r="QC21" s="113"/>
      <c r="QD21" s="113"/>
      <c r="QE21" s="113"/>
      <c r="QF21" s="113"/>
      <c r="QG21" s="113"/>
      <c r="QH21" s="113"/>
      <c r="QI21" s="113"/>
      <c r="QJ21" s="113"/>
      <c r="QK21" s="113"/>
      <c r="QL21" s="113"/>
      <c r="QM21" s="113"/>
      <c r="QN21" s="113"/>
      <c r="QO21" s="113"/>
      <c r="QP21" s="113"/>
      <c r="QQ21" s="113"/>
      <c r="QR21" s="113"/>
      <c r="QS21" s="113"/>
      <c r="QT21" s="113"/>
      <c r="QU21" s="113"/>
      <c r="QV21" s="113"/>
      <c r="QW21" s="113"/>
      <c r="QX21" s="113"/>
      <c r="QY21" s="113"/>
      <c r="QZ21" s="113"/>
      <c r="RA21" s="113"/>
      <c r="RB21" s="113"/>
      <c r="RC21" s="113"/>
      <c r="RD21" s="113"/>
      <c r="RE21" s="113"/>
      <c r="RF21" s="113"/>
      <c r="RG21" s="113"/>
      <c r="RH21" s="113"/>
      <c r="RI21" s="113"/>
      <c r="RJ21" s="113"/>
      <c r="RK21" s="113"/>
      <c r="RL21" s="113"/>
      <c r="RM21" s="113"/>
      <c r="RN21" s="113"/>
      <c r="RO21" s="113"/>
      <c r="RP21" s="113"/>
      <c r="RQ21" s="113"/>
      <c r="RR21" s="113"/>
      <c r="RS21" s="113"/>
      <c r="RT21" s="113"/>
      <c r="RU21" s="113"/>
      <c r="RV21" s="113"/>
      <c r="RW21" s="113"/>
      <c r="RX21" s="113"/>
      <c r="RY21" s="113"/>
      <c r="RZ21" s="113"/>
      <c r="SA21" s="113"/>
      <c r="SB21" s="113"/>
      <c r="SC21" s="113"/>
      <c r="SD21" s="113"/>
      <c r="SE21" s="113"/>
      <c r="SF21" s="113"/>
      <c r="SG21" s="113"/>
      <c r="SH21" s="113"/>
      <c r="SI21" s="113"/>
      <c r="SJ21" s="113"/>
      <c r="SK21" s="113"/>
      <c r="SL21" s="113"/>
      <c r="SM21" s="113"/>
      <c r="SN21" s="113"/>
      <c r="SO21" s="113"/>
      <c r="SP21" s="113"/>
      <c r="SQ21" s="113"/>
      <c r="SR21" s="113"/>
      <c r="SS21" s="113"/>
      <c r="ST21" s="113"/>
      <c r="SU21" s="113"/>
      <c r="SV21" s="113"/>
      <c r="SW21" s="113"/>
      <c r="SX21" s="113"/>
      <c r="SY21" s="113"/>
      <c r="SZ21" s="113"/>
      <c r="TA21" s="113"/>
      <c r="TB21" s="113"/>
      <c r="TC21" s="113"/>
      <c r="TD21" s="113"/>
      <c r="TE21" s="113"/>
      <c r="TF21" s="113"/>
      <c r="TG21" s="113"/>
      <c r="TH21" s="113"/>
      <c r="TI21" s="113"/>
      <c r="TJ21" s="113"/>
      <c r="TK21" s="113"/>
      <c r="TL21" s="113"/>
      <c r="TM21" s="113"/>
      <c r="TN21" s="113"/>
      <c r="TO21" s="113"/>
      <c r="TP21" s="113"/>
      <c r="TQ21" s="113"/>
      <c r="TR21" s="113"/>
      <c r="TS21" s="113"/>
      <c r="TT21" s="113"/>
      <c r="TU21" s="113"/>
      <c r="TV21" s="113"/>
      <c r="TW21" s="113"/>
      <c r="TX21" s="113"/>
      <c r="TY21" s="113"/>
      <c r="TZ21" s="113"/>
      <c r="UA21" s="113"/>
      <c r="UB21" s="113"/>
      <c r="UC21" s="113"/>
      <c r="UD21" s="113"/>
      <c r="UE21" s="113"/>
      <c r="UF21" s="113"/>
      <c r="UG21" s="113"/>
      <c r="UH21" s="113"/>
      <c r="UI21" s="113"/>
      <c r="UJ21" s="113"/>
      <c r="UK21" s="113"/>
      <c r="UL21" s="113"/>
      <c r="UM21" s="113"/>
      <c r="UN21" s="113"/>
      <c r="UO21" s="113"/>
      <c r="UP21" s="113"/>
      <c r="UQ21" s="113"/>
      <c r="UR21" s="113"/>
      <c r="US21" s="113"/>
      <c r="UT21" s="113"/>
      <c r="UU21" s="113"/>
      <c r="UV21" s="113"/>
      <c r="UW21" s="113"/>
      <c r="UX21" s="113"/>
      <c r="UY21" s="113"/>
      <c r="UZ21" s="113"/>
      <c r="VA21" s="113"/>
      <c r="VB21" s="113"/>
      <c r="VC21" s="113"/>
      <c r="VD21" s="113"/>
      <c r="VE21" s="113"/>
      <c r="VF21" s="113"/>
      <c r="VG21" s="113"/>
      <c r="VH21" s="113"/>
      <c r="VI21" s="113"/>
      <c r="VJ21" s="113"/>
      <c r="VK21" s="113"/>
      <c r="VL21" s="113"/>
      <c r="VM21" s="113"/>
      <c r="VN21" s="113"/>
      <c r="VO21" s="113"/>
      <c r="VP21" s="113"/>
      <c r="VQ21" s="113"/>
      <c r="VR21" s="113"/>
      <c r="VS21" s="113"/>
      <c r="VT21" s="113"/>
      <c r="VU21" s="113"/>
      <c r="VV21" s="113"/>
      <c r="VW21" s="113"/>
      <c r="VX21" s="113"/>
      <c r="VY21" s="113"/>
      <c r="VZ21" s="113"/>
      <c r="WA21" s="113"/>
      <c r="WB21" s="113"/>
      <c r="WC21" s="113"/>
      <c r="WD21" s="113"/>
      <c r="WE21" s="113"/>
      <c r="WF21" s="113"/>
      <c r="WG21" s="113"/>
      <c r="WH21" s="113"/>
      <c r="WI21" s="113"/>
      <c r="WJ21" s="113"/>
      <c r="WK21" s="113"/>
      <c r="WL21" s="113"/>
      <c r="WM21" s="113"/>
      <c r="WN21" s="113"/>
      <c r="WO21" s="113"/>
      <c r="WP21" s="113"/>
      <c r="WQ21" s="113"/>
      <c r="WR21" s="113"/>
      <c r="WS21" s="113"/>
      <c r="WT21" s="113"/>
      <c r="WU21" s="113"/>
      <c r="WV21" s="113"/>
      <c r="WW21" s="113"/>
      <c r="WX21" s="113"/>
      <c r="WY21" s="113"/>
      <c r="WZ21" s="113"/>
      <c r="XA21" s="113"/>
      <c r="XB21" s="113"/>
      <c r="XC21" s="113"/>
      <c r="XD21" s="113"/>
      <c r="XE21" s="113"/>
      <c r="XF21" s="113"/>
      <c r="XG21" s="113"/>
      <c r="XH21" s="113"/>
      <c r="XI21" s="113"/>
      <c r="XJ21" s="113"/>
      <c r="XK21" s="113"/>
      <c r="XL21" s="113"/>
      <c r="XM21" s="113"/>
      <c r="XN21" s="113"/>
      <c r="XO21" s="113"/>
      <c r="XP21" s="113"/>
      <c r="XQ21" s="113"/>
      <c r="XR21" s="113"/>
      <c r="XS21" s="113"/>
      <c r="XT21" s="113"/>
      <c r="XU21" s="113"/>
      <c r="XV21" s="113"/>
      <c r="XW21" s="113"/>
      <c r="XX21" s="113"/>
      <c r="XY21" s="113"/>
      <c r="XZ21" s="113"/>
      <c r="YA21" s="113"/>
      <c r="YB21" s="113"/>
      <c r="YC21" s="113"/>
      <c r="YD21" s="113"/>
      <c r="YE21" s="113"/>
      <c r="YF21" s="113"/>
      <c r="YG21" s="113"/>
      <c r="YH21" s="113"/>
      <c r="YI21" s="113"/>
      <c r="YJ21" s="113"/>
      <c r="YK21" s="113"/>
      <c r="YL21" s="113"/>
      <c r="YM21" s="113"/>
      <c r="YN21" s="113"/>
      <c r="YO21" s="113"/>
      <c r="YP21" s="113"/>
      <c r="YQ21" s="113"/>
      <c r="YR21" s="113"/>
      <c r="YS21" s="113"/>
      <c r="YT21" s="113"/>
      <c r="YU21" s="113"/>
      <c r="YV21" s="113"/>
      <c r="YW21" s="113"/>
      <c r="YX21" s="113"/>
      <c r="YY21" s="113"/>
      <c r="YZ21" s="113"/>
      <c r="ZA21" s="113"/>
      <c r="ZB21" s="113"/>
      <c r="ZC21" s="113"/>
      <c r="ZD21" s="113"/>
      <c r="ZE21" s="113"/>
    </row>
    <row r="22">
      <c r="A22" s="13" t="s">
        <v>1059</v>
      </c>
      <c r="B22" s="337"/>
      <c r="I22" s="82"/>
      <c r="P22" s="82"/>
      <c r="W22" s="82"/>
      <c r="AD22" s="82"/>
      <c r="AK22" s="82"/>
      <c r="AR22" s="82"/>
      <c r="AY22" s="82"/>
      <c r="BF22" s="82"/>
      <c r="BM22" s="82"/>
      <c r="BT22" s="82"/>
      <c r="CA22" s="82"/>
      <c r="CH22" s="82"/>
      <c r="CO22" s="82"/>
      <c r="CV22" s="82"/>
      <c r="DB22" s="83"/>
      <c r="DC22" s="82"/>
      <c r="DI22" s="83"/>
      <c r="DJ22" s="82"/>
      <c r="DQ22" s="82"/>
      <c r="DX22" s="82"/>
      <c r="EE22" s="82"/>
      <c r="EL22" s="82"/>
      <c r="ES22" s="82"/>
      <c r="EZ22" s="82"/>
      <c r="FG22" s="82"/>
      <c r="FN22" s="82"/>
      <c r="FU22" s="82"/>
      <c r="GB22" s="82"/>
      <c r="GI22" s="82"/>
      <c r="GP22" s="82"/>
      <c r="GW22" s="134" t="s">
        <v>1139</v>
      </c>
      <c r="GX22" s="16"/>
      <c r="GY22" s="16"/>
      <c r="GZ22" s="16"/>
      <c r="HA22" s="16"/>
      <c r="HB22" s="16"/>
      <c r="HC22" s="16"/>
      <c r="HD22" s="16"/>
      <c r="HE22" s="16"/>
      <c r="HF22" s="16"/>
      <c r="HG22" s="16"/>
      <c r="HH22" s="16"/>
      <c r="HI22" s="16"/>
      <c r="HJ22" s="16"/>
      <c r="HK22" s="134" t="s">
        <v>1146</v>
      </c>
      <c r="HL22" s="16"/>
      <c r="HM22" s="16"/>
      <c r="HN22" s="16"/>
      <c r="HO22" s="16"/>
      <c r="HP22" s="16"/>
      <c r="HQ22" s="16"/>
      <c r="HR22" s="16"/>
      <c r="HS22" s="16"/>
      <c r="HT22" s="16"/>
      <c r="HU22" s="16"/>
      <c r="HV22" s="16"/>
      <c r="HW22" s="16"/>
      <c r="HX22" s="25"/>
      <c r="HY22" s="341"/>
      <c r="HZ22" s="16"/>
      <c r="IA22" s="16"/>
      <c r="IB22" s="16"/>
      <c r="IC22" s="16"/>
      <c r="ID22" s="16"/>
      <c r="IE22" s="16"/>
      <c r="IF22" s="82"/>
      <c r="IM22" s="134" t="s">
        <v>1162</v>
      </c>
      <c r="IN22" s="16"/>
      <c r="IO22" s="16"/>
      <c r="IP22" s="16"/>
      <c r="IQ22" s="16"/>
      <c r="IR22" s="16"/>
      <c r="IS22" s="16"/>
      <c r="IT22" s="16"/>
      <c r="IU22" s="16"/>
      <c r="IV22" s="16"/>
      <c r="IW22" s="16"/>
      <c r="IX22" s="16"/>
      <c r="IY22" s="16"/>
      <c r="IZ22" s="25"/>
      <c r="JA22" s="82"/>
      <c r="JH22" s="82"/>
      <c r="JN22" s="83"/>
      <c r="JO22" s="340"/>
      <c r="JV22" s="349" t="s">
        <v>1169</v>
      </c>
      <c r="KC22" s="82"/>
      <c r="KX22" s="349" t="s">
        <v>1172</v>
      </c>
      <c r="LE22" s="82"/>
      <c r="LL22" s="108" t="s">
        <v>1175</v>
      </c>
      <c r="LM22" s="16"/>
      <c r="LN22" s="16"/>
      <c r="LO22" s="16"/>
      <c r="LP22" s="16"/>
      <c r="LQ22" s="16"/>
      <c r="LR22" s="16"/>
      <c r="LS22" s="16"/>
      <c r="LT22" s="16"/>
      <c r="LU22" s="16"/>
      <c r="LV22" s="16"/>
      <c r="LW22" s="16"/>
      <c r="LX22" s="16"/>
      <c r="LY22" s="16"/>
      <c r="LZ22" s="25"/>
      <c r="MA22" s="237" t="s">
        <v>1179</v>
      </c>
      <c r="MB22" s="16"/>
      <c r="MC22" s="16"/>
      <c r="MD22" s="16"/>
      <c r="ME22" s="16"/>
      <c r="MF22" s="16"/>
      <c r="MG22" s="16"/>
      <c r="MH22" s="16"/>
      <c r="MI22" s="16"/>
      <c r="MJ22" s="16"/>
      <c r="MK22" s="16"/>
      <c r="ML22" s="16"/>
      <c r="MM22" s="16"/>
      <c r="MN22" s="16"/>
      <c r="MO22" s="16"/>
      <c r="MP22" s="16"/>
      <c r="MQ22" s="16"/>
      <c r="MR22" s="16"/>
      <c r="MS22" s="16"/>
      <c r="MT22" s="25"/>
      <c r="MU22" s="108" t="s">
        <v>1186</v>
      </c>
      <c r="MV22" s="16"/>
      <c r="MW22" s="16"/>
      <c r="MX22" s="16"/>
      <c r="MY22" s="16"/>
      <c r="MZ22" s="16"/>
      <c r="NA22" s="16"/>
      <c r="NB22" s="25"/>
      <c r="NC22" s="113"/>
      <c r="ND22" s="113"/>
      <c r="NE22" s="113"/>
      <c r="NF22" s="113"/>
      <c r="NG22" s="113"/>
      <c r="NH22" s="113"/>
      <c r="NI22" s="113"/>
      <c r="NJ22" s="113"/>
      <c r="NK22" s="113"/>
      <c r="NL22" s="113"/>
      <c r="NM22" s="113"/>
      <c r="NN22" s="113"/>
      <c r="NO22" s="113"/>
      <c r="NP22" s="113"/>
      <c r="NQ22" s="113"/>
      <c r="NR22" s="113"/>
      <c r="NS22" s="113"/>
      <c r="NT22" s="113"/>
      <c r="NU22" s="113"/>
      <c r="NV22" s="113"/>
      <c r="NW22" s="113"/>
      <c r="NX22" s="113"/>
      <c r="NY22" s="113"/>
      <c r="NZ22" s="113"/>
      <c r="OA22" s="113"/>
      <c r="OB22" s="113"/>
      <c r="OC22" s="113"/>
      <c r="OD22" s="113"/>
      <c r="OE22" s="113"/>
      <c r="OF22" s="113"/>
      <c r="OG22" s="113"/>
      <c r="OH22" s="113"/>
      <c r="OI22" s="113"/>
      <c r="OJ22" s="113"/>
      <c r="OK22" s="113"/>
      <c r="OL22" s="113"/>
      <c r="OM22" s="113"/>
      <c r="ON22" s="113"/>
      <c r="OO22" s="113"/>
      <c r="OP22" s="113"/>
      <c r="OQ22" s="113"/>
      <c r="OR22" s="113"/>
      <c r="OS22" s="113"/>
      <c r="OT22" s="113"/>
      <c r="OU22" s="113"/>
      <c r="OV22" s="113"/>
      <c r="OW22" s="113"/>
      <c r="OX22" s="113"/>
      <c r="OY22" s="113"/>
      <c r="OZ22" s="113"/>
      <c r="PA22" s="113"/>
      <c r="PB22" s="113"/>
      <c r="PC22" s="113"/>
      <c r="PD22" s="113"/>
      <c r="PE22" s="113"/>
      <c r="PF22" s="113"/>
      <c r="PG22" s="113"/>
      <c r="PH22" s="113"/>
      <c r="PI22" s="113"/>
      <c r="PJ22" s="113"/>
      <c r="PK22" s="113"/>
      <c r="PL22" s="113"/>
      <c r="PM22" s="113"/>
      <c r="PN22" s="113"/>
      <c r="PO22" s="113"/>
      <c r="PP22" s="113"/>
      <c r="PQ22" s="113"/>
      <c r="PR22" s="113"/>
      <c r="PS22" s="113"/>
      <c r="PT22" s="113"/>
      <c r="PU22" s="113"/>
      <c r="PV22" s="113"/>
      <c r="PW22" s="113"/>
      <c r="PX22" s="113"/>
      <c r="PY22" s="113"/>
      <c r="PZ22" s="113"/>
      <c r="QA22" s="113"/>
      <c r="QB22" s="113"/>
      <c r="QC22" s="113"/>
      <c r="QD22" s="113"/>
      <c r="QE22" s="113"/>
      <c r="QF22" s="113"/>
      <c r="QG22" s="113"/>
      <c r="QH22" s="113"/>
      <c r="QI22" s="113"/>
      <c r="QJ22" s="113"/>
      <c r="QK22" s="113"/>
      <c r="QL22" s="113"/>
      <c r="QM22" s="113"/>
      <c r="QN22" s="113"/>
      <c r="QO22" s="113"/>
      <c r="QP22" s="113"/>
      <c r="QQ22" s="113"/>
      <c r="QR22" s="113"/>
      <c r="QS22" s="113"/>
      <c r="QT22" s="113"/>
      <c r="QU22" s="113"/>
      <c r="QV22" s="113"/>
      <c r="QW22" s="113"/>
      <c r="QX22" s="113"/>
      <c r="QY22" s="113"/>
      <c r="QZ22" s="113"/>
      <c r="RA22" s="113"/>
      <c r="RB22" s="113"/>
      <c r="RC22" s="113"/>
      <c r="RD22" s="113"/>
      <c r="RE22" s="113"/>
      <c r="RF22" s="113"/>
      <c r="RG22" s="113"/>
      <c r="RH22" s="113"/>
      <c r="RI22" s="113"/>
      <c r="RJ22" s="113"/>
      <c r="RK22" s="113"/>
      <c r="RL22" s="113"/>
      <c r="RM22" s="113"/>
      <c r="RN22" s="113"/>
      <c r="RO22" s="113"/>
      <c r="RP22" s="113"/>
      <c r="RQ22" s="113"/>
      <c r="RR22" s="113"/>
      <c r="RS22" s="113"/>
      <c r="RT22" s="113"/>
      <c r="RU22" s="113"/>
      <c r="RV22" s="113"/>
      <c r="RW22" s="113"/>
      <c r="RX22" s="113"/>
      <c r="RY22" s="113"/>
      <c r="RZ22" s="113"/>
      <c r="SA22" s="113"/>
      <c r="SB22" s="113"/>
      <c r="SC22" s="113"/>
      <c r="SD22" s="113"/>
      <c r="SE22" s="113"/>
      <c r="SF22" s="113"/>
      <c r="SG22" s="113"/>
      <c r="SH22" s="113"/>
      <c r="SI22" s="113"/>
      <c r="SJ22" s="113"/>
      <c r="SK22" s="113"/>
      <c r="SL22" s="113"/>
      <c r="SM22" s="113"/>
      <c r="SN22" s="113"/>
      <c r="SO22" s="113"/>
      <c r="SP22" s="113"/>
      <c r="SQ22" s="113"/>
      <c r="SR22" s="113"/>
      <c r="SS22" s="113"/>
      <c r="ST22" s="113"/>
      <c r="SU22" s="113"/>
      <c r="SV22" s="113"/>
      <c r="SW22" s="113"/>
      <c r="SX22" s="113"/>
      <c r="SY22" s="113"/>
      <c r="SZ22" s="113"/>
      <c r="TA22" s="113"/>
      <c r="TB22" s="113"/>
      <c r="TC22" s="113"/>
      <c r="TD22" s="113"/>
      <c r="TE22" s="113"/>
      <c r="TF22" s="113"/>
      <c r="TG22" s="113"/>
      <c r="TH22" s="113"/>
      <c r="TI22" s="113"/>
      <c r="TJ22" s="113"/>
      <c r="TK22" s="113"/>
      <c r="TL22" s="113"/>
      <c r="TM22" s="113"/>
      <c r="TN22" s="113"/>
      <c r="TO22" s="113"/>
      <c r="TP22" s="113"/>
      <c r="TQ22" s="113"/>
      <c r="TR22" s="113"/>
      <c r="TS22" s="113"/>
      <c r="TT22" s="113"/>
      <c r="TU22" s="113"/>
      <c r="TV22" s="113"/>
      <c r="TW22" s="113"/>
      <c r="TX22" s="113"/>
      <c r="TY22" s="113"/>
      <c r="TZ22" s="113"/>
      <c r="UA22" s="113"/>
      <c r="UB22" s="113"/>
      <c r="UC22" s="113"/>
      <c r="UD22" s="113"/>
      <c r="UE22" s="113"/>
      <c r="UF22" s="113"/>
      <c r="UG22" s="113"/>
      <c r="UH22" s="113"/>
      <c r="UI22" s="113"/>
      <c r="UJ22" s="113"/>
      <c r="UK22" s="113"/>
      <c r="UL22" s="113"/>
      <c r="UM22" s="113"/>
      <c r="UN22" s="113"/>
      <c r="UO22" s="113"/>
      <c r="UP22" s="113"/>
      <c r="UQ22" s="113"/>
      <c r="UR22" s="113"/>
      <c r="US22" s="113"/>
      <c r="UT22" s="113"/>
      <c r="UU22" s="113"/>
      <c r="UV22" s="113"/>
      <c r="UW22" s="113"/>
      <c r="UX22" s="113"/>
      <c r="UY22" s="113"/>
      <c r="UZ22" s="113"/>
      <c r="VA22" s="113"/>
      <c r="VB22" s="113"/>
      <c r="VC22" s="113"/>
      <c r="VD22" s="113"/>
      <c r="VE22" s="113"/>
      <c r="VF22" s="113"/>
      <c r="VG22" s="113"/>
      <c r="VH22" s="113"/>
      <c r="VI22" s="113"/>
      <c r="VJ22" s="113"/>
      <c r="VK22" s="113"/>
      <c r="VL22" s="113"/>
      <c r="VM22" s="113"/>
      <c r="VN22" s="113"/>
      <c r="VO22" s="113"/>
      <c r="VP22" s="113"/>
      <c r="VQ22" s="113"/>
      <c r="VR22" s="113"/>
      <c r="VS22" s="113"/>
      <c r="VT22" s="113"/>
      <c r="VU22" s="113"/>
      <c r="VV22" s="113"/>
      <c r="VW22" s="113"/>
      <c r="VX22" s="113"/>
      <c r="VY22" s="113"/>
      <c r="VZ22" s="113"/>
      <c r="WA22" s="113"/>
      <c r="WB22" s="113"/>
      <c r="WC22" s="113"/>
      <c r="WD22" s="113"/>
      <c r="WE22" s="113"/>
      <c r="WF22" s="113"/>
      <c r="WG22" s="113"/>
      <c r="WH22" s="113"/>
      <c r="WI22" s="113"/>
      <c r="WJ22" s="113"/>
      <c r="WK22" s="113"/>
      <c r="WL22" s="113"/>
      <c r="WM22" s="113"/>
      <c r="WN22" s="113"/>
      <c r="WO22" s="113"/>
      <c r="WP22" s="113"/>
      <c r="WQ22" s="113"/>
      <c r="WR22" s="113"/>
      <c r="WS22" s="113"/>
      <c r="WT22" s="113"/>
      <c r="WU22" s="113"/>
      <c r="WV22" s="113"/>
      <c r="WW22" s="113"/>
      <c r="WX22" s="113"/>
      <c r="WY22" s="113"/>
      <c r="WZ22" s="113"/>
      <c r="XA22" s="113"/>
      <c r="XB22" s="113"/>
      <c r="XC22" s="113"/>
      <c r="XD22" s="113"/>
      <c r="XE22" s="113"/>
      <c r="XF22" s="113"/>
      <c r="XG22" s="113"/>
      <c r="XH22" s="113"/>
      <c r="XI22" s="113"/>
      <c r="XJ22" s="113"/>
      <c r="XK22" s="113"/>
      <c r="XL22" s="113"/>
      <c r="XM22" s="113"/>
      <c r="XN22" s="113"/>
      <c r="XO22" s="113"/>
      <c r="XP22" s="113"/>
      <c r="XQ22" s="113"/>
      <c r="XR22" s="113"/>
      <c r="XS22" s="113"/>
      <c r="XT22" s="113"/>
      <c r="XU22" s="113"/>
      <c r="XV22" s="113"/>
      <c r="XW22" s="113"/>
      <c r="XX22" s="113"/>
      <c r="XY22" s="113"/>
      <c r="XZ22" s="113"/>
      <c r="YA22" s="113"/>
      <c r="YB22" s="113"/>
      <c r="YC22" s="113"/>
      <c r="YD22" s="113"/>
      <c r="YE22" s="113"/>
      <c r="YF22" s="113"/>
      <c r="YG22" s="113"/>
      <c r="YH22" s="113"/>
      <c r="YI22" s="113"/>
      <c r="YJ22" s="113"/>
      <c r="YK22" s="113"/>
      <c r="YL22" s="113"/>
      <c r="YM22" s="113"/>
      <c r="YN22" s="113"/>
      <c r="YO22" s="113"/>
      <c r="YP22" s="113"/>
      <c r="YQ22" s="113"/>
      <c r="YR22" s="113"/>
      <c r="YS22" s="113"/>
      <c r="YT22" s="113"/>
      <c r="YU22" s="113"/>
      <c r="YV22" s="113"/>
      <c r="YW22" s="113"/>
      <c r="YX22" s="113"/>
      <c r="YY22" s="113"/>
      <c r="YZ22" s="113"/>
      <c r="ZA22" s="113"/>
      <c r="ZB22" s="113"/>
      <c r="ZC22" s="113"/>
      <c r="ZD22" s="113"/>
      <c r="ZE22" s="113"/>
    </row>
    <row r="23">
      <c r="A23" s="13" t="s">
        <v>1204</v>
      </c>
      <c r="B23" s="337"/>
      <c r="H23" s="83"/>
      <c r="I23" s="134" t="s">
        <v>1409</v>
      </c>
      <c r="J23" s="16"/>
      <c r="K23" s="16"/>
      <c r="L23" s="16"/>
      <c r="M23" s="16"/>
      <c r="N23" s="16"/>
      <c r="O23" s="16"/>
      <c r="P23" s="16"/>
      <c r="Q23" s="16"/>
      <c r="R23" s="16"/>
      <c r="S23" s="16"/>
      <c r="T23" s="16"/>
      <c r="U23" s="16"/>
      <c r="V23" s="16"/>
      <c r="W23" s="16"/>
      <c r="X23" s="16"/>
      <c r="Y23" s="16"/>
      <c r="Z23" s="16"/>
      <c r="AA23" s="16"/>
      <c r="AB23" s="16"/>
      <c r="AC23" s="25"/>
      <c r="AD23" s="82"/>
      <c r="AJ23" s="83"/>
      <c r="AK23" s="82"/>
      <c r="AQ23" s="83"/>
      <c r="AR23" s="82"/>
      <c r="AX23" s="83"/>
      <c r="AY23" s="82"/>
      <c r="BE23" s="83"/>
      <c r="BF23" s="82"/>
      <c r="BL23" s="83"/>
      <c r="BM23" s="86"/>
      <c r="BS23" s="83"/>
      <c r="BT23" s="82"/>
      <c r="BZ23" s="83"/>
      <c r="CA23" s="134" t="s">
        <v>1419</v>
      </c>
      <c r="CB23" s="16"/>
      <c r="CC23" s="16"/>
      <c r="CD23" s="16"/>
      <c r="CE23" s="16"/>
      <c r="CF23" s="16"/>
      <c r="CG23" s="25"/>
      <c r="CH23" s="82"/>
      <c r="CO23" s="82"/>
      <c r="CV23" s="82"/>
      <c r="DB23" s="83"/>
      <c r="DC23" s="82"/>
      <c r="DI23" s="83"/>
      <c r="DJ23" s="82"/>
      <c r="DQ23" s="82"/>
      <c r="DX23" s="82"/>
      <c r="EE23" s="134" t="s">
        <v>1424</v>
      </c>
      <c r="EF23" s="16"/>
      <c r="EG23" s="16"/>
      <c r="EH23" s="16"/>
      <c r="EI23" s="16"/>
      <c r="EJ23" s="16"/>
      <c r="EK23" s="16"/>
      <c r="EL23" s="16"/>
      <c r="EM23" s="16"/>
      <c r="EN23" s="16"/>
      <c r="EO23" s="16"/>
      <c r="EP23" s="16"/>
      <c r="EQ23" s="16"/>
      <c r="ER23" s="25"/>
      <c r="ES23" s="82"/>
      <c r="EZ23" s="82"/>
      <c r="FG23" s="134" t="s">
        <v>1426</v>
      </c>
      <c r="FH23" s="16"/>
      <c r="FI23" s="16"/>
      <c r="FJ23" s="16"/>
      <c r="FK23" s="16"/>
      <c r="FL23" s="16"/>
      <c r="FM23" s="25"/>
      <c r="FN23" s="341"/>
      <c r="FO23" s="16"/>
      <c r="FP23" s="16"/>
      <c r="FQ23" s="16"/>
      <c r="FR23" s="16"/>
      <c r="FS23" s="16"/>
      <c r="FT23" s="16"/>
      <c r="FU23" s="134" t="s">
        <v>1426</v>
      </c>
      <c r="FV23" s="16"/>
      <c r="FW23" s="16"/>
      <c r="FX23" s="16"/>
      <c r="FY23" s="16"/>
      <c r="FZ23" s="16"/>
      <c r="GA23" s="16"/>
      <c r="GB23" s="82"/>
      <c r="GI23" s="82"/>
      <c r="GO23" s="83"/>
      <c r="GP23" s="82"/>
      <c r="GW23" s="82"/>
      <c r="HD23" s="82"/>
      <c r="HJ23" s="83"/>
      <c r="HK23" s="82"/>
      <c r="HR23" s="82"/>
      <c r="HY23" s="82"/>
      <c r="IE23" s="83"/>
      <c r="IF23" s="82"/>
      <c r="IM23" s="134" t="s">
        <v>1243</v>
      </c>
      <c r="IN23" s="16"/>
      <c r="IO23" s="16"/>
      <c r="IP23" s="16"/>
      <c r="IQ23" s="16"/>
      <c r="IR23" s="16"/>
      <c r="IS23" s="16"/>
      <c r="IT23" s="16"/>
      <c r="IU23" s="16"/>
      <c r="IV23" s="16"/>
      <c r="IW23" s="16"/>
      <c r="IX23" s="16"/>
      <c r="IY23" s="16"/>
      <c r="IZ23" s="25"/>
      <c r="JA23" s="82"/>
      <c r="JH23" s="82"/>
      <c r="JN23" s="83"/>
      <c r="JO23" s="340"/>
      <c r="JV23" s="82"/>
      <c r="KC23" s="82"/>
      <c r="KI23" s="83"/>
      <c r="KJ23" s="354" t="s">
        <v>928</v>
      </c>
      <c r="KK23" s="16"/>
      <c r="KL23" s="16"/>
      <c r="KM23" s="16"/>
      <c r="KN23" s="16"/>
      <c r="KO23" s="16"/>
      <c r="KP23" s="16"/>
      <c r="KQ23" s="354" t="s">
        <v>928</v>
      </c>
      <c r="KR23" s="16"/>
      <c r="KS23" s="16"/>
      <c r="KT23" s="16"/>
      <c r="KU23" s="16"/>
      <c r="KV23" s="16"/>
      <c r="KW23" s="16"/>
      <c r="KX23" s="82"/>
      <c r="LE23" s="82"/>
      <c r="LL23" s="82"/>
      <c r="LS23" s="82"/>
      <c r="LZ23" s="82"/>
      <c r="MG23" s="82"/>
      <c r="MN23" s="82"/>
      <c r="MU23" s="82"/>
      <c r="NB23" s="337"/>
      <c r="NC23" s="113"/>
      <c r="ND23" s="113"/>
      <c r="NE23" s="113"/>
      <c r="NF23" s="113"/>
      <c r="NG23" s="113"/>
      <c r="NH23" s="113"/>
      <c r="NI23" s="113"/>
      <c r="NJ23" s="113"/>
      <c r="NK23" s="113"/>
      <c r="NL23" s="113"/>
      <c r="NM23" s="113"/>
      <c r="NN23" s="113"/>
      <c r="NO23" s="113"/>
      <c r="NP23" s="113"/>
      <c r="NQ23" s="113"/>
      <c r="NR23" s="113"/>
      <c r="NS23" s="113"/>
      <c r="NT23" s="113"/>
      <c r="NU23" s="113"/>
      <c r="NV23" s="113"/>
      <c r="NW23" s="113"/>
      <c r="NX23" s="113"/>
      <c r="NY23" s="113"/>
      <c r="NZ23" s="113"/>
      <c r="OA23" s="113"/>
      <c r="OB23" s="113"/>
      <c r="OC23" s="113"/>
      <c r="OD23" s="113"/>
      <c r="OE23" s="113"/>
      <c r="OF23" s="113"/>
      <c r="OG23" s="113"/>
      <c r="OH23" s="113"/>
      <c r="OI23" s="113"/>
      <c r="OJ23" s="113"/>
      <c r="OK23" s="113"/>
      <c r="OL23" s="113"/>
      <c r="OM23" s="113"/>
      <c r="ON23" s="113"/>
      <c r="OO23" s="113"/>
      <c r="OP23" s="113"/>
      <c r="OQ23" s="113"/>
      <c r="OR23" s="113"/>
      <c r="OS23" s="113"/>
      <c r="OT23" s="113"/>
      <c r="OU23" s="113"/>
      <c r="OV23" s="113"/>
      <c r="OW23" s="113"/>
      <c r="OX23" s="113"/>
      <c r="OY23" s="113"/>
      <c r="OZ23" s="113"/>
      <c r="PA23" s="113"/>
      <c r="PB23" s="113"/>
      <c r="PC23" s="113"/>
      <c r="PD23" s="113"/>
      <c r="PE23" s="113"/>
      <c r="PF23" s="113"/>
      <c r="PG23" s="113"/>
      <c r="PH23" s="113"/>
      <c r="PI23" s="113"/>
      <c r="PJ23" s="113"/>
      <c r="PK23" s="113"/>
      <c r="PL23" s="113"/>
      <c r="PM23" s="113"/>
      <c r="PN23" s="113"/>
      <c r="PO23" s="113"/>
      <c r="PP23" s="113"/>
      <c r="PQ23" s="113"/>
      <c r="PR23" s="113"/>
      <c r="PS23" s="113"/>
      <c r="PT23" s="113"/>
      <c r="PU23" s="113"/>
      <c r="PV23" s="113"/>
      <c r="PW23" s="113"/>
      <c r="PX23" s="113"/>
      <c r="PY23" s="113"/>
      <c r="PZ23" s="113"/>
      <c r="QA23" s="113"/>
      <c r="QB23" s="113"/>
      <c r="QC23" s="113"/>
      <c r="QD23" s="113"/>
      <c r="QE23" s="113"/>
      <c r="QF23" s="113"/>
      <c r="QG23" s="113"/>
      <c r="QH23" s="113"/>
      <c r="QI23" s="113"/>
      <c r="QJ23" s="113"/>
      <c r="QK23" s="113"/>
      <c r="QL23" s="113"/>
      <c r="QM23" s="113"/>
      <c r="QN23" s="113"/>
      <c r="QO23" s="113"/>
      <c r="QP23" s="113"/>
      <c r="QQ23" s="113"/>
      <c r="QR23" s="113"/>
      <c r="QS23" s="113"/>
      <c r="QT23" s="113"/>
      <c r="QU23" s="113"/>
      <c r="QV23" s="113"/>
      <c r="QW23" s="113"/>
      <c r="QX23" s="113"/>
      <c r="QY23" s="113"/>
      <c r="QZ23" s="113"/>
      <c r="RA23" s="113"/>
      <c r="RB23" s="113"/>
      <c r="RC23" s="113"/>
      <c r="RD23" s="113"/>
      <c r="RE23" s="113"/>
      <c r="RF23" s="113"/>
      <c r="RG23" s="113"/>
      <c r="RH23" s="113"/>
      <c r="RI23" s="113"/>
      <c r="RJ23" s="113"/>
      <c r="RK23" s="113"/>
      <c r="RL23" s="113"/>
      <c r="RM23" s="113"/>
      <c r="RN23" s="113"/>
      <c r="RO23" s="113"/>
      <c r="RP23" s="113"/>
      <c r="RQ23" s="113"/>
      <c r="RR23" s="113"/>
      <c r="RS23" s="113"/>
      <c r="RT23" s="113"/>
      <c r="RU23" s="113"/>
      <c r="RV23" s="113"/>
      <c r="RW23" s="113"/>
      <c r="RX23" s="113"/>
      <c r="RY23" s="113"/>
      <c r="RZ23" s="113"/>
      <c r="SA23" s="113"/>
      <c r="SB23" s="113"/>
      <c r="SC23" s="113"/>
      <c r="SD23" s="113"/>
      <c r="SE23" s="113"/>
      <c r="SF23" s="113"/>
      <c r="SG23" s="113"/>
      <c r="SH23" s="113"/>
      <c r="SI23" s="113"/>
      <c r="SJ23" s="113"/>
      <c r="SK23" s="113"/>
      <c r="SL23" s="113"/>
      <c r="SM23" s="113"/>
      <c r="SN23" s="113"/>
      <c r="SO23" s="113"/>
      <c r="SP23" s="113"/>
      <c r="SQ23" s="113"/>
      <c r="SR23" s="113"/>
      <c r="SS23" s="113"/>
      <c r="ST23" s="113"/>
      <c r="SU23" s="113"/>
      <c r="SV23" s="113"/>
      <c r="SW23" s="113"/>
      <c r="SX23" s="113"/>
      <c r="SY23" s="113"/>
      <c r="SZ23" s="113"/>
      <c r="TA23" s="113"/>
      <c r="TB23" s="113"/>
      <c r="TC23" s="113"/>
      <c r="TD23" s="113"/>
      <c r="TE23" s="113"/>
      <c r="TF23" s="113"/>
      <c r="TG23" s="113"/>
      <c r="TH23" s="113"/>
      <c r="TI23" s="113"/>
      <c r="TJ23" s="113"/>
      <c r="TK23" s="113"/>
      <c r="TL23" s="113"/>
      <c r="TM23" s="113"/>
      <c r="TN23" s="113"/>
      <c r="TO23" s="113"/>
      <c r="TP23" s="113"/>
      <c r="TQ23" s="113"/>
      <c r="TR23" s="113"/>
      <c r="TS23" s="113"/>
      <c r="TT23" s="113"/>
      <c r="TU23" s="113"/>
      <c r="TV23" s="113"/>
      <c r="TW23" s="113"/>
      <c r="TX23" s="113"/>
      <c r="TY23" s="113"/>
      <c r="TZ23" s="113"/>
      <c r="UA23" s="113"/>
      <c r="UB23" s="113"/>
      <c r="UC23" s="113"/>
      <c r="UD23" s="113"/>
      <c r="UE23" s="113"/>
      <c r="UF23" s="113"/>
      <c r="UG23" s="113"/>
      <c r="UH23" s="113"/>
      <c r="UI23" s="113"/>
      <c r="UJ23" s="113"/>
      <c r="UK23" s="113"/>
      <c r="UL23" s="113"/>
      <c r="UM23" s="113"/>
      <c r="UN23" s="113"/>
      <c r="UO23" s="113"/>
      <c r="UP23" s="113"/>
      <c r="UQ23" s="113"/>
      <c r="UR23" s="113"/>
      <c r="US23" s="113"/>
      <c r="UT23" s="113"/>
      <c r="UU23" s="113"/>
      <c r="UV23" s="113"/>
      <c r="UW23" s="113"/>
      <c r="UX23" s="113"/>
      <c r="UY23" s="113"/>
      <c r="UZ23" s="113"/>
      <c r="VA23" s="113"/>
      <c r="VB23" s="113"/>
      <c r="VC23" s="113"/>
      <c r="VD23" s="113"/>
      <c r="VE23" s="113"/>
      <c r="VF23" s="113"/>
      <c r="VG23" s="113"/>
      <c r="VH23" s="113"/>
      <c r="VI23" s="113"/>
      <c r="VJ23" s="113"/>
      <c r="VK23" s="113"/>
      <c r="VL23" s="113"/>
      <c r="VM23" s="113"/>
      <c r="VN23" s="113"/>
      <c r="VO23" s="113"/>
      <c r="VP23" s="113"/>
      <c r="VQ23" s="113"/>
      <c r="VR23" s="113"/>
      <c r="VS23" s="113"/>
      <c r="VT23" s="113"/>
      <c r="VU23" s="113"/>
      <c r="VV23" s="113"/>
      <c r="VW23" s="113"/>
      <c r="VX23" s="113"/>
      <c r="VY23" s="113"/>
      <c r="VZ23" s="113"/>
      <c r="WA23" s="113"/>
      <c r="WB23" s="113"/>
      <c r="WC23" s="113"/>
      <c r="WD23" s="113"/>
      <c r="WE23" s="113"/>
      <c r="WF23" s="113"/>
      <c r="WG23" s="113"/>
      <c r="WH23" s="113"/>
      <c r="WI23" s="113"/>
      <c r="WJ23" s="113"/>
      <c r="WK23" s="113"/>
      <c r="WL23" s="113"/>
      <c r="WM23" s="113"/>
      <c r="WN23" s="113"/>
      <c r="WO23" s="113"/>
      <c r="WP23" s="113"/>
      <c r="WQ23" s="113"/>
      <c r="WR23" s="113"/>
      <c r="WS23" s="113"/>
      <c r="WT23" s="113"/>
      <c r="WU23" s="113"/>
      <c r="WV23" s="113"/>
      <c r="WW23" s="113"/>
      <c r="WX23" s="113"/>
      <c r="WY23" s="113"/>
      <c r="WZ23" s="113"/>
      <c r="XA23" s="113"/>
      <c r="XB23" s="113"/>
      <c r="XC23" s="113"/>
      <c r="XD23" s="113"/>
      <c r="XE23" s="113"/>
      <c r="XF23" s="113"/>
      <c r="XG23" s="113"/>
      <c r="XH23" s="113"/>
      <c r="XI23" s="113"/>
      <c r="XJ23" s="113"/>
      <c r="XK23" s="113"/>
      <c r="XL23" s="113"/>
      <c r="XM23" s="113"/>
      <c r="XN23" s="113"/>
      <c r="XO23" s="113"/>
      <c r="XP23" s="113"/>
      <c r="XQ23" s="113"/>
      <c r="XR23" s="113"/>
      <c r="XS23" s="113"/>
      <c r="XT23" s="113"/>
      <c r="XU23" s="113"/>
      <c r="XV23" s="113"/>
      <c r="XW23" s="113"/>
      <c r="XX23" s="113"/>
      <c r="XY23" s="113"/>
      <c r="XZ23" s="113"/>
      <c r="YA23" s="113"/>
      <c r="YB23" s="113"/>
      <c r="YC23" s="113"/>
      <c r="YD23" s="113"/>
      <c r="YE23" s="113"/>
      <c r="YF23" s="113"/>
      <c r="YG23" s="113"/>
      <c r="YH23" s="113"/>
      <c r="YI23" s="113"/>
      <c r="YJ23" s="113"/>
      <c r="YK23" s="113"/>
      <c r="YL23" s="113"/>
      <c r="YM23" s="113"/>
      <c r="YN23" s="113"/>
      <c r="YO23" s="113"/>
      <c r="YP23" s="113"/>
      <c r="YQ23" s="113"/>
      <c r="YR23" s="113"/>
      <c r="YS23" s="113"/>
      <c r="YT23" s="113"/>
      <c r="YU23" s="113"/>
      <c r="YV23" s="113"/>
      <c r="YW23" s="113"/>
      <c r="YX23" s="113"/>
      <c r="YY23" s="113"/>
      <c r="YZ23" s="113"/>
      <c r="ZA23" s="113"/>
      <c r="ZB23" s="113"/>
      <c r="ZC23" s="113"/>
      <c r="ZD23" s="113"/>
      <c r="ZE23" s="113"/>
    </row>
    <row r="24" ht="17.25" customHeight="1">
      <c r="A24" s="13" t="s">
        <v>1248</v>
      </c>
      <c r="B24" s="81" t="s">
        <v>1447</v>
      </c>
      <c r="H24" s="83"/>
      <c r="I24" s="86" t="s">
        <v>1448</v>
      </c>
      <c r="O24" s="83"/>
      <c r="P24" s="86" t="s">
        <v>1449</v>
      </c>
      <c r="V24" s="83"/>
      <c r="W24" s="86" t="s">
        <v>1450</v>
      </c>
      <c r="AC24" s="83"/>
      <c r="AD24" s="86" t="s">
        <v>1451</v>
      </c>
      <c r="AJ24" s="83"/>
      <c r="AK24" s="86" t="s">
        <v>1455</v>
      </c>
      <c r="AQ24" s="83"/>
      <c r="AR24" s="86" t="s">
        <v>1457</v>
      </c>
      <c r="AX24" s="83"/>
      <c r="AY24" s="86" t="s">
        <v>1459</v>
      </c>
      <c r="BE24" s="83"/>
      <c r="BF24" s="86" t="s">
        <v>1459</v>
      </c>
      <c r="BL24" s="83"/>
      <c r="BM24" s="86" t="s">
        <v>1459</v>
      </c>
      <c r="BS24" s="83"/>
      <c r="BT24" s="86" t="s">
        <v>1463</v>
      </c>
      <c r="BZ24" s="83"/>
      <c r="CA24" s="86" t="s">
        <v>1463</v>
      </c>
      <c r="CG24" s="83"/>
      <c r="CH24" s="86" t="s">
        <v>1465</v>
      </c>
      <c r="CO24" s="86" t="s">
        <v>1467</v>
      </c>
      <c r="CV24" s="86" t="s">
        <v>1467</v>
      </c>
      <c r="DB24" s="83"/>
      <c r="DC24" s="86" t="s">
        <v>390</v>
      </c>
      <c r="DI24" s="83"/>
      <c r="DJ24" s="86" t="s">
        <v>1471</v>
      </c>
      <c r="DQ24" s="86" t="s">
        <v>398</v>
      </c>
      <c r="DX24" s="86" t="s">
        <v>398</v>
      </c>
      <c r="EE24" s="86" t="s">
        <v>1473</v>
      </c>
      <c r="EL24" s="86" t="s">
        <v>1473</v>
      </c>
      <c r="ES24" s="86" t="s">
        <v>1473</v>
      </c>
      <c r="EZ24" s="86" t="s">
        <v>1475</v>
      </c>
      <c r="FG24" s="86" t="s">
        <v>1476</v>
      </c>
      <c r="FM24" s="83"/>
      <c r="FN24" s="86" t="s">
        <v>1477</v>
      </c>
      <c r="FU24" s="86" t="s">
        <v>1207</v>
      </c>
      <c r="GB24" s="86" t="s">
        <v>1480</v>
      </c>
      <c r="GI24" s="86" t="s">
        <v>1480</v>
      </c>
      <c r="GO24" s="83"/>
      <c r="GP24" s="356" t="s">
        <v>1481</v>
      </c>
      <c r="GQ24" s="10"/>
      <c r="GR24" s="10"/>
      <c r="GS24" s="10"/>
      <c r="GT24" s="10"/>
      <c r="GU24" s="10"/>
      <c r="GV24" s="121"/>
      <c r="GW24" s="86" t="s">
        <v>1347</v>
      </c>
      <c r="HD24" s="86" t="s">
        <v>1347</v>
      </c>
      <c r="HJ24" s="83"/>
      <c r="HK24" s="86" t="s">
        <v>994</v>
      </c>
      <c r="HR24" s="86" t="s">
        <v>1486</v>
      </c>
      <c r="HY24" s="86" t="s">
        <v>1488</v>
      </c>
      <c r="IF24" s="86" t="s">
        <v>1207</v>
      </c>
      <c r="IM24" s="86" t="s">
        <v>414</v>
      </c>
      <c r="IT24" s="86" t="s">
        <v>414</v>
      </c>
      <c r="JA24" s="86" t="s">
        <v>1491</v>
      </c>
      <c r="JH24" s="86" t="s">
        <v>1492</v>
      </c>
      <c r="JN24" s="83"/>
      <c r="JO24" s="86" t="s">
        <v>1493</v>
      </c>
      <c r="JV24" s="86" t="s">
        <v>1491</v>
      </c>
      <c r="KC24" s="86" t="s">
        <v>1491</v>
      </c>
      <c r="KI24" s="83"/>
      <c r="KJ24" s="86" t="s">
        <v>1498</v>
      </c>
      <c r="KP24" s="83"/>
      <c r="KQ24" s="86" t="s">
        <v>1500</v>
      </c>
      <c r="KX24" s="86" t="s">
        <v>1500</v>
      </c>
      <c r="LE24" s="86" t="s">
        <v>1501</v>
      </c>
      <c r="LL24" s="86" t="s">
        <v>1502</v>
      </c>
      <c r="LS24" s="86" t="s">
        <v>1505</v>
      </c>
      <c r="LZ24" s="86" t="s">
        <v>1506</v>
      </c>
      <c r="MG24" s="86" t="s">
        <v>1507</v>
      </c>
      <c r="MN24" s="86" t="s">
        <v>323</v>
      </c>
      <c r="MU24" s="86" t="s">
        <v>1509</v>
      </c>
      <c r="NB24" s="337"/>
      <c r="NC24" s="113"/>
      <c r="ND24" s="113"/>
      <c r="NE24" s="113"/>
      <c r="NF24" s="113"/>
      <c r="NG24" s="113"/>
      <c r="NH24" s="113"/>
      <c r="NI24" s="113"/>
      <c r="NJ24" s="113"/>
      <c r="NK24" s="113"/>
      <c r="NL24" s="113"/>
      <c r="NM24" s="113"/>
      <c r="NN24" s="113"/>
      <c r="NO24" s="113"/>
      <c r="NP24" s="113"/>
      <c r="NQ24" s="113"/>
      <c r="NR24" s="113"/>
      <c r="NS24" s="113"/>
      <c r="NT24" s="113"/>
      <c r="NU24" s="113"/>
      <c r="NV24" s="113"/>
      <c r="NW24" s="113"/>
      <c r="NX24" s="113"/>
      <c r="NY24" s="113"/>
      <c r="NZ24" s="113"/>
      <c r="OA24" s="113"/>
      <c r="OB24" s="113"/>
      <c r="OC24" s="113"/>
      <c r="OD24" s="113"/>
      <c r="OE24" s="113"/>
      <c r="OF24" s="113"/>
      <c r="OG24" s="113"/>
      <c r="OH24" s="113"/>
      <c r="OI24" s="113"/>
      <c r="OJ24" s="113"/>
      <c r="OK24" s="113"/>
      <c r="OL24" s="113"/>
      <c r="OM24" s="113"/>
      <c r="ON24" s="113"/>
      <c r="OO24" s="113"/>
      <c r="OP24" s="113"/>
      <c r="OQ24" s="113"/>
      <c r="OR24" s="113"/>
      <c r="OS24" s="113"/>
      <c r="OT24" s="113"/>
      <c r="OU24" s="113"/>
      <c r="OV24" s="113"/>
      <c r="OW24" s="113"/>
      <c r="OX24" s="113"/>
      <c r="OY24" s="113"/>
      <c r="OZ24" s="113"/>
      <c r="PA24" s="113"/>
      <c r="PB24" s="113"/>
      <c r="PC24" s="113"/>
      <c r="PD24" s="113"/>
      <c r="PE24" s="113"/>
      <c r="PF24" s="113"/>
      <c r="PG24" s="113"/>
      <c r="PH24" s="113"/>
      <c r="PI24" s="113"/>
      <c r="PJ24" s="113"/>
      <c r="PK24" s="113"/>
      <c r="PL24" s="113"/>
      <c r="PM24" s="113"/>
      <c r="PN24" s="113"/>
      <c r="PO24" s="113"/>
      <c r="PP24" s="113"/>
      <c r="PQ24" s="113"/>
      <c r="PR24" s="113"/>
      <c r="PS24" s="113"/>
      <c r="PT24" s="113"/>
      <c r="PU24" s="113"/>
      <c r="PV24" s="113"/>
      <c r="PW24" s="113"/>
      <c r="PX24" s="113"/>
      <c r="PY24" s="113"/>
      <c r="PZ24" s="113"/>
      <c r="QA24" s="113"/>
      <c r="QB24" s="113"/>
      <c r="QC24" s="113"/>
      <c r="QD24" s="113"/>
      <c r="QE24" s="113"/>
      <c r="QF24" s="113"/>
      <c r="QG24" s="113"/>
      <c r="QH24" s="113"/>
      <c r="QI24" s="113"/>
      <c r="QJ24" s="113"/>
      <c r="QK24" s="113"/>
      <c r="QL24" s="113"/>
      <c r="QM24" s="113"/>
      <c r="QN24" s="113"/>
      <c r="QO24" s="113"/>
      <c r="QP24" s="113"/>
      <c r="QQ24" s="113"/>
      <c r="QR24" s="113"/>
      <c r="QS24" s="113"/>
      <c r="QT24" s="113"/>
      <c r="QU24" s="113"/>
      <c r="QV24" s="113"/>
      <c r="QW24" s="113"/>
      <c r="QX24" s="113"/>
      <c r="QY24" s="113"/>
      <c r="QZ24" s="113"/>
      <c r="RA24" s="113"/>
      <c r="RB24" s="113"/>
      <c r="RC24" s="113"/>
      <c r="RD24" s="113"/>
      <c r="RE24" s="113"/>
      <c r="RF24" s="113"/>
      <c r="RG24" s="113"/>
      <c r="RH24" s="113"/>
      <c r="RI24" s="113"/>
      <c r="RJ24" s="113"/>
      <c r="RK24" s="113"/>
      <c r="RL24" s="113"/>
      <c r="RM24" s="113"/>
      <c r="RN24" s="113"/>
      <c r="RO24" s="113"/>
      <c r="RP24" s="113"/>
      <c r="RQ24" s="113"/>
      <c r="RR24" s="113"/>
      <c r="RS24" s="113"/>
      <c r="RT24" s="113"/>
      <c r="RU24" s="113"/>
      <c r="RV24" s="113"/>
      <c r="RW24" s="113"/>
      <c r="RX24" s="113"/>
      <c r="RY24" s="113"/>
      <c r="RZ24" s="113"/>
      <c r="SA24" s="113"/>
      <c r="SB24" s="113"/>
      <c r="SC24" s="113"/>
      <c r="SD24" s="113"/>
      <c r="SE24" s="113"/>
      <c r="SF24" s="113"/>
      <c r="SG24" s="113"/>
      <c r="SH24" s="113"/>
      <c r="SI24" s="113"/>
      <c r="SJ24" s="113"/>
      <c r="SK24" s="113"/>
      <c r="SL24" s="113"/>
      <c r="SM24" s="113"/>
      <c r="SN24" s="113"/>
      <c r="SO24" s="113"/>
      <c r="SP24" s="113"/>
      <c r="SQ24" s="113"/>
      <c r="SR24" s="113"/>
      <c r="SS24" s="113"/>
      <c r="ST24" s="113"/>
      <c r="SU24" s="113"/>
      <c r="SV24" s="113"/>
      <c r="SW24" s="113"/>
      <c r="SX24" s="113"/>
      <c r="SY24" s="113"/>
      <c r="SZ24" s="113"/>
      <c r="TA24" s="113"/>
      <c r="TB24" s="113"/>
      <c r="TC24" s="113"/>
      <c r="TD24" s="113"/>
      <c r="TE24" s="113"/>
      <c r="TF24" s="113"/>
      <c r="TG24" s="113"/>
      <c r="TH24" s="113"/>
      <c r="TI24" s="113"/>
      <c r="TJ24" s="113"/>
      <c r="TK24" s="113"/>
      <c r="TL24" s="113"/>
      <c r="TM24" s="113"/>
      <c r="TN24" s="113"/>
      <c r="TO24" s="113"/>
      <c r="TP24" s="113"/>
      <c r="TQ24" s="113"/>
      <c r="TR24" s="113"/>
      <c r="TS24" s="113"/>
      <c r="TT24" s="113"/>
      <c r="TU24" s="113"/>
      <c r="TV24" s="113"/>
      <c r="TW24" s="113"/>
      <c r="TX24" s="113"/>
      <c r="TY24" s="113"/>
      <c r="TZ24" s="113"/>
      <c r="UA24" s="113"/>
      <c r="UB24" s="113"/>
      <c r="UC24" s="113"/>
      <c r="UD24" s="113"/>
      <c r="UE24" s="113"/>
      <c r="UF24" s="113"/>
      <c r="UG24" s="113"/>
      <c r="UH24" s="113"/>
      <c r="UI24" s="113"/>
      <c r="UJ24" s="113"/>
      <c r="UK24" s="113"/>
      <c r="UL24" s="113"/>
      <c r="UM24" s="113"/>
      <c r="UN24" s="113"/>
      <c r="UO24" s="113"/>
      <c r="UP24" s="113"/>
      <c r="UQ24" s="113"/>
      <c r="UR24" s="113"/>
      <c r="US24" s="113"/>
      <c r="UT24" s="113"/>
      <c r="UU24" s="113"/>
      <c r="UV24" s="113"/>
      <c r="UW24" s="113"/>
      <c r="UX24" s="113"/>
      <c r="UY24" s="113"/>
      <c r="UZ24" s="113"/>
      <c r="VA24" s="113"/>
      <c r="VB24" s="113"/>
      <c r="VC24" s="113"/>
      <c r="VD24" s="113"/>
      <c r="VE24" s="113"/>
      <c r="VF24" s="113"/>
      <c r="VG24" s="113"/>
      <c r="VH24" s="113"/>
      <c r="VI24" s="113"/>
      <c r="VJ24" s="113"/>
      <c r="VK24" s="113"/>
      <c r="VL24" s="113"/>
      <c r="VM24" s="113"/>
      <c r="VN24" s="113"/>
      <c r="VO24" s="113"/>
      <c r="VP24" s="113"/>
      <c r="VQ24" s="113"/>
      <c r="VR24" s="113"/>
      <c r="VS24" s="113"/>
      <c r="VT24" s="113"/>
      <c r="VU24" s="113"/>
      <c r="VV24" s="113"/>
      <c r="VW24" s="113"/>
      <c r="VX24" s="113"/>
      <c r="VY24" s="113"/>
      <c r="VZ24" s="113"/>
      <c r="WA24" s="113"/>
      <c r="WB24" s="113"/>
      <c r="WC24" s="113"/>
      <c r="WD24" s="113"/>
      <c r="WE24" s="113"/>
      <c r="WF24" s="113"/>
      <c r="WG24" s="113"/>
      <c r="WH24" s="113"/>
      <c r="WI24" s="113"/>
      <c r="WJ24" s="113"/>
      <c r="WK24" s="113"/>
      <c r="WL24" s="113"/>
      <c r="WM24" s="113"/>
      <c r="WN24" s="113"/>
      <c r="WO24" s="113"/>
      <c r="WP24" s="113"/>
      <c r="WQ24" s="113"/>
      <c r="WR24" s="113"/>
      <c r="WS24" s="113"/>
      <c r="WT24" s="113"/>
      <c r="WU24" s="113"/>
      <c r="WV24" s="113"/>
      <c r="WW24" s="113"/>
      <c r="WX24" s="113"/>
      <c r="WY24" s="113"/>
      <c r="WZ24" s="113"/>
      <c r="XA24" s="113"/>
      <c r="XB24" s="113"/>
      <c r="XC24" s="113"/>
      <c r="XD24" s="113"/>
      <c r="XE24" s="113"/>
      <c r="XF24" s="113"/>
      <c r="XG24" s="113"/>
      <c r="XH24" s="113"/>
      <c r="XI24" s="113"/>
      <c r="XJ24" s="113"/>
      <c r="XK24" s="113"/>
      <c r="XL24" s="113"/>
      <c r="XM24" s="113"/>
      <c r="XN24" s="113"/>
      <c r="XO24" s="113"/>
      <c r="XP24" s="113"/>
      <c r="XQ24" s="113"/>
      <c r="XR24" s="113"/>
      <c r="XS24" s="113"/>
      <c r="XT24" s="113"/>
      <c r="XU24" s="113"/>
      <c r="XV24" s="113"/>
      <c r="XW24" s="113"/>
      <c r="XX24" s="113"/>
      <c r="XY24" s="113"/>
      <c r="XZ24" s="113"/>
      <c r="YA24" s="113"/>
      <c r="YB24" s="113"/>
      <c r="YC24" s="113"/>
      <c r="YD24" s="113"/>
      <c r="YE24" s="113"/>
      <c r="YF24" s="113"/>
      <c r="YG24" s="113"/>
      <c r="YH24" s="113"/>
      <c r="YI24" s="113"/>
      <c r="YJ24" s="113"/>
      <c r="YK24" s="113"/>
      <c r="YL24" s="113"/>
      <c r="YM24" s="113"/>
      <c r="YN24" s="113"/>
      <c r="YO24" s="113"/>
      <c r="YP24" s="113"/>
      <c r="YQ24" s="113"/>
      <c r="YR24" s="113"/>
      <c r="YS24" s="113"/>
      <c r="YT24" s="113"/>
      <c r="YU24" s="113"/>
      <c r="YV24" s="113"/>
      <c r="YW24" s="113"/>
      <c r="YX24" s="113"/>
      <c r="YY24" s="113"/>
      <c r="YZ24" s="113"/>
      <c r="ZA24" s="113"/>
      <c r="ZB24" s="113"/>
      <c r="ZC24" s="113"/>
      <c r="ZD24" s="113"/>
      <c r="ZE24" s="113"/>
    </row>
    <row r="25">
      <c r="A25" s="13" t="s">
        <v>343</v>
      </c>
      <c r="B25" s="81" t="s">
        <v>1526</v>
      </c>
      <c r="I25" s="86"/>
      <c r="P25" s="86" t="s">
        <v>1527</v>
      </c>
      <c r="W25" s="86" t="s">
        <v>1528</v>
      </c>
      <c r="AD25" s="86" t="s">
        <v>1530</v>
      </c>
      <c r="AK25" s="86" t="s">
        <v>189</v>
      </c>
      <c r="AR25" s="86" t="s">
        <v>1531</v>
      </c>
      <c r="AY25" s="86" t="s">
        <v>1532</v>
      </c>
      <c r="BF25" s="86" t="s">
        <v>1533</v>
      </c>
      <c r="BM25" s="86" t="s">
        <v>1534</v>
      </c>
      <c r="BT25" s="86" t="s">
        <v>1535</v>
      </c>
      <c r="CA25" s="86" t="s">
        <v>1535</v>
      </c>
      <c r="CH25" s="86" t="s">
        <v>1536</v>
      </c>
      <c r="CO25" s="359" t="s">
        <v>1032</v>
      </c>
      <c r="CU25" s="83"/>
      <c r="CV25" s="359" t="s">
        <v>1539</v>
      </c>
      <c r="DB25" s="83"/>
      <c r="DC25" s="86" t="s">
        <v>1540</v>
      </c>
      <c r="DI25" s="83"/>
      <c r="DJ25" s="86" t="s">
        <v>1540</v>
      </c>
      <c r="DQ25" s="86" t="s">
        <v>398</v>
      </c>
      <c r="DX25" s="86" t="s">
        <v>398</v>
      </c>
      <c r="EE25" s="86" t="s">
        <v>1543</v>
      </c>
      <c r="EK25" s="83"/>
      <c r="EL25" s="86" t="s">
        <v>1544</v>
      </c>
      <c r="ES25" s="86" t="s">
        <v>1544</v>
      </c>
      <c r="EZ25" s="86" t="s">
        <v>679</v>
      </c>
      <c r="FG25" s="86" t="s">
        <v>679</v>
      </c>
      <c r="FM25" s="83"/>
      <c r="FN25" s="86" t="s">
        <v>1032</v>
      </c>
      <c r="FU25" s="86" t="s">
        <v>1032</v>
      </c>
      <c r="GB25" s="86" t="s">
        <v>1545</v>
      </c>
      <c r="GI25" s="86" t="s">
        <v>1048</v>
      </c>
      <c r="GO25" s="83"/>
      <c r="GP25" s="86" t="s">
        <v>1546</v>
      </c>
      <c r="GV25" s="83"/>
      <c r="GW25" s="86" t="s">
        <v>1547</v>
      </c>
      <c r="HD25" s="86" t="s">
        <v>1548</v>
      </c>
      <c r="HJ25" s="83"/>
      <c r="HK25" s="86" t="s">
        <v>1549</v>
      </c>
      <c r="HR25" s="86" t="s">
        <v>1550</v>
      </c>
      <c r="HY25" s="86" t="s">
        <v>1551</v>
      </c>
      <c r="IE25" s="83"/>
      <c r="IF25" s="86" t="s">
        <v>1552</v>
      </c>
      <c r="IM25" s="86" t="s">
        <v>1553</v>
      </c>
      <c r="IT25" s="86" t="s">
        <v>1554</v>
      </c>
      <c r="JA25" s="86" t="s">
        <v>1554</v>
      </c>
      <c r="JH25" s="86" t="s">
        <v>1492</v>
      </c>
      <c r="JN25" s="83"/>
      <c r="JO25" s="360" t="s">
        <v>1557</v>
      </c>
      <c r="JV25" s="86" t="s">
        <v>1169</v>
      </c>
      <c r="KC25" s="86" t="s">
        <v>1561</v>
      </c>
      <c r="KI25" s="83"/>
      <c r="KJ25" s="86" t="s">
        <v>1562</v>
      </c>
      <c r="KP25" s="83"/>
      <c r="KQ25" s="86" t="s">
        <v>1564</v>
      </c>
      <c r="KX25" s="86" t="s">
        <v>1564</v>
      </c>
      <c r="LE25" s="86" t="s">
        <v>1565</v>
      </c>
      <c r="LL25" s="86" t="s">
        <v>1502</v>
      </c>
      <c r="LS25" s="86" t="s">
        <v>1566</v>
      </c>
      <c r="LZ25" s="86" t="s">
        <v>1566</v>
      </c>
      <c r="MG25" s="86" t="s">
        <v>1567</v>
      </c>
      <c r="MN25" s="86" t="s">
        <v>323</v>
      </c>
      <c r="MU25" s="86" t="s">
        <v>1509</v>
      </c>
      <c r="NB25" s="337"/>
      <c r="NC25" s="113"/>
      <c r="ND25" s="113"/>
      <c r="NE25" s="113"/>
      <c r="NF25" s="113"/>
      <c r="NG25" s="113"/>
      <c r="NH25" s="113"/>
      <c r="NI25" s="113"/>
      <c r="NJ25" s="113"/>
      <c r="NK25" s="113"/>
      <c r="NL25" s="113"/>
      <c r="NM25" s="113"/>
      <c r="NN25" s="113"/>
      <c r="NO25" s="113"/>
      <c r="NP25" s="113"/>
      <c r="NQ25" s="113"/>
      <c r="NR25" s="113"/>
      <c r="NS25" s="113"/>
      <c r="NT25" s="113"/>
      <c r="NU25" s="113"/>
      <c r="NV25" s="113"/>
      <c r="NW25" s="113"/>
      <c r="NX25" s="113"/>
      <c r="NY25" s="113"/>
      <c r="NZ25" s="113"/>
      <c r="OA25" s="113"/>
      <c r="OB25" s="113"/>
      <c r="OC25" s="113"/>
      <c r="OD25" s="113"/>
      <c r="OE25" s="113"/>
      <c r="OF25" s="113"/>
      <c r="OG25" s="113"/>
      <c r="OH25" s="113"/>
      <c r="OI25" s="113"/>
      <c r="OJ25" s="113"/>
      <c r="OK25" s="113"/>
      <c r="OL25" s="113"/>
      <c r="OM25" s="113"/>
      <c r="ON25" s="113"/>
      <c r="OO25" s="113"/>
      <c r="OP25" s="113"/>
      <c r="OQ25" s="113"/>
      <c r="OR25" s="113"/>
      <c r="OS25" s="113"/>
      <c r="OT25" s="113"/>
      <c r="OU25" s="113"/>
      <c r="OV25" s="113"/>
      <c r="OW25" s="113"/>
      <c r="OX25" s="113"/>
      <c r="OY25" s="113"/>
      <c r="OZ25" s="113"/>
      <c r="PA25" s="113"/>
      <c r="PB25" s="113"/>
      <c r="PC25" s="113"/>
      <c r="PD25" s="113"/>
      <c r="PE25" s="113"/>
      <c r="PF25" s="113"/>
      <c r="PG25" s="113"/>
      <c r="PH25" s="113"/>
      <c r="PI25" s="113"/>
      <c r="PJ25" s="113"/>
      <c r="PK25" s="113"/>
      <c r="PL25" s="113"/>
      <c r="PM25" s="113"/>
      <c r="PN25" s="113"/>
      <c r="PO25" s="113"/>
      <c r="PP25" s="113"/>
      <c r="PQ25" s="113"/>
      <c r="PR25" s="113"/>
      <c r="PS25" s="113"/>
      <c r="PT25" s="113"/>
      <c r="PU25" s="113"/>
      <c r="PV25" s="113"/>
      <c r="PW25" s="113"/>
      <c r="PX25" s="113"/>
      <c r="PY25" s="113"/>
      <c r="PZ25" s="113"/>
      <c r="QA25" s="113"/>
      <c r="QB25" s="113"/>
      <c r="QC25" s="113"/>
      <c r="QD25" s="113"/>
      <c r="QE25" s="113"/>
      <c r="QF25" s="113"/>
      <c r="QG25" s="113"/>
      <c r="QH25" s="113"/>
      <c r="QI25" s="113"/>
      <c r="QJ25" s="113"/>
      <c r="QK25" s="113"/>
      <c r="QL25" s="113"/>
      <c r="QM25" s="113"/>
      <c r="QN25" s="113"/>
      <c r="QO25" s="113"/>
      <c r="QP25" s="113"/>
      <c r="QQ25" s="113"/>
      <c r="QR25" s="113"/>
      <c r="QS25" s="113"/>
      <c r="QT25" s="113"/>
      <c r="QU25" s="113"/>
      <c r="QV25" s="113"/>
      <c r="QW25" s="113"/>
      <c r="QX25" s="113"/>
      <c r="QY25" s="113"/>
      <c r="QZ25" s="113"/>
      <c r="RA25" s="113"/>
      <c r="RB25" s="113"/>
      <c r="RC25" s="113"/>
      <c r="RD25" s="113"/>
      <c r="RE25" s="113"/>
      <c r="RF25" s="113"/>
      <c r="RG25" s="113"/>
      <c r="RH25" s="113"/>
      <c r="RI25" s="113"/>
      <c r="RJ25" s="113"/>
      <c r="RK25" s="113"/>
      <c r="RL25" s="113"/>
      <c r="RM25" s="113"/>
      <c r="RN25" s="113"/>
      <c r="RO25" s="113"/>
      <c r="RP25" s="113"/>
      <c r="RQ25" s="113"/>
      <c r="RR25" s="113"/>
      <c r="RS25" s="113"/>
      <c r="RT25" s="113"/>
      <c r="RU25" s="113"/>
      <c r="RV25" s="113"/>
      <c r="RW25" s="113"/>
      <c r="RX25" s="113"/>
      <c r="RY25" s="113"/>
      <c r="RZ25" s="113"/>
      <c r="SA25" s="113"/>
      <c r="SB25" s="113"/>
      <c r="SC25" s="113"/>
      <c r="SD25" s="113"/>
      <c r="SE25" s="113"/>
      <c r="SF25" s="113"/>
      <c r="SG25" s="113"/>
      <c r="SH25" s="113"/>
      <c r="SI25" s="113"/>
      <c r="SJ25" s="113"/>
      <c r="SK25" s="113"/>
      <c r="SL25" s="113"/>
      <c r="SM25" s="113"/>
      <c r="SN25" s="113"/>
      <c r="SO25" s="113"/>
      <c r="SP25" s="113"/>
      <c r="SQ25" s="113"/>
      <c r="SR25" s="113"/>
      <c r="SS25" s="113"/>
      <c r="ST25" s="113"/>
      <c r="SU25" s="113"/>
      <c r="SV25" s="113"/>
      <c r="SW25" s="113"/>
      <c r="SX25" s="113"/>
      <c r="SY25" s="113"/>
      <c r="SZ25" s="113"/>
      <c r="TA25" s="113"/>
      <c r="TB25" s="113"/>
      <c r="TC25" s="113"/>
      <c r="TD25" s="113"/>
      <c r="TE25" s="113"/>
      <c r="TF25" s="113"/>
      <c r="TG25" s="113"/>
      <c r="TH25" s="113"/>
      <c r="TI25" s="113"/>
      <c r="TJ25" s="113"/>
      <c r="TK25" s="113"/>
      <c r="TL25" s="113"/>
      <c r="TM25" s="113"/>
      <c r="TN25" s="113"/>
      <c r="TO25" s="113"/>
      <c r="TP25" s="113"/>
      <c r="TQ25" s="113"/>
      <c r="TR25" s="113"/>
      <c r="TS25" s="113"/>
      <c r="TT25" s="113"/>
      <c r="TU25" s="113"/>
      <c r="TV25" s="113"/>
      <c r="TW25" s="113"/>
      <c r="TX25" s="113"/>
      <c r="TY25" s="113"/>
      <c r="TZ25" s="113"/>
      <c r="UA25" s="113"/>
      <c r="UB25" s="113"/>
      <c r="UC25" s="113"/>
      <c r="UD25" s="113"/>
      <c r="UE25" s="113"/>
      <c r="UF25" s="113"/>
      <c r="UG25" s="113"/>
      <c r="UH25" s="113"/>
      <c r="UI25" s="113"/>
      <c r="UJ25" s="113"/>
      <c r="UK25" s="113"/>
      <c r="UL25" s="113"/>
      <c r="UM25" s="113"/>
      <c r="UN25" s="113"/>
      <c r="UO25" s="113"/>
      <c r="UP25" s="113"/>
      <c r="UQ25" s="113"/>
      <c r="UR25" s="113"/>
      <c r="US25" s="113"/>
      <c r="UT25" s="113"/>
      <c r="UU25" s="113"/>
      <c r="UV25" s="113"/>
      <c r="UW25" s="113"/>
      <c r="UX25" s="113"/>
      <c r="UY25" s="113"/>
      <c r="UZ25" s="113"/>
      <c r="VA25" s="113"/>
      <c r="VB25" s="113"/>
      <c r="VC25" s="113"/>
      <c r="VD25" s="113"/>
      <c r="VE25" s="113"/>
      <c r="VF25" s="113"/>
      <c r="VG25" s="113"/>
      <c r="VH25" s="113"/>
      <c r="VI25" s="113"/>
      <c r="VJ25" s="113"/>
      <c r="VK25" s="113"/>
      <c r="VL25" s="113"/>
      <c r="VM25" s="113"/>
      <c r="VN25" s="113"/>
      <c r="VO25" s="113"/>
      <c r="VP25" s="113"/>
      <c r="VQ25" s="113"/>
      <c r="VR25" s="113"/>
      <c r="VS25" s="113"/>
      <c r="VT25" s="113"/>
      <c r="VU25" s="113"/>
      <c r="VV25" s="113"/>
      <c r="VW25" s="113"/>
      <c r="VX25" s="113"/>
      <c r="VY25" s="113"/>
      <c r="VZ25" s="113"/>
      <c r="WA25" s="113"/>
      <c r="WB25" s="113"/>
      <c r="WC25" s="113"/>
      <c r="WD25" s="113"/>
      <c r="WE25" s="113"/>
      <c r="WF25" s="113"/>
      <c r="WG25" s="113"/>
      <c r="WH25" s="113"/>
      <c r="WI25" s="113"/>
      <c r="WJ25" s="113"/>
      <c r="WK25" s="113"/>
      <c r="WL25" s="113"/>
      <c r="WM25" s="113"/>
      <c r="WN25" s="113"/>
      <c r="WO25" s="113"/>
      <c r="WP25" s="113"/>
      <c r="WQ25" s="113"/>
      <c r="WR25" s="113"/>
      <c r="WS25" s="113"/>
      <c r="WT25" s="113"/>
      <c r="WU25" s="113"/>
      <c r="WV25" s="113"/>
      <c r="WW25" s="113"/>
      <c r="WX25" s="113"/>
      <c r="WY25" s="113"/>
      <c r="WZ25" s="113"/>
      <c r="XA25" s="113"/>
      <c r="XB25" s="113"/>
      <c r="XC25" s="113"/>
      <c r="XD25" s="113"/>
      <c r="XE25" s="113"/>
      <c r="XF25" s="113"/>
      <c r="XG25" s="113"/>
      <c r="XH25" s="113"/>
      <c r="XI25" s="113"/>
      <c r="XJ25" s="113"/>
      <c r="XK25" s="113"/>
      <c r="XL25" s="113"/>
      <c r="XM25" s="113"/>
      <c r="XN25" s="113"/>
      <c r="XO25" s="113"/>
      <c r="XP25" s="113"/>
      <c r="XQ25" s="113"/>
      <c r="XR25" s="113"/>
      <c r="XS25" s="113"/>
      <c r="XT25" s="113"/>
      <c r="XU25" s="113"/>
      <c r="XV25" s="113"/>
      <c r="XW25" s="113"/>
      <c r="XX25" s="113"/>
      <c r="XY25" s="113"/>
      <c r="XZ25" s="113"/>
      <c r="YA25" s="113"/>
      <c r="YB25" s="113"/>
      <c r="YC25" s="113"/>
      <c r="YD25" s="113"/>
      <c r="YE25" s="113"/>
      <c r="YF25" s="113"/>
      <c r="YG25" s="113"/>
      <c r="YH25" s="113"/>
      <c r="YI25" s="113"/>
      <c r="YJ25" s="113"/>
      <c r="YK25" s="113"/>
      <c r="YL25" s="113"/>
      <c r="YM25" s="113"/>
      <c r="YN25" s="113"/>
      <c r="YO25" s="113"/>
      <c r="YP25" s="113"/>
      <c r="YQ25" s="113"/>
      <c r="YR25" s="113"/>
      <c r="YS25" s="113"/>
      <c r="YT25" s="113"/>
      <c r="YU25" s="113"/>
      <c r="YV25" s="113"/>
      <c r="YW25" s="113"/>
      <c r="YX25" s="113"/>
      <c r="YY25" s="113"/>
      <c r="YZ25" s="113"/>
      <c r="ZA25" s="113"/>
      <c r="ZB25" s="113"/>
      <c r="ZC25" s="113"/>
      <c r="ZD25" s="113"/>
      <c r="ZE25" s="113"/>
    </row>
    <row r="26">
      <c r="A26" s="13" t="s">
        <v>1369</v>
      </c>
      <c r="B26" s="81" t="s">
        <v>1576</v>
      </c>
      <c r="I26" s="86" t="s">
        <v>1577</v>
      </c>
      <c r="P26" s="86" t="s">
        <v>1578</v>
      </c>
      <c r="W26" s="86" t="s">
        <v>1065</v>
      </c>
      <c r="AD26" s="86" t="s">
        <v>1530</v>
      </c>
      <c r="AK26" s="86" t="s">
        <v>189</v>
      </c>
      <c r="AR26" s="86" t="s">
        <v>1582</v>
      </c>
      <c r="AY26" s="86" t="s">
        <v>1070</v>
      </c>
      <c r="BF26" s="86" t="s">
        <v>1071</v>
      </c>
      <c r="BM26" s="86" t="s">
        <v>1584</v>
      </c>
      <c r="BT26" s="86" t="s">
        <v>1073</v>
      </c>
      <c r="CA26" s="86" t="s">
        <v>1074</v>
      </c>
      <c r="CH26" s="86" t="s">
        <v>1587</v>
      </c>
      <c r="CO26" s="86" t="s">
        <v>1589</v>
      </c>
      <c r="CV26" s="86" t="s">
        <v>1589</v>
      </c>
      <c r="DB26" s="83"/>
      <c r="DC26" s="86" t="s">
        <v>1592</v>
      </c>
      <c r="DI26" s="83"/>
      <c r="DJ26" s="86" t="s">
        <v>1592</v>
      </c>
      <c r="DP26" s="83"/>
      <c r="DQ26" s="86" t="s">
        <v>398</v>
      </c>
      <c r="DX26" s="86" t="s">
        <v>398</v>
      </c>
      <c r="EE26" s="86" t="s">
        <v>1595</v>
      </c>
      <c r="EK26" s="83"/>
      <c r="EL26" s="86" t="s">
        <v>1597</v>
      </c>
      <c r="ES26" s="86" t="s">
        <v>1598</v>
      </c>
      <c r="EZ26" s="86" t="s">
        <v>679</v>
      </c>
      <c r="FG26" s="86" t="s">
        <v>679</v>
      </c>
      <c r="FM26" s="83"/>
      <c r="FN26" s="86" t="s">
        <v>1602</v>
      </c>
      <c r="FU26" s="86" t="s">
        <v>1603</v>
      </c>
      <c r="GB26" s="86" t="s">
        <v>1605</v>
      </c>
      <c r="GI26" s="86" t="s">
        <v>1606</v>
      </c>
      <c r="GO26" s="83"/>
      <c r="GP26" s="86" t="s">
        <v>1607</v>
      </c>
      <c r="GV26" s="83"/>
      <c r="GW26" s="86" t="s">
        <v>1609</v>
      </c>
      <c r="HD26" s="86" t="s">
        <v>1603</v>
      </c>
      <c r="HJ26" s="83"/>
      <c r="HK26" s="6" t="s">
        <v>1610</v>
      </c>
      <c r="HL26" s="343"/>
      <c r="HM26" s="343"/>
      <c r="HN26" s="343"/>
      <c r="HO26" s="343"/>
      <c r="HP26" s="343"/>
      <c r="HQ26" s="343"/>
      <c r="HR26" s="86" t="s">
        <v>1611</v>
      </c>
      <c r="HY26" s="86" t="s">
        <v>1613</v>
      </c>
      <c r="IE26" s="83"/>
      <c r="IF26" s="86" t="s">
        <v>414</v>
      </c>
      <c r="IM26" s="86" t="s">
        <v>414</v>
      </c>
      <c r="IT26" s="86" t="s">
        <v>1614</v>
      </c>
      <c r="IZ26" s="83"/>
      <c r="JA26" s="86" t="s">
        <v>1615</v>
      </c>
      <c r="JH26" s="86" t="s">
        <v>1616</v>
      </c>
      <c r="JN26" s="83"/>
      <c r="JO26" s="86" t="s">
        <v>1618</v>
      </c>
      <c r="JU26" s="83"/>
      <c r="JV26" s="86" t="s">
        <v>1618</v>
      </c>
      <c r="KB26" s="83"/>
      <c r="KC26" s="86" t="s">
        <v>1621</v>
      </c>
      <c r="KI26" s="83"/>
      <c r="KJ26" s="86" t="s">
        <v>1621</v>
      </c>
      <c r="KP26" s="83"/>
      <c r="KQ26" s="86" t="s">
        <v>1624</v>
      </c>
      <c r="KW26" s="83"/>
      <c r="KX26" s="86" t="s">
        <v>1624</v>
      </c>
      <c r="LD26" s="83"/>
      <c r="LE26" s="86" t="s">
        <v>1626</v>
      </c>
      <c r="LL26" s="86" t="s">
        <v>1627</v>
      </c>
      <c r="LS26" s="86" t="s">
        <v>1629</v>
      </c>
      <c r="LZ26" s="86" t="s">
        <v>1629</v>
      </c>
      <c r="MG26" s="86" t="s">
        <v>1631</v>
      </c>
      <c r="MN26" s="86" t="s">
        <v>1237</v>
      </c>
      <c r="MU26" s="86" t="s">
        <v>1633</v>
      </c>
      <c r="NB26" s="337"/>
      <c r="NC26" s="113"/>
      <c r="ND26" s="113"/>
      <c r="NE26" s="113"/>
      <c r="NF26" s="113"/>
      <c r="NG26" s="113"/>
      <c r="NH26" s="113"/>
      <c r="NI26" s="113"/>
      <c r="NJ26" s="113"/>
      <c r="NK26" s="113"/>
      <c r="NL26" s="113"/>
      <c r="NM26" s="113"/>
      <c r="NN26" s="113"/>
      <c r="NO26" s="113"/>
      <c r="NP26" s="113"/>
      <c r="NQ26" s="113"/>
      <c r="NR26" s="113"/>
      <c r="NS26" s="113"/>
      <c r="NT26" s="113"/>
      <c r="NU26" s="113"/>
      <c r="NV26" s="113"/>
      <c r="NW26" s="113"/>
      <c r="NX26" s="113"/>
      <c r="NY26" s="113"/>
      <c r="NZ26" s="113"/>
      <c r="OA26" s="113"/>
      <c r="OB26" s="113"/>
      <c r="OC26" s="113"/>
      <c r="OD26" s="113"/>
      <c r="OE26" s="113"/>
      <c r="OF26" s="113"/>
      <c r="OG26" s="113"/>
      <c r="OH26" s="113"/>
      <c r="OI26" s="113"/>
      <c r="OJ26" s="113"/>
      <c r="OK26" s="113"/>
      <c r="OL26" s="113"/>
      <c r="OM26" s="113"/>
      <c r="ON26" s="113"/>
      <c r="OO26" s="113"/>
      <c r="OP26" s="113"/>
      <c r="OQ26" s="113"/>
      <c r="OR26" s="113"/>
      <c r="OS26" s="113"/>
      <c r="OT26" s="113"/>
      <c r="OU26" s="113"/>
      <c r="OV26" s="113"/>
      <c r="OW26" s="113"/>
      <c r="OX26" s="113"/>
      <c r="OY26" s="113"/>
      <c r="OZ26" s="113"/>
      <c r="PA26" s="113"/>
      <c r="PB26" s="113"/>
      <c r="PC26" s="113"/>
      <c r="PD26" s="113"/>
      <c r="PE26" s="113"/>
      <c r="PF26" s="113"/>
      <c r="PG26" s="113"/>
      <c r="PH26" s="113"/>
      <c r="PI26" s="113"/>
      <c r="PJ26" s="113"/>
      <c r="PK26" s="113"/>
      <c r="PL26" s="113"/>
      <c r="PM26" s="113"/>
      <c r="PN26" s="113"/>
      <c r="PO26" s="113"/>
      <c r="PP26" s="113"/>
      <c r="PQ26" s="113"/>
      <c r="PR26" s="113"/>
      <c r="PS26" s="113"/>
      <c r="PT26" s="113"/>
      <c r="PU26" s="113"/>
      <c r="PV26" s="113"/>
      <c r="PW26" s="113"/>
      <c r="PX26" s="113"/>
      <c r="PY26" s="113"/>
      <c r="PZ26" s="113"/>
      <c r="QA26" s="113"/>
      <c r="QB26" s="113"/>
      <c r="QC26" s="113"/>
      <c r="QD26" s="113"/>
      <c r="QE26" s="113"/>
      <c r="QF26" s="113"/>
      <c r="QG26" s="113"/>
      <c r="QH26" s="113"/>
      <c r="QI26" s="113"/>
      <c r="QJ26" s="113"/>
      <c r="QK26" s="113"/>
      <c r="QL26" s="113"/>
      <c r="QM26" s="113"/>
      <c r="QN26" s="113"/>
      <c r="QO26" s="113"/>
      <c r="QP26" s="113"/>
      <c r="QQ26" s="113"/>
      <c r="QR26" s="113"/>
      <c r="QS26" s="113"/>
      <c r="QT26" s="113"/>
      <c r="QU26" s="113"/>
      <c r="QV26" s="113"/>
      <c r="QW26" s="113"/>
      <c r="QX26" s="113"/>
      <c r="QY26" s="113"/>
      <c r="QZ26" s="113"/>
      <c r="RA26" s="113"/>
      <c r="RB26" s="113"/>
      <c r="RC26" s="113"/>
      <c r="RD26" s="113"/>
      <c r="RE26" s="113"/>
      <c r="RF26" s="113"/>
      <c r="RG26" s="113"/>
      <c r="RH26" s="113"/>
      <c r="RI26" s="113"/>
      <c r="RJ26" s="113"/>
      <c r="RK26" s="113"/>
      <c r="RL26" s="113"/>
      <c r="RM26" s="113"/>
      <c r="RN26" s="113"/>
      <c r="RO26" s="113"/>
      <c r="RP26" s="113"/>
      <c r="RQ26" s="113"/>
      <c r="RR26" s="113"/>
      <c r="RS26" s="113"/>
      <c r="RT26" s="113"/>
      <c r="RU26" s="113"/>
      <c r="RV26" s="113"/>
      <c r="RW26" s="113"/>
      <c r="RX26" s="113"/>
      <c r="RY26" s="113"/>
      <c r="RZ26" s="113"/>
      <c r="SA26" s="113"/>
      <c r="SB26" s="113"/>
      <c r="SC26" s="113"/>
      <c r="SD26" s="113"/>
      <c r="SE26" s="113"/>
      <c r="SF26" s="113"/>
      <c r="SG26" s="113"/>
      <c r="SH26" s="113"/>
      <c r="SI26" s="113"/>
      <c r="SJ26" s="113"/>
      <c r="SK26" s="113"/>
      <c r="SL26" s="113"/>
      <c r="SM26" s="113"/>
      <c r="SN26" s="113"/>
      <c r="SO26" s="113"/>
      <c r="SP26" s="113"/>
      <c r="SQ26" s="113"/>
      <c r="SR26" s="113"/>
      <c r="SS26" s="113"/>
      <c r="ST26" s="113"/>
      <c r="SU26" s="113"/>
      <c r="SV26" s="113"/>
      <c r="SW26" s="113"/>
      <c r="SX26" s="113"/>
      <c r="SY26" s="113"/>
      <c r="SZ26" s="113"/>
      <c r="TA26" s="113"/>
      <c r="TB26" s="113"/>
      <c r="TC26" s="113"/>
      <c r="TD26" s="113"/>
      <c r="TE26" s="113"/>
      <c r="TF26" s="113"/>
      <c r="TG26" s="113"/>
      <c r="TH26" s="113"/>
      <c r="TI26" s="113"/>
      <c r="TJ26" s="113"/>
      <c r="TK26" s="113"/>
      <c r="TL26" s="113"/>
      <c r="TM26" s="113"/>
      <c r="TN26" s="113"/>
      <c r="TO26" s="113"/>
      <c r="TP26" s="113"/>
      <c r="TQ26" s="113"/>
      <c r="TR26" s="113"/>
      <c r="TS26" s="113"/>
      <c r="TT26" s="113"/>
      <c r="TU26" s="113"/>
      <c r="TV26" s="113"/>
      <c r="TW26" s="113"/>
      <c r="TX26" s="113"/>
      <c r="TY26" s="113"/>
      <c r="TZ26" s="113"/>
      <c r="UA26" s="113"/>
      <c r="UB26" s="113"/>
      <c r="UC26" s="113"/>
      <c r="UD26" s="113"/>
      <c r="UE26" s="113"/>
      <c r="UF26" s="113"/>
      <c r="UG26" s="113"/>
      <c r="UH26" s="113"/>
      <c r="UI26" s="113"/>
      <c r="UJ26" s="113"/>
      <c r="UK26" s="113"/>
      <c r="UL26" s="113"/>
      <c r="UM26" s="113"/>
      <c r="UN26" s="113"/>
      <c r="UO26" s="113"/>
      <c r="UP26" s="113"/>
      <c r="UQ26" s="113"/>
      <c r="UR26" s="113"/>
      <c r="US26" s="113"/>
      <c r="UT26" s="113"/>
      <c r="UU26" s="113"/>
      <c r="UV26" s="113"/>
      <c r="UW26" s="113"/>
      <c r="UX26" s="113"/>
      <c r="UY26" s="113"/>
      <c r="UZ26" s="113"/>
      <c r="VA26" s="113"/>
      <c r="VB26" s="113"/>
      <c r="VC26" s="113"/>
      <c r="VD26" s="113"/>
      <c r="VE26" s="113"/>
      <c r="VF26" s="113"/>
      <c r="VG26" s="113"/>
      <c r="VH26" s="113"/>
      <c r="VI26" s="113"/>
      <c r="VJ26" s="113"/>
      <c r="VK26" s="113"/>
      <c r="VL26" s="113"/>
      <c r="VM26" s="113"/>
      <c r="VN26" s="113"/>
      <c r="VO26" s="113"/>
      <c r="VP26" s="113"/>
      <c r="VQ26" s="113"/>
      <c r="VR26" s="113"/>
      <c r="VS26" s="113"/>
      <c r="VT26" s="113"/>
      <c r="VU26" s="113"/>
      <c r="VV26" s="113"/>
      <c r="VW26" s="113"/>
      <c r="VX26" s="113"/>
      <c r="VY26" s="113"/>
      <c r="VZ26" s="113"/>
      <c r="WA26" s="113"/>
      <c r="WB26" s="113"/>
      <c r="WC26" s="113"/>
      <c r="WD26" s="113"/>
      <c r="WE26" s="113"/>
      <c r="WF26" s="113"/>
      <c r="WG26" s="113"/>
      <c r="WH26" s="113"/>
      <c r="WI26" s="113"/>
      <c r="WJ26" s="113"/>
      <c r="WK26" s="113"/>
      <c r="WL26" s="113"/>
      <c r="WM26" s="113"/>
      <c r="WN26" s="113"/>
      <c r="WO26" s="113"/>
      <c r="WP26" s="113"/>
      <c r="WQ26" s="113"/>
      <c r="WR26" s="113"/>
      <c r="WS26" s="113"/>
      <c r="WT26" s="113"/>
      <c r="WU26" s="113"/>
      <c r="WV26" s="113"/>
      <c r="WW26" s="113"/>
      <c r="WX26" s="113"/>
      <c r="WY26" s="113"/>
      <c r="WZ26" s="113"/>
      <c r="XA26" s="113"/>
      <c r="XB26" s="113"/>
      <c r="XC26" s="113"/>
      <c r="XD26" s="113"/>
      <c r="XE26" s="113"/>
      <c r="XF26" s="113"/>
      <c r="XG26" s="113"/>
      <c r="XH26" s="113"/>
      <c r="XI26" s="113"/>
      <c r="XJ26" s="113"/>
      <c r="XK26" s="113"/>
      <c r="XL26" s="113"/>
      <c r="XM26" s="113"/>
      <c r="XN26" s="113"/>
      <c r="XO26" s="113"/>
      <c r="XP26" s="113"/>
      <c r="XQ26" s="113"/>
      <c r="XR26" s="113"/>
      <c r="XS26" s="113"/>
      <c r="XT26" s="113"/>
      <c r="XU26" s="113"/>
      <c r="XV26" s="113"/>
      <c r="XW26" s="113"/>
      <c r="XX26" s="113"/>
      <c r="XY26" s="113"/>
      <c r="XZ26" s="113"/>
      <c r="YA26" s="113"/>
      <c r="YB26" s="113"/>
      <c r="YC26" s="113"/>
      <c r="YD26" s="113"/>
      <c r="YE26" s="113"/>
      <c r="YF26" s="113"/>
      <c r="YG26" s="113"/>
      <c r="YH26" s="113"/>
      <c r="YI26" s="113"/>
      <c r="YJ26" s="113"/>
      <c r="YK26" s="113"/>
      <c r="YL26" s="113"/>
      <c r="YM26" s="113"/>
      <c r="YN26" s="113"/>
      <c r="YO26" s="113"/>
      <c r="YP26" s="113"/>
      <c r="YQ26" s="113"/>
      <c r="YR26" s="113"/>
      <c r="YS26" s="113"/>
      <c r="YT26" s="113"/>
      <c r="YU26" s="113"/>
      <c r="YV26" s="113"/>
      <c r="YW26" s="113"/>
      <c r="YX26" s="113"/>
      <c r="YY26" s="113"/>
      <c r="YZ26" s="113"/>
      <c r="ZA26" s="113"/>
      <c r="ZB26" s="113"/>
      <c r="ZC26" s="113"/>
      <c r="ZD26" s="113"/>
      <c r="ZE26" s="113"/>
    </row>
    <row r="27">
      <c r="A27" s="13" t="s">
        <v>338</v>
      </c>
      <c r="B27" s="81" t="s">
        <v>1109</v>
      </c>
      <c r="I27" s="86" t="s">
        <v>1642</v>
      </c>
      <c r="P27" s="86" t="s">
        <v>1110</v>
      </c>
      <c r="W27" s="86" t="s">
        <v>1112</v>
      </c>
      <c r="AD27" s="86" t="s">
        <v>1530</v>
      </c>
      <c r="AK27" s="86" t="s">
        <v>189</v>
      </c>
      <c r="AR27" s="86" t="s">
        <v>1643</v>
      </c>
      <c r="AY27" s="86" t="s">
        <v>1115</v>
      </c>
      <c r="BF27" s="86" t="s">
        <v>1644</v>
      </c>
      <c r="BM27" s="86" t="s">
        <v>1645</v>
      </c>
      <c r="BT27" s="86" t="s">
        <v>1117</v>
      </c>
      <c r="CA27" s="86" t="s">
        <v>1646</v>
      </c>
      <c r="CH27" s="86" t="s">
        <v>1647</v>
      </c>
      <c r="CO27" s="318" t="s">
        <v>1648</v>
      </c>
      <c r="CV27" s="363" t="s">
        <v>1649</v>
      </c>
      <c r="CW27" s="6"/>
      <c r="CX27" s="343"/>
      <c r="CY27" s="343"/>
      <c r="CZ27" s="343"/>
      <c r="DA27" s="343"/>
      <c r="DB27" s="364"/>
      <c r="DC27" s="86" t="s">
        <v>1650</v>
      </c>
      <c r="DI27" s="83"/>
      <c r="DJ27" s="86" t="s">
        <v>1651</v>
      </c>
      <c r="DQ27" s="86" t="s">
        <v>398</v>
      </c>
      <c r="DX27" s="86" t="s">
        <v>398</v>
      </c>
      <c r="EE27" s="84" t="s">
        <v>849</v>
      </c>
      <c r="EL27" s="86" t="s">
        <v>1652</v>
      </c>
      <c r="ES27" s="318" t="s">
        <v>1653</v>
      </c>
      <c r="ET27" s="337"/>
      <c r="EU27" s="337"/>
      <c r="EV27" s="337"/>
      <c r="EW27" s="337"/>
      <c r="EX27" s="337"/>
      <c r="EY27" s="337"/>
      <c r="EZ27" s="86" t="s">
        <v>679</v>
      </c>
      <c r="FG27" s="86" t="s">
        <v>679</v>
      </c>
      <c r="FM27" s="83"/>
      <c r="FN27" s="86" t="s">
        <v>1654</v>
      </c>
      <c r="FU27" s="86" t="s">
        <v>1655</v>
      </c>
      <c r="GB27" s="86" t="s">
        <v>1656</v>
      </c>
      <c r="GI27" s="86" t="s">
        <v>1657</v>
      </c>
      <c r="GO27" s="83"/>
      <c r="GP27" s="86" t="s">
        <v>1657</v>
      </c>
      <c r="GV27" s="83"/>
      <c r="GW27" s="86" t="s">
        <v>1658</v>
      </c>
      <c r="HD27" s="86" t="s">
        <v>1659</v>
      </c>
      <c r="HJ27" s="83"/>
      <c r="HK27" s="86" t="s">
        <v>1660</v>
      </c>
      <c r="HR27" s="86" t="s">
        <v>1661</v>
      </c>
      <c r="HY27" s="86"/>
      <c r="IE27" s="83"/>
      <c r="IF27" s="86" t="s">
        <v>1662</v>
      </c>
      <c r="IM27" s="86" t="s">
        <v>1663</v>
      </c>
      <c r="IT27" s="86" t="s">
        <v>1664</v>
      </c>
      <c r="IZ27" s="83"/>
      <c r="JA27" s="86" t="s">
        <v>1665</v>
      </c>
      <c r="JH27" s="86" t="s">
        <v>1666</v>
      </c>
      <c r="JN27" s="83"/>
      <c r="JO27" s="360" t="s">
        <v>1667</v>
      </c>
      <c r="JV27" s="86" t="s">
        <v>1668</v>
      </c>
      <c r="KC27" s="86" t="s">
        <v>1669</v>
      </c>
      <c r="KI27" s="83"/>
      <c r="KJ27" s="86" t="s">
        <v>1670</v>
      </c>
      <c r="KP27" s="83"/>
      <c r="KQ27" s="86" t="s">
        <v>1671</v>
      </c>
      <c r="KW27" s="83"/>
      <c r="KX27" s="86" t="s">
        <v>1672</v>
      </c>
      <c r="LD27" s="83"/>
      <c r="LE27" s="86" t="s">
        <v>1673</v>
      </c>
      <c r="LL27" s="86" t="s">
        <v>1144</v>
      </c>
      <c r="LS27" s="86" t="s">
        <v>1144</v>
      </c>
      <c r="LZ27" s="86" t="s">
        <v>1675</v>
      </c>
      <c r="MC27" s="81" t="s">
        <v>1237</v>
      </c>
      <c r="MG27" s="86" t="s">
        <v>1237</v>
      </c>
      <c r="MN27" s="86" t="s">
        <v>1237</v>
      </c>
      <c r="MU27" s="86" t="s">
        <v>1509</v>
      </c>
      <c r="NB27" s="337"/>
      <c r="NC27" s="113"/>
      <c r="ND27" s="113"/>
      <c r="NE27" s="113"/>
      <c r="NF27" s="113"/>
      <c r="NG27" s="113"/>
      <c r="NH27" s="113"/>
      <c r="NI27" s="113"/>
      <c r="NJ27" s="113"/>
      <c r="NK27" s="113"/>
      <c r="NL27" s="113"/>
      <c r="NM27" s="113"/>
      <c r="NN27" s="113"/>
      <c r="NO27" s="113"/>
      <c r="NP27" s="113"/>
      <c r="NQ27" s="113"/>
      <c r="NR27" s="113"/>
      <c r="NS27" s="113"/>
      <c r="NT27" s="113"/>
      <c r="NU27" s="113"/>
      <c r="NV27" s="113"/>
      <c r="NW27" s="113"/>
      <c r="NX27" s="113"/>
      <c r="NY27" s="113"/>
      <c r="NZ27" s="113"/>
      <c r="OA27" s="113"/>
      <c r="OB27" s="113"/>
      <c r="OC27" s="113"/>
      <c r="OD27" s="113"/>
      <c r="OE27" s="113"/>
      <c r="OF27" s="113"/>
      <c r="OG27" s="113"/>
      <c r="OH27" s="113"/>
      <c r="OI27" s="113"/>
      <c r="OJ27" s="113"/>
      <c r="OK27" s="113"/>
      <c r="OL27" s="113"/>
      <c r="OM27" s="113"/>
      <c r="ON27" s="113"/>
      <c r="OO27" s="113"/>
      <c r="OP27" s="113"/>
      <c r="OQ27" s="113"/>
      <c r="OR27" s="113"/>
      <c r="OS27" s="113"/>
      <c r="OT27" s="113"/>
      <c r="OU27" s="113"/>
      <c r="OV27" s="113"/>
      <c r="OW27" s="113"/>
      <c r="OX27" s="113"/>
      <c r="OY27" s="113"/>
      <c r="OZ27" s="113"/>
      <c r="PA27" s="113"/>
      <c r="PB27" s="113"/>
      <c r="PC27" s="113"/>
      <c r="PD27" s="113"/>
      <c r="PE27" s="113"/>
      <c r="PF27" s="113"/>
      <c r="PG27" s="113"/>
      <c r="PH27" s="113"/>
      <c r="PI27" s="113"/>
      <c r="PJ27" s="113"/>
      <c r="PK27" s="113"/>
      <c r="PL27" s="113"/>
      <c r="PM27" s="113"/>
      <c r="PN27" s="113"/>
      <c r="PO27" s="113"/>
      <c r="PP27" s="113"/>
      <c r="PQ27" s="113"/>
      <c r="PR27" s="113"/>
      <c r="PS27" s="113"/>
      <c r="PT27" s="113"/>
      <c r="PU27" s="113"/>
      <c r="PV27" s="113"/>
      <c r="PW27" s="113"/>
      <c r="PX27" s="113"/>
      <c r="PY27" s="113"/>
      <c r="PZ27" s="113"/>
      <c r="QA27" s="113"/>
      <c r="QB27" s="113"/>
      <c r="QC27" s="113"/>
      <c r="QD27" s="113"/>
      <c r="QE27" s="113"/>
      <c r="QF27" s="113"/>
      <c r="QG27" s="113"/>
      <c r="QH27" s="113"/>
      <c r="QI27" s="113"/>
      <c r="QJ27" s="113"/>
      <c r="QK27" s="113"/>
      <c r="QL27" s="113"/>
      <c r="QM27" s="113"/>
      <c r="QN27" s="113"/>
      <c r="QO27" s="113"/>
      <c r="QP27" s="113"/>
      <c r="QQ27" s="113"/>
      <c r="QR27" s="113"/>
      <c r="QS27" s="113"/>
      <c r="QT27" s="113"/>
      <c r="QU27" s="113"/>
      <c r="QV27" s="113"/>
      <c r="QW27" s="113"/>
      <c r="QX27" s="113"/>
      <c r="QY27" s="113"/>
      <c r="QZ27" s="113"/>
      <c r="RA27" s="113"/>
      <c r="RB27" s="113"/>
      <c r="RC27" s="113"/>
      <c r="RD27" s="113"/>
      <c r="RE27" s="113"/>
      <c r="RF27" s="113"/>
      <c r="RG27" s="113"/>
      <c r="RH27" s="113"/>
      <c r="RI27" s="113"/>
      <c r="RJ27" s="113"/>
      <c r="RK27" s="113"/>
      <c r="RL27" s="113"/>
      <c r="RM27" s="113"/>
      <c r="RN27" s="113"/>
      <c r="RO27" s="113"/>
      <c r="RP27" s="113"/>
      <c r="RQ27" s="113"/>
      <c r="RR27" s="113"/>
      <c r="RS27" s="113"/>
      <c r="RT27" s="113"/>
      <c r="RU27" s="113"/>
      <c r="RV27" s="113"/>
      <c r="RW27" s="113"/>
      <c r="RX27" s="113"/>
      <c r="RY27" s="113"/>
      <c r="RZ27" s="113"/>
      <c r="SA27" s="113"/>
      <c r="SB27" s="113"/>
      <c r="SC27" s="113"/>
      <c r="SD27" s="113"/>
      <c r="SE27" s="113"/>
      <c r="SF27" s="113"/>
      <c r="SG27" s="113"/>
      <c r="SH27" s="113"/>
      <c r="SI27" s="113"/>
      <c r="SJ27" s="113"/>
      <c r="SK27" s="113"/>
      <c r="SL27" s="113"/>
      <c r="SM27" s="113"/>
      <c r="SN27" s="113"/>
      <c r="SO27" s="113"/>
      <c r="SP27" s="113"/>
      <c r="SQ27" s="113"/>
      <c r="SR27" s="113"/>
      <c r="SS27" s="113"/>
      <c r="ST27" s="113"/>
      <c r="SU27" s="113"/>
      <c r="SV27" s="113"/>
      <c r="SW27" s="113"/>
      <c r="SX27" s="113"/>
      <c r="SY27" s="113"/>
      <c r="SZ27" s="113"/>
      <c r="TA27" s="113"/>
      <c r="TB27" s="113"/>
      <c r="TC27" s="113"/>
      <c r="TD27" s="113"/>
      <c r="TE27" s="113"/>
      <c r="TF27" s="113"/>
      <c r="TG27" s="113"/>
      <c r="TH27" s="113"/>
      <c r="TI27" s="113"/>
      <c r="TJ27" s="113"/>
      <c r="TK27" s="113"/>
      <c r="TL27" s="113"/>
      <c r="TM27" s="113"/>
      <c r="TN27" s="113"/>
      <c r="TO27" s="113"/>
      <c r="TP27" s="113"/>
      <c r="TQ27" s="113"/>
      <c r="TR27" s="113"/>
      <c r="TS27" s="113"/>
      <c r="TT27" s="113"/>
      <c r="TU27" s="113"/>
      <c r="TV27" s="113"/>
      <c r="TW27" s="113"/>
      <c r="TX27" s="113"/>
      <c r="TY27" s="113"/>
      <c r="TZ27" s="113"/>
      <c r="UA27" s="113"/>
      <c r="UB27" s="113"/>
      <c r="UC27" s="113"/>
      <c r="UD27" s="113"/>
      <c r="UE27" s="113"/>
      <c r="UF27" s="113"/>
      <c r="UG27" s="113"/>
      <c r="UH27" s="113"/>
      <c r="UI27" s="113"/>
      <c r="UJ27" s="113"/>
      <c r="UK27" s="113"/>
      <c r="UL27" s="113"/>
      <c r="UM27" s="113"/>
      <c r="UN27" s="113"/>
      <c r="UO27" s="113"/>
      <c r="UP27" s="113"/>
      <c r="UQ27" s="113"/>
      <c r="UR27" s="113"/>
      <c r="US27" s="113"/>
      <c r="UT27" s="113"/>
      <c r="UU27" s="113"/>
      <c r="UV27" s="113"/>
      <c r="UW27" s="113"/>
      <c r="UX27" s="113"/>
      <c r="UY27" s="113"/>
      <c r="UZ27" s="113"/>
      <c r="VA27" s="113"/>
      <c r="VB27" s="113"/>
      <c r="VC27" s="113"/>
      <c r="VD27" s="113"/>
      <c r="VE27" s="113"/>
      <c r="VF27" s="113"/>
      <c r="VG27" s="113"/>
      <c r="VH27" s="113"/>
      <c r="VI27" s="113"/>
      <c r="VJ27" s="113"/>
      <c r="VK27" s="113"/>
      <c r="VL27" s="113"/>
      <c r="VM27" s="113"/>
      <c r="VN27" s="113"/>
      <c r="VO27" s="113"/>
      <c r="VP27" s="113"/>
      <c r="VQ27" s="113"/>
      <c r="VR27" s="113"/>
      <c r="VS27" s="113"/>
      <c r="VT27" s="113"/>
      <c r="VU27" s="113"/>
      <c r="VV27" s="113"/>
      <c r="VW27" s="113"/>
      <c r="VX27" s="113"/>
      <c r="VY27" s="113"/>
      <c r="VZ27" s="113"/>
      <c r="WA27" s="113"/>
      <c r="WB27" s="113"/>
      <c r="WC27" s="113"/>
      <c r="WD27" s="113"/>
      <c r="WE27" s="113"/>
      <c r="WF27" s="113"/>
      <c r="WG27" s="113"/>
      <c r="WH27" s="113"/>
      <c r="WI27" s="113"/>
      <c r="WJ27" s="113"/>
      <c r="WK27" s="113"/>
      <c r="WL27" s="113"/>
      <c r="WM27" s="113"/>
      <c r="WN27" s="113"/>
      <c r="WO27" s="113"/>
      <c r="WP27" s="113"/>
      <c r="WQ27" s="113"/>
      <c r="WR27" s="113"/>
      <c r="WS27" s="113"/>
      <c r="WT27" s="113"/>
      <c r="WU27" s="113"/>
      <c r="WV27" s="113"/>
      <c r="WW27" s="113"/>
      <c r="WX27" s="113"/>
      <c r="WY27" s="113"/>
      <c r="WZ27" s="113"/>
      <c r="XA27" s="113"/>
      <c r="XB27" s="113"/>
      <c r="XC27" s="113"/>
      <c r="XD27" s="113"/>
      <c r="XE27" s="113"/>
      <c r="XF27" s="113"/>
      <c r="XG27" s="113"/>
      <c r="XH27" s="113"/>
      <c r="XI27" s="113"/>
      <c r="XJ27" s="113"/>
      <c r="XK27" s="113"/>
      <c r="XL27" s="113"/>
      <c r="XM27" s="113"/>
      <c r="XN27" s="113"/>
      <c r="XO27" s="113"/>
      <c r="XP27" s="113"/>
      <c r="XQ27" s="113"/>
      <c r="XR27" s="113"/>
      <c r="XS27" s="113"/>
      <c r="XT27" s="113"/>
      <c r="XU27" s="113"/>
      <c r="XV27" s="113"/>
      <c r="XW27" s="113"/>
      <c r="XX27" s="113"/>
      <c r="XY27" s="113"/>
      <c r="XZ27" s="113"/>
      <c r="YA27" s="113"/>
      <c r="YB27" s="113"/>
      <c r="YC27" s="113"/>
      <c r="YD27" s="113"/>
      <c r="YE27" s="113"/>
      <c r="YF27" s="113"/>
      <c r="YG27" s="113"/>
      <c r="YH27" s="113"/>
      <c r="YI27" s="113"/>
      <c r="YJ27" s="113"/>
      <c r="YK27" s="113"/>
      <c r="YL27" s="113"/>
      <c r="YM27" s="113"/>
      <c r="YN27" s="113"/>
      <c r="YO27" s="113"/>
      <c r="YP27" s="113"/>
      <c r="YQ27" s="113"/>
      <c r="YR27" s="113"/>
      <c r="YS27" s="113"/>
      <c r="YT27" s="113"/>
      <c r="YU27" s="113"/>
      <c r="YV27" s="113"/>
      <c r="YW27" s="113"/>
      <c r="YX27" s="113"/>
      <c r="YY27" s="113"/>
      <c r="YZ27" s="113"/>
      <c r="ZA27" s="113"/>
      <c r="ZB27" s="113"/>
      <c r="ZC27" s="113"/>
      <c r="ZD27" s="113"/>
      <c r="ZE27" s="113"/>
    </row>
    <row r="28">
      <c r="A28" s="13" t="s">
        <v>1681</v>
      </c>
      <c r="B28" s="81" t="s">
        <v>1152</v>
      </c>
      <c r="I28" s="86" t="s">
        <v>1152</v>
      </c>
      <c r="P28" s="81" t="s">
        <v>1683</v>
      </c>
      <c r="W28" s="86" t="s">
        <v>1684</v>
      </c>
      <c r="AC28" s="83"/>
      <c r="AD28" s="86" t="s">
        <v>1530</v>
      </c>
      <c r="AK28" s="86" t="s">
        <v>189</v>
      </c>
      <c r="AR28" s="86" t="s">
        <v>1686</v>
      </c>
      <c r="AY28" s="86" t="s">
        <v>1154</v>
      </c>
      <c r="BM28" s="86" t="s">
        <v>1152</v>
      </c>
      <c r="BT28" s="86" t="s">
        <v>1152</v>
      </c>
      <c r="CA28" s="86" t="s">
        <v>1156</v>
      </c>
      <c r="CH28" s="86" t="s">
        <v>1688</v>
      </c>
      <c r="CO28" s="86" t="s">
        <v>1177</v>
      </c>
      <c r="CV28" s="86" t="s">
        <v>1177</v>
      </c>
      <c r="DB28" s="83"/>
      <c r="DC28" s="82"/>
      <c r="DI28" s="83"/>
      <c r="DJ28" s="82"/>
      <c r="DQ28" s="86" t="s">
        <v>1690</v>
      </c>
      <c r="DX28" s="86" t="s">
        <v>1691</v>
      </c>
      <c r="EE28" s="82"/>
      <c r="EK28" s="83"/>
      <c r="EL28" s="82"/>
      <c r="ES28" s="82"/>
      <c r="EZ28" s="86" t="s">
        <v>1183</v>
      </c>
      <c r="FG28" s="86" t="s">
        <v>1183</v>
      </c>
      <c r="FM28" s="83"/>
      <c r="FN28" s="82"/>
      <c r="FU28" s="82"/>
      <c r="GB28" s="82"/>
      <c r="GI28" s="82"/>
      <c r="GO28" s="83"/>
      <c r="GP28" s="86" t="s">
        <v>1694</v>
      </c>
      <c r="GV28" s="83"/>
      <c r="GW28" s="86"/>
      <c r="HD28" s="86" t="s">
        <v>1696</v>
      </c>
      <c r="HK28" s="86" t="s">
        <v>1698</v>
      </c>
      <c r="HR28" s="86" t="s">
        <v>1698</v>
      </c>
      <c r="HY28" s="86"/>
      <c r="IF28" s="82"/>
      <c r="IM28" s="82"/>
      <c r="IT28" s="82"/>
      <c r="IZ28" s="83"/>
      <c r="JA28" s="82"/>
      <c r="JH28" s="86" t="s">
        <v>1699</v>
      </c>
      <c r="JN28" s="83"/>
      <c r="JO28" s="340"/>
      <c r="JV28" s="86"/>
      <c r="KC28" s="86" t="s">
        <v>1702</v>
      </c>
      <c r="KD28" s="337"/>
      <c r="KE28" s="337"/>
      <c r="KF28" s="337"/>
      <c r="KG28" s="337"/>
      <c r="KH28" s="337"/>
      <c r="KI28" s="367"/>
      <c r="KJ28" s="82"/>
      <c r="KP28" s="83"/>
      <c r="KQ28" s="82"/>
      <c r="KW28" s="83"/>
      <c r="KX28" s="82"/>
      <c r="LD28" s="83"/>
      <c r="LE28" s="82"/>
      <c r="LL28" s="82"/>
      <c r="LS28" s="82"/>
      <c r="LZ28" s="82"/>
      <c r="MG28" s="82"/>
      <c r="MN28" s="82"/>
      <c r="MU28" s="82"/>
      <c r="NB28" s="337"/>
      <c r="NC28" s="113"/>
      <c r="ND28" s="113"/>
      <c r="NE28" s="113"/>
      <c r="NF28" s="113"/>
      <c r="NG28" s="113"/>
      <c r="NH28" s="113"/>
      <c r="NI28" s="113"/>
      <c r="NJ28" s="113"/>
      <c r="NK28" s="113"/>
      <c r="NL28" s="113"/>
      <c r="NM28" s="113"/>
      <c r="NN28" s="113"/>
      <c r="NO28" s="113"/>
      <c r="NP28" s="113"/>
      <c r="NQ28" s="113"/>
      <c r="NR28" s="113"/>
      <c r="NS28" s="113"/>
      <c r="NT28" s="113"/>
      <c r="NU28" s="113"/>
      <c r="NV28" s="113"/>
      <c r="NW28" s="113"/>
      <c r="NX28" s="113"/>
      <c r="NY28" s="113"/>
      <c r="NZ28" s="113"/>
      <c r="OA28" s="113"/>
      <c r="OB28" s="113"/>
      <c r="OC28" s="113"/>
      <c r="OD28" s="113"/>
      <c r="OE28" s="113"/>
      <c r="OF28" s="113"/>
      <c r="OG28" s="113"/>
      <c r="OH28" s="113"/>
      <c r="OI28" s="113"/>
      <c r="OJ28" s="113"/>
      <c r="OK28" s="113"/>
      <c r="OL28" s="113"/>
      <c r="OM28" s="113"/>
      <c r="ON28" s="113"/>
      <c r="OO28" s="113"/>
      <c r="OP28" s="113"/>
      <c r="OQ28" s="113"/>
      <c r="OR28" s="113"/>
      <c r="OS28" s="113"/>
      <c r="OT28" s="113"/>
      <c r="OU28" s="113"/>
      <c r="OV28" s="113"/>
      <c r="OW28" s="113"/>
      <c r="OX28" s="113"/>
      <c r="OY28" s="113"/>
      <c r="OZ28" s="113"/>
      <c r="PA28" s="113"/>
      <c r="PB28" s="113"/>
      <c r="PC28" s="113"/>
      <c r="PD28" s="113"/>
      <c r="PE28" s="113"/>
      <c r="PF28" s="113"/>
      <c r="PG28" s="113"/>
      <c r="PH28" s="113"/>
      <c r="PI28" s="113"/>
      <c r="PJ28" s="113"/>
      <c r="PK28" s="113"/>
      <c r="PL28" s="113"/>
      <c r="PM28" s="113"/>
      <c r="PN28" s="113"/>
      <c r="PO28" s="113"/>
      <c r="PP28" s="113"/>
      <c r="PQ28" s="113"/>
      <c r="PR28" s="113"/>
      <c r="PS28" s="113"/>
      <c r="PT28" s="113"/>
      <c r="PU28" s="113"/>
      <c r="PV28" s="113"/>
      <c r="PW28" s="113"/>
      <c r="PX28" s="113"/>
      <c r="PY28" s="113"/>
      <c r="PZ28" s="113"/>
      <c r="QA28" s="113"/>
      <c r="QB28" s="113"/>
      <c r="QC28" s="113"/>
      <c r="QD28" s="113"/>
      <c r="QE28" s="113"/>
      <c r="QF28" s="113"/>
      <c r="QG28" s="113"/>
      <c r="QH28" s="113"/>
      <c r="QI28" s="113"/>
      <c r="QJ28" s="113"/>
      <c r="QK28" s="113"/>
      <c r="QL28" s="113"/>
      <c r="QM28" s="113"/>
      <c r="QN28" s="113"/>
      <c r="QO28" s="113"/>
      <c r="QP28" s="113"/>
      <c r="QQ28" s="113"/>
      <c r="QR28" s="113"/>
      <c r="QS28" s="113"/>
      <c r="QT28" s="113"/>
      <c r="QU28" s="113"/>
      <c r="QV28" s="113"/>
      <c r="QW28" s="113"/>
      <c r="QX28" s="113"/>
      <c r="QY28" s="113"/>
      <c r="QZ28" s="113"/>
      <c r="RA28" s="113"/>
      <c r="RB28" s="113"/>
      <c r="RC28" s="113"/>
      <c r="RD28" s="113"/>
      <c r="RE28" s="113"/>
      <c r="RF28" s="113"/>
      <c r="RG28" s="113"/>
      <c r="RH28" s="113"/>
      <c r="RI28" s="113"/>
      <c r="RJ28" s="113"/>
      <c r="RK28" s="113"/>
      <c r="RL28" s="113"/>
      <c r="RM28" s="113"/>
      <c r="RN28" s="113"/>
      <c r="RO28" s="113"/>
      <c r="RP28" s="113"/>
      <c r="RQ28" s="113"/>
      <c r="RR28" s="113"/>
      <c r="RS28" s="113"/>
      <c r="RT28" s="113"/>
      <c r="RU28" s="113"/>
      <c r="RV28" s="113"/>
      <c r="RW28" s="113"/>
      <c r="RX28" s="113"/>
      <c r="RY28" s="113"/>
      <c r="RZ28" s="113"/>
      <c r="SA28" s="113"/>
      <c r="SB28" s="113"/>
      <c r="SC28" s="113"/>
      <c r="SD28" s="113"/>
      <c r="SE28" s="113"/>
      <c r="SF28" s="113"/>
      <c r="SG28" s="113"/>
      <c r="SH28" s="113"/>
      <c r="SI28" s="113"/>
      <c r="SJ28" s="113"/>
      <c r="SK28" s="113"/>
      <c r="SL28" s="113"/>
      <c r="SM28" s="113"/>
      <c r="SN28" s="113"/>
      <c r="SO28" s="113"/>
      <c r="SP28" s="113"/>
      <c r="SQ28" s="113"/>
      <c r="SR28" s="113"/>
      <c r="SS28" s="113"/>
      <c r="ST28" s="113"/>
      <c r="SU28" s="113"/>
      <c r="SV28" s="113"/>
      <c r="SW28" s="113"/>
      <c r="SX28" s="113"/>
      <c r="SY28" s="113"/>
      <c r="SZ28" s="113"/>
      <c r="TA28" s="113"/>
      <c r="TB28" s="113"/>
      <c r="TC28" s="113"/>
      <c r="TD28" s="113"/>
      <c r="TE28" s="113"/>
      <c r="TF28" s="113"/>
      <c r="TG28" s="113"/>
      <c r="TH28" s="113"/>
      <c r="TI28" s="113"/>
      <c r="TJ28" s="113"/>
      <c r="TK28" s="113"/>
      <c r="TL28" s="113"/>
      <c r="TM28" s="113"/>
      <c r="TN28" s="113"/>
      <c r="TO28" s="113"/>
      <c r="TP28" s="113"/>
      <c r="TQ28" s="113"/>
      <c r="TR28" s="113"/>
      <c r="TS28" s="113"/>
      <c r="TT28" s="113"/>
      <c r="TU28" s="113"/>
      <c r="TV28" s="113"/>
      <c r="TW28" s="113"/>
      <c r="TX28" s="113"/>
      <c r="TY28" s="113"/>
      <c r="TZ28" s="113"/>
      <c r="UA28" s="113"/>
      <c r="UB28" s="113"/>
      <c r="UC28" s="113"/>
      <c r="UD28" s="113"/>
      <c r="UE28" s="113"/>
      <c r="UF28" s="113"/>
      <c r="UG28" s="113"/>
      <c r="UH28" s="113"/>
      <c r="UI28" s="113"/>
      <c r="UJ28" s="113"/>
      <c r="UK28" s="113"/>
      <c r="UL28" s="113"/>
      <c r="UM28" s="113"/>
      <c r="UN28" s="113"/>
      <c r="UO28" s="113"/>
      <c r="UP28" s="113"/>
      <c r="UQ28" s="113"/>
      <c r="UR28" s="113"/>
      <c r="US28" s="113"/>
      <c r="UT28" s="113"/>
      <c r="UU28" s="113"/>
      <c r="UV28" s="113"/>
      <c r="UW28" s="113"/>
      <c r="UX28" s="113"/>
      <c r="UY28" s="113"/>
      <c r="UZ28" s="113"/>
      <c r="VA28" s="113"/>
      <c r="VB28" s="113"/>
      <c r="VC28" s="113"/>
      <c r="VD28" s="113"/>
      <c r="VE28" s="113"/>
      <c r="VF28" s="113"/>
      <c r="VG28" s="113"/>
      <c r="VH28" s="113"/>
      <c r="VI28" s="113"/>
      <c r="VJ28" s="113"/>
      <c r="VK28" s="113"/>
      <c r="VL28" s="113"/>
      <c r="VM28" s="113"/>
      <c r="VN28" s="113"/>
      <c r="VO28" s="113"/>
      <c r="VP28" s="113"/>
      <c r="VQ28" s="113"/>
      <c r="VR28" s="113"/>
      <c r="VS28" s="113"/>
      <c r="VT28" s="113"/>
      <c r="VU28" s="113"/>
      <c r="VV28" s="113"/>
      <c r="VW28" s="113"/>
      <c r="VX28" s="113"/>
      <c r="VY28" s="113"/>
      <c r="VZ28" s="113"/>
      <c r="WA28" s="113"/>
      <c r="WB28" s="113"/>
      <c r="WC28" s="113"/>
      <c r="WD28" s="113"/>
      <c r="WE28" s="113"/>
      <c r="WF28" s="113"/>
      <c r="WG28" s="113"/>
      <c r="WH28" s="113"/>
      <c r="WI28" s="113"/>
      <c r="WJ28" s="113"/>
      <c r="WK28" s="113"/>
      <c r="WL28" s="113"/>
      <c r="WM28" s="113"/>
      <c r="WN28" s="113"/>
      <c r="WO28" s="113"/>
      <c r="WP28" s="113"/>
      <c r="WQ28" s="113"/>
      <c r="WR28" s="113"/>
      <c r="WS28" s="113"/>
      <c r="WT28" s="113"/>
      <c r="WU28" s="113"/>
      <c r="WV28" s="113"/>
      <c r="WW28" s="113"/>
      <c r="WX28" s="113"/>
      <c r="WY28" s="113"/>
      <c r="WZ28" s="113"/>
      <c r="XA28" s="113"/>
      <c r="XB28" s="113"/>
      <c r="XC28" s="113"/>
      <c r="XD28" s="113"/>
      <c r="XE28" s="113"/>
      <c r="XF28" s="113"/>
      <c r="XG28" s="113"/>
      <c r="XH28" s="113"/>
      <c r="XI28" s="113"/>
      <c r="XJ28" s="113"/>
      <c r="XK28" s="113"/>
      <c r="XL28" s="113"/>
      <c r="XM28" s="113"/>
      <c r="XN28" s="113"/>
      <c r="XO28" s="113"/>
      <c r="XP28" s="113"/>
      <c r="XQ28" s="113"/>
      <c r="XR28" s="113"/>
      <c r="XS28" s="113"/>
      <c r="XT28" s="113"/>
      <c r="XU28" s="113"/>
      <c r="XV28" s="113"/>
      <c r="XW28" s="113"/>
      <c r="XX28" s="113"/>
      <c r="XY28" s="113"/>
      <c r="XZ28" s="113"/>
      <c r="YA28" s="113"/>
      <c r="YB28" s="113"/>
      <c r="YC28" s="113"/>
      <c r="YD28" s="113"/>
      <c r="YE28" s="113"/>
      <c r="YF28" s="113"/>
      <c r="YG28" s="113"/>
      <c r="YH28" s="113"/>
      <c r="YI28" s="113"/>
      <c r="YJ28" s="113"/>
      <c r="YK28" s="113"/>
      <c r="YL28" s="113"/>
      <c r="YM28" s="113"/>
      <c r="YN28" s="113"/>
      <c r="YO28" s="113"/>
      <c r="YP28" s="113"/>
      <c r="YQ28" s="113"/>
      <c r="YR28" s="113"/>
      <c r="YS28" s="113"/>
      <c r="YT28" s="113"/>
      <c r="YU28" s="113"/>
      <c r="YV28" s="113"/>
      <c r="YW28" s="113"/>
      <c r="YX28" s="113"/>
      <c r="YY28" s="113"/>
      <c r="YZ28" s="113"/>
      <c r="ZA28" s="113"/>
      <c r="ZB28" s="113"/>
      <c r="ZC28" s="113"/>
      <c r="ZD28" s="113"/>
      <c r="ZE28" s="113"/>
    </row>
    <row r="29">
      <c r="A29" s="13" t="s">
        <v>1185</v>
      </c>
      <c r="B29" s="81" t="s">
        <v>1721</v>
      </c>
      <c r="H29" s="83"/>
      <c r="I29" s="86" t="s">
        <v>1722</v>
      </c>
      <c r="O29" s="83"/>
      <c r="P29" s="86" t="s">
        <v>1724</v>
      </c>
      <c r="V29" s="83"/>
      <c r="W29" s="86" t="s">
        <v>1726</v>
      </c>
      <c r="AC29" s="83"/>
      <c r="AD29" s="86" t="s">
        <v>1530</v>
      </c>
      <c r="AJ29" s="83"/>
      <c r="AK29" s="86" t="s">
        <v>189</v>
      </c>
      <c r="AQ29" s="83"/>
      <c r="AR29" s="86" t="s">
        <v>1729</v>
      </c>
      <c r="AX29" s="83"/>
      <c r="AY29" s="86" t="s">
        <v>1731</v>
      </c>
      <c r="BE29" s="83"/>
      <c r="BF29" s="86" t="s">
        <v>1726</v>
      </c>
      <c r="BL29" s="83"/>
      <c r="BM29" s="86" t="s">
        <v>1733</v>
      </c>
      <c r="BS29" s="83"/>
      <c r="BT29" s="86" t="s">
        <v>1734</v>
      </c>
      <c r="BZ29" s="83"/>
      <c r="CA29" s="86" t="s">
        <v>1735</v>
      </c>
      <c r="CH29" s="86" t="s">
        <v>1736</v>
      </c>
      <c r="CO29" s="86" t="s">
        <v>1737</v>
      </c>
      <c r="CV29" s="86" t="s">
        <v>1738</v>
      </c>
      <c r="DB29" s="83"/>
      <c r="DC29" s="86" t="s">
        <v>1739</v>
      </c>
      <c r="DI29" s="83"/>
      <c r="DJ29" s="86" t="s">
        <v>1740</v>
      </c>
      <c r="DQ29" s="86" t="s">
        <v>1690</v>
      </c>
      <c r="DX29" s="86" t="s">
        <v>1690</v>
      </c>
      <c r="EE29" s="86" t="s">
        <v>1741</v>
      </c>
      <c r="EK29" s="83"/>
      <c r="EL29" s="86" t="s">
        <v>1741</v>
      </c>
      <c r="ER29" s="83"/>
      <c r="ES29" s="86" t="s">
        <v>1742</v>
      </c>
      <c r="EZ29" s="86" t="s">
        <v>1743</v>
      </c>
      <c r="FG29" s="86" t="s">
        <v>1743</v>
      </c>
      <c r="FN29" s="86" t="s">
        <v>1745</v>
      </c>
      <c r="FU29" s="86" t="s">
        <v>1746</v>
      </c>
      <c r="GB29" s="86" t="s">
        <v>1747</v>
      </c>
      <c r="GI29" s="86" t="s">
        <v>1749</v>
      </c>
      <c r="GO29" s="83"/>
      <c r="GP29" s="86" t="s">
        <v>1750</v>
      </c>
      <c r="GV29" s="83"/>
      <c r="GW29" s="86" t="s">
        <v>1751</v>
      </c>
      <c r="HD29" s="86" t="s">
        <v>1751</v>
      </c>
      <c r="HK29" s="86" t="s">
        <v>1752</v>
      </c>
      <c r="HR29" s="86" t="s">
        <v>1753</v>
      </c>
      <c r="HY29" s="86" t="s">
        <v>1753</v>
      </c>
      <c r="IF29" s="86" t="s">
        <v>1754</v>
      </c>
      <c r="IM29" s="86" t="s">
        <v>1754</v>
      </c>
      <c r="IT29" s="86" t="s">
        <v>1755</v>
      </c>
      <c r="JA29" s="86" t="s">
        <v>1755</v>
      </c>
      <c r="JH29" s="86" t="s">
        <v>1757</v>
      </c>
      <c r="JN29" s="83"/>
      <c r="JO29" s="360" t="s">
        <v>1758</v>
      </c>
      <c r="JV29" s="360" t="s">
        <v>1758</v>
      </c>
      <c r="KC29" s="86" t="s">
        <v>1759</v>
      </c>
      <c r="KJ29" s="86" t="s">
        <v>1759</v>
      </c>
      <c r="KQ29" s="86" t="s">
        <v>1760</v>
      </c>
      <c r="KW29" s="83"/>
      <c r="KX29" s="86" t="s">
        <v>1760</v>
      </c>
      <c r="LD29" s="83"/>
      <c r="LE29" s="86" t="s">
        <v>1761</v>
      </c>
      <c r="LL29" s="86" t="s">
        <v>1761</v>
      </c>
      <c r="LS29" s="86" t="s">
        <v>1762</v>
      </c>
      <c r="LZ29" s="86" t="s">
        <v>1763</v>
      </c>
      <c r="MG29" s="86" t="s">
        <v>1237</v>
      </c>
      <c r="MN29" s="86" t="s">
        <v>1237</v>
      </c>
      <c r="MU29" s="86" t="s">
        <v>1509</v>
      </c>
      <c r="NB29" s="337"/>
      <c r="NC29" s="113"/>
      <c r="ND29" s="113"/>
      <c r="NE29" s="113"/>
      <c r="NF29" s="113"/>
      <c r="NG29" s="113"/>
      <c r="NH29" s="113"/>
      <c r="NI29" s="113"/>
      <c r="NJ29" s="113"/>
      <c r="NK29" s="113"/>
      <c r="NL29" s="113"/>
      <c r="NM29" s="113"/>
      <c r="NN29" s="113"/>
      <c r="NO29" s="113"/>
      <c r="NP29" s="113"/>
      <c r="NQ29" s="113"/>
      <c r="NR29" s="113"/>
      <c r="NS29" s="113"/>
      <c r="NT29" s="113"/>
      <c r="NU29" s="113"/>
      <c r="NV29" s="113"/>
      <c r="NW29" s="113"/>
      <c r="NX29" s="113"/>
      <c r="NY29" s="113"/>
      <c r="NZ29" s="113"/>
      <c r="OA29" s="113"/>
      <c r="OB29" s="113"/>
      <c r="OC29" s="113"/>
      <c r="OD29" s="113"/>
      <c r="OE29" s="113"/>
      <c r="OF29" s="113"/>
      <c r="OG29" s="113"/>
      <c r="OH29" s="113"/>
      <c r="OI29" s="113"/>
      <c r="OJ29" s="113"/>
      <c r="OK29" s="113"/>
      <c r="OL29" s="113"/>
      <c r="OM29" s="113"/>
      <c r="ON29" s="113"/>
      <c r="OO29" s="113"/>
      <c r="OP29" s="113"/>
      <c r="OQ29" s="113"/>
      <c r="OR29" s="113"/>
      <c r="OS29" s="113"/>
      <c r="OT29" s="113"/>
      <c r="OU29" s="113"/>
      <c r="OV29" s="113"/>
      <c r="OW29" s="113"/>
      <c r="OX29" s="113"/>
      <c r="OY29" s="113"/>
      <c r="OZ29" s="113"/>
      <c r="PA29" s="113"/>
      <c r="PB29" s="113"/>
      <c r="PC29" s="113"/>
      <c r="PD29" s="113"/>
      <c r="PE29" s="113"/>
      <c r="PF29" s="113"/>
      <c r="PG29" s="113"/>
      <c r="PH29" s="113"/>
      <c r="PI29" s="113"/>
      <c r="PJ29" s="113"/>
      <c r="PK29" s="113"/>
      <c r="PL29" s="113"/>
      <c r="PM29" s="113"/>
      <c r="PN29" s="113"/>
      <c r="PO29" s="113"/>
      <c r="PP29" s="113"/>
      <c r="PQ29" s="113"/>
      <c r="PR29" s="113"/>
      <c r="PS29" s="113"/>
      <c r="PT29" s="113"/>
      <c r="PU29" s="113"/>
      <c r="PV29" s="113"/>
      <c r="PW29" s="113"/>
      <c r="PX29" s="113"/>
      <c r="PY29" s="113"/>
      <c r="PZ29" s="113"/>
      <c r="QA29" s="113"/>
      <c r="QB29" s="113"/>
      <c r="QC29" s="113"/>
      <c r="QD29" s="113"/>
      <c r="QE29" s="113"/>
      <c r="QF29" s="113"/>
      <c r="QG29" s="113"/>
      <c r="QH29" s="113"/>
      <c r="QI29" s="113"/>
      <c r="QJ29" s="113"/>
      <c r="QK29" s="113"/>
      <c r="QL29" s="113"/>
      <c r="QM29" s="113"/>
      <c r="QN29" s="113"/>
      <c r="QO29" s="113"/>
      <c r="QP29" s="113"/>
      <c r="QQ29" s="113"/>
      <c r="QR29" s="113"/>
      <c r="QS29" s="113"/>
      <c r="QT29" s="113"/>
      <c r="QU29" s="113"/>
      <c r="QV29" s="113"/>
      <c r="QW29" s="113"/>
      <c r="QX29" s="113"/>
      <c r="QY29" s="113"/>
      <c r="QZ29" s="113"/>
      <c r="RA29" s="113"/>
      <c r="RB29" s="113"/>
      <c r="RC29" s="113"/>
      <c r="RD29" s="113"/>
      <c r="RE29" s="113"/>
      <c r="RF29" s="113"/>
      <c r="RG29" s="113"/>
      <c r="RH29" s="113"/>
      <c r="RI29" s="113"/>
      <c r="RJ29" s="113"/>
      <c r="RK29" s="113"/>
      <c r="RL29" s="113"/>
      <c r="RM29" s="113"/>
      <c r="RN29" s="113"/>
      <c r="RO29" s="113"/>
      <c r="RP29" s="113"/>
      <c r="RQ29" s="113"/>
      <c r="RR29" s="113"/>
      <c r="RS29" s="113"/>
      <c r="RT29" s="113"/>
      <c r="RU29" s="113"/>
      <c r="RV29" s="113"/>
      <c r="RW29" s="113"/>
      <c r="RX29" s="113"/>
      <c r="RY29" s="113"/>
      <c r="RZ29" s="113"/>
      <c r="SA29" s="113"/>
      <c r="SB29" s="113"/>
      <c r="SC29" s="113"/>
      <c r="SD29" s="113"/>
      <c r="SE29" s="113"/>
      <c r="SF29" s="113"/>
      <c r="SG29" s="113"/>
      <c r="SH29" s="113"/>
      <c r="SI29" s="113"/>
      <c r="SJ29" s="113"/>
      <c r="SK29" s="113"/>
      <c r="SL29" s="113"/>
      <c r="SM29" s="113"/>
      <c r="SN29" s="113"/>
      <c r="SO29" s="113"/>
      <c r="SP29" s="113"/>
      <c r="SQ29" s="113"/>
      <c r="SR29" s="113"/>
      <c r="SS29" s="113"/>
      <c r="ST29" s="113"/>
      <c r="SU29" s="113"/>
      <c r="SV29" s="113"/>
      <c r="SW29" s="113"/>
      <c r="SX29" s="113"/>
      <c r="SY29" s="113"/>
      <c r="SZ29" s="113"/>
      <c r="TA29" s="113"/>
      <c r="TB29" s="113"/>
      <c r="TC29" s="113"/>
      <c r="TD29" s="113"/>
      <c r="TE29" s="113"/>
      <c r="TF29" s="113"/>
      <c r="TG29" s="113"/>
      <c r="TH29" s="113"/>
      <c r="TI29" s="113"/>
      <c r="TJ29" s="113"/>
      <c r="TK29" s="113"/>
      <c r="TL29" s="113"/>
      <c r="TM29" s="113"/>
      <c r="TN29" s="113"/>
      <c r="TO29" s="113"/>
      <c r="TP29" s="113"/>
      <c r="TQ29" s="113"/>
      <c r="TR29" s="113"/>
      <c r="TS29" s="113"/>
      <c r="TT29" s="113"/>
      <c r="TU29" s="113"/>
      <c r="TV29" s="113"/>
      <c r="TW29" s="113"/>
      <c r="TX29" s="113"/>
      <c r="TY29" s="113"/>
      <c r="TZ29" s="113"/>
      <c r="UA29" s="113"/>
      <c r="UB29" s="113"/>
      <c r="UC29" s="113"/>
      <c r="UD29" s="113"/>
      <c r="UE29" s="113"/>
      <c r="UF29" s="113"/>
      <c r="UG29" s="113"/>
      <c r="UH29" s="113"/>
      <c r="UI29" s="113"/>
      <c r="UJ29" s="113"/>
      <c r="UK29" s="113"/>
      <c r="UL29" s="113"/>
      <c r="UM29" s="113"/>
      <c r="UN29" s="113"/>
      <c r="UO29" s="113"/>
      <c r="UP29" s="113"/>
      <c r="UQ29" s="113"/>
      <c r="UR29" s="113"/>
      <c r="US29" s="113"/>
      <c r="UT29" s="113"/>
      <c r="UU29" s="113"/>
      <c r="UV29" s="113"/>
      <c r="UW29" s="113"/>
      <c r="UX29" s="113"/>
      <c r="UY29" s="113"/>
      <c r="UZ29" s="113"/>
      <c r="VA29" s="113"/>
      <c r="VB29" s="113"/>
      <c r="VC29" s="113"/>
      <c r="VD29" s="113"/>
      <c r="VE29" s="113"/>
      <c r="VF29" s="113"/>
      <c r="VG29" s="113"/>
      <c r="VH29" s="113"/>
      <c r="VI29" s="113"/>
      <c r="VJ29" s="113"/>
      <c r="VK29" s="113"/>
      <c r="VL29" s="113"/>
      <c r="VM29" s="113"/>
      <c r="VN29" s="113"/>
      <c r="VO29" s="113"/>
      <c r="VP29" s="113"/>
      <c r="VQ29" s="113"/>
      <c r="VR29" s="113"/>
      <c r="VS29" s="113"/>
      <c r="VT29" s="113"/>
      <c r="VU29" s="113"/>
      <c r="VV29" s="113"/>
      <c r="VW29" s="113"/>
      <c r="VX29" s="113"/>
      <c r="VY29" s="113"/>
      <c r="VZ29" s="113"/>
      <c r="WA29" s="113"/>
      <c r="WB29" s="113"/>
      <c r="WC29" s="113"/>
      <c r="WD29" s="113"/>
      <c r="WE29" s="113"/>
      <c r="WF29" s="113"/>
      <c r="WG29" s="113"/>
      <c r="WH29" s="113"/>
      <c r="WI29" s="113"/>
      <c r="WJ29" s="113"/>
      <c r="WK29" s="113"/>
      <c r="WL29" s="113"/>
      <c r="WM29" s="113"/>
      <c r="WN29" s="113"/>
      <c r="WO29" s="113"/>
      <c r="WP29" s="113"/>
      <c r="WQ29" s="113"/>
      <c r="WR29" s="113"/>
      <c r="WS29" s="113"/>
      <c r="WT29" s="113"/>
      <c r="WU29" s="113"/>
      <c r="WV29" s="113"/>
      <c r="WW29" s="113"/>
      <c r="WX29" s="113"/>
      <c r="WY29" s="113"/>
      <c r="WZ29" s="113"/>
      <c r="XA29" s="113"/>
      <c r="XB29" s="113"/>
      <c r="XC29" s="113"/>
      <c r="XD29" s="113"/>
      <c r="XE29" s="113"/>
      <c r="XF29" s="113"/>
      <c r="XG29" s="113"/>
      <c r="XH29" s="113"/>
      <c r="XI29" s="113"/>
      <c r="XJ29" s="113"/>
      <c r="XK29" s="113"/>
      <c r="XL29" s="113"/>
      <c r="XM29" s="113"/>
      <c r="XN29" s="113"/>
      <c r="XO29" s="113"/>
      <c r="XP29" s="113"/>
      <c r="XQ29" s="113"/>
      <c r="XR29" s="113"/>
      <c r="XS29" s="113"/>
      <c r="XT29" s="113"/>
      <c r="XU29" s="113"/>
      <c r="XV29" s="113"/>
      <c r="XW29" s="113"/>
      <c r="XX29" s="113"/>
      <c r="XY29" s="113"/>
      <c r="XZ29" s="113"/>
      <c r="YA29" s="113"/>
      <c r="YB29" s="113"/>
      <c r="YC29" s="113"/>
      <c r="YD29" s="113"/>
      <c r="YE29" s="113"/>
      <c r="YF29" s="113"/>
      <c r="YG29" s="113"/>
      <c r="YH29" s="113"/>
      <c r="YI29" s="113"/>
      <c r="YJ29" s="113"/>
      <c r="YK29" s="113"/>
      <c r="YL29" s="113"/>
      <c r="YM29" s="113"/>
      <c r="YN29" s="113"/>
      <c r="YO29" s="113"/>
      <c r="YP29" s="113"/>
      <c r="YQ29" s="113"/>
      <c r="YR29" s="113"/>
      <c r="YS29" s="113"/>
      <c r="YT29" s="113"/>
      <c r="YU29" s="113"/>
      <c r="YV29" s="113"/>
      <c r="YW29" s="113"/>
      <c r="YX29" s="113"/>
      <c r="YY29" s="113"/>
      <c r="YZ29" s="113"/>
      <c r="ZA29" s="113"/>
      <c r="ZB29" s="113"/>
      <c r="ZC29" s="113"/>
      <c r="ZD29" s="113"/>
      <c r="ZE29" s="113"/>
    </row>
    <row r="30" ht="16.5" customHeight="1">
      <c r="A30" s="13" t="s">
        <v>1676</v>
      </c>
      <c r="B30" s="81" t="s">
        <v>1766</v>
      </c>
      <c r="H30" s="83"/>
      <c r="I30" s="86" t="s">
        <v>1767</v>
      </c>
      <c r="O30" s="83"/>
      <c r="P30" s="86" t="s">
        <v>1768</v>
      </c>
      <c r="V30" s="83"/>
      <c r="W30" s="86" t="s">
        <v>1769</v>
      </c>
      <c r="AC30" s="83"/>
      <c r="AD30" s="86" t="s">
        <v>1770</v>
      </c>
      <c r="AJ30" s="83"/>
      <c r="AK30" s="86" t="s">
        <v>189</v>
      </c>
      <c r="AQ30" s="83"/>
      <c r="AR30" s="86" t="s">
        <v>1771</v>
      </c>
      <c r="AX30" s="83"/>
      <c r="AY30" s="86" t="s">
        <v>1717</v>
      </c>
      <c r="BE30" s="83"/>
      <c r="BF30" s="86" t="s">
        <v>1773</v>
      </c>
      <c r="BL30" s="83"/>
      <c r="BM30" s="86" t="s">
        <v>1774</v>
      </c>
      <c r="BS30" s="83"/>
      <c r="BT30" s="86" t="s">
        <v>1774</v>
      </c>
      <c r="BZ30" s="83"/>
      <c r="CA30" s="86" t="s">
        <v>1775</v>
      </c>
      <c r="CH30" s="86" t="s">
        <v>1775</v>
      </c>
      <c r="CO30" s="86" t="s">
        <v>1776</v>
      </c>
      <c r="CV30" s="86" t="s">
        <v>1777</v>
      </c>
      <c r="DB30" s="83"/>
      <c r="DC30" s="86" t="s">
        <v>1779</v>
      </c>
      <c r="DI30" s="83"/>
      <c r="DJ30" s="86" t="s">
        <v>1779</v>
      </c>
      <c r="DQ30" s="86" t="s">
        <v>1781</v>
      </c>
      <c r="DX30" s="86" t="s">
        <v>1781</v>
      </c>
      <c r="EE30" s="86" t="s">
        <v>1782</v>
      </c>
      <c r="EK30" s="83"/>
      <c r="EL30" s="86" t="s">
        <v>1783</v>
      </c>
      <c r="ER30" s="83"/>
      <c r="ES30" s="86" t="s">
        <v>1785</v>
      </c>
      <c r="EY30" s="83"/>
      <c r="EZ30" s="86" t="s">
        <v>1786</v>
      </c>
      <c r="FG30" s="86" t="s">
        <v>1786</v>
      </c>
      <c r="FN30" s="86" t="s">
        <v>1788</v>
      </c>
      <c r="FU30" s="86"/>
      <c r="GB30" s="86" t="s">
        <v>1789</v>
      </c>
      <c r="GI30" s="86" t="s">
        <v>1789</v>
      </c>
      <c r="GO30" s="83"/>
      <c r="GP30" s="86" t="s">
        <v>1789</v>
      </c>
      <c r="GV30" s="83"/>
      <c r="GW30" s="86" t="s">
        <v>1791</v>
      </c>
      <c r="HC30" s="83"/>
      <c r="HD30" s="86" t="s">
        <v>1791</v>
      </c>
      <c r="HJ30" s="83"/>
      <c r="HK30" s="86" t="s">
        <v>1792</v>
      </c>
      <c r="HQ30" s="83"/>
      <c r="HR30" s="86" t="s">
        <v>1793</v>
      </c>
      <c r="HY30" s="86" t="s">
        <v>1792</v>
      </c>
      <c r="IE30" s="83"/>
      <c r="IF30" s="86" t="s">
        <v>259</v>
      </c>
      <c r="IL30" s="83"/>
      <c r="IM30" s="86" t="s">
        <v>1794</v>
      </c>
      <c r="IT30" s="86" t="s">
        <v>1795</v>
      </c>
      <c r="JA30" s="86" t="s">
        <v>1796</v>
      </c>
      <c r="JH30" s="86" t="s">
        <v>1796</v>
      </c>
      <c r="JO30" s="86" t="s">
        <v>1797</v>
      </c>
      <c r="JU30" s="83"/>
      <c r="JV30" s="90" t="s">
        <v>1798</v>
      </c>
      <c r="KC30" s="86" t="s">
        <v>1799</v>
      </c>
      <c r="KI30" s="83"/>
      <c r="KJ30" s="86" t="s">
        <v>1799</v>
      </c>
      <c r="KP30" s="83"/>
      <c r="KQ30" s="86" t="s">
        <v>1800</v>
      </c>
      <c r="KW30" s="83"/>
      <c r="KX30" s="86" t="s">
        <v>1800</v>
      </c>
      <c r="LD30" s="83"/>
      <c r="LE30" s="86" t="s">
        <v>1801</v>
      </c>
      <c r="LL30" s="86"/>
      <c r="LS30" s="86" t="s">
        <v>1802</v>
      </c>
      <c r="LZ30" s="86" t="s">
        <v>1804</v>
      </c>
      <c r="MC30" s="81" t="s">
        <v>1805</v>
      </c>
      <c r="MG30" s="86" t="s">
        <v>1717</v>
      </c>
      <c r="MN30" s="86" t="s">
        <v>1717</v>
      </c>
      <c r="MU30" s="86" t="s">
        <v>1717</v>
      </c>
      <c r="NB30" s="337"/>
      <c r="NC30" s="113"/>
      <c r="ND30" s="113"/>
      <c r="NE30" s="113"/>
      <c r="NF30" s="113"/>
      <c r="NG30" s="113"/>
      <c r="NH30" s="113"/>
      <c r="NI30" s="113"/>
      <c r="NJ30" s="113"/>
      <c r="NK30" s="113"/>
      <c r="NL30" s="113"/>
      <c r="NM30" s="113"/>
      <c r="NN30" s="113"/>
      <c r="NO30" s="113"/>
      <c r="NP30" s="113"/>
      <c r="NQ30" s="113"/>
      <c r="NR30" s="113"/>
      <c r="NS30" s="113"/>
      <c r="NT30" s="113"/>
      <c r="NU30" s="113"/>
      <c r="NV30" s="113"/>
      <c r="NW30" s="113"/>
      <c r="NX30" s="113"/>
      <c r="NY30" s="113"/>
      <c r="NZ30" s="113"/>
      <c r="OA30" s="113"/>
      <c r="OB30" s="113"/>
      <c r="OC30" s="113"/>
      <c r="OD30" s="113"/>
      <c r="OE30" s="113"/>
      <c r="OF30" s="113"/>
      <c r="OG30" s="113"/>
      <c r="OH30" s="113"/>
      <c r="OI30" s="113"/>
      <c r="OJ30" s="113"/>
      <c r="OK30" s="113"/>
      <c r="OL30" s="113"/>
      <c r="OM30" s="113"/>
      <c r="ON30" s="113"/>
      <c r="OO30" s="113"/>
      <c r="OP30" s="113"/>
      <c r="OQ30" s="113"/>
      <c r="OR30" s="113"/>
      <c r="OS30" s="113"/>
      <c r="OT30" s="113"/>
      <c r="OU30" s="113"/>
      <c r="OV30" s="113"/>
      <c r="OW30" s="113"/>
      <c r="OX30" s="113"/>
      <c r="OY30" s="113"/>
      <c r="OZ30" s="113"/>
      <c r="PA30" s="113"/>
      <c r="PB30" s="113"/>
      <c r="PC30" s="113"/>
      <c r="PD30" s="113"/>
      <c r="PE30" s="113"/>
      <c r="PF30" s="113"/>
      <c r="PG30" s="113"/>
      <c r="PH30" s="113"/>
      <c r="PI30" s="113"/>
      <c r="PJ30" s="113"/>
      <c r="PK30" s="113"/>
      <c r="PL30" s="113"/>
      <c r="PM30" s="113"/>
      <c r="PN30" s="113"/>
      <c r="PO30" s="113"/>
      <c r="PP30" s="113"/>
      <c r="PQ30" s="113"/>
      <c r="PR30" s="113"/>
      <c r="PS30" s="113"/>
      <c r="PT30" s="113"/>
      <c r="PU30" s="113"/>
      <c r="PV30" s="113"/>
      <c r="PW30" s="113"/>
      <c r="PX30" s="113"/>
      <c r="PY30" s="113"/>
      <c r="PZ30" s="113"/>
      <c r="QA30" s="113"/>
      <c r="QB30" s="113"/>
      <c r="QC30" s="113"/>
      <c r="QD30" s="113"/>
      <c r="QE30" s="113"/>
      <c r="QF30" s="113"/>
      <c r="QG30" s="113"/>
      <c r="QH30" s="113"/>
      <c r="QI30" s="113"/>
      <c r="QJ30" s="113"/>
      <c r="QK30" s="113"/>
      <c r="QL30" s="113"/>
      <c r="QM30" s="113"/>
      <c r="QN30" s="113"/>
      <c r="QO30" s="113"/>
      <c r="QP30" s="113"/>
      <c r="QQ30" s="113"/>
      <c r="QR30" s="113"/>
      <c r="QS30" s="113"/>
      <c r="QT30" s="113"/>
      <c r="QU30" s="113"/>
      <c r="QV30" s="113"/>
      <c r="QW30" s="113"/>
      <c r="QX30" s="113"/>
      <c r="QY30" s="113"/>
      <c r="QZ30" s="113"/>
      <c r="RA30" s="113"/>
      <c r="RB30" s="113"/>
      <c r="RC30" s="113"/>
      <c r="RD30" s="113"/>
      <c r="RE30" s="113"/>
      <c r="RF30" s="113"/>
      <c r="RG30" s="113"/>
      <c r="RH30" s="113"/>
      <c r="RI30" s="113"/>
      <c r="RJ30" s="113"/>
      <c r="RK30" s="113"/>
      <c r="RL30" s="113"/>
      <c r="RM30" s="113"/>
      <c r="RN30" s="113"/>
      <c r="RO30" s="113"/>
      <c r="RP30" s="113"/>
      <c r="RQ30" s="113"/>
      <c r="RR30" s="113"/>
      <c r="RS30" s="113"/>
      <c r="RT30" s="113"/>
      <c r="RU30" s="113"/>
      <c r="RV30" s="113"/>
      <c r="RW30" s="113"/>
      <c r="RX30" s="113"/>
      <c r="RY30" s="113"/>
      <c r="RZ30" s="113"/>
      <c r="SA30" s="113"/>
      <c r="SB30" s="113"/>
      <c r="SC30" s="113"/>
      <c r="SD30" s="113"/>
      <c r="SE30" s="113"/>
      <c r="SF30" s="113"/>
      <c r="SG30" s="113"/>
      <c r="SH30" s="113"/>
      <c r="SI30" s="113"/>
      <c r="SJ30" s="113"/>
      <c r="SK30" s="113"/>
      <c r="SL30" s="113"/>
      <c r="SM30" s="113"/>
      <c r="SN30" s="113"/>
      <c r="SO30" s="113"/>
      <c r="SP30" s="113"/>
      <c r="SQ30" s="113"/>
      <c r="SR30" s="113"/>
      <c r="SS30" s="113"/>
      <c r="ST30" s="113"/>
      <c r="SU30" s="113"/>
      <c r="SV30" s="113"/>
      <c r="SW30" s="113"/>
      <c r="SX30" s="113"/>
      <c r="SY30" s="113"/>
      <c r="SZ30" s="113"/>
      <c r="TA30" s="113"/>
      <c r="TB30" s="113"/>
      <c r="TC30" s="113"/>
      <c r="TD30" s="113"/>
      <c r="TE30" s="113"/>
      <c r="TF30" s="113"/>
      <c r="TG30" s="113"/>
      <c r="TH30" s="113"/>
      <c r="TI30" s="113"/>
      <c r="TJ30" s="113"/>
      <c r="TK30" s="113"/>
      <c r="TL30" s="113"/>
      <c r="TM30" s="113"/>
      <c r="TN30" s="113"/>
      <c r="TO30" s="113"/>
      <c r="TP30" s="113"/>
      <c r="TQ30" s="113"/>
      <c r="TR30" s="113"/>
      <c r="TS30" s="113"/>
      <c r="TT30" s="113"/>
      <c r="TU30" s="113"/>
      <c r="TV30" s="113"/>
      <c r="TW30" s="113"/>
      <c r="TX30" s="113"/>
      <c r="TY30" s="113"/>
      <c r="TZ30" s="113"/>
      <c r="UA30" s="113"/>
      <c r="UB30" s="113"/>
      <c r="UC30" s="113"/>
      <c r="UD30" s="113"/>
      <c r="UE30" s="113"/>
      <c r="UF30" s="113"/>
      <c r="UG30" s="113"/>
      <c r="UH30" s="113"/>
      <c r="UI30" s="113"/>
      <c r="UJ30" s="113"/>
      <c r="UK30" s="113"/>
      <c r="UL30" s="113"/>
      <c r="UM30" s="113"/>
      <c r="UN30" s="113"/>
      <c r="UO30" s="113"/>
      <c r="UP30" s="113"/>
      <c r="UQ30" s="113"/>
      <c r="UR30" s="113"/>
      <c r="US30" s="113"/>
      <c r="UT30" s="113"/>
      <c r="UU30" s="113"/>
      <c r="UV30" s="113"/>
      <c r="UW30" s="113"/>
      <c r="UX30" s="113"/>
      <c r="UY30" s="113"/>
      <c r="UZ30" s="113"/>
      <c r="VA30" s="113"/>
      <c r="VB30" s="113"/>
      <c r="VC30" s="113"/>
      <c r="VD30" s="113"/>
      <c r="VE30" s="113"/>
      <c r="VF30" s="113"/>
      <c r="VG30" s="113"/>
      <c r="VH30" s="113"/>
      <c r="VI30" s="113"/>
      <c r="VJ30" s="113"/>
      <c r="VK30" s="113"/>
      <c r="VL30" s="113"/>
      <c r="VM30" s="113"/>
      <c r="VN30" s="113"/>
      <c r="VO30" s="113"/>
      <c r="VP30" s="113"/>
      <c r="VQ30" s="113"/>
      <c r="VR30" s="113"/>
      <c r="VS30" s="113"/>
      <c r="VT30" s="113"/>
      <c r="VU30" s="113"/>
      <c r="VV30" s="113"/>
      <c r="VW30" s="113"/>
      <c r="VX30" s="113"/>
      <c r="VY30" s="113"/>
      <c r="VZ30" s="113"/>
      <c r="WA30" s="113"/>
      <c r="WB30" s="113"/>
      <c r="WC30" s="113"/>
      <c r="WD30" s="113"/>
      <c r="WE30" s="113"/>
      <c r="WF30" s="113"/>
      <c r="WG30" s="113"/>
      <c r="WH30" s="113"/>
      <c r="WI30" s="113"/>
      <c r="WJ30" s="113"/>
      <c r="WK30" s="113"/>
      <c r="WL30" s="113"/>
      <c r="WM30" s="113"/>
      <c r="WN30" s="113"/>
      <c r="WO30" s="113"/>
      <c r="WP30" s="113"/>
      <c r="WQ30" s="113"/>
      <c r="WR30" s="113"/>
      <c r="WS30" s="113"/>
      <c r="WT30" s="113"/>
      <c r="WU30" s="113"/>
      <c r="WV30" s="113"/>
      <c r="WW30" s="113"/>
      <c r="WX30" s="113"/>
      <c r="WY30" s="113"/>
      <c r="WZ30" s="113"/>
      <c r="XA30" s="113"/>
      <c r="XB30" s="113"/>
      <c r="XC30" s="113"/>
      <c r="XD30" s="113"/>
      <c r="XE30" s="113"/>
      <c r="XF30" s="113"/>
      <c r="XG30" s="113"/>
      <c r="XH30" s="113"/>
      <c r="XI30" s="113"/>
      <c r="XJ30" s="113"/>
      <c r="XK30" s="113"/>
      <c r="XL30" s="113"/>
      <c r="XM30" s="113"/>
      <c r="XN30" s="113"/>
      <c r="XO30" s="113"/>
      <c r="XP30" s="113"/>
      <c r="XQ30" s="113"/>
      <c r="XR30" s="113"/>
      <c r="XS30" s="113"/>
      <c r="XT30" s="113"/>
      <c r="XU30" s="113"/>
      <c r="XV30" s="113"/>
      <c r="XW30" s="113"/>
      <c r="XX30" s="113"/>
      <c r="XY30" s="113"/>
      <c r="XZ30" s="113"/>
      <c r="YA30" s="113"/>
      <c r="YB30" s="113"/>
      <c r="YC30" s="113"/>
      <c r="YD30" s="113"/>
      <c r="YE30" s="113"/>
      <c r="YF30" s="113"/>
      <c r="YG30" s="113"/>
      <c r="YH30" s="113"/>
      <c r="YI30" s="113"/>
      <c r="YJ30" s="113"/>
      <c r="YK30" s="113"/>
      <c r="YL30" s="113"/>
      <c r="YM30" s="113"/>
      <c r="YN30" s="113"/>
      <c r="YO30" s="113"/>
      <c r="YP30" s="113"/>
      <c r="YQ30" s="113"/>
      <c r="YR30" s="113"/>
      <c r="YS30" s="113"/>
      <c r="YT30" s="113"/>
      <c r="YU30" s="113"/>
      <c r="YV30" s="113"/>
      <c r="YW30" s="113"/>
      <c r="YX30" s="113"/>
      <c r="YY30" s="113"/>
      <c r="YZ30" s="113"/>
      <c r="ZA30" s="113"/>
      <c r="ZB30" s="113"/>
      <c r="ZC30" s="113"/>
      <c r="ZD30" s="113"/>
      <c r="ZE30" s="113"/>
    </row>
    <row r="31">
      <c r="A31" s="13" t="s">
        <v>1813</v>
      </c>
      <c r="B31" s="369"/>
      <c r="C31" s="369"/>
      <c r="D31" s="369"/>
      <c r="E31" s="369"/>
      <c r="F31" s="369"/>
      <c r="G31" s="369"/>
      <c r="H31" s="369"/>
      <c r="I31" s="370"/>
      <c r="J31" s="370"/>
      <c r="K31" s="370"/>
      <c r="L31" s="370"/>
      <c r="M31" s="370"/>
      <c r="N31" s="370"/>
      <c r="O31" s="370"/>
      <c r="P31" s="81"/>
      <c r="Q31" s="81"/>
      <c r="R31" s="81"/>
      <c r="S31" s="81"/>
      <c r="T31" s="81"/>
      <c r="U31" s="81"/>
      <c r="V31" s="81"/>
      <c r="W31" s="81"/>
      <c r="X31" s="81"/>
      <c r="Y31" s="81"/>
      <c r="Z31" s="81"/>
      <c r="AA31" s="81"/>
      <c r="AB31" s="81"/>
      <c r="AC31" s="81"/>
      <c r="AD31" s="81"/>
      <c r="AE31" s="81"/>
      <c r="AF31" s="81"/>
      <c r="AG31" s="81"/>
      <c r="AH31" s="81"/>
      <c r="AI31" s="81"/>
      <c r="AJ31" s="81"/>
      <c r="AK31" s="369"/>
      <c r="AL31" s="369"/>
      <c r="AM31" s="369"/>
      <c r="AN31" s="369"/>
      <c r="AO31" s="369"/>
      <c r="AP31" s="369"/>
      <c r="AQ31" s="369"/>
      <c r="AR31" s="81"/>
      <c r="AS31" s="81"/>
      <c r="AT31" s="81"/>
      <c r="AU31" s="81"/>
      <c r="AV31" s="81"/>
      <c r="AW31" s="81"/>
      <c r="AX31" s="81"/>
      <c r="AY31" s="81"/>
      <c r="AZ31" s="81"/>
      <c r="BA31" s="81"/>
      <c r="BB31" s="81"/>
      <c r="BC31" s="81"/>
      <c r="BD31" s="81"/>
      <c r="BE31" s="81"/>
      <c r="BF31" s="369"/>
      <c r="BG31" s="369"/>
      <c r="BH31" s="369"/>
      <c r="BI31" s="369"/>
      <c r="BJ31" s="369"/>
      <c r="BK31" s="369"/>
      <c r="BL31" s="369"/>
      <c r="BM31" s="81"/>
      <c r="BN31" s="81"/>
      <c r="BO31" s="81"/>
      <c r="BP31" s="81"/>
      <c r="BQ31" s="81"/>
      <c r="BR31" s="81"/>
      <c r="BS31" s="81"/>
      <c r="BT31" s="369"/>
      <c r="BU31" s="369"/>
      <c r="BV31" s="369"/>
      <c r="BW31" s="369"/>
      <c r="BX31" s="369"/>
      <c r="BY31" s="369"/>
      <c r="BZ31" s="369"/>
      <c r="CA31" s="86"/>
      <c r="CB31" s="86"/>
      <c r="CC31" s="86"/>
      <c r="CD31" s="86"/>
      <c r="CE31" s="86"/>
      <c r="CF31" s="86"/>
      <c r="CG31" s="86"/>
      <c r="CH31" s="86"/>
      <c r="CI31" s="86"/>
      <c r="CJ31" s="86"/>
      <c r="CK31" s="86"/>
      <c r="CL31" s="86"/>
      <c r="CM31" s="86"/>
      <c r="CN31" s="86"/>
      <c r="CO31" s="86"/>
      <c r="CP31" s="86"/>
      <c r="CQ31" s="86"/>
      <c r="CR31" s="86"/>
      <c r="CS31" s="86"/>
      <c r="CT31" s="86"/>
      <c r="CU31" s="86"/>
      <c r="CV31" s="370"/>
      <c r="CW31" s="370"/>
      <c r="CX31" s="370"/>
      <c r="CY31" s="370"/>
      <c r="CZ31" s="370"/>
      <c r="DA31" s="370"/>
      <c r="DB31" s="370"/>
      <c r="DC31" s="370"/>
      <c r="DD31" s="370"/>
      <c r="DE31" s="370"/>
      <c r="DF31" s="370"/>
      <c r="DG31" s="370"/>
      <c r="DH31" s="370"/>
      <c r="DI31" s="370"/>
      <c r="DJ31" s="81"/>
      <c r="DK31" s="81"/>
      <c r="DL31" s="81"/>
      <c r="DM31" s="81"/>
      <c r="DN31" s="81"/>
      <c r="DO31" s="81"/>
      <c r="DP31" s="81"/>
      <c r="DQ31" s="81"/>
      <c r="DR31" s="81"/>
      <c r="DS31" s="81"/>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81"/>
      <c r="FE31" s="81"/>
      <c r="FF31" s="81"/>
      <c r="FG31" s="81"/>
      <c r="FH31" s="81"/>
      <c r="FI31" s="81"/>
      <c r="FJ31" s="81"/>
      <c r="FK31" s="81"/>
      <c r="FL31" s="81"/>
      <c r="FM31" s="81"/>
      <c r="FN31" s="81"/>
      <c r="FO31" s="81"/>
      <c r="FP31" s="81"/>
      <c r="FQ31" s="81"/>
      <c r="FR31" s="81"/>
      <c r="FS31" s="81"/>
      <c r="FT31" s="81"/>
      <c r="FU31" s="86"/>
      <c r="FV31" s="86"/>
      <c r="FW31" s="86"/>
      <c r="FX31" s="86"/>
      <c r="FY31" s="86"/>
      <c r="FZ31" s="86"/>
      <c r="GA31" s="86"/>
      <c r="GB31" s="81"/>
      <c r="GC31" s="81"/>
      <c r="GD31" s="81"/>
      <c r="GE31" s="81"/>
      <c r="GF31" s="81"/>
      <c r="GG31" s="81"/>
      <c r="GH31" s="81"/>
      <c r="GI31" s="81"/>
      <c r="GJ31" s="81"/>
      <c r="GK31" s="81"/>
      <c r="GL31" s="81"/>
      <c r="GM31" s="81"/>
      <c r="GN31" s="81"/>
      <c r="GO31" s="81"/>
      <c r="GP31" s="369"/>
      <c r="GQ31" s="369"/>
      <c r="GR31" s="369"/>
      <c r="GS31" s="369"/>
      <c r="GT31" s="369"/>
      <c r="GU31" s="369"/>
      <c r="GV31" s="369"/>
      <c r="GW31" s="86"/>
      <c r="GX31" s="86"/>
      <c r="GY31" s="86"/>
      <c r="GZ31" s="86"/>
      <c r="HA31" s="86"/>
      <c r="HB31" s="86"/>
      <c r="HC31" s="86"/>
      <c r="HD31" s="370"/>
      <c r="HE31" s="370"/>
      <c r="HF31" s="370"/>
      <c r="HG31" s="370"/>
      <c r="HH31" s="370"/>
      <c r="HI31" s="370"/>
      <c r="HJ31" s="370"/>
      <c r="HK31" s="81"/>
      <c r="HL31" s="81"/>
      <c r="HM31" s="81"/>
      <c r="HN31" s="81"/>
      <c r="HO31" s="81"/>
      <c r="HP31" s="81"/>
      <c r="HQ31" s="81"/>
      <c r="HR31" s="81"/>
      <c r="HS31" s="81"/>
      <c r="HT31" s="81"/>
      <c r="HU31" s="81"/>
      <c r="HV31" s="81"/>
      <c r="HW31" s="81"/>
      <c r="HX31" s="81"/>
      <c r="HY31" s="370"/>
      <c r="HZ31" s="370"/>
      <c r="IA31" s="370"/>
      <c r="IB31" s="370"/>
      <c r="IC31" s="370"/>
      <c r="ID31" s="370"/>
      <c r="IE31" s="370"/>
      <c r="IF31" s="86"/>
      <c r="IG31" s="86"/>
      <c r="IH31" s="86"/>
      <c r="II31" s="86"/>
      <c r="IJ31" s="86"/>
      <c r="IK31" s="86"/>
      <c r="IL31" s="86"/>
      <c r="IM31" s="86"/>
      <c r="IN31" s="86"/>
      <c r="IO31" s="86"/>
      <c r="IP31" s="86"/>
      <c r="IQ31" s="86"/>
      <c r="IR31" s="86"/>
      <c r="IS31" s="86"/>
      <c r="IT31" s="86"/>
      <c r="IU31" s="86"/>
      <c r="IV31" s="86"/>
      <c r="IW31" s="86"/>
      <c r="IX31" s="86"/>
      <c r="IY31" s="86"/>
      <c r="IZ31" s="86"/>
      <c r="JA31" s="86"/>
      <c r="JB31" s="86"/>
      <c r="JC31" s="86"/>
      <c r="JD31" s="86"/>
      <c r="JE31" s="86"/>
      <c r="JF31" s="86"/>
      <c r="JG31" s="86"/>
      <c r="JH31" s="86"/>
      <c r="JI31" s="86"/>
      <c r="JJ31" s="86"/>
      <c r="JK31" s="86"/>
      <c r="JL31" s="86"/>
      <c r="JM31" s="86"/>
      <c r="JN31" s="86"/>
      <c r="JO31" s="86"/>
      <c r="JP31" s="86"/>
      <c r="JQ31" s="86"/>
      <c r="JR31" s="86"/>
      <c r="JS31" s="86"/>
      <c r="JT31" s="86"/>
      <c r="JU31" s="86"/>
      <c r="JV31" s="86"/>
      <c r="JW31" s="86"/>
      <c r="JX31" s="86"/>
      <c r="JY31" s="86"/>
      <c r="JZ31" s="86"/>
      <c r="KA31" s="86"/>
      <c r="KB31" s="86"/>
      <c r="KC31" s="86" t="s">
        <v>1815</v>
      </c>
      <c r="KI31" s="83"/>
      <c r="KJ31" s="86" t="s">
        <v>1816</v>
      </c>
      <c r="KP31" s="83"/>
      <c r="KQ31" s="86" t="s">
        <v>1800</v>
      </c>
      <c r="KW31" s="83"/>
      <c r="KX31" s="86" t="s">
        <v>1800</v>
      </c>
      <c r="LD31" s="83"/>
      <c r="LE31" s="86" t="s">
        <v>1818</v>
      </c>
      <c r="LK31" s="83"/>
      <c r="LL31" s="86" t="s">
        <v>1820</v>
      </c>
      <c r="LR31" s="83"/>
      <c r="LS31" s="86" t="s">
        <v>1821</v>
      </c>
      <c r="LZ31" s="86" t="s">
        <v>1821</v>
      </c>
      <c r="MC31" s="81" t="s">
        <v>1823</v>
      </c>
      <c r="MG31" s="86" t="s">
        <v>1823</v>
      </c>
      <c r="MM31" s="83"/>
      <c r="MN31" s="86" t="s">
        <v>1824</v>
      </c>
      <c r="MT31" s="83"/>
      <c r="MU31" s="86" t="s">
        <v>1825</v>
      </c>
      <c r="NA31" s="83"/>
      <c r="NB31" s="337"/>
      <c r="NC31" s="113"/>
      <c r="ND31" s="113"/>
      <c r="NE31" s="113"/>
      <c r="NF31" s="113"/>
      <c r="NG31" s="113"/>
      <c r="NH31" s="113"/>
      <c r="NI31" s="113"/>
      <c r="NJ31" s="113"/>
      <c r="NK31" s="113"/>
      <c r="NL31" s="113"/>
      <c r="NM31" s="113"/>
      <c r="NN31" s="113"/>
      <c r="NO31" s="113"/>
      <c r="NP31" s="113"/>
      <c r="NQ31" s="113"/>
      <c r="NR31" s="113"/>
      <c r="NS31" s="113"/>
      <c r="NT31" s="113"/>
      <c r="NU31" s="113"/>
      <c r="NV31" s="113"/>
      <c r="NW31" s="113"/>
      <c r="NX31" s="113"/>
      <c r="NY31" s="113"/>
      <c r="NZ31" s="113"/>
      <c r="OA31" s="113"/>
      <c r="OB31" s="113"/>
      <c r="OC31" s="113"/>
      <c r="OD31" s="113"/>
      <c r="OE31" s="113"/>
      <c r="OF31" s="113"/>
      <c r="OG31" s="113"/>
      <c r="OH31" s="113"/>
      <c r="OI31" s="113"/>
      <c r="OJ31" s="113"/>
      <c r="OK31" s="113"/>
      <c r="OL31" s="113"/>
      <c r="OM31" s="113"/>
      <c r="ON31" s="113"/>
      <c r="OO31" s="113"/>
      <c r="OP31" s="113"/>
      <c r="OQ31" s="113"/>
      <c r="OR31" s="113"/>
      <c r="OS31" s="113"/>
      <c r="OT31" s="113"/>
      <c r="OU31" s="113"/>
      <c r="OV31" s="113"/>
      <c r="OW31" s="113"/>
      <c r="OX31" s="113"/>
      <c r="OY31" s="113"/>
      <c r="OZ31" s="113"/>
      <c r="PA31" s="113"/>
      <c r="PB31" s="113"/>
      <c r="PC31" s="113"/>
      <c r="PD31" s="113"/>
      <c r="PE31" s="113"/>
      <c r="PF31" s="113"/>
      <c r="PG31" s="113"/>
      <c r="PH31" s="113"/>
      <c r="PI31" s="113"/>
      <c r="PJ31" s="113"/>
      <c r="PK31" s="113"/>
      <c r="PL31" s="113"/>
      <c r="PM31" s="113"/>
      <c r="PN31" s="113"/>
      <c r="PO31" s="113"/>
      <c r="PP31" s="113"/>
      <c r="PQ31" s="113"/>
      <c r="PR31" s="113"/>
      <c r="PS31" s="113"/>
      <c r="PT31" s="113"/>
      <c r="PU31" s="113"/>
      <c r="PV31" s="113"/>
      <c r="PW31" s="113"/>
      <c r="PX31" s="113"/>
      <c r="PY31" s="113"/>
      <c r="PZ31" s="113"/>
      <c r="QA31" s="113"/>
      <c r="QB31" s="113"/>
      <c r="QC31" s="113"/>
      <c r="QD31" s="113"/>
      <c r="QE31" s="113"/>
      <c r="QF31" s="113"/>
      <c r="QG31" s="113"/>
      <c r="QH31" s="113"/>
      <c r="QI31" s="113"/>
      <c r="QJ31" s="113"/>
      <c r="QK31" s="113"/>
      <c r="QL31" s="113"/>
      <c r="QM31" s="113"/>
      <c r="QN31" s="113"/>
      <c r="QO31" s="113"/>
      <c r="QP31" s="113"/>
      <c r="QQ31" s="113"/>
      <c r="QR31" s="113"/>
      <c r="QS31" s="113"/>
      <c r="QT31" s="113"/>
      <c r="QU31" s="113"/>
      <c r="QV31" s="113"/>
      <c r="QW31" s="113"/>
      <c r="QX31" s="113"/>
      <c r="QY31" s="113"/>
      <c r="QZ31" s="113"/>
      <c r="RA31" s="113"/>
      <c r="RB31" s="113"/>
      <c r="RC31" s="113"/>
      <c r="RD31" s="113"/>
      <c r="RE31" s="113"/>
      <c r="RF31" s="113"/>
      <c r="RG31" s="113"/>
      <c r="RH31" s="113"/>
      <c r="RI31" s="113"/>
      <c r="RJ31" s="113"/>
      <c r="RK31" s="113"/>
      <c r="RL31" s="113"/>
      <c r="RM31" s="113"/>
      <c r="RN31" s="113"/>
      <c r="RO31" s="113"/>
      <c r="RP31" s="113"/>
      <c r="RQ31" s="113"/>
      <c r="RR31" s="113"/>
      <c r="RS31" s="113"/>
      <c r="RT31" s="113"/>
      <c r="RU31" s="113"/>
      <c r="RV31" s="113"/>
      <c r="RW31" s="113"/>
      <c r="RX31" s="113"/>
      <c r="RY31" s="113"/>
      <c r="RZ31" s="113"/>
      <c r="SA31" s="113"/>
      <c r="SB31" s="113"/>
      <c r="SC31" s="113"/>
      <c r="SD31" s="113"/>
      <c r="SE31" s="113"/>
      <c r="SF31" s="113"/>
      <c r="SG31" s="113"/>
      <c r="SH31" s="113"/>
      <c r="SI31" s="113"/>
      <c r="SJ31" s="113"/>
      <c r="SK31" s="113"/>
      <c r="SL31" s="113"/>
      <c r="SM31" s="113"/>
      <c r="SN31" s="113"/>
      <c r="SO31" s="113"/>
      <c r="SP31" s="113"/>
      <c r="SQ31" s="113"/>
      <c r="SR31" s="113"/>
      <c r="SS31" s="113"/>
      <c r="ST31" s="113"/>
      <c r="SU31" s="113"/>
      <c r="SV31" s="113"/>
      <c r="SW31" s="113"/>
      <c r="SX31" s="113"/>
      <c r="SY31" s="113"/>
      <c r="SZ31" s="113"/>
      <c r="TA31" s="113"/>
      <c r="TB31" s="113"/>
      <c r="TC31" s="113"/>
      <c r="TD31" s="113"/>
      <c r="TE31" s="113"/>
      <c r="TF31" s="113"/>
      <c r="TG31" s="113"/>
      <c r="TH31" s="113"/>
      <c r="TI31" s="113"/>
      <c r="TJ31" s="113"/>
      <c r="TK31" s="113"/>
      <c r="TL31" s="113"/>
      <c r="TM31" s="113"/>
      <c r="TN31" s="113"/>
      <c r="TO31" s="113"/>
      <c r="TP31" s="113"/>
      <c r="TQ31" s="113"/>
      <c r="TR31" s="113"/>
      <c r="TS31" s="113"/>
      <c r="TT31" s="113"/>
      <c r="TU31" s="113"/>
      <c r="TV31" s="113"/>
      <c r="TW31" s="113"/>
      <c r="TX31" s="113"/>
      <c r="TY31" s="113"/>
      <c r="TZ31" s="113"/>
      <c r="UA31" s="113"/>
      <c r="UB31" s="113"/>
      <c r="UC31" s="113"/>
      <c r="UD31" s="113"/>
      <c r="UE31" s="113"/>
      <c r="UF31" s="113"/>
      <c r="UG31" s="113"/>
      <c r="UH31" s="113"/>
      <c r="UI31" s="113"/>
      <c r="UJ31" s="113"/>
      <c r="UK31" s="113"/>
      <c r="UL31" s="113"/>
      <c r="UM31" s="113"/>
      <c r="UN31" s="113"/>
      <c r="UO31" s="113"/>
      <c r="UP31" s="113"/>
      <c r="UQ31" s="113"/>
      <c r="UR31" s="113"/>
      <c r="US31" s="113"/>
      <c r="UT31" s="113"/>
      <c r="UU31" s="113"/>
      <c r="UV31" s="113"/>
      <c r="UW31" s="113"/>
      <c r="UX31" s="113"/>
      <c r="UY31" s="113"/>
      <c r="UZ31" s="113"/>
      <c r="VA31" s="113"/>
      <c r="VB31" s="113"/>
      <c r="VC31" s="113"/>
      <c r="VD31" s="113"/>
      <c r="VE31" s="113"/>
      <c r="VF31" s="113"/>
      <c r="VG31" s="113"/>
      <c r="VH31" s="113"/>
      <c r="VI31" s="113"/>
      <c r="VJ31" s="113"/>
      <c r="VK31" s="113"/>
      <c r="VL31" s="113"/>
      <c r="VM31" s="113"/>
      <c r="VN31" s="113"/>
      <c r="VO31" s="113"/>
      <c r="VP31" s="113"/>
      <c r="VQ31" s="113"/>
      <c r="VR31" s="113"/>
      <c r="VS31" s="113"/>
      <c r="VT31" s="113"/>
      <c r="VU31" s="113"/>
      <c r="VV31" s="113"/>
      <c r="VW31" s="113"/>
      <c r="VX31" s="113"/>
      <c r="VY31" s="113"/>
      <c r="VZ31" s="113"/>
      <c r="WA31" s="113"/>
      <c r="WB31" s="113"/>
      <c r="WC31" s="113"/>
      <c r="WD31" s="113"/>
      <c r="WE31" s="113"/>
      <c r="WF31" s="113"/>
      <c r="WG31" s="113"/>
      <c r="WH31" s="113"/>
      <c r="WI31" s="113"/>
      <c r="WJ31" s="113"/>
      <c r="WK31" s="113"/>
      <c r="WL31" s="113"/>
      <c r="WM31" s="113"/>
      <c r="WN31" s="113"/>
      <c r="WO31" s="113"/>
      <c r="WP31" s="113"/>
      <c r="WQ31" s="113"/>
      <c r="WR31" s="113"/>
      <c r="WS31" s="113"/>
      <c r="WT31" s="113"/>
      <c r="WU31" s="113"/>
      <c r="WV31" s="113"/>
      <c r="WW31" s="113"/>
      <c r="WX31" s="113"/>
      <c r="WY31" s="113"/>
      <c r="WZ31" s="113"/>
      <c r="XA31" s="113"/>
      <c r="XB31" s="113"/>
      <c r="XC31" s="113"/>
      <c r="XD31" s="113"/>
      <c r="XE31" s="113"/>
      <c r="XF31" s="113"/>
      <c r="XG31" s="113"/>
      <c r="XH31" s="113"/>
      <c r="XI31" s="113"/>
      <c r="XJ31" s="113"/>
      <c r="XK31" s="113"/>
      <c r="XL31" s="113"/>
      <c r="XM31" s="113"/>
      <c r="XN31" s="113"/>
      <c r="XO31" s="113"/>
      <c r="XP31" s="113"/>
      <c r="XQ31" s="113"/>
      <c r="XR31" s="113"/>
      <c r="XS31" s="113"/>
      <c r="XT31" s="113"/>
      <c r="XU31" s="113"/>
      <c r="XV31" s="113"/>
      <c r="XW31" s="113"/>
      <c r="XX31" s="113"/>
      <c r="XY31" s="113"/>
      <c r="XZ31" s="113"/>
      <c r="YA31" s="113"/>
      <c r="YB31" s="113"/>
      <c r="YC31" s="113"/>
      <c r="YD31" s="113"/>
      <c r="YE31" s="113"/>
      <c r="YF31" s="113"/>
      <c r="YG31" s="113"/>
      <c r="YH31" s="113"/>
      <c r="YI31" s="113"/>
      <c r="YJ31" s="113"/>
      <c r="YK31" s="113"/>
      <c r="YL31" s="113"/>
      <c r="YM31" s="113"/>
      <c r="YN31" s="113"/>
      <c r="YO31" s="113"/>
      <c r="YP31" s="113"/>
      <c r="YQ31" s="113"/>
      <c r="YR31" s="113"/>
      <c r="YS31" s="113"/>
      <c r="YT31" s="113"/>
      <c r="YU31" s="113"/>
      <c r="YV31" s="113"/>
      <c r="YW31" s="113"/>
      <c r="YX31" s="113"/>
      <c r="YY31" s="113"/>
      <c r="YZ31" s="113"/>
      <c r="ZA31" s="113"/>
      <c r="ZB31" s="113"/>
      <c r="ZC31" s="113"/>
      <c r="ZD31" s="113"/>
      <c r="ZE31" s="113"/>
    </row>
    <row r="32" ht="29.25" customHeight="1">
      <c r="A32" s="13" t="s">
        <v>1388</v>
      </c>
      <c r="B32" s="81" t="s">
        <v>1826</v>
      </c>
      <c r="H32" s="83"/>
      <c r="I32" s="86" t="s">
        <v>1827</v>
      </c>
      <c r="O32" s="83"/>
      <c r="P32" s="172" t="s">
        <v>1220</v>
      </c>
      <c r="W32" s="172" t="s">
        <v>765</v>
      </c>
      <c r="AD32" s="172" t="s">
        <v>765</v>
      </c>
      <c r="AK32" s="84" t="s">
        <v>1830</v>
      </c>
      <c r="AQ32" s="83"/>
      <c r="AR32" s="172" t="s">
        <v>1831</v>
      </c>
      <c r="AY32" s="172" t="s">
        <v>1832</v>
      </c>
      <c r="BF32" s="81" t="s">
        <v>1833</v>
      </c>
      <c r="BL32" s="83"/>
      <c r="BM32" s="174" t="s">
        <v>765</v>
      </c>
      <c r="BT32" s="84" t="s">
        <v>1834</v>
      </c>
      <c r="BZ32" s="83"/>
      <c r="CA32" s="86" t="s">
        <v>434</v>
      </c>
      <c r="CH32" s="86" t="s">
        <v>765</v>
      </c>
      <c r="CO32" s="86" t="s">
        <v>1836</v>
      </c>
      <c r="CV32" s="90" t="s">
        <v>1837</v>
      </c>
      <c r="DB32" s="83"/>
      <c r="DC32" s="90" t="s">
        <v>1838</v>
      </c>
      <c r="DI32" s="83"/>
      <c r="DJ32" s="84" t="s">
        <v>1839</v>
      </c>
      <c r="DR32" s="81" t="s">
        <v>842</v>
      </c>
      <c r="DX32" s="84" t="s">
        <v>1840</v>
      </c>
      <c r="EE32" s="84" t="s">
        <v>1841</v>
      </c>
      <c r="EL32" s="84" t="s">
        <v>851</v>
      </c>
      <c r="ES32" s="84" t="s">
        <v>1842</v>
      </c>
      <c r="EZ32" s="374" t="s">
        <v>1843</v>
      </c>
      <c r="FG32" s="84" t="s">
        <v>1844</v>
      </c>
      <c r="FN32" s="84" t="s">
        <v>1845</v>
      </c>
      <c r="FU32" s="357" t="s">
        <v>1847</v>
      </c>
      <c r="FV32" s="16"/>
      <c r="FW32" s="16"/>
      <c r="FX32" s="16"/>
      <c r="FY32" s="16"/>
      <c r="FZ32" s="16"/>
      <c r="GA32" s="25"/>
      <c r="GB32" s="84"/>
      <c r="GI32" s="81" t="s">
        <v>872</v>
      </c>
      <c r="GP32" s="337"/>
      <c r="GV32" s="83"/>
      <c r="GW32" s="82"/>
      <c r="HD32" s="82"/>
      <c r="HJ32" s="83"/>
      <c r="HK32" s="337"/>
      <c r="HR32" s="337"/>
      <c r="HY32" s="82"/>
      <c r="IE32" s="83"/>
      <c r="IF32" s="82"/>
      <c r="IM32" s="82"/>
      <c r="IT32" s="86" t="s">
        <v>1851</v>
      </c>
      <c r="JA32" s="82"/>
      <c r="JH32" s="90" t="s">
        <v>1852</v>
      </c>
      <c r="JN32" s="83"/>
      <c r="JO32" s="375" t="s">
        <v>1853</v>
      </c>
      <c r="JV32" s="375" t="s">
        <v>1853</v>
      </c>
      <c r="KC32" s="82"/>
      <c r="KI32" s="83"/>
      <c r="KJ32" s="82"/>
      <c r="KP32" s="83"/>
      <c r="KQ32" s="90" t="s">
        <v>1857</v>
      </c>
      <c r="KW32" s="83"/>
      <c r="KX32" s="90" t="s">
        <v>1857</v>
      </c>
      <c r="LD32" s="83"/>
      <c r="LE32" s="90" t="s">
        <v>1859</v>
      </c>
      <c r="LK32" s="83"/>
      <c r="LL32" s="90" t="s">
        <v>1859</v>
      </c>
      <c r="LR32" s="83"/>
      <c r="LS32" s="90" t="s">
        <v>1859</v>
      </c>
      <c r="LY32" s="83"/>
      <c r="LZ32" s="90" t="s">
        <v>1859</v>
      </c>
      <c r="MF32" s="83"/>
      <c r="MG32" s="90" t="s">
        <v>1859</v>
      </c>
      <c r="MM32" s="83"/>
      <c r="MN32" s="90" t="s">
        <v>1859</v>
      </c>
      <c r="MT32" s="83"/>
      <c r="MU32" s="82"/>
      <c r="NB32" s="337"/>
      <c r="NC32" s="113"/>
      <c r="ND32" s="113"/>
      <c r="NE32" s="113"/>
      <c r="NF32" s="113"/>
      <c r="NG32" s="113"/>
      <c r="NH32" s="113"/>
      <c r="NI32" s="113"/>
      <c r="NJ32" s="113"/>
      <c r="NK32" s="113"/>
      <c r="NL32" s="113"/>
      <c r="NM32" s="113"/>
      <c r="NN32" s="113"/>
      <c r="NO32" s="113"/>
      <c r="NP32" s="113"/>
      <c r="NQ32" s="113"/>
      <c r="NR32" s="113"/>
      <c r="NS32" s="113"/>
      <c r="NT32" s="113"/>
      <c r="NU32" s="113"/>
      <c r="NV32" s="113"/>
      <c r="NW32" s="113"/>
      <c r="NX32" s="113"/>
      <c r="NY32" s="113"/>
      <c r="NZ32" s="113"/>
      <c r="OA32" s="113"/>
      <c r="OB32" s="113"/>
      <c r="OC32" s="113"/>
      <c r="OD32" s="113"/>
      <c r="OE32" s="113"/>
      <c r="OF32" s="113"/>
      <c r="OG32" s="113"/>
      <c r="OH32" s="113"/>
      <c r="OI32" s="113"/>
      <c r="OJ32" s="113"/>
      <c r="OK32" s="113"/>
      <c r="OL32" s="113"/>
      <c r="OM32" s="113"/>
      <c r="ON32" s="113"/>
      <c r="OO32" s="113"/>
      <c r="OP32" s="113"/>
      <c r="OQ32" s="113"/>
      <c r="OR32" s="113"/>
      <c r="OS32" s="113"/>
      <c r="OT32" s="113"/>
      <c r="OU32" s="113"/>
      <c r="OV32" s="113"/>
      <c r="OW32" s="113"/>
      <c r="OX32" s="113"/>
      <c r="OY32" s="113"/>
      <c r="OZ32" s="113"/>
      <c r="PA32" s="113"/>
      <c r="PB32" s="113"/>
      <c r="PC32" s="113"/>
      <c r="PD32" s="113"/>
      <c r="PE32" s="113"/>
      <c r="PF32" s="113"/>
      <c r="PG32" s="113"/>
      <c r="PH32" s="113"/>
      <c r="PI32" s="113"/>
      <c r="PJ32" s="113"/>
      <c r="PK32" s="113"/>
      <c r="PL32" s="113"/>
      <c r="PM32" s="113"/>
      <c r="PN32" s="113"/>
      <c r="PO32" s="113"/>
      <c r="PP32" s="113"/>
      <c r="PQ32" s="113"/>
      <c r="PR32" s="113"/>
      <c r="PS32" s="113"/>
      <c r="PT32" s="113"/>
      <c r="PU32" s="113"/>
      <c r="PV32" s="113"/>
      <c r="PW32" s="113"/>
      <c r="PX32" s="113"/>
      <c r="PY32" s="113"/>
      <c r="PZ32" s="113"/>
      <c r="QA32" s="113"/>
      <c r="QB32" s="113"/>
      <c r="QC32" s="113"/>
      <c r="QD32" s="113"/>
      <c r="QE32" s="113"/>
      <c r="QF32" s="113"/>
      <c r="QG32" s="113"/>
      <c r="QH32" s="113"/>
      <c r="QI32" s="113"/>
      <c r="QJ32" s="113"/>
      <c r="QK32" s="113"/>
      <c r="QL32" s="113"/>
      <c r="QM32" s="113"/>
      <c r="QN32" s="113"/>
      <c r="QO32" s="113"/>
      <c r="QP32" s="113"/>
      <c r="QQ32" s="113"/>
      <c r="QR32" s="113"/>
      <c r="QS32" s="113"/>
      <c r="QT32" s="113"/>
      <c r="QU32" s="113"/>
      <c r="QV32" s="113"/>
      <c r="QW32" s="113"/>
      <c r="QX32" s="113"/>
      <c r="QY32" s="113"/>
      <c r="QZ32" s="113"/>
      <c r="RA32" s="113"/>
      <c r="RB32" s="113"/>
      <c r="RC32" s="113"/>
      <c r="RD32" s="113"/>
      <c r="RE32" s="113"/>
      <c r="RF32" s="113"/>
      <c r="RG32" s="113"/>
      <c r="RH32" s="113"/>
      <c r="RI32" s="113"/>
      <c r="RJ32" s="113"/>
      <c r="RK32" s="113"/>
      <c r="RL32" s="113"/>
      <c r="RM32" s="113"/>
      <c r="RN32" s="113"/>
      <c r="RO32" s="113"/>
      <c r="RP32" s="113"/>
      <c r="RQ32" s="113"/>
      <c r="RR32" s="113"/>
      <c r="RS32" s="113"/>
      <c r="RT32" s="113"/>
      <c r="RU32" s="113"/>
      <c r="RV32" s="113"/>
      <c r="RW32" s="113"/>
      <c r="RX32" s="113"/>
      <c r="RY32" s="113"/>
      <c r="RZ32" s="113"/>
      <c r="SA32" s="113"/>
      <c r="SB32" s="113"/>
      <c r="SC32" s="113"/>
      <c r="SD32" s="113"/>
      <c r="SE32" s="113"/>
      <c r="SF32" s="113"/>
      <c r="SG32" s="113"/>
      <c r="SH32" s="113"/>
      <c r="SI32" s="113"/>
      <c r="SJ32" s="113"/>
      <c r="SK32" s="113"/>
      <c r="SL32" s="113"/>
      <c r="SM32" s="113"/>
      <c r="SN32" s="113"/>
      <c r="SO32" s="113"/>
      <c r="SP32" s="113"/>
      <c r="SQ32" s="113"/>
      <c r="SR32" s="113"/>
      <c r="SS32" s="113"/>
      <c r="ST32" s="113"/>
      <c r="SU32" s="113"/>
      <c r="SV32" s="113"/>
      <c r="SW32" s="113"/>
      <c r="SX32" s="113"/>
      <c r="SY32" s="113"/>
      <c r="SZ32" s="113"/>
      <c r="TA32" s="113"/>
      <c r="TB32" s="113"/>
      <c r="TC32" s="113"/>
      <c r="TD32" s="113"/>
      <c r="TE32" s="113"/>
      <c r="TF32" s="113"/>
      <c r="TG32" s="113"/>
      <c r="TH32" s="113"/>
      <c r="TI32" s="113"/>
      <c r="TJ32" s="113"/>
      <c r="TK32" s="113"/>
      <c r="TL32" s="113"/>
      <c r="TM32" s="113"/>
      <c r="TN32" s="113"/>
      <c r="TO32" s="113"/>
      <c r="TP32" s="113"/>
      <c r="TQ32" s="113"/>
      <c r="TR32" s="113"/>
      <c r="TS32" s="113"/>
      <c r="TT32" s="113"/>
      <c r="TU32" s="113"/>
      <c r="TV32" s="113"/>
      <c r="TW32" s="113"/>
      <c r="TX32" s="113"/>
      <c r="TY32" s="113"/>
      <c r="TZ32" s="113"/>
      <c r="UA32" s="113"/>
      <c r="UB32" s="113"/>
      <c r="UC32" s="113"/>
      <c r="UD32" s="113"/>
      <c r="UE32" s="113"/>
      <c r="UF32" s="113"/>
      <c r="UG32" s="113"/>
      <c r="UH32" s="113"/>
      <c r="UI32" s="113"/>
      <c r="UJ32" s="113"/>
      <c r="UK32" s="113"/>
      <c r="UL32" s="113"/>
      <c r="UM32" s="113"/>
      <c r="UN32" s="113"/>
      <c r="UO32" s="113"/>
      <c r="UP32" s="113"/>
      <c r="UQ32" s="113"/>
      <c r="UR32" s="113"/>
      <c r="US32" s="113"/>
      <c r="UT32" s="113"/>
      <c r="UU32" s="113"/>
      <c r="UV32" s="113"/>
      <c r="UW32" s="113"/>
      <c r="UX32" s="113"/>
      <c r="UY32" s="113"/>
      <c r="UZ32" s="113"/>
      <c r="VA32" s="113"/>
      <c r="VB32" s="113"/>
      <c r="VC32" s="113"/>
      <c r="VD32" s="113"/>
      <c r="VE32" s="113"/>
      <c r="VF32" s="113"/>
      <c r="VG32" s="113"/>
      <c r="VH32" s="113"/>
      <c r="VI32" s="113"/>
      <c r="VJ32" s="113"/>
      <c r="VK32" s="113"/>
      <c r="VL32" s="113"/>
      <c r="VM32" s="113"/>
      <c r="VN32" s="113"/>
      <c r="VO32" s="113"/>
      <c r="VP32" s="113"/>
      <c r="VQ32" s="113"/>
      <c r="VR32" s="113"/>
      <c r="VS32" s="113"/>
      <c r="VT32" s="113"/>
      <c r="VU32" s="113"/>
      <c r="VV32" s="113"/>
      <c r="VW32" s="113"/>
      <c r="VX32" s="113"/>
      <c r="VY32" s="113"/>
      <c r="VZ32" s="113"/>
      <c r="WA32" s="113"/>
      <c r="WB32" s="113"/>
      <c r="WC32" s="113"/>
      <c r="WD32" s="113"/>
      <c r="WE32" s="113"/>
      <c r="WF32" s="113"/>
      <c r="WG32" s="113"/>
      <c r="WH32" s="113"/>
      <c r="WI32" s="113"/>
      <c r="WJ32" s="113"/>
      <c r="WK32" s="113"/>
      <c r="WL32" s="113"/>
      <c r="WM32" s="113"/>
      <c r="WN32" s="113"/>
      <c r="WO32" s="113"/>
      <c r="WP32" s="113"/>
      <c r="WQ32" s="113"/>
      <c r="WR32" s="113"/>
      <c r="WS32" s="113"/>
      <c r="WT32" s="113"/>
      <c r="WU32" s="113"/>
      <c r="WV32" s="113"/>
      <c r="WW32" s="113"/>
      <c r="WX32" s="113"/>
      <c r="WY32" s="113"/>
      <c r="WZ32" s="113"/>
      <c r="XA32" s="113"/>
      <c r="XB32" s="113"/>
      <c r="XC32" s="113"/>
      <c r="XD32" s="113"/>
      <c r="XE32" s="113"/>
      <c r="XF32" s="113"/>
      <c r="XG32" s="113"/>
      <c r="XH32" s="113"/>
      <c r="XI32" s="113"/>
      <c r="XJ32" s="113"/>
      <c r="XK32" s="113"/>
      <c r="XL32" s="113"/>
      <c r="XM32" s="113"/>
      <c r="XN32" s="113"/>
      <c r="XO32" s="113"/>
      <c r="XP32" s="113"/>
      <c r="XQ32" s="113"/>
      <c r="XR32" s="113"/>
      <c r="XS32" s="113"/>
      <c r="XT32" s="113"/>
      <c r="XU32" s="113"/>
      <c r="XV32" s="113"/>
      <c r="XW32" s="113"/>
      <c r="XX32" s="113"/>
      <c r="XY32" s="113"/>
      <c r="XZ32" s="113"/>
      <c r="YA32" s="113"/>
      <c r="YB32" s="113"/>
      <c r="YC32" s="113"/>
      <c r="YD32" s="113"/>
      <c r="YE32" s="113"/>
      <c r="YF32" s="113"/>
      <c r="YG32" s="113"/>
      <c r="YH32" s="113"/>
      <c r="YI32" s="113"/>
      <c r="YJ32" s="113"/>
      <c r="YK32" s="113"/>
      <c r="YL32" s="113"/>
      <c r="YM32" s="113"/>
      <c r="YN32" s="113"/>
      <c r="YO32" s="113"/>
      <c r="YP32" s="113"/>
      <c r="YQ32" s="113"/>
      <c r="YR32" s="113"/>
      <c r="YS32" s="113"/>
      <c r="YT32" s="113"/>
      <c r="YU32" s="113"/>
      <c r="YV32" s="113"/>
      <c r="YW32" s="113"/>
      <c r="YX32" s="113"/>
      <c r="YY32" s="113"/>
      <c r="YZ32" s="113"/>
      <c r="ZA32" s="113"/>
      <c r="ZB32" s="113"/>
      <c r="ZC32" s="113"/>
      <c r="ZD32" s="113"/>
      <c r="ZE32" s="113"/>
    </row>
    <row r="33">
      <c r="A33" s="13" t="s">
        <v>789</v>
      </c>
      <c r="B33" s="337"/>
      <c r="H33" s="83"/>
      <c r="I33" s="82"/>
      <c r="O33" s="83"/>
      <c r="P33" s="82"/>
      <c r="V33" s="83"/>
      <c r="W33" s="82"/>
      <c r="AC33" s="83"/>
      <c r="AD33" s="82"/>
      <c r="AJ33" s="83"/>
      <c r="AK33" s="82"/>
      <c r="AQ33" s="83"/>
      <c r="AR33" s="82"/>
      <c r="AX33" s="83"/>
      <c r="AY33" s="82"/>
      <c r="BE33" s="83"/>
      <c r="BF33" s="82"/>
      <c r="BL33" s="83"/>
      <c r="BM33" s="82"/>
      <c r="BS33" s="83"/>
      <c r="BT33" s="82"/>
      <c r="BZ33" s="83"/>
      <c r="CA33" s="86" t="s">
        <v>1867</v>
      </c>
      <c r="CH33" s="82"/>
      <c r="CO33" s="82"/>
      <c r="CV33" s="378"/>
      <c r="CW33" s="23"/>
      <c r="CX33" s="23"/>
      <c r="CY33" s="23"/>
      <c r="CZ33" s="23"/>
      <c r="DA33" s="23"/>
      <c r="DB33" s="104"/>
      <c r="DC33" s="378"/>
      <c r="DD33" s="23"/>
      <c r="DE33" s="23"/>
      <c r="DF33" s="23"/>
      <c r="DG33" s="23"/>
      <c r="DH33" s="23"/>
      <c r="DI33" s="104"/>
      <c r="DJ33" s="82"/>
      <c r="DQ33" s="82"/>
      <c r="DX33" s="82"/>
      <c r="EE33" s="82"/>
      <c r="EL33" s="378"/>
      <c r="EM33" s="23"/>
      <c r="EN33" s="23"/>
      <c r="EO33" s="23"/>
      <c r="EP33" s="23"/>
      <c r="EQ33" s="23"/>
      <c r="ER33" s="23"/>
      <c r="ES33" s="379"/>
      <c r="ET33" s="23"/>
      <c r="EU33" s="23"/>
      <c r="EV33" s="23"/>
      <c r="EW33" s="23"/>
      <c r="EX33" s="23"/>
      <c r="EY33" s="23"/>
      <c r="EZ33" s="86"/>
      <c r="FG33" s="82"/>
      <c r="FN33" s="378"/>
      <c r="FO33" s="23"/>
      <c r="FP33" s="23"/>
      <c r="FQ33" s="23"/>
      <c r="FR33" s="23"/>
      <c r="FS33" s="23"/>
      <c r="FT33" s="23"/>
      <c r="FU33" s="379"/>
      <c r="FV33" s="23"/>
      <c r="FW33" s="23"/>
      <c r="FX33" s="23"/>
      <c r="FY33" s="23"/>
      <c r="FZ33" s="23"/>
      <c r="GA33" s="23"/>
      <c r="GB33" s="82"/>
      <c r="GI33" s="82"/>
      <c r="GP33" s="381" t="s">
        <v>1870</v>
      </c>
      <c r="GQ33" s="195"/>
      <c r="GR33" s="195"/>
      <c r="GS33" s="195"/>
      <c r="GT33" s="195"/>
      <c r="GU33" s="195"/>
      <c r="GV33" s="382"/>
      <c r="GW33" s="82"/>
      <c r="HD33" s="82"/>
      <c r="HK33" s="381" t="s">
        <v>1871</v>
      </c>
      <c r="HL33" s="195"/>
      <c r="HM33" s="195"/>
      <c r="HN33" s="195"/>
      <c r="HO33" s="195"/>
      <c r="HP33" s="195"/>
      <c r="HQ33" s="382"/>
      <c r="HR33" s="82"/>
      <c r="HY33" s="82"/>
      <c r="IF33" s="379"/>
      <c r="IG33" s="23"/>
      <c r="IH33" s="23"/>
      <c r="II33" s="23"/>
      <c r="IJ33" s="23"/>
      <c r="IK33" s="23"/>
      <c r="IL33" s="23"/>
      <c r="IM33" s="82"/>
      <c r="IT33" s="82"/>
      <c r="JA33" s="82"/>
      <c r="JH33" s="82"/>
      <c r="JO33" s="379"/>
      <c r="JP33" s="23"/>
      <c r="JQ33" s="23"/>
      <c r="JR33" s="23"/>
      <c r="JS33" s="23"/>
      <c r="JT33" s="23"/>
      <c r="JU33" s="23"/>
      <c r="JV33" s="82"/>
      <c r="KC33" s="82"/>
      <c r="KJ33" s="82"/>
      <c r="KQ33" s="82"/>
      <c r="KX33" s="82"/>
      <c r="LE33" s="82"/>
      <c r="LL33" s="379"/>
      <c r="LM33" s="23"/>
      <c r="LN33" s="23"/>
      <c r="LO33" s="23"/>
      <c r="LP33" s="23"/>
      <c r="LQ33" s="23"/>
      <c r="LR33" s="23"/>
      <c r="LS33" s="82"/>
      <c r="LZ33" s="82"/>
      <c r="MG33" s="379"/>
      <c r="MH33" s="23"/>
      <c r="MI33" s="23"/>
      <c r="MJ33" s="23"/>
      <c r="MK33" s="23"/>
      <c r="ML33" s="23"/>
      <c r="MM33" s="23"/>
      <c r="MN33" s="82"/>
      <c r="MU33" s="82"/>
      <c r="NB33" s="337"/>
      <c r="NC33" s="113"/>
      <c r="ND33" s="113"/>
      <c r="NE33" s="113"/>
      <c r="NF33" s="113"/>
      <c r="NG33" s="113"/>
      <c r="NH33" s="113"/>
      <c r="NI33" s="113"/>
      <c r="NJ33" s="113"/>
      <c r="NK33" s="113"/>
      <c r="NL33" s="113"/>
      <c r="NM33" s="113"/>
      <c r="NN33" s="113"/>
      <c r="NO33" s="113"/>
      <c r="NP33" s="113"/>
      <c r="NQ33" s="113"/>
      <c r="NR33" s="113"/>
      <c r="NS33" s="113"/>
      <c r="NT33" s="113"/>
      <c r="NU33" s="113"/>
      <c r="NV33" s="113"/>
      <c r="NW33" s="113"/>
      <c r="NX33" s="113"/>
      <c r="NY33" s="113"/>
      <c r="NZ33" s="113"/>
      <c r="OA33" s="113"/>
      <c r="OB33" s="113"/>
      <c r="OC33" s="113"/>
      <c r="OD33" s="113"/>
      <c r="OE33" s="113"/>
      <c r="OF33" s="113"/>
      <c r="OG33" s="113"/>
      <c r="OH33" s="113"/>
      <c r="OI33" s="113"/>
      <c r="OJ33" s="113"/>
      <c r="OK33" s="113"/>
      <c r="OL33" s="113"/>
      <c r="OM33" s="113"/>
      <c r="ON33" s="113"/>
      <c r="OO33" s="113"/>
      <c r="OP33" s="113"/>
      <c r="OQ33" s="113"/>
      <c r="OR33" s="113"/>
      <c r="OS33" s="113"/>
      <c r="OT33" s="113"/>
      <c r="OU33" s="113"/>
      <c r="OV33" s="113"/>
      <c r="OW33" s="113"/>
      <c r="OX33" s="113"/>
      <c r="OY33" s="113"/>
      <c r="OZ33" s="113"/>
      <c r="PA33" s="113"/>
      <c r="PB33" s="113"/>
      <c r="PC33" s="113"/>
      <c r="PD33" s="113"/>
      <c r="PE33" s="113"/>
      <c r="PF33" s="113"/>
      <c r="PG33" s="113"/>
      <c r="PH33" s="113"/>
      <c r="PI33" s="113"/>
      <c r="PJ33" s="113"/>
      <c r="PK33" s="113"/>
      <c r="PL33" s="113"/>
      <c r="PM33" s="113"/>
      <c r="PN33" s="113"/>
      <c r="PO33" s="113"/>
      <c r="PP33" s="113"/>
      <c r="PQ33" s="113"/>
      <c r="PR33" s="113"/>
      <c r="PS33" s="113"/>
      <c r="PT33" s="113"/>
      <c r="PU33" s="113"/>
      <c r="PV33" s="113"/>
      <c r="PW33" s="113"/>
      <c r="PX33" s="113"/>
      <c r="PY33" s="113"/>
      <c r="PZ33" s="113"/>
      <c r="QA33" s="113"/>
      <c r="QB33" s="113"/>
      <c r="QC33" s="113"/>
      <c r="QD33" s="113"/>
      <c r="QE33" s="113"/>
      <c r="QF33" s="113"/>
      <c r="QG33" s="113"/>
      <c r="QH33" s="113"/>
      <c r="QI33" s="113"/>
      <c r="QJ33" s="113"/>
      <c r="QK33" s="113"/>
      <c r="QL33" s="113"/>
      <c r="QM33" s="113"/>
      <c r="QN33" s="113"/>
      <c r="QO33" s="113"/>
      <c r="QP33" s="113"/>
      <c r="QQ33" s="113"/>
      <c r="QR33" s="113"/>
      <c r="QS33" s="113"/>
      <c r="QT33" s="113"/>
      <c r="QU33" s="113"/>
      <c r="QV33" s="113"/>
      <c r="QW33" s="113"/>
      <c r="QX33" s="113"/>
      <c r="QY33" s="113"/>
      <c r="QZ33" s="113"/>
      <c r="RA33" s="113"/>
      <c r="RB33" s="113"/>
      <c r="RC33" s="113"/>
      <c r="RD33" s="113"/>
      <c r="RE33" s="113"/>
      <c r="RF33" s="113"/>
      <c r="RG33" s="113"/>
      <c r="RH33" s="113"/>
      <c r="RI33" s="113"/>
      <c r="RJ33" s="113"/>
      <c r="RK33" s="113"/>
      <c r="RL33" s="113"/>
      <c r="RM33" s="113"/>
      <c r="RN33" s="113"/>
      <c r="RO33" s="113"/>
      <c r="RP33" s="113"/>
      <c r="RQ33" s="113"/>
      <c r="RR33" s="113"/>
      <c r="RS33" s="113"/>
      <c r="RT33" s="113"/>
      <c r="RU33" s="113"/>
      <c r="RV33" s="113"/>
      <c r="RW33" s="113"/>
      <c r="RX33" s="113"/>
      <c r="RY33" s="113"/>
      <c r="RZ33" s="113"/>
      <c r="SA33" s="113"/>
      <c r="SB33" s="113"/>
      <c r="SC33" s="113"/>
      <c r="SD33" s="113"/>
      <c r="SE33" s="113"/>
      <c r="SF33" s="113"/>
      <c r="SG33" s="113"/>
      <c r="SH33" s="113"/>
      <c r="SI33" s="113"/>
      <c r="SJ33" s="113"/>
      <c r="SK33" s="113"/>
      <c r="SL33" s="113"/>
      <c r="SM33" s="113"/>
      <c r="SN33" s="113"/>
      <c r="SO33" s="113"/>
      <c r="SP33" s="113"/>
      <c r="SQ33" s="113"/>
      <c r="SR33" s="113"/>
      <c r="SS33" s="113"/>
      <c r="ST33" s="113"/>
      <c r="SU33" s="113"/>
      <c r="SV33" s="113"/>
      <c r="SW33" s="113"/>
      <c r="SX33" s="113"/>
      <c r="SY33" s="113"/>
      <c r="SZ33" s="113"/>
      <c r="TA33" s="113"/>
      <c r="TB33" s="113"/>
      <c r="TC33" s="113"/>
      <c r="TD33" s="113"/>
      <c r="TE33" s="113"/>
      <c r="TF33" s="113"/>
      <c r="TG33" s="113"/>
      <c r="TH33" s="113"/>
      <c r="TI33" s="113"/>
      <c r="TJ33" s="113"/>
      <c r="TK33" s="113"/>
      <c r="TL33" s="113"/>
      <c r="TM33" s="113"/>
      <c r="TN33" s="113"/>
      <c r="TO33" s="113"/>
      <c r="TP33" s="113"/>
      <c r="TQ33" s="113"/>
      <c r="TR33" s="113"/>
      <c r="TS33" s="113"/>
      <c r="TT33" s="113"/>
      <c r="TU33" s="113"/>
      <c r="TV33" s="113"/>
      <c r="TW33" s="113"/>
      <c r="TX33" s="113"/>
      <c r="TY33" s="113"/>
      <c r="TZ33" s="113"/>
      <c r="UA33" s="113"/>
      <c r="UB33" s="113"/>
      <c r="UC33" s="113"/>
      <c r="UD33" s="113"/>
      <c r="UE33" s="113"/>
      <c r="UF33" s="113"/>
      <c r="UG33" s="113"/>
      <c r="UH33" s="113"/>
      <c r="UI33" s="113"/>
      <c r="UJ33" s="113"/>
      <c r="UK33" s="113"/>
      <c r="UL33" s="113"/>
      <c r="UM33" s="113"/>
      <c r="UN33" s="113"/>
      <c r="UO33" s="113"/>
      <c r="UP33" s="113"/>
      <c r="UQ33" s="113"/>
      <c r="UR33" s="113"/>
      <c r="US33" s="113"/>
      <c r="UT33" s="113"/>
      <c r="UU33" s="113"/>
      <c r="UV33" s="113"/>
      <c r="UW33" s="113"/>
      <c r="UX33" s="113"/>
      <c r="UY33" s="113"/>
      <c r="UZ33" s="113"/>
      <c r="VA33" s="113"/>
      <c r="VB33" s="113"/>
      <c r="VC33" s="113"/>
      <c r="VD33" s="113"/>
      <c r="VE33" s="113"/>
      <c r="VF33" s="113"/>
      <c r="VG33" s="113"/>
      <c r="VH33" s="113"/>
      <c r="VI33" s="113"/>
      <c r="VJ33" s="113"/>
      <c r="VK33" s="113"/>
      <c r="VL33" s="113"/>
      <c r="VM33" s="113"/>
      <c r="VN33" s="113"/>
      <c r="VO33" s="113"/>
      <c r="VP33" s="113"/>
      <c r="VQ33" s="113"/>
      <c r="VR33" s="113"/>
      <c r="VS33" s="113"/>
      <c r="VT33" s="113"/>
      <c r="VU33" s="113"/>
      <c r="VV33" s="113"/>
      <c r="VW33" s="113"/>
      <c r="VX33" s="113"/>
      <c r="VY33" s="113"/>
      <c r="VZ33" s="113"/>
      <c r="WA33" s="113"/>
      <c r="WB33" s="113"/>
      <c r="WC33" s="113"/>
      <c r="WD33" s="113"/>
      <c r="WE33" s="113"/>
      <c r="WF33" s="113"/>
      <c r="WG33" s="113"/>
      <c r="WH33" s="113"/>
      <c r="WI33" s="113"/>
      <c r="WJ33" s="113"/>
      <c r="WK33" s="113"/>
      <c r="WL33" s="113"/>
      <c r="WM33" s="113"/>
      <c r="WN33" s="113"/>
      <c r="WO33" s="113"/>
      <c r="WP33" s="113"/>
      <c r="WQ33" s="113"/>
      <c r="WR33" s="113"/>
      <c r="WS33" s="113"/>
      <c r="WT33" s="113"/>
      <c r="WU33" s="113"/>
      <c r="WV33" s="113"/>
      <c r="WW33" s="113"/>
      <c r="WX33" s="113"/>
      <c r="WY33" s="113"/>
      <c r="WZ33" s="113"/>
      <c r="XA33" s="113"/>
      <c r="XB33" s="113"/>
      <c r="XC33" s="113"/>
      <c r="XD33" s="113"/>
      <c r="XE33" s="113"/>
      <c r="XF33" s="113"/>
      <c r="XG33" s="113"/>
      <c r="XH33" s="113"/>
      <c r="XI33" s="113"/>
      <c r="XJ33" s="113"/>
      <c r="XK33" s="113"/>
      <c r="XL33" s="113"/>
      <c r="XM33" s="113"/>
      <c r="XN33" s="113"/>
      <c r="XO33" s="113"/>
      <c r="XP33" s="113"/>
      <c r="XQ33" s="113"/>
      <c r="XR33" s="113"/>
      <c r="XS33" s="113"/>
      <c r="XT33" s="113"/>
      <c r="XU33" s="113"/>
      <c r="XV33" s="113"/>
      <c r="XW33" s="113"/>
      <c r="XX33" s="113"/>
      <c r="XY33" s="113"/>
      <c r="XZ33" s="113"/>
      <c r="YA33" s="113"/>
      <c r="YB33" s="113"/>
      <c r="YC33" s="113"/>
      <c r="YD33" s="113"/>
      <c r="YE33" s="113"/>
      <c r="YF33" s="113"/>
      <c r="YG33" s="113"/>
      <c r="YH33" s="113"/>
      <c r="YI33" s="113"/>
      <c r="YJ33" s="113"/>
      <c r="YK33" s="113"/>
      <c r="YL33" s="113"/>
      <c r="YM33" s="113"/>
      <c r="YN33" s="113"/>
      <c r="YO33" s="113"/>
      <c r="YP33" s="113"/>
      <c r="YQ33" s="113"/>
      <c r="YR33" s="113"/>
      <c r="YS33" s="113"/>
      <c r="YT33" s="113"/>
      <c r="YU33" s="113"/>
      <c r="YV33" s="113"/>
      <c r="YW33" s="113"/>
      <c r="YX33" s="113"/>
      <c r="YY33" s="113"/>
      <c r="YZ33" s="113"/>
      <c r="ZA33" s="113"/>
      <c r="ZB33" s="113"/>
      <c r="ZC33" s="113"/>
      <c r="ZD33" s="113"/>
      <c r="ZE33" s="113"/>
    </row>
    <row r="34">
      <c r="A34" s="383" t="s">
        <v>1883</v>
      </c>
      <c r="B34" s="330"/>
      <c r="C34" s="23"/>
      <c r="D34" s="23"/>
      <c r="E34" s="23"/>
      <c r="F34" s="23"/>
      <c r="G34" s="23"/>
      <c r="H34" s="23"/>
      <c r="I34" s="330"/>
      <c r="J34" s="23"/>
      <c r="K34" s="23"/>
      <c r="L34" s="23"/>
      <c r="M34" s="23"/>
      <c r="N34" s="23"/>
      <c r="O34" s="23"/>
      <c r="P34" s="330"/>
      <c r="Q34" s="23"/>
      <c r="R34" s="23"/>
      <c r="S34" s="23"/>
      <c r="T34" s="23"/>
      <c r="U34" s="23"/>
      <c r="V34" s="23"/>
      <c r="W34" s="330"/>
      <c r="X34" s="23"/>
      <c r="Y34" s="23"/>
      <c r="Z34" s="23"/>
      <c r="AA34" s="23"/>
      <c r="AB34" s="23"/>
      <c r="AC34" s="23"/>
      <c r="AD34" s="330"/>
      <c r="AE34" s="23"/>
      <c r="AF34" s="23"/>
      <c r="AG34" s="23"/>
      <c r="AH34" s="23"/>
      <c r="AI34" s="23"/>
      <c r="AJ34" s="23"/>
      <c r="AK34" s="330"/>
      <c r="AL34" s="23"/>
      <c r="AM34" s="23"/>
      <c r="AN34" s="23"/>
      <c r="AO34" s="23"/>
      <c r="AP34" s="23"/>
      <c r="AQ34" s="23"/>
      <c r="AR34" s="385">
        <v>0.0</v>
      </c>
      <c r="AS34" s="23"/>
      <c r="AT34" s="23"/>
      <c r="AU34" s="23"/>
      <c r="AV34" s="23"/>
      <c r="AW34" s="23"/>
      <c r="AX34" s="23"/>
      <c r="AY34" s="330"/>
      <c r="AZ34" s="23"/>
      <c r="BA34" s="23"/>
      <c r="BB34" s="23"/>
      <c r="BC34" s="23"/>
      <c r="BD34" s="23"/>
      <c r="BE34" s="23"/>
      <c r="BF34" s="330"/>
      <c r="BG34" s="23"/>
      <c r="BH34" s="23"/>
      <c r="BI34" s="23"/>
      <c r="BJ34" s="23"/>
      <c r="BK34" s="23"/>
      <c r="BL34" s="23"/>
      <c r="BM34" s="330"/>
      <c r="BN34" s="23"/>
      <c r="BO34" s="23"/>
      <c r="BP34" s="23"/>
      <c r="BQ34" s="23"/>
      <c r="BR34" s="23"/>
      <c r="BS34" s="23"/>
      <c r="BT34" s="330"/>
      <c r="BU34" s="23"/>
      <c r="BV34" s="23"/>
      <c r="BW34" s="23"/>
      <c r="BX34" s="23"/>
      <c r="BY34" s="23"/>
      <c r="BZ34" s="23"/>
      <c r="CA34" s="330"/>
      <c r="CB34" s="23"/>
      <c r="CC34" s="23"/>
      <c r="CD34" s="23"/>
      <c r="CE34" s="23"/>
      <c r="CF34" s="23"/>
      <c r="CG34" s="23"/>
      <c r="CH34" s="330"/>
      <c r="CI34" s="23"/>
      <c r="CJ34" s="23"/>
      <c r="CK34" s="23"/>
      <c r="CL34" s="23"/>
      <c r="CM34" s="23"/>
      <c r="CN34" s="23"/>
      <c r="CO34" s="330"/>
      <c r="CP34" s="23"/>
      <c r="CQ34" s="23"/>
      <c r="CR34" s="23"/>
      <c r="CS34" s="23"/>
      <c r="CT34" s="23"/>
      <c r="CU34" s="23"/>
      <c r="CV34" s="330"/>
      <c r="CW34" s="23"/>
      <c r="CX34" s="23"/>
      <c r="CY34" s="23"/>
      <c r="CZ34" s="23"/>
      <c r="DA34" s="23"/>
      <c r="DB34" s="23"/>
      <c r="DC34" s="330"/>
      <c r="DD34" s="23"/>
      <c r="DE34" s="23"/>
      <c r="DF34" s="23"/>
      <c r="DG34" s="23"/>
      <c r="DH34" s="23"/>
      <c r="DI34" s="23"/>
      <c r="DJ34" s="330"/>
      <c r="DK34" s="23"/>
      <c r="DL34" s="23"/>
      <c r="DM34" s="23"/>
      <c r="DN34" s="23"/>
      <c r="DO34" s="23"/>
      <c r="DP34" s="23"/>
      <c r="DQ34" s="330"/>
      <c r="DR34" s="23"/>
      <c r="DS34" s="23"/>
      <c r="DT34" s="23"/>
      <c r="DU34" s="23"/>
      <c r="DV34" s="23"/>
      <c r="DW34" s="23"/>
      <c r="DX34" s="330"/>
      <c r="DY34" s="23"/>
      <c r="DZ34" s="23"/>
      <c r="EA34" s="23"/>
      <c r="EB34" s="23"/>
      <c r="EC34" s="23"/>
      <c r="ED34" s="23"/>
      <c r="EE34" s="330"/>
      <c r="EF34" s="23"/>
      <c r="EG34" s="23"/>
      <c r="EH34" s="23"/>
      <c r="EI34" s="23"/>
      <c r="EJ34" s="23"/>
      <c r="EK34" s="23"/>
      <c r="EL34" s="330"/>
      <c r="EM34" s="23"/>
      <c r="EN34" s="23"/>
      <c r="EO34" s="23"/>
      <c r="EP34" s="23"/>
      <c r="EQ34" s="23"/>
      <c r="ER34" s="23"/>
      <c r="ES34" s="330"/>
      <c r="ET34" s="23"/>
      <c r="EU34" s="23"/>
      <c r="EV34" s="23"/>
      <c r="EW34" s="23"/>
      <c r="EX34" s="23"/>
      <c r="EY34" s="23"/>
      <c r="EZ34" s="330"/>
      <c r="FA34" s="23"/>
      <c r="FB34" s="23"/>
      <c r="FC34" s="23"/>
      <c r="FD34" s="23"/>
      <c r="FE34" s="23"/>
      <c r="FF34" s="23"/>
      <c r="FG34" s="330"/>
      <c r="FH34" s="23"/>
      <c r="FI34" s="23"/>
      <c r="FJ34" s="23"/>
      <c r="FK34" s="23"/>
      <c r="FL34" s="23"/>
      <c r="FM34" s="23"/>
      <c r="FN34" s="330"/>
      <c r="FO34" s="23"/>
      <c r="FP34" s="23"/>
      <c r="FQ34" s="23"/>
      <c r="FR34" s="23"/>
      <c r="FS34" s="23"/>
      <c r="FT34" s="23"/>
      <c r="FU34" s="330"/>
      <c r="FV34" s="23"/>
      <c r="FW34" s="23"/>
      <c r="FX34" s="23"/>
      <c r="FY34" s="23"/>
      <c r="FZ34" s="23"/>
      <c r="GA34" s="23"/>
      <c r="GB34" s="330"/>
      <c r="GC34" s="23"/>
      <c r="GD34" s="23"/>
      <c r="GE34" s="23"/>
      <c r="GF34" s="23"/>
      <c r="GG34" s="23"/>
      <c r="GH34" s="23"/>
      <c r="GI34" s="330"/>
      <c r="GJ34" s="23"/>
      <c r="GK34" s="23"/>
      <c r="GL34" s="23"/>
      <c r="GM34" s="23"/>
      <c r="GN34" s="23"/>
      <c r="GO34" s="23"/>
      <c r="GP34" s="330"/>
      <c r="GQ34" s="23"/>
      <c r="GR34" s="23"/>
      <c r="GS34" s="23"/>
      <c r="GT34" s="23"/>
      <c r="GU34" s="23"/>
      <c r="GV34" s="23"/>
      <c r="GW34" s="330"/>
      <c r="GX34" s="23"/>
      <c r="GY34" s="23"/>
      <c r="GZ34" s="23"/>
      <c r="HA34" s="23"/>
      <c r="HB34" s="23"/>
      <c r="HC34" s="23"/>
      <c r="HD34" s="330"/>
      <c r="HE34" s="23"/>
      <c r="HF34" s="23"/>
      <c r="HG34" s="23"/>
      <c r="HH34" s="23"/>
      <c r="HI34" s="23"/>
      <c r="HJ34" s="23"/>
      <c r="HK34" s="330"/>
      <c r="HL34" s="23"/>
      <c r="HM34" s="23"/>
      <c r="HN34" s="23"/>
      <c r="HO34" s="23"/>
      <c r="HP34" s="23"/>
      <c r="HQ34" s="23"/>
      <c r="HR34" s="385"/>
      <c r="HS34" s="23"/>
      <c r="HT34" s="23"/>
      <c r="HU34" s="23"/>
      <c r="HV34" s="23"/>
      <c r="HW34" s="23"/>
      <c r="HX34" s="23"/>
      <c r="HY34" s="330"/>
      <c r="HZ34" s="23"/>
      <c r="IA34" s="23"/>
      <c r="IB34" s="23"/>
      <c r="IC34" s="23"/>
      <c r="ID34" s="23"/>
      <c r="IE34" s="23"/>
      <c r="IF34" s="330"/>
      <c r="IG34" s="23"/>
      <c r="IH34" s="23"/>
      <c r="II34" s="23"/>
      <c r="IJ34" s="23"/>
      <c r="IK34" s="23"/>
      <c r="IL34" s="23"/>
      <c r="IM34" s="330"/>
      <c r="IN34" s="23"/>
      <c r="IO34" s="23"/>
      <c r="IP34" s="23"/>
      <c r="IQ34" s="23"/>
      <c r="IR34" s="23"/>
      <c r="IS34" s="23"/>
      <c r="IT34" s="330"/>
      <c r="IU34" s="23"/>
      <c r="IV34" s="23"/>
      <c r="IW34" s="23"/>
      <c r="IX34" s="23"/>
      <c r="IY34" s="23"/>
      <c r="IZ34" s="23"/>
      <c r="JA34" s="330"/>
      <c r="JB34" s="23"/>
      <c r="JC34" s="23"/>
      <c r="JD34" s="23"/>
      <c r="JE34" s="23"/>
      <c r="JF34" s="23"/>
      <c r="JG34" s="23"/>
      <c r="JH34" s="330"/>
      <c r="JI34" s="23"/>
      <c r="JJ34" s="23"/>
      <c r="JK34" s="23"/>
      <c r="JL34" s="23"/>
      <c r="JM34" s="23"/>
      <c r="JN34" s="23"/>
      <c r="JO34" s="332"/>
      <c r="JP34" s="23"/>
      <c r="JQ34" s="23"/>
      <c r="JR34" s="23"/>
      <c r="JS34" s="23"/>
      <c r="JT34" s="23"/>
      <c r="JU34" s="23"/>
      <c r="JV34" s="330"/>
      <c r="JW34" s="23"/>
      <c r="JX34" s="23"/>
      <c r="JY34" s="23"/>
      <c r="JZ34" s="23"/>
      <c r="KA34" s="23"/>
      <c r="KB34" s="23"/>
      <c r="KC34" s="330"/>
      <c r="KD34" s="23"/>
      <c r="KE34" s="23"/>
      <c r="KF34" s="23"/>
      <c r="KG34" s="23"/>
      <c r="KH34" s="23"/>
      <c r="KI34" s="23"/>
      <c r="KJ34" s="330"/>
      <c r="KK34" s="23"/>
      <c r="KL34" s="23"/>
      <c r="KM34" s="23"/>
      <c r="KN34" s="23"/>
      <c r="KO34" s="23"/>
      <c r="KP34" s="23"/>
      <c r="KQ34" s="330"/>
      <c r="KR34" s="23"/>
      <c r="KS34" s="23"/>
      <c r="KT34" s="23"/>
      <c r="KU34" s="23"/>
      <c r="KV34" s="23"/>
      <c r="KW34" s="23"/>
      <c r="KX34" s="330"/>
      <c r="KY34" s="23"/>
      <c r="KZ34" s="23"/>
      <c r="LA34" s="23"/>
      <c r="LB34" s="23"/>
      <c r="LC34" s="23"/>
      <c r="LD34" s="23"/>
      <c r="LE34" s="330"/>
      <c r="LF34" s="23"/>
      <c r="LG34" s="23"/>
      <c r="LH34" s="23"/>
      <c r="LI34" s="23"/>
      <c r="LJ34" s="23"/>
      <c r="LK34" s="23"/>
      <c r="LL34" s="330"/>
      <c r="LM34" s="23"/>
      <c r="LN34" s="23"/>
      <c r="LO34" s="23"/>
      <c r="LP34" s="23"/>
      <c r="LQ34" s="23"/>
      <c r="LR34" s="23"/>
      <c r="LS34" s="330"/>
      <c r="LT34" s="23"/>
      <c r="LU34" s="23"/>
      <c r="LV34" s="23"/>
      <c r="LW34" s="23"/>
      <c r="LX34" s="23"/>
      <c r="LY34" s="23"/>
      <c r="LZ34" s="330"/>
      <c r="MA34" s="23"/>
      <c r="MB34" s="23"/>
      <c r="MC34" s="23"/>
      <c r="MD34" s="23"/>
      <c r="ME34" s="23"/>
      <c r="MF34" s="23"/>
      <c r="MG34" s="330"/>
      <c r="MH34" s="23"/>
      <c r="MI34" s="23"/>
      <c r="MJ34" s="23"/>
      <c r="MK34" s="23"/>
      <c r="ML34" s="23"/>
      <c r="MM34" s="23"/>
      <c r="MN34" s="330"/>
      <c r="MO34" s="23"/>
      <c r="MP34" s="23"/>
      <c r="MQ34" s="23"/>
      <c r="MR34" s="23"/>
      <c r="MS34" s="23"/>
      <c r="MT34" s="23"/>
      <c r="MU34" s="330"/>
      <c r="MV34" s="23"/>
      <c r="MW34" s="23"/>
      <c r="MX34" s="23"/>
      <c r="MY34" s="23"/>
      <c r="MZ34" s="23"/>
      <c r="NA34" s="104"/>
      <c r="NB34" s="334"/>
      <c r="NC34" s="335"/>
      <c r="ND34" s="335"/>
      <c r="NE34" s="335"/>
      <c r="NF34" s="335"/>
      <c r="NG34" s="335"/>
      <c r="NH34" s="335"/>
      <c r="NI34" s="335"/>
      <c r="NJ34" s="335"/>
      <c r="NK34" s="335"/>
      <c r="NL34" s="335"/>
      <c r="NM34" s="335"/>
      <c r="NN34" s="335"/>
      <c r="NO34" s="335"/>
      <c r="NP34" s="335"/>
      <c r="NQ34" s="335"/>
      <c r="NR34" s="335"/>
      <c r="NS34" s="335"/>
      <c r="NT34" s="335"/>
      <c r="NU34" s="335"/>
      <c r="NV34" s="335"/>
      <c r="NW34" s="335"/>
      <c r="NX34" s="335"/>
      <c r="NY34" s="335"/>
      <c r="NZ34" s="335"/>
      <c r="OA34" s="335"/>
      <c r="OB34" s="335"/>
      <c r="OC34" s="335"/>
      <c r="OD34" s="335"/>
      <c r="OE34" s="335"/>
      <c r="OF34" s="335"/>
      <c r="OG34" s="335"/>
      <c r="OH34" s="335"/>
      <c r="OI34" s="335"/>
      <c r="OJ34" s="335"/>
      <c r="OK34" s="335"/>
      <c r="OL34" s="335"/>
      <c r="OM34" s="335"/>
      <c r="ON34" s="335"/>
      <c r="OO34" s="335"/>
      <c r="OP34" s="335"/>
      <c r="OQ34" s="335"/>
      <c r="OR34" s="335"/>
      <c r="OS34" s="335"/>
      <c r="OT34" s="335"/>
      <c r="OU34" s="335"/>
      <c r="OV34" s="335"/>
      <c r="OW34" s="335"/>
      <c r="OX34" s="335"/>
      <c r="OY34" s="335"/>
      <c r="OZ34" s="335"/>
      <c r="PA34" s="335"/>
      <c r="PB34" s="335"/>
      <c r="PC34" s="335"/>
      <c r="PD34" s="335"/>
      <c r="PE34" s="335"/>
      <c r="PF34" s="335"/>
      <c r="PG34" s="335"/>
      <c r="PH34" s="335"/>
      <c r="PI34" s="335"/>
      <c r="PJ34" s="335"/>
      <c r="PK34" s="335"/>
      <c r="PL34" s="335"/>
      <c r="PM34" s="335"/>
      <c r="PN34" s="335"/>
      <c r="PO34" s="335"/>
      <c r="PP34" s="335"/>
      <c r="PQ34" s="335"/>
      <c r="PR34" s="335"/>
      <c r="PS34" s="335"/>
      <c r="PT34" s="335"/>
      <c r="PU34" s="335"/>
      <c r="PV34" s="335"/>
      <c r="PW34" s="335"/>
      <c r="PX34" s="335"/>
      <c r="PY34" s="335"/>
      <c r="PZ34" s="335"/>
      <c r="QA34" s="335"/>
      <c r="QB34" s="335"/>
      <c r="QC34" s="335"/>
      <c r="QD34" s="335"/>
      <c r="QE34" s="335"/>
      <c r="QF34" s="335"/>
      <c r="QG34" s="335"/>
      <c r="QH34" s="335"/>
      <c r="QI34" s="335"/>
      <c r="QJ34" s="335"/>
      <c r="QK34" s="335"/>
      <c r="QL34" s="335"/>
      <c r="QM34" s="335"/>
      <c r="QN34" s="335"/>
      <c r="QO34" s="335"/>
      <c r="QP34" s="335"/>
      <c r="QQ34" s="335"/>
      <c r="QR34" s="335"/>
      <c r="QS34" s="335"/>
      <c r="QT34" s="335"/>
      <c r="QU34" s="335"/>
      <c r="QV34" s="335"/>
      <c r="QW34" s="335"/>
      <c r="QX34" s="335"/>
      <c r="QY34" s="335"/>
      <c r="QZ34" s="335"/>
      <c r="RA34" s="335"/>
      <c r="RB34" s="335"/>
      <c r="RC34" s="335"/>
      <c r="RD34" s="335"/>
      <c r="RE34" s="335"/>
      <c r="RF34" s="335"/>
      <c r="RG34" s="335"/>
      <c r="RH34" s="335"/>
      <c r="RI34" s="335"/>
      <c r="RJ34" s="335"/>
      <c r="RK34" s="335"/>
      <c r="RL34" s="335"/>
      <c r="RM34" s="335"/>
      <c r="RN34" s="335"/>
      <c r="RO34" s="335"/>
      <c r="RP34" s="335"/>
      <c r="RQ34" s="335"/>
      <c r="RR34" s="335"/>
      <c r="RS34" s="335"/>
      <c r="RT34" s="335"/>
      <c r="RU34" s="335"/>
      <c r="RV34" s="335"/>
      <c r="RW34" s="335"/>
      <c r="RX34" s="335"/>
      <c r="RY34" s="335"/>
      <c r="RZ34" s="335"/>
      <c r="SA34" s="335"/>
      <c r="SB34" s="335"/>
      <c r="SC34" s="335"/>
      <c r="SD34" s="335"/>
      <c r="SE34" s="335"/>
      <c r="SF34" s="335"/>
      <c r="SG34" s="335"/>
      <c r="SH34" s="335"/>
      <c r="SI34" s="335"/>
      <c r="SJ34" s="335"/>
      <c r="SK34" s="335"/>
      <c r="SL34" s="335"/>
      <c r="SM34" s="335"/>
      <c r="SN34" s="335"/>
      <c r="SO34" s="335"/>
      <c r="SP34" s="335"/>
      <c r="SQ34" s="335"/>
      <c r="SR34" s="335"/>
      <c r="SS34" s="335"/>
      <c r="ST34" s="335"/>
      <c r="SU34" s="335"/>
      <c r="SV34" s="335"/>
      <c r="SW34" s="335"/>
      <c r="SX34" s="335"/>
      <c r="SY34" s="335"/>
      <c r="SZ34" s="335"/>
      <c r="TA34" s="335"/>
      <c r="TB34" s="335"/>
      <c r="TC34" s="335"/>
      <c r="TD34" s="335"/>
      <c r="TE34" s="335"/>
      <c r="TF34" s="335"/>
      <c r="TG34" s="335"/>
      <c r="TH34" s="335"/>
      <c r="TI34" s="335"/>
      <c r="TJ34" s="335"/>
      <c r="TK34" s="335"/>
      <c r="TL34" s="335"/>
      <c r="TM34" s="335"/>
      <c r="TN34" s="335"/>
      <c r="TO34" s="335"/>
      <c r="TP34" s="335"/>
      <c r="TQ34" s="335"/>
      <c r="TR34" s="335"/>
      <c r="TS34" s="335"/>
      <c r="TT34" s="335"/>
      <c r="TU34" s="335"/>
      <c r="TV34" s="335"/>
      <c r="TW34" s="335"/>
      <c r="TX34" s="335"/>
      <c r="TY34" s="335"/>
      <c r="TZ34" s="335"/>
      <c r="UA34" s="335"/>
      <c r="UB34" s="335"/>
      <c r="UC34" s="335"/>
      <c r="UD34" s="335"/>
      <c r="UE34" s="335"/>
      <c r="UF34" s="335"/>
      <c r="UG34" s="335"/>
      <c r="UH34" s="335"/>
      <c r="UI34" s="335"/>
      <c r="UJ34" s="335"/>
      <c r="UK34" s="335"/>
      <c r="UL34" s="335"/>
      <c r="UM34" s="335"/>
      <c r="UN34" s="335"/>
      <c r="UO34" s="335"/>
      <c r="UP34" s="335"/>
      <c r="UQ34" s="335"/>
      <c r="UR34" s="335"/>
      <c r="US34" s="335"/>
      <c r="UT34" s="335"/>
      <c r="UU34" s="335"/>
      <c r="UV34" s="335"/>
      <c r="UW34" s="335"/>
      <c r="UX34" s="335"/>
      <c r="UY34" s="335"/>
      <c r="UZ34" s="335"/>
      <c r="VA34" s="335"/>
      <c r="VB34" s="335"/>
      <c r="VC34" s="335"/>
      <c r="VD34" s="335"/>
      <c r="VE34" s="335"/>
      <c r="VF34" s="335"/>
      <c r="VG34" s="335"/>
      <c r="VH34" s="335"/>
      <c r="VI34" s="335"/>
      <c r="VJ34" s="335"/>
      <c r="VK34" s="335"/>
      <c r="VL34" s="335"/>
      <c r="VM34" s="335"/>
      <c r="VN34" s="335"/>
      <c r="VO34" s="335"/>
      <c r="VP34" s="335"/>
      <c r="VQ34" s="335"/>
      <c r="VR34" s="335"/>
      <c r="VS34" s="335"/>
      <c r="VT34" s="335"/>
      <c r="VU34" s="335"/>
      <c r="VV34" s="335"/>
      <c r="VW34" s="335"/>
      <c r="VX34" s="335"/>
      <c r="VY34" s="335"/>
      <c r="VZ34" s="335"/>
      <c r="WA34" s="335"/>
      <c r="WB34" s="335"/>
      <c r="WC34" s="335"/>
      <c r="WD34" s="335"/>
      <c r="WE34" s="335"/>
      <c r="WF34" s="335"/>
      <c r="WG34" s="335"/>
      <c r="WH34" s="335"/>
      <c r="WI34" s="335"/>
      <c r="WJ34" s="335"/>
      <c r="WK34" s="335"/>
      <c r="WL34" s="335"/>
      <c r="WM34" s="335"/>
      <c r="WN34" s="335"/>
      <c r="WO34" s="335"/>
      <c r="WP34" s="335"/>
      <c r="WQ34" s="335"/>
      <c r="WR34" s="335"/>
      <c r="WS34" s="335"/>
      <c r="WT34" s="335"/>
      <c r="WU34" s="335"/>
      <c r="WV34" s="335"/>
      <c r="WW34" s="335"/>
      <c r="WX34" s="335"/>
      <c r="WY34" s="335"/>
      <c r="WZ34" s="335"/>
      <c r="XA34" s="335"/>
      <c r="XB34" s="335"/>
      <c r="XC34" s="335"/>
      <c r="XD34" s="335"/>
      <c r="XE34" s="335"/>
      <c r="XF34" s="335"/>
      <c r="XG34" s="335"/>
      <c r="XH34" s="335"/>
      <c r="XI34" s="335"/>
      <c r="XJ34" s="335"/>
      <c r="XK34" s="335"/>
      <c r="XL34" s="335"/>
      <c r="XM34" s="335"/>
      <c r="XN34" s="335"/>
      <c r="XO34" s="335"/>
      <c r="XP34" s="335"/>
      <c r="XQ34" s="335"/>
      <c r="XR34" s="335"/>
      <c r="XS34" s="335"/>
      <c r="XT34" s="335"/>
      <c r="XU34" s="335"/>
      <c r="XV34" s="335"/>
      <c r="XW34" s="335"/>
      <c r="XX34" s="335"/>
      <c r="XY34" s="335"/>
      <c r="XZ34" s="335"/>
      <c r="YA34" s="335"/>
      <c r="YB34" s="335"/>
      <c r="YC34" s="335"/>
      <c r="YD34" s="335"/>
      <c r="YE34" s="335"/>
      <c r="YF34" s="335"/>
      <c r="YG34" s="335"/>
      <c r="YH34" s="335"/>
      <c r="YI34" s="335"/>
      <c r="YJ34" s="335"/>
      <c r="YK34" s="335"/>
      <c r="YL34" s="335"/>
      <c r="YM34" s="335"/>
      <c r="YN34" s="335"/>
      <c r="YO34" s="335"/>
      <c r="YP34" s="335"/>
      <c r="YQ34" s="335"/>
      <c r="YR34" s="335"/>
      <c r="YS34" s="335"/>
      <c r="YT34" s="335"/>
      <c r="YU34" s="335"/>
      <c r="YV34" s="335"/>
      <c r="YW34" s="335"/>
      <c r="YX34" s="335"/>
      <c r="YY34" s="335"/>
      <c r="YZ34" s="335"/>
      <c r="ZA34" s="335"/>
      <c r="ZB34" s="335"/>
      <c r="ZC34" s="335"/>
      <c r="ZD34" s="335"/>
      <c r="ZE34" s="335"/>
    </row>
    <row r="35">
      <c r="A35" s="156" t="s">
        <v>618</v>
      </c>
      <c r="B35" s="388"/>
      <c r="C35" s="16"/>
      <c r="D35" s="16"/>
      <c r="E35" s="16"/>
      <c r="F35" s="16"/>
      <c r="G35" s="16"/>
      <c r="H35" s="25"/>
      <c r="I35" s="388"/>
      <c r="J35" s="16"/>
      <c r="K35" s="16"/>
      <c r="L35" s="16"/>
      <c r="M35" s="16"/>
      <c r="N35" s="16"/>
      <c r="O35" s="25"/>
      <c r="P35" s="108" t="s">
        <v>1047</v>
      </c>
      <c r="Q35" s="16"/>
      <c r="R35" s="16"/>
      <c r="S35" s="16"/>
      <c r="T35" s="16"/>
      <c r="U35" s="16"/>
      <c r="V35" s="25"/>
      <c r="W35" s="388"/>
      <c r="X35" s="16"/>
      <c r="Y35" s="16"/>
      <c r="Z35" s="16"/>
      <c r="AA35" s="16"/>
      <c r="AB35" s="16"/>
      <c r="AC35" s="25"/>
      <c r="AD35" s="388"/>
      <c r="AE35" s="16"/>
      <c r="AF35" s="16"/>
      <c r="AG35" s="16"/>
      <c r="AH35" s="16"/>
      <c r="AI35" s="16"/>
      <c r="AJ35" s="25"/>
      <c r="AK35" s="388"/>
      <c r="AL35" s="16"/>
      <c r="AM35" s="16"/>
      <c r="AN35" s="16"/>
      <c r="AO35" s="16"/>
      <c r="AP35" s="16"/>
      <c r="AQ35" s="25"/>
      <c r="AR35" s="388"/>
      <c r="AS35" s="16"/>
      <c r="AT35" s="16"/>
      <c r="AU35" s="16"/>
      <c r="AV35" s="16"/>
      <c r="AW35" s="16"/>
      <c r="AX35" s="25"/>
      <c r="AY35" s="388"/>
      <c r="AZ35" s="16"/>
      <c r="BA35" s="16"/>
      <c r="BB35" s="16"/>
      <c r="BC35" s="16"/>
      <c r="BD35" s="16"/>
      <c r="BE35" s="25"/>
      <c r="BF35" s="388"/>
      <c r="BG35" s="16"/>
      <c r="BH35" s="16"/>
      <c r="BI35" s="16"/>
      <c r="BJ35" s="16"/>
      <c r="BK35" s="16"/>
      <c r="BL35" s="25"/>
      <c r="BM35" s="388"/>
      <c r="BN35" s="16"/>
      <c r="BO35" s="16"/>
      <c r="BP35" s="16"/>
      <c r="BQ35" s="16"/>
      <c r="BR35" s="16"/>
      <c r="BS35" s="25"/>
      <c r="BT35" s="388"/>
      <c r="BU35" s="16"/>
      <c r="BV35" s="16"/>
      <c r="BW35" s="16"/>
      <c r="BX35" s="16"/>
      <c r="BY35" s="16"/>
      <c r="BZ35" s="25"/>
      <c r="CA35" s="388"/>
      <c r="CB35" s="16"/>
      <c r="CC35" s="16"/>
      <c r="CD35" s="16"/>
      <c r="CE35" s="16"/>
      <c r="CF35" s="16"/>
      <c r="CG35" s="25"/>
      <c r="CH35" s="388"/>
      <c r="CI35" s="16"/>
      <c r="CJ35" s="16"/>
      <c r="CK35" s="16"/>
      <c r="CL35" s="16"/>
      <c r="CM35" s="16"/>
      <c r="CN35" s="25"/>
      <c r="CO35" s="388"/>
      <c r="CP35" s="16"/>
      <c r="CQ35" s="16"/>
      <c r="CR35" s="16"/>
      <c r="CS35" s="16"/>
      <c r="CT35" s="16"/>
      <c r="CU35" s="25"/>
      <c r="CV35" s="108"/>
      <c r="CW35" s="16"/>
      <c r="CX35" s="16"/>
      <c r="CY35" s="16"/>
      <c r="CZ35" s="16"/>
      <c r="DA35" s="16"/>
      <c r="DB35" s="25"/>
      <c r="DC35" s="108"/>
      <c r="DD35" s="16"/>
      <c r="DE35" s="16"/>
      <c r="DF35" s="16"/>
      <c r="DG35" s="16"/>
      <c r="DH35" s="16"/>
      <c r="DI35" s="25"/>
      <c r="DJ35" s="108"/>
      <c r="DK35" s="16"/>
      <c r="DL35" s="16"/>
      <c r="DM35" s="16"/>
      <c r="DN35" s="16"/>
      <c r="DO35" s="16"/>
      <c r="DP35" s="25"/>
      <c r="DQ35" s="108"/>
      <c r="DR35" s="16"/>
      <c r="DS35" s="16"/>
      <c r="DT35" s="16"/>
      <c r="DU35" s="16"/>
      <c r="DV35" s="16"/>
      <c r="DW35" s="25"/>
      <c r="DX35" s="108"/>
      <c r="DY35" s="16"/>
      <c r="DZ35" s="16"/>
      <c r="EA35" s="16"/>
      <c r="EB35" s="16"/>
      <c r="EC35" s="16"/>
      <c r="ED35" s="25"/>
      <c r="EE35" s="388"/>
      <c r="EF35" s="16"/>
      <c r="EG35" s="16"/>
      <c r="EH35" s="16"/>
      <c r="EI35" s="16"/>
      <c r="EJ35" s="16"/>
      <c r="EK35" s="25"/>
      <c r="EL35" s="108"/>
      <c r="EM35" s="16"/>
      <c r="EN35" s="16"/>
      <c r="EO35" s="16"/>
      <c r="EP35" s="16"/>
      <c r="EQ35" s="16"/>
      <c r="ER35" s="25"/>
      <c r="ES35" s="388"/>
      <c r="ET35" s="16"/>
      <c r="EU35" s="16"/>
      <c r="EV35" s="16"/>
      <c r="EW35" s="16"/>
      <c r="EX35" s="16"/>
      <c r="EY35" s="25"/>
      <c r="EZ35" s="388"/>
      <c r="FA35" s="16"/>
      <c r="FB35" s="16"/>
      <c r="FC35" s="16"/>
      <c r="FD35" s="16"/>
      <c r="FE35" s="16"/>
      <c r="FF35" s="25"/>
      <c r="FG35" s="388"/>
      <c r="FH35" s="16"/>
      <c r="FI35" s="16"/>
      <c r="FJ35" s="16"/>
      <c r="FK35" s="16"/>
      <c r="FL35" s="16"/>
      <c r="FM35" s="25"/>
      <c r="FN35" s="388"/>
      <c r="FO35" s="16"/>
      <c r="FP35" s="16"/>
      <c r="FQ35" s="16"/>
      <c r="FR35" s="16"/>
      <c r="FS35" s="16"/>
      <c r="FT35" s="25"/>
      <c r="FU35" s="388"/>
      <c r="FV35" s="16"/>
      <c r="FW35" s="16"/>
      <c r="FX35" s="16"/>
      <c r="FY35" s="16"/>
      <c r="FZ35" s="16"/>
      <c r="GA35" s="25"/>
      <c r="GB35" s="388"/>
      <c r="GC35" s="16"/>
      <c r="GD35" s="16"/>
      <c r="GE35" s="16"/>
      <c r="GF35" s="16"/>
      <c r="GG35" s="16"/>
      <c r="GH35" s="25"/>
      <c r="GI35" s="388"/>
      <c r="GJ35" s="16"/>
      <c r="GK35" s="16"/>
      <c r="GL35" s="16"/>
      <c r="GM35" s="16"/>
      <c r="GN35" s="16"/>
      <c r="GO35" s="25"/>
      <c r="GP35" s="388"/>
      <c r="GQ35" s="16"/>
      <c r="GR35" s="16"/>
      <c r="GS35" s="16"/>
      <c r="GT35" s="16"/>
      <c r="GU35" s="16"/>
      <c r="GV35" s="25"/>
      <c r="GW35" s="388"/>
      <c r="GX35" s="16"/>
      <c r="GY35" s="16"/>
      <c r="GZ35" s="16"/>
      <c r="HA35" s="16"/>
      <c r="HB35" s="16"/>
      <c r="HC35" s="25"/>
      <c r="HD35" s="388"/>
      <c r="HE35" s="16"/>
      <c r="HF35" s="16"/>
      <c r="HG35" s="16"/>
      <c r="HH35" s="16"/>
      <c r="HI35" s="16"/>
      <c r="HJ35" s="25"/>
      <c r="HK35" s="388"/>
      <c r="HL35" s="16"/>
      <c r="HM35" s="16"/>
      <c r="HN35" s="16"/>
      <c r="HO35" s="16"/>
      <c r="HP35" s="16"/>
      <c r="HQ35" s="25"/>
      <c r="HR35" s="388"/>
      <c r="HS35" s="16"/>
      <c r="HT35" s="16"/>
      <c r="HU35" s="16"/>
      <c r="HV35" s="16"/>
      <c r="HW35" s="16"/>
      <c r="HX35" s="25"/>
      <c r="HY35" s="388"/>
      <c r="HZ35" s="16"/>
      <c r="IA35" s="16"/>
      <c r="IB35" s="16"/>
      <c r="IC35" s="16"/>
      <c r="ID35" s="16"/>
      <c r="IE35" s="25"/>
      <c r="IF35" s="388"/>
      <c r="IG35" s="16"/>
      <c r="IH35" s="16"/>
      <c r="II35" s="16"/>
      <c r="IJ35" s="16"/>
      <c r="IK35" s="16"/>
      <c r="IL35" s="25"/>
      <c r="IM35" s="388"/>
      <c r="IN35" s="16"/>
      <c r="IO35" s="16"/>
      <c r="IP35" s="16"/>
      <c r="IQ35" s="16"/>
      <c r="IR35" s="16"/>
      <c r="IS35" s="25"/>
      <c r="IT35" s="388"/>
      <c r="IU35" s="16"/>
      <c r="IV35" s="16"/>
      <c r="IW35" s="16"/>
      <c r="IX35" s="16"/>
      <c r="IY35" s="16"/>
      <c r="IZ35" s="25"/>
      <c r="JA35" s="388"/>
      <c r="JB35" s="16"/>
      <c r="JC35" s="16"/>
      <c r="JD35" s="16"/>
      <c r="JE35" s="16"/>
      <c r="JF35" s="16"/>
      <c r="JG35" s="25"/>
      <c r="JH35" s="388"/>
      <c r="JI35" s="16"/>
      <c r="JJ35" s="16"/>
      <c r="JK35" s="16"/>
      <c r="JL35" s="16"/>
      <c r="JM35" s="16"/>
      <c r="JN35" s="25"/>
      <c r="JO35" s="394"/>
      <c r="JP35" s="16"/>
      <c r="JQ35" s="16"/>
      <c r="JR35" s="16"/>
      <c r="JS35" s="16"/>
      <c r="JT35" s="16"/>
      <c r="JU35" s="25"/>
      <c r="JV35" s="108"/>
      <c r="JW35" s="16"/>
      <c r="JX35" s="16"/>
      <c r="JY35" s="16"/>
      <c r="JZ35" s="16"/>
      <c r="KA35" s="16"/>
      <c r="KB35" s="25"/>
      <c r="KC35" s="388"/>
      <c r="KD35" s="16"/>
      <c r="KE35" s="16"/>
      <c r="KF35" s="16"/>
      <c r="KG35" s="16"/>
      <c r="KH35" s="16"/>
      <c r="KI35" s="25"/>
      <c r="KJ35" s="388"/>
      <c r="KK35" s="16"/>
      <c r="KL35" s="16"/>
      <c r="KM35" s="16"/>
      <c r="KN35" s="16"/>
      <c r="KO35" s="16"/>
      <c r="KP35" s="25"/>
      <c r="KQ35" s="388"/>
      <c r="KR35" s="16"/>
      <c r="KS35" s="16"/>
      <c r="KT35" s="16"/>
      <c r="KU35" s="16"/>
      <c r="KV35" s="16"/>
      <c r="KW35" s="25"/>
      <c r="KX35" s="388"/>
      <c r="KY35" s="16"/>
      <c r="KZ35" s="16"/>
      <c r="LA35" s="16"/>
      <c r="LB35" s="16"/>
      <c r="LC35" s="16"/>
      <c r="LD35" s="25"/>
      <c r="LE35" s="388"/>
      <c r="LF35" s="16"/>
      <c r="LG35" s="16"/>
      <c r="LH35" s="16"/>
      <c r="LI35" s="16"/>
      <c r="LJ35" s="16"/>
      <c r="LK35" s="25"/>
      <c r="LL35" s="388"/>
      <c r="LM35" s="16"/>
      <c r="LN35" s="16"/>
      <c r="LO35" s="16"/>
      <c r="LP35" s="16"/>
      <c r="LQ35" s="16"/>
      <c r="LR35" s="25"/>
      <c r="LS35" s="388"/>
      <c r="LT35" s="16"/>
      <c r="LU35" s="16"/>
      <c r="LV35" s="16"/>
      <c r="LW35" s="16"/>
      <c r="LX35" s="16"/>
      <c r="LY35" s="25"/>
      <c r="LZ35" s="388"/>
      <c r="MA35" s="16"/>
      <c r="MB35" s="16"/>
      <c r="MC35" s="16"/>
      <c r="MD35" s="16"/>
      <c r="ME35" s="16"/>
      <c r="MF35" s="25"/>
      <c r="MG35" s="388"/>
      <c r="MH35" s="16"/>
      <c r="MI35" s="16"/>
      <c r="MJ35" s="16"/>
      <c r="MK35" s="16"/>
      <c r="ML35" s="16"/>
      <c r="MM35" s="25"/>
      <c r="MN35" s="388"/>
      <c r="MO35" s="16"/>
      <c r="MP35" s="16"/>
      <c r="MQ35" s="16"/>
      <c r="MR35" s="16"/>
      <c r="MS35" s="16"/>
      <c r="MT35" s="25"/>
      <c r="MU35" s="388"/>
      <c r="MV35" s="16"/>
      <c r="MW35" s="16"/>
      <c r="MX35" s="16"/>
      <c r="MY35" s="16"/>
      <c r="MZ35" s="16"/>
      <c r="NA35" s="25"/>
      <c r="NB35" s="399"/>
      <c r="NC35" s="270"/>
      <c r="ND35" s="270"/>
      <c r="NE35" s="270"/>
      <c r="NF35" s="270"/>
      <c r="NG35" s="270"/>
      <c r="NH35" s="270"/>
      <c r="NI35" s="270"/>
      <c r="NJ35" s="270"/>
      <c r="NK35" s="270"/>
      <c r="NL35" s="270"/>
      <c r="NM35" s="270"/>
      <c r="NN35" s="270"/>
      <c r="NO35" s="270"/>
      <c r="NP35" s="270"/>
      <c r="NQ35" s="270"/>
      <c r="NR35" s="270"/>
      <c r="NS35" s="270"/>
      <c r="NT35" s="270"/>
      <c r="NU35" s="270"/>
      <c r="NV35" s="270"/>
      <c r="NW35" s="270"/>
      <c r="NX35" s="270"/>
      <c r="NY35" s="270"/>
      <c r="NZ35" s="270"/>
      <c r="OA35" s="270"/>
      <c r="OB35" s="270"/>
      <c r="OC35" s="270"/>
      <c r="OD35" s="270"/>
      <c r="OE35" s="270"/>
      <c r="OF35" s="270"/>
      <c r="OG35" s="270"/>
      <c r="OH35" s="270"/>
      <c r="OI35" s="270"/>
      <c r="OJ35" s="270"/>
      <c r="OK35" s="270"/>
      <c r="OL35" s="270"/>
      <c r="OM35" s="270"/>
      <c r="ON35" s="270"/>
      <c r="OO35" s="270"/>
      <c r="OP35" s="270"/>
      <c r="OQ35" s="270"/>
      <c r="OR35" s="270"/>
      <c r="OS35" s="270"/>
      <c r="OT35" s="270"/>
      <c r="OU35" s="270"/>
      <c r="OV35" s="270"/>
      <c r="OW35" s="270"/>
      <c r="OX35" s="270"/>
      <c r="OY35" s="270"/>
      <c r="OZ35" s="270"/>
      <c r="PA35" s="270"/>
      <c r="PB35" s="270"/>
      <c r="PC35" s="270"/>
      <c r="PD35" s="270"/>
      <c r="PE35" s="270"/>
      <c r="PF35" s="270"/>
      <c r="PG35" s="270"/>
      <c r="PH35" s="270"/>
      <c r="PI35" s="270"/>
      <c r="PJ35" s="270"/>
      <c r="PK35" s="270"/>
      <c r="PL35" s="270"/>
      <c r="PM35" s="270"/>
      <c r="PN35" s="270"/>
      <c r="PO35" s="270"/>
      <c r="PP35" s="270"/>
      <c r="PQ35" s="270"/>
      <c r="PR35" s="270"/>
      <c r="PS35" s="270"/>
      <c r="PT35" s="270"/>
      <c r="PU35" s="270"/>
      <c r="PV35" s="270"/>
      <c r="PW35" s="270"/>
      <c r="PX35" s="270"/>
      <c r="PY35" s="270"/>
      <c r="PZ35" s="270"/>
      <c r="QA35" s="270"/>
      <c r="QB35" s="270"/>
      <c r="QC35" s="270"/>
      <c r="QD35" s="270"/>
      <c r="QE35" s="270"/>
      <c r="QF35" s="270"/>
      <c r="QG35" s="270"/>
      <c r="QH35" s="270"/>
      <c r="QI35" s="270"/>
      <c r="QJ35" s="270"/>
      <c r="QK35" s="270"/>
      <c r="QL35" s="270"/>
      <c r="QM35" s="270"/>
      <c r="QN35" s="270"/>
      <c r="QO35" s="270"/>
      <c r="QP35" s="270"/>
      <c r="QQ35" s="270"/>
      <c r="QR35" s="270"/>
      <c r="QS35" s="270"/>
      <c r="QT35" s="270"/>
      <c r="QU35" s="270"/>
      <c r="QV35" s="270"/>
      <c r="QW35" s="270"/>
      <c r="QX35" s="270"/>
      <c r="QY35" s="270"/>
      <c r="QZ35" s="270"/>
      <c r="RA35" s="270"/>
      <c r="RB35" s="270"/>
      <c r="RC35" s="270"/>
      <c r="RD35" s="270"/>
      <c r="RE35" s="270"/>
      <c r="RF35" s="270"/>
      <c r="RG35" s="270"/>
      <c r="RH35" s="270"/>
      <c r="RI35" s="270"/>
      <c r="RJ35" s="270"/>
      <c r="RK35" s="270"/>
      <c r="RL35" s="270"/>
      <c r="RM35" s="270"/>
      <c r="RN35" s="270"/>
      <c r="RO35" s="270"/>
      <c r="RP35" s="270"/>
      <c r="RQ35" s="270"/>
      <c r="RR35" s="270"/>
      <c r="RS35" s="270"/>
      <c r="RT35" s="270"/>
      <c r="RU35" s="270"/>
      <c r="RV35" s="270"/>
      <c r="RW35" s="270"/>
      <c r="RX35" s="270"/>
      <c r="RY35" s="270"/>
      <c r="RZ35" s="270"/>
      <c r="SA35" s="270"/>
      <c r="SB35" s="270"/>
      <c r="SC35" s="270"/>
      <c r="SD35" s="270"/>
      <c r="SE35" s="270"/>
      <c r="SF35" s="270"/>
      <c r="SG35" s="270"/>
      <c r="SH35" s="270"/>
      <c r="SI35" s="270"/>
      <c r="SJ35" s="270"/>
      <c r="SK35" s="270"/>
      <c r="SL35" s="270"/>
      <c r="SM35" s="270"/>
      <c r="SN35" s="270"/>
      <c r="SO35" s="270"/>
      <c r="SP35" s="270"/>
      <c r="SQ35" s="270"/>
      <c r="SR35" s="270"/>
      <c r="SS35" s="270"/>
      <c r="ST35" s="270"/>
      <c r="SU35" s="270"/>
      <c r="SV35" s="270"/>
      <c r="SW35" s="270"/>
      <c r="SX35" s="270"/>
      <c r="SY35" s="270"/>
      <c r="SZ35" s="270"/>
      <c r="TA35" s="270"/>
      <c r="TB35" s="270"/>
      <c r="TC35" s="270"/>
      <c r="TD35" s="270"/>
      <c r="TE35" s="270"/>
      <c r="TF35" s="270"/>
      <c r="TG35" s="270"/>
      <c r="TH35" s="270"/>
      <c r="TI35" s="270"/>
      <c r="TJ35" s="270"/>
      <c r="TK35" s="270"/>
      <c r="TL35" s="270"/>
      <c r="TM35" s="270"/>
      <c r="TN35" s="270"/>
      <c r="TO35" s="270"/>
      <c r="TP35" s="270"/>
      <c r="TQ35" s="270"/>
      <c r="TR35" s="270"/>
      <c r="TS35" s="270"/>
      <c r="TT35" s="270"/>
      <c r="TU35" s="270"/>
      <c r="TV35" s="270"/>
      <c r="TW35" s="270"/>
      <c r="TX35" s="270"/>
      <c r="TY35" s="270"/>
      <c r="TZ35" s="270"/>
      <c r="UA35" s="270"/>
      <c r="UB35" s="270"/>
      <c r="UC35" s="270"/>
      <c r="UD35" s="270"/>
      <c r="UE35" s="270"/>
      <c r="UF35" s="270"/>
      <c r="UG35" s="270"/>
      <c r="UH35" s="270"/>
      <c r="UI35" s="270"/>
      <c r="UJ35" s="270"/>
      <c r="UK35" s="270"/>
      <c r="UL35" s="270"/>
      <c r="UM35" s="270"/>
      <c r="UN35" s="270"/>
      <c r="UO35" s="270"/>
      <c r="UP35" s="270"/>
      <c r="UQ35" s="270"/>
      <c r="UR35" s="270"/>
      <c r="US35" s="270"/>
      <c r="UT35" s="270"/>
      <c r="UU35" s="270"/>
      <c r="UV35" s="270"/>
      <c r="UW35" s="270"/>
      <c r="UX35" s="270"/>
      <c r="UY35" s="270"/>
      <c r="UZ35" s="270"/>
      <c r="VA35" s="270"/>
      <c r="VB35" s="270"/>
      <c r="VC35" s="270"/>
      <c r="VD35" s="270"/>
      <c r="VE35" s="270"/>
      <c r="VF35" s="270"/>
      <c r="VG35" s="270"/>
      <c r="VH35" s="270"/>
      <c r="VI35" s="270"/>
      <c r="VJ35" s="270"/>
      <c r="VK35" s="270"/>
      <c r="VL35" s="270"/>
      <c r="VM35" s="270"/>
      <c r="VN35" s="270"/>
      <c r="VO35" s="270"/>
      <c r="VP35" s="270"/>
      <c r="VQ35" s="270"/>
      <c r="VR35" s="270"/>
      <c r="VS35" s="270"/>
      <c r="VT35" s="270"/>
      <c r="VU35" s="270"/>
      <c r="VV35" s="270"/>
      <c r="VW35" s="270"/>
      <c r="VX35" s="270"/>
      <c r="VY35" s="270"/>
      <c r="VZ35" s="270"/>
      <c r="WA35" s="270"/>
      <c r="WB35" s="270"/>
      <c r="WC35" s="270"/>
      <c r="WD35" s="270"/>
      <c r="WE35" s="270"/>
      <c r="WF35" s="270"/>
      <c r="WG35" s="270"/>
      <c r="WH35" s="270"/>
      <c r="WI35" s="270"/>
      <c r="WJ35" s="270"/>
      <c r="WK35" s="270"/>
      <c r="WL35" s="270"/>
      <c r="WM35" s="270"/>
      <c r="WN35" s="270"/>
      <c r="WO35" s="270"/>
      <c r="WP35" s="270"/>
      <c r="WQ35" s="270"/>
      <c r="WR35" s="270"/>
      <c r="WS35" s="270"/>
      <c r="WT35" s="270"/>
      <c r="WU35" s="270"/>
      <c r="WV35" s="270"/>
      <c r="WW35" s="270"/>
      <c r="WX35" s="270"/>
      <c r="WY35" s="270"/>
      <c r="WZ35" s="270"/>
      <c r="XA35" s="270"/>
      <c r="XB35" s="270"/>
      <c r="XC35" s="270"/>
      <c r="XD35" s="270"/>
      <c r="XE35" s="270"/>
      <c r="XF35" s="270"/>
      <c r="XG35" s="270"/>
      <c r="XH35" s="270"/>
      <c r="XI35" s="270"/>
      <c r="XJ35" s="270"/>
      <c r="XK35" s="270"/>
      <c r="XL35" s="270"/>
      <c r="XM35" s="270"/>
      <c r="XN35" s="270"/>
      <c r="XO35" s="270"/>
      <c r="XP35" s="270"/>
      <c r="XQ35" s="270"/>
      <c r="XR35" s="270"/>
      <c r="XS35" s="270"/>
      <c r="XT35" s="270"/>
      <c r="XU35" s="270"/>
      <c r="XV35" s="270"/>
      <c r="XW35" s="270"/>
      <c r="XX35" s="270"/>
      <c r="XY35" s="270"/>
      <c r="XZ35" s="270"/>
      <c r="YA35" s="270"/>
      <c r="YB35" s="270"/>
      <c r="YC35" s="270"/>
      <c r="YD35" s="270"/>
      <c r="YE35" s="270"/>
      <c r="YF35" s="270"/>
      <c r="YG35" s="270"/>
      <c r="YH35" s="270"/>
      <c r="YI35" s="270"/>
      <c r="YJ35" s="270"/>
      <c r="YK35" s="270"/>
      <c r="YL35" s="270"/>
      <c r="YM35" s="270"/>
      <c r="YN35" s="270"/>
      <c r="YO35" s="270"/>
      <c r="YP35" s="270"/>
      <c r="YQ35" s="270"/>
      <c r="YR35" s="270"/>
      <c r="YS35" s="270"/>
      <c r="YT35" s="270"/>
      <c r="YU35" s="270"/>
      <c r="YV35" s="270"/>
      <c r="YW35" s="270"/>
      <c r="YX35" s="270"/>
      <c r="YY35" s="270"/>
      <c r="YZ35" s="270"/>
      <c r="ZA35" s="270"/>
      <c r="ZB35" s="270"/>
      <c r="ZC35" s="270"/>
      <c r="ZD35" s="270"/>
      <c r="ZE35" s="270"/>
    </row>
    <row r="36">
      <c r="A36" s="156" t="s">
        <v>627</v>
      </c>
      <c r="B36" s="388"/>
      <c r="C36" s="16"/>
      <c r="D36" s="16"/>
      <c r="E36" s="16"/>
      <c r="F36" s="16"/>
      <c r="G36" s="16"/>
      <c r="H36" s="25"/>
      <c r="I36" s="388"/>
      <c r="J36" s="16"/>
      <c r="K36" s="16"/>
      <c r="L36" s="16"/>
      <c r="M36" s="16"/>
      <c r="N36" s="16"/>
      <c r="O36" s="25"/>
      <c r="P36" s="388"/>
      <c r="Q36" s="16"/>
      <c r="R36" s="16"/>
      <c r="S36" s="16"/>
      <c r="T36" s="16"/>
      <c r="U36" s="16"/>
      <c r="V36" s="25"/>
      <c r="W36" s="388"/>
      <c r="X36" s="16"/>
      <c r="Y36" s="16"/>
      <c r="Z36" s="16"/>
      <c r="AA36" s="16"/>
      <c r="AB36" s="16"/>
      <c r="AC36" s="25"/>
      <c r="AD36" s="388"/>
      <c r="AE36" s="16"/>
      <c r="AF36" s="16"/>
      <c r="AG36" s="16"/>
      <c r="AH36" s="16"/>
      <c r="AI36" s="16"/>
      <c r="AJ36" s="25"/>
      <c r="AK36" s="388"/>
      <c r="AL36" s="16"/>
      <c r="AM36" s="16"/>
      <c r="AN36" s="16"/>
      <c r="AO36" s="16"/>
      <c r="AP36" s="16"/>
      <c r="AQ36" s="25"/>
      <c r="AR36" s="388"/>
      <c r="AS36" s="16"/>
      <c r="AT36" s="16"/>
      <c r="AU36" s="16"/>
      <c r="AV36" s="16"/>
      <c r="AW36" s="16"/>
      <c r="AX36" s="25"/>
      <c r="AY36" s="388"/>
      <c r="AZ36" s="16"/>
      <c r="BA36" s="16"/>
      <c r="BB36" s="16"/>
      <c r="BC36" s="16"/>
      <c r="BD36" s="16"/>
      <c r="BE36" s="25"/>
      <c r="BF36" s="388"/>
      <c r="BG36" s="16"/>
      <c r="BH36" s="16"/>
      <c r="BI36" s="16"/>
      <c r="BJ36" s="16"/>
      <c r="BK36" s="16"/>
      <c r="BL36" s="25"/>
      <c r="BM36" s="388"/>
      <c r="BN36" s="16"/>
      <c r="BO36" s="16"/>
      <c r="BP36" s="16"/>
      <c r="BQ36" s="16"/>
      <c r="BR36" s="16"/>
      <c r="BS36" s="25"/>
      <c r="BT36" s="388"/>
      <c r="BU36" s="16"/>
      <c r="BV36" s="16"/>
      <c r="BW36" s="16"/>
      <c r="BX36" s="16"/>
      <c r="BY36" s="16"/>
      <c r="BZ36" s="25"/>
      <c r="CA36" s="388"/>
      <c r="CB36" s="16"/>
      <c r="CC36" s="16"/>
      <c r="CD36" s="16"/>
      <c r="CE36" s="16"/>
      <c r="CF36" s="16"/>
      <c r="CG36" s="25"/>
      <c r="CH36" s="388"/>
      <c r="CI36" s="16"/>
      <c r="CJ36" s="16"/>
      <c r="CK36" s="16"/>
      <c r="CL36" s="16"/>
      <c r="CM36" s="16"/>
      <c r="CN36" s="25"/>
      <c r="CO36" s="388"/>
      <c r="CP36" s="16"/>
      <c r="CQ36" s="16"/>
      <c r="CR36" s="16"/>
      <c r="CS36" s="16"/>
      <c r="CT36" s="16"/>
      <c r="CU36" s="25"/>
      <c r="CV36" s="388"/>
      <c r="CW36" s="16"/>
      <c r="CX36" s="16"/>
      <c r="CY36" s="16"/>
      <c r="CZ36" s="16"/>
      <c r="DA36" s="16"/>
      <c r="DB36" s="25"/>
      <c r="DC36" s="108"/>
      <c r="DD36" s="16"/>
      <c r="DE36" s="16"/>
      <c r="DF36" s="16"/>
      <c r="DG36" s="16"/>
      <c r="DH36" s="16"/>
      <c r="DI36" s="25"/>
      <c r="DJ36" s="388"/>
      <c r="DK36" s="16"/>
      <c r="DL36" s="16"/>
      <c r="DM36" s="16"/>
      <c r="DN36" s="16"/>
      <c r="DO36" s="16"/>
      <c r="DP36" s="25"/>
      <c r="DQ36" s="108"/>
      <c r="DR36" s="16"/>
      <c r="DS36" s="16"/>
      <c r="DT36" s="16"/>
      <c r="DU36" s="16"/>
      <c r="DV36" s="16"/>
      <c r="DW36" s="25"/>
      <c r="DX36" s="108"/>
      <c r="DY36" s="16"/>
      <c r="DZ36" s="16"/>
      <c r="EA36" s="16"/>
      <c r="EB36" s="16"/>
      <c r="EC36" s="16"/>
      <c r="ED36" s="25"/>
      <c r="EE36" s="388"/>
      <c r="EF36" s="16"/>
      <c r="EG36" s="16"/>
      <c r="EH36" s="16"/>
      <c r="EI36" s="16"/>
      <c r="EJ36" s="16"/>
      <c r="EK36" s="25"/>
      <c r="EL36" s="108"/>
      <c r="EM36" s="16"/>
      <c r="EN36" s="16"/>
      <c r="EO36" s="16"/>
      <c r="EP36" s="16"/>
      <c r="EQ36" s="16"/>
      <c r="ER36" s="25"/>
      <c r="ES36" s="388"/>
      <c r="ET36" s="16"/>
      <c r="EU36" s="16"/>
      <c r="EV36" s="16"/>
      <c r="EW36" s="16"/>
      <c r="EX36" s="16"/>
      <c r="EY36" s="25"/>
      <c r="EZ36" s="388"/>
      <c r="FA36" s="16"/>
      <c r="FB36" s="16"/>
      <c r="FC36" s="16"/>
      <c r="FD36" s="16"/>
      <c r="FE36" s="16"/>
      <c r="FF36" s="25"/>
      <c r="FG36" s="388"/>
      <c r="FH36" s="16"/>
      <c r="FI36" s="16"/>
      <c r="FJ36" s="16"/>
      <c r="FK36" s="16"/>
      <c r="FL36" s="16"/>
      <c r="FM36" s="25"/>
      <c r="FN36" s="388"/>
      <c r="FO36" s="16"/>
      <c r="FP36" s="16"/>
      <c r="FQ36" s="16"/>
      <c r="FR36" s="16"/>
      <c r="FS36" s="16"/>
      <c r="FT36" s="25"/>
      <c r="FU36" s="388"/>
      <c r="FV36" s="16"/>
      <c r="FW36" s="16"/>
      <c r="FX36" s="16"/>
      <c r="FY36" s="16"/>
      <c r="FZ36" s="16"/>
      <c r="GA36" s="25"/>
      <c r="GB36" s="388"/>
      <c r="GC36" s="16"/>
      <c r="GD36" s="16"/>
      <c r="GE36" s="16"/>
      <c r="GF36" s="16"/>
      <c r="GG36" s="16"/>
      <c r="GH36" s="25"/>
      <c r="GI36" s="388"/>
      <c r="GJ36" s="16"/>
      <c r="GK36" s="16"/>
      <c r="GL36" s="16"/>
      <c r="GM36" s="16"/>
      <c r="GN36" s="16"/>
      <c r="GO36" s="25"/>
      <c r="GP36" s="388"/>
      <c r="GQ36" s="16"/>
      <c r="GR36" s="16"/>
      <c r="GS36" s="16"/>
      <c r="GT36" s="16"/>
      <c r="GU36" s="16"/>
      <c r="GV36" s="25"/>
      <c r="GW36" s="388"/>
      <c r="GX36" s="16"/>
      <c r="GY36" s="16"/>
      <c r="GZ36" s="16"/>
      <c r="HA36" s="16"/>
      <c r="HB36" s="16"/>
      <c r="HC36" s="25"/>
      <c r="HD36" s="388"/>
      <c r="HE36" s="16"/>
      <c r="HF36" s="16"/>
      <c r="HG36" s="16"/>
      <c r="HH36" s="16"/>
      <c r="HI36" s="16"/>
      <c r="HJ36" s="25"/>
      <c r="HK36" s="388"/>
      <c r="HL36" s="16"/>
      <c r="HM36" s="16"/>
      <c r="HN36" s="16"/>
      <c r="HO36" s="16"/>
      <c r="HP36" s="16"/>
      <c r="HQ36" s="25"/>
      <c r="HR36" s="388"/>
      <c r="HS36" s="16"/>
      <c r="HT36" s="16"/>
      <c r="HU36" s="16"/>
      <c r="HV36" s="16"/>
      <c r="HW36" s="16"/>
      <c r="HX36" s="25"/>
      <c r="HY36" s="388"/>
      <c r="HZ36" s="16"/>
      <c r="IA36" s="16"/>
      <c r="IB36" s="16"/>
      <c r="IC36" s="16"/>
      <c r="ID36" s="16"/>
      <c r="IE36" s="25"/>
      <c r="IF36" s="388"/>
      <c r="IG36" s="16"/>
      <c r="IH36" s="16"/>
      <c r="II36" s="16"/>
      <c r="IJ36" s="16"/>
      <c r="IK36" s="16"/>
      <c r="IL36" s="25"/>
      <c r="IM36" s="388"/>
      <c r="IN36" s="16"/>
      <c r="IO36" s="16"/>
      <c r="IP36" s="16"/>
      <c r="IQ36" s="16"/>
      <c r="IR36" s="16"/>
      <c r="IS36" s="25"/>
      <c r="IT36" s="388"/>
      <c r="IU36" s="16"/>
      <c r="IV36" s="16"/>
      <c r="IW36" s="16"/>
      <c r="IX36" s="16"/>
      <c r="IY36" s="16"/>
      <c r="IZ36" s="25"/>
      <c r="JA36" s="388"/>
      <c r="JB36" s="16"/>
      <c r="JC36" s="16"/>
      <c r="JD36" s="16"/>
      <c r="JE36" s="16"/>
      <c r="JF36" s="16"/>
      <c r="JG36" s="25"/>
      <c r="JH36" s="388"/>
      <c r="JI36" s="16"/>
      <c r="JJ36" s="16"/>
      <c r="JK36" s="16"/>
      <c r="JL36" s="16"/>
      <c r="JM36" s="16"/>
      <c r="JN36" s="25"/>
      <c r="JO36" s="394"/>
      <c r="JP36" s="16"/>
      <c r="JQ36" s="16"/>
      <c r="JR36" s="16"/>
      <c r="JS36" s="16"/>
      <c r="JT36" s="16"/>
      <c r="JU36" s="25"/>
      <c r="JV36" s="388"/>
      <c r="JW36" s="16"/>
      <c r="JX36" s="16"/>
      <c r="JY36" s="16"/>
      <c r="JZ36" s="16"/>
      <c r="KA36" s="16"/>
      <c r="KB36" s="25"/>
      <c r="KC36" s="388"/>
      <c r="KD36" s="16"/>
      <c r="KE36" s="16"/>
      <c r="KF36" s="16"/>
      <c r="KG36" s="16"/>
      <c r="KH36" s="16"/>
      <c r="KI36" s="25"/>
      <c r="KJ36" s="388"/>
      <c r="KK36" s="16"/>
      <c r="KL36" s="16"/>
      <c r="KM36" s="16"/>
      <c r="KN36" s="16"/>
      <c r="KO36" s="16"/>
      <c r="KP36" s="25"/>
      <c r="KQ36" s="388"/>
      <c r="KR36" s="16"/>
      <c r="KS36" s="16"/>
      <c r="KT36" s="16"/>
      <c r="KU36" s="16"/>
      <c r="KV36" s="16"/>
      <c r="KW36" s="25"/>
      <c r="KX36" s="388"/>
      <c r="KY36" s="16"/>
      <c r="KZ36" s="16"/>
      <c r="LA36" s="16"/>
      <c r="LB36" s="16"/>
      <c r="LC36" s="16"/>
      <c r="LD36" s="25"/>
      <c r="LE36" s="388"/>
      <c r="LF36" s="16"/>
      <c r="LG36" s="16"/>
      <c r="LH36" s="16"/>
      <c r="LI36" s="16"/>
      <c r="LJ36" s="16"/>
      <c r="LK36" s="25"/>
      <c r="LL36" s="388"/>
      <c r="LM36" s="16"/>
      <c r="LN36" s="16"/>
      <c r="LO36" s="16"/>
      <c r="LP36" s="16"/>
      <c r="LQ36" s="16"/>
      <c r="LR36" s="25"/>
      <c r="LS36" s="388"/>
      <c r="LT36" s="16"/>
      <c r="LU36" s="16"/>
      <c r="LV36" s="16"/>
      <c r="LW36" s="16"/>
      <c r="LX36" s="16"/>
      <c r="LY36" s="25"/>
      <c r="LZ36" s="388"/>
      <c r="MA36" s="16"/>
      <c r="MB36" s="16"/>
      <c r="MC36" s="16"/>
      <c r="MD36" s="16"/>
      <c r="ME36" s="16"/>
      <c r="MF36" s="25"/>
      <c r="MG36" s="388"/>
      <c r="MH36" s="16"/>
      <c r="MI36" s="16"/>
      <c r="MJ36" s="16"/>
      <c r="MK36" s="16"/>
      <c r="ML36" s="16"/>
      <c r="MM36" s="25"/>
      <c r="MN36" s="388"/>
      <c r="MO36" s="16"/>
      <c r="MP36" s="16"/>
      <c r="MQ36" s="16"/>
      <c r="MR36" s="16"/>
      <c r="MS36" s="16"/>
      <c r="MT36" s="25"/>
      <c r="MU36" s="388"/>
      <c r="MV36" s="16"/>
      <c r="MW36" s="16"/>
      <c r="MX36" s="16"/>
      <c r="MY36" s="16"/>
      <c r="MZ36" s="16"/>
      <c r="NA36" s="25"/>
      <c r="NB36" s="399"/>
      <c r="NC36" s="270"/>
      <c r="ND36" s="270"/>
      <c r="NE36" s="270"/>
      <c r="NF36" s="270"/>
      <c r="NG36" s="270"/>
      <c r="NH36" s="270"/>
      <c r="NI36" s="270"/>
      <c r="NJ36" s="270"/>
      <c r="NK36" s="270"/>
      <c r="NL36" s="270"/>
      <c r="NM36" s="270"/>
      <c r="NN36" s="270"/>
      <c r="NO36" s="270"/>
      <c r="NP36" s="270"/>
      <c r="NQ36" s="270"/>
      <c r="NR36" s="270"/>
      <c r="NS36" s="270"/>
      <c r="NT36" s="270"/>
      <c r="NU36" s="270"/>
      <c r="NV36" s="270"/>
      <c r="NW36" s="270"/>
      <c r="NX36" s="270"/>
      <c r="NY36" s="270"/>
      <c r="NZ36" s="270"/>
      <c r="OA36" s="270"/>
      <c r="OB36" s="270"/>
      <c r="OC36" s="270"/>
      <c r="OD36" s="270"/>
      <c r="OE36" s="270"/>
      <c r="OF36" s="270"/>
      <c r="OG36" s="270"/>
      <c r="OH36" s="270"/>
      <c r="OI36" s="270"/>
      <c r="OJ36" s="270"/>
      <c r="OK36" s="270"/>
      <c r="OL36" s="270"/>
      <c r="OM36" s="270"/>
      <c r="ON36" s="270"/>
      <c r="OO36" s="270"/>
      <c r="OP36" s="270"/>
      <c r="OQ36" s="270"/>
      <c r="OR36" s="270"/>
      <c r="OS36" s="270"/>
      <c r="OT36" s="270"/>
      <c r="OU36" s="270"/>
      <c r="OV36" s="270"/>
      <c r="OW36" s="270"/>
      <c r="OX36" s="270"/>
      <c r="OY36" s="270"/>
      <c r="OZ36" s="270"/>
      <c r="PA36" s="270"/>
      <c r="PB36" s="270"/>
      <c r="PC36" s="270"/>
      <c r="PD36" s="270"/>
      <c r="PE36" s="270"/>
      <c r="PF36" s="270"/>
      <c r="PG36" s="270"/>
      <c r="PH36" s="270"/>
      <c r="PI36" s="270"/>
      <c r="PJ36" s="270"/>
      <c r="PK36" s="270"/>
      <c r="PL36" s="270"/>
      <c r="PM36" s="270"/>
      <c r="PN36" s="270"/>
      <c r="PO36" s="270"/>
      <c r="PP36" s="270"/>
      <c r="PQ36" s="270"/>
      <c r="PR36" s="270"/>
      <c r="PS36" s="270"/>
      <c r="PT36" s="270"/>
      <c r="PU36" s="270"/>
      <c r="PV36" s="270"/>
      <c r="PW36" s="270"/>
      <c r="PX36" s="270"/>
      <c r="PY36" s="270"/>
      <c r="PZ36" s="270"/>
      <c r="QA36" s="270"/>
      <c r="QB36" s="270"/>
      <c r="QC36" s="270"/>
      <c r="QD36" s="270"/>
      <c r="QE36" s="270"/>
      <c r="QF36" s="270"/>
      <c r="QG36" s="270"/>
      <c r="QH36" s="270"/>
      <c r="QI36" s="270"/>
      <c r="QJ36" s="270"/>
      <c r="QK36" s="270"/>
      <c r="QL36" s="270"/>
      <c r="QM36" s="270"/>
      <c r="QN36" s="270"/>
      <c r="QO36" s="270"/>
      <c r="QP36" s="270"/>
      <c r="QQ36" s="270"/>
      <c r="QR36" s="270"/>
      <c r="QS36" s="270"/>
      <c r="QT36" s="270"/>
      <c r="QU36" s="270"/>
      <c r="QV36" s="270"/>
      <c r="QW36" s="270"/>
      <c r="QX36" s="270"/>
      <c r="QY36" s="270"/>
      <c r="QZ36" s="270"/>
      <c r="RA36" s="270"/>
      <c r="RB36" s="270"/>
      <c r="RC36" s="270"/>
      <c r="RD36" s="270"/>
      <c r="RE36" s="270"/>
      <c r="RF36" s="270"/>
      <c r="RG36" s="270"/>
      <c r="RH36" s="270"/>
      <c r="RI36" s="270"/>
      <c r="RJ36" s="270"/>
      <c r="RK36" s="270"/>
      <c r="RL36" s="270"/>
      <c r="RM36" s="270"/>
      <c r="RN36" s="270"/>
      <c r="RO36" s="270"/>
      <c r="RP36" s="270"/>
      <c r="RQ36" s="270"/>
      <c r="RR36" s="270"/>
      <c r="RS36" s="270"/>
      <c r="RT36" s="270"/>
      <c r="RU36" s="270"/>
      <c r="RV36" s="270"/>
      <c r="RW36" s="270"/>
      <c r="RX36" s="270"/>
      <c r="RY36" s="270"/>
      <c r="RZ36" s="270"/>
      <c r="SA36" s="270"/>
      <c r="SB36" s="270"/>
      <c r="SC36" s="270"/>
      <c r="SD36" s="270"/>
      <c r="SE36" s="270"/>
      <c r="SF36" s="270"/>
      <c r="SG36" s="270"/>
      <c r="SH36" s="270"/>
      <c r="SI36" s="270"/>
      <c r="SJ36" s="270"/>
      <c r="SK36" s="270"/>
      <c r="SL36" s="270"/>
      <c r="SM36" s="270"/>
      <c r="SN36" s="270"/>
      <c r="SO36" s="270"/>
      <c r="SP36" s="270"/>
      <c r="SQ36" s="270"/>
      <c r="SR36" s="270"/>
      <c r="SS36" s="270"/>
      <c r="ST36" s="270"/>
      <c r="SU36" s="270"/>
      <c r="SV36" s="270"/>
      <c r="SW36" s="270"/>
      <c r="SX36" s="270"/>
      <c r="SY36" s="270"/>
      <c r="SZ36" s="270"/>
      <c r="TA36" s="270"/>
      <c r="TB36" s="270"/>
      <c r="TC36" s="270"/>
      <c r="TD36" s="270"/>
      <c r="TE36" s="270"/>
      <c r="TF36" s="270"/>
      <c r="TG36" s="270"/>
      <c r="TH36" s="270"/>
      <c r="TI36" s="270"/>
      <c r="TJ36" s="270"/>
      <c r="TK36" s="270"/>
      <c r="TL36" s="270"/>
      <c r="TM36" s="270"/>
      <c r="TN36" s="270"/>
      <c r="TO36" s="270"/>
      <c r="TP36" s="270"/>
      <c r="TQ36" s="270"/>
      <c r="TR36" s="270"/>
      <c r="TS36" s="270"/>
      <c r="TT36" s="270"/>
      <c r="TU36" s="270"/>
      <c r="TV36" s="270"/>
      <c r="TW36" s="270"/>
      <c r="TX36" s="270"/>
      <c r="TY36" s="270"/>
      <c r="TZ36" s="270"/>
      <c r="UA36" s="270"/>
      <c r="UB36" s="270"/>
      <c r="UC36" s="270"/>
      <c r="UD36" s="270"/>
      <c r="UE36" s="270"/>
      <c r="UF36" s="270"/>
      <c r="UG36" s="270"/>
      <c r="UH36" s="270"/>
      <c r="UI36" s="270"/>
      <c r="UJ36" s="270"/>
      <c r="UK36" s="270"/>
      <c r="UL36" s="270"/>
      <c r="UM36" s="270"/>
      <c r="UN36" s="270"/>
      <c r="UO36" s="270"/>
      <c r="UP36" s="270"/>
      <c r="UQ36" s="270"/>
      <c r="UR36" s="270"/>
      <c r="US36" s="270"/>
      <c r="UT36" s="270"/>
      <c r="UU36" s="270"/>
      <c r="UV36" s="270"/>
      <c r="UW36" s="270"/>
      <c r="UX36" s="270"/>
      <c r="UY36" s="270"/>
      <c r="UZ36" s="270"/>
      <c r="VA36" s="270"/>
      <c r="VB36" s="270"/>
      <c r="VC36" s="270"/>
      <c r="VD36" s="270"/>
      <c r="VE36" s="270"/>
      <c r="VF36" s="270"/>
      <c r="VG36" s="270"/>
      <c r="VH36" s="270"/>
      <c r="VI36" s="270"/>
      <c r="VJ36" s="270"/>
      <c r="VK36" s="270"/>
      <c r="VL36" s="270"/>
      <c r="VM36" s="270"/>
      <c r="VN36" s="270"/>
      <c r="VO36" s="270"/>
      <c r="VP36" s="270"/>
      <c r="VQ36" s="270"/>
      <c r="VR36" s="270"/>
      <c r="VS36" s="270"/>
      <c r="VT36" s="270"/>
      <c r="VU36" s="270"/>
      <c r="VV36" s="270"/>
      <c r="VW36" s="270"/>
      <c r="VX36" s="270"/>
      <c r="VY36" s="270"/>
      <c r="VZ36" s="270"/>
      <c r="WA36" s="270"/>
      <c r="WB36" s="270"/>
      <c r="WC36" s="270"/>
      <c r="WD36" s="270"/>
      <c r="WE36" s="270"/>
      <c r="WF36" s="270"/>
      <c r="WG36" s="270"/>
      <c r="WH36" s="270"/>
      <c r="WI36" s="270"/>
      <c r="WJ36" s="270"/>
      <c r="WK36" s="270"/>
      <c r="WL36" s="270"/>
      <c r="WM36" s="270"/>
      <c r="WN36" s="270"/>
      <c r="WO36" s="270"/>
      <c r="WP36" s="270"/>
      <c r="WQ36" s="270"/>
      <c r="WR36" s="270"/>
      <c r="WS36" s="270"/>
      <c r="WT36" s="270"/>
      <c r="WU36" s="270"/>
      <c r="WV36" s="270"/>
      <c r="WW36" s="270"/>
      <c r="WX36" s="270"/>
      <c r="WY36" s="270"/>
      <c r="WZ36" s="270"/>
      <c r="XA36" s="270"/>
      <c r="XB36" s="270"/>
      <c r="XC36" s="270"/>
      <c r="XD36" s="270"/>
      <c r="XE36" s="270"/>
      <c r="XF36" s="270"/>
      <c r="XG36" s="270"/>
      <c r="XH36" s="270"/>
      <c r="XI36" s="270"/>
      <c r="XJ36" s="270"/>
      <c r="XK36" s="270"/>
      <c r="XL36" s="270"/>
      <c r="XM36" s="270"/>
      <c r="XN36" s="270"/>
      <c r="XO36" s="270"/>
      <c r="XP36" s="270"/>
      <c r="XQ36" s="270"/>
      <c r="XR36" s="270"/>
      <c r="XS36" s="270"/>
      <c r="XT36" s="270"/>
      <c r="XU36" s="270"/>
      <c r="XV36" s="270"/>
      <c r="XW36" s="270"/>
      <c r="XX36" s="270"/>
      <c r="XY36" s="270"/>
      <c r="XZ36" s="270"/>
      <c r="YA36" s="270"/>
      <c r="YB36" s="270"/>
      <c r="YC36" s="270"/>
      <c r="YD36" s="270"/>
      <c r="YE36" s="270"/>
      <c r="YF36" s="270"/>
      <c r="YG36" s="270"/>
      <c r="YH36" s="270"/>
      <c r="YI36" s="270"/>
      <c r="YJ36" s="270"/>
      <c r="YK36" s="270"/>
      <c r="YL36" s="270"/>
      <c r="YM36" s="270"/>
      <c r="YN36" s="270"/>
      <c r="YO36" s="270"/>
      <c r="YP36" s="270"/>
      <c r="YQ36" s="270"/>
      <c r="YR36" s="270"/>
      <c r="YS36" s="270"/>
      <c r="YT36" s="270"/>
      <c r="YU36" s="270"/>
      <c r="YV36" s="270"/>
      <c r="YW36" s="270"/>
      <c r="YX36" s="270"/>
      <c r="YY36" s="270"/>
      <c r="YZ36" s="270"/>
      <c r="ZA36" s="270"/>
      <c r="ZB36" s="270"/>
      <c r="ZC36" s="270"/>
      <c r="ZD36" s="270"/>
      <c r="ZE36" s="270"/>
    </row>
    <row r="37">
      <c r="A37" s="156" t="s">
        <v>642</v>
      </c>
      <c r="B37" s="108" t="s">
        <v>1909</v>
      </c>
      <c r="C37" s="16"/>
      <c r="D37" s="16"/>
      <c r="E37" s="16"/>
      <c r="F37" s="16"/>
      <c r="G37" s="16"/>
      <c r="H37" s="25"/>
      <c r="I37" s="108" t="s">
        <v>628</v>
      </c>
      <c r="J37" s="16"/>
      <c r="K37" s="16"/>
      <c r="L37" s="16"/>
      <c r="M37" s="16"/>
      <c r="N37" s="16"/>
      <c r="O37" s="25"/>
      <c r="P37" s="108" t="s">
        <v>1047</v>
      </c>
      <c r="Q37" s="16"/>
      <c r="R37" s="16"/>
      <c r="S37" s="16"/>
      <c r="T37" s="16"/>
      <c r="U37" s="16"/>
      <c r="V37" s="25"/>
      <c r="W37" s="108" t="s">
        <v>343</v>
      </c>
      <c r="X37" s="16"/>
      <c r="Y37" s="16"/>
      <c r="Z37" s="16"/>
      <c r="AA37" s="16"/>
      <c r="AB37" s="16"/>
      <c r="AC37" s="25"/>
      <c r="AD37" s="388"/>
      <c r="AE37" s="16"/>
      <c r="AF37" s="16"/>
      <c r="AG37" s="16"/>
      <c r="AH37" s="16"/>
      <c r="AI37" s="16"/>
      <c r="AJ37" s="25"/>
      <c r="AK37" s="108" t="s">
        <v>645</v>
      </c>
      <c r="AL37" s="16"/>
      <c r="AM37" s="16"/>
      <c r="AN37" s="16"/>
      <c r="AO37" s="16"/>
      <c r="AP37" s="16"/>
      <c r="AQ37" s="25"/>
      <c r="AR37" s="388"/>
      <c r="AS37" s="16"/>
      <c r="AT37" s="16"/>
      <c r="AU37" s="16"/>
      <c r="AV37" s="16"/>
      <c r="AW37" s="16"/>
      <c r="AX37" s="25"/>
      <c r="AY37" s="388"/>
      <c r="AZ37" s="16"/>
      <c r="BA37" s="16"/>
      <c r="BB37" s="16"/>
      <c r="BC37" s="16"/>
      <c r="BD37" s="16"/>
      <c r="BE37" s="25"/>
      <c r="BF37" s="388"/>
      <c r="BG37" s="16"/>
      <c r="BH37" s="16"/>
      <c r="BI37" s="16"/>
      <c r="BJ37" s="16"/>
      <c r="BK37" s="16"/>
      <c r="BL37" s="25"/>
      <c r="BM37" s="388"/>
      <c r="BN37" s="16"/>
      <c r="BO37" s="16"/>
      <c r="BP37" s="16"/>
      <c r="BQ37" s="16"/>
      <c r="BR37" s="16"/>
      <c r="BS37" s="25"/>
      <c r="BT37" s="388"/>
      <c r="BU37" s="16"/>
      <c r="BV37" s="16"/>
      <c r="BW37" s="16"/>
      <c r="BX37" s="16"/>
      <c r="BY37" s="16"/>
      <c r="BZ37" s="25"/>
      <c r="CA37" s="388"/>
      <c r="CB37" s="16"/>
      <c r="CC37" s="16"/>
      <c r="CD37" s="16"/>
      <c r="CE37" s="16"/>
      <c r="CF37" s="16"/>
      <c r="CG37" s="25"/>
      <c r="CH37" s="388"/>
      <c r="CI37" s="16"/>
      <c r="CJ37" s="16"/>
      <c r="CK37" s="16"/>
      <c r="CL37" s="16"/>
      <c r="CM37" s="16"/>
      <c r="CN37" s="25"/>
      <c r="CO37" s="388"/>
      <c r="CP37" s="16"/>
      <c r="CQ37" s="16"/>
      <c r="CR37" s="16"/>
      <c r="CS37" s="16"/>
      <c r="CT37" s="16"/>
      <c r="CU37" s="25"/>
      <c r="CV37" s="108"/>
      <c r="CW37" s="16"/>
      <c r="CX37" s="16"/>
      <c r="CY37" s="16"/>
      <c r="CZ37" s="16"/>
      <c r="DA37" s="16"/>
      <c r="DB37" s="25"/>
      <c r="DC37" s="108"/>
      <c r="DD37" s="16"/>
      <c r="DE37" s="16"/>
      <c r="DF37" s="16"/>
      <c r="DG37" s="16"/>
      <c r="DH37" s="16"/>
      <c r="DI37" s="25"/>
      <c r="DJ37" s="108" t="s">
        <v>1910</v>
      </c>
      <c r="DK37" s="16"/>
      <c r="DL37" s="16"/>
      <c r="DM37" s="16"/>
      <c r="DN37" s="16"/>
      <c r="DO37" s="16"/>
      <c r="DP37" s="25"/>
      <c r="DQ37" s="108"/>
      <c r="DR37" s="16"/>
      <c r="DS37" s="16"/>
      <c r="DT37" s="16"/>
      <c r="DU37" s="16"/>
      <c r="DV37" s="16"/>
      <c r="DW37" s="25"/>
      <c r="DX37" s="108"/>
      <c r="DY37" s="16"/>
      <c r="DZ37" s="16"/>
      <c r="EA37" s="16"/>
      <c r="EB37" s="16"/>
      <c r="EC37" s="16"/>
      <c r="ED37" s="25"/>
      <c r="EE37" s="108"/>
      <c r="EF37" s="16"/>
      <c r="EG37" s="16"/>
      <c r="EH37" s="16"/>
      <c r="EI37" s="16"/>
      <c r="EJ37" s="16"/>
      <c r="EK37" s="25"/>
      <c r="EL37" s="108"/>
      <c r="EM37" s="16"/>
      <c r="EN37" s="16"/>
      <c r="EO37" s="16"/>
      <c r="EP37" s="16"/>
      <c r="EQ37" s="16"/>
      <c r="ER37" s="25"/>
      <c r="ES37" s="108"/>
      <c r="ET37" s="16"/>
      <c r="EU37" s="16"/>
      <c r="EV37" s="16"/>
      <c r="EW37" s="16"/>
      <c r="EX37" s="16"/>
      <c r="EY37" s="25"/>
      <c r="EZ37" s="108"/>
      <c r="FA37" s="16"/>
      <c r="FB37" s="16"/>
      <c r="FC37" s="16"/>
      <c r="FD37" s="16"/>
      <c r="FE37" s="16"/>
      <c r="FF37" s="25"/>
      <c r="FG37" s="108"/>
      <c r="FH37" s="16"/>
      <c r="FI37" s="16"/>
      <c r="FJ37" s="16"/>
      <c r="FK37" s="16"/>
      <c r="FL37" s="16"/>
      <c r="FM37" s="25"/>
      <c r="FN37" s="108"/>
      <c r="FO37" s="16"/>
      <c r="FP37" s="16"/>
      <c r="FQ37" s="16"/>
      <c r="FR37" s="16"/>
      <c r="FS37" s="16"/>
      <c r="FT37" s="25"/>
      <c r="FU37" s="108"/>
      <c r="FV37" s="16"/>
      <c r="FW37" s="16"/>
      <c r="FX37" s="16"/>
      <c r="FY37" s="16"/>
      <c r="FZ37" s="16"/>
      <c r="GA37" s="25"/>
      <c r="GB37" s="388"/>
      <c r="GC37" s="16"/>
      <c r="GD37" s="16"/>
      <c r="GE37" s="16"/>
      <c r="GF37" s="16"/>
      <c r="GG37" s="16"/>
      <c r="GH37" s="25"/>
      <c r="GI37" s="388"/>
      <c r="GJ37" s="16"/>
      <c r="GK37" s="16"/>
      <c r="GL37" s="16"/>
      <c r="GM37" s="16"/>
      <c r="GN37" s="16"/>
      <c r="GO37" s="25"/>
      <c r="GP37" s="108" t="s">
        <v>1912</v>
      </c>
      <c r="GQ37" s="16"/>
      <c r="GR37" s="16"/>
      <c r="GS37" s="16"/>
      <c r="GT37" s="16"/>
      <c r="GU37" s="16"/>
      <c r="GV37" s="25"/>
      <c r="GW37" s="388"/>
      <c r="GX37" s="16"/>
      <c r="GY37" s="16"/>
      <c r="GZ37" s="16"/>
      <c r="HA37" s="16"/>
      <c r="HB37" s="16"/>
      <c r="HC37" s="25"/>
      <c r="HD37" s="388"/>
      <c r="HE37" s="16"/>
      <c r="HF37" s="16"/>
      <c r="HG37" s="16"/>
      <c r="HH37" s="16"/>
      <c r="HI37" s="16"/>
      <c r="HJ37" s="25"/>
      <c r="HK37" s="388"/>
      <c r="HL37" s="16"/>
      <c r="HM37" s="16"/>
      <c r="HN37" s="16"/>
      <c r="HO37" s="16"/>
      <c r="HP37" s="16"/>
      <c r="HQ37" s="25"/>
      <c r="HR37" s="388"/>
      <c r="HS37" s="16"/>
      <c r="HT37" s="16"/>
      <c r="HU37" s="16"/>
      <c r="HV37" s="16"/>
      <c r="HW37" s="16"/>
      <c r="HX37" s="25"/>
      <c r="HY37" s="108"/>
      <c r="HZ37" s="16"/>
      <c r="IA37" s="16"/>
      <c r="IB37" s="16"/>
      <c r="IC37" s="16"/>
      <c r="ID37" s="16"/>
      <c r="IE37" s="25"/>
      <c r="IF37" s="388"/>
      <c r="IG37" s="16"/>
      <c r="IH37" s="16"/>
      <c r="II37" s="16"/>
      <c r="IJ37" s="16"/>
      <c r="IK37" s="16"/>
      <c r="IL37" s="25"/>
      <c r="IM37" s="108"/>
      <c r="IN37" s="16"/>
      <c r="IO37" s="16"/>
      <c r="IP37" s="16"/>
      <c r="IQ37" s="16"/>
      <c r="IR37" s="16"/>
      <c r="IS37" s="25"/>
      <c r="IT37" s="388"/>
      <c r="IU37" s="16"/>
      <c r="IV37" s="16"/>
      <c r="IW37" s="16"/>
      <c r="IX37" s="16"/>
      <c r="IY37" s="16"/>
      <c r="IZ37" s="25"/>
      <c r="JA37" s="388"/>
      <c r="JB37" s="16"/>
      <c r="JC37" s="16"/>
      <c r="JD37" s="16"/>
      <c r="JE37" s="16"/>
      <c r="JF37" s="16"/>
      <c r="JG37" s="25"/>
      <c r="JH37" s="388"/>
      <c r="JI37" s="16"/>
      <c r="JJ37" s="16"/>
      <c r="JK37" s="16"/>
      <c r="JL37" s="16"/>
      <c r="JM37" s="16"/>
      <c r="JN37" s="25"/>
      <c r="JO37" s="394"/>
      <c r="JP37" s="16"/>
      <c r="JQ37" s="16"/>
      <c r="JR37" s="16"/>
      <c r="JS37" s="16"/>
      <c r="JT37" s="16"/>
      <c r="JU37" s="25"/>
      <c r="JV37" s="388"/>
      <c r="JW37" s="16"/>
      <c r="JX37" s="16"/>
      <c r="JY37" s="16"/>
      <c r="JZ37" s="16"/>
      <c r="KA37" s="16"/>
      <c r="KB37" s="25"/>
      <c r="KC37" s="388"/>
      <c r="KD37" s="16"/>
      <c r="KE37" s="16"/>
      <c r="KF37" s="16"/>
      <c r="KG37" s="16"/>
      <c r="KH37" s="16"/>
      <c r="KI37" s="25"/>
      <c r="KJ37" s="388"/>
      <c r="KK37" s="16"/>
      <c r="KL37" s="16"/>
      <c r="KM37" s="16"/>
      <c r="KN37" s="16"/>
      <c r="KO37" s="16"/>
      <c r="KP37" s="25"/>
      <c r="KQ37" s="108" t="s">
        <v>1913</v>
      </c>
      <c r="KR37" s="16"/>
      <c r="KS37" s="16"/>
      <c r="KT37" s="16"/>
      <c r="KU37" s="16"/>
      <c r="KV37" s="16"/>
      <c r="KW37" s="25"/>
      <c r="KX37" s="108" t="s">
        <v>1913</v>
      </c>
      <c r="KY37" s="16"/>
      <c r="KZ37" s="16"/>
      <c r="LA37" s="16"/>
      <c r="LB37" s="16"/>
      <c r="LC37" s="16"/>
      <c r="LD37" s="25"/>
      <c r="LE37" s="108" t="s">
        <v>1913</v>
      </c>
      <c r="LF37" s="16"/>
      <c r="LG37" s="16"/>
      <c r="LH37" s="16"/>
      <c r="LI37" s="16"/>
      <c r="LJ37" s="16"/>
      <c r="LK37" s="25"/>
      <c r="LL37" s="108" t="s">
        <v>1913</v>
      </c>
      <c r="LM37" s="16"/>
      <c r="LN37" s="16"/>
      <c r="LO37" s="16"/>
      <c r="LP37" s="16"/>
      <c r="LQ37" s="16"/>
      <c r="LR37" s="25"/>
      <c r="LS37" s="108" t="s">
        <v>1913</v>
      </c>
      <c r="LT37" s="16"/>
      <c r="LU37" s="16"/>
      <c r="LV37" s="16"/>
      <c r="LW37" s="16"/>
      <c r="LX37" s="16"/>
      <c r="LY37" s="25"/>
      <c r="LZ37" s="108" t="s">
        <v>1913</v>
      </c>
      <c r="MA37" s="16"/>
      <c r="MB37" s="16"/>
      <c r="MC37" s="16"/>
      <c r="MD37" s="16"/>
      <c r="ME37" s="16"/>
      <c r="MF37" s="25"/>
      <c r="MG37" s="108" t="s">
        <v>1913</v>
      </c>
      <c r="MH37" s="16"/>
      <c r="MI37" s="16"/>
      <c r="MJ37" s="16"/>
      <c r="MK37" s="16"/>
      <c r="ML37" s="16"/>
      <c r="MM37" s="25"/>
      <c r="MN37" s="108" t="s">
        <v>1913</v>
      </c>
      <c r="MO37" s="16"/>
      <c r="MP37" s="16"/>
      <c r="MQ37" s="16"/>
      <c r="MR37" s="16"/>
      <c r="MS37" s="16"/>
      <c r="MT37" s="25"/>
      <c r="MU37" s="388"/>
      <c r="MV37" s="16"/>
      <c r="MW37" s="16"/>
      <c r="MX37" s="16"/>
      <c r="MY37" s="16"/>
      <c r="MZ37" s="16"/>
      <c r="NA37" s="25"/>
      <c r="NB37" s="399"/>
      <c r="NC37" s="270"/>
      <c r="ND37" s="270"/>
      <c r="NE37" s="270"/>
      <c r="NF37" s="270"/>
      <c r="NG37" s="270"/>
      <c r="NH37" s="270"/>
      <c r="NI37" s="270"/>
      <c r="NJ37" s="270"/>
      <c r="NK37" s="270"/>
      <c r="NL37" s="270"/>
      <c r="NM37" s="270"/>
      <c r="NN37" s="270"/>
      <c r="NO37" s="270"/>
      <c r="NP37" s="270"/>
      <c r="NQ37" s="270"/>
      <c r="NR37" s="270"/>
      <c r="NS37" s="270"/>
      <c r="NT37" s="270"/>
      <c r="NU37" s="270"/>
      <c r="NV37" s="270"/>
      <c r="NW37" s="270"/>
      <c r="NX37" s="270"/>
      <c r="NY37" s="270"/>
      <c r="NZ37" s="270"/>
      <c r="OA37" s="270"/>
      <c r="OB37" s="270"/>
      <c r="OC37" s="270"/>
      <c r="OD37" s="270"/>
      <c r="OE37" s="270"/>
      <c r="OF37" s="270"/>
      <c r="OG37" s="270"/>
      <c r="OH37" s="270"/>
      <c r="OI37" s="270"/>
      <c r="OJ37" s="270"/>
      <c r="OK37" s="270"/>
      <c r="OL37" s="270"/>
      <c r="OM37" s="270"/>
      <c r="ON37" s="270"/>
      <c r="OO37" s="270"/>
      <c r="OP37" s="270"/>
      <c r="OQ37" s="270"/>
      <c r="OR37" s="270"/>
      <c r="OS37" s="270"/>
      <c r="OT37" s="270"/>
      <c r="OU37" s="270"/>
      <c r="OV37" s="270"/>
      <c r="OW37" s="270"/>
      <c r="OX37" s="270"/>
      <c r="OY37" s="270"/>
      <c r="OZ37" s="270"/>
      <c r="PA37" s="270"/>
      <c r="PB37" s="270"/>
      <c r="PC37" s="270"/>
      <c r="PD37" s="270"/>
      <c r="PE37" s="270"/>
      <c r="PF37" s="270"/>
      <c r="PG37" s="270"/>
      <c r="PH37" s="270"/>
      <c r="PI37" s="270"/>
      <c r="PJ37" s="270"/>
      <c r="PK37" s="270"/>
      <c r="PL37" s="270"/>
      <c r="PM37" s="270"/>
      <c r="PN37" s="270"/>
      <c r="PO37" s="270"/>
      <c r="PP37" s="270"/>
      <c r="PQ37" s="270"/>
      <c r="PR37" s="270"/>
      <c r="PS37" s="270"/>
      <c r="PT37" s="270"/>
      <c r="PU37" s="270"/>
      <c r="PV37" s="270"/>
      <c r="PW37" s="270"/>
      <c r="PX37" s="270"/>
      <c r="PY37" s="270"/>
      <c r="PZ37" s="270"/>
      <c r="QA37" s="270"/>
      <c r="QB37" s="270"/>
      <c r="QC37" s="270"/>
      <c r="QD37" s="270"/>
      <c r="QE37" s="270"/>
      <c r="QF37" s="270"/>
      <c r="QG37" s="270"/>
      <c r="QH37" s="270"/>
      <c r="QI37" s="270"/>
      <c r="QJ37" s="270"/>
      <c r="QK37" s="270"/>
      <c r="QL37" s="270"/>
      <c r="QM37" s="270"/>
      <c r="QN37" s="270"/>
      <c r="QO37" s="270"/>
      <c r="QP37" s="270"/>
      <c r="QQ37" s="270"/>
      <c r="QR37" s="270"/>
      <c r="QS37" s="270"/>
      <c r="QT37" s="270"/>
      <c r="QU37" s="270"/>
      <c r="QV37" s="270"/>
      <c r="QW37" s="270"/>
      <c r="QX37" s="270"/>
      <c r="QY37" s="270"/>
      <c r="QZ37" s="270"/>
      <c r="RA37" s="270"/>
      <c r="RB37" s="270"/>
      <c r="RC37" s="270"/>
      <c r="RD37" s="270"/>
      <c r="RE37" s="270"/>
      <c r="RF37" s="270"/>
      <c r="RG37" s="270"/>
      <c r="RH37" s="270"/>
      <c r="RI37" s="270"/>
      <c r="RJ37" s="270"/>
      <c r="RK37" s="270"/>
      <c r="RL37" s="270"/>
      <c r="RM37" s="270"/>
      <c r="RN37" s="270"/>
      <c r="RO37" s="270"/>
      <c r="RP37" s="270"/>
      <c r="RQ37" s="270"/>
      <c r="RR37" s="270"/>
      <c r="RS37" s="270"/>
      <c r="RT37" s="270"/>
      <c r="RU37" s="270"/>
      <c r="RV37" s="270"/>
      <c r="RW37" s="270"/>
      <c r="RX37" s="270"/>
      <c r="RY37" s="270"/>
      <c r="RZ37" s="270"/>
      <c r="SA37" s="270"/>
      <c r="SB37" s="270"/>
      <c r="SC37" s="270"/>
      <c r="SD37" s="270"/>
      <c r="SE37" s="270"/>
      <c r="SF37" s="270"/>
      <c r="SG37" s="270"/>
      <c r="SH37" s="270"/>
      <c r="SI37" s="270"/>
      <c r="SJ37" s="270"/>
      <c r="SK37" s="270"/>
      <c r="SL37" s="270"/>
      <c r="SM37" s="270"/>
      <c r="SN37" s="270"/>
      <c r="SO37" s="270"/>
      <c r="SP37" s="270"/>
      <c r="SQ37" s="270"/>
      <c r="SR37" s="270"/>
      <c r="SS37" s="270"/>
      <c r="ST37" s="270"/>
      <c r="SU37" s="270"/>
      <c r="SV37" s="270"/>
      <c r="SW37" s="270"/>
      <c r="SX37" s="270"/>
      <c r="SY37" s="270"/>
      <c r="SZ37" s="270"/>
      <c r="TA37" s="270"/>
      <c r="TB37" s="270"/>
      <c r="TC37" s="270"/>
      <c r="TD37" s="270"/>
      <c r="TE37" s="270"/>
      <c r="TF37" s="270"/>
      <c r="TG37" s="270"/>
      <c r="TH37" s="270"/>
      <c r="TI37" s="270"/>
      <c r="TJ37" s="270"/>
      <c r="TK37" s="270"/>
      <c r="TL37" s="270"/>
      <c r="TM37" s="270"/>
      <c r="TN37" s="270"/>
      <c r="TO37" s="270"/>
      <c r="TP37" s="270"/>
      <c r="TQ37" s="270"/>
      <c r="TR37" s="270"/>
      <c r="TS37" s="270"/>
      <c r="TT37" s="270"/>
      <c r="TU37" s="270"/>
      <c r="TV37" s="270"/>
      <c r="TW37" s="270"/>
      <c r="TX37" s="270"/>
      <c r="TY37" s="270"/>
      <c r="TZ37" s="270"/>
      <c r="UA37" s="270"/>
      <c r="UB37" s="270"/>
      <c r="UC37" s="270"/>
      <c r="UD37" s="270"/>
      <c r="UE37" s="270"/>
      <c r="UF37" s="270"/>
      <c r="UG37" s="270"/>
      <c r="UH37" s="270"/>
      <c r="UI37" s="270"/>
      <c r="UJ37" s="270"/>
      <c r="UK37" s="270"/>
      <c r="UL37" s="270"/>
      <c r="UM37" s="270"/>
      <c r="UN37" s="270"/>
      <c r="UO37" s="270"/>
      <c r="UP37" s="270"/>
      <c r="UQ37" s="270"/>
      <c r="UR37" s="270"/>
      <c r="US37" s="270"/>
      <c r="UT37" s="270"/>
      <c r="UU37" s="270"/>
      <c r="UV37" s="270"/>
      <c r="UW37" s="270"/>
      <c r="UX37" s="270"/>
      <c r="UY37" s="270"/>
      <c r="UZ37" s="270"/>
      <c r="VA37" s="270"/>
      <c r="VB37" s="270"/>
      <c r="VC37" s="270"/>
      <c r="VD37" s="270"/>
      <c r="VE37" s="270"/>
      <c r="VF37" s="270"/>
      <c r="VG37" s="270"/>
      <c r="VH37" s="270"/>
      <c r="VI37" s="270"/>
      <c r="VJ37" s="270"/>
      <c r="VK37" s="270"/>
      <c r="VL37" s="270"/>
      <c r="VM37" s="270"/>
      <c r="VN37" s="270"/>
      <c r="VO37" s="270"/>
      <c r="VP37" s="270"/>
      <c r="VQ37" s="270"/>
      <c r="VR37" s="270"/>
      <c r="VS37" s="270"/>
      <c r="VT37" s="270"/>
      <c r="VU37" s="270"/>
      <c r="VV37" s="270"/>
      <c r="VW37" s="270"/>
      <c r="VX37" s="270"/>
      <c r="VY37" s="270"/>
      <c r="VZ37" s="270"/>
      <c r="WA37" s="270"/>
      <c r="WB37" s="270"/>
      <c r="WC37" s="270"/>
      <c r="WD37" s="270"/>
      <c r="WE37" s="270"/>
      <c r="WF37" s="270"/>
      <c r="WG37" s="270"/>
      <c r="WH37" s="270"/>
      <c r="WI37" s="270"/>
      <c r="WJ37" s="270"/>
      <c r="WK37" s="270"/>
      <c r="WL37" s="270"/>
      <c r="WM37" s="270"/>
      <c r="WN37" s="270"/>
      <c r="WO37" s="270"/>
      <c r="WP37" s="270"/>
      <c r="WQ37" s="270"/>
      <c r="WR37" s="270"/>
      <c r="WS37" s="270"/>
      <c r="WT37" s="270"/>
      <c r="WU37" s="270"/>
      <c r="WV37" s="270"/>
      <c r="WW37" s="270"/>
      <c r="WX37" s="270"/>
      <c r="WY37" s="270"/>
      <c r="WZ37" s="270"/>
      <c r="XA37" s="270"/>
      <c r="XB37" s="270"/>
      <c r="XC37" s="270"/>
      <c r="XD37" s="270"/>
      <c r="XE37" s="270"/>
      <c r="XF37" s="270"/>
      <c r="XG37" s="270"/>
      <c r="XH37" s="270"/>
      <c r="XI37" s="270"/>
      <c r="XJ37" s="270"/>
      <c r="XK37" s="270"/>
      <c r="XL37" s="270"/>
      <c r="XM37" s="270"/>
      <c r="XN37" s="270"/>
      <c r="XO37" s="270"/>
      <c r="XP37" s="270"/>
      <c r="XQ37" s="270"/>
      <c r="XR37" s="270"/>
      <c r="XS37" s="270"/>
      <c r="XT37" s="270"/>
      <c r="XU37" s="270"/>
      <c r="XV37" s="270"/>
      <c r="XW37" s="270"/>
      <c r="XX37" s="270"/>
      <c r="XY37" s="270"/>
      <c r="XZ37" s="270"/>
      <c r="YA37" s="270"/>
      <c r="YB37" s="270"/>
      <c r="YC37" s="270"/>
      <c r="YD37" s="270"/>
      <c r="YE37" s="270"/>
      <c r="YF37" s="270"/>
      <c r="YG37" s="270"/>
      <c r="YH37" s="270"/>
      <c r="YI37" s="270"/>
      <c r="YJ37" s="270"/>
      <c r="YK37" s="270"/>
      <c r="YL37" s="270"/>
      <c r="YM37" s="270"/>
      <c r="YN37" s="270"/>
      <c r="YO37" s="270"/>
      <c r="YP37" s="270"/>
      <c r="YQ37" s="270"/>
      <c r="YR37" s="270"/>
      <c r="YS37" s="270"/>
      <c r="YT37" s="270"/>
      <c r="YU37" s="270"/>
      <c r="YV37" s="270"/>
      <c r="YW37" s="270"/>
      <c r="YX37" s="270"/>
      <c r="YY37" s="270"/>
      <c r="YZ37" s="270"/>
      <c r="ZA37" s="270"/>
      <c r="ZB37" s="270"/>
      <c r="ZC37" s="270"/>
      <c r="ZD37" s="270"/>
      <c r="ZE37" s="270"/>
    </row>
    <row r="38">
      <c r="A38" s="156" t="s">
        <v>668</v>
      </c>
      <c r="B38" s="388"/>
      <c r="C38" s="16"/>
      <c r="D38" s="16"/>
      <c r="E38" s="16"/>
      <c r="F38" s="16"/>
      <c r="G38" s="16"/>
      <c r="H38" s="25"/>
      <c r="I38" s="108"/>
      <c r="J38" s="16"/>
      <c r="K38" s="16"/>
      <c r="L38" s="16"/>
      <c r="M38" s="16"/>
      <c r="N38" s="16"/>
      <c r="O38" s="25"/>
      <c r="P38" s="388"/>
      <c r="Q38" s="16"/>
      <c r="R38" s="16"/>
      <c r="S38" s="16"/>
      <c r="T38" s="16"/>
      <c r="U38" s="16"/>
      <c r="V38" s="25"/>
      <c r="W38" s="388"/>
      <c r="X38" s="16"/>
      <c r="Y38" s="16"/>
      <c r="Z38" s="16"/>
      <c r="AA38" s="16"/>
      <c r="AB38" s="16"/>
      <c r="AC38" s="25"/>
      <c r="AD38" s="388"/>
      <c r="AE38" s="16"/>
      <c r="AF38" s="16"/>
      <c r="AG38" s="16"/>
      <c r="AH38" s="16"/>
      <c r="AI38" s="16"/>
      <c r="AJ38" s="25"/>
      <c r="AK38" s="388"/>
      <c r="AL38" s="16"/>
      <c r="AM38" s="16"/>
      <c r="AN38" s="16"/>
      <c r="AO38" s="16"/>
      <c r="AP38" s="16"/>
      <c r="AQ38" s="25"/>
      <c r="AR38" s="388"/>
      <c r="AS38" s="16"/>
      <c r="AT38" s="16"/>
      <c r="AU38" s="16"/>
      <c r="AV38" s="16"/>
      <c r="AW38" s="16"/>
      <c r="AX38" s="25"/>
      <c r="AY38" s="388"/>
      <c r="AZ38" s="16"/>
      <c r="BA38" s="16"/>
      <c r="BB38" s="16"/>
      <c r="BC38" s="16"/>
      <c r="BD38" s="16"/>
      <c r="BE38" s="25"/>
      <c r="BF38" s="388"/>
      <c r="BG38" s="16"/>
      <c r="BH38" s="16"/>
      <c r="BI38" s="16"/>
      <c r="BJ38" s="16"/>
      <c r="BK38" s="16"/>
      <c r="BL38" s="25"/>
      <c r="BM38" s="388"/>
      <c r="BN38" s="16"/>
      <c r="BO38" s="16"/>
      <c r="BP38" s="16"/>
      <c r="BQ38" s="16"/>
      <c r="BR38" s="16"/>
      <c r="BS38" s="25"/>
      <c r="BT38" s="108"/>
      <c r="BU38" s="16"/>
      <c r="BV38" s="16"/>
      <c r="BW38" s="16"/>
      <c r="BX38" s="16"/>
      <c r="BY38" s="16"/>
      <c r="BZ38" s="25"/>
      <c r="CA38" s="388"/>
      <c r="CB38" s="16"/>
      <c r="CC38" s="16"/>
      <c r="CD38" s="16"/>
      <c r="CE38" s="16"/>
      <c r="CF38" s="16"/>
      <c r="CG38" s="25"/>
      <c r="CH38" s="388"/>
      <c r="CI38" s="16"/>
      <c r="CJ38" s="16"/>
      <c r="CK38" s="16"/>
      <c r="CL38" s="16"/>
      <c r="CM38" s="16"/>
      <c r="CN38" s="25"/>
      <c r="CO38" s="388"/>
      <c r="CP38" s="16"/>
      <c r="CQ38" s="16"/>
      <c r="CR38" s="16"/>
      <c r="CS38" s="16"/>
      <c r="CT38" s="16"/>
      <c r="CU38" s="25"/>
      <c r="CV38" s="108"/>
      <c r="CW38" s="16"/>
      <c r="CX38" s="16"/>
      <c r="CY38" s="16"/>
      <c r="CZ38" s="16"/>
      <c r="DA38" s="16"/>
      <c r="DB38" s="25"/>
      <c r="DC38" s="108"/>
      <c r="DD38" s="16"/>
      <c r="DE38" s="16"/>
      <c r="DF38" s="16"/>
      <c r="DG38" s="16"/>
      <c r="DH38" s="16"/>
      <c r="DI38" s="25"/>
      <c r="DJ38" s="108"/>
      <c r="DK38" s="16"/>
      <c r="DL38" s="16"/>
      <c r="DM38" s="16"/>
      <c r="DN38" s="16"/>
      <c r="DO38" s="16"/>
      <c r="DP38" s="25"/>
      <c r="DQ38" s="108"/>
      <c r="DR38" s="16"/>
      <c r="DS38" s="16"/>
      <c r="DT38" s="16"/>
      <c r="DU38" s="16"/>
      <c r="DV38" s="16"/>
      <c r="DW38" s="25"/>
      <c r="DX38" s="108"/>
      <c r="DY38" s="16"/>
      <c r="DZ38" s="16"/>
      <c r="EA38" s="16"/>
      <c r="EB38" s="16"/>
      <c r="EC38" s="16"/>
      <c r="ED38" s="25"/>
      <c r="EE38" s="108"/>
      <c r="EF38" s="16"/>
      <c r="EG38" s="16"/>
      <c r="EH38" s="16"/>
      <c r="EI38" s="16"/>
      <c r="EJ38" s="16"/>
      <c r="EK38" s="25"/>
      <c r="EL38" s="108"/>
      <c r="EM38" s="16"/>
      <c r="EN38" s="16"/>
      <c r="EO38" s="16"/>
      <c r="EP38" s="16"/>
      <c r="EQ38" s="16"/>
      <c r="ER38" s="25"/>
      <c r="ES38" s="108"/>
      <c r="ET38" s="16"/>
      <c r="EU38" s="16"/>
      <c r="EV38" s="16"/>
      <c r="EW38" s="16"/>
      <c r="EX38" s="16"/>
      <c r="EY38" s="25"/>
      <c r="EZ38" s="108"/>
      <c r="FA38" s="16"/>
      <c r="FB38" s="16"/>
      <c r="FC38" s="16"/>
      <c r="FD38" s="16"/>
      <c r="FE38" s="16"/>
      <c r="FF38" s="25"/>
      <c r="FG38" s="108"/>
      <c r="FH38" s="16"/>
      <c r="FI38" s="16"/>
      <c r="FJ38" s="16"/>
      <c r="FK38" s="16"/>
      <c r="FL38" s="16"/>
      <c r="FM38" s="25"/>
      <c r="FN38" s="108"/>
      <c r="FO38" s="16"/>
      <c r="FP38" s="16"/>
      <c r="FQ38" s="16"/>
      <c r="FR38" s="16"/>
      <c r="FS38" s="16"/>
      <c r="FT38" s="25"/>
      <c r="FU38" s="388"/>
      <c r="FV38" s="16"/>
      <c r="FW38" s="16"/>
      <c r="FX38" s="16"/>
      <c r="FY38" s="16"/>
      <c r="FZ38" s="16"/>
      <c r="GA38" s="25"/>
      <c r="GB38" s="388"/>
      <c r="GC38" s="16"/>
      <c r="GD38" s="16"/>
      <c r="GE38" s="16"/>
      <c r="GF38" s="16"/>
      <c r="GG38" s="16"/>
      <c r="GH38" s="25"/>
      <c r="GI38" s="388"/>
      <c r="GJ38" s="16"/>
      <c r="GK38" s="16"/>
      <c r="GL38" s="16"/>
      <c r="GM38" s="16"/>
      <c r="GN38" s="16"/>
      <c r="GO38" s="25"/>
      <c r="GP38" s="388"/>
      <c r="GQ38" s="16"/>
      <c r="GR38" s="16"/>
      <c r="GS38" s="16"/>
      <c r="GT38" s="16"/>
      <c r="GU38" s="16"/>
      <c r="GV38" s="25"/>
      <c r="GW38" s="388"/>
      <c r="GX38" s="16"/>
      <c r="GY38" s="16"/>
      <c r="GZ38" s="16"/>
      <c r="HA38" s="16"/>
      <c r="HB38" s="16"/>
      <c r="HC38" s="25"/>
      <c r="HD38" s="388"/>
      <c r="HE38" s="16"/>
      <c r="HF38" s="16"/>
      <c r="HG38" s="16"/>
      <c r="HH38" s="16"/>
      <c r="HI38" s="16"/>
      <c r="HJ38" s="25"/>
      <c r="HK38" s="388"/>
      <c r="HL38" s="16"/>
      <c r="HM38" s="16"/>
      <c r="HN38" s="16"/>
      <c r="HO38" s="16"/>
      <c r="HP38" s="16"/>
      <c r="HQ38" s="25"/>
      <c r="HR38" s="388"/>
      <c r="HS38" s="16"/>
      <c r="HT38" s="16"/>
      <c r="HU38" s="16"/>
      <c r="HV38" s="16"/>
      <c r="HW38" s="16"/>
      <c r="HX38" s="25"/>
      <c r="HY38" s="388"/>
      <c r="HZ38" s="16"/>
      <c r="IA38" s="16"/>
      <c r="IB38" s="16"/>
      <c r="IC38" s="16"/>
      <c r="ID38" s="16"/>
      <c r="IE38" s="25"/>
      <c r="IF38" s="388"/>
      <c r="IG38" s="16"/>
      <c r="IH38" s="16"/>
      <c r="II38" s="16"/>
      <c r="IJ38" s="16"/>
      <c r="IK38" s="16"/>
      <c r="IL38" s="25"/>
      <c r="IM38" s="388"/>
      <c r="IN38" s="16"/>
      <c r="IO38" s="16"/>
      <c r="IP38" s="16"/>
      <c r="IQ38" s="16"/>
      <c r="IR38" s="16"/>
      <c r="IS38" s="25"/>
      <c r="IT38" s="388"/>
      <c r="IU38" s="16"/>
      <c r="IV38" s="16"/>
      <c r="IW38" s="16"/>
      <c r="IX38" s="16"/>
      <c r="IY38" s="16"/>
      <c r="IZ38" s="25"/>
      <c r="JA38" s="388"/>
      <c r="JB38" s="16"/>
      <c r="JC38" s="16"/>
      <c r="JD38" s="16"/>
      <c r="JE38" s="16"/>
      <c r="JF38" s="16"/>
      <c r="JG38" s="25"/>
      <c r="JH38" s="388"/>
      <c r="JI38" s="16"/>
      <c r="JJ38" s="16"/>
      <c r="JK38" s="16"/>
      <c r="JL38" s="16"/>
      <c r="JM38" s="16"/>
      <c r="JN38" s="25"/>
      <c r="JO38" s="406" t="s">
        <v>1388</v>
      </c>
      <c r="JP38" s="16"/>
      <c r="JQ38" s="16"/>
      <c r="JR38" s="16"/>
      <c r="JS38" s="16"/>
      <c r="JT38" s="16"/>
      <c r="JU38" s="25"/>
      <c r="JV38" s="406" t="s">
        <v>1388</v>
      </c>
      <c r="JW38" s="16"/>
      <c r="JX38" s="16"/>
      <c r="JY38" s="16"/>
      <c r="JZ38" s="16"/>
      <c r="KA38" s="16"/>
      <c r="KB38" s="25"/>
      <c r="KC38" s="406" t="s">
        <v>1388</v>
      </c>
      <c r="KD38" s="16"/>
      <c r="KE38" s="16"/>
      <c r="KF38" s="16"/>
      <c r="KG38" s="16"/>
      <c r="KH38" s="16"/>
      <c r="KI38" s="25"/>
      <c r="KJ38" s="406" t="s">
        <v>1388</v>
      </c>
      <c r="KK38" s="16"/>
      <c r="KL38" s="16"/>
      <c r="KM38" s="16"/>
      <c r="KN38" s="16"/>
      <c r="KO38" s="16"/>
      <c r="KP38" s="25"/>
      <c r="KQ38" s="388"/>
      <c r="KR38" s="16"/>
      <c r="KS38" s="16"/>
      <c r="KT38" s="16"/>
      <c r="KU38" s="16"/>
      <c r="KV38" s="16"/>
      <c r="KW38" s="25"/>
      <c r="KX38" s="388"/>
      <c r="KY38" s="16"/>
      <c r="KZ38" s="16"/>
      <c r="LA38" s="16"/>
      <c r="LB38" s="16"/>
      <c r="LC38" s="16"/>
      <c r="LD38" s="25"/>
      <c r="LE38" s="388"/>
      <c r="LF38" s="16"/>
      <c r="LG38" s="16"/>
      <c r="LH38" s="16"/>
      <c r="LI38" s="16"/>
      <c r="LJ38" s="16"/>
      <c r="LK38" s="25"/>
      <c r="LL38" s="388"/>
      <c r="LM38" s="16"/>
      <c r="LN38" s="16"/>
      <c r="LO38" s="16"/>
      <c r="LP38" s="16"/>
      <c r="LQ38" s="16"/>
      <c r="LR38" s="25"/>
      <c r="LS38" s="388"/>
      <c r="LT38" s="16"/>
      <c r="LU38" s="16"/>
      <c r="LV38" s="16"/>
      <c r="LW38" s="16"/>
      <c r="LX38" s="16"/>
      <c r="LY38" s="25"/>
      <c r="LZ38" s="388"/>
      <c r="MA38" s="16"/>
      <c r="MB38" s="16"/>
      <c r="MC38" s="16"/>
      <c r="MD38" s="16"/>
      <c r="ME38" s="16"/>
      <c r="MF38" s="25"/>
      <c r="MG38" s="388"/>
      <c r="MH38" s="16"/>
      <c r="MI38" s="16"/>
      <c r="MJ38" s="16"/>
      <c r="MK38" s="16"/>
      <c r="ML38" s="16"/>
      <c r="MM38" s="25"/>
      <c r="MN38" s="388"/>
      <c r="MO38" s="16"/>
      <c r="MP38" s="16"/>
      <c r="MQ38" s="16"/>
      <c r="MR38" s="16"/>
      <c r="MS38" s="16"/>
      <c r="MT38" s="25"/>
      <c r="MU38" s="388"/>
      <c r="MV38" s="16"/>
      <c r="MW38" s="16"/>
      <c r="MX38" s="16"/>
      <c r="MY38" s="16"/>
      <c r="MZ38" s="16"/>
      <c r="NA38" s="25"/>
      <c r="NB38" s="399"/>
      <c r="NC38" s="270"/>
      <c r="ND38" s="270"/>
      <c r="NE38" s="270"/>
      <c r="NF38" s="270"/>
      <c r="NG38" s="270"/>
      <c r="NH38" s="270"/>
      <c r="NI38" s="270"/>
      <c r="NJ38" s="270"/>
      <c r="NK38" s="270"/>
      <c r="NL38" s="270"/>
      <c r="NM38" s="270"/>
      <c r="NN38" s="270"/>
      <c r="NO38" s="270"/>
      <c r="NP38" s="270"/>
      <c r="NQ38" s="270"/>
      <c r="NR38" s="270"/>
      <c r="NS38" s="270"/>
      <c r="NT38" s="270"/>
      <c r="NU38" s="270"/>
      <c r="NV38" s="270"/>
      <c r="NW38" s="270"/>
      <c r="NX38" s="270"/>
      <c r="NY38" s="270"/>
      <c r="NZ38" s="270"/>
      <c r="OA38" s="270"/>
      <c r="OB38" s="270"/>
      <c r="OC38" s="270"/>
      <c r="OD38" s="270"/>
      <c r="OE38" s="270"/>
      <c r="OF38" s="270"/>
      <c r="OG38" s="270"/>
      <c r="OH38" s="270"/>
      <c r="OI38" s="270"/>
      <c r="OJ38" s="270"/>
      <c r="OK38" s="270"/>
      <c r="OL38" s="270"/>
      <c r="OM38" s="270"/>
      <c r="ON38" s="270"/>
      <c r="OO38" s="270"/>
      <c r="OP38" s="270"/>
      <c r="OQ38" s="270"/>
      <c r="OR38" s="270"/>
      <c r="OS38" s="270"/>
      <c r="OT38" s="270"/>
      <c r="OU38" s="270"/>
      <c r="OV38" s="270"/>
      <c r="OW38" s="270"/>
      <c r="OX38" s="270"/>
      <c r="OY38" s="270"/>
      <c r="OZ38" s="270"/>
      <c r="PA38" s="270"/>
      <c r="PB38" s="270"/>
      <c r="PC38" s="270"/>
      <c r="PD38" s="270"/>
      <c r="PE38" s="270"/>
      <c r="PF38" s="270"/>
      <c r="PG38" s="270"/>
      <c r="PH38" s="270"/>
      <c r="PI38" s="270"/>
      <c r="PJ38" s="270"/>
      <c r="PK38" s="270"/>
      <c r="PL38" s="270"/>
      <c r="PM38" s="270"/>
      <c r="PN38" s="270"/>
      <c r="PO38" s="270"/>
      <c r="PP38" s="270"/>
      <c r="PQ38" s="270"/>
      <c r="PR38" s="270"/>
      <c r="PS38" s="270"/>
      <c r="PT38" s="270"/>
      <c r="PU38" s="270"/>
      <c r="PV38" s="270"/>
      <c r="PW38" s="270"/>
      <c r="PX38" s="270"/>
      <c r="PY38" s="270"/>
      <c r="PZ38" s="270"/>
      <c r="QA38" s="270"/>
      <c r="QB38" s="270"/>
      <c r="QC38" s="270"/>
      <c r="QD38" s="270"/>
      <c r="QE38" s="270"/>
      <c r="QF38" s="270"/>
      <c r="QG38" s="270"/>
      <c r="QH38" s="270"/>
      <c r="QI38" s="270"/>
      <c r="QJ38" s="270"/>
      <c r="QK38" s="270"/>
      <c r="QL38" s="270"/>
      <c r="QM38" s="270"/>
      <c r="QN38" s="270"/>
      <c r="QO38" s="270"/>
      <c r="QP38" s="270"/>
      <c r="QQ38" s="270"/>
      <c r="QR38" s="270"/>
      <c r="QS38" s="270"/>
      <c r="QT38" s="270"/>
      <c r="QU38" s="270"/>
      <c r="QV38" s="270"/>
      <c r="QW38" s="270"/>
      <c r="QX38" s="270"/>
      <c r="QY38" s="270"/>
      <c r="QZ38" s="270"/>
      <c r="RA38" s="270"/>
      <c r="RB38" s="270"/>
      <c r="RC38" s="270"/>
      <c r="RD38" s="270"/>
      <c r="RE38" s="270"/>
      <c r="RF38" s="270"/>
      <c r="RG38" s="270"/>
      <c r="RH38" s="270"/>
      <c r="RI38" s="270"/>
      <c r="RJ38" s="270"/>
      <c r="RK38" s="270"/>
      <c r="RL38" s="270"/>
      <c r="RM38" s="270"/>
      <c r="RN38" s="270"/>
      <c r="RO38" s="270"/>
      <c r="RP38" s="270"/>
      <c r="RQ38" s="270"/>
      <c r="RR38" s="270"/>
      <c r="RS38" s="270"/>
      <c r="RT38" s="270"/>
      <c r="RU38" s="270"/>
      <c r="RV38" s="270"/>
      <c r="RW38" s="270"/>
      <c r="RX38" s="270"/>
      <c r="RY38" s="270"/>
      <c r="RZ38" s="270"/>
      <c r="SA38" s="270"/>
      <c r="SB38" s="270"/>
      <c r="SC38" s="270"/>
      <c r="SD38" s="270"/>
      <c r="SE38" s="270"/>
      <c r="SF38" s="270"/>
      <c r="SG38" s="270"/>
      <c r="SH38" s="270"/>
      <c r="SI38" s="270"/>
      <c r="SJ38" s="270"/>
      <c r="SK38" s="270"/>
      <c r="SL38" s="270"/>
      <c r="SM38" s="270"/>
      <c r="SN38" s="270"/>
      <c r="SO38" s="270"/>
      <c r="SP38" s="270"/>
      <c r="SQ38" s="270"/>
      <c r="SR38" s="270"/>
      <c r="SS38" s="270"/>
      <c r="ST38" s="270"/>
      <c r="SU38" s="270"/>
      <c r="SV38" s="270"/>
      <c r="SW38" s="270"/>
      <c r="SX38" s="270"/>
      <c r="SY38" s="270"/>
      <c r="SZ38" s="270"/>
      <c r="TA38" s="270"/>
      <c r="TB38" s="270"/>
      <c r="TC38" s="270"/>
      <c r="TD38" s="270"/>
      <c r="TE38" s="270"/>
      <c r="TF38" s="270"/>
      <c r="TG38" s="270"/>
      <c r="TH38" s="270"/>
      <c r="TI38" s="270"/>
      <c r="TJ38" s="270"/>
      <c r="TK38" s="270"/>
      <c r="TL38" s="270"/>
      <c r="TM38" s="270"/>
      <c r="TN38" s="270"/>
      <c r="TO38" s="270"/>
      <c r="TP38" s="270"/>
      <c r="TQ38" s="270"/>
      <c r="TR38" s="270"/>
      <c r="TS38" s="270"/>
      <c r="TT38" s="270"/>
      <c r="TU38" s="270"/>
      <c r="TV38" s="270"/>
      <c r="TW38" s="270"/>
      <c r="TX38" s="270"/>
      <c r="TY38" s="270"/>
      <c r="TZ38" s="270"/>
      <c r="UA38" s="270"/>
      <c r="UB38" s="270"/>
      <c r="UC38" s="270"/>
      <c r="UD38" s="270"/>
      <c r="UE38" s="270"/>
      <c r="UF38" s="270"/>
      <c r="UG38" s="270"/>
      <c r="UH38" s="270"/>
      <c r="UI38" s="270"/>
      <c r="UJ38" s="270"/>
      <c r="UK38" s="270"/>
      <c r="UL38" s="270"/>
      <c r="UM38" s="270"/>
      <c r="UN38" s="270"/>
      <c r="UO38" s="270"/>
      <c r="UP38" s="270"/>
      <c r="UQ38" s="270"/>
      <c r="UR38" s="270"/>
      <c r="US38" s="270"/>
      <c r="UT38" s="270"/>
      <c r="UU38" s="270"/>
      <c r="UV38" s="270"/>
      <c r="UW38" s="270"/>
      <c r="UX38" s="270"/>
      <c r="UY38" s="270"/>
      <c r="UZ38" s="270"/>
      <c r="VA38" s="270"/>
      <c r="VB38" s="270"/>
      <c r="VC38" s="270"/>
      <c r="VD38" s="270"/>
      <c r="VE38" s="270"/>
      <c r="VF38" s="270"/>
      <c r="VG38" s="270"/>
      <c r="VH38" s="270"/>
      <c r="VI38" s="270"/>
      <c r="VJ38" s="270"/>
      <c r="VK38" s="270"/>
      <c r="VL38" s="270"/>
      <c r="VM38" s="270"/>
      <c r="VN38" s="270"/>
      <c r="VO38" s="270"/>
      <c r="VP38" s="270"/>
      <c r="VQ38" s="270"/>
      <c r="VR38" s="270"/>
      <c r="VS38" s="270"/>
      <c r="VT38" s="270"/>
      <c r="VU38" s="270"/>
      <c r="VV38" s="270"/>
      <c r="VW38" s="270"/>
      <c r="VX38" s="270"/>
      <c r="VY38" s="270"/>
      <c r="VZ38" s="270"/>
      <c r="WA38" s="270"/>
      <c r="WB38" s="270"/>
      <c r="WC38" s="270"/>
      <c r="WD38" s="270"/>
      <c r="WE38" s="270"/>
      <c r="WF38" s="270"/>
      <c r="WG38" s="270"/>
      <c r="WH38" s="270"/>
      <c r="WI38" s="270"/>
      <c r="WJ38" s="270"/>
      <c r="WK38" s="270"/>
      <c r="WL38" s="270"/>
      <c r="WM38" s="270"/>
      <c r="WN38" s="270"/>
      <c r="WO38" s="270"/>
      <c r="WP38" s="270"/>
      <c r="WQ38" s="270"/>
      <c r="WR38" s="270"/>
      <c r="WS38" s="270"/>
      <c r="WT38" s="270"/>
      <c r="WU38" s="270"/>
      <c r="WV38" s="270"/>
      <c r="WW38" s="270"/>
      <c r="WX38" s="270"/>
      <c r="WY38" s="270"/>
      <c r="WZ38" s="270"/>
      <c r="XA38" s="270"/>
      <c r="XB38" s="270"/>
      <c r="XC38" s="270"/>
      <c r="XD38" s="270"/>
      <c r="XE38" s="270"/>
      <c r="XF38" s="270"/>
      <c r="XG38" s="270"/>
      <c r="XH38" s="270"/>
      <c r="XI38" s="270"/>
      <c r="XJ38" s="270"/>
      <c r="XK38" s="270"/>
      <c r="XL38" s="270"/>
      <c r="XM38" s="270"/>
      <c r="XN38" s="270"/>
      <c r="XO38" s="270"/>
      <c r="XP38" s="270"/>
      <c r="XQ38" s="270"/>
      <c r="XR38" s="270"/>
      <c r="XS38" s="270"/>
      <c r="XT38" s="270"/>
      <c r="XU38" s="270"/>
      <c r="XV38" s="270"/>
      <c r="XW38" s="270"/>
      <c r="XX38" s="270"/>
      <c r="XY38" s="270"/>
      <c r="XZ38" s="270"/>
      <c r="YA38" s="270"/>
      <c r="YB38" s="270"/>
      <c r="YC38" s="270"/>
      <c r="YD38" s="270"/>
      <c r="YE38" s="270"/>
      <c r="YF38" s="270"/>
      <c r="YG38" s="270"/>
      <c r="YH38" s="270"/>
      <c r="YI38" s="270"/>
      <c r="YJ38" s="270"/>
      <c r="YK38" s="270"/>
      <c r="YL38" s="270"/>
      <c r="YM38" s="270"/>
      <c r="YN38" s="270"/>
      <c r="YO38" s="270"/>
      <c r="YP38" s="270"/>
      <c r="YQ38" s="270"/>
      <c r="YR38" s="270"/>
      <c r="YS38" s="270"/>
      <c r="YT38" s="270"/>
      <c r="YU38" s="270"/>
      <c r="YV38" s="270"/>
      <c r="YW38" s="270"/>
      <c r="YX38" s="270"/>
      <c r="YY38" s="270"/>
      <c r="YZ38" s="270"/>
      <c r="ZA38" s="270"/>
      <c r="ZB38" s="270"/>
      <c r="ZC38" s="270"/>
      <c r="ZD38" s="270"/>
      <c r="ZE38" s="270"/>
    </row>
    <row r="39">
      <c r="A39" s="156" t="s">
        <v>688</v>
      </c>
      <c r="B39" s="388"/>
      <c r="C39" s="16"/>
      <c r="D39" s="16"/>
      <c r="E39" s="16"/>
      <c r="F39" s="16"/>
      <c r="G39" s="16"/>
      <c r="H39" s="25"/>
      <c r="I39" s="108"/>
      <c r="J39" s="16"/>
      <c r="K39" s="16"/>
      <c r="L39" s="16"/>
      <c r="M39" s="16"/>
      <c r="N39" s="16"/>
      <c r="O39" s="25"/>
      <c r="P39" s="388"/>
      <c r="Q39" s="16"/>
      <c r="R39" s="16"/>
      <c r="S39" s="16"/>
      <c r="T39" s="16"/>
      <c r="U39" s="16"/>
      <c r="V39" s="25"/>
      <c r="W39" s="388"/>
      <c r="X39" s="16"/>
      <c r="Y39" s="16"/>
      <c r="Z39" s="16"/>
      <c r="AA39" s="16"/>
      <c r="AB39" s="16"/>
      <c r="AC39" s="25"/>
      <c r="AD39" s="388"/>
      <c r="AE39" s="16"/>
      <c r="AF39" s="16"/>
      <c r="AG39" s="16"/>
      <c r="AH39" s="16"/>
      <c r="AI39" s="16"/>
      <c r="AJ39" s="25"/>
      <c r="AK39" s="388"/>
      <c r="AL39" s="16"/>
      <c r="AM39" s="16"/>
      <c r="AN39" s="16"/>
      <c r="AO39" s="16"/>
      <c r="AP39" s="16"/>
      <c r="AQ39" s="25"/>
      <c r="AR39" s="388"/>
      <c r="AS39" s="16"/>
      <c r="AT39" s="16"/>
      <c r="AU39" s="16"/>
      <c r="AV39" s="16"/>
      <c r="AW39" s="16"/>
      <c r="AX39" s="25"/>
      <c r="AY39" s="388"/>
      <c r="AZ39" s="16"/>
      <c r="BA39" s="16"/>
      <c r="BB39" s="16"/>
      <c r="BC39" s="16"/>
      <c r="BD39" s="16"/>
      <c r="BE39" s="25"/>
      <c r="BF39" s="388"/>
      <c r="BG39" s="16"/>
      <c r="BH39" s="16"/>
      <c r="BI39" s="16"/>
      <c r="BJ39" s="16"/>
      <c r="BK39" s="16"/>
      <c r="BL39" s="25"/>
      <c r="BM39" s="388"/>
      <c r="BN39" s="16"/>
      <c r="BO39" s="16"/>
      <c r="BP39" s="16"/>
      <c r="BQ39" s="16"/>
      <c r="BR39" s="16"/>
      <c r="BS39" s="25"/>
      <c r="BT39" s="108"/>
      <c r="BU39" s="16"/>
      <c r="BV39" s="16"/>
      <c r="BW39" s="16"/>
      <c r="BX39" s="16"/>
      <c r="BY39" s="16"/>
      <c r="BZ39" s="25"/>
      <c r="CA39" s="388"/>
      <c r="CB39" s="16"/>
      <c r="CC39" s="16"/>
      <c r="CD39" s="16"/>
      <c r="CE39" s="16"/>
      <c r="CF39" s="16"/>
      <c r="CG39" s="25"/>
      <c r="CH39" s="388"/>
      <c r="CI39" s="16"/>
      <c r="CJ39" s="16"/>
      <c r="CK39" s="16"/>
      <c r="CL39" s="16"/>
      <c r="CM39" s="16"/>
      <c r="CN39" s="25"/>
      <c r="CO39" s="388"/>
      <c r="CP39" s="16"/>
      <c r="CQ39" s="16"/>
      <c r="CR39" s="16"/>
      <c r="CS39" s="16"/>
      <c r="CT39" s="16"/>
      <c r="CU39" s="25"/>
      <c r="CV39" s="108"/>
      <c r="CW39" s="16"/>
      <c r="CX39" s="16"/>
      <c r="CY39" s="16"/>
      <c r="CZ39" s="16"/>
      <c r="DA39" s="16"/>
      <c r="DB39" s="25"/>
      <c r="DC39" s="108"/>
      <c r="DD39" s="16"/>
      <c r="DE39" s="16"/>
      <c r="DF39" s="16"/>
      <c r="DG39" s="16"/>
      <c r="DH39" s="16"/>
      <c r="DI39" s="25"/>
      <c r="DJ39" s="108"/>
      <c r="DK39" s="16"/>
      <c r="DL39" s="16"/>
      <c r="DM39" s="16"/>
      <c r="DN39" s="16"/>
      <c r="DO39" s="16"/>
      <c r="DP39" s="25"/>
      <c r="DQ39" s="108"/>
      <c r="DR39" s="16"/>
      <c r="DS39" s="16"/>
      <c r="DT39" s="16"/>
      <c r="DU39" s="16"/>
      <c r="DV39" s="16"/>
      <c r="DW39" s="25"/>
      <c r="DX39" s="108"/>
      <c r="DY39" s="16"/>
      <c r="DZ39" s="16"/>
      <c r="EA39" s="16"/>
      <c r="EB39" s="16"/>
      <c r="EC39" s="16"/>
      <c r="ED39" s="25"/>
      <c r="EE39" s="108"/>
      <c r="EF39" s="16"/>
      <c r="EG39" s="16"/>
      <c r="EH39" s="16"/>
      <c r="EI39" s="16"/>
      <c r="EJ39" s="16"/>
      <c r="EK39" s="25"/>
      <c r="EL39" s="108"/>
      <c r="EM39" s="16"/>
      <c r="EN39" s="16"/>
      <c r="EO39" s="16"/>
      <c r="EP39" s="16"/>
      <c r="EQ39" s="16"/>
      <c r="ER39" s="25"/>
      <c r="ES39" s="108"/>
      <c r="ET39" s="16"/>
      <c r="EU39" s="16"/>
      <c r="EV39" s="16"/>
      <c r="EW39" s="16"/>
      <c r="EX39" s="16"/>
      <c r="EY39" s="25"/>
      <c r="EZ39" s="108"/>
      <c r="FA39" s="16"/>
      <c r="FB39" s="16"/>
      <c r="FC39" s="16"/>
      <c r="FD39" s="16"/>
      <c r="FE39" s="16"/>
      <c r="FF39" s="25"/>
      <c r="FG39" s="108"/>
      <c r="FH39" s="16"/>
      <c r="FI39" s="16"/>
      <c r="FJ39" s="16"/>
      <c r="FK39" s="16"/>
      <c r="FL39" s="16"/>
      <c r="FM39" s="25"/>
      <c r="FN39" s="108"/>
      <c r="FO39" s="16"/>
      <c r="FP39" s="16"/>
      <c r="FQ39" s="16"/>
      <c r="FR39" s="16"/>
      <c r="FS39" s="16"/>
      <c r="FT39" s="25"/>
      <c r="FU39" s="388"/>
      <c r="FV39" s="16"/>
      <c r="FW39" s="16"/>
      <c r="FX39" s="16"/>
      <c r="FY39" s="16"/>
      <c r="FZ39" s="16"/>
      <c r="GA39" s="25"/>
      <c r="GB39" s="388"/>
      <c r="GC39" s="16"/>
      <c r="GD39" s="16"/>
      <c r="GE39" s="16"/>
      <c r="GF39" s="16"/>
      <c r="GG39" s="16"/>
      <c r="GH39" s="25"/>
      <c r="GI39" s="388"/>
      <c r="GJ39" s="16"/>
      <c r="GK39" s="16"/>
      <c r="GL39" s="16"/>
      <c r="GM39" s="16"/>
      <c r="GN39" s="16"/>
      <c r="GO39" s="25"/>
      <c r="GP39" s="388"/>
      <c r="GQ39" s="16"/>
      <c r="GR39" s="16"/>
      <c r="GS39" s="16"/>
      <c r="GT39" s="16"/>
      <c r="GU39" s="16"/>
      <c r="GV39" s="25"/>
      <c r="GW39" s="388"/>
      <c r="GX39" s="16"/>
      <c r="GY39" s="16"/>
      <c r="GZ39" s="16"/>
      <c r="HA39" s="16"/>
      <c r="HB39" s="16"/>
      <c r="HC39" s="25"/>
      <c r="HD39" s="388"/>
      <c r="HE39" s="16"/>
      <c r="HF39" s="16"/>
      <c r="HG39" s="16"/>
      <c r="HH39" s="16"/>
      <c r="HI39" s="16"/>
      <c r="HJ39" s="25"/>
      <c r="HK39" s="388"/>
      <c r="HL39" s="16"/>
      <c r="HM39" s="16"/>
      <c r="HN39" s="16"/>
      <c r="HO39" s="16"/>
      <c r="HP39" s="16"/>
      <c r="HQ39" s="25"/>
      <c r="HR39" s="388"/>
      <c r="HS39" s="16"/>
      <c r="HT39" s="16"/>
      <c r="HU39" s="16"/>
      <c r="HV39" s="16"/>
      <c r="HW39" s="16"/>
      <c r="HX39" s="25"/>
      <c r="HY39" s="388"/>
      <c r="HZ39" s="16"/>
      <c r="IA39" s="16"/>
      <c r="IB39" s="16"/>
      <c r="IC39" s="16"/>
      <c r="ID39" s="16"/>
      <c r="IE39" s="25"/>
      <c r="IF39" s="388"/>
      <c r="IG39" s="16"/>
      <c r="IH39" s="16"/>
      <c r="II39" s="16"/>
      <c r="IJ39" s="16"/>
      <c r="IK39" s="16"/>
      <c r="IL39" s="25"/>
      <c r="IM39" s="388"/>
      <c r="IN39" s="16"/>
      <c r="IO39" s="16"/>
      <c r="IP39" s="16"/>
      <c r="IQ39" s="16"/>
      <c r="IR39" s="16"/>
      <c r="IS39" s="25"/>
      <c r="IT39" s="388"/>
      <c r="IU39" s="16"/>
      <c r="IV39" s="16"/>
      <c r="IW39" s="16"/>
      <c r="IX39" s="16"/>
      <c r="IY39" s="16"/>
      <c r="IZ39" s="25"/>
      <c r="JA39" s="388"/>
      <c r="JB39" s="16"/>
      <c r="JC39" s="16"/>
      <c r="JD39" s="16"/>
      <c r="JE39" s="16"/>
      <c r="JF39" s="16"/>
      <c r="JG39" s="25"/>
      <c r="JH39" s="388"/>
      <c r="JI39" s="16"/>
      <c r="JJ39" s="16"/>
      <c r="JK39" s="16"/>
      <c r="JL39" s="16"/>
      <c r="JM39" s="16"/>
      <c r="JN39" s="25"/>
      <c r="JO39" s="394"/>
      <c r="JP39" s="16"/>
      <c r="JQ39" s="16"/>
      <c r="JR39" s="16"/>
      <c r="JS39" s="16"/>
      <c r="JT39" s="16"/>
      <c r="JU39" s="25"/>
      <c r="JV39" s="388"/>
      <c r="JW39" s="16"/>
      <c r="JX39" s="16"/>
      <c r="JY39" s="16"/>
      <c r="JZ39" s="16"/>
      <c r="KA39" s="16"/>
      <c r="KB39" s="25"/>
      <c r="KC39" s="388"/>
      <c r="KD39" s="16"/>
      <c r="KE39" s="16"/>
      <c r="KF39" s="16"/>
      <c r="KG39" s="16"/>
      <c r="KH39" s="16"/>
      <c r="KI39" s="25"/>
      <c r="KJ39" s="388"/>
      <c r="KK39" s="16"/>
      <c r="KL39" s="16"/>
      <c r="KM39" s="16"/>
      <c r="KN39" s="16"/>
      <c r="KO39" s="16"/>
      <c r="KP39" s="25"/>
      <c r="KQ39" s="388"/>
      <c r="KR39" s="16"/>
      <c r="KS39" s="16"/>
      <c r="KT39" s="16"/>
      <c r="KU39" s="16"/>
      <c r="KV39" s="16"/>
      <c r="KW39" s="25"/>
      <c r="KX39" s="108"/>
      <c r="KY39" s="16"/>
      <c r="KZ39" s="16"/>
      <c r="LA39" s="16"/>
      <c r="LB39" s="16"/>
      <c r="LC39" s="16"/>
      <c r="LD39" s="25"/>
      <c r="LE39" s="388"/>
      <c r="LF39" s="16"/>
      <c r="LG39" s="16"/>
      <c r="LH39" s="16"/>
      <c r="LI39" s="16"/>
      <c r="LJ39" s="16"/>
      <c r="LK39" s="25"/>
      <c r="LL39" s="388"/>
      <c r="LM39" s="16"/>
      <c r="LN39" s="16"/>
      <c r="LO39" s="16"/>
      <c r="LP39" s="16"/>
      <c r="LQ39" s="16"/>
      <c r="LR39" s="25"/>
      <c r="LS39" s="388"/>
      <c r="LT39" s="16"/>
      <c r="LU39" s="16"/>
      <c r="LV39" s="16"/>
      <c r="LW39" s="16"/>
      <c r="LX39" s="16"/>
      <c r="LY39" s="25"/>
      <c r="LZ39" s="388"/>
      <c r="MA39" s="16"/>
      <c r="MB39" s="16"/>
      <c r="MC39" s="16"/>
      <c r="MD39" s="16"/>
      <c r="ME39" s="16"/>
      <c r="MF39" s="25"/>
      <c r="MG39" s="388"/>
      <c r="MH39" s="16"/>
      <c r="MI39" s="16"/>
      <c r="MJ39" s="16"/>
      <c r="MK39" s="16"/>
      <c r="ML39" s="16"/>
      <c r="MM39" s="25"/>
      <c r="MN39" s="388"/>
      <c r="MO39" s="16"/>
      <c r="MP39" s="16"/>
      <c r="MQ39" s="16"/>
      <c r="MR39" s="16"/>
      <c r="MS39" s="16"/>
      <c r="MT39" s="25"/>
      <c r="MU39" s="388"/>
      <c r="MV39" s="16"/>
      <c r="MW39" s="16"/>
      <c r="MX39" s="16"/>
      <c r="MY39" s="16"/>
      <c r="MZ39" s="16"/>
      <c r="NA39" s="25"/>
      <c r="NB39" s="399"/>
      <c r="NC39" s="270"/>
      <c r="ND39" s="270"/>
      <c r="NE39" s="270"/>
      <c r="NF39" s="270"/>
      <c r="NG39" s="270"/>
      <c r="NH39" s="270"/>
      <c r="NI39" s="270"/>
      <c r="NJ39" s="270"/>
      <c r="NK39" s="270"/>
      <c r="NL39" s="270"/>
      <c r="NM39" s="270"/>
      <c r="NN39" s="270"/>
      <c r="NO39" s="270"/>
      <c r="NP39" s="270"/>
      <c r="NQ39" s="270"/>
      <c r="NR39" s="270"/>
      <c r="NS39" s="270"/>
      <c r="NT39" s="270"/>
      <c r="NU39" s="270"/>
      <c r="NV39" s="270"/>
      <c r="NW39" s="270"/>
      <c r="NX39" s="270"/>
      <c r="NY39" s="270"/>
      <c r="NZ39" s="270"/>
      <c r="OA39" s="270"/>
      <c r="OB39" s="270"/>
      <c r="OC39" s="270"/>
      <c r="OD39" s="270"/>
      <c r="OE39" s="270"/>
      <c r="OF39" s="270"/>
      <c r="OG39" s="270"/>
      <c r="OH39" s="270"/>
      <c r="OI39" s="270"/>
      <c r="OJ39" s="270"/>
      <c r="OK39" s="270"/>
      <c r="OL39" s="270"/>
      <c r="OM39" s="270"/>
      <c r="ON39" s="270"/>
      <c r="OO39" s="270"/>
      <c r="OP39" s="270"/>
      <c r="OQ39" s="270"/>
      <c r="OR39" s="270"/>
      <c r="OS39" s="270"/>
      <c r="OT39" s="270"/>
      <c r="OU39" s="270"/>
      <c r="OV39" s="270"/>
      <c r="OW39" s="270"/>
      <c r="OX39" s="270"/>
      <c r="OY39" s="270"/>
      <c r="OZ39" s="270"/>
      <c r="PA39" s="270"/>
      <c r="PB39" s="270"/>
      <c r="PC39" s="270"/>
      <c r="PD39" s="270"/>
      <c r="PE39" s="270"/>
      <c r="PF39" s="270"/>
      <c r="PG39" s="270"/>
      <c r="PH39" s="270"/>
      <c r="PI39" s="270"/>
      <c r="PJ39" s="270"/>
      <c r="PK39" s="270"/>
      <c r="PL39" s="270"/>
      <c r="PM39" s="270"/>
      <c r="PN39" s="270"/>
      <c r="PO39" s="270"/>
      <c r="PP39" s="270"/>
      <c r="PQ39" s="270"/>
      <c r="PR39" s="270"/>
      <c r="PS39" s="270"/>
      <c r="PT39" s="270"/>
      <c r="PU39" s="270"/>
      <c r="PV39" s="270"/>
      <c r="PW39" s="270"/>
      <c r="PX39" s="270"/>
      <c r="PY39" s="270"/>
      <c r="PZ39" s="270"/>
      <c r="QA39" s="270"/>
      <c r="QB39" s="270"/>
      <c r="QC39" s="270"/>
      <c r="QD39" s="270"/>
      <c r="QE39" s="270"/>
      <c r="QF39" s="270"/>
      <c r="QG39" s="270"/>
      <c r="QH39" s="270"/>
      <c r="QI39" s="270"/>
      <c r="QJ39" s="270"/>
      <c r="QK39" s="270"/>
      <c r="QL39" s="270"/>
      <c r="QM39" s="270"/>
      <c r="QN39" s="270"/>
      <c r="QO39" s="270"/>
      <c r="QP39" s="270"/>
      <c r="QQ39" s="270"/>
      <c r="QR39" s="270"/>
      <c r="QS39" s="270"/>
      <c r="QT39" s="270"/>
      <c r="QU39" s="270"/>
      <c r="QV39" s="270"/>
      <c r="QW39" s="270"/>
      <c r="QX39" s="270"/>
      <c r="QY39" s="270"/>
      <c r="QZ39" s="270"/>
      <c r="RA39" s="270"/>
      <c r="RB39" s="270"/>
      <c r="RC39" s="270"/>
      <c r="RD39" s="270"/>
      <c r="RE39" s="270"/>
      <c r="RF39" s="270"/>
      <c r="RG39" s="270"/>
      <c r="RH39" s="270"/>
      <c r="RI39" s="270"/>
      <c r="RJ39" s="270"/>
      <c r="RK39" s="270"/>
      <c r="RL39" s="270"/>
      <c r="RM39" s="270"/>
      <c r="RN39" s="270"/>
      <c r="RO39" s="270"/>
      <c r="RP39" s="270"/>
      <c r="RQ39" s="270"/>
      <c r="RR39" s="270"/>
      <c r="RS39" s="270"/>
      <c r="RT39" s="270"/>
      <c r="RU39" s="270"/>
      <c r="RV39" s="270"/>
      <c r="RW39" s="270"/>
      <c r="RX39" s="270"/>
      <c r="RY39" s="270"/>
      <c r="RZ39" s="270"/>
      <c r="SA39" s="270"/>
      <c r="SB39" s="270"/>
      <c r="SC39" s="270"/>
      <c r="SD39" s="270"/>
      <c r="SE39" s="270"/>
      <c r="SF39" s="270"/>
      <c r="SG39" s="270"/>
      <c r="SH39" s="270"/>
      <c r="SI39" s="270"/>
      <c r="SJ39" s="270"/>
      <c r="SK39" s="270"/>
      <c r="SL39" s="270"/>
      <c r="SM39" s="270"/>
      <c r="SN39" s="270"/>
      <c r="SO39" s="270"/>
      <c r="SP39" s="270"/>
      <c r="SQ39" s="270"/>
      <c r="SR39" s="270"/>
      <c r="SS39" s="270"/>
      <c r="ST39" s="270"/>
      <c r="SU39" s="270"/>
      <c r="SV39" s="270"/>
      <c r="SW39" s="270"/>
      <c r="SX39" s="270"/>
      <c r="SY39" s="270"/>
      <c r="SZ39" s="270"/>
      <c r="TA39" s="270"/>
      <c r="TB39" s="270"/>
      <c r="TC39" s="270"/>
      <c r="TD39" s="270"/>
      <c r="TE39" s="270"/>
      <c r="TF39" s="270"/>
      <c r="TG39" s="270"/>
      <c r="TH39" s="270"/>
      <c r="TI39" s="270"/>
      <c r="TJ39" s="270"/>
      <c r="TK39" s="270"/>
      <c r="TL39" s="270"/>
      <c r="TM39" s="270"/>
      <c r="TN39" s="270"/>
      <c r="TO39" s="270"/>
      <c r="TP39" s="270"/>
      <c r="TQ39" s="270"/>
      <c r="TR39" s="270"/>
      <c r="TS39" s="270"/>
      <c r="TT39" s="270"/>
      <c r="TU39" s="270"/>
      <c r="TV39" s="270"/>
      <c r="TW39" s="270"/>
      <c r="TX39" s="270"/>
      <c r="TY39" s="270"/>
      <c r="TZ39" s="270"/>
      <c r="UA39" s="270"/>
      <c r="UB39" s="270"/>
      <c r="UC39" s="270"/>
      <c r="UD39" s="270"/>
      <c r="UE39" s="270"/>
      <c r="UF39" s="270"/>
      <c r="UG39" s="270"/>
      <c r="UH39" s="270"/>
      <c r="UI39" s="270"/>
      <c r="UJ39" s="270"/>
      <c r="UK39" s="270"/>
      <c r="UL39" s="270"/>
      <c r="UM39" s="270"/>
      <c r="UN39" s="270"/>
      <c r="UO39" s="270"/>
      <c r="UP39" s="270"/>
      <c r="UQ39" s="270"/>
      <c r="UR39" s="270"/>
      <c r="US39" s="270"/>
      <c r="UT39" s="270"/>
      <c r="UU39" s="270"/>
      <c r="UV39" s="270"/>
      <c r="UW39" s="270"/>
      <c r="UX39" s="270"/>
      <c r="UY39" s="270"/>
      <c r="UZ39" s="270"/>
      <c r="VA39" s="270"/>
      <c r="VB39" s="270"/>
      <c r="VC39" s="270"/>
      <c r="VD39" s="270"/>
      <c r="VE39" s="270"/>
      <c r="VF39" s="270"/>
      <c r="VG39" s="270"/>
      <c r="VH39" s="270"/>
      <c r="VI39" s="270"/>
      <c r="VJ39" s="270"/>
      <c r="VK39" s="270"/>
      <c r="VL39" s="270"/>
      <c r="VM39" s="270"/>
      <c r="VN39" s="270"/>
      <c r="VO39" s="270"/>
      <c r="VP39" s="270"/>
      <c r="VQ39" s="270"/>
      <c r="VR39" s="270"/>
      <c r="VS39" s="270"/>
      <c r="VT39" s="270"/>
      <c r="VU39" s="270"/>
      <c r="VV39" s="270"/>
      <c r="VW39" s="270"/>
      <c r="VX39" s="270"/>
      <c r="VY39" s="270"/>
      <c r="VZ39" s="270"/>
      <c r="WA39" s="270"/>
      <c r="WB39" s="270"/>
      <c r="WC39" s="270"/>
      <c r="WD39" s="270"/>
      <c r="WE39" s="270"/>
      <c r="WF39" s="270"/>
      <c r="WG39" s="270"/>
      <c r="WH39" s="270"/>
      <c r="WI39" s="270"/>
      <c r="WJ39" s="270"/>
      <c r="WK39" s="270"/>
      <c r="WL39" s="270"/>
      <c r="WM39" s="270"/>
      <c r="WN39" s="270"/>
      <c r="WO39" s="270"/>
      <c r="WP39" s="270"/>
      <c r="WQ39" s="270"/>
      <c r="WR39" s="270"/>
      <c r="WS39" s="270"/>
      <c r="WT39" s="270"/>
      <c r="WU39" s="270"/>
      <c r="WV39" s="270"/>
      <c r="WW39" s="270"/>
      <c r="WX39" s="270"/>
      <c r="WY39" s="270"/>
      <c r="WZ39" s="270"/>
      <c r="XA39" s="270"/>
      <c r="XB39" s="270"/>
      <c r="XC39" s="270"/>
      <c r="XD39" s="270"/>
      <c r="XE39" s="270"/>
      <c r="XF39" s="270"/>
      <c r="XG39" s="270"/>
      <c r="XH39" s="270"/>
      <c r="XI39" s="270"/>
      <c r="XJ39" s="270"/>
      <c r="XK39" s="270"/>
      <c r="XL39" s="270"/>
      <c r="XM39" s="270"/>
      <c r="XN39" s="270"/>
      <c r="XO39" s="270"/>
      <c r="XP39" s="270"/>
      <c r="XQ39" s="270"/>
      <c r="XR39" s="270"/>
      <c r="XS39" s="270"/>
      <c r="XT39" s="270"/>
      <c r="XU39" s="270"/>
      <c r="XV39" s="270"/>
      <c r="XW39" s="270"/>
      <c r="XX39" s="270"/>
      <c r="XY39" s="270"/>
      <c r="XZ39" s="270"/>
      <c r="YA39" s="270"/>
      <c r="YB39" s="270"/>
      <c r="YC39" s="270"/>
      <c r="YD39" s="270"/>
      <c r="YE39" s="270"/>
      <c r="YF39" s="270"/>
      <c r="YG39" s="270"/>
      <c r="YH39" s="270"/>
      <c r="YI39" s="270"/>
      <c r="YJ39" s="270"/>
      <c r="YK39" s="270"/>
      <c r="YL39" s="270"/>
      <c r="YM39" s="270"/>
      <c r="YN39" s="270"/>
      <c r="YO39" s="270"/>
      <c r="YP39" s="270"/>
      <c r="YQ39" s="270"/>
      <c r="YR39" s="270"/>
      <c r="YS39" s="270"/>
      <c r="YT39" s="270"/>
      <c r="YU39" s="270"/>
      <c r="YV39" s="270"/>
      <c r="YW39" s="270"/>
      <c r="YX39" s="270"/>
      <c r="YY39" s="270"/>
      <c r="YZ39" s="270"/>
      <c r="ZA39" s="270"/>
      <c r="ZB39" s="270"/>
      <c r="ZC39" s="270"/>
      <c r="ZD39" s="270"/>
      <c r="ZE39" s="270"/>
    </row>
    <row r="40">
      <c r="A40" s="156" t="s">
        <v>706</v>
      </c>
      <c r="B40" s="388"/>
      <c r="C40" s="16"/>
      <c r="D40" s="16"/>
      <c r="E40" s="16"/>
      <c r="F40" s="16"/>
      <c r="G40" s="16"/>
      <c r="H40" s="25"/>
      <c r="I40" s="108"/>
      <c r="J40" s="16"/>
      <c r="K40" s="16"/>
      <c r="L40" s="16"/>
      <c r="M40" s="16"/>
      <c r="N40" s="16"/>
      <c r="O40" s="25"/>
      <c r="P40" s="388"/>
      <c r="Q40" s="16"/>
      <c r="R40" s="16"/>
      <c r="S40" s="16"/>
      <c r="T40" s="16"/>
      <c r="U40" s="16"/>
      <c r="V40" s="25"/>
      <c r="W40" s="388"/>
      <c r="X40" s="16"/>
      <c r="Y40" s="16"/>
      <c r="Z40" s="16"/>
      <c r="AA40" s="16"/>
      <c r="AB40" s="16"/>
      <c r="AC40" s="25"/>
      <c r="AD40" s="388"/>
      <c r="AE40" s="16"/>
      <c r="AF40" s="16"/>
      <c r="AG40" s="16"/>
      <c r="AH40" s="16"/>
      <c r="AI40" s="16"/>
      <c r="AJ40" s="25"/>
      <c r="AK40" s="388"/>
      <c r="AL40" s="16"/>
      <c r="AM40" s="16"/>
      <c r="AN40" s="16"/>
      <c r="AO40" s="16"/>
      <c r="AP40" s="16"/>
      <c r="AQ40" s="25"/>
      <c r="AR40" s="388"/>
      <c r="AS40" s="16"/>
      <c r="AT40" s="16"/>
      <c r="AU40" s="16"/>
      <c r="AV40" s="16"/>
      <c r="AW40" s="16"/>
      <c r="AX40" s="25"/>
      <c r="AY40" s="388"/>
      <c r="AZ40" s="16"/>
      <c r="BA40" s="16"/>
      <c r="BB40" s="16"/>
      <c r="BC40" s="16"/>
      <c r="BD40" s="16"/>
      <c r="BE40" s="25"/>
      <c r="BF40" s="388"/>
      <c r="BG40" s="16"/>
      <c r="BH40" s="16"/>
      <c r="BI40" s="16"/>
      <c r="BJ40" s="16"/>
      <c r="BK40" s="16"/>
      <c r="BL40" s="25"/>
      <c r="BM40" s="388"/>
      <c r="BN40" s="16"/>
      <c r="BO40" s="16"/>
      <c r="BP40" s="16"/>
      <c r="BQ40" s="16"/>
      <c r="BR40" s="16"/>
      <c r="BS40" s="25"/>
      <c r="BT40" s="108"/>
      <c r="BU40" s="16"/>
      <c r="BV40" s="16"/>
      <c r="BW40" s="16"/>
      <c r="BX40" s="16"/>
      <c r="BY40" s="16"/>
      <c r="BZ40" s="25"/>
      <c r="CA40" s="388"/>
      <c r="CB40" s="16"/>
      <c r="CC40" s="16"/>
      <c r="CD40" s="16"/>
      <c r="CE40" s="16"/>
      <c r="CF40" s="16"/>
      <c r="CG40" s="25"/>
      <c r="CH40" s="388"/>
      <c r="CI40" s="16"/>
      <c r="CJ40" s="16"/>
      <c r="CK40" s="16"/>
      <c r="CL40" s="16"/>
      <c r="CM40" s="16"/>
      <c r="CN40" s="25"/>
      <c r="CO40" s="388"/>
      <c r="CP40" s="16"/>
      <c r="CQ40" s="16"/>
      <c r="CR40" s="16"/>
      <c r="CS40" s="16"/>
      <c r="CT40" s="16"/>
      <c r="CU40" s="25"/>
      <c r="CV40" s="108"/>
      <c r="CW40" s="16"/>
      <c r="CX40" s="16"/>
      <c r="CY40" s="16"/>
      <c r="CZ40" s="16"/>
      <c r="DA40" s="16"/>
      <c r="DB40" s="25"/>
      <c r="DC40" s="108"/>
      <c r="DD40" s="16"/>
      <c r="DE40" s="16"/>
      <c r="DF40" s="16"/>
      <c r="DG40" s="16"/>
      <c r="DH40" s="16"/>
      <c r="DI40" s="25"/>
      <c r="DJ40" s="108"/>
      <c r="DK40" s="16"/>
      <c r="DL40" s="16"/>
      <c r="DM40" s="16"/>
      <c r="DN40" s="16"/>
      <c r="DO40" s="16"/>
      <c r="DP40" s="25"/>
      <c r="DQ40" s="108"/>
      <c r="DR40" s="16"/>
      <c r="DS40" s="16"/>
      <c r="DT40" s="16"/>
      <c r="DU40" s="16"/>
      <c r="DV40" s="16"/>
      <c r="DW40" s="25"/>
      <c r="DX40" s="108"/>
      <c r="DY40" s="16"/>
      <c r="DZ40" s="16"/>
      <c r="EA40" s="16"/>
      <c r="EB40" s="16"/>
      <c r="EC40" s="16"/>
      <c r="ED40" s="25"/>
      <c r="EE40" s="108"/>
      <c r="EF40" s="16"/>
      <c r="EG40" s="16"/>
      <c r="EH40" s="16"/>
      <c r="EI40" s="16"/>
      <c r="EJ40" s="16"/>
      <c r="EK40" s="25"/>
      <c r="EL40" s="108"/>
      <c r="EM40" s="16"/>
      <c r="EN40" s="16"/>
      <c r="EO40" s="16"/>
      <c r="EP40" s="16"/>
      <c r="EQ40" s="16"/>
      <c r="ER40" s="25"/>
      <c r="ES40" s="108"/>
      <c r="ET40" s="16"/>
      <c r="EU40" s="16"/>
      <c r="EV40" s="16"/>
      <c r="EW40" s="16"/>
      <c r="EX40" s="16"/>
      <c r="EY40" s="25"/>
      <c r="EZ40" s="108"/>
      <c r="FA40" s="16"/>
      <c r="FB40" s="16"/>
      <c r="FC40" s="16"/>
      <c r="FD40" s="16"/>
      <c r="FE40" s="16"/>
      <c r="FF40" s="25"/>
      <c r="FG40" s="108"/>
      <c r="FH40" s="16"/>
      <c r="FI40" s="16"/>
      <c r="FJ40" s="16"/>
      <c r="FK40" s="16"/>
      <c r="FL40" s="16"/>
      <c r="FM40" s="25"/>
      <c r="FN40" s="108"/>
      <c r="FO40" s="16"/>
      <c r="FP40" s="16"/>
      <c r="FQ40" s="16"/>
      <c r="FR40" s="16"/>
      <c r="FS40" s="16"/>
      <c r="FT40" s="25"/>
      <c r="FU40" s="388"/>
      <c r="FV40" s="16"/>
      <c r="FW40" s="16"/>
      <c r="FX40" s="16"/>
      <c r="FY40" s="16"/>
      <c r="FZ40" s="16"/>
      <c r="GA40" s="25"/>
      <c r="GB40" s="388"/>
      <c r="GC40" s="16"/>
      <c r="GD40" s="16"/>
      <c r="GE40" s="16"/>
      <c r="GF40" s="16"/>
      <c r="GG40" s="16"/>
      <c r="GH40" s="25"/>
      <c r="GI40" s="388"/>
      <c r="GJ40" s="16"/>
      <c r="GK40" s="16"/>
      <c r="GL40" s="16"/>
      <c r="GM40" s="16"/>
      <c r="GN40" s="16"/>
      <c r="GO40" s="25"/>
      <c r="GP40" s="388"/>
      <c r="GQ40" s="16"/>
      <c r="GR40" s="16"/>
      <c r="GS40" s="16"/>
      <c r="GT40" s="16"/>
      <c r="GU40" s="16"/>
      <c r="GV40" s="25"/>
      <c r="GW40" s="388"/>
      <c r="GX40" s="16"/>
      <c r="GY40" s="16"/>
      <c r="GZ40" s="16"/>
      <c r="HA40" s="16"/>
      <c r="HB40" s="16"/>
      <c r="HC40" s="25"/>
      <c r="HD40" s="388"/>
      <c r="HE40" s="16"/>
      <c r="HF40" s="16"/>
      <c r="HG40" s="16"/>
      <c r="HH40" s="16"/>
      <c r="HI40" s="16"/>
      <c r="HJ40" s="25"/>
      <c r="HK40" s="388"/>
      <c r="HL40" s="16"/>
      <c r="HM40" s="16"/>
      <c r="HN40" s="16"/>
      <c r="HO40" s="16"/>
      <c r="HP40" s="16"/>
      <c r="HQ40" s="25"/>
      <c r="HR40" s="388"/>
      <c r="HS40" s="16"/>
      <c r="HT40" s="16"/>
      <c r="HU40" s="16"/>
      <c r="HV40" s="16"/>
      <c r="HW40" s="16"/>
      <c r="HX40" s="25"/>
      <c r="HY40" s="388"/>
      <c r="HZ40" s="16"/>
      <c r="IA40" s="16"/>
      <c r="IB40" s="16"/>
      <c r="IC40" s="16"/>
      <c r="ID40" s="16"/>
      <c r="IE40" s="25"/>
      <c r="IF40" s="388"/>
      <c r="IG40" s="16"/>
      <c r="IH40" s="16"/>
      <c r="II40" s="16"/>
      <c r="IJ40" s="16"/>
      <c r="IK40" s="16"/>
      <c r="IL40" s="25"/>
      <c r="IM40" s="388"/>
      <c r="IN40" s="16"/>
      <c r="IO40" s="16"/>
      <c r="IP40" s="16"/>
      <c r="IQ40" s="16"/>
      <c r="IR40" s="16"/>
      <c r="IS40" s="25"/>
      <c r="IT40" s="388"/>
      <c r="IU40" s="16"/>
      <c r="IV40" s="16"/>
      <c r="IW40" s="16"/>
      <c r="IX40" s="16"/>
      <c r="IY40" s="16"/>
      <c r="IZ40" s="25"/>
      <c r="JA40" s="388"/>
      <c r="JB40" s="16"/>
      <c r="JC40" s="16"/>
      <c r="JD40" s="16"/>
      <c r="JE40" s="16"/>
      <c r="JF40" s="16"/>
      <c r="JG40" s="25"/>
      <c r="JH40" s="388"/>
      <c r="JI40" s="16"/>
      <c r="JJ40" s="16"/>
      <c r="JK40" s="16"/>
      <c r="JL40" s="16"/>
      <c r="JM40" s="16"/>
      <c r="JN40" s="25"/>
      <c r="JO40" s="394"/>
      <c r="JP40" s="16"/>
      <c r="JQ40" s="16"/>
      <c r="JR40" s="16"/>
      <c r="JS40" s="16"/>
      <c r="JT40" s="16"/>
      <c r="JU40" s="25"/>
      <c r="JV40" s="388"/>
      <c r="JW40" s="16"/>
      <c r="JX40" s="16"/>
      <c r="JY40" s="16"/>
      <c r="JZ40" s="16"/>
      <c r="KA40" s="16"/>
      <c r="KB40" s="25"/>
      <c r="KC40" s="388"/>
      <c r="KD40" s="16"/>
      <c r="KE40" s="16"/>
      <c r="KF40" s="16"/>
      <c r="KG40" s="16"/>
      <c r="KH40" s="16"/>
      <c r="KI40" s="25"/>
      <c r="KJ40" s="388"/>
      <c r="KK40" s="16"/>
      <c r="KL40" s="16"/>
      <c r="KM40" s="16"/>
      <c r="KN40" s="16"/>
      <c r="KO40" s="16"/>
      <c r="KP40" s="25"/>
      <c r="KQ40" s="388"/>
      <c r="KR40" s="16"/>
      <c r="KS40" s="16"/>
      <c r="KT40" s="16"/>
      <c r="KU40" s="16"/>
      <c r="KV40" s="16"/>
      <c r="KW40" s="25"/>
      <c r="KX40" s="388"/>
      <c r="KY40" s="16"/>
      <c r="KZ40" s="16"/>
      <c r="LA40" s="16"/>
      <c r="LB40" s="16"/>
      <c r="LC40" s="16"/>
      <c r="LD40" s="25"/>
      <c r="LE40" s="388"/>
      <c r="LF40" s="16"/>
      <c r="LG40" s="16"/>
      <c r="LH40" s="16"/>
      <c r="LI40" s="16"/>
      <c r="LJ40" s="16"/>
      <c r="LK40" s="25"/>
      <c r="LL40" s="388"/>
      <c r="LM40" s="16"/>
      <c r="LN40" s="16"/>
      <c r="LO40" s="16"/>
      <c r="LP40" s="16"/>
      <c r="LQ40" s="16"/>
      <c r="LR40" s="25"/>
      <c r="LS40" s="388"/>
      <c r="LT40" s="16"/>
      <c r="LU40" s="16"/>
      <c r="LV40" s="16"/>
      <c r="LW40" s="16"/>
      <c r="LX40" s="16"/>
      <c r="LY40" s="25"/>
      <c r="LZ40" s="388"/>
      <c r="MA40" s="16"/>
      <c r="MB40" s="16"/>
      <c r="MC40" s="16"/>
      <c r="MD40" s="16"/>
      <c r="ME40" s="16"/>
      <c r="MF40" s="25"/>
      <c r="MG40" s="388"/>
      <c r="MH40" s="16"/>
      <c r="MI40" s="16"/>
      <c r="MJ40" s="16"/>
      <c r="MK40" s="16"/>
      <c r="ML40" s="16"/>
      <c r="MM40" s="25"/>
      <c r="MN40" s="388"/>
      <c r="MO40" s="16"/>
      <c r="MP40" s="16"/>
      <c r="MQ40" s="16"/>
      <c r="MR40" s="16"/>
      <c r="MS40" s="16"/>
      <c r="MT40" s="25"/>
      <c r="MU40" s="388"/>
      <c r="MV40" s="16"/>
      <c r="MW40" s="16"/>
      <c r="MX40" s="16"/>
      <c r="MY40" s="16"/>
      <c r="MZ40" s="16"/>
      <c r="NA40" s="25"/>
      <c r="NB40" s="399"/>
      <c r="NC40" s="270"/>
      <c r="ND40" s="270"/>
      <c r="NE40" s="270"/>
      <c r="NF40" s="270"/>
      <c r="NG40" s="270"/>
      <c r="NH40" s="270"/>
      <c r="NI40" s="270"/>
      <c r="NJ40" s="270"/>
      <c r="NK40" s="270"/>
      <c r="NL40" s="270"/>
      <c r="NM40" s="270"/>
      <c r="NN40" s="270"/>
      <c r="NO40" s="270"/>
      <c r="NP40" s="270"/>
      <c r="NQ40" s="270"/>
      <c r="NR40" s="270"/>
      <c r="NS40" s="270"/>
      <c r="NT40" s="270"/>
      <c r="NU40" s="270"/>
      <c r="NV40" s="270"/>
      <c r="NW40" s="270"/>
      <c r="NX40" s="270"/>
      <c r="NY40" s="270"/>
      <c r="NZ40" s="270"/>
      <c r="OA40" s="270"/>
      <c r="OB40" s="270"/>
      <c r="OC40" s="270"/>
      <c r="OD40" s="270"/>
      <c r="OE40" s="270"/>
      <c r="OF40" s="270"/>
      <c r="OG40" s="270"/>
      <c r="OH40" s="270"/>
      <c r="OI40" s="270"/>
      <c r="OJ40" s="270"/>
      <c r="OK40" s="270"/>
      <c r="OL40" s="270"/>
      <c r="OM40" s="270"/>
      <c r="ON40" s="270"/>
      <c r="OO40" s="270"/>
      <c r="OP40" s="270"/>
      <c r="OQ40" s="270"/>
      <c r="OR40" s="270"/>
      <c r="OS40" s="270"/>
      <c r="OT40" s="270"/>
      <c r="OU40" s="270"/>
      <c r="OV40" s="270"/>
      <c r="OW40" s="270"/>
      <c r="OX40" s="270"/>
      <c r="OY40" s="270"/>
      <c r="OZ40" s="270"/>
      <c r="PA40" s="270"/>
      <c r="PB40" s="270"/>
      <c r="PC40" s="270"/>
      <c r="PD40" s="270"/>
      <c r="PE40" s="270"/>
      <c r="PF40" s="270"/>
      <c r="PG40" s="270"/>
      <c r="PH40" s="270"/>
      <c r="PI40" s="270"/>
      <c r="PJ40" s="270"/>
      <c r="PK40" s="270"/>
      <c r="PL40" s="270"/>
      <c r="PM40" s="270"/>
      <c r="PN40" s="270"/>
      <c r="PO40" s="270"/>
      <c r="PP40" s="270"/>
      <c r="PQ40" s="270"/>
      <c r="PR40" s="270"/>
      <c r="PS40" s="270"/>
      <c r="PT40" s="270"/>
      <c r="PU40" s="270"/>
      <c r="PV40" s="270"/>
      <c r="PW40" s="270"/>
      <c r="PX40" s="270"/>
      <c r="PY40" s="270"/>
      <c r="PZ40" s="270"/>
      <c r="QA40" s="270"/>
      <c r="QB40" s="270"/>
      <c r="QC40" s="270"/>
      <c r="QD40" s="270"/>
      <c r="QE40" s="270"/>
      <c r="QF40" s="270"/>
      <c r="QG40" s="270"/>
      <c r="QH40" s="270"/>
      <c r="QI40" s="270"/>
      <c r="QJ40" s="270"/>
      <c r="QK40" s="270"/>
      <c r="QL40" s="270"/>
      <c r="QM40" s="270"/>
      <c r="QN40" s="270"/>
      <c r="QO40" s="270"/>
      <c r="QP40" s="270"/>
      <c r="QQ40" s="270"/>
      <c r="QR40" s="270"/>
      <c r="QS40" s="270"/>
      <c r="QT40" s="270"/>
      <c r="QU40" s="270"/>
      <c r="QV40" s="270"/>
      <c r="QW40" s="270"/>
      <c r="QX40" s="270"/>
      <c r="QY40" s="270"/>
      <c r="QZ40" s="270"/>
      <c r="RA40" s="270"/>
      <c r="RB40" s="270"/>
      <c r="RC40" s="270"/>
      <c r="RD40" s="270"/>
      <c r="RE40" s="270"/>
      <c r="RF40" s="270"/>
      <c r="RG40" s="270"/>
      <c r="RH40" s="270"/>
      <c r="RI40" s="270"/>
      <c r="RJ40" s="270"/>
      <c r="RK40" s="270"/>
      <c r="RL40" s="270"/>
      <c r="RM40" s="270"/>
      <c r="RN40" s="270"/>
      <c r="RO40" s="270"/>
      <c r="RP40" s="270"/>
      <c r="RQ40" s="270"/>
      <c r="RR40" s="270"/>
      <c r="RS40" s="270"/>
      <c r="RT40" s="270"/>
      <c r="RU40" s="270"/>
      <c r="RV40" s="270"/>
      <c r="RW40" s="270"/>
      <c r="RX40" s="270"/>
      <c r="RY40" s="270"/>
      <c r="RZ40" s="270"/>
      <c r="SA40" s="270"/>
      <c r="SB40" s="270"/>
      <c r="SC40" s="270"/>
      <c r="SD40" s="270"/>
      <c r="SE40" s="270"/>
      <c r="SF40" s="270"/>
      <c r="SG40" s="270"/>
      <c r="SH40" s="270"/>
      <c r="SI40" s="270"/>
      <c r="SJ40" s="270"/>
      <c r="SK40" s="270"/>
      <c r="SL40" s="270"/>
      <c r="SM40" s="270"/>
      <c r="SN40" s="270"/>
      <c r="SO40" s="270"/>
      <c r="SP40" s="270"/>
      <c r="SQ40" s="270"/>
      <c r="SR40" s="270"/>
      <c r="SS40" s="270"/>
      <c r="ST40" s="270"/>
      <c r="SU40" s="270"/>
      <c r="SV40" s="270"/>
      <c r="SW40" s="270"/>
      <c r="SX40" s="270"/>
      <c r="SY40" s="270"/>
      <c r="SZ40" s="270"/>
      <c r="TA40" s="270"/>
      <c r="TB40" s="270"/>
      <c r="TC40" s="270"/>
      <c r="TD40" s="270"/>
      <c r="TE40" s="270"/>
      <c r="TF40" s="270"/>
      <c r="TG40" s="270"/>
      <c r="TH40" s="270"/>
      <c r="TI40" s="270"/>
      <c r="TJ40" s="270"/>
      <c r="TK40" s="270"/>
      <c r="TL40" s="270"/>
      <c r="TM40" s="270"/>
      <c r="TN40" s="270"/>
      <c r="TO40" s="270"/>
      <c r="TP40" s="270"/>
      <c r="TQ40" s="270"/>
      <c r="TR40" s="270"/>
      <c r="TS40" s="270"/>
      <c r="TT40" s="270"/>
      <c r="TU40" s="270"/>
      <c r="TV40" s="270"/>
      <c r="TW40" s="270"/>
      <c r="TX40" s="270"/>
      <c r="TY40" s="270"/>
      <c r="TZ40" s="270"/>
      <c r="UA40" s="270"/>
      <c r="UB40" s="270"/>
      <c r="UC40" s="270"/>
      <c r="UD40" s="270"/>
      <c r="UE40" s="270"/>
      <c r="UF40" s="270"/>
      <c r="UG40" s="270"/>
      <c r="UH40" s="270"/>
      <c r="UI40" s="270"/>
      <c r="UJ40" s="270"/>
      <c r="UK40" s="270"/>
      <c r="UL40" s="270"/>
      <c r="UM40" s="270"/>
      <c r="UN40" s="270"/>
      <c r="UO40" s="270"/>
      <c r="UP40" s="270"/>
      <c r="UQ40" s="270"/>
      <c r="UR40" s="270"/>
      <c r="US40" s="270"/>
      <c r="UT40" s="270"/>
      <c r="UU40" s="270"/>
      <c r="UV40" s="270"/>
      <c r="UW40" s="270"/>
      <c r="UX40" s="270"/>
      <c r="UY40" s="270"/>
      <c r="UZ40" s="270"/>
      <c r="VA40" s="270"/>
      <c r="VB40" s="270"/>
      <c r="VC40" s="270"/>
      <c r="VD40" s="270"/>
      <c r="VE40" s="270"/>
      <c r="VF40" s="270"/>
      <c r="VG40" s="270"/>
      <c r="VH40" s="270"/>
      <c r="VI40" s="270"/>
      <c r="VJ40" s="270"/>
      <c r="VK40" s="270"/>
      <c r="VL40" s="270"/>
      <c r="VM40" s="270"/>
      <c r="VN40" s="270"/>
      <c r="VO40" s="270"/>
      <c r="VP40" s="270"/>
      <c r="VQ40" s="270"/>
      <c r="VR40" s="270"/>
      <c r="VS40" s="270"/>
      <c r="VT40" s="270"/>
      <c r="VU40" s="270"/>
      <c r="VV40" s="270"/>
      <c r="VW40" s="270"/>
      <c r="VX40" s="270"/>
      <c r="VY40" s="270"/>
      <c r="VZ40" s="270"/>
      <c r="WA40" s="270"/>
      <c r="WB40" s="270"/>
      <c r="WC40" s="270"/>
      <c r="WD40" s="270"/>
      <c r="WE40" s="270"/>
      <c r="WF40" s="270"/>
      <c r="WG40" s="270"/>
      <c r="WH40" s="270"/>
      <c r="WI40" s="270"/>
      <c r="WJ40" s="270"/>
      <c r="WK40" s="270"/>
      <c r="WL40" s="270"/>
      <c r="WM40" s="270"/>
      <c r="WN40" s="270"/>
      <c r="WO40" s="270"/>
      <c r="WP40" s="270"/>
      <c r="WQ40" s="270"/>
      <c r="WR40" s="270"/>
      <c r="WS40" s="270"/>
      <c r="WT40" s="270"/>
      <c r="WU40" s="270"/>
      <c r="WV40" s="270"/>
      <c r="WW40" s="270"/>
      <c r="WX40" s="270"/>
      <c r="WY40" s="270"/>
      <c r="WZ40" s="270"/>
      <c r="XA40" s="270"/>
      <c r="XB40" s="270"/>
      <c r="XC40" s="270"/>
      <c r="XD40" s="270"/>
      <c r="XE40" s="270"/>
      <c r="XF40" s="270"/>
      <c r="XG40" s="270"/>
      <c r="XH40" s="270"/>
      <c r="XI40" s="270"/>
      <c r="XJ40" s="270"/>
      <c r="XK40" s="270"/>
      <c r="XL40" s="270"/>
      <c r="XM40" s="270"/>
      <c r="XN40" s="270"/>
      <c r="XO40" s="270"/>
      <c r="XP40" s="270"/>
      <c r="XQ40" s="270"/>
      <c r="XR40" s="270"/>
      <c r="XS40" s="270"/>
      <c r="XT40" s="270"/>
      <c r="XU40" s="270"/>
      <c r="XV40" s="270"/>
      <c r="XW40" s="270"/>
      <c r="XX40" s="270"/>
      <c r="XY40" s="270"/>
      <c r="XZ40" s="270"/>
      <c r="YA40" s="270"/>
      <c r="YB40" s="270"/>
      <c r="YC40" s="270"/>
      <c r="YD40" s="270"/>
      <c r="YE40" s="270"/>
      <c r="YF40" s="270"/>
      <c r="YG40" s="270"/>
      <c r="YH40" s="270"/>
      <c r="YI40" s="270"/>
      <c r="YJ40" s="270"/>
      <c r="YK40" s="270"/>
      <c r="YL40" s="270"/>
      <c r="YM40" s="270"/>
      <c r="YN40" s="270"/>
      <c r="YO40" s="270"/>
      <c r="YP40" s="270"/>
      <c r="YQ40" s="270"/>
      <c r="YR40" s="270"/>
      <c r="YS40" s="270"/>
      <c r="YT40" s="270"/>
      <c r="YU40" s="270"/>
      <c r="YV40" s="270"/>
      <c r="YW40" s="270"/>
      <c r="YX40" s="270"/>
      <c r="YY40" s="270"/>
      <c r="YZ40" s="270"/>
      <c r="ZA40" s="270"/>
      <c r="ZB40" s="270"/>
      <c r="ZC40" s="270"/>
      <c r="ZD40" s="270"/>
      <c r="ZE40" s="270"/>
    </row>
    <row r="41">
      <c r="A41" s="156" t="s">
        <v>710</v>
      </c>
      <c r="B41" s="388"/>
      <c r="C41" s="16"/>
      <c r="D41" s="16"/>
      <c r="E41" s="16"/>
      <c r="F41" s="16"/>
      <c r="G41" s="16"/>
      <c r="H41" s="25"/>
      <c r="I41" s="108"/>
      <c r="J41" s="16"/>
      <c r="K41" s="16"/>
      <c r="L41" s="16"/>
      <c r="M41" s="16"/>
      <c r="N41" s="16"/>
      <c r="O41" s="25"/>
      <c r="P41" s="388"/>
      <c r="Q41" s="16"/>
      <c r="R41" s="16"/>
      <c r="S41" s="16"/>
      <c r="T41" s="16"/>
      <c r="U41" s="16"/>
      <c r="V41" s="25"/>
      <c r="W41" s="388"/>
      <c r="X41" s="16"/>
      <c r="Y41" s="16"/>
      <c r="Z41" s="16"/>
      <c r="AA41" s="16"/>
      <c r="AB41" s="16"/>
      <c r="AC41" s="25"/>
      <c r="AD41" s="388"/>
      <c r="AE41" s="16"/>
      <c r="AF41" s="16"/>
      <c r="AG41" s="16"/>
      <c r="AH41" s="16"/>
      <c r="AI41" s="16"/>
      <c r="AJ41" s="25"/>
      <c r="AK41" s="388"/>
      <c r="AL41" s="16"/>
      <c r="AM41" s="16"/>
      <c r="AN41" s="16"/>
      <c r="AO41" s="16"/>
      <c r="AP41" s="16"/>
      <c r="AQ41" s="25"/>
      <c r="AR41" s="388"/>
      <c r="AS41" s="16"/>
      <c r="AT41" s="16"/>
      <c r="AU41" s="16"/>
      <c r="AV41" s="16"/>
      <c r="AW41" s="16"/>
      <c r="AX41" s="25"/>
      <c r="AY41" s="388"/>
      <c r="AZ41" s="16"/>
      <c r="BA41" s="16"/>
      <c r="BB41" s="16"/>
      <c r="BC41" s="16"/>
      <c r="BD41" s="16"/>
      <c r="BE41" s="25"/>
      <c r="BF41" s="388"/>
      <c r="BG41" s="16"/>
      <c r="BH41" s="16"/>
      <c r="BI41" s="16"/>
      <c r="BJ41" s="16"/>
      <c r="BK41" s="16"/>
      <c r="BL41" s="25"/>
      <c r="BM41" s="108"/>
      <c r="BN41" s="16"/>
      <c r="BO41" s="16"/>
      <c r="BP41" s="16"/>
      <c r="BQ41" s="16"/>
      <c r="BR41" s="16"/>
      <c r="BS41" s="25"/>
      <c r="BT41" s="108"/>
      <c r="BU41" s="16"/>
      <c r="BV41" s="16"/>
      <c r="BW41" s="16"/>
      <c r="BX41" s="16"/>
      <c r="BY41" s="16"/>
      <c r="BZ41" s="25"/>
      <c r="CA41" s="388"/>
      <c r="CB41" s="16"/>
      <c r="CC41" s="16"/>
      <c r="CD41" s="16"/>
      <c r="CE41" s="16"/>
      <c r="CF41" s="16"/>
      <c r="CG41" s="25"/>
      <c r="CH41" s="388"/>
      <c r="CI41" s="16"/>
      <c r="CJ41" s="16"/>
      <c r="CK41" s="16"/>
      <c r="CL41" s="16"/>
      <c r="CM41" s="16"/>
      <c r="CN41" s="25"/>
      <c r="CO41" s="108"/>
      <c r="CP41" s="16"/>
      <c r="CQ41" s="16"/>
      <c r="CR41" s="16"/>
      <c r="CS41" s="16"/>
      <c r="CT41" s="16"/>
      <c r="CU41" s="25"/>
      <c r="CV41" s="108"/>
      <c r="CW41" s="16"/>
      <c r="CX41" s="16"/>
      <c r="CY41" s="16"/>
      <c r="CZ41" s="16"/>
      <c r="DA41" s="16"/>
      <c r="DB41" s="25"/>
      <c r="DC41" s="108"/>
      <c r="DD41" s="16"/>
      <c r="DE41" s="16"/>
      <c r="DF41" s="16"/>
      <c r="DG41" s="16"/>
      <c r="DH41" s="16"/>
      <c r="DI41" s="25"/>
      <c r="DJ41" s="108"/>
      <c r="DK41" s="16"/>
      <c r="DL41" s="16"/>
      <c r="DM41" s="16"/>
      <c r="DN41" s="16"/>
      <c r="DO41" s="16"/>
      <c r="DP41" s="25"/>
      <c r="DQ41" s="108"/>
      <c r="DR41" s="16"/>
      <c r="DS41" s="16"/>
      <c r="DT41" s="16"/>
      <c r="DU41" s="16"/>
      <c r="DV41" s="16"/>
      <c r="DW41" s="25"/>
      <c r="DX41" s="108"/>
      <c r="DY41" s="16"/>
      <c r="DZ41" s="16"/>
      <c r="EA41" s="16"/>
      <c r="EB41" s="16"/>
      <c r="EC41" s="16"/>
      <c r="ED41" s="25"/>
      <c r="EE41" s="108"/>
      <c r="EF41" s="16"/>
      <c r="EG41" s="16"/>
      <c r="EH41" s="16"/>
      <c r="EI41" s="16"/>
      <c r="EJ41" s="16"/>
      <c r="EK41" s="25"/>
      <c r="EL41" s="108"/>
      <c r="EM41" s="16"/>
      <c r="EN41" s="16"/>
      <c r="EO41" s="16"/>
      <c r="EP41" s="16"/>
      <c r="EQ41" s="16"/>
      <c r="ER41" s="25"/>
      <c r="ES41" s="108"/>
      <c r="ET41" s="16"/>
      <c r="EU41" s="16"/>
      <c r="EV41" s="16"/>
      <c r="EW41" s="16"/>
      <c r="EX41" s="16"/>
      <c r="EY41" s="25"/>
      <c r="EZ41" s="108"/>
      <c r="FA41" s="16"/>
      <c r="FB41" s="16"/>
      <c r="FC41" s="16"/>
      <c r="FD41" s="16"/>
      <c r="FE41" s="16"/>
      <c r="FF41" s="25"/>
      <c r="FG41" s="108"/>
      <c r="FH41" s="16"/>
      <c r="FI41" s="16"/>
      <c r="FJ41" s="16"/>
      <c r="FK41" s="16"/>
      <c r="FL41" s="16"/>
      <c r="FM41" s="25"/>
      <c r="FN41" s="108"/>
      <c r="FO41" s="16"/>
      <c r="FP41" s="16"/>
      <c r="FQ41" s="16"/>
      <c r="FR41" s="16"/>
      <c r="FS41" s="16"/>
      <c r="FT41" s="25"/>
      <c r="FU41" s="388"/>
      <c r="FV41" s="16"/>
      <c r="FW41" s="16"/>
      <c r="FX41" s="16"/>
      <c r="FY41" s="16"/>
      <c r="FZ41" s="16"/>
      <c r="GA41" s="25"/>
      <c r="GB41" s="388"/>
      <c r="GC41" s="16"/>
      <c r="GD41" s="16"/>
      <c r="GE41" s="16"/>
      <c r="GF41" s="16"/>
      <c r="GG41" s="16"/>
      <c r="GH41" s="25"/>
      <c r="GI41" s="388"/>
      <c r="GJ41" s="16"/>
      <c r="GK41" s="16"/>
      <c r="GL41" s="16"/>
      <c r="GM41" s="16"/>
      <c r="GN41" s="16"/>
      <c r="GO41" s="25"/>
      <c r="GP41" s="388"/>
      <c r="GQ41" s="16"/>
      <c r="GR41" s="16"/>
      <c r="GS41" s="16"/>
      <c r="GT41" s="16"/>
      <c r="GU41" s="16"/>
      <c r="GV41" s="25"/>
      <c r="GW41" s="388"/>
      <c r="GX41" s="16"/>
      <c r="GY41" s="16"/>
      <c r="GZ41" s="16"/>
      <c r="HA41" s="16"/>
      <c r="HB41" s="16"/>
      <c r="HC41" s="25"/>
      <c r="HD41" s="388"/>
      <c r="HE41" s="16"/>
      <c r="HF41" s="16"/>
      <c r="HG41" s="16"/>
      <c r="HH41" s="16"/>
      <c r="HI41" s="16"/>
      <c r="HJ41" s="25"/>
      <c r="HK41" s="388"/>
      <c r="HL41" s="16"/>
      <c r="HM41" s="16"/>
      <c r="HN41" s="16"/>
      <c r="HO41" s="16"/>
      <c r="HP41" s="16"/>
      <c r="HQ41" s="25"/>
      <c r="HR41" s="388"/>
      <c r="HS41" s="16"/>
      <c r="HT41" s="16"/>
      <c r="HU41" s="16"/>
      <c r="HV41" s="16"/>
      <c r="HW41" s="16"/>
      <c r="HX41" s="25"/>
      <c r="HY41" s="388"/>
      <c r="HZ41" s="16"/>
      <c r="IA41" s="16"/>
      <c r="IB41" s="16"/>
      <c r="IC41" s="16"/>
      <c r="ID41" s="16"/>
      <c r="IE41" s="25"/>
      <c r="IF41" s="388"/>
      <c r="IG41" s="16"/>
      <c r="IH41" s="16"/>
      <c r="II41" s="16"/>
      <c r="IJ41" s="16"/>
      <c r="IK41" s="16"/>
      <c r="IL41" s="25"/>
      <c r="IM41" s="388"/>
      <c r="IN41" s="16"/>
      <c r="IO41" s="16"/>
      <c r="IP41" s="16"/>
      <c r="IQ41" s="16"/>
      <c r="IR41" s="16"/>
      <c r="IS41" s="25"/>
      <c r="IT41" s="388"/>
      <c r="IU41" s="16"/>
      <c r="IV41" s="16"/>
      <c r="IW41" s="16"/>
      <c r="IX41" s="16"/>
      <c r="IY41" s="16"/>
      <c r="IZ41" s="25"/>
      <c r="JA41" s="388"/>
      <c r="JB41" s="16"/>
      <c r="JC41" s="16"/>
      <c r="JD41" s="16"/>
      <c r="JE41" s="16"/>
      <c r="JF41" s="16"/>
      <c r="JG41" s="25"/>
      <c r="JH41" s="388"/>
      <c r="JI41" s="16"/>
      <c r="JJ41" s="16"/>
      <c r="JK41" s="16"/>
      <c r="JL41" s="16"/>
      <c r="JM41" s="16"/>
      <c r="JN41" s="25"/>
      <c r="JO41" s="394"/>
      <c r="JP41" s="16"/>
      <c r="JQ41" s="16"/>
      <c r="JR41" s="16"/>
      <c r="JS41" s="16"/>
      <c r="JT41" s="16"/>
      <c r="JU41" s="25"/>
      <c r="JV41" s="388"/>
      <c r="JW41" s="16"/>
      <c r="JX41" s="16"/>
      <c r="JY41" s="16"/>
      <c r="JZ41" s="16"/>
      <c r="KA41" s="16"/>
      <c r="KB41" s="25"/>
      <c r="KC41" s="388"/>
      <c r="KD41" s="16"/>
      <c r="KE41" s="16"/>
      <c r="KF41" s="16"/>
      <c r="KG41" s="16"/>
      <c r="KH41" s="16"/>
      <c r="KI41" s="25"/>
      <c r="KJ41" s="388"/>
      <c r="KK41" s="16"/>
      <c r="KL41" s="16"/>
      <c r="KM41" s="16"/>
      <c r="KN41" s="16"/>
      <c r="KO41" s="16"/>
      <c r="KP41" s="25"/>
      <c r="KQ41" s="388"/>
      <c r="KR41" s="16"/>
      <c r="KS41" s="16"/>
      <c r="KT41" s="16"/>
      <c r="KU41" s="16"/>
      <c r="KV41" s="16"/>
      <c r="KW41" s="25"/>
      <c r="KX41" s="388"/>
      <c r="KY41" s="16"/>
      <c r="KZ41" s="16"/>
      <c r="LA41" s="16"/>
      <c r="LB41" s="16"/>
      <c r="LC41" s="16"/>
      <c r="LD41" s="25"/>
      <c r="LE41" s="388"/>
      <c r="LF41" s="16"/>
      <c r="LG41" s="16"/>
      <c r="LH41" s="16"/>
      <c r="LI41" s="16"/>
      <c r="LJ41" s="16"/>
      <c r="LK41" s="25"/>
      <c r="LL41" s="388"/>
      <c r="LM41" s="16"/>
      <c r="LN41" s="16"/>
      <c r="LO41" s="16"/>
      <c r="LP41" s="16"/>
      <c r="LQ41" s="16"/>
      <c r="LR41" s="25"/>
      <c r="LS41" s="388"/>
      <c r="LT41" s="16"/>
      <c r="LU41" s="16"/>
      <c r="LV41" s="16"/>
      <c r="LW41" s="16"/>
      <c r="LX41" s="16"/>
      <c r="LY41" s="25"/>
      <c r="LZ41" s="388"/>
      <c r="MA41" s="16"/>
      <c r="MB41" s="16"/>
      <c r="MC41" s="16"/>
      <c r="MD41" s="16"/>
      <c r="ME41" s="16"/>
      <c r="MF41" s="25"/>
      <c r="MG41" s="388"/>
      <c r="MH41" s="16"/>
      <c r="MI41" s="16"/>
      <c r="MJ41" s="16"/>
      <c r="MK41" s="16"/>
      <c r="ML41" s="16"/>
      <c r="MM41" s="25"/>
      <c r="MN41" s="388"/>
      <c r="MO41" s="16"/>
      <c r="MP41" s="16"/>
      <c r="MQ41" s="16"/>
      <c r="MR41" s="16"/>
      <c r="MS41" s="16"/>
      <c r="MT41" s="25"/>
      <c r="MU41" s="388"/>
      <c r="MV41" s="16"/>
      <c r="MW41" s="16"/>
      <c r="MX41" s="16"/>
      <c r="MY41" s="16"/>
      <c r="MZ41" s="16"/>
      <c r="NA41" s="25"/>
      <c r="NB41" s="399"/>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270"/>
      <c r="SK41" s="270"/>
      <c r="SL41" s="270"/>
      <c r="SM41" s="270"/>
      <c r="SN41" s="270"/>
      <c r="SO41" s="270"/>
      <c r="SP41" s="270"/>
      <c r="SQ41" s="270"/>
      <c r="SR41" s="270"/>
      <c r="SS41" s="270"/>
      <c r="ST41" s="270"/>
      <c r="SU41" s="270"/>
      <c r="SV41" s="270"/>
      <c r="SW41" s="270"/>
      <c r="SX41" s="270"/>
      <c r="SY41" s="270"/>
      <c r="SZ41" s="270"/>
      <c r="TA41" s="270"/>
      <c r="TB41" s="270"/>
      <c r="TC41" s="270"/>
      <c r="TD41" s="270"/>
      <c r="TE41" s="270"/>
      <c r="TF41" s="270"/>
      <c r="TG41" s="270"/>
      <c r="TH41" s="270"/>
      <c r="TI41" s="270"/>
      <c r="TJ41" s="270"/>
      <c r="TK41" s="270"/>
      <c r="TL41" s="270"/>
      <c r="TM41" s="270"/>
      <c r="TN41" s="270"/>
      <c r="TO41" s="270"/>
      <c r="TP41" s="270"/>
      <c r="TQ41" s="270"/>
      <c r="TR41" s="270"/>
      <c r="TS41" s="270"/>
      <c r="TT41" s="270"/>
      <c r="TU41" s="270"/>
      <c r="TV41" s="270"/>
      <c r="TW41" s="270"/>
      <c r="TX41" s="270"/>
      <c r="TY41" s="270"/>
      <c r="TZ41" s="270"/>
      <c r="UA41" s="270"/>
      <c r="UB41" s="270"/>
      <c r="UC41" s="270"/>
      <c r="UD41" s="270"/>
      <c r="UE41" s="270"/>
      <c r="UF41" s="270"/>
      <c r="UG41" s="270"/>
      <c r="UH41" s="270"/>
      <c r="UI41" s="270"/>
      <c r="UJ41" s="270"/>
      <c r="UK41" s="270"/>
      <c r="UL41" s="270"/>
      <c r="UM41" s="270"/>
      <c r="UN41" s="270"/>
      <c r="UO41" s="270"/>
      <c r="UP41" s="270"/>
      <c r="UQ41" s="270"/>
      <c r="UR41" s="270"/>
      <c r="US41" s="270"/>
      <c r="UT41" s="270"/>
      <c r="UU41" s="270"/>
      <c r="UV41" s="270"/>
      <c r="UW41" s="270"/>
      <c r="UX41" s="270"/>
      <c r="UY41" s="270"/>
      <c r="UZ41" s="270"/>
      <c r="VA41" s="270"/>
      <c r="VB41" s="270"/>
      <c r="VC41" s="270"/>
      <c r="VD41" s="270"/>
      <c r="VE41" s="270"/>
      <c r="VF41" s="270"/>
      <c r="VG41" s="270"/>
      <c r="VH41" s="270"/>
      <c r="VI41" s="270"/>
      <c r="VJ41" s="270"/>
      <c r="VK41" s="270"/>
      <c r="VL41" s="270"/>
      <c r="VM41" s="270"/>
      <c r="VN41" s="270"/>
      <c r="VO41" s="270"/>
      <c r="VP41" s="270"/>
      <c r="VQ41" s="270"/>
      <c r="VR41" s="270"/>
      <c r="VS41" s="270"/>
      <c r="VT41" s="270"/>
      <c r="VU41" s="270"/>
      <c r="VV41" s="270"/>
      <c r="VW41" s="270"/>
      <c r="VX41" s="270"/>
      <c r="VY41" s="270"/>
      <c r="VZ41" s="270"/>
      <c r="WA41" s="270"/>
      <c r="WB41" s="270"/>
      <c r="WC41" s="270"/>
      <c r="WD41" s="270"/>
      <c r="WE41" s="270"/>
      <c r="WF41" s="270"/>
      <c r="WG41" s="270"/>
      <c r="WH41" s="270"/>
      <c r="WI41" s="270"/>
      <c r="WJ41" s="270"/>
      <c r="WK41" s="270"/>
      <c r="WL41" s="270"/>
      <c r="WM41" s="270"/>
      <c r="WN41" s="270"/>
      <c r="WO41" s="270"/>
      <c r="WP41" s="270"/>
      <c r="WQ41" s="270"/>
      <c r="WR41" s="270"/>
      <c r="WS41" s="270"/>
      <c r="WT41" s="270"/>
      <c r="WU41" s="270"/>
      <c r="WV41" s="270"/>
      <c r="WW41" s="270"/>
      <c r="WX41" s="270"/>
      <c r="WY41" s="270"/>
      <c r="WZ41" s="270"/>
      <c r="XA41" s="270"/>
      <c r="XB41" s="270"/>
      <c r="XC41" s="270"/>
      <c r="XD41" s="270"/>
      <c r="XE41" s="270"/>
      <c r="XF41" s="270"/>
      <c r="XG41" s="270"/>
      <c r="XH41" s="270"/>
      <c r="XI41" s="270"/>
      <c r="XJ41" s="270"/>
      <c r="XK41" s="270"/>
      <c r="XL41" s="270"/>
      <c r="XM41" s="270"/>
      <c r="XN41" s="270"/>
      <c r="XO41" s="270"/>
      <c r="XP41" s="270"/>
      <c r="XQ41" s="270"/>
      <c r="XR41" s="270"/>
      <c r="XS41" s="270"/>
      <c r="XT41" s="270"/>
      <c r="XU41" s="270"/>
      <c r="XV41" s="270"/>
      <c r="XW41" s="270"/>
      <c r="XX41" s="270"/>
      <c r="XY41" s="270"/>
      <c r="XZ41" s="270"/>
      <c r="YA41" s="270"/>
      <c r="YB41" s="270"/>
      <c r="YC41" s="270"/>
      <c r="YD41" s="270"/>
      <c r="YE41" s="270"/>
      <c r="YF41" s="270"/>
      <c r="YG41" s="270"/>
      <c r="YH41" s="270"/>
      <c r="YI41" s="270"/>
      <c r="YJ41" s="270"/>
      <c r="YK41" s="270"/>
      <c r="YL41" s="270"/>
      <c r="YM41" s="270"/>
      <c r="YN41" s="270"/>
      <c r="YO41" s="270"/>
      <c r="YP41" s="270"/>
      <c r="YQ41" s="270"/>
      <c r="YR41" s="270"/>
      <c r="YS41" s="270"/>
      <c r="YT41" s="270"/>
      <c r="YU41" s="270"/>
      <c r="YV41" s="270"/>
      <c r="YW41" s="270"/>
      <c r="YX41" s="270"/>
      <c r="YY41" s="270"/>
      <c r="YZ41" s="270"/>
      <c r="ZA41" s="270"/>
      <c r="ZB41" s="270"/>
      <c r="ZC41" s="270"/>
      <c r="ZD41" s="270"/>
      <c r="ZE41" s="270"/>
    </row>
    <row r="42" ht="17.25" customHeight="1">
      <c r="A42" s="156" t="s">
        <v>717</v>
      </c>
      <c r="B42" s="388"/>
      <c r="C42" s="16"/>
      <c r="D42" s="16"/>
      <c r="E42" s="16"/>
      <c r="F42" s="16"/>
      <c r="G42" s="16"/>
      <c r="H42" s="25"/>
      <c r="I42" s="108"/>
      <c r="J42" s="16"/>
      <c r="K42" s="16"/>
      <c r="L42" s="16"/>
      <c r="M42" s="16"/>
      <c r="N42" s="16"/>
      <c r="O42" s="25"/>
      <c r="P42" s="388"/>
      <c r="Q42" s="16"/>
      <c r="R42" s="16"/>
      <c r="S42" s="16"/>
      <c r="T42" s="16"/>
      <c r="U42" s="16"/>
      <c r="V42" s="25"/>
      <c r="W42" s="388"/>
      <c r="X42" s="16"/>
      <c r="Y42" s="16"/>
      <c r="Z42" s="16"/>
      <c r="AA42" s="16"/>
      <c r="AB42" s="16"/>
      <c r="AC42" s="25"/>
      <c r="AD42" s="388"/>
      <c r="AE42" s="16"/>
      <c r="AF42" s="16"/>
      <c r="AG42" s="16"/>
      <c r="AH42" s="16"/>
      <c r="AI42" s="16"/>
      <c r="AJ42" s="25"/>
      <c r="AK42" s="388"/>
      <c r="AL42" s="16"/>
      <c r="AM42" s="16"/>
      <c r="AN42" s="16"/>
      <c r="AO42" s="16"/>
      <c r="AP42" s="16"/>
      <c r="AQ42" s="25"/>
      <c r="AR42" s="388"/>
      <c r="AS42" s="16"/>
      <c r="AT42" s="16"/>
      <c r="AU42" s="16"/>
      <c r="AV42" s="16"/>
      <c r="AW42" s="16"/>
      <c r="AX42" s="25"/>
      <c r="AY42" s="388"/>
      <c r="AZ42" s="16"/>
      <c r="BA42" s="16"/>
      <c r="BB42" s="16"/>
      <c r="BC42" s="16"/>
      <c r="BD42" s="16"/>
      <c r="BE42" s="25"/>
      <c r="BF42" s="388"/>
      <c r="BG42" s="16"/>
      <c r="BH42" s="16"/>
      <c r="BI42" s="16"/>
      <c r="BJ42" s="16"/>
      <c r="BK42" s="16"/>
      <c r="BL42" s="25"/>
      <c r="BM42" s="388"/>
      <c r="BN42" s="16"/>
      <c r="BO42" s="16"/>
      <c r="BP42" s="16"/>
      <c r="BQ42" s="16"/>
      <c r="BR42" s="16"/>
      <c r="BS42" s="25"/>
      <c r="BT42" s="108"/>
      <c r="BU42" s="16"/>
      <c r="BV42" s="16"/>
      <c r="BW42" s="16"/>
      <c r="BX42" s="16"/>
      <c r="BY42" s="16"/>
      <c r="BZ42" s="25"/>
      <c r="CA42" s="388"/>
      <c r="CB42" s="16"/>
      <c r="CC42" s="16"/>
      <c r="CD42" s="16"/>
      <c r="CE42" s="16"/>
      <c r="CF42" s="16"/>
      <c r="CG42" s="25"/>
      <c r="CH42" s="388"/>
      <c r="CI42" s="16"/>
      <c r="CJ42" s="16"/>
      <c r="CK42" s="16"/>
      <c r="CL42" s="16"/>
      <c r="CM42" s="16"/>
      <c r="CN42" s="25"/>
      <c r="CO42" s="108"/>
      <c r="CP42" s="16"/>
      <c r="CQ42" s="16"/>
      <c r="CR42" s="16"/>
      <c r="CS42" s="16"/>
      <c r="CT42" s="16"/>
      <c r="CU42" s="25"/>
      <c r="CV42" s="108"/>
      <c r="CW42" s="16"/>
      <c r="CX42" s="16"/>
      <c r="CY42" s="16"/>
      <c r="CZ42" s="16"/>
      <c r="DA42" s="16"/>
      <c r="DB42" s="25"/>
      <c r="DC42" s="108"/>
      <c r="DD42" s="16"/>
      <c r="DE42" s="16"/>
      <c r="DF42" s="16"/>
      <c r="DG42" s="16"/>
      <c r="DH42" s="16"/>
      <c r="DI42" s="25"/>
      <c r="DJ42" s="108"/>
      <c r="DK42" s="16"/>
      <c r="DL42" s="16"/>
      <c r="DM42" s="16"/>
      <c r="DN42" s="16"/>
      <c r="DO42" s="16"/>
      <c r="DP42" s="25"/>
      <c r="DQ42" s="108"/>
      <c r="DR42" s="16"/>
      <c r="DS42" s="16"/>
      <c r="DT42" s="16"/>
      <c r="DU42" s="16"/>
      <c r="DV42" s="16"/>
      <c r="DW42" s="25"/>
      <c r="DX42" s="108"/>
      <c r="DY42" s="16"/>
      <c r="DZ42" s="16"/>
      <c r="EA42" s="16"/>
      <c r="EB42" s="16"/>
      <c r="EC42" s="16"/>
      <c r="ED42" s="25"/>
      <c r="EE42" s="106"/>
      <c r="EF42" s="16"/>
      <c r="EG42" s="16"/>
      <c r="EH42" s="16"/>
      <c r="EI42" s="16"/>
      <c r="EJ42" s="16"/>
      <c r="EK42" s="25"/>
      <c r="EL42" s="108"/>
      <c r="EM42" s="16"/>
      <c r="EN42" s="16"/>
      <c r="EO42" s="16"/>
      <c r="EP42" s="16"/>
      <c r="EQ42" s="16"/>
      <c r="ER42" s="25"/>
      <c r="ES42" s="108"/>
      <c r="ET42" s="16"/>
      <c r="EU42" s="16"/>
      <c r="EV42" s="16"/>
      <c r="EW42" s="16"/>
      <c r="EX42" s="16"/>
      <c r="EY42" s="25"/>
      <c r="EZ42" s="108"/>
      <c r="FA42" s="16"/>
      <c r="FB42" s="16"/>
      <c r="FC42" s="16"/>
      <c r="FD42" s="16"/>
      <c r="FE42" s="16"/>
      <c r="FF42" s="25"/>
      <c r="FG42" s="108"/>
      <c r="FH42" s="16"/>
      <c r="FI42" s="16"/>
      <c r="FJ42" s="16"/>
      <c r="FK42" s="16"/>
      <c r="FL42" s="16"/>
      <c r="FM42" s="25"/>
      <c r="FN42" s="108"/>
      <c r="FO42" s="16"/>
      <c r="FP42" s="16"/>
      <c r="FQ42" s="16"/>
      <c r="FR42" s="16"/>
      <c r="FS42" s="16"/>
      <c r="FT42" s="25"/>
      <c r="FU42" s="388"/>
      <c r="FV42" s="16"/>
      <c r="FW42" s="16"/>
      <c r="FX42" s="16"/>
      <c r="FY42" s="16"/>
      <c r="FZ42" s="16"/>
      <c r="GA42" s="25"/>
      <c r="GB42" s="388"/>
      <c r="GC42" s="16"/>
      <c r="GD42" s="16"/>
      <c r="GE42" s="16"/>
      <c r="GF42" s="16"/>
      <c r="GG42" s="16"/>
      <c r="GH42" s="25"/>
      <c r="GI42" s="388"/>
      <c r="GJ42" s="16"/>
      <c r="GK42" s="16"/>
      <c r="GL42" s="16"/>
      <c r="GM42" s="16"/>
      <c r="GN42" s="16"/>
      <c r="GO42" s="25"/>
      <c r="GP42" s="388"/>
      <c r="GQ42" s="16"/>
      <c r="GR42" s="16"/>
      <c r="GS42" s="16"/>
      <c r="GT42" s="16"/>
      <c r="GU42" s="16"/>
      <c r="GV42" s="25"/>
      <c r="GW42" s="388"/>
      <c r="GX42" s="16"/>
      <c r="GY42" s="16"/>
      <c r="GZ42" s="16"/>
      <c r="HA42" s="16"/>
      <c r="HB42" s="16"/>
      <c r="HC42" s="25"/>
      <c r="HD42" s="388"/>
      <c r="HE42" s="16"/>
      <c r="HF42" s="16"/>
      <c r="HG42" s="16"/>
      <c r="HH42" s="16"/>
      <c r="HI42" s="16"/>
      <c r="HJ42" s="25"/>
      <c r="HK42" s="388"/>
      <c r="HL42" s="16"/>
      <c r="HM42" s="16"/>
      <c r="HN42" s="16"/>
      <c r="HO42" s="16"/>
      <c r="HP42" s="16"/>
      <c r="HQ42" s="25"/>
      <c r="HR42" s="388"/>
      <c r="HS42" s="16"/>
      <c r="HT42" s="16"/>
      <c r="HU42" s="16"/>
      <c r="HV42" s="16"/>
      <c r="HW42" s="16"/>
      <c r="HX42" s="25"/>
      <c r="HY42" s="388"/>
      <c r="HZ42" s="16"/>
      <c r="IA42" s="16"/>
      <c r="IB42" s="16"/>
      <c r="IC42" s="16"/>
      <c r="ID42" s="16"/>
      <c r="IE42" s="25"/>
      <c r="IF42" s="388"/>
      <c r="IG42" s="16"/>
      <c r="IH42" s="16"/>
      <c r="II42" s="16"/>
      <c r="IJ42" s="16"/>
      <c r="IK42" s="16"/>
      <c r="IL42" s="25"/>
      <c r="IM42" s="388"/>
      <c r="IN42" s="16"/>
      <c r="IO42" s="16"/>
      <c r="IP42" s="16"/>
      <c r="IQ42" s="16"/>
      <c r="IR42" s="16"/>
      <c r="IS42" s="25"/>
      <c r="IT42" s="388"/>
      <c r="IU42" s="16"/>
      <c r="IV42" s="16"/>
      <c r="IW42" s="16"/>
      <c r="IX42" s="16"/>
      <c r="IY42" s="16"/>
      <c r="IZ42" s="25"/>
      <c r="JA42" s="388"/>
      <c r="JB42" s="16"/>
      <c r="JC42" s="16"/>
      <c r="JD42" s="16"/>
      <c r="JE42" s="16"/>
      <c r="JF42" s="16"/>
      <c r="JG42" s="25"/>
      <c r="JH42" s="388"/>
      <c r="JI42" s="16"/>
      <c r="JJ42" s="16"/>
      <c r="JK42" s="16"/>
      <c r="JL42" s="16"/>
      <c r="JM42" s="16"/>
      <c r="JN42" s="25"/>
      <c r="JO42" s="394"/>
      <c r="JP42" s="16"/>
      <c r="JQ42" s="16"/>
      <c r="JR42" s="16"/>
      <c r="JS42" s="16"/>
      <c r="JT42" s="16"/>
      <c r="JU42" s="25"/>
      <c r="JV42" s="388"/>
      <c r="JW42" s="16"/>
      <c r="JX42" s="16"/>
      <c r="JY42" s="16"/>
      <c r="JZ42" s="16"/>
      <c r="KA42" s="16"/>
      <c r="KB42" s="25"/>
      <c r="KC42" s="388"/>
      <c r="KD42" s="16"/>
      <c r="KE42" s="16"/>
      <c r="KF42" s="16"/>
      <c r="KG42" s="16"/>
      <c r="KH42" s="16"/>
      <c r="KI42" s="25"/>
      <c r="KJ42" s="388"/>
      <c r="KK42" s="16"/>
      <c r="KL42" s="16"/>
      <c r="KM42" s="16"/>
      <c r="KN42" s="16"/>
      <c r="KO42" s="16"/>
      <c r="KP42" s="25"/>
      <c r="KQ42" s="388"/>
      <c r="KR42" s="16"/>
      <c r="KS42" s="16"/>
      <c r="KT42" s="16"/>
      <c r="KU42" s="16"/>
      <c r="KV42" s="16"/>
      <c r="KW42" s="25"/>
      <c r="KX42" s="388"/>
      <c r="KY42" s="16"/>
      <c r="KZ42" s="16"/>
      <c r="LA42" s="16"/>
      <c r="LB42" s="16"/>
      <c r="LC42" s="16"/>
      <c r="LD42" s="25"/>
      <c r="LE42" s="388"/>
      <c r="LF42" s="16"/>
      <c r="LG42" s="16"/>
      <c r="LH42" s="16"/>
      <c r="LI42" s="16"/>
      <c r="LJ42" s="16"/>
      <c r="LK42" s="25"/>
      <c r="LL42" s="388"/>
      <c r="LM42" s="16"/>
      <c r="LN42" s="16"/>
      <c r="LO42" s="16"/>
      <c r="LP42" s="16"/>
      <c r="LQ42" s="16"/>
      <c r="LR42" s="25"/>
      <c r="LS42" s="388"/>
      <c r="LT42" s="16"/>
      <c r="LU42" s="16"/>
      <c r="LV42" s="16"/>
      <c r="LW42" s="16"/>
      <c r="LX42" s="16"/>
      <c r="LY42" s="25"/>
      <c r="LZ42" s="388"/>
      <c r="MA42" s="16"/>
      <c r="MB42" s="16"/>
      <c r="MC42" s="16"/>
      <c r="MD42" s="16"/>
      <c r="ME42" s="16"/>
      <c r="MF42" s="25"/>
      <c r="MG42" s="388"/>
      <c r="MH42" s="16"/>
      <c r="MI42" s="16"/>
      <c r="MJ42" s="16"/>
      <c r="MK42" s="16"/>
      <c r="ML42" s="16"/>
      <c r="MM42" s="25"/>
      <c r="MN42" s="388"/>
      <c r="MO42" s="16"/>
      <c r="MP42" s="16"/>
      <c r="MQ42" s="16"/>
      <c r="MR42" s="16"/>
      <c r="MS42" s="16"/>
      <c r="MT42" s="25"/>
      <c r="MU42" s="388"/>
      <c r="MV42" s="16"/>
      <c r="MW42" s="16"/>
      <c r="MX42" s="16"/>
      <c r="MY42" s="16"/>
      <c r="MZ42" s="16"/>
      <c r="NA42" s="25"/>
      <c r="NB42" s="399"/>
      <c r="NC42" s="270"/>
      <c r="ND42" s="270"/>
      <c r="NE42" s="270"/>
      <c r="NF42" s="270"/>
      <c r="NG42" s="270"/>
      <c r="NH42" s="270"/>
      <c r="NI42" s="270"/>
      <c r="NJ42" s="270"/>
      <c r="NK42" s="270"/>
      <c r="NL42" s="270"/>
      <c r="NM42" s="270"/>
      <c r="NN42" s="270"/>
      <c r="NO42" s="270"/>
      <c r="NP42" s="270"/>
      <c r="NQ42" s="270"/>
      <c r="NR42" s="270"/>
      <c r="NS42" s="270"/>
      <c r="NT42" s="270"/>
      <c r="NU42" s="270"/>
      <c r="NV42" s="270"/>
      <c r="NW42" s="270"/>
      <c r="NX42" s="270"/>
      <c r="NY42" s="270"/>
      <c r="NZ42" s="270"/>
      <c r="OA42" s="270"/>
      <c r="OB42" s="270"/>
      <c r="OC42" s="270"/>
      <c r="OD42" s="270"/>
      <c r="OE42" s="270"/>
      <c r="OF42" s="270"/>
      <c r="OG42" s="270"/>
      <c r="OH42" s="270"/>
      <c r="OI42" s="270"/>
      <c r="OJ42" s="270"/>
      <c r="OK42" s="270"/>
      <c r="OL42" s="270"/>
      <c r="OM42" s="270"/>
      <c r="ON42" s="270"/>
      <c r="OO42" s="270"/>
      <c r="OP42" s="270"/>
      <c r="OQ42" s="270"/>
      <c r="OR42" s="270"/>
      <c r="OS42" s="270"/>
      <c r="OT42" s="270"/>
      <c r="OU42" s="270"/>
      <c r="OV42" s="270"/>
      <c r="OW42" s="270"/>
      <c r="OX42" s="270"/>
      <c r="OY42" s="270"/>
      <c r="OZ42" s="270"/>
      <c r="PA42" s="270"/>
      <c r="PB42" s="270"/>
      <c r="PC42" s="270"/>
      <c r="PD42" s="270"/>
      <c r="PE42" s="270"/>
      <c r="PF42" s="270"/>
      <c r="PG42" s="270"/>
      <c r="PH42" s="270"/>
      <c r="PI42" s="270"/>
      <c r="PJ42" s="270"/>
      <c r="PK42" s="270"/>
      <c r="PL42" s="270"/>
      <c r="PM42" s="270"/>
      <c r="PN42" s="270"/>
      <c r="PO42" s="270"/>
      <c r="PP42" s="270"/>
      <c r="PQ42" s="270"/>
      <c r="PR42" s="270"/>
      <c r="PS42" s="270"/>
      <c r="PT42" s="270"/>
      <c r="PU42" s="270"/>
      <c r="PV42" s="270"/>
      <c r="PW42" s="270"/>
      <c r="PX42" s="270"/>
      <c r="PY42" s="270"/>
      <c r="PZ42" s="270"/>
      <c r="QA42" s="270"/>
      <c r="QB42" s="270"/>
      <c r="QC42" s="270"/>
      <c r="QD42" s="270"/>
      <c r="QE42" s="270"/>
      <c r="QF42" s="270"/>
      <c r="QG42" s="270"/>
      <c r="QH42" s="270"/>
      <c r="QI42" s="270"/>
      <c r="QJ42" s="270"/>
      <c r="QK42" s="270"/>
      <c r="QL42" s="270"/>
      <c r="QM42" s="270"/>
      <c r="QN42" s="270"/>
      <c r="QO42" s="270"/>
      <c r="QP42" s="270"/>
      <c r="QQ42" s="270"/>
      <c r="QR42" s="270"/>
      <c r="QS42" s="270"/>
      <c r="QT42" s="270"/>
      <c r="QU42" s="270"/>
      <c r="QV42" s="270"/>
      <c r="QW42" s="270"/>
      <c r="QX42" s="270"/>
      <c r="QY42" s="270"/>
      <c r="QZ42" s="270"/>
      <c r="RA42" s="270"/>
      <c r="RB42" s="270"/>
      <c r="RC42" s="270"/>
      <c r="RD42" s="270"/>
      <c r="RE42" s="270"/>
      <c r="RF42" s="270"/>
      <c r="RG42" s="270"/>
      <c r="RH42" s="270"/>
      <c r="RI42" s="270"/>
      <c r="RJ42" s="270"/>
      <c r="RK42" s="270"/>
      <c r="RL42" s="270"/>
      <c r="RM42" s="270"/>
      <c r="RN42" s="270"/>
      <c r="RO42" s="270"/>
      <c r="RP42" s="270"/>
      <c r="RQ42" s="270"/>
      <c r="RR42" s="270"/>
      <c r="RS42" s="270"/>
      <c r="RT42" s="270"/>
      <c r="RU42" s="270"/>
      <c r="RV42" s="270"/>
      <c r="RW42" s="270"/>
      <c r="RX42" s="270"/>
      <c r="RY42" s="270"/>
      <c r="RZ42" s="270"/>
      <c r="SA42" s="270"/>
      <c r="SB42" s="270"/>
      <c r="SC42" s="270"/>
      <c r="SD42" s="270"/>
      <c r="SE42" s="270"/>
      <c r="SF42" s="270"/>
      <c r="SG42" s="270"/>
      <c r="SH42" s="270"/>
      <c r="SI42" s="270"/>
      <c r="SJ42" s="270"/>
      <c r="SK42" s="270"/>
      <c r="SL42" s="270"/>
      <c r="SM42" s="270"/>
      <c r="SN42" s="270"/>
      <c r="SO42" s="270"/>
      <c r="SP42" s="270"/>
      <c r="SQ42" s="270"/>
      <c r="SR42" s="270"/>
      <c r="SS42" s="270"/>
      <c r="ST42" s="270"/>
      <c r="SU42" s="270"/>
      <c r="SV42" s="270"/>
      <c r="SW42" s="270"/>
      <c r="SX42" s="270"/>
      <c r="SY42" s="270"/>
      <c r="SZ42" s="270"/>
      <c r="TA42" s="270"/>
      <c r="TB42" s="270"/>
      <c r="TC42" s="270"/>
      <c r="TD42" s="270"/>
      <c r="TE42" s="270"/>
      <c r="TF42" s="270"/>
      <c r="TG42" s="270"/>
      <c r="TH42" s="270"/>
      <c r="TI42" s="270"/>
      <c r="TJ42" s="270"/>
      <c r="TK42" s="270"/>
      <c r="TL42" s="270"/>
      <c r="TM42" s="270"/>
      <c r="TN42" s="270"/>
      <c r="TO42" s="270"/>
      <c r="TP42" s="270"/>
      <c r="TQ42" s="270"/>
      <c r="TR42" s="270"/>
      <c r="TS42" s="270"/>
      <c r="TT42" s="270"/>
      <c r="TU42" s="270"/>
      <c r="TV42" s="270"/>
      <c r="TW42" s="270"/>
      <c r="TX42" s="270"/>
      <c r="TY42" s="270"/>
      <c r="TZ42" s="270"/>
      <c r="UA42" s="270"/>
      <c r="UB42" s="270"/>
      <c r="UC42" s="270"/>
      <c r="UD42" s="270"/>
      <c r="UE42" s="270"/>
      <c r="UF42" s="270"/>
      <c r="UG42" s="270"/>
      <c r="UH42" s="270"/>
      <c r="UI42" s="270"/>
      <c r="UJ42" s="270"/>
      <c r="UK42" s="270"/>
      <c r="UL42" s="270"/>
      <c r="UM42" s="270"/>
      <c r="UN42" s="270"/>
      <c r="UO42" s="270"/>
      <c r="UP42" s="270"/>
      <c r="UQ42" s="270"/>
      <c r="UR42" s="270"/>
      <c r="US42" s="270"/>
      <c r="UT42" s="270"/>
      <c r="UU42" s="270"/>
      <c r="UV42" s="270"/>
      <c r="UW42" s="270"/>
      <c r="UX42" s="270"/>
      <c r="UY42" s="270"/>
      <c r="UZ42" s="270"/>
      <c r="VA42" s="270"/>
      <c r="VB42" s="270"/>
      <c r="VC42" s="270"/>
      <c r="VD42" s="270"/>
      <c r="VE42" s="270"/>
      <c r="VF42" s="270"/>
      <c r="VG42" s="270"/>
      <c r="VH42" s="270"/>
      <c r="VI42" s="270"/>
      <c r="VJ42" s="270"/>
      <c r="VK42" s="270"/>
      <c r="VL42" s="270"/>
      <c r="VM42" s="270"/>
      <c r="VN42" s="270"/>
      <c r="VO42" s="270"/>
      <c r="VP42" s="270"/>
      <c r="VQ42" s="270"/>
      <c r="VR42" s="270"/>
      <c r="VS42" s="270"/>
      <c r="VT42" s="270"/>
      <c r="VU42" s="270"/>
      <c r="VV42" s="270"/>
      <c r="VW42" s="270"/>
      <c r="VX42" s="270"/>
      <c r="VY42" s="270"/>
      <c r="VZ42" s="270"/>
      <c r="WA42" s="270"/>
      <c r="WB42" s="270"/>
      <c r="WC42" s="270"/>
      <c r="WD42" s="270"/>
      <c r="WE42" s="270"/>
      <c r="WF42" s="270"/>
      <c r="WG42" s="270"/>
      <c r="WH42" s="270"/>
      <c r="WI42" s="270"/>
      <c r="WJ42" s="270"/>
      <c r="WK42" s="270"/>
      <c r="WL42" s="270"/>
      <c r="WM42" s="270"/>
      <c r="WN42" s="270"/>
      <c r="WO42" s="270"/>
      <c r="WP42" s="270"/>
      <c r="WQ42" s="270"/>
      <c r="WR42" s="270"/>
      <c r="WS42" s="270"/>
      <c r="WT42" s="270"/>
      <c r="WU42" s="270"/>
      <c r="WV42" s="270"/>
      <c r="WW42" s="270"/>
      <c r="WX42" s="270"/>
      <c r="WY42" s="270"/>
      <c r="WZ42" s="270"/>
      <c r="XA42" s="270"/>
      <c r="XB42" s="270"/>
      <c r="XC42" s="270"/>
      <c r="XD42" s="270"/>
      <c r="XE42" s="270"/>
      <c r="XF42" s="270"/>
      <c r="XG42" s="270"/>
      <c r="XH42" s="270"/>
      <c r="XI42" s="270"/>
      <c r="XJ42" s="270"/>
      <c r="XK42" s="270"/>
      <c r="XL42" s="270"/>
      <c r="XM42" s="270"/>
      <c r="XN42" s="270"/>
      <c r="XO42" s="270"/>
      <c r="XP42" s="270"/>
      <c r="XQ42" s="270"/>
      <c r="XR42" s="270"/>
      <c r="XS42" s="270"/>
      <c r="XT42" s="270"/>
      <c r="XU42" s="270"/>
      <c r="XV42" s="270"/>
      <c r="XW42" s="270"/>
      <c r="XX42" s="270"/>
      <c r="XY42" s="270"/>
      <c r="XZ42" s="270"/>
      <c r="YA42" s="270"/>
      <c r="YB42" s="270"/>
      <c r="YC42" s="270"/>
      <c r="YD42" s="270"/>
      <c r="YE42" s="270"/>
      <c r="YF42" s="270"/>
      <c r="YG42" s="270"/>
      <c r="YH42" s="270"/>
      <c r="YI42" s="270"/>
      <c r="YJ42" s="270"/>
      <c r="YK42" s="270"/>
      <c r="YL42" s="270"/>
      <c r="YM42" s="270"/>
      <c r="YN42" s="270"/>
      <c r="YO42" s="270"/>
      <c r="YP42" s="270"/>
      <c r="YQ42" s="270"/>
      <c r="YR42" s="270"/>
      <c r="YS42" s="270"/>
      <c r="YT42" s="270"/>
      <c r="YU42" s="270"/>
      <c r="YV42" s="270"/>
      <c r="YW42" s="270"/>
      <c r="YX42" s="270"/>
      <c r="YY42" s="270"/>
      <c r="YZ42" s="270"/>
      <c r="ZA42" s="270"/>
      <c r="ZB42" s="270"/>
      <c r="ZC42" s="270"/>
      <c r="ZD42" s="270"/>
      <c r="ZE42" s="270"/>
    </row>
    <row r="43">
      <c r="A43" s="156" t="s">
        <v>1916</v>
      </c>
      <c r="B43" s="388"/>
      <c r="C43" s="16"/>
      <c r="D43" s="16"/>
      <c r="E43" s="16"/>
      <c r="F43" s="16"/>
      <c r="G43" s="16"/>
      <c r="H43" s="25"/>
      <c r="I43" s="388"/>
      <c r="J43" s="16"/>
      <c r="K43" s="16"/>
      <c r="L43" s="16"/>
      <c r="M43" s="16"/>
      <c r="N43" s="16"/>
      <c r="O43" s="25"/>
      <c r="P43" s="388"/>
      <c r="Q43" s="16"/>
      <c r="R43" s="16"/>
      <c r="S43" s="16"/>
      <c r="T43" s="16"/>
      <c r="U43" s="16"/>
      <c r="V43" s="25"/>
      <c r="W43" s="388"/>
      <c r="X43" s="16"/>
      <c r="Y43" s="16"/>
      <c r="Z43" s="16"/>
      <c r="AA43" s="16"/>
      <c r="AB43" s="16"/>
      <c r="AC43" s="25"/>
      <c r="AD43" s="388"/>
      <c r="AE43" s="16"/>
      <c r="AF43" s="16"/>
      <c r="AG43" s="16"/>
      <c r="AH43" s="16"/>
      <c r="AI43" s="16"/>
      <c r="AJ43" s="25"/>
      <c r="AK43" s="388"/>
      <c r="AL43" s="16"/>
      <c r="AM43" s="16"/>
      <c r="AN43" s="16"/>
      <c r="AO43" s="16"/>
      <c r="AP43" s="16"/>
      <c r="AQ43" s="25"/>
      <c r="AR43" s="388"/>
      <c r="AS43" s="16"/>
      <c r="AT43" s="16"/>
      <c r="AU43" s="16"/>
      <c r="AV43" s="16"/>
      <c r="AW43" s="16"/>
      <c r="AX43" s="25"/>
      <c r="AY43" s="388"/>
      <c r="AZ43" s="16"/>
      <c r="BA43" s="16"/>
      <c r="BB43" s="16"/>
      <c r="BC43" s="16"/>
      <c r="BD43" s="16"/>
      <c r="BE43" s="25"/>
      <c r="BF43" s="388"/>
      <c r="BG43" s="16"/>
      <c r="BH43" s="16"/>
      <c r="BI43" s="16"/>
      <c r="BJ43" s="16"/>
      <c r="BK43" s="16"/>
      <c r="BL43" s="25"/>
      <c r="BM43" s="388"/>
      <c r="BN43" s="16"/>
      <c r="BO43" s="16"/>
      <c r="BP43" s="16"/>
      <c r="BQ43" s="16"/>
      <c r="BR43" s="16"/>
      <c r="BS43" s="25"/>
      <c r="BT43" s="388"/>
      <c r="BU43" s="16"/>
      <c r="BV43" s="16"/>
      <c r="BW43" s="16"/>
      <c r="BX43" s="16"/>
      <c r="BY43" s="16"/>
      <c r="BZ43" s="25"/>
      <c r="CA43" s="388"/>
      <c r="CB43" s="16"/>
      <c r="CC43" s="16"/>
      <c r="CD43" s="16"/>
      <c r="CE43" s="16"/>
      <c r="CF43" s="16"/>
      <c r="CG43" s="25"/>
      <c r="CH43" s="388"/>
      <c r="CI43" s="16"/>
      <c r="CJ43" s="16"/>
      <c r="CK43" s="16"/>
      <c r="CL43" s="16"/>
      <c r="CM43" s="16"/>
      <c r="CN43" s="25"/>
      <c r="CO43" s="388"/>
      <c r="CP43" s="16"/>
      <c r="CQ43" s="16"/>
      <c r="CR43" s="16"/>
      <c r="CS43" s="16"/>
      <c r="CT43" s="16"/>
      <c r="CU43" s="25"/>
      <c r="CV43" s="388"/>
      <c r="CW43" s="16"/>
      <c r="CX43" s="16"/>
      <c r="CY43" s="16"/>
      <c r="CZ43" s="16"/>
      <c r="DA43" s="16"/>
      <c r="DB43" s="25"/>
      <c r="DC43" s="108"/>
      <c r="DD43" s="16"/>
      <c r="DE43" s="16"/>
      <c r="DF43" s="16"/>
      <c r="DG43" s="16"/>
      <c r="DH43" s="16"/>
      <c r="DI43" s="25"/>
      <c r="DJ43" s="388"/>
      <c r="DK43" s="16"/>
      <c r="DL43" s="16"/>
      <c r="DM43" s="16"/>
      <c r="DN43" s="16"/>
      <c r="DO43" s="16"/>
      <c r="DP43" s="25"/>
      <c r="DQ43" s="108"/>
      <c r="DR43" s="16"/>
      <c r="DS43" s="16"/>
      <c r="DT43" s="16"/>
      <c r="DU43" s="16"/>
      <c r="DV43" s="16"/>
      <c r="DW43" s="25"/>
      <c r="DX43" s="388"/>
      <c r="DY43" s="16"/>
      <c r="DZ43" s="16"/>
      <c r="EA43" s="16"/>
      <c r="EB43" s="16"/>
      <c r="EC43" s="16"/>
      <c r="ED43" s="25"/>
      <c r="EE43" s="108"/>
      <c r="EF43" s="16"/>
      <c r="EG43" s="16"/>
      <c r="EH43" s="16"/>
      <c r="EI43" s="16"/>
      <c r="EJ43" s="16"/>
      <c r="EK43" s="25"/>
      <c r="EL43" s="108"/>
      <c r="EM43" s="16"/>
      <c r="EN43" s="16"/>
      <c r="EO43" s="16"/>
      <c r="EP43" s="16"/>
      <c r="EQ43" s="16"/>
      <c r="ER43" s="25"/>
      <c r="ES43" s="108"/>
      <c r="ET43" s="16"/>
      <c r="EU43" s="16"/>
      <c r="EV43" s="16"/>
      <c r="EW43" s="16"/>
      <c r="EX43" s="16"/>
      <c r="EY43" s="25"/>
      <c r="EZ43" s="108"/>
      <c r="FA43" s="16"/>
      <c r="FB43" s="16"/>
      <c r="FC43" s="16"/>
      <c r="FD43" s="16"/>
      <c r="FE43" s="16"/>
      <c r="FF43" s="25"/>
      <c r="FG43" s="388"/>
      <c r="FH43" s="16"/>
      <c r="FI43" s="16"/>
      <c r="FJ43" s="16"/>
      <c r="FK43" s="16"/>
      <c r="FL43" s="16"/>
      <c r="FM43" s="25"/>
      <c r="FN43" s="108"/>
      <c r="FO43" s="16"/>
      <c r="FP43" s="16"/>
      <c r="FQ43" s="16"/>
      <c r="FR43" s="16"/>
      <c r="FS43" s="16"/>
      <c r="FT43" s="25"/>
      <c r="FU43" s="388"/>
      <c r="FV43" s="16"/>
      <c r="FW43" s="16"/>
      <c r="FX43" s="16"/>
      <c r="FY43" s="16"/>
      <c r="FZ43" s="16"/>
      <c r="GA43" s="25"/>
      <c r="GB43" s="388"/>
      <c r="GC43" s="16"/>
      <c r="GD43" s="16"/>
      <c r="GE43" s="16"/>
      <c r="GF43" s="16"/>
      <c r="GG43" s="16"/>
      <c r="GH43" s="25"/>
      <c r="GI43" s="108"/>
      <c r="GJ43" s="16"/>
      <c r="GK43" s="16"/>
      <c r="GL43" s="16"/>
      <c r="GM43" s="16"/>
      <c r="GN43" s="16"/>
      <c r="GO43" s="25"/>
      <c r="GP43" s="108"/>
      <c r="GQ43" s="16"/>
      <c r="GR43" s="16"/>
      <c r="GS43" s="16"/>
      <c r="GT43" s="16"/>
      <c r="GU43" s="16"/>
      <c r="GV43" s="25"/>
      <c r="GW43" s="388"/>
      <c r="GX43" s="16"/>
      <c r="GY43" s="16"/>
      <c r="GZ43" s="16"/>
      <c r="HA43" s="16"/>
      <c r="HB43" s="16"/>
      <c r="HC43" s="25"/>
      <c r="HD43" s="108"/>
      <c r="HE43" s="16"/>
      <c r="HF43" s="16"/>
      <c r="HG43" s="16"/>
      <c r="HH43" s="16"/>
      <c r="HI43" s="16"/>
      <c r="HJ43" s="25"/>
      <c r="HK43" s="388"/>
      <c r="HL43" s="16"/>
      <c r="HM43" s="16"/>
      <c r="HN43" s="16"/>
      <c r="HO43" s="16"/>
      <c r="HP43" s="16"/>
      <c r="HQ43" s="25"/>
      <c r="HR43" s="108"/>
      <c r="HS43" s="16"/>
      <c r="HT43" s="16"/>
      <c r="HU43" s="16"/>
      <c r="HV43" s="16"/>
      <c r="HW43" s="16"/>
      <c r="HX43" s="25"/>
      <c r="HY43" s="388"/>
      <c r="HZ43" s="16"/>
      <c r="IA43" s="16"/>
      <c r="IB43" s="16"/>
      <c r="IC43" s="16"/>
      <c r="ID43" s="16"/>
      <c r="IE43" s="25"/>
      <c r="IF43" s="388"/>
      <c r="IG43" s="16"/>
      <c r="IH43" s="16"/>
      <c r="II43" s="16"/>
      <c r="IJ43" s="16"/>
      <c r="IK43" s="16"/>
      <c r="IL43" s="25"/>
      <c r="IM43" s="388"/>
      <c r="IN43" s="16"/>
      <c r="IO43" s="16"/>
      <c r="IP43" s="16"/>
      <c r="IQ43" s="16"/>
      <c r="IR43" s="16"/>
      <c r="IS43" s="25"/>
      <c r="IT43" s="388"/>
      <c r="IU43" s="16"/>
      <c r="IV43" s="16"/>
      <c r="IW43" s="16"/>
      <c r="IX43" s="16"/>
      <c r="IY43" s="16"/>
      <c r="IZ43" s="25"/>
      <c r="JA43" s="388"/>
      <c r="JB43" s="16"/>
      <c r="JC43" s="16"/>
      <c r="JD43" s="16"/>
      <c r="JE43" s="16"/>
      <c r="JF43" s="16"/>
      <c r="JG43" s="25"/>
      <c r="JH43" s="388"/>
      <c r="JI43" s="16"/>
      <c r="JJ43" s="16"/>
      <c r="JK43" s="16"/>
      <c r="JL43" s="16"/>
      <c r="JM43" s="16"/>
      <c r="JN43" s="25"/>
      <c r="JO43" s="394"/>
      <c r="JP43" s="16"/>
      <c r="JQ43" s="16"/>
      <c r="JR43" s="16"/>
      <c r="JS43" s="16"/>
      <c r="JT43" s="16"/>
      <c r="JU43" s="25"/>
      <c r="JV43" s="388"/>
      <c r="JW43" s="16"/>
      <c r="JX43" s="16"/>
      <c r="JY43" s="16"/>
      <c r="JZ43" s="16"/>
      <c r="KA43" s="16"/>
      <c r="KB43" s="25"/>
      <c r="KC43" s="388"/>
      <c r="KD43" s="16"/>
      <c r="KE43" s="16"/>
      <c r="KF43" s="16"/>
      <c r="KG43" s="16"/>
      <c r="KH43" s="16"/>
      <c r="KI43" s="25"/>
      <c r="KJ43" s="388"/>
      <c r="KK43" s="16"/>
      <c r="KL43" s="16"/>
      <c r="KM43" s="16"/>
      <c r="KN43" s="16"/>
      <c r="KO43" s="16"/>
      <c r="KP43" s="25"/>
      <c r="KQ43" s="388"/>
      <c r="KR43" s="16"/>
      <c r="KS43" s="16"/>
      <c r="KT43" s="16"/>
      <c r="KU43" s="16"/>
      <c r="KV43" s="16"/>
      <c r="KW43" s="25"/>
      <c r="KX43" s="388"/>
      <c r="KY43" s="16"/>
      <c r="KZ43" s="16"/>
      <c r="LA43" s="16"/>
      <c r="LB43" s="16"/>
      <c r="LC43" s="16"/>
      <c r="LD43" s="25"/>
      <c r="LE43" s="388"/>
      <c r="LF43" s="16"/>
      <c r="LG43" s="16"/>
      <c r="LH43" s="16"/>
      <c r="LI43" s="16"/>
      <c r="LJ43" s="16"/>
      <c r="LK43" s="25"/>
      <c r="LL43" s="388"/>
      <c r="LM43" s="16"/>
      <c r="LN43" s="16"/>
      <c r="LO43" s="16"/>
      <c r="LP43" s="16"/>
      <c r="LQ43" s="16"/>
      <c r="LR43" s="25"/>
      <c r="LS43" s="388"/>
      <c r="LT43" s="16"/>
      <c r="LU43" s="16"/>
      <c r="LV43" s="16"/>
      <c r="LW43" s="16"/>
      <c r="LX43" s="16"/>
      <c r="LY43" s="25"/>
      <c r="LZ43" s="388"/>
      <c r="MA43" s="16"/>
      <c r="MB43" s="16"/>
      <c r="MC43" s="16"/>
      <c r="MD43" s="16"/>
      <c r="ME43" s="16"/>
      <c r="MF43" s="25"/>
      <c r="MG43" s="388"/>
      <c r="MH43" s="16"/>
      <c r="MI43" s="16"/>
      <c r="MJ43" s="16"/>
      <c r="MK43" s="16"/>
      <c r="ML43" s="16"/>
      <c r="MM43" s="25"/>
      <c r="MN43" s="388"/>
      <c r="MO43" s="16"/>
      <c r="MP43" s="16"/>
      <c r="MQ43" s="16"/>
      <c r="MR43" s="16"/>
      <c r="MS43" s="16"/>
      <c r="MT43" s="25"/>
      <c r="MU43" s="388"/>
      <c r="MV43" s="16"/>
      <c r="MW43" s="16"/>
      <c r="MX43" s="16"/>
      <c r="MY43" s="16"/>
      <c r="MZ43" s="16"/>
      <c r="NA43" s="25"/>
      <c r="NB43" s="399"/>
      <c r="NC43" s="270"/>
      <c r="ND43" s="270"/>
      <c r="NE43" s="270"/>
      <c r="NF43" s="270"/>
      <c r="NG43" s="270"/>
      <c r="NH43" s="270"/>
      <c r="NI43" s="270"/>
      <c r="NJ43" s="270"/>
      <c r="NK43" s="270"/>
      <c r="NL43" s="270"/>
      <c r="NM43" s="270"/>
      <c r="NN43" s="270"/>
      <c r="NO43" s="270"/>
      <c r="NP43" s="270"/>
      <c r="NQ43" s="270"/>
      <c r="NR43" s="270"/>
      <c r="NS43" s="270"/>
      <c r="NT43" s="270"/>
      <c r="NU43" s="270"/>
      <c r="NV43" s="270"/>
      <c r="NW43" s="270"/>
      <c r="NX43" s="270"/>
      <c r="NY43" s="270"/>
      <c r="NZ43" s="270"/>
      <c r="OA43" s="270"/>
      <c r="OB43" s="270"/>
      <c r="OC43" s="270"/>
      <c r="OD43" s="270"/>
      <c r="OE43" s="270"/>
      <c r="OF43" s="270"/>
      <c r="OG43" s="270"/>
      <c r="OH43" s="270"/>
      <c r="OI43" s="270"/>
      <c r="OJ43" s="270"/>
      <c r="OK43" s="270"/>
      <c r="OL43" s="270"/>
      <c r="OM43" s="270"/>
      <c r="ON43" s="270"/>
      <c r="OO43" s="270"/>
      <c r="OP43" s="270"/>
      <c r="OQ43" s="270"/>
      <c r="OR43" s="270"/>
      <c r="OS43" s="270"/>
      <c r="OT43" s="270"/>
      <c r="OU43" s="270"/>
      <c r="OV43" s="270"/>
      <c r="OW43" s="270"/>
      <c r="OX43" s="270"/>
      <c r="OY43" s="270"/>
      <c r="OZ43" s="270"/>
      <c r="PA43" s="270"/>
      <c r="PB43" s="270"/>
      <c r="PC43" s="270"/>
      <c r="PD43" s="270"/>
      <c r="PE43" s="270"/>
      <c r="PF43" s="270"/>
      <c r="PG43" s="270"/>
      <c r="PH43" s="270"/>
      <c r="PI43" s="270"/>
      <c r="PJ43" s="270"/>
      <c r="PK43" s="270"/>
      <c r="PL43" s="270"/>
      <c r="PM43" s="270"/>
      <c r="PN43" s="270"/>
      <c r="PO43" s="270"/>
      <c r="PP43" s="270"/>
      <c r="PQ43" s="270"/>
      <c r="PR43" s="270"/>
      <c r="PS43" s="270"/>
      <c r="PT43" s="270"/>
      <c r="PU43" s="270"/>
      <c r="PV43" s="270"/>
      <c r="PW43" s="270"/>
      <c r="PX43" s="270"/>
      <c r="PY43" s="270"/>
      <c r="PZ43" s="270"/>
      <c r="QA43" s="270"/>
      <c r="QB43" s="270"/>
      <c r="QC43" s="270"/>
      <c r="QD43" s="270"/>
      <c r="QE43" s="270"/>
      <c r="QF43" s="270"/>
      <c r="QG43" s="270"/>
      <c r="QH43" s="270"/>
      <c r="QI43" s="270"/>
      <c r="QJ43" s="270"/>
      <c r="QK43" s="270"/>
      <c r="QL43" s="270"/>
      <c r="QM43" s="270"/>
      <c r="QN43" s="270"/>
      <c r="QO43" s="270"/>
      <c r="QP43" s="270"/>
      <c r="QQ43" s="270"/>
      <c r="QR43" s="270"/>
      <c r="QS43" s="270"/>
      <c r="QT43" s="270"/>
      <c r="QU43" s="270"/>
      <c r="QV43" s="270"/>
      <c r="QW43" s="270"/>
      <c r="QX43" s="270"/>
      <c r="QY43" s="270"/>
      <c r="QZ43" s="270"/>
      <c r="RA43" s="270"/>
      <c r="RB43" s="270"/>
      <c r="RC43" s="270"/>
      <c r="RD43" s="270"/>
      <c r="RE43" s="270"/>
      <c r="RF43" s="270"/>
      <c r="RG43" s="270"/>
      <c r="RH43" s="270"/>
      <c r="RI43" s="270"/>
      <c r="RJ43" s="270"/>
      <c r="RK43" s="270"/>
      <c r="RL43" s="270"/>
      <c r="RM43" s="270"/>
      <c r="RN43" s="270"/>
      <c r="RO43" s="270"/>
      <c r="RP43" s="270"/>
      <c r="RQ43" s="270"/>
      <c r="RR43" s="270"/>
      <c r="RS43" s="270"/>
      <c r="RT43" s="270"/>
      <c r="RU43" s="270"/>
      <c r="RV43" s="270"/>
      <c r="RW43" s="270"/>
      <c r="RX43" s="270"/>
      <c r="RY43" s="270"/>
      <c r="RZ43" s="270"/>
      <c r="SA43" s="270"/>
      <c r="SB43" s="270"/>
      <c r="SC43" s="270"/>
      <c r="SD43" s="270"/>
      <c r="SE43" s="270"/>
      <c r="SF43" s="270"/>
      <c r="SG43" s="270"/>
      <c r="SH43" s="270"/>
      <c r="SI43" s="270"/>
      <c r="SJ43" s="270"/>
      <c r="SK43" s="270"/>
      <c r="SL43" s="270"/>
      <c r="SM43" s="270"/>
      <c r="SN43" s="270"/>
      <c r="SO43" s="270"/>
      <c r="SP43" s="270"/>
      <c r="SQ43" s="270"/>
      <c r="SR43" s="270"/>
      <c r="SS43" s="270"/>
      <c r="ST43" s="270"/>
      <c r="SU43" s="270"/>
      <c r="SV43" s="270"/>
      <c r="SW43" s="270"/>
      <c r="SX43" s="270"/>
      <c r="SY43" s="270"/>
      <c r="SZ43" s="270"/>
      <c r="TA43" s="270"/>
      <c r="TB43" s="270"/>
      <c r="TC43" s="270"/>
      <c r="TD43" s="270"/>
      <c r="TE43" s="270"/>
      <c r="TF43" s="270"/>
      <c r="TG43" s="270"/>
      <c r="TH43" s="270"/>
      <c r="TI43" s="270"/>
      <c r="TJ43" s="270"/>
      <c r="TK43" s="270"/>
      <c r="TL43" s="270"/>
      <c r="TM43" s="270"/>
      <c r="TN43" s="270"/>
      <c r="TO43" s="270"/>
      <c r="TP43" s="270"/>
      <c r="TQ43" s="270"/>
      <c r="TR43" s="270"/>
      <c r="TS43" s="270"/>
      <c r="TT43" s="270"/>
      <c r="TU43" s="270"/>
      <c r="TV43" s="270"/>
      <c r="TW43" s="270"/>
      <c r="TX43" s="270"/>
      <c r="TY43" s="270"/>
      <c r="TZ43" s="270"/>
      <c r="UA43" s="270"/>
      <c r="UB43" s="270"/>
      <c r="UC43" s="270"/>
      <c r="UD43" s="270"/>
      <c r="UE43" s="270"/>
      <c r="UF43" s="270"/>
      <c r="UG43" s="270"/>
      <c r="UH43" s="270"/>
      <c r="UI43" s="270"/>
      <c r="UJ43" s="270"/>
      <c r="UK43" s="270"/>
      <c r="UL43" s="270"/>
      <c r="UM43" s="270"/>
      <c r="UN43" s="270"/>
      <c r="UO43" s="270"/>
      <c r="UP43" s="270"/>
      <c r="UQ43" s="270"/>
      <c r="UR43" s="270"/>
      <c r="US43" s="270"/>
      <c r="UT43" s="270"/>
      <c r="UU43" s="270"/>
      <c r="UV43" s="270"/>
      <c r="UW43" s="270"/>
      <c r="UX43" s="270"/>
      <c r="UY43" s="270"/>
      <c r="UZ43" s="270"/>
      <c r="VA43" s="270"/>
      <c r="VB43" s="270"/>
      <c r="VC43" s="270"/>
      <c r="VD43" s="270"/>
      <c r="VE43" s="270"/>
      <c r="VF43" s="270"/>
      <c r="VG43" s="270"/>
      <c r="VH43" s="270"/>
      <c r="VI43" s="270"/>
      <c r="VJ43" s="270"/>
      <c r="VK43" s="270"/>
      <c r="VL43" s="270"/>
      <c r="VM43" s="270"/>
      <c r="VN43" s="270"/>
      <c r="VO43" s="270"/>
      <c r="VP43" s="270"/>
      <c r="VQ43" s="270"/>
      <c r="VR43" s="270"/>
      <c r="VS43" s="270"/>
      <c r="VT43" s="270"/>
      <c r="VU43" s="270"/>
      <c r="VV43" s="270"/>
      <c r="VW43" s="270"/>
      <c r="VX43" s="270"/>
      <c r="VY43" s="270"/>
      <c r="VZ43" s="270"/>
      <c r="WA43" s="270"/>
      <c r="WB43" s="270"/>
      <c r="WC43" s="270"/>
      <c r="WD43" s="270"/>
      <c r="WE43" s="270"/>
      <c r="WF43" s="270"/>
      <c r="WG43" s="270"/>
      <c r="WH43" s="270"/>
      <c r="WI43" s="270"/>
      <c r="WJ43" s="270"/>
      <c r="WK43" s="270"/>
      <c r="WL43" s="270"/>
      <c r="WM43" s="270"/>
      <c r="WN43" s="270"/>
      <c r="WO43" s="270"/>
      <c r="WP43" s="270"/>
      <c r="WQ43" s="270"/>
      <c r="WR43" s="270"/>
      <c r="WS43" s="270"/>
      <c r="WT43" s="270"/>
      <c r="WU43" s="270"/>
      <c r="WV43" s="270"/>
      <c r="WW43" s="270"/>
      <c r="WX43" s="270"/>
      <c r="WY43" s="270"/>
      <c r="WZ43" s="270"/>
      <c r="XA43" s="270"/>
      <c r="XB43" s="270"/>
      <c r="XC43" s="270"/>
      <c r="XD43" s="270"/>
      <c r="XE43" s="270"/>
      <c r="XF43" s="270"/>
      <c r="XG43" s="270"/>
      <c r="XH43" s="270"/>
      <c r="XI43" s="270"/>
      <c r="XJ43" s="270"/>
      <c r="XK43" s="270"/>
      <c r="XL43" s="270"/>
      <c r="XM43" s="270"/>
      <c r="XN43" s="270"/>
      <c r="XO43" s="270"/>
      <c r="XP43" s="270"/>
      <c r="XQ43" s="270"/>
      <c r="XR43" s="270"/>
      <c r="XS43" s="270"/>
      <c r="XT43" s="270"/>
      <c r="XU43" s="270"/>
      <c r="XV43" s="270"/>
      <c r="XW43" s="270"/>
      <c r="XX43" s="270"/>
      <c r="XY43" s="270"/>
      <c r="XZ43" s="270"/>
      <c r="YA43" s="270"/>
      <c r="YB43" s="270"/>
      <c r="YC43" s="270"/>
      <c r="YD43" s="270"/>
      <c r="YE43" s="270"/>
      <c r="YF43" s="270"/>
      <c r="YG43" s="270"/>
      <c r="YH43" s="270"/>
      <c r="YI43" s="270"/>
      <c r="YJ43" s="270"/>
      <c r="YK43" s="270"/>
      <c r="YL43" s="270"/>
      <c r="YM43" s="270"/>
      <c r="YN43" s="270"/>
      <c r="YO43" s="270"/>
      <c r="YP43" s="270"/>
      <c r="YQ43" s="270"/>
      <c r="YR43" s="270"/>
      <c r="YS43" s="270"/>
      <c r="YT43" s="270"/>
      <c r="YU43" s="270"/>
      <c r="YV43" s="270"/>
      <c r="YW43" s="270"/>
      <c r="YX43" s="270"/>
      <c r="YY43" s="270"/>
      <c r="YZ43" s="270"/>
      <c r="ZA43" s="270"/>
      <c r="ZB43" s="270"/>
      <c r="ZC43" s="270"/>
      <c r="ZD43" s="270"/>
      <c r="ZE43" s="270"/>
    </row>
    <row r="44" ht="7.5" customHeight="1">
      <c r="A44" s="156" t="s">
        <v>1756</v>
      </c>
      <c r="B44" s="388"/>
      <c r="C44" s="16"/>
      <c r="D44" s="16"/>
      <c r="E44" s="16"/>
      <c r="F44" s="16"/>
      <c r="G44" s="16"/>
      <c r="H44" s="25"/>
      <c r="I44" s="134" t="s">
        <v>1917</v>
      </c>
      <c r="J44" s="16"/>
      <c r="K44" s="16"/>
      <c r="L44" s="16"/>
      <c r="M44" s="16"/>
      <c r="N44" s="16"/>
      <c r="O44" s="25"/>
      <c r="P44" s="134" t="s">
        <v>1918</v>
      </c>
      <c r="Q44" s="16"/>
      <c r="R44" s="16"/>
      <c r="S44" s="16"/>
      <c r="T44" s="16"/>
      <c r="U44" s="16"/>
      <c r="V44" s="16"/>
      <c r="W44" s="16"/>
      <c r="X44" s="16"/>
      <c r="Y44" s="16"/>
      <c r="Z44" s="16"/>
      <c r="AA44" s="16"/>
      <c r="AB44" s="16"/>
      <c r="AC44" s="25"/>
      <c r="AD44" s="135" t="s">
        <v>1919</v>
      </c>
      <c r="AE44" s="16"/>
      <c r="AF44" s="16"/>
      <c r="AG44" s="16"/>
      <c r="AH44" s="16"/>
      <c r="AI44" s="16"/>
      <c r="AJ44" s="16"/>
      <c r="AK44" s="16"/>
      <c r="AL44" s="16"/>
      <c r="AM44" s="16"/>
      <c r="AN44" s="16"/>
      <c r="AO44" s="16"/>
      <c r="AP44" s="16"/>
      <c r="AQ44" s="25"/>
      <c r="AR44" s="135" t="s">
        <v>1920</v>
      </c>
      <c r="AS44" s="16"/>
      <c r="AT44" s="16"/>
      <c r="AU44" s="16"/>
      <c r="AV44" s="16"/>
      <c r="AW44" s="16"/>
      <c r="AX44" s="25"/>
      <c r="AY44" s="106"/>
      <c r="AZ44" s="16"/>
      <c r="BA44" s="16"/>
      <c r="BB44" s="16"/>
      <c r="BC44" s="16"/>
      <c r="BD44" s="16"/>
      <c r="BE44" s="25"/>
      <c r="BF44" s="106"/>
      <c r="BG44" s="16"/>
      <c r="BH44" s="16"/>
      <c r="BI44" s="16"/>
      <c r="BJ44" s="16"/>
      <c r="BK44" s="16"/>
      <c r="BL44" s="25"/>
      <c r="BM44" s="240"/>
      <c r="BN44" s="16"/>
      <c r="BO44" s="16"/>
      <c r="BP44" s="16"/>
      <c r="BQ44" s="16"/>
      <c r="BR44" s="16"/>
      <c r="BS44" s="25"/>
      <c r="BT44" s="106"/>
      <c r="BU44" s="16"/>
      <c r="BV44" s="16"/>
      <c r="BW44" s="16"/>
      <c r="BX44" s="16"/>
      <c r="BY44" s="16"/>
      <c r="BZ44" s="25"/>
      <c r="CA44" s="106"/>
      <c r="CB44" s="16"/>
      <c r="CC44" s="16"/>
      <c r="CD44" s="16"/>
      <c r="CE44" s="16"/>
      <c r="CF44" s="16"/>
      <c r="CG44" s="25"/>
      <c r="CH44" s="106"/>
      <c r="CI44" s="16"/>
      <c r="CJ44" s="16"/>
      <c r="CK44" s="16"/>
      <c r="CL44" s="16"/>
      <c r="CM44" s="16"/>
      <c r="CN44" s="25"/>
      <c r="CO44" s="106"/>
      <c r="CP44" s="16"/>
      <c r="CQ44" s="16"/>
      <c r="CR44" s="16"/>
      <c r="CS44" s="16"/>
      <c r="CT44" s="16"/>
      <c r="CU44" s="25"/>
      <c r="CV44" s="106"/>
      <c r="CW44" s="16"/>
      <c r="CX44" s="16"/>
      <c r="CY44" s="16"/>
      <c r="CZ44" s="16"/>
      <c r="DA44" s="16"/>
      <c r="DB44" s="25"/>
      <c r="DC44" s="106"/>
      <c r="DD44" s="16"/>
      <c r="DE44" s="16"/>
      <c r="DF44" s="16"/>
      <c r="DG44" s="16"/>
      <c r="DH44" s="16"/>
      <c r="DI44" s="25"/>
      <c r="DJ44" s="106"/>
      <c r="DK44" s="16"/>
      <c r="DL44" s="16"/>
      <c r="DM44" s="16"/>
      <c r="DN44" s="16"/>
      <c r="DO44" s="16"/>
      <c r="DP44" s="25"/>
      <c r="DQ44" s="106"/>
      <c r="DR44" s="16"/>
      <c r="DS44" s="16"/>
      <c r="DT44" s="16"/>
      <c r="DU44" s="16"/>
      <c r="DV44" s="16"/>
      <c r="DW44" s="25"/>
      <c r="DX44" s="106"/>
      <c r="DY44" s="16"/>
      <c r="DZ44" s="16"/>
      <c r="EA44" s="16"/>
      <c r="EB44" s="16"/>
      <c r="EC44" s="16"/>
      <c r="ED44" s="25"/>
      <c r="EE44" s="106"/>
      <c r="EF44" s="16"/>
      <c r="EG44" s="16"/>
      <c r="EH44" s="16"/>
      <c r="EI44" s="16"/>
      <c r="EJ44" s="16"/>
      <c r="EK44" s="25"/>
      <c r="EL44" s="108" t="s">
        <v>1921</v>
      </c>
      <c r="EM44" s="16"/>
      <c r="EN44" s="16"/>
      <c r="EO44" s="16"/>
      <c r="EP44" s="16"/>
      <c r="EQ44" s="16"/>
      <c r="ER44" s="16"/>
      <c r="ES44" s="16"/>
      <c r="ET44" s="16"/>
      <c r="EU44" s="16"/>
      <c r="EV44" s="16"/>
      <c r="EW44" s="16"/>
      <c r="EX44" s="16"/>
      <c r="EY44" s="25"/>
      <c r="EZ44" s="108"/>
      <c r="FA44" s="16"/>
      <c r="FB44" s="16"/>
      <c r="FC44" s="16"/>
      <c r="FD44" s="16"/>
      <c r="FE44" s="16"/>
      <c r="FF44" s="25"/>
      <c r="FG44" s="108" t="s">
        <v>1922</v>
      </c>
      <c r="FH44" s="16"/>
      <c r="FI44" s="16"/>
      <c r="FJ44" s="16"/>
      <c r="FK44" s="16"/>
      <c r="FL44" s="16"/>
      <c r="FM44" s="25"/>
      <c r="FN44" s="108"/>
      <c r="FO44" s="16"/>
      <c r="FP44" s="16"/>
      <c r="FQ44" s="16"/>
      <c r="FR44" s="16"/>
      <c r="FS44" s="16"/>
      <c r="FT44" s="25"/>
      <c r="FU44" s="108"/>
      <c r="FV44" s="16"/>
      <c r="FW44" s="16"/>
      <c r="FX44" s="16"/>
      <c r="FY44" s="16"/>
      <c r="FZ44" s="16"/>
      <c r="GA44" s="25"/>
      <c r="GB44" s="108"/>
      <c r="GC44" s="16"/>
      <c r="GD44" s="16"/>
      <c r="GE44" s="16"/>
      <c r="GF44" s="16"/>
      <c r="GG44" s="16"/>
      <c r="GH44" s="25"/>
      <c r="GI44" s="388"/>
      <c r="GJ44" s="16"/>
      <c r="GK44" s="16"/>
      <c r="GL44" s="16"/>
      <c r="GM44" s="16"/>
      <c r="GN44" s="16"/>
      <c r="GO44" s="25"/>
      <c r="GP44" s="388"/>
      <c r="GQ44" s="16"/>
      <c r="GR44" s="16"/>
      <c r="GS44" s="16"/>
      <c r="GT44" s="16"/>
      <c r="GU44" s="16"/>
      <c r="GV44" s="25"/>
      <c r="GW44" s="135" t="s">
        <v>1923</v>
      </c>
      <c r="GX44" s="16"/>
      <c r="GY44" s="16"/>
      <c r="GZ44" s="16"/>
      <c r="HA44" s="16"/>
      <c r="HB44" s="16"/>
      <c r="HC44" s="16"/>
      <c r="HD44" s="135" t="s">
        <v>1924</v>
      </c>
      <c r="HE44" s="16"/>
      <c r="HF44" s="16"/>
      <c r="HG44" s="16"/>
      <c r="HH44" s="16"/>
      <c r="HI44" s="16"/>
      <c r="HJ44" s="25"/>
      <c r="HK44" s="135" t="s">
        <v>1925</v>
      </c>
      <c r="HL44" s="16"/>
      <c r="HM44" s="16"/>
      <c r="HN44" s="16"/>
      <c r="HO44" s="16"/>
      <c r="HP44" s="16"/>
      <c r="HQ44" s="25"/>
      <c r="HR44" s="135" t="s">
        <v>1926</v>
      </c>
      <c r="HS44" s="16"/>
      <c r="HT44" s="16"/>
      <c r="HU44" s="16"/>
      <c r="HV44" s="16"/>
      <c r="HW44" s="16"/>
      <c r="HX44" s="25"/>
      <c r="HY44" s="388"/>
      <c r="HZ44" s="16"/>
      <c r="IA44" s="16"/>
      <c r="IB44" s="16"/>
      <c r="IC44" s="16"/>
      <c r="ID44" s="16"/>
      <c r="IE44" s="25"/>
      <c r="IF44" s="388"/>
      <c r="IG44" s="16"/>
      <c r="IH44" s="16"/>
      <c r="II44" s="16"/>
      <c r="IJ44" s="16"/>
      <c r="IK44" s="16"/>
      <c r="IL44" s="25"/>
      <c r="IM44" s="388"/>
      <c r="IN44" s="16"/>
      <c r="IO44" s="16"/>
      <c r="IP44" s="16"/>
      <c r="IQ44" s="16"/>
      <c r="IR44" s="16"/>
      <c r="IS44" s="25"/>
      <c r="IT44" s="108" t="s">
        <v>1928</v>
      </c>
      <c r="IU44" s="16"/>
      <c r="IV44" s="16"/>
      <c r="IW44" s="16"/>
      <c r="IX44" s="16"/>
      <c r="IY44" s="16"/>
      <c r="IZ44" s="16"/>
      <c r="JA44" s="16"/>
      <c r="JB44" s="16"/>
      <c r="JC44" s="16"/>
      <c r="JD44" s="16"/>
      <c r="JE44" s="16"/>
      <c r="JF44" s="16"/>
      <c r="JG44" s="25"/>
      <c r="JH44" s="388"/>
      <c r="JI44" s="16"/>
      <c r="JJ44" s="16"/>
      <c r="JK44" s="16"/>
      <c r="JL44" s="16"/>
      <c r="JM44" s="16"/>
      <c r="JN44" s="25"/>
      <c r="JO44" s="409" t="s">
        <v>1929</v>
      </c>
      <c r="JV44" s="135" t="s">
        <v>1930</v>
      </c>
      <c r="JW44" s="16"/>
      <c r="JX44" s="16"/>
      <c r="JY44" s="16"/>
      <c r="JZ44" s="16"/>
      <c r="KA44" s="16"/>
      <c r="KB44" s="25"/>
      <c r="KC44" s="134" t="s">
        <v>1931</v>
      </c>
      <c r="KD44" s="16"/>
      <c r="KE44" s="16"/>
      <c r="KF44" s="16"/>
      <c r="KG44" s="16"/>
      <c r="KH44" s="16"/>
      <c r="KI44" s="16"/>
      <c r="KJ44" s="16"/>
      <c r="KK44" s="16"/>
      <c r="KL44" s="16"/>
      <c r="KM44" s="16"/>
      <c r="KN44" s="16"/>
      <c r="KO44" s="16"/>
      <c r="KP44" s="25"/>
      <c r="KQ44" s="108"/>
      <c r="KR44" s="16"/>
      <c r="KS44" s="16"/>
      <c r="KT44" s="16"/>
      <c r="KU44" s="16"/>
      <c r="KV44" s="16"/>
      <c r="KW44" s="25"/>
      <c r="KX44" s="106" t="s">
        <v>1932</v>
      </c>
      <c r="KY44" s="16"/>
      <c r="KZ44" s="16"/>
      <c r="LA44" s="16"/>
      <c r="LB44" s="16"/>
      <c r="LC44" s="16"/>
      <c r="LD44" s="25"/>
      <c r="LE44" s="106"/>
      <c r="LF44" s="16"/>
      <c r="LG44" s="16"/>
      <c r="LH44" s="16"/>
      <c r="LI44" s="16"/>
      <c r="LJ44" s="16"/>
      <c r="LK44" s="25"/>
      <c r="LL44" s="106" t="s">
        <v>1934</v>
      </c>
      <c r="LM44" s="16"/>
      <c r="LN44" s="16"/>
      <c r="LO44" s="16"/>
      <c r="LP44" s="16"/>
      <c r="LQ44" s="16"/>
      <c r="LR44" s="25"/>
      <c r="LS44" s="135" t="s">
        <v>1935</v>
      </c>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25"/>
      <c r="NB44" s="399"/>
      <c r="NC44" s="235"/>
      <c r="ND44" s="270"/>
      <c r="NE44" s="270"/>
      <c r="NF44" s="270"/>
      <c r="NG44" s="270"/>
      <c r="NH44" s="270"/>
      <c r="NI44" s="270"/>
      <c r="NJ44" s="270"/>
      <c r="NK44" s="270"/>
      <c r="NL44" s="270"/>
      <c r="NM44" s="270"/>
      <c r="NN44" s="270"/>
      <c r="NO44" s="270"/>
      <c r="NP44" s="270"/>
      <c r="NQ44" s="270"/>
      <c r="NR44" s="270"/>
      <c r="NS44" s="270"/>
      <c r="NT44" s="270"/>
      <c r="NU44" s="270"/>
      <c r="NV44" s="270"/>
      <c r="NW44" s="270"/>
      <c r="NX44" s="270"/>
      <c r="NY44" s="270"/>
      <c r="NZ44" s="270"/>
      <c r="OA44" s="270"/>
      <c r="OB44" s="270"/>
      <c r="OC44" s="270"/>
      <c r="OD44" s="270"/>
      <c r="OE44" s="270"/>
      <c r="OF44" s="270"/>
      <c r="OG44" s="270"/>
      <c r="OH44" s="270"/>
      <c r="OI44" s="270"/>
      <c r="OJ44" s="270"/>
      <c r="OK44" s="270"/>
      <c r="OL44" s="270"/>
      <c r="OM44" s="270"/>
      <c r="ON44" s="270"/>
      <c r="OO44" s="270"/>
      <c r="OP44" s="270"/>
      <c r="OQ44" s="270"/>
      <c r="OR44" s="270"/>
      <c r="OS44" s="270"/>
      <c r="OT44" s="270"/>
      <c r="OU44" s="270"/>
      <c r="OV44" s="270"/>
      <c r="OW44" s="270"/>
      <c r="OX44" s="270"/>
      <c r="OY44" s="270"/>
      <c r="OZ44" s="270"/>
      <c r="PA44" s="270"/>
      <c r="PB44" s="270"/>
      <c r="PC44" s="270"/>
      <c r="PD44" s="270"/>
      <c r="PE44" s="270"/>
      <c r="PF44" s="270"/>
      <c r="PG44" s="270"/>
      <c r="PH44" s="270"/>
      <c r="PI44" s="270"/>
      <c r="PJ44" s="270"/>
      <c r="PK44" s="270"/>
      <c r="PL44" s="270"/>
      <c r="PM44" s="270"/>
      <c r="PN44" s="270"/>
      <c r="PO44" s="270"/>
      <c r="PP44" s="270"/>
      <c r="PQ44" s="270"/>
      <c r="PR44" s="270"/>
      <c r="PS44" s="270"/>
      <c r="PT44" s="270"/>
      <c r="PU44" s="270"/>
      <c r="PV44" s="270"/>
      <c r="PW44" s="270"/>
      <c r="PX44" s="270"/>
      <c r="PY44" s="270"/>
      <c r="PZ44" s="270"/>
      <c r="QA44" s="270"/>
      <c r="QB44" s="270"/>
      <c r="QC44" s="270"/>
      <c r="QD44" s="270"/>
      <c r="QE44" s="270"/>
      <c r="QF44" s="270"/>
      <c r="QG44" s="270"/>
      <c r="QH44" s="270"/>
      <c r="QI44" s="270"/>
      <c r="QJ44" s="270"/>
      <c r="QK44" s="270"/>
      <c r="QL44" s="270"/>
      <c r="QM44" s="270"/>
      <c r="QN44" s="270"/>
      <c r="QO44" s="270"/>
      <c r="QP44" s="270"/>
      <c r="QQ44" s="270"/>
      <c r="QR44" s="270"/>
      <c r="QS44" s="270"/>
      <c r="QT44" s="270"/>
      <c r="QU44" s="270"/>
      <c r="QV44" s="270"/>
      <c r="QW44" s="270"/>
      <c r="QX44" s="270"/>
      <c r="QY44" s="270"/>
      <c r="QZ44" s="270"/>
      <c r="RA44" s="270"/>
      <c r="RB44" s="270"/>
      <c r="RC44" s="270"/>
      <c r="RD44" s="270"/>
      <c r="RE44" s="270"/>
      <c r="RF44" s="270"/>
      <c r="RG44" s="270"/>
      <c r="RH44" s="270"/>
      <c r="RI44" s="270"/>
      <c r="RJ44" s="270"/>
      <c r="RK44" s="270"/>
      <c r="RL44" s="270"/>
      <c r="RM44" s="270"/>
      <c r="RN44" s="270"/>
      <c r="RO44" s="270"/>
      <c r="RP44" s="270"/>
      <c r="RQ44" s="270"/>
      <c r="RR44" s="270"/>
      <c r="RS44" s="270"/>
      <c r="RT44" s="270"/>
      <c r="RU44" s="270"/>
      <c r="RV44" s="270"/>
      <c r="RW44" s="270"/>
      <c r="RX44" s="270"/>
      <c r="RY44" s="270"/>
      <c r="RZ44" s="270"/>
      <c r="SA44" s="270"/>
      <c r="SB44" s="270"/>
      <c r="SC44" s="270"/>
      <c r="SD44" s="270"/>
      <c r="SE44" s="270"/>
      <c r="SF44" s="270"/>
      <c r="SG44" s="270"/>
      <c r="SH44" s="270"/>
      <c r="SI44" s="270"/>
      <c r="SJ44" s="270"/>
      <c r="SK44" s="270"/>
      <c r="SL44" s="270"/>
      <c r="SM44" s="270"/>
      <c r="SN44" s="270"/>
      <c r="SO44" s="270"/>
      <c r="SP44" s="270"/>
      <c r="SQ44" s="270"/>
      <c r="SR44" s="270"/>
      <c r="SS44" s="270"/>
      <c r="ST44" s="270"/>
      <c r="SU44" s="270"/>
      <c r="SV44" s="270"/>
      <c r="SW44" s="270"/>
      <c r="SX44" s="270"/>
      <c r="SY44" s="270"/>
      <c r="SZ44" s="270"/>
      <c r="TA44" s="270"/>
      <c r="TB44" s="270"/>
      <c r="TC44" s="270"/>
      <c r="TD44" s="270"/>
      <c r="TE44" s="270"/>
      <c r="TF44" s="270"/>
      <c r="TG44" s="270"/>
      <c r="TH44" s="270"/>
      <c r="TI44" s="270"/>
      <c r="TJ44" s="270"/>
      <c r="TK44" s="270"/>
      <c r="TL44" s="270"/>
      <c r="TM44" s="270"/>
      <c r="TN44" s="270"/>
      <c r="TO44" s="270"/>
      <c r="TP44" s="270"/>
      <c r="TQ44" s="270"/>
      <c r="TR44" s="270"/>
      <c r="TS44" s="270"/>
      <c r="TT44" s="270"/>
      <c r="TU44" s="270"/>
      <c r="TV44" s="270"/>
      <c r="TW44" s="270"/>
      <c r="TX44" s="270"/>
      <c r="TY44" s="270"/>
      <c r="TZ44" s="270"/>
      <c r="UA44" s="270"/>
      <c r="UB44" s="270"/>
      <c r="UC44" s="270"/>
      <c r="UD44" s="270"/>
      <c r="UE44" s="270"/>
      <c r="UF44" s="270"/>
      <c r="UG44" s="270"/>
      <c r="UH44" s="270"/>
      <c r="UI44" s="270"/>
      <c r="UJ44" s="270"/>
      <c r="UK44" s="270"/>
      <c r="UL44" s="270"/>
      <c r="UM44" s="270"/>
      <c r="UN44" s="270"/>
      <c r="UO44" s="270"/>
      <c r="UP44" s="270"/>
      <c r="UQ44" s="270"/>
      <c r="UR44" s="270"/>
      <c r="US44" s="270"/>
      <c r="UT44" s="270"/>
      <c r="UU44" s="270"/>
      <c r="UV44" s="270"/>
      <c r="UW44" s="270"/>
      <c r="UX44" s="270"/>
      <c r="UY44" s="270"/>
      <c r="UZ44" s="270"/>
      <c r="VA44" s="270"/>
      <c r="VB44" s="270"/>
      <c r="VC44" s="270"/>
      <c r="VD44" s="270"/>
      <c r="VE44" s="270"/>
      <c r="VF44" s="270"/>
      <c r="VG44" s="270"/>
      <c r="VH44" s="270"/>
      <c r="VI44" s="270"/>
      <c r="VJ44" s="270"/>
      <c r="VK44" s="270"/>
      <c r="VL44" s="270"/>
      <c r="VM44" s="270"/>
      <c r="VN44" s="270"/>
      <c r="VO44" s="270"/>
      <c r="VP44" s="270"/>
      <c r="VQ44" s="270"/>
      <c r="VR44" s="270"/>
      <c r="VS44" s="270"/>
      <c r="VT44" s="270"/>
      <c r="VU44" s="270"/>
      <c r="VV44" s="270"/>
      <c r="VW44" s="270"/>
      <c r="VX44" s="270"/>
      <c r="VY44" s="270"/>
      <c r="VZ44" s="270"/>
      <c r="WA44" s="270"/>
      <c r="WB44" s="270"/>
      <c r="WC44" s="270"/>
      <c r="WD44" s="270"/>
      <c r="WE44" s="270"/>
      <c r="WF44" s="270"/>
      <c r="WG44" s="270"/>
      <c r="WH44" s="270"/>
      <c r="WI44" s="270"/>
      <c r="WJ44" s="270"/>
      <c r="WK44" s="270"/>
      <c r="WL44" s="270"/>
      <c r="WM44" s="270"/>
      <c r="WN44" s="270"/>
      <c r="WO44" s="270"/>
      <c r="WP44" s="270"/>
      <c r="WQ44" s="270"/>
      <c r="WR44" s="270"/>
      <c r="WS44" s="270"/>
      <c r="WT44" s="270"/>
      <c r="WU44" s="270"/>
      <c r="WV44" s="270"/>
      <c r="WW44" s="270"/>
      <c r="WX44" s="270"/>
      <c r="WY44" s="270"/>
      <c r="WZ44" s="270"/>
      <c r="XA44" s="270"/>
      <c r="XB44" s="270"/>
      <c r="XC44" s="270"/>
      <c r="XD44" s="270"/>
      <c r="XE44" s="270"/>
      <c r="XF44" s="270"/>
      <c r="XG44" s="270"/>
      <c r="XH44" s="270"/>
      <c r="XI44" s="270"/>
      <c r="XJ44" s="270"/>
      <c r="XK44" s="270"/>
      <c r="XL44" s="270"/>
      <c r="XM44" s="270"/>
      <c r="XN44" s="270"/>
      <c r="XO44" s="270"/>
      <c r="XP44" s="270"/>
      <c r="XQ44" s="270"/>
      <c r="XR44" s="270"/>
      <c r="XS44" s="270"/>
      <c r="XT44" s="270"/>
      <c r="XU44" s="270"/>
      <c r="XV44" s="270"/>
      <c r="XW44" s="270"/>
      <c r="XX44" s="270"/>
      <c r="XY44" s="270"/>
      <c r="XZ44" s="270"/>
      <c r="YA44" s="270"/>
      <c r="YB44" s="270"/>
      <c r="YC44" s="270"/>
      <c r="YD44" s="270"/>
      <c r="YE44" s="270"/>
      <c r="YF44" s="270"/>
      <c r="YG44" s="270"/>
      <c r="YH44" s="270"/>
      <c r="YI44" s="270"/>
      <c r="YJ44" s="270"/>
      <c r="YK44" s="270"/>
      <c r="YL44" s="270"/>
      <c r="YM44" s="270"/>
      <c r="YN44" s="270"/>
      <c r="YO44" s="270"/>
      <c r="YP44" s="270"/>
      <c r="YQ44" s="270"/>
      <c r="YR44" s="270"/>
      <c r="YS44" s="270"/>
      <c r="YT44" s="270"/>
      <c r="YU44" s="270"/>
      <c r="YV44" s="270"/>
      <c r="YW44" s="270"/>
      <c r="YX44" s="270"/>
      <c r="YY44" s="270"/>
      <c r="YZ44" s="270"/>
      <c r="ZA44" s="270"/>
      <c r="ZB44" s="270"/>
      <c r="ZC44" s="270"/>
      <c r="ZD44" s="270"/>
      <c r="ZE44" s="270"/>
    </row>
    <row r="45" ht="37.5" customHeight="1">
      <c r="A45" s="156"/>
      <c r="B45" s="134" t="s">
        <v>1936</v>
      </c>
      <c r="C45" s="16"/>
      <c r="D45" s="16"/>
      <c r="E45" s="16"/>
      <c r="F45" s="16"/>
      <c r="G45" s="16"/>
      <c r="H45" s="16"/>
      <c r="I45" s="16"/>
      <c r="J45" s="16"/>
      <c r="K45" s="16"/>
      <c r="L45" s="16"/>
      <c r="M45" s="16"/>
      <c r="N45" s="16"/>
      <c r="O45" s="25"/>
      <c r="P45" s="134" t="s">
        <v>1937</v>
      </c>
      <c r="Q45" s="16"/>
      <c r="R45" s="16"/>
      <c r="S45" s="16"/>
      <c r="T45" s="16"/>
      <c r="U45" s="16"/>
      <c r="V45" s="25"/>
      <c r="W45" s="108"/>
      <c r="X45" s="16"/>
      <c r="Y45" s="16"/>
      <c r="Z45" s="16"/>
      <c r="AA45" s="16"/>
      <c r="AB45" s="16"/>
      <c r="AC45" s="25"/>
      <c r="AD45" s="135" t="s">
        <v>1938</v>
      </c>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25"/>
      <c r="BM45" s="240"/>
      <c r="BN45" s="16"/>
      <c r="BO45" s="16"/>
      <c r="BP45" s="16"/>
      <c r="BQ45" s="16"/>
      <c r="BR45" s="16"/>
      <c r="BS45" s="25"/>
      <c r="BT45" s="106"/>
      <c r="BU45" s="16"/>
      <c r="BV45" s="16"/>
      <c r="BW45" s="16"/>
      <c r="BX45" s="16"/>
      <c r="BY45" s="16"/>
      <c r="BZ45" s="25"/>
      <c r="CA45" s="106"/>
      <c r="CB45" s="16"/>
      <c r="CC45" s="16"/>
      <c r="CD45" s="16"/>
      <c r="CE45" s="16"/>
      <c r="CF45" s="16"/>
      <c r="CG45" s="25"/>
      <c r="CH45" s="106"/>
      <c r="CI45" s="16"/>
      <c r="CJ45" s="16"/>
      <c r="CK45" s="16"/>
      <c r="CL45" s="16"/>
      <c r="CM45" s="16"/>
      <c r="CN45" s="25"/>
      <c r="CO45" s="106"/>
      <c r="CP45" s="16"/>
      <c r="CQ45" s="16"/>
      <c r="CR45" s="16"/>
      <c r="CS45" s="16"/>
      <c r="CT45" s="16"/>
      <c r="CU45" s="25"/>
      <c r="CV45" s="106"/>
      <c r="CW45" s="16"/>
      <c r="CX45" s="16"/>
      <c r="CY45" s="16"/>
      <c r="CZ45" s="16"/>
      <c r="DA45" s="16"/>
      <c r="DB45" s="25"/>
      <c r="DC45" s="106"/>
      <c r="DD45" s="16"/>
      <c r="DE45" s="16"/>
      <c r="DF45" s="16"/>
      <c r="DG45" s="16"/>
      <c r="DH45" s="16"/>
      <c r="DI45" s="25"/>
      <c r="DJ45" s="106"/>
      <c r="DK45" s="16"/>
      <c r="DL45" s="16"/>
      <c r="DM45" s="16"/>
      <c r="DN45" s="16"/>
      <c r="DO45" s="16"/>
      <c r="DP45" s="25"/>
      <c r="DQ45" s="106"/>
      <c r="DR45" s="16"/>
      <c r="DS45" s="16"/>
      <c r="DT45" s="16"/>
      <c r="DU45" s="16"/>
      <c r="DV45" s="16"/>
      <c r="DW45" s="25"/>
      <c r="DX45" s="106"/>
      <c r="DY45" s="16"/>
      <c r="DZ45" s="16"/>
      <c r="EA45" s="16"/>
      <c r="EB45" s="16"/>
      <c r="EC45" s="16"/>
      <c r="ED45" s="25"/>
      <c r="EE45" s="106"/>
      <c r="EF45" s="16"/>
      <c r="EG45" s="16"/>
      <c r="EH45" s="16"/>
      <c r="EI45" s="16"/>
      <c r="EJ45" s="16"/>
      <c r="EK45" s="25"/>
      <c r="EL45" s="108"/>
      <c r="EM45" s="16"/>
      <c r="EN45" s="16"/>
      <c r="EO45" s="16"/>
      <c r="EP45" s="16"/>
      <c r="EQ45" s="16"/>
      <c r="ER45" s="25"/>
      <c r="ES45" s="106"/>
      <c r="ET45" s="16"/>
      <c r="EU45" s="16"/>
      <c r="EV45" s="16"/>
      <c r="EW45" s="16"/>
      <c r="EX45" s="16"/>
      <c r="EY45" s="25"/>
      <c r="EZ45" s="108"/>
      <c r="FA45" s="16"/>
      <c r="FB45" s="16"/>
      <c r="FC45" s="16"/>
      <c r="FD45" s="16"/>
      <c r="FE45" s="16"/>
      <c r="FF45" s="25"/>
      <c r="FG45" s="108" t="s">
        <v>1941</v>
      </c>
      <c r="FH45" s="16"/>
      <c r="FI45" s="16"/>
      <c r="FJ45" s="16"/>
      <c r="FK45" s="16"/>
      <c r="FL45" s="16"/>
      <c r="FM45" s="16"/>
      <c r="FN45" s="16"/>
      <c r="FO45" s="16"/>
      <c r="FP45" s="16"/>
      <c r="FQ45" s="16"/>
      <c r="FR45" s="16"/>
      <c r="FS45" s="16"/>
      <c r="FT45" s="25"/>
      <c r="FU45" s="108"/>
      <c r="FV45" s="16"/>
      <c r="FW45" s="16"/>
      <c r="FX45" s="16"/>
      <c r="FY45" s="16"/>
      <c r="FZ45" s="16"/>
      <c r="GA45" s="25"/>
      <c r="GB45" s="108"/>
      <c r="GC45" s="16"/>
      <c r="GD45" s="16"/>
      <c r="GE45" s="16"/>
      <c r="GF45" s="16"/>
      <c r="GG45" s="16"/>
      <c r="GH45" s="25"/>
      <c r="GI45" s="388"/>
      <c r="GJ45" s="16"/>
      <c r="GK45" s="16"/>
      <c r="GL45" s="16"/>
      <c r="GM45" s="16"/>
      <c r="GN45" s="16"/>
      <c r="GO45" s="25"/>
      <c r="GP45" s="388"/>
      <c r="GQ45" s="16"/>
      <c r="GR45" s="16"/>
      <c r="GS45" s="16"/>
      <c r="GT45" s="16"/>
      <c r="GU45" s="16"/>
      <c r="GV45" s="25"/>
      <c r="GW45" s="191" t="s">
        <v>1942</v>
      </c>
      <c r="GX45" s="16"/>
      <c r="GY45" s="16"/>
      <c r="GZ45" s="16"/>
      <c r="HA45" s="16"/>
      <c r="HB45" s="16"/>
      <c r="HC45" s="25"/>
      <c r="HD45" s="134" t="s">
        <v>1944</v>
      </c>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25"/>
      <c r="IM45" s="108" t="s">
        <v>645</v>
      </c>
      <c r="IN45" s="16"/>
      <c r="IO45" s="16"/>
      <c r="IP45" s="16"/>
      <c r="IQ45" s="16"/>
      <c r="IR45" s="16"/>
      <c r="IS45" s="25"/>
      <c r="IT45" s="388"/>
      <c r="IU45" s="16"/>
      <c r="IV45" s="16"/>
      <c r="IW45" s="16"/>
      <c r="IX45" s="16"/>
      <c r="IY45" s="16"/>
      <c r="IZ45" s="25"/>
      <c r="JA45" s="135" t="s">
        <v>1946</v>
      </c>
      <c r="JB45" s="16"/>
      <c r="JC45" s="16"/>
      <c r="JD45" s="16"/>
      <c r="JE45" s="16"/>
      <c r="JF45" s="16"/>
      <c r="JG45" s="25"/>
      <c r="JH45" s="388"/>
      <c r="JI45" s="16"/>
      <c r="JJ45" s="16"/>
      <c r="JK45" s="16"/>
      <c r="JL45" s="16"/>
      <c r="JM45" s="16"/>
      <c r="JN45" s="25"/>
      <c r="JO45" s="406"/>
      <c r="JP45" s="16"/>
      <c r="JQ45" s="16"/>
      <c r="JR45" s="16"/>
      <c r="JS45" s="16"/>
      <c r="JT45" s="16"/>
      <c r="JU45" s="25"/>
      <c r="JV45" s="135" t="s">
        <v>1947</v>
      </c>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25"/>
      <c r="LE45" s="134" t="s">
        <v>1949</v>
      </c>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25"/>
      <c r="MG45" s="135" t="s">
        <v>1950</v>
      </c>
      <c r="MH45" s="16"/>
      <c r="MI45" s="16"/>
      <c r="MJ45" s="16"/>
      <c r="MK45" s="16"/>
      <c r="ML45" s="16"/>
      <c r="MM45" s="16"/>
      <c r="MN45" s="16"/>
      <c r="MO45" s="16"/>
      <c r="MP45" s="16"/>
      <c r="MQ45" s="16"/>
      <c r="MR45" s="16"/>
      <c r="MS45" s="16"/>
      <c r="MT45" s="16"/>
      <c r="MU45" s="16"/>
      <c r="MV45" s="16"/>
      <c r="MW45" s="16"/>
      <c r="MX45" s="16"/>
      <c r="MY45" s="16"/>
      <c r="MZ45" s="16"/>
      <c r="NA45" s="25"/>
      <c r="NB45" s="399"/>
      <c r="NC45" s="270"/>
      <c r="ND45" s="270"/>
      <c r="NE45" s="270"/>
      <c r="NF45" s="270"/>
      <c r="NG45" s="270"/>
      <c r="NH45" s="270"/>
      <c r="NI45" s="270"/>
      <c r="NJ45" s="270"/>
      <c r="NK45" s="270"/>
      <c r="NL45" s="270"/>
      <c r="NM45" s="270"/>
      <c r="NN45" s="270"/>
      <c r="NO45" s="270"/>
      <c r="NP45" s="270"/>
      <c r="NQ45" s="270"/>
      <c r="NR45" s="270"/>
      <c r="NS45" s="270"/>
      <c r="NT45" s="270"/>
      <c r="NU45" s="270"/>
      <c r="NV45" s="270"/>
      <c r="NW45" s="270"/>
      <c r="NX45" s="270"/>
      <c r="NY45" s="270"/>
      <c r="NZ45" s="270"/>
      <c r="OA45" s="270"/>
      <c r="OB45" s="270"/>
      <c r="OC45" s="270"/>
      <c r="OD45" s="270"/>
      <c r="OE45" s="270"/>
      <c r="OF45" s="270"/>
      <c r="OG45" s="270"/>
      <c r="OH45" s="270"/>
      <c r="OI45" s="270"/>
      <c r="OJ45" s="270"/>
      <c r="OK45" s="270"/>
      <c r="OL45" s="270"/>
      <c r="OM45" s="270"/>
      <c r="ON45" s="270"/>
      <c r="OO45" s="270"/>
      <c r="OP45" s="270"/>
      <c r="OQ45" s="270"/>
      <c r="OR45" s="270"/>
      <c r="OS45" s="270"/>
      <c r="OT45" s="270"/>
      <c r="OU45" s="270"/>
      <c r="OV45" s="270"/>
      <c r="OW45" s="270"/>
      <c r="OX45" s="270"/>
      <c r="OY45" s="270"/>
      <c r="OZ45" s="270"/>
      <c r="PA45" s="270"/>
      <c r="PB45" s="270"/>
      <c r="PC45" s="270"/>
      <c r="PD45" s="270"/>
      <c r="PE45" s="270"/>
      <c r="PF45" s="270"/>
      <c r="PG45" s="270"/>
      <c r="PH45" s="270"/>
      <c r="PI45" s="270"/>
      <c r="PJ45" s="270"/>
      <c r="PK45" s="270"/>
      <c r="PL45" s="270"/>
      <c r="PM45" s="270"/>
      <c r="PN45" s="270"/>
      <c r="PO45" s="270"/>
      <c r="PP45" s="270"/>
      <c r="PQ45" s="270"/>
      <c r="PR45" s="270"/>
      <c r="PS45" s="270"/>
      <c r="PT45" s="270"/>
      <c r="PU45" s="270"/>
      <c r="PV45" s="270"/>
      <c r="PW45" s="270"/>
      <c r="PX45" s="270"/>
      <c r="PY45" s="270"/>
      <c r="PZ45" s="270"/>
      <c r="QA45" s="270"/>
      <c r="QB45" s="270"/>
      <c r="QC45" s="270"/>
      <c r="QD45" s="270"/>
      <c r="QE45" s="270"/>
      <c r="QF45" s="270"/>
      <c r="QG45" s="270"/>
      <c r="QH45" s="270"/>
      <c r="QI45" s="270"/>
      <c r="QJ45" s="270"/>
      <c r="QK45" s="270"/>
      <c r="QL45" s="270"/>
      <c r="QM45" s="270"/>
      <c r="QN45" s="270"/>
      <c r="QO45" s="270"/>
      <c r="QP45" s="270"/>
      <c r="QQ45" s="270"/>
      <c r="QR45" s="270"/>
      <c r="QS45" s="270"/>
      <c r="QT45" s="270"/>
      <c r="QU45" s="270"/>
      <c r="QV45" s="270"/>
      <c r="QW45" s="270"/>
      <c r="QX45" s="270"/>
      <c r="QY45" s="270"/>
      <c r="QZ45" s="270"/>
      <c r="RA45" s="270"/>
      <c r="RB45" s="270"/>
      <c r="RC45" s="270"/>
      <c r="RD45" s="270"/>
      <c r="RE45" s="270"/>
      <c r="RF45" s="270"/>
      <c r="RG45" s="270"/>
      <c r="RH45" s="270"/>
      <c r="RI45" s="270"/>
      <c r="RJ45" s="270"/>
      <c r="RK45" s="270"/>
      <c r="RL45" s="270"/>
      <c r="RM45" s="270"/>
      <c r="RN45" s="270"/>
      <c r="RO45" s="270"/>
      <c r="RP45" s="270"/>
      <c r="RQ45" s="270"/>
      <c r="RR45" s="270"/>
      <c r="RS45" s="270"/>
      <c r="RT45" s="270"/>
      <c r="RU45" s="270"/>
      <c r="RV45" s="270"/>
      <c r="RW45" s="270"/>
      <c r="RX45" s="270"/>
      <c r="RY45" s="270"/>
      <c r="RZ45" s="270"/>
      <c r="SA45" s="270"/>
      <c r="SB45" s="270"/>
      <c r="SC45" s="270"/>
      <c r="SD45" s="270"/>
      <c r="SE45" s="270"/>
      <c r="SF45" s="270"/>
      <c r="SG45" s="270"/>
      <c r="SH45" s="270"/>
      <c r="SI45" s="270"/>
      <c r="SJ45" s="270"/>
      <c r="SK45" s="270"/>
      <c r="SL45" s="270"/>
      <c r="SM45" s="270"/>
      <c r="SN45" s="270"/>
      <c r="SO45" s="270"/>
      <c r="SP45" s="270"/>
      <c r="SQ45" s="270"/>
      <c r="SR45" s="270"/>
      <c r="SS45" s="270"/>
      <c r="ST45" s="270"/>
      <c r="SU45" s="270"/>
      <c r="SV45" s="270"/>
      <c r="SW45" s="270"/>
      <c r="SX45" s="270"/>
      <c r="SY45" s="270"/>
      <c r="SZ45" s="270"/>
      <c r="TA45" s="270"/>
      <c r="TB45" s="270"/>
      <c r="TC45" s="270"/>
      <c r="TD45" s="270"/>
      <c r="TE45" s="270"/>
      <c r="TF45" s="270"/>
      <c r="TG45" s="270"/>
      <c r="TH45" s="270"/>
      <c r="TI45" s="270"/>
      <c r="TJ45" s="270"/>
      <c r="TK45" s="270"/>
      <c r="TL45" s="270"/>
      <c r="TM45" s="270"/>
      <c r="TN45" s="270"/>
      <c r="TO45" s="270"/>
      <c r="TP45" s="270"/>
      <c r="TQ45" s="270"/>
      <c r="TR45" s="270"/>
      <c r="TS45" s="270"/>
      <c r="TT45" s="270"/>
      <c r="TU45" s="270"/>
      <c r="TV45" s="270"/>
      <c r="TW45" s="270"/>
      <c r="TX45" s="270"/>
      <c r="TY45" s="270"/>
      <c r="TZ45" s="270"/>
      <c r="UA45" s="270"/>
      <c r="UB45" s="270"/>
      <c r="UC45" s="270"/>
      <c r="UD45" s="270"/>
      <c r="UE45" s="270"/>
      <c r="UF45" s="270"/>
      <c r="UG45" s="270"/>
      <c r="UH45" s="270"/>
      <c r="UI45" s="270"/>
      <c r="UJ45" s="270"/>
      <c r="UK45" s="270"/>
      <c r="UL45" s="270"/>
      <c r="UM45" s="270"/>
      <c r="UN45" s="270"/>
      <c r="UO45" s="270"/>
      <c r="UP45" s="270"/>
      <c r="UQ45" s="270"/>
      <c r="UR45" s="270"/>
      <c r="US45" s="270"/>
      <c r="UT45" s="270"/>
      <c r="UU45" s="270"/>
      <c r="UV45" s="270"/>
      <c r="UW45" s="270"/>
      <c r="UX45" s="270"/>
      <c r="UY45" s="270"/>
      <c r="UZ45" s="270"/>
      <c r="VA45" s="270"/>
      <c r="VB45" s="270"/>
      <c r="VC45" s="270"/>
      <c r="VD45" s="270"/>
      <c r="VE45" s="270"/>
      <c r="VF45" s="270"/>
      <c r="VG45" s="270"/>
      <c r="VH45" s="270"/>
      <c r="VI45" s="270"/>
      <c r="VJ45" s="270"/>
      <c r="VK45" s="270"/>
      <c r="VL45" s="270"/>
      <c r="VM45" s="270"/>
      <c r="VN45" s="270"/>
      <c r="VO45" s="270"/>
      <c r="VP45" s="270"/>
      <c r="VQ45" s="270"/>
      <c r="VR45" s="270"/>
      <c r="VS45" s="270"/>
      <c r="VT45" s="270"/>
      <c r="VU45" s="270"/>
      <c r="VV45" s="270"/>
      <c r="VW45" s="270"/>
      <c r="VX45" s="270"/>
      <c r="VY45" s="270"/>
      <c r="VZ45" s="270"/>
      <c r="WA45" s="270"/>
      <c r="WB45" s="270"/>
      <c r="WC45" s="270"/>
      <c r="WD45" s="270"/>
      <c r="WE45" s="270"/>
      <c r="WF45" s="270"/>
      <c r="WG45" s="270"/>
      <c r="WH45" s="270"/>
      <c r="WI45" s="270"/>
      <c r="WJ45" s="270"/>
      <c r="WK45" s="270"/>
      <c r="WL45" s="270"/>
      <c r="WM45" s="270"/>
      <c r="WN45" s="270"/>
      <c r="WO45" s="270"/>
      <c r="WP45" s="270"/>
      <c r="WQ45" s="270"/>
      <c r="WR45" s="270"/>
      <c r="WS45" s="270"/>
      <c r="WT45" s="270"/>
      <c r="WU45" s="270"/>
      <c r="WV45" s="270"/>
      <c r="WW45" s="270"/>
      <c r="WX45" s="270"/>
      <c r="WY45" s="270"/>
      <c r="WZ45" s="270"/>
      <c r="XA45" s="270"/>
      <c r="XB45" s="270"/>
      <c r="XC45" s="270"/>
      <c r="XD45" s="270"/>
      <c r="XE45" s="270"/>
      <c r="XF45" s="270"/>
      <c r="XG45" s="270"/>
      <c r="XH45" s="270"/>
      <c r="XI45" s="270"/>
      <c r="XJ45" s="270"/>
      <c r="XK45" s="270"/>
      <c r="XL45" s="270"/>
      <c r="XM45" s="270"/>
      <c r="XN45" s="270"/>
      <c r="XO45" s="270"/>
      <c r="XP45" s="270"/>
      <c r="XQ45" s="270"/>
      <c r="XR45" s="270"/>
      <c r="XS45" s="270"/>
      <c r="XT45" s="270"/>
      <c r="XU45" s="270"/>
      <c r="XV45" s="270"/>
      <c r="XW45" s="270"/>
      <c r="XX45" s="270"/>
      <c r="XY45" s="270"/>
      <c r="XZ45" s="270"/>
      <c r="YA45" s="270"/>
      <c r="YB45" s="270"/>
      <c r="YC45" s="270"/>
      <c r="YD45" s="270"/>
      <c r="YE45" s="270"/>
      <c r="YF45" s="270"/>
      <c r="YG45" s="270"/>
      <c r="YH45" s="270"/>
      <c r="YI45" s="270"/>
      <c r="YJ45" s="270"/>
      <c r="YK45" s="270"/>
      <c r="YL45" s="270"/>
      <c r="YM45" s="270"/>
      <c r="YN45" s="270"/>
      <c r="YO45" s="270"/>
      <c r="YP45" s="270"/>
      <c r="YQ45" s="270"/>
      <c r="YR45" s="270"/>
      <c r="YS45" s="270"/>
      <c r="YT45" s="270"/>
      <c r="YU45" s="270"/>
      <c r="YV45" s="270"/>
      <c r="YW45" s="270"/>
      <c r="YX45" s="270"/>
      <c r="YY45" s="270"/>
      <c r="YZ45" s="270"/>
      <c r="ZA45" s="270"/>
      <c r="ZB45" s="270"/>
      <c r="ZC45" s="270"/>
      <c r="ZD45" s="270"/>
      <c r="ZE45" s="270"/>
    </row>
    <row r="46">
      <c r="A46" s="413"/>
      <c r="B46" s="414"/>
      <c r="C46" s="16"/>
      <c r="D46" s="16"/>
      <c r="E46" s="16"/>
      <c r="F46" s="16"/>
      <c r="G46" s="16"/>
      <c r="H46" s="25"/>
      <c r="I46" s="414"/>
      <c r="J46" s="16"/>
      <c r="K46" s="16"/>
      <c r="L46" s="16"/>
      <c r="M46" s="16"/>
      <c r="N46" s="16"/>
      <c r="O46" s="25"/>
      <c r="P46" s="414"/>
      <c r="Q46" s="16"/>
      <c r="R46" s="16"/>
      <c r="S46" s="16"/>
      <c r="T46" s="16"/>
      <c r="U46" s="16"/>
      <c r="V46" s="25"/>
      <c r="W46" s="414"/>
      <c r="X46" s="16"/>
      <c r="Y46" s="16"/>
      <c r="Z46" s="16"/>
      <c r="AA46" s="16"/>
      <c r="AB46" s="16"/>
      <c r="AC46" s="25"/>
      <c r="AD46" s="414"/>
      <c r="AE46" s="16"/>
      <c r="AF46" s="16"/>
      <c r="AG46" s="16"/>
      <c r="AH46" s="16"/>
      <c r="AI46" s="16"/>
      <c r="AJ46" s="25"/>
      <c r="AK46" s="414"/>
      <c r="AL46" s="16"/>
      <c r="AM46" s="16"/>
      <c r="AN46" s="16"/>
      <c r="AO46" s="16"/>
      <c r="AP46" s="16"/>
      <c r="AQ46" s="25"/>
      <c r="AR46" s="414"/>
      <c r="AS46" s="16"/>
      <c r="AT46" s="16"/>
      <c r="AU46" s="16"/>
      <c r="AV46" s="16"/>
      <c r="AW46" s="16"/>
      <c r="AX46" s="25"/>
      <c r="AY46" s="414"/>
      <c r="AZ46" s="16"/>
      <c r="BA46" s="16"/>
      <c r="BB46" s="16"/>
      <c r="BC46" s="16"/>
      <c r="BD46" s="16"/>
      <c r="BE46" s="25"/>
      <c r="BF46" s="414"/>
      <c r="BG46" s="16"/>
      <c r="BH46" s="16"/>
      <c r="BI46" s="16"/>
      <c r="BJ46" s="16"/>
      <c r="BK46" s="16"/>
      <c r="BL46" s="25"/>
      <c r="BM46" s="414"/>
      <c r="BN46" s="16"/>
      <c r="BO46" s="16"/>
      <c r="BP46" s="16"/>
      <c r="BQ46" s="16"/>
      <c r="BR46" s="16"/>
      <c r="BS46" s="25"/>
      <c r="BT46" s="414"/>
      <c r="BU46" s="16"/>
      <c r="BV46" s="16"/>
      <c r="BW46" s="16"/>
      <c r="BX46" s="16"/>
      <c r="BY46" s="16"/>
      <c r="BZ46" s="25"/>
      <c r="CA46" s="414"/>
      <c r="CB46" s="16"/>
      <c r="CC46" s="16"/>
      <c r="CD46" s="16"/>
      <c r="CE46" s="16"/>
      <c r="CF46" s="16"/>
      <c r="CG46" s="25"/>
      <c r="CH46" s="414"/>
      <c r="CI46" s="16"/>
      <c r="CJ46" s="16"/>
      <c r="CK46" s="16"/>
      <c r="CL46" s="16"/>
      <c r="CM46" s="16"/>
      <c r="CN46" s="25"/>
      <c r="CO46" s="414"/>
      <c r="CP46" s="16"/>
      <c r="CQ46" s="16"/>
      <c r="CR46" s="16"/>
      <c r="CS46" s="16"/>
      <c r="CT46" s="16"/>
      <c r="CU46" s="25"/>
      <c r="CV46" s="414"/>
      <c r="CW46" s="16"/>
      <c r="CX46" s="16"/>
      <c r="CY46" s="16"/>
      <c r="CZ46" s="16"/>
      <c r="DA46" s="16"/>
      <c r="DB46" s="25"/>
      <c r="DC46" s="414"/>
      <c r="DD46" s="16"/>
      <c r="DE46" s="16"/>
      <c r="DF46" s="16"/>
      <c r="DG46" s="16"/>
      <c r="DH46" s="16"/>
      <c r="DI46" s="25"/>
      <c r="DJ46" s="414"/>
      <c r="DK46" s="16"/>
      <c r="DL46" s="16"/>
      <c r="DM46" s="16"/>
      <c r="DN46" s="16"/>
      <c r="DO46" s="16"/>
      <c r="DP46" s="25"/>
      <c r="DQ46" s="414"/>
      <c r="DR46" s="16"/>
      <c r="DS46" s="16"/>
      <c r="DT46" s="16"/>
      <c r="DU46" s="16"/>
      <c r="DV46" s="16"/>
      <c r="DW46" s="25"/>
      <c r="DX46" s="414"/>
      <c r="DY46" s="16"/>
      <c r="DZ46" s="16"/>
      <c r="EA46" s="16"/>
      <c r="EB46" s="16"/>
      <c r="EC46" s="16"/>
      <c r="ED46" s="25"/>
      <c r="EE46" s="414"/>
      <c r="EF46" s="16"/>
      <c r="EG46" s="16"/>
      <c r="EH46" s="16"/>
      <c r="EI46" s="16"/>
      <c r="EJ46" s="16"/>
      <c r="EK46" s="25"/>
      <c r="EL46" s="414"/>
      <c r="EM46" s="16"/>
      <c r="EN46" s="16"/>
      <c r="EO46" s="16"/>
      <c r="EP46" s="16"/>
      <c r="EQ46" s="16"/>
      <c r="ER46" s="25"/>
      <c r="ES46" s="414"/>
      <c r="ET46" s="16"/>
      <c r="EU46" s="16"/>
      <c r="EV46" s="16"/>
      <c r="EW46" s="16"/>
      <c r="EX46" s="16"/>
      <c r="EY46" s="25"/>
      <c r="EZ46" s="414"/>
      <c r="FA46" s="16"/>
      <c r="FB46" s="16"/>
      <c r="FC46" s="16"/>
      <c r="FD46" s="16"/>
      <c r="FE46" s="16"/>
      <c r="FF46" s="25"/>
      <c r="FG46" s="414"/>
      <c r="FH46" s="16"/>
      <c r="FI46" s="16"/>
      <c r="FJ46" s="16"/>
      <c r="FK46" s="16"/>
      <c r="FL46" s="16"/>
      <c r="FM46" s="25"/>
      <c r="FN46" s="414"/>
      <c r="FO46" s="16"/>
      <c r="FP46" s="16"/>
      <c r="FQ46" s="16"/>
      <c r="FR46" s="16"/>
      <c r="FS46" s="16"/>
      <c r="FT46" s="25"/>
      <c r="FU46" s="414"/>
      <c r="FV46" s="16"/>
      <c r="FW46" s="16"/>
      <c r="FX46" s="16"/>
      <c r="FY46" s="16"/>
      <c r="FZ46" s="16"/>
      <c r="GA46" s="25"/>
      <c r="GB46" s="414"/>
      <c r="GC46" s="16"/>
      <c r="GD46" s="16"/>
      <c r="GE46" s="16"/>
      <c r="GF46" s="16"/>
      <c r="GG46" s="16"/>
      <c r="GH46" s="25"/>
      <c r="GI46" s="108"/>
      <c r="GJ46" s="16"/>
      <c r="GK46" s="16"/>
      <c r="GL46" s="16"/>
      <c r="GM46" s="16"/>
      <c r="GN46" s="16"/>
      <c r="GO46" s="25"/>
      <c r="GP46" s="146"/>
      <c r="GQ46" s="16"/>
      <c r="GR46" s="16"/>
      <c r="GS46" s="16"/>
      <c r="GT46" s="16"/>
      <c r="GU46" s="16"/>
      <c r="GV46" s="25"/>
      <c r="GW46" s="106"/>
      <c r="GX46" s="16"/>
      <c r="GY46" s="16"/>
      <c r="GZ46" s="16"/>
      <c r="HA46" s="16"/>
      <c r="HB46" s="16"/>
      <c r="HC46" s="25"/>
      <c r="HD46" s="197"/>
      <c r="HE46" s="16"/>
      <c r="HF46" s="16"/>
      <c r="HG46" s="16"/>
      <c r="HH46" s="16"/>
      <c r="HI46" s="16"/>
      <c r="HJ46" s="25"/>
      <c r="HK46" s="197"/>
      <c r="HL46" s="16"/>
      <c r="HM46" s="16"/>
      <c r="HN46" s="16"/>
      <c r="HO46" s="16"/>
      <c r="HP46" s="16"/>
      <c r="HQ46" s="25"/>
      <c r="HR46" s="106"/>
      <c r="HS46" s="16"/>
      <c r="HT46" s="16"/>
      <c r="HU46" s="16"/>
      <c r="HV46" s="16"/>
      <c r="HW46" s="16"/>
      <c r="HX46" s="25"/>
      <c r="HY46" s="106"/>
      <c r="HZ46" s="16"/>
      <c r="IA46" s="16"/>
      <c r="IB46" s="16"/>
      <c r="IC46" s="16"/>
      <c r="ID46" s="16"/>
      <c r="IE46" s="25"/>
      <c r="IF46" s="201"/>
      <c r="IG46" s="16"/>
      <c r="IH46" s="16"/>
      <c r="II46" s="16"/>
      <c r="IJ46" s="16"/>
      <c r="IK46" s="16"/>
      <c r="IL46" s="25"/>
      <c r="IM46" s="106"/>
      <c r="IN46" s="16"/>
      <c r="IO46" s="16"/>
      <c r="IP46" s="16"/>
      <c r="IQ46" s="16"/>
      <c r="IR46" s="16"/>
      <c r="IS46" s="25"/>
      <c r="IT46" s="106"/>
      <c r="IU46" s="16"/>
      <c r="IV46" s="16"/>
      <c r="IW46" s="16"/>
      <c r="IX46" s="16"/>
      <c r="IY46" s="16"/>
      <c r="IZ46" s="25"/>
      <c r="JA46" s="106"/>
      <c r="JB46" s="16"/>
      <c r="JC46" s="16"/>
      <c r="JD46" s="16"/>
      <c r="JE46" s="16"/>
      <c r="JF46" s="16"/>
      <c r="JG46" s="25"/>
      <c r="JH46" s="106"/>
      <c r="JI46" s="16"/>
      <c r="JJ46" s="16"/>
      <c r="JK46" s="16"/>
      <c r="JL46" s="16"/>
      <c r="JM46" s="16"/>
      <c r="JN46" s="25"/>
      <c r="JO46" s="415" t="s">
        <v>1953</v>
      </c>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25"/>
      <c r="NB46" s="416"/>
      <c r="NC46" s="417"/>
      <c r="ND46" s="417"/>
      <c r="NE46" s="417"/>
      <c r="NF46" s="417"/>
      <c r="NG46" s="417"/>
      <c r="NH46" s="417"/>
      <c r="NI46" s="417"/>
      <c r="NJ46" s="417"/>
      <c r="NK46" s="417"/>
      <c r="NL46" s="417"/>
      <c r="NM46" s="417"/>
      <c r="NN46" s="417"/>
      <c r="NO46" s="417"/>
      <c r="NP46" s="417"/>
      <c r="NQ46" s="417"/>
      <c r="NR46" s="417"/>
      <c r="NS46" s="417"/>
      <c r="NT46" s="417"/>
      <c r="NU46" s="417"/>
      <c r="NV46" s="417"/>
      <c r="NW46" s="417"/>
      <c r="NX46" s="417"/>
      <c r="NY46" s="417"/>
      <c r="NZ46" s="417"/>
      <c r="OA46" s="417"/>
      <c r="OB46" s="417"/>
      <c r="OC46" s="417"/>
      <c r="OD46" s="417"/>
      <c r="OE46" s="417"/>
      <c r="OF46" s="417"/>
      <c r="OG46" s="417"/>
      <c r="OH46" s="417"/>
      <c r="OI46" s="417"/>
      <c r="OJ46" s="417"/>
      <c r="OK46" s="417"/>
      <c r="OL46" s="417"/>
      <c r="OM46" s="417"/>
      <c r="ON46" s="417"/>
      <c r="OO46" s="417"/>
      <c r="OP46" s="417"/>
      <c r="OQ46" s="417"/>
      <c r="OR46" s="417"/>
      <c r="OS46" s="417"/>
      <c r="OT46" s="417"/>
      <c r="OU46" s="417"/>
      <c r="OV46" s="417"/>
      <c r="OW46" s="417"/>
      <c r="OX46" s="417"/>
      <c r="OY46" s="417"/>
      <c r="OZ46" s="417"/>
      <c r="PA46" s="417"/>
      <c r="PB46" s="417"/>
      <c r="PC46" s="417"/>
      <c r="PD46" s="417"/>
      <c r="PE46" s="417"/>
      <c r="PF46" s="417"/>
      <c r="PG46" s="417"/>
      <c r="PH46" s="417"/>
      <c r="PI46" s="417"/>
      <c r="PJ46" s="417"/>
      <c r="PK46" s="417"/>
      <c r="PL46" s="417"/>
      <c r="PM46" s="417"/>
      <c r="PN46" s="417"/>
      <c r="PO46" s="417"/>
      <c r="PP46" s="417"/>
      <c r="PQ46" s="417"/>
      <c r="PR46" s="417"/>
      <c r="PS46" s="417"/>
      <c r="PT46" s="417"/>
      <c r="PU46" s="417"/>
      <c r="PV46" s="417"/>
      <c r="PW46" s="417"/>
      <c r="PX46" s="417"/>
      <c r="PY46" s="417"/>
      <c r="PZ46" s="417"/>
      <c r="QA46" s="417"/>
      <c r="QB46" s="417"/>
      <c r="QC46" s="417"/>
      <c r="QD46" s="417"/>
      <c r="QE46" s="417"/>
      <c r="QF46" s="417"/>
      <c r="QG46" s="417"/>
      <c r="QH46" s="417"/>
      <c r="QI46" s="417"/>
      <c r="QJ46" s="417"/>
      <c r="QK46" s="417"/>
      <c r="QL46" s="417"/>
      <c r="QM46" s="417"/>
      <c r="QN46" s="417"/>
      <c r="QO46" s="417"/>
      <c r="QP46" s="417"/>
      <c r="QQ46" s="417"/>
      <c r="QR46" s="417"/>
      <c r="QS46" s="417"/>
      <c r="QT46" s="417"/>
      <c r="QU46" s="417"/>
      <c r="QV46" s="417"/>
      <c r="QW46" s="417"/>
      <c r="QX46" s="417"/>
      <c r="QY46" s="417"/>
      <c r="QZ46" s="417"/>
      <c r="RA46" s="417"/>
      <c r="RB46" s="417"/>
      <c r="RC46" s="417"/>
      <c r="RD46" s="417"/>
      <c r="RE46" s="417"/>
      <c r="RF46" s="417"/>
      <c r="RG46" s="417"/>
      <c r="RH46" s="417"/>
      <c r="RI46" s="417"/>
      <c r="RJ46" s="417"/>
      <c r="RK46" s="417"/>
      <c r="RL46" s="417"/>
      <c r="RM46" s="417"/>
      <c r="RN46" s="417"/>
      <c r="RO46" s="417"/>
      <c r="RP46" s="417"/>
      <c r="RQ46" s="417"/>
      <c r="RR46" s="417"/>
      <c r="RS46" s="417"/>
      <c r="RT46" s="417"/>
      <c r="RU46" s="417"/>
      <c r="RV46" s="417"/>
      <c r="RW46" s="417"/>
      <c r="RX46" s="417"/>
      <c r="RY46" s="417"/>
      <c r="RZ46" s="417"/>
      <c r="SA46" s="417"/>
      <c r="SB46" s="417"/>
      <c r="SC46" s="417"/>
      <c r="SD46" s="417"/>
      <c r="SE46" s="417"/>
      <c r="SF46" s="417"/>
      <c r="SG46" s="417"/>
      <c r="SH46" s="417"/>
      <c r="SI46" s="417"/>
      <c r="SJ46" s="417"/>
      <c r="SK46" s="417"/>
      <c r="SL46" s="417"/>
      <c r="SM46" s="417"/>
      <c r="SN46" s="417"/>
      <c r="SO46" s="417"/>
      <c r="SP46" s="417"/>
      <c r="SQ46" s="417"/>
      <c r="SR46" s="417"/>
      <c r="SS46" s="417"/>
      <c r="ST46" s="417"/>
      <c r="SU46" s="417"/>
      <c r="SV46" s="417"/>
      <c r="SW46" s="417"/>
      <c r="SX46" s="417"/>
      <c r="SY46" s="417"/>
      <c r="SZ46" s="417"/>
      <c r="TA46" s="417"/>
      <c r="TB46" s="417"/>
      <c r="TC46" s="417"/>
      <c r="TD46" s="417"/>
      <c r="TE46" s="417"/>
      <c r="TF46" s="417"/>
      <c r="TG46" s="417"/>
      <c r="TH46" s="417"/>
      <c r="TI46" s="417"/>
      <c r="TJ46" s="417"/>
      <c r="TK46" s="417"/>
      <c r="TL46" s="417"/>
      <c r="TM46" s="417"/>
      <c r="TN46" s="417"/>
      <c r="TO46" s="417"/>
      <c r="TP46" s="417"/>
      <c r="TQ46" s="417"/>
      <c r="TR46" s="417"/>
      <c r="TS46" s="417"/>
      <c r="TT46" s="417"/>
      <c r="TU46" s="417"/>
      <c r="TV46" s="417"/>
      <c r="TW46" s="417"/>
      <c r="TX46" s="417"/>
      <c r="TY46" s="417"/>
      <c r="TZ46" s="417"/>
      <c r="UA46" s="417"/>
      <c r="UB46" s="417"/>
      <c r="UC46" s="417"/>
      <c r="UD46" s="417"/>
      <c r="UE46" s="417"/>
      <c r="UF46" s="417"/>
      <c r="UG46" s="417"/>
      <c r="UH46" s="417"/>
      <c r="UI46" s="417"/>
      <c r="UJ46" s="417"/>
      <c r="UK46" s="417"/>
      <c r="UL46" s="417"/>
      <c r="UM46" s="417"/>
      <c r="UN46" s="417"/>
      <c r="UO46" s="417"/>
      <c r="UP46" s="417"/>
      <c r="UQ46" s="417"/>
      <c r="UR46" s="417"/>
      <c r="US46" s="417"/>
      <c r="UT46" s="417"/>
      <c r="UU46" s="417"/>
      <c r="UV46" s="417"/>
      <c r="UW46" s="417"/>
      <c r="UX46" s="417"/>
      <c r="UY46" s="417"/>
      <c r="UZ46" s="417"/>
      <c r="VA46" s="417"/>
      <c r="VB46" s="417"/>
      <c r="VC46" s="417"/>
      <c r="VD46" s="417"/>
      <c r="VE46" s="417"/>
      <c r="VF46" s="417"/>
      <c r="VG46" s="417"/>
      <c r="VH46" s="417"/>
      <c r="VI46" s="417"/>
      <c r="VJ46" s="417"/>
      <c r="VK46" s="417"/>
      <c r="VL46" s="417"/>
      <c r="VM46" s="417"/>
      <c r="VN46" s="417"/>
      <c r="VO46" s="417"/>
      <c r="VP46" s="417"/>
      <c r="VQ46" s="417"/>
      <c r="VR46" s="417"/>
      <c r="VS46" s="417"/>
      <c r="VT46" s="417"/>
      <c r="VU46" s="417"/>
      <c r="VV46" s="417"/>
      <c r="VW46" s="417"/>
      <c r="VX46" s="417"/>
      <c r="VY46" s="417"/>
      <c r="VZ46" s="417"/>
      <c r="WA46" s="417"/>
      <c r="WB46" s="417"/>
      <c r="WC46" s="417"/>
      <c r="WD46" s="417"/>
      <c r="WE46" s="417"/>
      <c r="WF46" s="417"/>
      <c r="WG46" s="417"/>
      <c r="WH46" s="417"/>
      <c r="WI46" s="417"/>
      <c r="WJ46" s="417"/>
      <c r="WK46" s="417"/>
      <c r="WL46" s="417"/>
      <c r="WM46" s="417"/>
      <c r="WN46" s="417"/>
      <c r="WO46" s="417"/>
      <c r="WP46" s="417"/>
      <c r="WQ46" s="417"/>
      <c r="WR46" s="417"/>
      <c r="WS46" s="417"/>
      <c r="WT46" s="417"/>
      <c r="WU46" s="417"/>
      <c r="WV46" s="417"/>
      <c r="WW46" s="417"/>
      <c r="WX46" s="417"/>
      <c r="WY46" s="417"/>
      <c r="WZ46" s="417"/>
      <c r="XA46" s="417"/>
      <c r="XB46" s="417"/>
      <c r="XC46" s="417"/>
      <c r="XD46" s="417"/>
      <c r="XE46" s="417"/>
      <c r="XF46" s="417"/>
      <c r="XG46" s="417"/>
      <c r="XH46" s="417"/>
      <c r="XI46" s="417"/>
      <c r="XJ46" s="417"/>
      <c r="XK46" s="417"/>
      <c r="XL46" s="417"/>
      <c r="XM46" s="417"/>
      <c r="XN46" s="417"/>
      <c r="XO46" s="417"/>
      <c r="XP46" s="417"/>
      <c r="XQ46" s="417"/>
      <c r="XR46" s="417"/>
      <c r="XS46" s="417"/>
      <c r="XT46" s="417"/>
      <c r="XU46" s="417"/>
      <c r="XV46" s="417"/>
      <c r="XW46" s="417"/>
      <c r="XX46" s="417"/>
      <c r="XY46" s="417"/>
      <c r="XZ46" s="417"/>
      <c r="YA46" s="417"/>
      <c r="YB46" s="417"/>
      <c r="YC46" s="417"/>
      <c r="YD46" s="417"/>
      <c r="YE46" s="417"/>
      <c r="YF46" s="417"/>
      <c r="YG46" s="417"/>
      <c r="YH46" s="417"/>
      <c r="YI46" s="417"/>
      <c r="YJ46" s="417"/>
      <c r="YK46" s="417"/>
      <c r="YL46" s="417"/>
      <c r="YM46" s="417"/>
      <c r="YN46" s="417"/>
      <c r="YO46" s="417"/>
      <c r="YP46" s="417"/>
      <c r="YQ46" s="417"/>
      <c r="YR46" s="417"/>
      <c r="YS46" s="417"/>
      <c r="YT46" s="417"/>
      <c r="YU46" s="417"/>
      <c r="YV46" s="417"/>
      <c r="YW46" s="417"/>
      <c r="YX46" s="417"/>
      <c r="YY46" s="417"/>
      <c r="YZ46" s="417"/>
      <c r="ZA46" s="417"/>
      <c r="ZB46" s="417"/>
      <c r="ZC46" s="417"/>
      <c r="ZD46" s="417"/>
      <c r="ZE46" s="417"/>
    </row>
    <row r="47">
      <c r="A47" s="413"/>
      <c r="B47" s="414"/>
      <c r="C47" s="16"/>
      <c r="D47" s="16"/>
      <c r="E47" s="16"/>
      <c r="F47" s="16"/>
      <c r="G47" s="16"/>
      <c r="H47" s="25"/>
      <c r="I47" s="414"/>
      <c r="J47" s="16"/>
      <c r="K47" s="16"/>
      <c r="L47" s="16"/>
      <c r="M47" s="16"/>
      <c r="N47" s="16"/>
      <c r="O47" s="25"/>
      <c r="P47" s="414"/>
      <c r="Q47" s="16"/>
      <c r="R47" s="16"/>
      <c r="S47" s="16"/>
      <c r="T47" s="16"/>
      <c r="U47" s="16"/>
      <c r="V47" s="25"/>
      <c r="W47" s="414"/>
      <c r="X47" s="16"/>
      <c r="Y47" s="16"/>
      <c r="Z47" s="16"/>
      <c r="AA47" s="16"/>
      <c r="AB47" s="16"/>
      <c r="AC47" s="25"/>
      <c r="AD47" s="414"/>
      <c r="AE47" s="16"/>
      <c r="AF47" s="16"/>
      <c r="AG47" s="16"/>
      <c r="AH47" s="16"/>
      <c r="AI47" s="16"/>
      <c r="AJ47" s="25"/>
      <c r="AK47" s="414"/>
      <c r="AL47" s="16"/>
      <c r="AM47" s="16"/>
      <c r="AN47" s="16"/>
      <c r="AO47" s="16"/>
      <c r="AP47" s="16"/>
      <c r="AQ47" s="25"/>
      <c r="AR47" s="414"/>
      <c r="AS47" s="16"/>
      <c r="AT47" s="16"/>
      <c r="AU47" s="16"/>
      <c r="AV47" s="16"/>
      <c r="AW47" s="16"/>
      <c r="AX47" s="25"/>
      <c r="AY47" s="414"/>
      <c r="AZ47" s="16"/>
      <c r="BA47" s="16"/>
      <c r="BB47" s="16"/>
      <c r="BC47" s="16"/>
      <c r="BD47" s="16"/>
      <c r="BE47" s="25"/>
      <c r="BF47" s="414"/>
      <c r="BG47" s="16"/>
      <c r="BH47" s="16"/>
      <c r="BI47" s="16"/>
      <c r="BJ47" s="16"/>
      <c r="BK47" s="16"/>
      <c r="BL47" s="25"/>
      <c r="BM47" s="414"/>
      <c r="BN47" s="16"/>
      <c r="BO47" s="16"/>
      <c r="BP47" s="16"/>
      <c r="BQ47" s="16"/>
      <c r="BR47" s="16"/>
      <c r="BS47" s="25"/>
      <c r="BT47" s="414"/>
      <c r="BU47" s="16"/>
      <c r="BV47" s="16"/>
      <c r="BW47" s="16"/>
      <c r="BX47" s="16"/>
      <c r="BY47" s="16"/>
      <c r="BZ47" s="25"/>
      <c r="CA47" s="414"/>
      <c r="CB47" s="16"/>
      <c r="CC47" s="16"/>
      <c r="CD47" s="16"/>
      <c r="CE47" s="16"/>
      <c r="CF47" s="16"/>
      <c r="CG47" s="25"/>
      <c r="CH47" s="414"/>
      <c r="CI47" s="16"/>
      <c r="CJ47" s="16"/>
      <c r="CK47" s="16"/>
      <c r="CL47" s="16"/>
      <c r="CM47" s="16"/>
      <c r="CN47" s="25"/>
      <c r="CO47" s="414"/>
      <c r="CP47" s="16"/>
      <c r="CQ47" s="16"/>
      <c r="CR47" s="16"/>
      <c r="CS47" s="16"/>
      <c r="CT47" s="16"/>
      <c r="CU47" s="25"/>
      <c r="CV47" s="414"/>
      <c r="CW47" s="16"/>
      <c r="CX47" s="16"/>
      <c r="CY47" s="16"/>
      <c r="CZ47" s="16"/>
      <c r="DA47" s="16"/>
      <c r="DB47" s="25"/>
      <c r="DC47" s="414"/>
      <c r="DD47" s="16"/>
      <c r="DE47" s="16"/>
      <c r="DF47" s="16"/>
      <c r="DG47" s="16"/>
      <c r="DH47" s="16"/>
      <c r="DI47" s="25"/>
      <c r="DJ47" s="414"/>
      <c r="DK47" s="16"/>
      <c r="DL47" s="16"/>
      <c r="DM47" s="16"/>
      <c r="DN47" s="16"/>
      <c r="DO47" s="16"/>
      <c r="DP47" s="25"/>
      <c r="DQ47" s="414"/>
      <c r="DR47" s="16"/>
      <c r="DS47" s="16"/>
      <c r="DT47" s="16"/>
      <c r="DU47" s="16"/>
      <c r="DV47" s="16"/>
      <c r="DW47" s="25"/>
      <c r="DX47" s="414"/>
      <c r="DY47" s="16"/>
      <c r="DZ47" s="16"/>
      <c r="EA47" s="16"/>
      <c r="EB47" s="16"/>
      <c r="EC47" s="16"/>
      <c r="ED47" s="25"/>
      <c r="EE47" s="414"/>
      <c r="EF47" s="16"/>
      <c r="EG47" s="16"/>
      <c r="EH47" s="16"/>
      <c r="EI47" s="16"/>
      <c r="EJ47" s="16"/>
      <c r="EK47" s="25"/>
      <c r="EL47" s="414"/>
      <c r="EM47" s="16"/>
      <c r="EN47" s="16"/>
      <c r="EO47" s="16"/>
      <c r="EP47" s="16"/>
      <c r="EQ47" s="16"/>
      <c r="ER47" s="25"/>
      <c r="ES47" s="414"/>
      <c r="ET47" s="16"/>
      <c r="EU47" s="16"/>
      <c r="EV47" s="16"/>
      <c r="EW47" s="16"/>
      <c r="EX47" s="16"/>
      <c r="EY47" s="25"/>
      <c r="EZ47" s="414"/>
      <c r="FA47" s="16"/>
      <c r="FB47" s="16"/>
      <c r="FC47" s="16"/>
      <c r="FD47" s="16"/>
      <c r="FE47" s="16"/>
      <c r="FF47" s="25"/>
      <c r="FG47" s="414"/>
      <c r="FH47" s="16"/>
      <c r="FI47" s="16"/>
      <c r="FJ47" s="16"/>
      <c r="FK47" s="16"/>
      <c r="FL47" s="16"/>
      <c r="FM47" s="25"/>
      <c r="FN47" s="414"/>
      <c r="FO47" s="16"/>
      <c r="FP47" s="16"/>
      <c r="FQ47" s="16"/>
      <c r="FR47" s="16"/>
      <c r="FS47" s="16"/>
      <c r="FT47" s="25"/>
      <c r="FU47" s="414"/>
      <c r="FV47" s="16"/>
      <c r="FW47" s="16"/>
      <c r="FX47" s="16"/>
      <c r="FY47" s="16"/>
      <c r="FZ47" s="16"/>
      <c r="GA47" s="25"/>
      <c r="GB47" s="414"/>
      <c r="GC47" s="16"/>
      <c r="GD47" s="16"/>
      <c r="GE47" s="16"/>
      <c r="GF47" s="16"/>
      <c r="GG47" s="16"/>
      <c r="GH47" s="25"/>
      <c r="GI47" s="108"/>
      <c r="GJ47" s="16"/>
      <c r="GK47" s="16"/>
      <c r="GL47" s="16"/>
      <c r="GM47" s="16"/>
      <c r="GN47" s="16"/>
      <c r="GO47" s="25"/>
      <c r="GP47" s="146"/>
      <c r="GQ47" s="16"/>
      <c r="GR47" s="16"/>
      <c r="GS47" s="16"/>
      <c r="GT47" s="16"/>
      <c r="GU47" s="16"/>
      <c r="GV47" s="25"/>
      <c r="GW47" s="106"/>
      <c r="GX47" s="16"/>
      <c r="GY47" s="16"/>
      <c r="GZ47" s="16"/>
      <c r="HA47" s="16"/>
      <c r="HB47" s="16"/>
      <c r="HC47" s="25"/>
      <c r="HD47" s="197"/>
      <c r="HE47" s="16"/>
      <c r="HF47" s="16"/>
      <c r="HG47" s="16"/>
      <c r="HH47" s="16"/>
      <c r="HI47" s="16"/>
      <c r="HJ47" s="25"/>
      <c r="HK47" s="197"/>
      <c r="HL47" s="16"/>
      <c r="HM47" s="16"/>
      <c r="HN47" s="16"/>
      <c r="HO47" s="16"/>
      <c r="HP47" s="16"/>
      <c r="HQ47" s="25"/>
      <c r="HR47" s="106"/>
      <c r="HS47" s="16"/>
      <c r="HT47" s="16"/>
      <c r="HU47" s="16"/>
      <c r="HV47" s="16"/>
      <c r="HW47" s="16"/>
      <c r="HX47" s="25"/>
      <c r="HY47" s="106"/>
      <c r="HZ47" s="16"/>
      <c r="IA47" s="16"/>
      <c r="IB47" s="16"/>
      <c r="IC47" s="16"/>
      <c r="ID47" s="16"/>
      <c r="IE47" s="25"/>
      <c r="IF47" s="201"/>
      <c r="IG47" s="16"/>
      <c r="IH47" s="16"/>
      <c r="II47" s="16"/>
      <c r="IJ47" s="16"/>
      <c r="IK47" s="16"/>
      <c r="IL47" s="25"/>
      <c r="IM47" s="106"/>
      <c r="IN47" s="16"/>
      <c r="IO47" s="16"/>
      <c r="IP47" s="16"/>
      <c r="IQ47" s="16"/>
      <c r="IR47" s="16"/>
      <c r="IS47" s="25"/>
      <c r="IT47" s="106"/>
      <c r="IU47" s="16"/>
      <c r="IV47" s="16"/>
      <c r="IW47" s="16"/>
      <c r="IX47" s="16"/>
      <c r="IY47" s="16"/>
      <c r="IZ47" s="25"/>
      <c r="JA47" s="106"/>
      <c r="JB47" s="16"/>
      <c r="JC47" s="16"/>
      <c r="JD47" s="16"/>
      <c r="JE47" s="16"/>
      <c r="JF47" s="16"/>
      <c r="JG47" s="25"/>
      <c r="JH47" s="106"/>
      <c r="JI47" s="16"/>
      <c r="JJ47" s="16"/>
      <c r="JK47" s="16"/>
      <c r="JL47" s="16"/>
      <c r="JM47" s="16"/>
      <c r="JN47" s="25"/>
      <c r="JO47" s="415" t="s">
        <v>1957</v>
      </c>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25"/>
      <c r="NB47" s="416"/>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QT47" s="417"/>
      <c r="QU47" s="417"/>
      <c r="QV47" s="417"/>
      <c r="QW47" s="417"/>
      <c r="QX47" s="417"/>
      <c r="QY47" s="417"/>
      <c r="QZ47" s="417"/>
      <c r="RA47" s="417"/>
      <c r="RB47" s="417"/>
      <c r="RC47" s="417"/>
      <c r="RD47" s="417"/>
      <c r="RE47" s="417"/>
      <c r="RF47" s="417"/>
      <c r="RG47" s="417"/>
      <c r="RH47" s="417"/>
      <c r="RI47" s="417"/>
      <c r="RJ47" s="417"/>
      <c r="RK47" s="417"/>
      <c r="RL47" s="417"/>
      <c r="RM47" s="417"/>
      <c r="RN47" s="417"/>
      <c r="RO47" s="417"/>
      <c r="RP47" s="417"/>
      <c r="RQ47" s="417"/>
      <c r="RR47" s="417"/>
      <c r="RS47" s="417"/>
      <c r="RT47" s="417"/>
      <c r="RU47" s="417"/>
      <c r="RV47" s="417"/>
      <c r="RW47" s="417"/>
      <c r="RX47" s="417"/>
      <c r="RY47" s="417"/>
      <c r="RZ47" s="417"/>
      <c r="SA47" s="417"/>
      <c r="SB47" s="417"/>
      <c r="SC47" s="417"/>
      <c r="SD47" s="417"/>
      <c r="SE47" s="417"/>
      <c r="SF47" s="417"/>
      <c r="SG47" s="417"/>
      <c r="SH47" s="417"/>
      <c r="SI47" s="417"/>
      <c r="SJ47" s="417"/>
      <c r="SK47" s="417"/>
      <c r="SL47" s="417"/>
      <c r="SM47" s="417"/>
      <c r="SN47" s="417"/>
      <c r="SO47" s="417"/>
      <c r="SP47" s="417"/>
      <c r="SQ47" s="417"/>
      <c r="SR47" s="417"/>
      <c r="SS47" s="417"/>
      <c r="ST47" s="417"/>
      <c r="SU47" s="417"/>
      <c r="SV47" s="417"/>
      <c r="SW47" s="417"/>
      <c r="SX47" s="417"/>
      <c r="SY47" s="417"/>
      <c r="SZ47" s="417"/>
      <c r="TA47" s="417"/>
      <c r="TB47" s="417"/>
      <c r="TC47" s="417"/>
      <c r="TD47" s="417"/>
      <c r="TE47" s="417"/>
      <c r="TF47" s="417"/>
      <c r="TG47" s="417"/>
      <c r="TH47" s="417"/>
      <c r="TI47" s="417"/>
      <c r="TJ47" s="417"/>
      <c r="TK47" s="417"/>
      <c r="TL47" s="417"/>
      <c r="TM47" s="417"/>
      <c r="TN47" s="417"/>
      <c r="TO47" s="417"/>
      <c r="TP47" s="417"/>
      <c r="TQ47" s="417"/>
      <c r="TR47" s="417"/>
      <c r="TS47" s="417"/>
      <c r="TT47" s="417"/>
      <c r="TU47" s="417"/>
      <c r="TV47" s="417"/>
      <c r="TW47" s="417"/>
      <c r="TX47" s="417"/>
      <c r="TY47" s="417"/>
      <c r="TZ47" s="417"/>
      <c r="UA47" s="417"/>
      <c r="UB47" s="417"/>
      <c r="UC47" s="417"/>
      <c r="UD47" s="417"/>
      <c r="UE47" s="417"/>
      <c r="UF47" s="417"/>
      <c r="UG47" s="417"/>
      <c r="UH47" s="417"/>
      <c r="UI47" s="417"/>
      <c r="UJ47" s="417"/>
      <c r="UK47" s="417"/>
      <c r="UL47" s="417"/>
      <c r="UM47" s="417"/>
      <c r="UN47" s="417"/>
      <c r="UO47" s="417"/>
      <c r="UP47" s="417"/>
      <c r="UQ47" s="417"/>
      <c r="UR47" s="417"/>
      <c r="US47" s="417"/>
      <c r="UT47" s="417"/>
      <c r="UU47" s="417"/>
      <c r="UV47" s="417"/>
      <c r="UW47" s="417"/>
      <c r="UX47" s="417"/>
      <c r="UY47" s="417"/>
      <c r="UZ47" s="417"/>
      <c r="VA47" s="417"/>
      <c r="VB47" s="417"/>
      <c r="VC47" s="417"/>
      <c r="VD47" s="417"/>
      <c r="VE47" s="417"/>
      <c r="VF47" s="417"/>
      <c r="VG47" s="417"/>
      <c r="VH47" s="417"/>
      <c r="VI47" s="417"/>
      <c r="VJ47" s="417"/>
      <c r="VK47" s="417"/>
      <c r="VL47" s="417"/>
      <c r="VM47" s="417"/>
      <c r="VN47" s="417"/>
      <c r="VO47" s="417"/>
      <c r="VP47" s="417"/>
      <c r="VQ47" s="417"/>
      <c r="VR47" s="417"/>
      <c r="VS47" s="417"/>
      <c r="VT47" s="417"/>
      <c r="VU47" s="417"/>
      <c r="VV47" s="417"/>
      <c r="VW47" s="417"/>
      <c r="VX47" s="417"/>
      <c r="VY47" s="417"/>
      <c r="VZ47" s="417"/>
      <c r="WA47" s="417"/>
      <c r="WB47" s="417"/>
      <c r="WC47" s="417"/>
      <c r="WD47" s="417"/>
      <c r="WE47" s="417"/>
      <c r="WF47" s="417"/>
      <c r="WG47" s="417"/>
      <c r="WH47" s="417"/>
      <c r="WI47" s="417"/>
      <c r="WJ47" s="417"/>
      <c r="WK47" s="417"/>
      <c r="WL47" s="417"/>
      <c r="WM47" s="417"/>
      <c r="WN47" s="417"/>
      <c r="WO47" s="417"/>
      <c r="WP47" s="417"/>
      <c r="WQ47" s="417"/>
      <c r="WR47" s="417"/>
      <c r="WS47" s="417"/>
      <c r="WT47" s="417"/>
      <c r="WU47" s="417"/>
      <c r="WV47" s="417"/>
      <c r="WW47" s="417"/>
      <c r="WX47" s="417"/>
      <c r="WY47" s="417"/>
      <c r="WZ47" s="417"/>
      <c r="XA47" s="417"/>
      <c r="XB47" s="417"/>
      <c r="XC47" s="417"/>
      <c r="XD47" s="417"/>
      <c r="XE47" s="417"/>
      <c r="XF47" s="417"/>
      <c r="XG47" s="417"/>
      <c r="XH47" s="417"/>
      <c r="XI47" s="417"/>
      <c r="XJ47" s="417"/>
      <c r="XK47" s="417"/>
      <c r="XL47" s="417"/>
      <c r="XM47" s="417"/>
      <c r="XN47" s="417"/>
      <c r="XO47" s="417"/>
      <c r="XP47" s="417"/>
      <c r="XQ47" s="417"/>
      <c r="XR47" s="417"/>
      <c r="XS47" s="417"/>
      <c r="XT47" s="417"/>
      <c r="XU47" s="417"/>
      <c r="XV47" s="417"/>
      <c r="XW47" s="417"/>
      <c r="XX47" s="417"/>
      <c r="XY47" s="417"/>
      <c r="XZ47" s="417"/>
      <c r="YA47" s="417"/>
      <c r="YB47" s="417"/>
      <c r="YC47" s="417"/>
      <c r="YD47" s="417"/>
      <c r="YE47" s="417"/>
      <c r="YF47" s="417"/>
      <c r="YG47" s="417"/>
      <c r="YH47" s="417"/>
      <c r="YI47" s="417"/>
      <c r="YJ47" s="417"/>
      <c r="YK47" s="417"/>
      <c r="YL47" s="417"/>
      <c r="YM47" s="417"/>
      <c r="YN47" s="417"/>
      <c r="YO47" s="417"/>
      <c r="YP47" s="417"/>
      <c r="YQ47" s="417"/>
      <c r="YR47" s="417"/>
      <c r="YS47" s="417"/>
      <c r="YT47" s="417"/>
      <c r="YU47" s="417"/>
      <c r="YV47" s="417"/>
      <c r="YW47" s="417"/>
      <c r="YX47" s="417"/>
      <c r="YY47" s="417"/>
      <c r="YZ47" s="417"/>
      <c r="ZA47" s="417"/>
      <c r="ZB47" s="417"/>
      <c r="ZC47" s="417"/>
      <c r="ZD47" s="417"/>
      <c r="ZE47" s="417"/>
    </row>
    <row r="48">
      <c r="A48" s="413"/>
      <c r="B48" s="414"/>
      <c r="C48" s="16"/>
      <c r="D48" s="16"/>
      <c r="E48" s="16"/>
      <c r="F48" s="16"/>
      <c r="G48" s="16"/>
      <c r="H48" s="25"/>
      <c r="I48" s="414"/>
      <c r="J48" s="16"/>
      <c r="K48" s="16"/>
      <c r="L48" s="16"/>
      <c r="M48" s="16"/>
      <c r="N48" s="16"/>
      <c r="O48" s="25"/>
      <c r="P48" s="414"/>
      <c r="Q48" s="16"/>
      <c r="R48" s="16"/>
      <c r="S48" s="16"/>
      <c r="T48" s="16"/>
      <c r="U48" s="16"/>
      <c r="V48" s="25"/>
      <c r="W48" s="414"/>
      <c r="X48" s="16"/>
      <c r="Y48" s="16"/>
      <c r="Z48" s="16"/>
      <c r="AA48" s="16"/>
      <c r="AB48" s="16"/>
      <c r="AC48" s="25"/>
      <c r="AD48" s="414"/>
      <c r="AE48" s="16"/>
      <c r="AF48" s="16"/>
      <c r="AG48" s="16"/>
      <c r="AH48" s="16"/>
      <c r="AI48" s="16"/>
      <c r="AJ48" s="25"/>
      <c r="AK48" s="414"/>
      <c r="AL48" s="16"/>
      <c r="AM48" s="16"/>
      <c r="AN48" s="16"/>
      <c r="AO48" s="16"/>
      <c r="AP48" s="16"/>
      <c r="AQ48" s="25"/>
      <c r="AR48" s="414"/>
      <c r="AS48" s="16"/>
      <c r="AT48" s="16"/>
      <c r="AU48" s="16"/>
      <c r="AV48" s="16"/>
      <c r="AW48" s="16"/>
      <c r="AX48" s="25"/>
      <c r="AY48" s="414"/>
      <c r="AZ48" s="16"/>
      <c r="BA48" s="16"/>
      <c r="BB48" s="16"/>
      <c r="BC48" s="16"/>
      <c r="BD48" s="16"/>
      <c r="BE48" s="25"/>
      <c r="BF48" s="414"/>
      <c r="BG48" s="16"/>
      <c r="BH48" s="16"/>
      <c r="BI48" s="16"/>
      <c r="BJ48" s="16"/>
      <c r="BK48" s="16"/>
      <c r="BL48" s="25"/>
      <c r="BM48" s="414"/>
      <c r="BN48" s="16"/>
      <c r="BO48" s="16"/>
      <c r="BP48" s="16"/>
      <c r="BQ48" s="16"/>
      <c r="BR48" s="16"/>
      <c r="BS48" s="25"/>
      <c r="BT48" s="414"/>
      <c r="BU48" s="16"/>
      <c r="BV48" s="16"/>
      <c r="BW48" s="16"/>
      <c r="BX48" s="16"/>
      <c r="BY48" s="16"/>
      <c r="BZ48" s="25"/>
      <c r="CA48" s="414"/>
      <c r="CB48" s="16"/>
      <c r="CC48" s="16"/>
      <c r="CD48" s="16"/>
      <c r="CE48" s="16"/>
      <c r="CF48" s="16"/>
      <c r="CG48" s="25"/>
      <c r="CH48" s="414"/>
      <c r="CI48" s="16"/>
      <c r="CJ48" s="16"/>
      <c r="CK48" s="16"/>
      <c r="CL48" s="16"/>
      <c r="CM48" s="16"/>
      <c r="CN48" s="25"/>
      <c r="CO48" s="414"/>
      <c r="CP48" s="16"/>
      <c r="CQ48" s="16"/>
      <c r="CR48" s="16"/>
      <c r="CS48" s="16"/>
      <c r="CT48" s="16"/>
      <c r="CU48" s="25"/>
      <c r="CV48" s="414"/>
      <c r="CW48" s="16"/>
      <c r="CX48" s="16"/>
      <c r="CY48" s="16"/>
      <c r="CZ48" s="16"/>
      <c r="DA48" s="16"/>
      <c r="DB48" s="25"/>
      <c r="DC48" s="414"/>
      <c r="DD48" s="16"/>
      <c r="DE48" s="16"/>
      <c r="DF48" s="16"/>
      <c r="DG48" s="16"/>
      <c r="DH48" s="16"/>
      <c r="DI48" s="25"/>
      <c r="DJ48" s="414"/>
      <c r="DK48" s="16"/>
      <c r="DL48" s="16"/>
      <c r="DM48" s="16"/>
      <c r="DN48" s="16"/>
      <c r="DO48" s="16"/>
      <c r="DP48" s="25"/>
      <c r="DQ48" s="414"/>
      <c r="DR48" s="16"/>
      <c r="DS48" s="16"/>
      <c r="DT48" s="16"/>
      <c r="DU48" s="16"/>
      <c r="DV48" s="16"/>
      <c r="DW48" s="25"/>
      <c r="DX48" s="414"/>
      <c r="DY48" s="16"/>
      <c r="DZ48" s="16"/>
      <c r="EA48" s="16"/>
      <c r="EB48" s="16"/>
      <c r="EC48" s="16"/>
      <c r="ED48" s="25"/>
      <c r="EE48" s="414"/>
      <c r="EF48" s="16"/>
      <c r="EG48" s="16"/>
      <c r="EH48" s="16"/>
      <c r="EI48" s="16"/>
      <c r="EJ48" s="16"/>
      <c r="EK48" s="25"/>
      <c r="EL48" s="414"/>
      <c r="EM48" s="16"/>
      <c r="EN48" s="16"/>
      <c r="EO48" s="16"/>
      <c r="EP48" s="16"/>
      <c r="EQ48" s="16"/>
      <c r="ER48" s="25"/>
      <c r="ES48" s="414"/>
      <c r="ET48" s="16"/>
      <c r="EU48" s="16"/>
      <c r="EV48" s="16"/>
      <c r="EW48" s="16"/>
      <c r="EX48" s="16"/>
      <c r="EY48" s="25"/>
      <c r="EZ48" s="414"/>
      <c r="FA48" s="16"/>
      <c r="FB48" s="16"/>
      <c r="FC48" s="16"/>
      <c r="FD48" s="16"/>
      <c r="FE48" s="16"/>
      <c r="FF48" s="25"/>
      <c r="FG48" s="414"/>
      <c r="FH48" s="16"/>
      <c r="FI48" s="16"/>
      <c r="FJ48" s="16"/>
      <c r="FK48" s="16"/>
      <c r="FL48" s="16"/>
      <c r="FM48" s="25"/>
      <c r="FN48" s="414"/>
      <c r="FO48" s="16"/>
      <c r="FP48" s="16"/>
      <c r="FQ48" s="16"/>
      <c r="FR48" s="16"/>
      <c r="FS48" s="16"/>
      <c r="FT48" s="25"/>
      <c r="FU48" s="414"/>
      <c r="FV48" s="16"/>
      <c r="FW48" s="16"/>
      <c r="FX48" s="16"/>
      <c r="FY48" s="16"/>
      <c r="FZ48" s="16"/>
      <c r="GA48" s="25"/>
      <c r="GB48" s="414"/>
      <c r="GC48" s="16"/>
      <c r="GD48" s="16"/>
      <c r="GE48" s="16"/>
      <c r="GF48" s="16"/>
      <c r="GG48" s="16"/>
      <c r="GH48" s="25"/>
      <c r="GI48" s="108"/>
      <c r="GJ48" s="16"/>
      <c r="GK48" s="16"/>
      <c r="GL48" s="16"/>
      <c r="GM48" s="16"/>
      <c r="GN48" s="16"/>
      <c r="GO48" s="25"/>
      <c r="GP48" s="146"/>
      <c r="GQ48" s="16"/>
      <c r="GR48" s="16"/>
      <c r="GS48" s="16"/>
      <c r="GT48" s="16"/>
      <c r="GU48" s="16"/>
      <c r="GV48" s="25"/>
      <c r="GW48" s="106"/>
      <c r="GX48" s="16"/>
      <c r="GY48" s="16"/>
      <c r="GZ48" s="16"/>
      <c r="HA48" s="16"/>
      <c r="HB48" s="16"/>
      <c r="HC48" s="25"/>
      <c r="HD48" s="197"/>
      <c r="HE48" s="16"/>
      <c r="HF48" s="16"/>
      <c r="HG48" s="16"/>
      <c r="HH48" s="16"/>
      <c r="HI48" s="16"/>
      <c r="HJ48" s="25"/>
      <c r="HK48" s="197"/>
      <c r="HL48" s="16"/>
      <c r="HM48" s="16"/>
      <c r="HN48" s="16"/>
      <c r="HO48" s="16"/>
      <c r="HP48" s="16"/>
      <c r="HQ48" s="25"/>
      <c r="HR48" s="106"/>
      <c r="HS48" s="16"/>
      <c r="HT48" s="16"/>
      <c r="HU48" s="16"/>
      <c r="HV48" s="16"/>
      <c r="HW48" s="16"/>
      <c r="HX48" s="25"/>
      <c r="HY48" s="106"/>
      <c r="HZ48" s="16"/>
      <c r="IA48" s="16"/>
      <c r="IB48" s="16"/>
      <c r="IC48" s="16"/>
      <c r="ID48" s="16"/>
      <c r="IE48" s="25"/>
      <c r="IF48" s="201"/>
      <c r="IG48" s="16"/>
      <c r="IH48" s="16"/>
      <c r="II48" s="16"/>
      <c r="IJ48" s="16"/>
      <c r="IK48" s="16"/>
      <c r="IL48" s="25"/>
      <c r="IM48" s="106"/>
      <c r="IN48" s="16"/>
      <c r="IO48" s="16"/>
      <c r="IP48" s="16"/>
      <c r="IQ48" s="16"/>
      <c r="IR48" s="16"/>
      <c r="IS48" s="25"/>
      <c r="IT48" s="106"/>
      <c r="IU48" s="16"/>
      <c r="IV48" s="16"/>
      <c r="IW48" s="16"/>
      <c r="IX48" s="16"/>
      <c r="IY48" s="16"/>
      <c r="IZ48" s="25"/>
      <c r="JA48" s="106"/>
      <c r="JB48" s="16"/>
      <c r="JC48" s="16"/>
      <c r="JD48" s="16"/>
      <c r="JE48" s="16"/>
      <c r="JF48" s="16"/>
      <c r="JG48" s="25"/>
      <c r="JH48" s="106"/>
      <c r="JI48" s="16"/>
      <c r="JJ48" s="16"/>
      <c r="JK48" s="16"/>
      <c r="JL48" s="16"/>
      <c r="JM48" s="16"/>
      <c r="JN48" s="25"/>
      <c r="JO48" s="106"/>
      <c r="JP48" s="16"/>
      <c r="JQ48" s="16"/>
      <c r="JR48" s="16"/>
      <c r="JS48" s="16"/>
      <c r="JT48" s="16"/>
      <c r="JU48" s="25"/>
      <c r="JV48" s="106"/>
      <c r="JW48" s="16"/>
      <c r="JX48" s="16"/>
      <c r="JY48" s="16"/>
      <c r="JZ48" s="16"/>
      <c r="KA48" s="16"/>
      <c r="KB48" s="25"/>
      <c r="KC48" s="106"/>
      <c r="KD48" s="16"/>
      <c r="KE48" s="16"/>
      <c r="KF48" s="16"/>
      <c r="KG48" s="16"/>
      <c r="KH48" s="16"/>
      <c r="KI48" s="25"/>
      <c r="KJ48" s="106"/>
      <c r="KK48" s="16"/>
      <c r="KL48" s="16"/>
      <c r="KM48" s="16"/>
      <c r="KN48" s="16"/>
      <c r="KO48" s="16"/>
      <c r="KP48" s="25"/>
      <c r="KQ48" s="106"/>
      <c r="KR48" s="16"/>
      <c r="KS48" s="16"/>
      <c r="KT48" s="16"/>
      <c r="KU48" s="16"/>
      <c r="KV48" s="16"/>
      <c r="KW48" s="25"/>
      <c r="KX48" s="106"/>
      <c r="KY48" s="16"/>
      <c r="KZ48" s="16"/>
      <c r="LA48" s="16"/>
      <c r="LB48" s="16"/>
      <c r="LC48" s="16"/>
      <c r="LD48" s="25"/>
      <c r="LE48" s="135" t="s">
        <v>1960</v>
      </c>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25"/>
      <c r="NB48" s="416"/>
      <c r="NC48" s="417"/>
      <c r="ND48" s="417"/>
      <c r="NE48" s="417"/>
      <c r="NF48" s="417"/>
      <c r="NG48" s="417"/>
      <c r="NH48" s="417"/>
      <c r="NI48" s="417"/>
      <c r="NJ48" s="417"/>
      <c r="NK48" s="417"/>
      <c r="NL48" s="417"/>
      <c r="NM48" s="417"/>
      <c r="NN48" s="417"/>
      <c r="NO48" s="417"/>
      <c r="NP48" s="417"/>
      <c r="NQ48" s="417"/>
      <c r="NR48" s="417"/>
      <c r="NS48" s="417"/>
      <c r="NT48" s="417"/>
      <c r="NU48" s="417"/>
      <c r="NV48" s="417"/>
      <c r="NW48" s="417"/>
      <c r="NX48" s="417"/>
      <c r="NY48" s="417"/>
      <c r="NZ48" s="417"/>
      <c r="OA48" s="417"/>
      <c r="OB48" s="417"/>
      <c r="OC48" s="417"/>
      <c r="OD48" s="417"/>
      <c r="OE48" s="417"/>
      <c r="OF48" s="417"/>
      <c r="OG48" s="417"/>
      <c r="OH48" s="417"/>
      <c r="OI48" s="417"/>
      <c r="OJ48" s="417"/>
      <c r="OK48" s="417"/>
      <c r="OL48" s="417"/>
      <c r="OM48" s="417"/>
      <c r="ON48" s="417"/>
      <c r="OO48" s="417"/>
      <c r="OP48" s="417"/>
      <c r="OQ48" s="417"/>
      <c r="OR48" s="417"/>
      <c r="OS48" s="417"/>
      <c r="OT48" s="417"/>
      <c r="OU48" s="417"/>
      <c r="OV48" s="417"/>
      <c r="OW48" s="417"/>
      <c r="OX48" s="417"/>
      <c r="OY48" s="417"/>
      <c r="OZ48" s="417"/>
      <c r="PA48" s="417"/>
      <c r="PB48" s="417"/>
      <c r="PC48" s="417"/>
      <c r="PD48" s="417"/>
      <c r="PE48" s="417"/>
      <c r="PF48" s="417"/>
      <c r="PG48" s="417"/>
      <c r="PH48" s="417"/>
      <c r="PI48" s="417"/>
      <c r="PJ48" s="417"/>
      <c r="PK48" s="417"/>
      <c r="PL48" s="417"/>
      <c r="PM48" s="417"/>
      <c r="PN48" s="417"/>
      <c r="PO48" s="417"/>
      <c r="PP48" s="417"/>
      <c r="PQ48" s="417"/>
      <c r="PR48" s="417"/>
      <c r="PS48" s="417"/>
      <c r="PT48" s="417"/>
      <c r="PU48" s="417"/>
      <c r="PV48" s="417"/>
      <c r="PW48" s="417"/>
      <c r="PX48" s="417"/>
      <c r="PY48" s="417"/>
      <c r="PZ48" s="417"/>
      <c r="QA48" s="417"/>
      <c r="QB48" s="417"/>
      <c r="QC48" s="417"/>
      <c r="QD48" s="417"/>
      <c r="QE48" s="417"/>
      <c r="QF48" s="417"/>
      <c r="QG48" s="417"/>
      <c r="QH48" s="417"/>
      <c r="QI48" s="417"/>
      <c r="QJ48" s="417"/>
      <c r="QK48" s="417"/>
      <c r="QL48" s="417"/>
      <c r="QM48" s="417"/>
      <c r="QN48" s="417"/>
      <c r="QO48" s="417"/>
      <c r="QP48" s="417"/>
      <c r="QQ48" s="417"/>
      <c r="QR48" s="417"/>
      <c r="QS48" s="417"/>
      <c r="QT48" s="417"/>
      <c r="QU48" s="417"/>
      <c r="QV48" s="417"/>
      <c r="QW48" s="417"/>
      <c r="QX48" s="417"/>
      <c r="QY48" s="417"/>
      <c r="QZ48" s="417"/>
      <c r="RA48" s="417"/>
      <c r="RB48" s="417"/>
      <c r="RC48" s="417"/>
      <c r="RD48" s="417"/>
      <c r="RE48" s="417"/>
      <c r="RF48" s="417"/>
      <c r="RG48" s="417"/>
      <c r="RH48" s="417"/>
      <c r="RI48" s="417"/>
      <c r="RJ48" s="417"/>
      <c r="RK48" s="417"/>
      <c r="RL48" s="417"/>
      <c r="RM48" s="417"/>
      <c r="RN48" s="417"/>
      <c r="RO48" s="417"/>
      <c r="RP48" s="417"/>
      <c r="RQ48" s="417"/>
      <c r="RR48" s="417"/>
      <c r="RS48" s="417"/>
      <c r="RT48" s="417"/>
      <c r="RU48" s="417"/>
      <c r="RV48" s="417"/>
      <c r="RW48" s="417"/>
      <c r="RX48" s="417"/>
      <c r="RY48" s="417"/>
      <c r="RZ48" s="417"/>
      <c r="SA48" s="417"/>
      <c r="SB48" s="417"/>
      <c r="SC48" s="417"/>
      <c r="SD48" s="417"/>
      <c r="SE48" s="417"/>
      <c r="SF48" s="417"/>
      <c r="SG48" s="417"/>
      <c r="SH48" s="417"/>
      <c r="SI48" s="417"/>
      <c r="SJ48" s="417"/>
      <c r="SK48" s="417"/>
      <c r="SL48" s="417"/>
      <c r="SM48" s="417"/>
      <c r="SN48" s="417"/>
      <c r="SO48" s="417"/>
      <c r="SP48" s="417"/>
      <c r="SQ48" s="417"/>
      <c r="SR48" s="417"/>
      <c r="SS48" s="417"/>
      <c r="ST48" s="417"/>
      <c r="SU48" s="417"/>
      <c r="SV48" s="417"/>
      <c r="SW48" s="417"/>
      <c r="SX48" s="417"/>
      <c r="SY48" s="417"/>
      <c r="SZ48" s="417"/>
      <c r="TA48" s="417"/>
      <c r="TB48" s="417"/>
      <c r="TC48" s="417"/>
      <c r="TD48" s="417"/>
      <c r="TE48" s="417"/>
      <c r="TF48" s="417"/>
      <c r="TG48" s="417"/>
      <c r="TH48" s="417"/>
      <c r="TI48" s="417"/>
      <c r="TJ48" s="417"/>
      <c r="TK48" s="417"/>
      <c r="TL48" s="417"/>
      <c r="TM48" s="417"/>
      <c r="TN48" s="417"/>
      <c r="TO48" s="417"/>
      <c r="TP48" s="417"/>
      <c r="TQ48" s="417"/>
      <c r="TR48" s="417"/>
      <c r="TS48" s="417"/>
      <c r="TT48" s="417"/>
      <c r="TU48" s="417"/>
      <c r="TV48" s="417"/>
      <c r="TW48" s="417"/>
      <c r="TX48" s="417"/>
      <c r="TY48" s="417"/>
      <c r="TZ48" s="417"/>
      <c r="UA48" s="417"/>
      <c r="UB48" s="417"/>
      <c r="UC48" s="417"/>
      <c r="UD48" s="417"/>
      <c r="UE48" s="417"/>
      <c r="UF48" s="417"/>
      <c r="UG48" s="417"/>
      <c r="UH48" s="417"/>
      <c r="UI48" s="417"/>
      <c r="UJ48" s="417"/>
      <c r="UK48" s="417"/>
      <c r="UL48" s="417"/>
      <c r="UM48" s="417"/>
      <c r="UN48" s="417"/>
      <c r="UO48" s="417"/>
      <c r="UP48" s="417"/>
      <c r="UQ48" s="417"/>
      <c r="UR48" s="417"/>
      <c r="US48" s="417"/>
      <c r="UT48" s="417"/>
      <c r="UU48" s="417"/>
      <c r="UV48" s="417"/>
      <c r="UW48" s="417"/>
      <c r="UX48" s="417"/>
      <c r="UY48" s="417"/>
      <c r="UZ48" s="417"/>
      <c r="VA48" s="417"/>
      <c r="VB48" s="417"/>
      <c r="VC48" s="417"/>
      <c r="VD48" s="417"/>
      <c r="VE48" s="417"/>
      <c r="VF48" s="417"/>
      <c r="VG48" s="417"/>
      <c r="VH48" s="417"/>
      <c r="VI48" s="417"/>
      <c r="VJ48" s="417"/>
      <c r="VK48" s="417"/>
      <c r="VL48" s="417"/>
      <c r="VM48" s="417"/>
      <c r="VN48" s="417"/>
      <c r="VO48" s="417"/>
      <c r="VP48" s="417"/>
      <c r="VQ48" s="417"/>
      <c r="VR48" s="417"/>
      <c r="VS48" s="417"/>
      <c r="VT48" s="417"/>
      <c r="VU48" s="417"/>
      <c r="VV48" s="417"/>
      <c r="VW48" s="417"/>
      <c r="VX48" s="417"/>
      <c r="VY48" s="417"/>
      <c r="VZ48" s="417"/>
      <c r="WA48" s="417"/>
      <c r="WB48" s="417"/>
      <c r="WC48" s="417"/>
      <c r="WD48" s="417"/>
      <c r="WE48" s="417"/>
      <c r="WF48" s="417"/>
      <c r="WG48" s="417"/>
      <c r="WH48" s="417"/>
      <c r="WI48" s="417"/>
      <c r="WJ48" s="417"/>
      <c r="WK48" s="417"/>
      <c r="WL48" s="417"/>
      <c r="WM48" s="417"/>
      <c r="WN48" s="417"/>
      <c r="WO48" s="417"/>
      <c r="WP48" s="417"/>
      <c r="WQ48" s="417"/>
      <c r="WR48" s="417"/>
      <c r="WS48" s="417"/>
      <c r="WT48" s="417"/>
      <c r="WU48" s="417"/>
      <c r="WV48" s="417"/>
      <c r="WW48" s="417"/>
      <c r="WX48" s="417"/>
      <c r="WY48" s="417"/>
      <c r="WZ48" s="417"/>
      <c r="XA48" s="417"/>
      <c r="XB48" s="417"/>
      <c r="XC48" s="417"/>
      <c r="XD48" s="417"/>
      <c r="XE48" s="417"/>
      <c r="XF48" s="417"/>
      <c r="XG48" s="417"/>
      <c r="XH48" s="417"/>
      <c r="XI48" s="417"/>
      <c r="XJ48" s="417"/>
      <c r="XK48" s="417"/>
      <c r="XL48" s="417"/>
      <c r="XM48" s="417"/>
      <c r="XN48" s="417"/>
      <c r="XO48" s="417"/>
      <c r="XP48" s="417"/>
      <c r="XQ48" s="417"/>
      <c r="XR48" s="417"/>
      <c r="XS48" s="417"/>
      <c r="XT48" s="417"/>
      <c r="XU48" s="417"/>
      <c r="XV48" s="417"/>
      <c r="XW48" s="417"/>
      <c r="XX48" s="417"/>
      <c r="XY48" s="417"/>
      <c r="XZ48" s="417"/>
      <c r="YA48" s="417"/>
      <c r="YB48" s="417"/>
      <c r="YC48" s="417"/>
      <c r="YD48" s="417"/>
      <c r="YE48" s="417"/>
      <c r="YF48" s="417"/>
      <c r="YG48" s="417"/>
      <c r="YH48" s="417"/>
      <c r="YI48" s="417"/>
      <c r="YJ48" s="417"/>
      <c r="YK48" s="417"/>
      <c r="YL48" s="417"/>
      <c r="YM48" s="417"/>
      <c r="YN48" s="417"/>
      <c r="YO48" s="417"/>
      <c r="YP48" s="417"/>
      <c r="YQ48" s="417"/>
      <c r="YR48" s="417"/>
      <c r="YS48" s="417"/>
      <c r="YT48" s="417"/>
      <c r="YU48" s="417"/>
      <c r="YV48" s="417"/>
      <c r="YW48" s="417"/>
      <c r="YX48" s="417"/>
      <c r="YY48" s="417"/>
      <c r="YZ48" s="417"/>
      <c r="ZA48" s="417"/>
      <c r="ZB48" s="417"/>
      <c r="ZC48" s="417"/>
      <c r="ZD48" s="417"/>
      <c r="ZE48" s="417"/>
    </row>
    <row r="49">
      <c r="A49" s="413" t="s">
        <v>761</v>
      </c>
      <c r="B49" s="418"/>
      <c r="C49" s="16"/>
      <c r="D49" s="16"/>
      <c r="E49" s="16"/>
      <c r="F49" s="16"/>
      <c r="G49" s="16"/>
      <c r="H49" s="25"/>
      <c r="I49" s="419" t="s">
        <v>1961</v>
      </c>
      <c r="J49" s="16"/>
      <c r="K49" s="16"/>
      <c r="L49" s="16"/>
      <c r="M49" s="16"/>
      <c r="N49" s="16"/>
      <c r="O49" s="25"/>
      <c r="P49" s="420" t="s">
        <v>1963</v>
      </c>
      <c r="Q49" s="16"/>
      <c r="R49" s="16"/>
      <c r="S49" s="16"/>
      <c r="T49" s="16"/>
      <c r="U49" s="16"/>
      <c r="V49" s="25"/>
      <c r="W49" s="420" t="s">
        <v>1963</v>
      </c>
      <c r="X49" s="16"/>
      <c r="Y49" s="16"/>
      <c r="Z49" s="16"/>
      <c r="AA49" s="16"/>
      <c r="AB49" s="16"/>
      <c r="AC49" s="25"/>
      <c r="AD49" s="414"/>
      <c r="AE49" s="16"/>
      <c r="AF49" s="16"/>
      <c r="AG49" s="16"/>
      <c r="AH49" s="16"/>
      <c r="AI49" s="16"/>
      <c r="AJ49" s="25"/>
      <c r="AK49" s="414"/>
      <c r="AL49" s="16"/>
      <c r="AM49" s="16"/>
      <c r="AN49" s="16"/>
      <c r="AO49" s="16"/>
      <c r="AP49" s="16"/>
      <c r="AQ49" s="25"/>
      <c r="AR49" s="414"/>
      <c r="AS49" s="16"/>
      <c r="AT49" s="16"/>
      <c r="AU49" s="16"/>
      <c r="AV49" s="16"/>
      <c r="AW49" s="16"/>
      <c r="AX49" s="25"/>
      <c r="AY49" s="414"/>
      <c r="AZ49" s="16"/>
      <c r="BA49" s="16"/>
      <c r="BB49" s="16"/>
      <c r="BC49" s="16"/>
      <c r="BD49" s="16"/>
      <c r="BE49" s="25"/>
      <c r="BF49" s="420" t="s">
        <v>1833</v>
      </c>
      <c r="BG49" s="16"/>
      <c r="BH49" s="16"/>
      <c r="BI49" s="16"/>
      <c r="BJ49" s="16"/>
      <c r="BK49" s="16"/>
      <c r="BL49" s="25"/>
      <c r="BM49" s="420" t="s">
        <v>1965</v>
      </c>
      <c r="BN49" s="16"/>
      <c r="BO49" s="16"/>
      <c r="BP49" s="16"/>
      <c r="BQ49" s="16"/>
      <c r="BR49" s="16"/>
      <c r="BS49" s="25"/>
      <c r="BT49" s="420" t="s">
        <v>1966</v>
      </c>
      <c r="BU49" s="16"/>
      <c r="BV49" s="16"/>
      <c r="BW49" s="16"/>
      <c r="BX49" s="16"/>
      <c r="BY49" s="16"/>
      <c r="BZ49" s="25"/>
      <c r="CA49" s="420"/>
      <c r="CB49" s="16"/>
      <c r="CC49" s="16"/>
      <c r="CD49" s="16"/>
      <c r="CE49" s="16"/>
      <c r="CF49" s="16"/>
      <c r="CG49" s="25"/>
      <c r="CH49" s="414"/>
      <c r="CI49" s="16"/>
      <c r="CJ49" s="16"/>
      <c r="CK49" s="16"/>
      <c r="CL49" s="16"/>
      <c r="CM49" s="16"/>
      <c r="CN49" s="25"/>
      <c r="CO49" s="414" t="s">
        <v>1967</v>
      </c>
      <c r="CP49" s="16"/>
      <c r="CQ49" s="16"/>
      <c r="CR49" s="16"/>
      <c r="CS49" s="16"/>
      <c r="CT49" s="16"/>
      <c r="CU49" s="25"/>
      <c r="CV49" s="420" t="s">
        <v>771</v>
      </c>
      <c r="CW49" s="16"/>
      <c r="CX49" s="16"/>
      <c r="CY49" s="16"/>
      <c r="CZ49" s="16"/>
      <c r="DA49" s="16"/>
      <c r="DB49" s="25"/>
      <c r="DC49" s="414" t="s">
        <v>1968</v>
      </c>
      <c r="DD49" s="16"/>
      <c r="DE49" s="16"/>
      <c r="DF49" s="16"/>
      <c r="DG49" s="16"/>
      <c r="DH49" s="16"/>
      <c r="DI49" s="25"/>
      <c r="DJ49" s="414"/>
      <c r="DK49" s="16"/>
      <c r="DL49" s="16"/>
      <c r="DM49" s="16"/>
      <c r="DN49" s="16"/>
      <c r="DO49" s="16"/>
      <c r="DP49" s="16"/>
      <c r="DQ49" s="25"/>
      <c r="DR49" s="414" t="s">
        <v>1969</v>
      </c>
      <c r="DS49" s="16"/>
      <c r="DT49" s="16"/>
      <c r="DU49" s="16"/>
      <c r="DV49" s="16"/>
      <c r="DW49" s="25"/>
      <c r="DX49" s="414" t="s">
        <v>1840</v>
      </c>
      <c r="DY49" s="16"/>
      <c r="DZ49" s="16"/>
      <c r="EA49" s="16"/>
      <c r="EB49" s="16"/>
      <c r="EC49" s="16"/>
      <c r="ED49" s="25"/>
      <c r="EE49" s="414" t="s">
        <v>849</v>
      </c>
      <c r="EF49" s="16"/>
      <c r="EG49" s="16"/>
      <c r="EH49" s="16"/>
      <c r="EI49" s="16"/>
      <c r="EJ49" s="16"/>
      <c r="EK49" s="25"/>
      <c r="EL49" s="414" t="s">
        <v>1970</v>
      </c>
      <c r="EM49" s="16"/>
      <c r="EN49" s="16"/>
      <c r="EO49" s="16"/>
      <c r="EP49" s="16"/>
      <c r="EQ49" s="16"/>
      <c r="ER49" s="25"/>
      <c r="ES49" s="414" t="s">
        <v>1971</v>
      </c>
      <c r="ET49" s="16"/>
      <c r="EU49" s="16"/>
      <c r="EV49" s="16"/>
      <c r="EW49" s="16"/>
      <c r="EX49" s="16"/>
      <c r="EY49" s="25"/>
      <c r="EZ49" s="414"/>
      <c r="FA49" s="16"/>
      <c r="FB49" s="16"/>
      <c r="FC49" s="16"/>
      <c r="FD49" s="16"/>
      <c r="FE49" s="16"/>
      <c r="FF49" s="25"/>
      <c r="FG49" s="414" t="s">
        <v>1844</v>
      </c>
      <c r="FH49" s="16"/>
      <c r="FI49" s="16"/>
      <c r="FJ49" s="16"/>
      <c r="FK49" s="16"/>
      <c r="FL49" s="16"/>
      <c r="FM49" s="25"/>
      <c r="FN49" s="414" t="s">
        <v>1972</v>
      </c>
      <c r="FO49" s="16"/>
      <c r="FP49" s="16"/>
      <c r="FQ49" s="16"/>
      <c r="FR49" s="16"/>
      <c r="FS49" s="16"/>
      <c r="FT49" s="25"/>
      <c r="FU49" s="108" t="s">
        <v>643</v>
      </c>
      <c r="FV49" s="16"/>
      <c r="FW49" s="16"/>
      <c r="FX49" s="16"/>
      <c r="FY49" s="16"/>
      <c r="FZ49" s="16"/>
      <c r="GA49" s="25"/>
      <c r="GB49" s="414" t="s">
        <v>1973</v>
      </c>
      <c r="GC49" s="16"/>
      <c r="GD49" s="16"/>
      <c r="GE49" s="16"/>
      <c r="GF49" s="16"/>
      <c r="GG49" s="16"/>
      <c r="GH49" s="25"/>
      <c r="GI49" s="108" t="s">
        <v>872</v>
      </c>
      <c r="GJ49" s="16"/>
      <c r="GK49" s="16"/>
      <c r="GL49" s="16"/>
      <c r="GM49" s="16"/>
      <c r="GN49" s="16"/>
      <c r="GO49" s="25"/>
      <c r="GP49" s="146" t="s">
        <v>1974</v>
      </c>
      <c r="GQ49" s="16"/>
      <c r="GR49" s="16"/>
      <c r="GS49" s="16"/>
      <c r="GT49" s="16"/>
      <c r="GU49" s="16"/>
      <c r="GV49" s="25"/>
      <c r="GW49" s="106" t="s">
        <v>1975</v>
      </c>
      <c r="GX49" s="16"/>
      <c r="GY49" s="16"/>
      <c r="GZ49" s="16"/>
      <c r="HA49" s="16"/>
      <c r="HB49" s="16"/>
      <c r="HC49" s="25"/>
      <c r="HD49" s="197"/>
      <c r="HE49" s="16"/>
      <c r="HF49" s="16"/>
      <c r="HG49" s="16"/>
      <c r="HH49" s="16"/>
      <c r="HI49" s="16"/>
      <c r="HJ49" s="25"/>
      <c r="HK49" s="197" t="s">
        <v>1976</v>
      </c>
      <c r="HL49" s="16"/>
      <c r="HM49" s="16"/>
      <c r="HN49" s="16"/>
      <c r="HO49" s="16"/>
      <c r="HP49" s="16"/>
      <c r="HQ49" s="25"/>
      <c r="HR49" s="106"/>
      <c r="HS49" s="16"/>
      <c r="HT49" s="16"/>
      <c r="HU49" s="16"/>
      <c r="HV49" s="16"/>
      <c r="HW49" s="16"/>
      <c r="HX49" s="25"/>
      <c r="HY49" s="106" t="s">
        <v>1977</v>
      </c>
      <c r="HZ49" s="16"/>
      <c r="IA49" s="16"/>
      <c r="IB49" s="16"/>
      <c r="IC49" s="16"/>
      <c r="ID49" s="16"/>
      <c r="IE49" s="25"/>
      <c r="IF49" s="201" t="s">
        <v>1978</v>
      </c>
      <c r="IG49" s="16"/>
      <c r="IH49" s="16"/>
      <c r="II49" s="16"/>
      <c r="IJ49" s="16"/>
      <c r="IK49" s="16"/>
      <c r="IL49" s="25"/>
      <c r="IM49" s="106" t="s">
        <v>1979</v>
      </c>
      <c r="IN49" s="16"/>
      <c r="IO49" s="16"/>
      <c r="IP49" s="16"/>
      <c r="IQ49" s="16"/>
      <c r="IR49" s="16"/>
      <c r="IS49" s="25"/>
      <c r="IT49" s="106" t="s">
        <v>1980</v>
      </c>
      <c r="IU49" s="16"/>
      <c r="IV49" s="16"/>
      <c r="IW49" s="16"/>
      <c r="IX49" s="16"/>
      <c r="IY49" s="16"/>
      <c r="IZ49" s="25"/>
      <c r="JA49" s="106" t="s">
        <v>1981</v>
      </c>
      <c r="JB49" s="16"/>
      <c r="JC49" s="16"/>
      <c r="JD49" s="16"/>
      <c r="JE49" s="16"/>
      <c r="JF49" s="16"/>
      <c r="JG49" s="25"/>
      <c r="JH49" s="106" t="s">
        <v>1982</v>
      </c>
      <c r="JI49" s="16"/>
      <c r="JJ49" s="16"/>
      <c r="JK49" s="16"/>
      <c r="JL49" s="16"/>
      <c r="JM49" s="16"/>
      <c r="JN49" s="25"/>
      <c r="JO49" s="421" t="s">
        <v>1983</v>
      </c>
      <c r="JP49" s="422"/>
      <c r="JQ49" s="422"/>
      <c r="JR49" s="422"/>
      <c r="JS49" s="422"/>
      <c r="JT49" s="422"/>
      <c r="JU49" s="422"/>
      <c r="JV49" s="420"/>
      <c r="JW49" s="16"/>
      <c r="JX49" s="16"/>
      <c r="JY49" s="16"/>
      <c r="JZ49" s="16"/>
      <c r="KA49" s="16"/>
      <c r="KB49" s="25"/>
      <c r="KC49" s="420" t="s">
        <v>1985</v>
      </c>
      <c r="KD49" s="16"/>
      <c r="KE49" s="16"/>
      <c r="KF49" s="16"/>
      <c r="KG49" s="16"/>
      <c r="KH49" s="16"/>
      <c r="KI49" s="25"/>
      <c r="KJ49" s="420"/>
      <c r="KK49" s="16"/>
      <c r="KL49" s="16"/>
      <c r="KM49" s="16"/>
      <c r="KN49" s="16"/>
      <c r="KO49" s="16"/>
      <c r="KP49" s="25"/>
      <c r="KQ49" s="420"/>
      <c r="KR49" s="16"/>
      <c r="KS49" s="16"/>
      <c r="KT49" s="16"/>
      <c r="KU49" s="16"/>
      <c r="KV49" s="16"/>
      <c r="KW49" s="25"/>
      <c r="KX49" s="418"/>
      <c r="KY49" s="16"/>
      <c r="KZ49" s="16"/>
      <c r="LA49" s="16"/>
      <c r="LB49" s="16"/>
      <c r="LC49" s="16"/>
      <c r="LD49" s="25"/>
      <c r="LE49" s="418"/>
      <c r="LF49" s="16"/>
      <c r="LG49" s="16"/>
      <c r="LH49" s="16"/>
      <c r="LI49" s="16"/>
      <c r="LJ49" s="16"/>
      <c r="LK49" s="25"/>
      <c r="LL49" s="420"/>
      <c r="LM49" s="16"/>
      <c r="LN49" s="16"/>
      <c r="LO49" s="16"/>
      <c r="LP49" s="16"/>
      <c r="LQ49" s="16"/>
      <c r="LR49" s="25"/>
      <c r="LS49" s="418"/>
      <c r="LT49" s="16"/>
      <c r="LU49" s="16"/>
      <c r="LV49" s="16"/>
      <c r="LW49" s="16"/>
      <c r="LX49" s="16"/>
      <c r="LY49" s="25"/>
      <c r="LZ49" s="418"/>
      <c r="MA49" s="16"/>
      <c r="MB49" s="16"/>
      <c r="MC49" s="16"/>
      <c r="MD49" s="16"/>
      <c r="ME49" s="16"/>
      <c r="MF49" s="25"/>
      <c r="MG49" s="418"/>
      <c r="MH49" s="16"/>
      <c r="MI49" s="16"/>
      <c r="MJ49" s="16"/>
      <c r="MK49" s="16"/>
      <c r="ML49" s="16"/>
      <c r="MM49" s="25"/>
      <c r="MN49" s="418"/>
      <c r="MO49" s="16"/>
      <c r="MP49" s="16"/>
      <c r="MQ49" s="16"/>
      <c r="MR49" s="16"/>
      <c r="MS49" s="16"/>
      <c r="MT49" s="25"/>
      <c r="MU49" s="418"/>
      <c r="MV49" s="16"/>
      <c r="MW49" s="16"/>
      <c r="MX49" s="16"/>
      <c r="MY49" s="16"/>
      <c r="MZ49" s="16"/>
      <c r="NA49" s="25"/>
      <c r="NB49" s="416"/>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QT49" s="417"/>
      <c r="QU49" s="417"/>
      <c r="QV49" s="417"/>
      <c r="QW49" s="417"/>
      <c r="QX49" s="417"/>
      <c r="QY49" s="417"/>
      <c r="QZ49" s="417"/>
      <c r="RA49" s="417"/>
      <c r="RB49" s="417"/>
      <c r="RC49" s="417"/>
      <c r="RD49" s="417"/>
      <c r="RE49" s="417"/>
      <c r="RF49" s="417"/>
      <c r="RG49" s="417"/>
      <c r="RH49" s="417"/>
      <c r="RI49" s="417"/>
      <c r="RJ49" s="417"/>
      <c r="RK49" s="417"/>
      <c r="RL49" s="417"/>
      <c r="RM49" s="417"/>
      <c r="RN49" s="417"/>
      <c r="RO49" s="417"/>
      <c r="RP49" s="417"/>
      <c r="RQ49" s="417"/>
      <c r="RR49" s="417"/>
      <c r="RS49" s="417"/>
      <c r="RT49" s="417"/>
      <c r="RU49" s="417"/>
      <c r="RV49" s="417"/>
      <c r="RW49" s="417"/>
      <c r="RX49" s="417"/>
      <c r="RY49" s="417"/>
      <c r="RZ49" s="417"/>
      <c r="SA49" s="417"/>
      <c r="SB49" s="417"/>
      <c r="SC49" s="417"/>
      <c r="SD49" s="417"/>
      <c r="SE49" s="417"/>
      <c r="SF49" s="417"/>
      <c r="SG49" s="417"/>
      <c r="SH49" s="417"/>
      <c r="SI49" s="417"/>
      <c r="SJ49" s="417"/>
      <c r="SK49" s="417"/>
      <c r="SL49" s="417"/>
      <c r="SM49" s="417"/>
      <c r="SN49" s="417"/>
      <c r="SO49" s="417"/>
      <c r="SP49" s="417"/>
      <c r="SQ49" s="417"/>
      <c r="SR49" s="417"/>
      <c r="SS49" s="417"/>
      <c r="ST49" s="417"/>
      <c r="SU49" s="417"/>
      <c r="SV49" s="417"/>
      <c r="SW49" s="417"/>
      <c r="SX49" s="417"/>
      <c r="SY49" s="417"/>
      <c r="SZ49" s="417"/>
      <c r="TA49" s="417"/>
      <c r="TB49" s="417"/>
      <c r="TC49" s="417"/>
      <c r="TD49" s="417"/>
      <c r="TE49" s="417"/>
      <c r="TF49" s="417"/>
      <c r="TG49" s="417"/>
      <c r="TH49" s="417"/>
      <c r="TI49" s="417"/>
      <c r="TJ49" s="417"/>
      <c r="TK49" s="417"/>
      <c r="TL49" s="417"/>
      <c r="TM49" s="417"/>
      <c r="TN49" s="417"/>
      <c r="TO49" s="417"/>
      <c r="TP49" s="417"/>
      <c r="TQ49" s="417"/>
      <c r="TR49" s="417"/>
      <c r="TS49" s="417"/>
      <c r="TT49" s="417"/>
      <c r="TU49" s="417"/>
      <c r="TV49" s="417"/>
      <c r="TW49" s="417"/>
      <c r="TX49" s="417"/>
      <c r="TY49" s="417"/>
      <c r="TZ49" s="417"/>
      <c r="UA49" s="417"/>
      <c r="UB49" s="417"/>
      <c r="UC49" s="417"/>
      <c r="UD49" s="417"/>
      <c r="UE49" s="417"/>
      <c r="UF49" s="417"/>
      <c r="UG49" s="417"/>
      <c r="UH49" s="417"/>
      <c r="UI49" s="417"/>
      <c r="UJ49" s="417"/>
      <c r="UK49" s="417"/>
      <c r="UL49" s="417"/>
      <c r="UM49" s="417"/>
      <c r="UN49" s="417"/>
      <c r="UO49" s="417"/>
      <c r="UP49" s="417"/>
      <c r="UQ49" s="417"/>
      <c r="UR49" s="417"/>
      <c r="US49" s="417"/>
      <c r="UT49" s="417"/>
      <c r="UU49" s="417"/>
      <c r="UV49" s="417"/>
      <c r="UW49" s="417"/>
      <c r="UX49" s="417"/>
      <c r="UY49" s="417"/>
      <c r="UZ49" s="417"/>
      <c r="VA49" s="417"/>
      <c r="VB49" s="417"/>
      <c r="VC49" s="417"/>
      <c r="VD49" s="417"/>
      <c r="VE49" s="417"/>
      <c r="VF49" s="417"/>
      <c r="VG49" s="417"/>
      <c r="VH49" s="417"/>
      <c r="VI49" s="417"/>
      <c r="VJ49" s="417"/>
      <c r="VK49" s="417"/>
      <c r="VL49" s="417"/>
      <c r="VM49" s="417"/>
      <c r="VN49" s="417"/>
      <c r="VO49" s="417"/>
      <c r="VP49" s="417"/>
      <c r="VQ49" s="417"/>
      <c r="VR49" s="417"/>
      <c r="VS49" s="417"/>
      <c r="VT49" s="417"/>
      <c r="VU49" s="417"/>
      <c r="VV49" s="417"/>
      <c r="VW49" s="417"/>
      <c r="VX49" s="417"/>
      <c r="VY49" s="417"/>
      <c r="VZ49" s="417"/>
      <c r="WA49" s="417"/>
      <c r="WB49" s="417"/>
      <c r="WC49" s="417"/>
      <c r="WD49" s="417"/>
      <c r="WE49" s="417"/>
      <c r="WF49" s="417"/>
      <c r="WG49" s="417"/>
      <c r="WH49" s="417"/>
      <c r="WI49" s="417"/>
      <c r="WJ49" s="417"/>
      <c r="WK49" s="417"/>
      <c r="WL49" s="417"/>
      <c r="WM49" s="417"/>
      <c r="WN49" s="417"/>
      <c r="WO49" s="417"/>
      <c r="WP49" s="417"/>
      <c r="WQ49" s="417"/>
      <c r="WR49" s="417"/>
      <c r="WS49" s="417"/>
      <c r="WT49" s="417"/>
      <c r="WU49" s="417"/>
      <c r="WV49" s="417"/>
      <c r="WW49" s="417"/>
      <c r="WX49" s="417"/>
      <c r="WY49" s="417"/>
      <c r="WZ49" s="417"/>
      <c r="XA49" s="417"/>
      <c r="XB49" s="417"/>
      <c r="XC49" s="417"/>
      <c r="XD49" s="417"/>
      <c r="XE49" s="417"/>
      <c r="XF49" s="417"/>
      <c r="XG49" s="417"/>
      <c r="XH49" s="417"/>
      <c r="XI49" s="417"/>
      <c r="XJ49" s="417"/>
      <c r="XK49" s="417"/>
      <c r="XL49" s="417"/>
      <c r="XM49" s="417"/>
      <c r="XN49" s="417"/>
      <c r="XO49" s="417"/>
      <c r="XP49" s="417"/>
      <c r="XQ49" s="417"/>
      <c r="XR49" s="417"/>
      <c r="XS49" s="417"/>
      <c r="XT49" s="417"/>
      <c r="XU49" s="417"/>
      <c r="XV49" s="417"/>
      <c r="XW49" s="417"/>
      <c r="XX49" s="417"/>
      <c r="XY49" s="417"/>
      <c r="XZ49" s="417"/>
      <c r="YA49" s="417"/>
      <c r="YB49" s="417"/>
      <c r="YC49" s="417"/>
      <c r="YD49" s="417"/>
      <c r="YE49" s="417"/>
      <c r="YF49" s="417"/>
      <c r="YG49" s="417"/>
      <c r="YH49" s="417"/>
      <c r="YI49" s="417"/>
      <c r="YJ49" s="417"/>
      <c r="YK49" s="417"/>
      <c r="YL49" s="417"/>
      <c r="YM49" s="417"/>
      <c r="YN49" s="417"/>
      <c r="YO49" s="417"/>
      <c r="YP49" s="417"/>
      <c r="YQ49" s="417"/>
      <c r="YR49" s="417"/>
      <c r="YS49" s="417"/>
      <c r="YT49" s="417"/>
      <c r="YU49" s="417"/>
      <c r="YV49" s="417"/>
      <c r="YW49" s="417"/>
      <c r="YX49" s="417"/>
      <c r="YY49" s="417"/>
      <c r="YZ49" s="417"/>
      <c r="ZA49" s="417"/>
      <c r="ZB49" s="417"/>
      <c r="ZC49" s="417"/>
      <c r="ZD49" s="417"/>
      <c r="ZE49" s="417"/>
    </row>
    <row r="50">
      <c r="A50" s="156" t="s">
        <v>789</v>
      </c>
      <c r="B50" s="388"/>
      <c r="C50" s="16"/>
      <c r="D50" s="16"/>
      <c r="E50" s="16"/>
      <c r="F50" s="16"/>
      <c r="G50" s="16"/>
      <c r="H50" s="25"/>
      <c r="I50" s="388"/>
      <c r="J50" s="16"/>
      <c r="K50" s="16"/>
      <c r="L50" s="16"/>
      <c r="M50" s="16"/>
      <c r="N50" s="16"/>
      <c r="O50" s="25"/>
      <c r="P50" s="388"/>
      <c r="Q50" s="16"/>
      <c r="R50" s="16"/>
      <c r="S50" s="16"/>
      <c r="T50" s="16"/>
      <c r="U50" s="16"/>
      <c r="V50" s="25"/>
      <c r="W50" s="388"/>
      <c r="X50" s="16"/>
      <c r="Y50" s="16"/>
      <c r="Z50" s="16"/>
      <c r="AA50" s="16"/>
      <c r="AB50" s="16"/>
      <c r="AC50" s="25"/>
      <c r="AD50" s="388"/>
      <c r="AE50" s="16"/>
      <c r="AF50" s="16"/>
      <c r="AG50" s="16"/>
      <c r="AH50" s="16"/>
      <c r="AI50" s="16"/>
      <c r="AJ50" s="25"/>
      <c r="AK50" s="388"/>
      <c r="AL50" s="16"/>
      <c r="AM50" s="16"/>
      <c r="AN50" s="16"/>
      <c r="AO50" s="16"/>
      <c r="AP50" s="16"/>
      <c r="AQ50" s="25"/>
      <c r="AR50" s="388"/>
      <c r="AS50" s="16"/>
      <c r="AT50" s="16"/>
      <c r="AU50" s="16"/>
      <c r="AV50" s="16"/>
      <c r="AW50" s="16"/>
      <c r="AX50" s="25"/>
      <c r="AY50" s="388"/>
      <c r="AZ50" s="16"/>
      <c r="BA50" s="16"/>
      <c r="BB50" s="16"/>
      <c r="BC50" s="16"/>
      <c r="BD50" s="16"/>
      <c r="BE50" s="25"/>
      <c r="BF50" s="388"/>
      <c r="BG50" s="16"/>
      <c r="BH50" s="16"/>
      <c r="BI50" s="16"/>
      <c r="BJ50" s="16"/>
      <c r="BK50" s="16"/>
      <c r="BL50" s="25"/>
      <c r="BM50" s="388"/>
      <c r="BN50" s="16"/>
      <c r="BO50" s="16"/>
      <c r="BP50" s="16"/>
      <c r="BQ50" s="16"/>
      <c r="BR50" s="16"/>
      <c r="BS50" s="25"/>
      <c r="BT50" s="388"/>
      <c r="BU50" s="16"/>
      <c r="BV50" s="16"/>
      <c r="BW50" s="16"/>
      <c r="BX50" s="16"/>
      <c r="BY50" s="16"/>
      <c r="BZ50" s="25"/>
      <c r="CA50" s="388"/>
      <c r="CB50" s="16"/>
      <c r="CC50" s="16"/>
      <c r="CD50" s="16"/>
      <c r="CE50" s="16"/>
      <c r="CF50" s="16"/>
      <c r="CG50" s="25"/>
      <c r="CH50" s="388"/>
      <c r="CI50" s="16"/>
      <c r="CJ50" s="16"/>
      <c r="CK50" s="16"/>
      <c r="CL50" s="16"/>
      <c r="CM50" s="16"/>
      <c r="CN50" s="25"/>
      <c r="CO50" s="388"/>
      <c r="CP50" s="16"/>
      <c r="CQ50" s="16"/>
      <c r="CR50" s="16"/>
      <c r="CS50" s="16"/>
      <c r="CT50" s="16"/>
      <c r="CU50" s="25"/>
      <c r="CV50" s="108"/>
      <c r="CW50" s="16"/>
      <c r="CX50" s="16"/>
      <c r="CY50" s="16"/>
      <c r="CZ50" s="16"/>
      <c r="DA50" s="16"/>
      <c r="DB50" s="25"/>
      <c r="DC50" s="388"/>
      <c r="DD50" s="16"/>
      <c r="DE50" s="16"/>
      <c r="DF50" s="16"/>
      <c r="DG50" s="16"/>
      <c r="DH50" s="16"/>
      <c r="DI50" s="25"/>
      <c r="DJ50" s="388"/>
      <c r="DK50" s="16"/>
      <c r="DL50" s="16"/>
      <c r="DM50" s="16"/>
      <c r="DN50" s="16"/>
      <c r="DO50" s="16"/>
      <c r="DP50" s="25"/>
      <c r="DQ50" s="388"/>
      <c r="DR50" s="16"/>
      <c r="DS50" s="16"/>
      <c r="DT50" s="16"/>
      <c r="DU50" s="16"/>
      <c r="DV50" s="16"/>
      <c r="DW50" s="25"/>
      <c r="DX50" s="388"/>
      <c r="DY50" s="16"/>
      <c r="DZ50" s="16"/>
      <c r="EA50" s="16"/>
      <c r="EB50" s="16"/>
      <c r="EC50" s="16"/>
      <c r="ED50" s="25"/>
      <c r="EE50" s="388"/>
      <c r="EF50" s="16"/>
      <c r="EG50" s="16"/>
      <c r="EH50" s="16"/>
      <c r="EI50" s="16"/>
      <c r="EJ50" s="16"/>
      <c r="EK50" s="25"/>
      <c r="EL50" s="388"/>
      <c r="EM50" s="16"/>
      <c r="EN50" s="16"/>
      <c r="EO50" s="16"/>
      <c r="EP50" s="16"/>
      <c r="EQ50" s="16"/>
      <c r="ER50" s="25"/>
      <c r="ES50" s="388"/>
      <c r="ET50" s="16"/>
      <c r="EU50" s="16"/>
      <c r="EV50" s="16"/>
      <c r="EW50" s="16"/>
      <c r="EX50" s="16"/>
      <c r="EY50" s="25"/>
      <c r="EZ50" s="388"/>
      <c r="FA50" s="16"/>
      <c r="FB50" s="16"/>
      <c r="FC50" s="16"/>
      <c r="FD50" s="16"/>
      <c r="FE50" s="16"/>
      <c r="FF50" s="25"/>
      <c r="FG50" s="388"/>
      <c r="FH50" s="16"/>
      <c r="FI50" s="16"/>
      <c r="FJ50" s="16"/>
      <c r="FK50" s="16"/>
      <c r="FL50" s="16"/>
      <c r="FM50" s="25"/>
      <c r="FN50" s="106" t="s">
        <v>1845</v>
      </c>
      <c r="FO50" s="16"/>
      <c r="FP50" s="16"/>
      <c r="FQ50" s="16"/>
      <c r="FR50" s="16"/>
      <c r="FS50" s="16"/>
      <c r="FT50" s="25"/>
      <c r="FU50" s="108"/>
      <c r="FV50" s="16"/>
      <c r="FW50" s="16"/>
      <c r="FX50" s="16"/>
      <c r="FY50" s="16"/>
      <c r="FZ50" s="16"/>
      <c r="GA50" s="25"/>
      <c r="GB50" s="108" t="s">
        <v>1988</v>
      </c>
      <c r="GC50" s="16"/>
      <c r="GD50" s="16"/>
      <c r="GE50" s="16"/>
      <c r="GF50" s="16"/>
      <c r="GG50" s="16"/>
      <c r="GH50" s="25"/>
      <c r="GI50" s="388"/>
      <c r="GJ50" s="16"/>
      <c r="GK50" s="16"/>
      <c r="GL50" s="16"/>
      <c r="GM50" s="16"/>
      <c r="GN50" s="16"/>
      <c r="GO50" s="25"/>
      <c r="GP50" s="108"/>
      <c r="GQ50" s="16"/>
      <c r="GR50" s="16"/>
      <c r="GS50" s="16"/>
      <c r="GT50" s="16"/>
      <c r="GU50" s="16"/>
      <c r="GV50" s="25"/>
      <c r="GW50" s="388"/>
      <c r="GX50" s="16"/>
      <c r="GY50" s="16"/>
      <c r="GZ50" s="16"/>
      <c r="HA50" s="16"/>
      <c r="HB50" s="16"/>
      <c r="HC50" s="25"/>
      <c r="HD50" s="388"/>
      <c r="HE50" s="16"/>
      <c r="HF50" s="16"/>
      <c r="HG50" s="16"/>
      <c r="HH50" s="16"/>
      <c r="HI50" s="16"/>
      <c r="HJ50" s="25"/>
      <c r="HK50" s="309"/>
      <c r="HL50" s="16"/>
      <c r="HM50" s="25"/>
      <c r="HN50" s="414" t="s">
        <v>1989</v>
      </c>
      <c r="HO50" s="16"/>
      <c r="HP50" s="16"/>
      <c r="HQ50" s="16"/>
      <c r="HR50" s="16"/>
      <c r="HS50" s="25"/>
      <c r="HT50" s="309"/>
      <c r="HU50" s="16"/>
      <c r="HV50" s="16"/>
      <c r="HW50" s="16"/>
      <c r="HX50" s="25"/>
      <c r="HY50" s="309"/>
      <c r="HZ50" s="16"/>
      <c r="IA50" s="16"/>
      <c r="IB50" s="16"/>
      <c r="IC50" s="16"/>
      <c r="ID50" s="16"/>
      <c r="IE50" s="25"/>
      <c r="IF50" s="388"/>
      <c r="IG50" s="16"/>
      <c r="IH50" s="16"/>
      <c r="II50" s="16"/>
      <c r="IJ50" s="16"/>
      <c r="IK50" s="16"/>
      <c r="IL50" s="25"/>
      <c r="IM50" s="388"/>
      <c r="IN50" s="16"/>
      <c r="IO50" s="16"/>
      <c r="IP50" s="16"/>
      <c r="IQ50" s="16"/>
      <c r="IR50" s="16"/>
      <c r="IS50" s="25"/>
      <c r="IT50" s="388"/>
      <c r="IU50" s="16"/>
      <c r="IV50" s="16"/>
      <c r="IW50" s="16"/>
      <c r="IX50" s="16"/>
      <c r="IY50" s="16"/>
      <c r="IZ50" s="25"/>
      <c r="JA50" s="388"/>
      <c r="JB50" s="16"/>
      <c r="JC50" s="16"/>
      <c r="JD50" s="16"/>
      <c r="JE50" s="16"/>
      <c r="JF50" s="16"/>
      <c r="JG50" s="25"/>
      <c r="JH50" s="388"/>
      <c r="JI50" s="16"/>
      <c r="JJ50" s="16"/>
      <c r="JK50" s="16"/>
      <c r="JL50" s="16"/>
      <c r="JM50" s="16"/>
      <c r="JN50" s="25"/>
      <c r="JO50" s="394"/>
      <c r="JP50" s="16"/>
      <c r="JQ50" s="16"/>
      <c r="JR50" s="16"/>
      <c r="JS50" s="16"/>
      <c r="JT50" s="16"/>
      <c r="JU50" s="25"/>
      <c r="JV50" s="388"/>
      <c r="JW50" s="16"/>
      <c r="JX50" s="16"/>
      <c r="JY50" s="16"/>
      <c r="JZ50" s="16"/>
      <c r="KA50" s="16"/>
      <c r="KB50" s="25"/>
      <c r="KC50" s="388"/>
      <c r="KD50" s="16"/>
      <c r="KE50" s="16"/>
      <c r="KF50" s="16"/>
      <c r="KG50" s="16"/>
      <c r="KH50" s="16"/>
      <c r="KI50" s="25"/>
      <c r="KJ50" s="388"/>
      <c r="KK50" s="16"/>
      <c r="KL50" s="16"/>
      <c r="KM50" s="16"/>
      <c r="KN50" s="16"/>
      <c r="KO50" s="16"/>
      <c r="KP50" s="25"/>
      <c r="KQ50" s="388"/>
      <c r="KR50" s="16"/>
      <c r="KS50" s="16"/>
      <c r="KT50" s="16"/>
      <c r="KU50" s="16"/>
      <c r="KV50" s="16"/>
      <c r="KW50" s="25"/>
      <c r="KX50" s="388"/>
      <c r="KY50" s="16"/>
      <c r="KZ50" s="16"/>
      <c r="LA50" s="16"/>
      <c r="LB50" s="16"/>
      <c r="LC50" s="16"/>
      <c r="LD50" s="25"/>
      <c r="LE50" s="388"/>
      <c r="LF50" s="16"/>
      <c r="LG50" s="16"/>
      <c r="LH50" s="16"/>
      <c r="LI50" s="16"/>
      <c r="LJ50" s="16"/>
      <c r="LK50" s="25"/>
      <c r="LL50" s="388"/>
      <c r="LM50" s="16"/>
      <c r="LN50" s="16"/>
      <c r="LO50" s="16"/>
      <c r="LP50" s="16"/>
      <c r="LQ50" s="16"/>
      <c r="LR50" s="25"/>
      <c r="LS50" s="388"/>
      <c r="LT50" s="16"/>
      <c r="LU50" s="16"/>
      <c r="LV50" s="16"/>
      <c r="LW50" s="16"/>
      <c r="LX50" s="16"/>
      <c r="LY50" s="25"/>
      <c r="LZ50" s="388"/>
      <c r="MA50" s="16"/>
      <c r="MB50" s="16"/>
      <c r="MC50" s="16"/>
      <c r="MD50" s="16"/>
      <c r="ME50" s="16"/>
      <c r="MF50" s="25"/>
      <c r="MG50" s="388"/>
      <c r="MH50" s="16"/>
      <c r="MI50" s="16"/>
      <c r="MJ50" s="16"/>
      <c r="MK50" s="16"/>
      <c r="ML50" s="16"/>
      <c r="MM50" s="25"/>
      <c r="MN50" s="388"/>
      <c r="MO50" s="16"/>
      <c r="MP50" s="16"/>
      <c r="MQ50" s="16"/>
      <c r="MR50" s="16"/>
      <c r="MS50" s="16"/>
      <c r="MT50" s="25"/>
      <c r="MU50" s="388"/>
      <c r="MV50" s="16"/>
      <c r="MW50" s="16"/>
      <c r="MX50" s="16"/>
      <c r="MY50" s="16"/>
      <c r="MZ50" s="16"/>
      <c r="NA50" s="25"/>
      <c r="NB50" s="399"/>
      <c r="NC50" s="270"/>
      <c r="ND50" s="270"/>
      <c r="NE50" s="270"/>
      <c r="NF50" s="270"/>
      <c r="NG50" s="270"/>
      <c r="NH50" s="270"/>
      <c r="NI50" s="270"/>
      <c r="NJ50" s="270"/>
      <c r="NK50" s="270"/>
      <c r="NL50" s="270"/>
      <c r="NM50" s="270"/>
      <c r="NN50" s="270"/>
      <c r="NO50" s="270"/>
      <c r="NP50" s="270"/>
      <c r="NQ50" s="270"/>
      <c r="NR50" s="270"/>
      <c r="NS50" s="270"/>
      <c r="NT50" s="270"/>
      <c r="NU50" s="270"/>
      <c r="NV50" s="270"/>
      <c r="NW50" s="270"/>
      <c r="NX50" s="270"/>
      <c r="NY50" s="270"/>
      <c r="NZ50" s="270"/>
      <c r="OA50" s="270"/>
      <c r="OB50" s="270"/>
      <c r="OC50" s="270"/>
      <c r="OD50" s="270"/>
      <c r="OE50" s="270"/>
      <c r="OF50" s="270"/>
      <c r="OG50" s="270"/>
      <c r="OH50" s="270"/>
      <c r="OI50" s="270"/>
      <c r="OJ50" s="270"/>
      <c r="OK50" s="270"/>
      <c r="OL50" s="270"/>
      <c r="OM50" s="270"/>
      <c r="ON50" s="270"/>
      <c r="OO50" s="270"/>
      <c r="OP50" s="270"/>
      <c r="OQ50" s="270"/>
      <c r="OR50" s="270"/>
      <c r="OS50" s="270"/>
      <c r="OT50" s="270"/>
      <c r="OU50" s="270"/>
      <c r="OV50" s="270"/>
      <c r="OW50" s="270"/>
      <c r="OX50" s="270"/>
      <c r="OY50" s="270"/>
      <c r="OZ50" s="270"/>
      <c r="PA50" s="270"/>
      <c r="PB50" s="270"/>
      <c r="PC50" s="270"/>
      <c r="PD50" s="270"/>
      <c r="PE50" s="270"/>
      <c r="PF50" s="270"/>
      <c r="PG50" s="270"/>
      <c r="PH50" s="270"/>
      <c r="PI50" s="270"/>
      <c r="PJ50" s="270"/>
      <c r="PK50" s="270"/>
      <c r="PL50" s="270"/>
      <c r="PM50" s="270"/>
      <c r="PN50" s="270"/>
      <c r="PO50" s="270"/>
      <c r="PP50" s="270"/>
      <c r="PQ50" s="270"/>
      <c r="PR50" s="270"/>
      <c r="PS50" s="270"/>
      <c r="PT50" s="270"/>
      <c r="PU50" s="270"/>
      <c r="PV50" s="270"/>
      <c r="PW50" s="270"/>
      <c r="PX50" s="270"/>
      <c r="PY50" s="270"/>
      <c r="PZ50" s="270"/>
      <c r="QA50" s="270"/>
      <c r="QB50" s="270"/>
      <c r="QC50" s="270"/>
      <c r="QD50" s="270"/>
      <c r="QE50" s="270"/>
      <c r="QF50" s="270"/>
      <c r="QG50" s="270"/>
      <c r="QH50" s="270"/>
      <c r="QI50" s="270"/>
      <c r="QJ50" s="270"/>
      <c r="QK50" s="270"/>
      <c r="QL50" s="270"/>
      <c r="QM50" s="270"/>
      <c r="QN50" s="270"/>
      <c r="QO50" s="270"/>
      <c r="QP50" s="270"/>
      <c r="QQ50" s="270"/>
      <c r="QR50" s="270"/>
      <c r="QS50" s="270"/>
      <c r="QT50" s="270"/>
      <c r="QU50" s="270"/>
      <c r="QV50" s="270"/>
      <c r="QW50" s="270"/>
      <c r="QX50" s="270"/>
      <c r="QY50" s="270"/>
      <c r="QZ50" s="270"/>
      <c r="RA50" s="270"/>
      <c r="RB50" s="270"/>
      <c r="RC50" s="270"/>
      <c r="RD50" s="270"/>
      <c r="RE50" s="270"/>
      <c r="RF50" s="270"/>
      <c r="RG50" s="270"/>
      <c r="RH50" s="270"/>
      <c r="RI50" s="270"/>
      <c r="RJ50" s="270"/>
      <c r="RK50" s="270"/>
      <c r="RL50" s="270"/>
      <c r="RM50" s="270"/>
      <c r="RN50" s="270"/>
      <c r="RO50" s="270"/>
      <c r="RP50" s="270"/>
      <c r="RQ50" s="270"/>
      <c r="RR50" s="270"/>
      <c r="RS50" s="270"/>
      <c r="RT50" s="270"/>
      <c r="RU50" s="270"/>
      <c r="RV50" s="270"/>
      <c r="RW50" s="270"/>
      <c r="RX50" s="270"/>
      <c r="RY50" s="270"/>
      <c r="RZ50" s="270"/>
      <c r="SA50" s="270"/>
      <c r="SB50" s="270"/>
      <c r="SC50" s="270"/>
      <c r="SD50" s="270"/>
      <c r="SE50" s="270"/>
      <c r="SF50" s="270"/>
      <c r="SG50" s="270"/>
      <c r="SH50" s="270"/>
      <c r="SI50" s="270"/>
      <c r="SJ50" s="270"/>
      <c r="SK50" s="270"/>
      <c r="SL50" s="270"/>
      <c r="SM50" s="270"/>
      <c r="SN50" s="270"/>
      <c r="SO50" s="270"/>
      <c r="SP50" s="270"/>
      <c r="SQ50" s="270"/>
      <c r="SR50" s="270"/>
      <c r="SS50" s="270"/>
      <c r="ST50" s="270"/>
      <c r="SU50" s="270"/>
      <c r="SV50" s="270"/>
      <c r="SW50" s="270"/>
      <c r="SX50" s="270"/>
      <c r="SY50" s="270"/>
      <c r="SZ50" s="270"/>
      <c r="TA50" s="270"/>
      <c r="TB50" s="270"/>
      <c r="TC50" s="270"/>
      <c r="TD50" s="270"/>
      <c r="TE50" s="270"/>
      <c r="TF50" s="270"/>
      <c r="TG50" s="270"/>
      <c r="TH50" s="270"/>
      <c r="TI50" s="270"/>
      <c r="TJ50" s="270"/>
      <c r="TK50" s="270"/>
      <c r="TL50" s="270"/>
      <c r="TM50" s="270"/>
      <c r="TN50" s="270"/>
      <c r="TO50" s="270"/>
      <c r="TP50" s="270"/>
      <c r="TQ50" s="270"/>
      <c r="TR50" s="270"/>
      <c r="TS50" s="270"/>
      <c r="TT50" s="270"/>
      <c r="TU50" s="270"/>
      <c r="TV50" s="270"/>
      <c r="TW50" s="270"/>
      <c r="TX50" s="270"/>
      <c r="TY50" s="270"/>
      <c r="TZ50" s="270"/>
      <c r="UA50" s="270"/>
      <c r="UB50" s="270"/>
      <c r="UC50" s="270"/>
      <c r="UD50" s="270"/>
      <c r="UE50" s="270"/>
      <c r="UF50" s="270"/>
      <c r="UG50" s="270"/>
      <c r="UH50" s="270"/>
      <c r="UI50" s="270"/>
      <c r="UJ50" s="270"/>
      <c r="UK50" s="270"/>
      <c r="UL50" s="270"/>
      <c r="UM50" s="270"/>
      <c r="UN50" s="270"/>
      <c r="UO50" s="270"/>
      <c r="UP50" s="270"/>
      <c r="UQ50" s="270"/>
      <c r="UR50" s="270"/>
      <c r="US50" s="270"/>
      <c r="UT50" s="270"/>
      <c r="UU50" s="270"/>
      <c r="UV50" s="270"/>
      <c r="UW50" s="270"/>
      <c r="UX50" s="270"/>
      <c r="UY50" s="270"/>
      <c r="UZ50" s="270"/>
      <c r="VA50" s="270"/>
      <c r="VB50" s="270"/>
      <c r="VC50" s="270"/>
      <c r="VD50" s="270"/>
      <c r="VE50" s="270"/>
      <c r="VF50" s="270"/>
      <c r="VG50" s="270"/>
      <c r="VH50" s="270"/>
      <c r="VI50" s="270"/>
      <c r="VJ50" s="270"/>
      <c r="VK50" s="270"/>
      <c r="VL50" s="270"/>
      <c r="VM50" s="270"/>
      <c r="VN50" s="270"/>
      <c r="VO50" s="270"/>
      <c r="VP50" s="270"/>
      <c r="VQ50" s="270"/>
      <c r="VR50" s="270"/>
      <c r="VS50" s="270"/>
      <c r="VT50" s="270"/>
      <c r="VU50" s="270"/>
      <c r="VV50" s="270"/>
      <c r="VW50" s="270"/>
      <c r="VX50" s="270"/>
      <c r="VY50" s="270"/>
      <c r="VZ50" s="270"/>
      <c r="WA50" s="270"/>
      <c r="WB50" s="270"/>
      <c r="WC50" s="270"/>
      <c r="WD50" s="270"/>
      <c r="WE50" s="270"/>
      <c r="WF50" s="270"/>
      <c r="WG50" s="270"/>
      <c r="WH50" s="270"/>
      <c r="WI50" s="270"/>
      <c r="WJ50" s="270"/>
      <c r="WK50" s="270"/>
      <c r="WL50" s="270"/>
      <c r="WM50" s="270"/>
      <c r="WN50" s="270"/>
      <c r="WO50" s="270"/>
      <c r="WP50" s="270"/>
      <c r="WQ50" s="270"/>
      <c r="WR50" s="270"/>
      <c r="WS50" s="270"/>
      <c r="WT50" s="270"/>
      <c r="WU50" s="270"/>
      <c r="WV50" s="270"/>
      <c r="WW50" s="270"/>
      <c r="WX50" s="270"/>
      <c r="WY50" s="270"/>
      <c r="WZ50" s="270"/>
      <c r="XA50" s="270"/>
      <c r="XB50" s="270"/>
      <c r="XC50" s="270"/>
      <c r="XD50" s="270"/>
      <c r="XE50" s="270"/>
      <c r="XF50" s="270"/>
      <c r="XG50" s="270"/>
      <c r="XH50" s="270"/>
      <c r="XI50" s="270"/>
      <c r="XJ50" s="270"/>
      <c r="XK50" s="270"/>
      <c r="XL50" s="270"/>
      <c r="XM50" s="270"/>
      <c r="XN50" s="270"/>
      <c r="XO50" s="270"/>
      <c r="XP50" s="270"/>
      <c r="XQ50" s="270"/>
      <c r="XR50" s="270"/>
      <c r="XS50" s="270"/>
      <c r="XT50" s="270"/>
      <c r="XU50" s="270"/>
      <c r="XV50" s="270"/>
      <c r="XW50" s="270"/>
      <c r="XX50" s="270"/>
      <c r="XY50" s="270"/>
      <c r="XZ50" s="270"/>
      <c r="YA50" s="270"/>
      <c r="YB50" s="270"/>
      <c r="YC50" s="270"/>
      <c r="YD50" s="270"/>
      <c r="YE50" s="270"/>
      <c r="YF50" s="270"/>
      <c r="YG50" s="270"/>
      <c r="YH50" s="270"/>
      <c r="YI50" s="270"/>
      <c r="YJ50" s="270"/>
      <c r="YK50" s="270"/>
      <c r="YL50" s="270"/>
      <c r="YM50" s="270"/>
      <c r="YN50" s="270"/>
      <c r="YO50" s="270"/>
      <c r="YP50" s="270"/>
      <c r="YQ50" s="270"/>
      <c r="YR50" s="270"/>
      <c r="YS50" s="270"/>
      <c r="YT50" s="270"/>
      <c r="YU50" s="270"/>
      <c r="YV50" s="270"/>
      <c r="YW50" s="270"/>
      <c r="YX50" s="270"/>
      <c r="YY50" s="270"/>
      <c r="YZ50" s="270"/>
      <c r="ZA50" s="270"/>
      <c r="ZB50" s="270"/>
      <c r="ZC50" s="270"/>
      <c r="ZD50" s="270"/>
      <c r="ZE50" s="270"/>
    </row>
    <row r="51">
      <c r="A51" s="143" t="s">
        <v>1992</v>
      </c>
      <c r="B51" s="428"/>
      <c r="C51" s="16"/>
      <c r="D51" s="16"/>
      <c r="E51" s="16"/>
      <c r="F51" s="16"/>
      <c r="G51" s="16"/>
      <c r="H51" s="16"/>
      <c r="I51" s="428"/>
      <c r="J51" s="16"/>
      <c r="K51" s="16"/>
      <c r="L51" s="16"/>
      <c r="M51" s="16"/>
      <c r="N51" s="16"/>
      <c r="O51" s="16"/>
      <c r="P51" s="428"/>
      <c r="Q51" s="16"/>
      <c r="R51" s="16"/>
      <c r="S51" s="16"/>
      <c r="T51" s="16"/>
      <c r="U51" s="16"/>
      <c r="V51" s="16"/>
      <c r="W51" s="428"/>
      <c r="X51" s="16"/>
      <c r="Y51" s="16"/>
      <c r="Z51" s="16"/>
      <c r="AA51" s="16"/>
      <c r="AB51" s="16"/>
      <c r="AC51" s="16"/>
      <c r="AD51" s="428"/>
      <c r="AE51" s="16"/>
      <c r="AF51" s="16"/>
      <c r="AG51" s="16"/>
      <c r="AH51" s="16"/>
      <c r="AI51" s="16"/>
      <c r="AJ51" s="16"/>
      <c r="AK51" s="428"/>
      <c r="AL51" s="16"/>
      <c r="AM51" s="16"/>
      <c r="AN51" s="16"/>
      <c r="AO51" s="16"/>
      <c r="AP51" s="16"/>
      <c r="AQ51" s="16"/>
      <c r="AR51" s="428"/>
      <c r="AS51" s="16"/>
      <c r="AT51" s="16"/>
      <c r="AU51" s="16"/>
      <c r="AV51" s="16"/>
      <c r="AW51" s="16"/>
      <c r="AX51" s="16"/>
      <c r="AY51" s="428"/>
      <c r="AZ51" s="16"/>
      <c r="BA51" s="16"/>
      <c r="BB51" s="16"/>
      <c r="BC51" s="16"/>
      <c r="BD51" s="16"/>
      <c r="BE51" s="16"/>
      <c r="BF51" s="428"/>
      <c r="BG51" s="16"/>
      <c r="BH51" s="16"/>
      <c r="BI51" s="16"/>
      <c r="BJ51" s="16"/>
      <c r="BK51" s="16"/>
      <c r="BL51" s="16"/>
      <c r="BM51" s="428"/>
      <c r="BN51" s="16"/>
      <c r="BO51" s="16"/>
      <c r="BP51" s="16"/>
      <c r="BQ51" s="16"/>
      <c r="BR51" s="16"/>
      <c r="BS51" s="16"/>
      <c r="BT51" s="428"/>
      <c r="BU51" s="16"/>
      <c r="BV51" s="16"/>
      <c r="BW51" s="16"/>
      <c r="BX51" s="16"/>
      <c r="BY51" s="16"/>
      <c r="BZ51" s="16"/>
      <c r="CA51" s="428"/>
      <c r="CB51" s="16"/>
      <c r="CC51" s="16"/>
      <c r="CD51" s="16"/>
      <c r="CE51" s="16"/>
      <c r="CF51" s="16"/>
      <c r="CG51" s="16"/>
      <c r="CH51" s="428"/>
      <c r="CI51" s="16"/>
      <c r="CJ51" s="16"/>
      <c r="CK51" s="16"/>
      <c r="CL51" s="16"/>
      <c r="CM51" s="16"/>
      <c r="CN51" s="16"/>
      <c r="CO51" s="428"/>
      <c r="CP51" s="16"/>
      <c r="CQ51" s="16"/>
      <c r="CR51" s="16"/>
      <c r="CS51" s="16"/>
      <c r="CT51" s="16"/>
      <c r="CU51" s="16"/>
      <c r="CV51" s="428"/>
      <c r="CW51" s="16"/>
      <c r="CX51" s="16"/>
      <c r="CY51" s="16"/>
      <c r="CZ51" s="16"/>
      <c r="DA51" s="16"/>
      <c r="DB51" s="16"/>
      <c r="DC51" s="428"/>
      <c r="DD51" s="16"/>
      <c r="DE51" s="16"/>
      <c r="DF51" s="16"/>
      <c r="DG51" s="16"/>
      <c r="DH51" s="16"/>
      <c r="DI51" s="16"/>
      <c r="DJ51" s="428"/>
      <c r="DK51" s="16"/>
      <c r="DL51" s="16"/>
      <c r="DM51" s="16"/>
      <c r="DN51" s="16"/>
      <c r="DO51" s="16"/>
      <c r="DP51" s="16"/>
      <c r="DQ51" s="428"/>
      <c r="DR51" s="16"/>
      <c r="DS51" s="16"/>
      <c r="DT51" s="16"/>
      <c r="DU51" s="16"/>
      <c r="DV51" s="16"/>
      <c r="DW51" s="16"/>
      <c r="DX51" s="428"/>
      <c r="DY51" s="16"/>
      <c r="DZ51" s="16"/>
      <c r="EA51" s="16"/>
      <c r="EB51" s="16"/>
      <c r="EC51" s="16"/>
      <c r="ED51" s="16"/>
      <c r="EE51" s="428"/>
      <c r="EF51" s="16"/>
      <c r="EG51" s="16"/>
      <c r="EH51" s="16"/>
      <c r="EI51" s="16"/>
      <c r="EJ51" s="16"/>
      <c r="EK51" s="16"/>
      <c r="EL51" s="428"/>
      <c r="EM51" s="16"/>
      <c r="EN51" s="16"/>
      <c r="EO51" s="16"/>
      <c r="EP51" s="16"/>
      <c r="EQ51" s="16"/>
      <c r="ER51" s="16"/>
      <c r="ES51" s="428"/>
      <c r="ET51" s="16"/>
      <c r="EU51" s="16"/>
      <c r="EV51" s="16"/>
      <c r="EW51" s="16"/>
      <c r="EX51" s="16"/>
      <c r="EY51" s="16"/>
      <c r="EZ51" s="428"/>
      <c r="FA51" s="16"/>
      <c r="FB51" s="16"/>
      <c r="FC51" s="16"/>
      <c r="FD51" s="16"/>
      <c r="FE51" s="16"/>
      <c r="FF51" s="16"/>
      <c r="FG51" s="428"/>
      <c r="FH51" s="16"/>
      <c r="FI51" s="16"/>
      <c r="FJ51" s="16"/>
      <c r="FK51" s="16"/>
      <c r="FL51" s="16"/>
      <c r="FM51" s="16"/>
      <c r="FN51" s="428"/>
      <c r="FO51" s="16"/>
      <c r="FP51" s="16"/>
      <c r="FQ51" s="16"/>
      <c r="FR51" s="16"/>
      <c r="FS51" s="16"/>
      <c r="FT51" s="16"/>
      <c r="FU51" s="428"/>
      <c r="FV51" s="16"/>
      <c r="FW51" s="16"/>
      <c r="FX51" s="16"/>
      <c r="FY51" s="16"/>
      <c r="FZ51" s="16"/>
      <c r="GA51" s="16"/>
      <c r="GB51" s="428"/>
      <c r="GC51" s="16"/>
      <c r="GD51" s="16"/>
      <c r="GE51" s="16"/>
      <c r="GF51" s="16"/>
      <c r="GG51" s="16"/>
      <c r="GH51" s="16"/>
      <c r="GI51" s="428"/>
      <c r="GJ51" s="16"/>
      <c r="GK51" s="16"/>
      <c r="GL51" s="16"/>
      <c r="GM51" s="16"/>
      <c r="GN51" s="16"/>
      <c r="GO51" s="16"/>
      <c r="GP51" s="428"/>
      <c r="GQ51" s="16"/>
      <c r="GR51" s="16"/>
      <c r="GS51" s="16"/>
      <c r="GT51" s="16"/>
      <c r="GU51" s="16"/>
      <c r="GV51" s="16"/>
      <c r="GW51" s="428"/>
      <c r="GX51" s="16"/>
      <c r="GY51" s="16"/>
      <c r="GZ51" s="16"/>
      <c r="HA51" s="16"/>
      <c r="HB51" s="16"/>
      <c r="HC51" s="16"/>
      <c r="HD51" s="428"/>
      <c r="HE51" s="16"/>
      <c r="HF51" s="16"/>
      <c r="HG51" s="16"/>
      <c r="HH51" s="16"/>
      <c r="HI51" s="16"/>
      <c r="HJ51" s="16"/>
      <c r="HK51" s="428"/>
      <c r="HL51" s="16"/>
      <c r="HM51" s="16"/>
      <c r="HN51" s="16"/>
      <c r="HO51" s="16"/>
      <c r="HP51" s="16"/>
      <c r="HQ51" s="16"/>
      <c r="HR51" s="428"/>
      <c r="HS51" s="16"/>
      <c r="HT51" s="16"/>
      <c r="HU51" s="16"/>
      <c r="HV51" s="16"/>
      <c r="HW51" s="16"/>
      <c r="HX51" s="16"/>
      <c r="HY51" s="428"/>
      <c r="HZ51" s="16"/>
      <c r="IA51" s="16"/>
      <c r="IB51" s="16"/>
      <c r="IC51" s="16"/>
      <c r="ID51" s="16"/>
      <c r="IE51" s="16"/>
      <c r="IF51" s="428"/>
      <c r="IG51" s="16"/>
      <c r="IH51" s="16"/>
      <c r="II51" s="16"/>
      <c r="IJ51" s="16"/>
      <c r="IK51" s="16"/>
      <c r="IL51" s="16"/>
      <c r="IM51" s="428"/>
      <c r="IN51" s="16"/>
      <c r="IO51" s="16"/>
      <c r="IP51" s="16"/>
      <c r="IQ51" s="16"/>
      <c r="IR51" s="16"/>
      <c r="IS51" s="16"/>
      <c r="IT51" s="428"/>
      <c r="IU51" s="16"/>
      <c r="IV51" s="16"/>
      <c r="IW51" s="16"/>
      <c r="IX51" s="16"/>
      <c r="IY51" s="16"/>
      <c r="IZ51" s="16"/>
      <c r="JA51" s="428"/>
      <c r="JB51" s="16"/>
      <c r="JC51" s="16"/>
      <c r="JD51" s="16"/>
      <c r="JE51" s="16"/>
      <c r="JF51" s="16"/>
      <c r="JG51" s="16"/>
      <c r="JH51" s="428"/>
      <c r="JI51" s="16"/>
      <c r="JJ51" s="16"/>
      <c r="JK51" s="16"/>
      <c r="JL51" s="16"/>
      <c r="JM51" s="16"/>
      <c r="JN51" s="16"/>
      <c r="JO51" s="428"/>
      <c r="JP51" s="16"/>
      <c r="JQ51" s="16"/>
      <c r="JR51" s="16"/>
      <c r="JS51" s="16"/>
      <c r="JT51" s="16"/>
      <c r="JU51" s="16"/>
      <c r="JV51" s="428"/>
      <c r="JW51" s="16"/>
      <c r="JX51" s="16"/>
      <c r="JY51" s="16"/>
      <c r="JZ51" s="16"/>
      <c r="KA51" s="16"/>
      <c r="KB51" s="16"/>
      <c r="KC51" s="428"/>
      <c r="KD51" s="16"/>
      <c r="KE51" s="16"/>
      <c r="KF51" s="16"/>
      <c r="KG51" s="16"/>
      <c r="KH51" s="16"/>
      <c r="KI51" s="16"/>
      <c r="KJ51" s="428"/>
      <c r="KK51" s="16"/>
      <c r="KL51" s="16"/>
      <c r="KM51" s="16"/>
      <c r="KN51" s="16"/>
      <c r="KO51" s="16"/>
      <c r="KP51" s="16"/>
      <c r="KQ51" s="428"/>
      <c r="KR51" s="16"/>
      <c r="KS51" s="16"/>
      <c r="KT51" s="16"/>
      <c r="KU51" s="16"/>
      <c r="KV51" s="16"/>
      <c r="KW51" s="16"/>
      <c r="KX51" s="428"/>
      <c r="KY51" s="16"/>
      <c r="KZ51" s="16"/>
      <c r="LA51" s="16"/>
      <c r="LB51" s="16"/>
      <c r="LC51" s="16"/>
      <c r="LD51" s="16"/>
      <c r="LE51" s="428"/>
      <c r="LF51" s="16"/>
      <c r="LG51" s="16"/>
      <c r="LH51" s="16"/>
      <c r="LI51" s="16"/>
      <c r="LJ51" s="16"/>
      <c r="LK51" s="16"/>
      <c r="LL51" s="428"/>
      <c r="LM51" s="16"/>
      <c r="LN51" s="16"/>
      <c r="LO51" s="16"/>
      <c r="LP51" s="16"/>
      <c r="LQ51" s="16"/>
      <c r="LR51" s="16"/>
      <c r="LS51" s="428"/>
      <c r="LT51" s="16"/>
      <c r="LU51" s="16"/>
      <c r="LV51" s="16"/>
      <c r="LW51" s="16"/>
      <c r="LX51" s="16"/>
      <c r="LY51" s="16"/>
      <c r="LZ51" s="428"/>
      <c r="MA51" s="16"/>
      <c r="MB51" s="16"/>
      <c r="MC51" s="16"/>
      <c r="MD51" s="16"/>
      <c r="ME51" s="16"/>
      <c r="MF51" s="16"/>
      <c r="MG51" s="428"/>
      <c r="MH51" s="16"/>
      <c r="MI51" s="16"/>
      <c r="MJ51" s="16"/>
      <c r="MK51" s="16"/>
      <c r="ML51" s="16"/>
      <c r="MM51" s="16"/>
      <c r="MN51" s="428"/>
      <c r="MO51" s="16"/>
      <c r="MP51" s="16"/>
      <c r="MQ51" s="16"/>
      <c r="MR51" s="16"/>
      <c r="MS51" s="16"/>
      <c r="MT51" s="16"/>
      <c r="MU51" s="428"/>
      <c r="MV51" s="16"/>
      <c r="MW51" s="16"/>
      <c r="MX51" s="16"/>
      <c r="MY51" s="16"/>
      <c r="MZ51" s="16"/>
      <c r="NA51" s="25"/>
      <c r="NB51" s="430"/>
      <c r="NC51" s="335"/>
      <c r="ND51" s="335"/>
      <c r="NE51" s="335"/>
      <c r="NF51" s="335"/>
      <c r="NG51" s="335"/>
      <c r="NH51" s="335"/>
      <c r="NI51" s="335"/>
      <c r="NJ51" s="335"/>
      <c r="NK51" s="335"/>
      <c r="NL51" s="335"/>
      <c r="NM51" s="335"/>
      <c r="NN51" s="335"/>
      <c r="NO51" s="335"/>
      <c r="NP51" s="335"/>
      <c r="NQ51" s="335"/>
      <c r="NR51" s="335"/>
      <c r="NS51" s="335"/>
      <c r="NT51" s="335"/>
      <c r="NU51" s="335"/>
      <c r="NV51" s="335"/>
      <c r="NW51" s="335"/>
      <c r="NX51" s="335"/>
      <c r="NY51" s="335"/>
      <c r="NZ51" s="335"/>
      <c r="OA51" s="335"/>
      <c r="OB51" s="335"/>
      <c r="OC51" s="335"/>
      <c r="OD51" s="335"/>
      <c r="OE51" s="335"/>
      <c r="OF51" s="335"/>
      <c r="OG51" s="335"/>
      <c r="OH51" s="335"/>
      <c r="OI51" s="335"/>
      <c r="OJ51" s="335"/>
      <c r="OK51" s="335"/>
      <c r="OL51" s="335"/>
      <c r="OM51" s="335"/>
      <c r="ON51" s="335"/>
      <c r="OO51" s="335"/>
      <c r="OP51" s="335"/>
      <c r="OQ51" s="335"/>
      <c r="OR51" s="335"/>
      <c r="OS51" s="335"/>
      <c r="OT51" s="335"/>
      <c r="OU51" s="335"/>
      <c r="OV51" s="335"/>
      <c r="OW51" s="335"/>
      <c r="OX51" s="335"/>
      <c r="OY51" s="335"/>
      <c r="OZ51" s="335"/>
      <c r="PA51" s="335"/>
      <c r="PB51" s="335"/>
      <c r="PC51" s="335"/>
      <c r="PD51" s="335"/>
      <c r="PE51" s="335"/>
      <c r="PF51" s="335"/>
      <c r="PG51" s="335"/>
      <c r="PH51" s="335"/>
      <c r="PI51" s="335"/>
      <c r="PJ51" s="335"/>
      <c r="PK51" s="335"/>
      <c r="PL51" s="335"/>
      <c r="PM51" s="335"/>
      <c r="PN51" s="335"/>
      <c r="PO51" s="335"/>
      <c r="PP51" s="335"/>
      <c r="PQ51" s="335"/>
      <c r="PR51" s="335"/>
      <c r="PS51" s="335"/>
      <c r="PT51" s="335"/>
      <c r="PU51" s="335"/>
      <c r="PV51" s="335"/>
      <c r="PW51" s="335"/>
      <c r="PX51" s="335"/>
      <c r="PY51" s="335"/>
      <c r="PZ51" s="335"/>
      <c r="QA51" s="335"/>
      <c r="QB51" s="335"/>
      <c r="QC51" s="335"/>
      <c r="QD51" s="335"/>
      <c r="QE51" s="335"/>
      <c r="QF51" s="335"/>
      <c r="QG51" s="335"/>
      <c r="QH51" s="335"/>
      <c r="QI51" s="335"/>
      <c r="QJ51" s="335"/>
      <c r="QK51" s="335"/>
      <c r="QL51" s="335"/>
      <c r="QM51" s="335"/>
      <c r="QN51" s="335"/>
      <c r="QO51" s="335"/>
      <c r="QP51" s="335"/>
      <c r="QQ51" s="335"/>
      <c r="QR51" s="335"/>
      <c r="QS51" s="335"/>
      <c r="QT51" s="335"/>
      <c r="QU51" s="335"/>
      <c r="QV51" s="335"/>
      <c r="QW51" s="335"/>
      <c r="QX51" s="335"/>
      <c r="QY51" s="335"/>
      <c r="QZ51" s="335"/>
      <c r="RA51" s="335"/>
      <c r="RB51" s="335"/>
      <c r="RC51" s="335"/>
      <c r="RD51" s="335"/>
      <c r="RE51" s="335"/>
      <c r="RF51" s="335"/>
      <c r="RG51" s="335"/>
      <c r="RH51" s="335"/>
      <c r="RI51" s="335"/>
      <c r="RJ51" s="335"/>
      <c r="RK51" s="335"/>
      <c r="RL51" s="335"/>
      <c r="RM51" s="335"/>
      <c r="RN51" s="335"/>
      <c r="RO51" s="335"/>
      <c r="RP51" s="335"/>
      <c r="RQ51" s="335"/>
      <c r="RR51" s="335"/>
      <c r="RS51" s="335"/>
      <c r="RT51" s="335"/>
      <c r="RU51" s="335"/>
      <c r="RV51" s="335"/>
      <c r="RW51" s="335"/>
      <c r="RX51" s="335"/>
      <c r="RY51" s="335"/>
      <c r="RZ51" s="335"/>
      <c r="SA51" s="335"/>
      <c r="SB51" s="335"/>
      <c r="SC51" s="335"/>
      <c r="SD51" s="335"/>
      <c r="SE51" s="335"/>
      <c r="SF51" s="335"/>
      <c r="SG51" s="335"/>
      <c r="SH51" s="335"/>
      <c r="SI51" s="335"/>
      <c r="SJ51" s="335"/>
      <c r="SK51" s="335"/>
      <c r="SL51" s="335"/>
      <c r="SM51" s="335"/>
      <c r="SN51" s="335"/>
      <c r="SO51" s="335"/>
      <c r="SP51" s="335"/>
      <c r="SQ51" s="335"/>
      <c r="SR51" s="335"/>
      <c r="SS51" s="335"/>
      <c r="ST51" s="335"/>
      <c r="SU51" s="335"/>
      <c r="SV51" s="335"/>
      <c r="SW51" s="335"/>
      <c r="SX51" s="335"/>
      <c r="SY51" s="335"/>
      <c r="SZ51" s="335"/>
      <c r="TA51" s="335"/>
      <c r="TB51" s="335"/>
      <c r="TC51" s="335"/>
      <c r="TD51" s="335"/>
      <c r="TE51" s="335"/>
      <c r="TF51" s="335"/>
      <c r="TG51" s="335"/>
      <c r="TH51" s="335"/>
      <c r="TI51" s="335"/>
      <c r="TJ51" s="335"/>
      <c r="TK51" s="335"/>
      <c r="TL51" s="335"/>
      <c r="TM51" s="335"/>
      <c r="TN51" s="335"/>
      <c r="TO51" s="335"/>
      <c r="TP51" s="335"/>
      <c r="TQ51" s="335"/>
      <c r="TR51" s="335"/>
      <c r="TS51" s="335"/>
      <c r="TT51" s="335"/>
      <c r="TU51" s="335"/>
      <c r="TV51" s="335"/>
      <c r="TW51" s="335"/>
      <c r="TX51" s="335"/>
      <c r="TY51" s="335"/>
      <c r="TZ51" s="335"/>
      <c r="UA51" s="335"/>
      <c r="UB51" s="335"/>
      <c r="UC51" s="335"/>
      <c r="UD51" s="335"/>
      <c r="UE51" s="335"/>
      <c r="UF51" s="335"/>
      <c r="UG51" s="335"/>
      <c r="UH51" s="335"/>
      <c r="UI51" s="335"/>
      <c r="UJ51" s="335"/>
      <c r="UK51" s="335"/>
      <c r="UL51" s="335"/>
      <c r="UM51" s="335"/>
      <c r="UN51" s="335"/>
      <c r="UO51" s="335"/>
      <c r="UP51" s="335"/>
      <c r="UQ51" s="335"/>
      <c r="UR51" s="335"/>
      <c r="US51" s="335"/>
      <c r="UT51" s="335"/>
      <c r="UU51" s="335"/>
      <c r="UV51" s="335"/>
      <c r="UW51" s="335"/>
      <c r="UX51" s="335"/>
      <c r="UY51" s="335"/>
      <c r="UZ51" s="335"/>
      <c r="VA51" s="335"/>
      <c r="VB51" s="335"/>
      <c r="VC51" s="335"/>
      <c r="VD51" s="335"/>
      <c r="VE51" s="335"/>
      <c r="VF51" s="335"/>
      <c r="VG51" s="335"/>
      <c r="VH51" s="335"/>
      <c r="VI51" s="335"/>
      <c r="VJ51" s="335"/>
      <c r="VK51" s="335"/>
      <c r="VL51" s="335"/>
      <c r="VM51" s="335"/>
      <c r="VN51" s="335"/>
      <c r="VO51" s="335"/>
      <c r="VP51" s="335"/>
      <c r="VQ51" s="335"/>
      <c r="VR51" s="335"/>
      <c r="VS51" s="335"/>
      <c r="VT51" s="335"/>
      <c r="VU51" s="335"/>
      <c r="VV51" s="335"/>
      <c r="VW51" s="335"/>
      <c r="VX51" s="335"/>
      <c r="VY51" s="335"/>
      <c r="VZ51" s="335"/>
      <c r="WA51" s="335"/>
      <c r="WB51" s="335"/>
      <c r="WC51" s="335"/>
      <c r="WD51" s="335"/>
      <c r="WE51" s="335"/>
      <c r="WF51" s="335"/>
      <c r="WG51" s="335"/>
      <c r="WH51" s="335"/>
      <c r="WI51" s="335"/>
      <c r="WJ51" s="335"/>
      <c r="WK51" s="335"/>
      <c r="WL51" s="335"/>
      <c r="WM51" s="335"/>
      <c r="WN51" s="335"/>
      <c r="WO51" s="335"/>
      <c r="WP51" s="335"/>
      <c r="WQ51" s="335"/>
      <c r="WR51" s="335"/>
      <c r="WS51" s="335"/>
      <c r="WT51" s="335"/>
      <c r="WU51" s="335"/>
      <c r="WV51" s="335"/>
      <c r="WW51" s="335"/>
      <c r="WX51" s="335"/>
      <c r="WY51" s="335"/>
      <c r="WZ51" s="335"/>
      <c r="XA51" s="335"/>
      <c r="XB51" s="335"/>
      <c r="XC51" s="335"/>
      <c r="XD51" s="335"/>
      <c r="XE51" s="335"/>
      <c r="XF51" s="335"/>
      <c r="XG51" s="335"/>
      <c r="XH51" s="335"/>
      <c r="XI51" s="335"/>
      <c r="XJ51" s="335"/>
      <c r="XK51" s="335"/>
      <c r="XL51" s="335"/>
      <c r="XM51" s="335"/>
      <c r="XN51" s="335"/>
      <c r="XO51" s="335"/>
      <c r="XP51" s="335"/>
      <c r="XQ51" s="335"/>
      <c r="XR51" s="335"/>
      <c r="XS51" s="335"/>
      <c r="XT51" s="335"/>
      <c r="XU51" s="335"/>
      <c r="XV51" s="335"/>
      <c r="XW51" s="335"/>
      <c r="XX51" s="335"/>
      <c r="XY51" s="335"/>
      <c r="XZ51" s="335"/>
      <c r="YA51" s="335"/>
      <c r="YB51" s="335"/>
      <c r="YC51" s="335"/>
      <c r="YD51" s="335"/>
      <c r="YE51" s="335"/>
      <c r="YF51" s="335"/>
      <c r="YG51" s="335"/>
      <c r="YH51" s="335"/>
      <c r="YI51" s="335"/>
      <c r="YJ51" s="335"/>
      <c r="YK51" s="335"/>
      <c r="YL51" s="335"/>
      <c r="YM51" s="335"/>
      <c r="YN51" s="335"/>
      <c r="YO51" s="335"/>
      <c r="YP51" s="335"/>
      <c r="YQ51" s="335"/>
      <c r="YR51" s="335"/>
      <c r="YS51" s="335"/>
      <c r="YT51" s="335"/>
      <c r="YU51" s="335"/>
      <c r="YV51" s="335"/>
      <c r="YW51" s="335"/>
      <c r="YX51" s="335"/>
      <c r="YY51" s="335"/>
      <c r="YZ51" s="335"/>
      <c r="ZA51" s="335"/>
      <c r="ZB51" s="335"/>
      <c r="ZC51" s="335"/>
      <c r="ZD51" s="335"/>
      <c r="ZE51" s="335"/>
    </row>
    <row r="52">
      <c r="A52" s="156" t="s">
        <v>1997</v>
      </c>
      <c r="B52" s="232"/>
      <c r="C52" s="232" t="s">
        <v>382</v>
      </c>
      <c r="D52" s="232"/>
      <c r="E52" s="232"/>
      <c r="F52" s="232"/>
      <c r="G52" s="232"/>
      <c r="H52" s="232"/>
      <c r="I52" s="232" t="s">
        <v>382</v>
      </c>
      <c r="J52" s="232"/>
      <c r="K52" s="232"/>
      <c r="L52" s="232"/>
      <c r="M52" s="232" t="s">
        <v>1379</v>
      </c>
      <c r="N52" s="232"/>
      <c r="O52" s="232"/>
      <c r="P52" s="232" t="s">
        <v>382</v>
      </c>
      <c r="Q52" s="232"/>
      <c r="R52" s="232"/>
      <c r="S52" s="232"/>
      <c r="T52" s="232"/>
      <c r="U52" s="232"/>
      <c r="V52" s="232"/>
      <c r="W52" s="232" t="s">
        <v>382</v>
      </c>
      <c r="X52" s="232"/>
      <c r="Y52" s="232"/>
      <c r="Z52" s="232"/>
      <c r="AA52" s="232"/>
      <c r="AB52" s="232"/>
      <c r="AC52" s="232"/>
      <c r="AD52" s="232" t="s">
        <v>382</v>
      </c>
      <c r="AE52" s="232"/>
      <c r="AF52" s="232"/>
      <c r="AG52" s="232" t="s">
        <v>382</v>
      </c>
      <c r="AH52" s="232"/>
      <c r="AI52" s="232"/>
      <c r="AJ52" s="232"/>
      <c r="AK52" s="232" t="s">
        <v>382</v>
      </c>
      <c r="AL52" s="232"/>
      <c r="AM52" s="232"/>
      <c r="AN52" s="232" t="s">
        <v>382</v>
      </c>
      <c r="AO52" s="232"/>
      <c r="AP52" s="232"/>
      <c r="AQ52" s="232" t="s">
        <v>382</v>
      </c>
      <c r="AR52" s="232" t="s">
        <v>382</v>
      </c>
      <c r="AS52" s="232"/>
      <c r="AT52" s="431" t="s">
        <v>2000</v>
      </c>
      <c r="AU52" s="232"/>
      <c r="AV52" s="232"/>
      <c r="AW52" s="232"/>
      <c r="AX52" s="232"/>
      <c r="AY52" s="232" t="s">
        <v>382</v>
      </c>
      <c r="AZ52" s="232"/>
      <c r="BA52" s="232"/>
      <c r="BB52" s="232"/>
      <c r="BC52" s="232"/>
      <c r="BD52" s="232"/>
      <c r="BE52" s="232"/>
      <c r="BF52" s="232" t="s">
        <v>382</v>
      </c>
      <c r="BG52" s="232"/>
      <c r="BH52" s="232"/>
      <c r="BI52" s="232"/>
      <c r="BJ52" s="232" t="s">
        <v>382</v>
      </c>
      <c r="BK52" s="232"/>
      <c r="BL52" s="232"/>
      <c r="BM52" s="232"/>
      <c r="BN52" s="232" t="s">
        <v>382</v>
      </c>
      <c r="BO52" s="232"/>
      <c r="BP52" s="232"/>
      <c r="BQ52" s="232"/>
      <c r="BR52" s="232"/>
      <c r="BS52" s="232"/>
      <c r="BT52" s="232" t="s">
        <v>382</v>
      </c>
      <c r="BU52" s="232"/>
      <c r="BV52" s="232"/>
      <c r="BW52" s="232"/>
      <c r="BX52" s="232" t="s">
        <v>382</v>
      </c>
      <c r="BY52" s="232"/>
      <c r="BZ52" s="232"/>
      <c r="CA52" s="232" t="s">
        <v>382</v>
      </c>
      <c r="CB52" s="232"/>
      <c r="CC52" s="232"/>
      <c r="CD52" s="232"/>
      <c r="CE52" s="232"/>
      <c r="CF52" s="232"/>
      <c r="CG52" s="232"/>
      <c r="CH52" s="232" t="s">
        <v>382</v>
      </c>
      <c r="CI52" s="232"/>
      <c r="CJ52" s="232"/>
      <c r="CK52" s="232" t="s">
        <v>382</v>
      </c>
      <c r="CL52" s="232"/>
      <c r="CM52" s="232"/>
      <c r="CN52" s="232"/>
      <c r="CO52" s="232"/>
      <c r="CP52" s="232" t="s">
        <v>382</v>
      </c>
      <c r="CQ52" s="232"/>
      <c r="CR52" s="232"/>
      <c r="CS52" s="232"/>
      <c r="CT52" s="232"/>
      <c r="CU52" s="232"/>
      <c r="CV52" s="232" t="s">
        <v>2001</v>
      </c>
      <c r="CW52" s="232"/>
      <c r="CX52" s="232"/>
      <c r="CY52" s="232"/>
      <c r="CZ52" s="232" t="s">
        <v>1389</v>
      </c>
      <c r="DA52" s="232"/>
      <c r="DB52" s="232"/>
      <c r="DC52" s="232" t="s">
        <v>382</v>
      </c>
      <c r="DD52" s="232" t="s">
        <v>1378</v>
      </c>
      <c r="DE52" s="232"/>
      <c r="DF52" s="232"/>
      <c r="DG52" s="232"/>
      <c r="DH52" s="232"/>
      <c r="DI52" s="232"/>
      <c r="DJ52" s="232" t="s">
        <v>382</v>
      </c>
      <c r="DK52" s="232"/>
      <c r="DL52" s="232" t="s">
        <v>382</v>
      </c>
      <c r="DM52" s="232"/>
      <c r="DN52" s="232"/>
      <c r="DO52" s="232"/>
      <c r="DP52" s="232"/>
      <c r="DQ52" s="232" t="s">
        <v>382</v>
      </c>
      <c r="DR52" s="232"/>
      <c r="DS52" s="232"/>
      <c r="DT52" s="232" t="s">
        <v>382</v>
      </c>
      <c r="DU52" s="232"/>
      <c r="DV52" s="232"/>
      <c r="DW52" s="232"/>
      <c r="DX52" s="232" t="s">
        <v>382</v>
      </c>
      <c r="DY52" s="232"/>
      <c r="DZ52" s="232" t="s">
        <v>382</v>
      </c>
      <c r="EA52" s="232"/>
      <c r="EB52" s="232" t="s">
        <v>382</v>
      </c>
      <c r="EC52" s="232" t="s">
        <v>382</v>
      </c>
      <c r="ED52" s="232" t="s">
        <v>382</v>
      </c>
      <c r="EE52" s="232"/>
      <c r="EF52" s="232"/>
      <c r="EG52" s="232" t="s">
        <v>382</v>
      </c>
      <c r="EH52" s="232"/>
      <c r="EI52" s="232"/>
      <c r="EJ52" s="232"/>
      <c r="EK52" s="232"/>
      <c r="EL52" s="232"/>
      <c r="EM52" s="232" t="s">
        <v>382</v>
      </c>
      <c r="EN52" s="232"/>
      <c r="EO52" s="232"/>
      <c r="EP52" s="232" t="s">
        <v>1379</v>
      </c>
      <c r="EQ52" s="232"/>
      <c r="ER52" s="232"/>
      <c r="ES52" s="232" t="s">
        <v>382</v>
      </c>
      <c r="ET52" s="232"/>
      <c r="EU52" s="232"/>
      <c r="EV52" s="232"/>
      <c r="EW52" s="232"/>
      <c r="EX52" s="232"/>
      <c r="EY52" s="232"/>
      <c r="EZ52" s="232" t="s">
        <v>2003</v>
      </c>
      <c r="FA52" s="232"/>
      <c r="FB52" s="324"/>
      <c r="FC52" s="232" t="s">
        <v>382</v>
      </c>
      <c r="FD52" s="232" t="s">
        <v>2004</v>
      </c>
      <c r="FE52" s="232"/>
      <c r="FF52" s="232"/>
      <c r="FG52" s="232" t="s">
        <v>382</v>
      </c>
      <c r="FH52" s="232"/>
      <c r="FI52" s="232" t="s">
        <v>382</v>
      </c>
      <c r="FJ52" s="232"/>
      <c r="FK52" s="232" t="s">
        <v>382</v>
      </c>
      <c r="FL52" s="232" t="s">
        <v>382</v>
      </c>
      <c r="FM52" s="232" t="s">
        <v>382</v>
      </c>
      <c r="FN52" s="324"/>
      <c r="FO52" s="232" t="s">
        <v>382</v>
      </c>
      <c r="FP52" s="232"/>
      <c r="FQ52" s="232"/>
      <c r="FR52" s="232" t="s">
        <v>1379</v>
      </c>
      <c r="FS52" s="232"/>
      <c r="FT52" s="232"/>
      <c r="FU52" s="232" t="s">
        <v>382</v>
      </c>
      <c r="FV52" s="232"/>
      <c r="FW52" s="232"/>
      <c r="FX52" s="232"/>
      <c r="FY52" s="232" t="s">
        <v>1379</v>
      </c>
      <c r="FZ52" s="232"/>
      <c r="GA52" s="232"/>
      <c r="GB52" s="232" t="s">
        <v>382</v>
      </c>
      <c r="GC52" s="232"/>
      <c r="GD52" s="232"/>
      <c r="GE52" s="232"/>
      <c r="GF52" s="232"/>
      <c r="GG52" s="232"/>
      <c r="GH52" s="232"/>
      <c r="GI52" s="232" t="s">
        <v>2005</v>
      </c>
      <c r="GJ52" s="232"/>
      <c r="GK52" s="232"/>
      <c r="GL52" s="232"/>
      <c r="GM52" s="232"/>
      <c r="GN52" s="232"/>
      <c r="GO52" s="232"/>
      <c r="GP52" s="232"/>
      <c r="GQ52" s="232" t="s">
        <v>382</v>
      </c>
      <c r="GR52" s="232"/>
      <c r="GS52" s="232"/>
      <c r="GT52" s="432" t="s">
        <v>1379</v>
      </c>
      <c r="GU52" s="232"/>
      <c r="GV52" s="232"/>
      <c r="GW52" s="232" t="s">
        <v>382</v>
      </c>
      <c r="GX52" s="232"/>
      <c r="GY52" s="232"/>
      <c r="GZ52" s="232"/>
      <c r="HA52" s="232" t="s">
        <v>382</v>
      </c>
      <c r="HB52" s="232"/>
      <c r="HC52" s="232"/>
      <c r="HD52" s="232" t="s">
        <v>382</v>
      </c>
      <c r="HE52" s="232"/>
      <c r="HF52" s="232"/>
      <c r="HG52" s="232"/>
      <c r="HH52" s="232" t="s">
        <v>1379</v>
      </c>
      <c r="HI52" s="232"/>
      <c r="HJ52" s="232"/>
      <c r="HK52" s="433" t="s">
        <v>382</v>
      </c>
      <c r="HL52" s="434"/>
      <c r="HM52" s="434"/>
      <c r="HN52" s="433" t="s">
        <v>17</v>
      </c>
      <c r="HO52" s="434"/>
      <c r="HP52" s="434"/>
      <c r="HQ52" s="434"/>
      <c r="HR52" s="435" t="s">
        <v>2006</v>
      </c>
      <c r="HS52" s="435" t="s">
        <v>2007</v>
      </c>
      <c r="HT52" s="434"/>
      <c r="HU52" s="434"/>
      <c r="HV52" s="434"/>
      <c r="HW52" s="434"/>
      <c r="HX52" s="434"/>
      <c r="HY52" s="435" t="s">
        <v>2008</v>
      </c>
      <c r="HZ52" s="435" t="s">
        <v>2008</v>
      </c>
      <c r="IA52" s="434"/>
      <c r="IB52" s="434"/>
      <c r="IC52" s="436" t="s">
        <v>382</v>
      </c>
      <c r="ID52" s="434"/>
      <c r="IE52" s="434"/>
      <c r="IF52" s="435" t="s">
        <v>2008</v>
      </c>
      <c r="IG52" s="435" t="s">
        <v>2008</v>
      </c>
      <c r="IH52" s="232"/>
      <c r="II52" s="232"/>
      <c r="IJ52" s="232"/>
      <c r="IK52" s="232"/>
      <c r="IL52" s="232"/>
      <c r="IM52" s="437" t="s">
        <v>2009</v>
      </c>
      <c r="IN52" s="438"/>
      <c r="IO52" s="232"/>
      <c r="IP52" s="439" t="s">
        <v>382</v>
      </c>
      <c r="IQ52" s="439"/>
      <c r="IR52" s="232"/>
      <c r="IS52" s="232"/>
      <c r="IT52" s="435"/>
      <c r="IU52" s="435"/>
      <c r="IV52" s="232"/>
      <c r="IW52" s="439" t="s">
        <v>382</v>
      </c>
      <c r="IX52" s="439"/>
      <c r="IY52" s="232"/>
      <c r="IZ52" s="232"/>
      <c r="JA52" s="435" t="s">
        <v>2008</v>
      </c>
      <c r="JB52" s="435" t="s">
        <v>2008</v>
      </c>
      <c r="JC52" s="232"/>
      <c r="JD52" s="232"/>
      <c r="JE52" s="435" t="s">
        <v>2010</v>
      </c>
      <c r="JF52" s="232"/>
      <c r="JG52" s="435" t="s">
        <v>2011</v>
      </c>
      <c r="JH52" s="435" t="s">
        <v>2006</v>
      </c>
      <c r="JI52" s="435" t="s">
        <v>2008</v>
      </c>
      <c r="JJ52" s="232"/>
      <c r="JK52" s="435"/>
      <c r="JL52" s="440"/>
      <c r="JM52" s="232"/>
      <c r="JN52" s="232"/>
      <c r="JO52" s="435" t="s">
        <v>2008</v>
      </c>
      <c r="JP52" s="435" t="s">
        <v>2008</v>
      </c>
      <c r="JQ52" s="232"/>
      <c r="JR52" s="232"/>
      <c r="JS52" s="232"/>
      <c r="JT52" s="232"/>
      <c r="JU52" s="232"/>
      <c r="JV52" s="435" t="s">
        <v>2012</v>
      </c>
      <c r="JW52" s="435" t="s">
        <v>2013</v>
      </c>
      <c r="JX52" s="232"/>
      <c r="JY52" s="232"/>
      <c r="JZ52" s="232" t="s">
        <v>1379</v>
      </c>
      <c r="KA52" s="232"/>
      <c r="KB52" s="232"/>
      <c r="KC52" s="435" t="s">
        <v>2012</v>
      </c>
      <c r="KD52" s="435" t="s">
        <v>2013</v>
      </c>
      <c r="KE52" s="232"/>
      <c r="KF52" s="232"/>
      <c r="KG52" s="232"/>
      <c r="KH52" s="232"/>
      <c r="KI52" s="232"/>
      <c r="KJ52" s="435" t="s">
        <v>2014</v>
      </c>
      <c r="KK52" s="435" t="s">
        <v>2015</v>
      </c>
      <c r="KL52" s="232"/>
      <c r="KM52" s="232"/>
      <c r="KN52" s="232"/>
      <c r="KO52" s="232"/>
      <c r="KP52" s="232"/>
      <c r="KQ52" s="435" t="s">
        <v>2012</v>
      </c>
      <c r="KR52" s="435" t="s">
        <v>2013</v>
      </c>
      <c r="KS52" s="232"/>
      <c r="KT52" s="232"/>
      <c r="KU52" s="441" t="s">
        <v>2016</v>
      </c>
      <c r="KV52" s="232"/>
      <c r="KW52" s="232"/>
      <c r="KX52" s="435" t="s">
        <v>2012</v>
      </c>
      <c r="KY52" s="435" t="s">
        <v>2013</v>
      </c>
      <c r="KZ52" s="232"/>
      <c r="LA52" s="232"/>
      <c r="LB52" s="232"/>
      <c r="LC52" s="232"/>
      <c r="LD52" s="232"/>
      <c r="LE52" s="232" t="s">
        <v>1379</v>
      </c>
      <c r="LF52" s="435"/>
      <c r="LG52" s="232"/>
      <c r="LH52" s="435" t="s">
        <v>2012</v>
      </c>
      <c r="LI52" s="435" t="s">
        <v>2013</v>
      </c>
      <c r="LJ52" s="232"/>
      <c r="LK52" s="232"/>
      <c r="LL52" s="435" t="s">
        <v>2012</v>
      </c>
      <c r="LM52" s="435" t="s">
        <v>2013</v>
      </c>
      <c r="LN52" s="232"/>
      <c r="LO52" s="232"/>
      <c r="LP52" s="232"/>
      <c r="LQ52" s="232"/>
      <c r="LR52" s="232"/>
      <c r="LS52" s="435"/>
      <c r="LT52" s="435" t="s">
        <v>2012</v>
      </c>
      <c r="LU52" s="435" t="s">
        <v>2013</v>
      </c>
      <c r="LV52" s="232"/>
      <c r="LW52" s="232"/>
      <c r="LX52" s="232"/>
      <c r="LY52" s="232" t="s">
        <v>2005</v>
      </c>
      <c r="LZ52" s="232"/>
      <c r="MA52" s="232" t="s">
        <v>382</v>
      </c>
      <c r="MB52" s="232"/>
      <c r="MC52" s="232"/>
      <c r="MD52" s="232" t="s">
        <v>382</v>
      </c>
      <c r="ME52" s="232"/>
      <c r="MF52" s="232"/>
      <c r="MG52" s="442">
        <v>0.15</v>
      </c>
      <c r="MH52" s="442">
        <v>0.85</v>
      </c>
      <c r="MI52" s="232"/>
      <c r="MJ52" s="232" t="s">
        <v>1379</v>
      </c>
      <c r="MK52" s="232"/>
      <c r="ML52" s="232"/>
      <c r="MM52" s="232" t="s">
        <v>382</v>
      </c>
      <c r="MN52" s="399"/>
      <c r="MO52" s="232" t="s">
        <v>2005</v>
      </c>
      <c r="MP52" s="399"/>
      <c r="MQ52" s="232" t="s">
        <v>2005</v>
      </c>
      <c r="MR52" s="232"/>
      <c r="MS52" s="399"/>
      <c r="MT52" s="232" t="s">
        <v>2005</v>
      </c>
      <c r="MU52" s="399"/>
      <c r="MV52" s="399"/>
      <c r="MW52" s="399"/>
      <c r="MX52" s="399"/>
      <c r="MY52" s="232" t="s">
        <v>382</v>
      </c>
      <c r="MZ52" s="399"/>
      <c r="NA52" s="399"/>
      <c r="NB52" s="399"/>
      <c r="NC52" s="270"/>
      <c r="ND52" s="270"/>
      <c r="NE52" s="270"/>
      <c r="NF52" s="270"/>
      <c r="NG52" s="270"/>
      <c r="NH52" s="270"/>
      <c r="NI52" s="270"/>
      <c r="NJ52" s="270"/>
      <c r="NK52" s="270"/>
      <c r="NL52" s="270"/>
      <c r="NM52" s="270"/>
      <c r="NN52" s="270"/>
      <c r="NO52" s="270"/>
      <c r="NP52" s="270"/>
      <c r="NQ52" s="270"/>
      <c r="NR52" s="270"/>
      <c r="NS52" s="270"/>
      <c r="NT52" s="270"/>
      <c r="NU52" s="270"/>
      <c r="NV52" s="270"/>
      <c r="NW52" s="270"/>
      <c r="NX52" s="270"/>
      <c r="NY52" s="270"/>
      <c r="NZ52" s="270"/>
      <c r="OA52" s="270"/>
      <c r="OB52" s="270"/>
      <c r="OC52" s="270"/>
      <c r="OD52" s="270"/>
      <c r="OE52" s="270"/>
      <c r="OF52" s="270"/>
      <c r="OG52" s="270"/>
      <c r="OH52" s="270"/>
      <c r="OI52" s="270"/>
      <c r="OJ52" s="270"/>
      <c r="OK52" s="270"/>
      <c r="OL52" s="270"/>
      <c r="OM52" s="270"/>
      <c r="ON52" s="270"/>
      <c r="OO52" s="270"/>
      <c r="OP52" s="270"/>
      <c r="OQ52" s="270"/>
      <c r="OR52" s="270"/>
      <c r="OS52" s="270"/>
      <c r="OT52" s="270"/>
      <c r="OU52" s="270"/>
      <c r="OV52" s="270"/>
      <c r="OW52" s="270"/>
      <c r="OX52" s="270"/>
      <c r="OY52" s="270"/>
      <c r="OZ52" s="270"/>
      <c r="PA52" s="270"/>
      <c r="PB52" s="270"/>
      <c r="PC52" s="270"/>
      <c r="PD52" s="270"/>
      <c r="PE52" s="270"/>
      <c r="PF52" s="270"/>
      <c r="PG52" s="270"/>
      <c r="PH52" s="270"/>
      <c r="PI52" s="270"/>
      <c r="PJ52" s="270"/>
      <c r="PK52" s="270"/>
      <c r="PL52" s="270"/>
      <c r="PM52" s="270"/>
      <c r="PN52" s="270"/>
      <c r="PO52" s="270"/>
      <c r="PP52" s="270"/>
      <c r="PQ52" s="270"/>
      <c r="PR52" s="270"/>
      <c r="PS52" s="270"/>
      <c r="PT52" s="270"/>
      <c r="PU52" s="270"/>
      <c r="PV52" s="270"/>
      <c r="PW52" s="270"/>
      <c r="PX52" s="270"/>
      <c r="PY52" s="270"/>
      <c r="PZ52" s="270"/>
      <c r="QA52" s="270"/>
      <c r="QB52" s="270"/>
      <c r="QC52" s="270"/>
      <c r="QD52" s="270"/>
      <c r="QE52" s="270"/>
      <c r="QF52" s="270"/>
      <c r="QG52" s="270"/>
      <c r="QH52" s="270"/>
      <c r="QI52" s="270"/>
      <c r="QJ52" s="270"/>
      <c r="QK52" s="270"/>
      <c r="QL52" s="270"/>
      <c r="QM52" s="270"/>
      <c r="QN52" s="270"/>
      <c r="QO52" s="270"/>
      <c r="QP52" s="270"/>
      <c r="QQ52" s="270"/>
      <c r="QR52" s="270"/>
      <c r="QS52" s="270"/>
      <c r="QT52" s="270"/>
      <c r="QU52" s="270"/>
      <c r="QV52" s="270"/>
      <c r="QW52" s="270"/>
      <c r="QX52" s="270"/>
      <c r="QY52" s="270"/>
      <c r="QZ52" s="270"/>
      <c r="RA52" s="270"/>
      <c r="RB52" s="270"/>
      <c r="RC52" s="270"/>
      <c r="RD52" s="270"/>
      <c r="RE52" s="270"/>
      <c r="RF52" s="270"/>
      <c r="RG52" s="270"/>
      <c r="RH52" s="270"/>
      <c r="RI52" s="270"/>
      <c r="RJ52" s="270"/>
      <c r="RK52" s="270"/>
      <c r="RL52" s="270"/>
      <c r="RM52" s="270"/>
      <c r="RN52" s="270"/>
      <c r="RO52" s="270"/>
      <c r="RP52" s="270"/>
      <c r="RQ52" s="270"/>
      <c r="RR52" s="270"/>
      <c r="RS52" s="270"/>
      <c r="RT52" s="270"/>
      <c r="RU52" s="270"/>
      <c r="RV52" s="270"/>
      <c r="RW52" s="270"/>
      <c r="RX52" s="270"/>
      <c r="RY52" s="270"/>
      <c r="RZ52" s="270"/>
      <c r="SA52" s="270"/>
      <c r="SB52" s="270"/>
      <c r="SC52" s="270"/>
      <c r="SD52" s="270"/>
      <c r="SE52" s="270"/>
      <c r="SF52" s="270"/>
      <c r="SG52" s="270"/>
      <c r="SH52" s="270"/>
      <c r="SI52" s="270"/>
      <c r="SJ52" s="270"/>
      <c r="SK52" s="270"/>
      <c r="SL52" s="270"/>
      <c r="SM52" s="270"/>
      <c r="SN52" s="270"/>
      <c r="SO52" s="270"/>
      <c r="SP52" s="270"/>
      <c r="SQ52" s="270"/>
      <c r="SR52" s="270"/>
      <c r="SS52" s="270"/>
      <c r="ST52" s="270"/>
      <c r="SU52" s="270"/>
      <c r="SV52" s="270"/>
      <c r="SW52" s="270"/>
      <c r="SX52" s="270"/>
      <c r="SY52" s="270"/>
      <c r="SZ52" s="270"/>
      <c r="TA52" s="270"/>
      <c r="TB52" s="270"/>
      <c r="TC52" s="270"/>
      <c r="TD52" s="270"/>
      <c r="TE52" s="270"/>
      <c r="TF52" s="270"/>
      <c r="TG52" s="270"/>
      <c r="TH52" s="270"/>
      <c r="TI52" s="270"/>
      <c r="TJ52" s="270"/>
      <c r="TK52" s="270"/>
      <c r="TL52" s="270"/>
      <c r="TM52" s="270"/>
      <c r="TN52" s="270"/>
      <c r="TO52" s="270"/>
      <c r="TP52" s="270"/>
      <c r="TQ52" s="270"/>
      <c r="TR52" s="270"/>
      <c r="TS52" s="270"/>
      <c r="TT52" s="270"/>
      <c r="TU52" s="270"/>
      <c r="TV52" s="270"/>
      <c r="TW52" s="270"/>
      <c r="TX52" s="270"/>
      <c r="TY52" s="270"/>
      <c r="TZ52" s="270"/>
      <c r="UA52" s="270"/>
      <c r="UB52" s="270"/>
      <c r="UC52" s="270"/>
      <c r="UD52" s="270"/>
      <c r="UE52" s="270"/>
      <c r="UF52" s="270"/>
      <c r="UG52" s="270"/>
      <c r="UH52" s="270"/>
      <c r="UI52" s="270"/>
      <c r="UJ52" s="270"/>
      <c r="UK52" s="270"/>
      <c r="UL52" s="270"/>
      <c r="UM52" s="270"/>
      <c r="UN52" s="270"/>
      <c r="UO52" s="270"/>
      <c r="UP52" s="270"/>
      <c r="UQ52" s="270"/>
      <c r="UR52" s="270"/>
      <c r="US52" s="270"/>
      <c r="UT52" s="270"/>
      <c r="UU52" s="270"/>
      <c r="UV52" s="270"/>
      <c r="UW52" s="270"/>
      <c r="UX52" s="270"/>
      <c r="UY52" s="270"/>
      <c r="UZ52" s="270"/>
      <c r="VA52" s="270"/>
      <c r="VB52" s="270"/>
      <c r="VC52" s="270"/>
      <c r="VD52" s="270"/>
      <c r="VE52" s="270"/>
      <c r="VF52" s="270"/>
      <c r="VG52" s="270"/>
      <c r="VH52" s="270"/>
      <c r="VI52" s="270"/>
      <c r="VJ52" s="270"/>
      <c r="VK52" s="270"/>
      <c r="VL52" s="270"/>
      <c r="VM52" s="270"/>
      <c r="VN52" s="270"/>
      <c r="VO52" s="270"/>
      <c r="VP52" s="270"/>
      <c r="VQ52" s="270"/>
      <c r="VR52" s="270"/>
      <c r="VS52" s="270"/>
      <c r="VT52" s="270"/>
      <c r="VU52" s="270"/>
      <c r="VV52" s="270"/>
      <c r="VW52" s="270"/>
      <c r="VX52" s="270"/>
      <c r="VY52" s="270"/>
      <c r="VZ52" s="270"/>
      <c r="WA52" s="270"/>
      <c r="WB52" s="270"/>
      <c r="WC52" s="270"/>
      <c r="WD52" s="270"/>
      <c r="WE52" s="270"/>
      <c r="WF52" s="270"/>
      <c r="WG52" s="270"/>
      <c r="WH52" s="270"/>
      <c r="WI52" s="270"/>
      <c r="WJ52" s="270"/>
      <c r="WK52" s="270"/>
      <c r="WL52" s="270"/>
      <c r="WM52" s="270"/>
      <c r="WN52" s="270"/>
      <c r="WO52" s="270"/>
      <c r="WP52" s="270"/>
      <c r="WQ52" s="270"/>
      <c r="WR52" s="270"/>
      <c r="WS52" s="270"/>
      <c r="WT52" s="270"/>
      <c r="WU52" s="270"/>
      <c r="WV52" s="270"/>
      <c r="WW52" s="270"/>
      <c r="WX52" s="270"/>
      <c r="WY52" s="270"/>
      <c r="WZ52" s="270"/>
      <c r="XA52" s="270"/>
      <c r="XB52" s="270"/>
      <c r="XC52" s="270"/>
      <c r="XD52" s="270"/>
      <c r="XE52" s="270"/>
      <c r="XF52" s="270"/>
      <c r="XG52" s="270"/>
      <c r="XH52" s="270"/>
      <c r="XI52" s="270"/>
      <c r="XJ52" s="270"/>
      <c r="XK52" s="270"/>
      <c r="XL52" s="270"/>
      <c r="XM52" s="270"/>
      <c r="XN52" s="270"/>
      <c r="XO52" s="270"/>
      <c r="XP52" s="270"/>
      <c r="XQ52" s="270"/>
      <c r="XR52" s="270"/>
      <c r="XS52" s="270"/>
      <c r="XT52" s="270"/>
      <c r="XU52" s="270"/>
      <c r="XV52" s="270"/>
      <c r="XW52" s="270"/>
      <c r="XX52" s="270"/>
      <c r="XY52" s="270"/>
      <c r="XZ52" s="270"/>
      <c r="YA52" s="270"/>
      <c r="YB52" s="270"/>
      <c r="YC52" s="270"/>
      <c r="YD52" s="270"/>
      <c r="YE52" s="270"/>
      <c r="YF52" s="270"/>
      <c r="YG52" s="270"/>
      <c r="YH52" s="270"/>
      <c r="YI52" s="270"/>
      <c r="YJ52" s="270"/>
      <c r="YK52" s="270"/>
      <c r="YL52" s="270"/>
      <c r="YM52" s="270"/>
      <c r="YN52" s="270"/>
      <c r="YO52" s="270"/>
      <c r="YP52" s="270"/>
      <c r="YQ52" s="270"/>
      <c r="YR52" s="270"/>
      <c r="YS52" s="270"/>
      <c r="YT52" s="270"/>
      <c r="YU52" s="270"/>
      <c r="YV52" s="270"/>
      <c r="YW52" s="270"/>
      <c r="YX52" s="270"/>
      <c r="YY52" s="270"/>
      <c r="YZ52" s="270"/>
      <c r="ZA52" s="270"/>
      <c r="ZB52" s="270"/>
      <c r="ZC52" s="270"/>
      <c r="ZD52" s="270"/>
      <c r="ZE52" s="270"/>
    </row>
    <row r="53">
      <c r="A53" s="156" t="s">
        <v>2017</v>
      </c>
      <c r="B53" s="108"/>
      <c r="C53" s="16"/>
      <c r="D53" s="16"/>
      <c r="E53" s="16"/>
      <c r="F53" s="16"/>
      <c r="G53" s="16"/>
      <c r="H53" s="25"/>
      <c r="I53" s="108" t="s">
        <v>329</v>
      </c>
      <c r="J53" s="16"/>
      <c r="K53" s="16"/>
      <c r="L53" s="16"/>
      <c r="M53" s="16"/>
      <c r="N53" s="16"/>
      <c r="O53" s="25"/>
      <c r="P53" s="108" t="s">
        <v>1497</v>
      </c>
      <c r="Q53" s="16"/>
      <c r="R53" s="16"/>
      <c r="S53" s="16"/>
      <c r="T53" s="16"/>
      <c r="U53" s="16"/>
      <c r="V53" s="25"/>
      <c r="W53" s="108" t="s">
        <v>343</v>
      </c>
      <c r="X53" s="16"/>
      <c r="Y53" s="16"/>
      <c r="Z53" s="16"/>
      <c r="AA53" s="16"/>
      <c r="AB53" s="16"/>
      <c r="AC53" s="25"/>
      <c r="AD53" s="108" t="s">
        <v>2018</v>
      </c>
      <c r="AE53" s="16"/>
      <c r="AF53" s="16"/>
      <c r="AG53" s="16"/>
      <c r="AH53" s="16"/>
      <c r="AI53" s="16"/>
      <c r="AJ53" s="25"/>
      <c r="AK53" s="108" t="s">
        <v>2019</v>
      </c>
      <c r="AL53" s="16"/>
      <c r="AM53" s="16"/>
      <c r="AN53" s="16"/>
      <c r="AO53" s="16"/>
      <c r="AP53" s="16"/>
      <c r="AQ53" s="25"/>
      <c r="AR53" s="108" t="s">
        <v>2020</v>
      </c>
      <c r="AS53" s="16"/>
      <c r="AT53" s="16"/>
      <c r="AU53" s="16"/>
      <c r="AV53" s="16"/>
      <c r="AW53" s="16"/>
      <c r="AX53" s="25"/>
      <c r="AY53" s="108" t="s">
        <v>2021</v>
      </c>
      <c r="AZ53" s="16"/>
      <c r="BA53" s="16"/>
      <c r="BB53" s="16"/>
      <c r="BC53" s="16"/>
      <c r="BD53" s="16"/>
      <c r="BE53" s="25"/>
      <c r="BF53" s="108" t="s">
        <v>2022</v>
      </c>
      <c r="BG53" s="16"/>
      <c r="BH53" s="16"/>
      <c r="BI53" s="16"/>
      <c r="BJ53" s="16"/>
      <c r="BK53" s="16"/>
      <c r="BL53" s="25"/>
      <c r="BM53" s="108" t="s">
        <v>2023</v>
      </c>
      <c r="BN53" s="16"/>
      <c r="BO53" s="16"/>
      <c r="BP53" s="16"/>
      <c r="BQ53" s="16"/>
      <c r="BR53" s="16"/>
      <c r="BS53" s="25"/>
      <c r="BT53" s="108" t="s">
        <v>2024</v>
      </c>
      <c r="BU53" s="16"/>
      <c r="BV53" s="16"/>
      <c r="BW53" s="16"/>
      <c r="BX53" s="16"/>
      <c r="BY53" s="16"/>
      <c r="BZ53" s="25"/>
      <c r="CA53" s="108" t="s">
        <v>1403</v>
      </c>
      <c r="CB53" s="16"/>
      <c r="CC53" s="16"/>
      <c r="CD53" s="16"/>
      <c r="CE53" s="16"/>
      <c r="CF53" s="16"/>
      <c r="CG53" s="25"/>
      <c r="CH53" s="108" t="s">
        <v>2025</v>
      </c>
      <c r="CI53" s="16"/>
      <c r="CJ53" s="16"/>
      <c r="CK53" s="16"/>
      <c r="CL53" s="16"/>
      <c r="CM53" s="16"/>
      <c r="CN53" s="25"/>
      <c r="CO53" s="108" t="s">
        <v>2026</v>
      </c>
      <c r="CP53" s="16"/>
      <c r="CQ53" s="16"/>
      <c r="CR53" s="16"/>
      <c r="CS53" s="16"/>
      <c r="CT53" s="16"/>
      <c r="CU53" s="25"/>
      <c r="CV53" s="108" t="s">
        <v>2022</v>
      </c>
      <c r="CW53" s="16"/>
      <c r="CX53" s="16"/>
      <c r="CY53" s="16"/>
      <c r="CZ53" s="16"/>
      <c r="DA53" s="16"/>
      <c r="DB53" s="25"/>
      <c r="DC53" s="108" t="s">
        <v>335</v>
      </c>
      <c r="DD53" s="16"/>
      <c r="DE53" s="16"/>
      <c r="DF53" s="16"/>
      <c r="DG53" s="16"/>
      <c r="DH53" s="16"/>
      <c r="DI53" s="25"/>
      <c r="DJ53" s="108" t="s">
        <v>2027</v>
      </c>
      <c r="DK53" s="16"/>
      <c r="DL53" s="16"/>
      <c r="DM53" s="16"/>
      <c r="DN53" s="16"/>
      <c r="DO53" s="16"/>
      <c r="DP53" s="25"/>
      <c r="DQ53" s="108" t="s">
        <v>2028</v>
      </c>
      <c r="DR53" s="16"/>
      <c r="DS53" s="16"/>
      <c r="DT53" s="16"/>
      <c r="DU53" s="16"/>
      <c r="DV53" s="16"/>
      <c r="DW53" s="25"/>
      <c r="DX53" s="108" t="s">
        <v>2029</v>
      </c>
      <c r="DY53" s="16"/>
      <c r="DZ53" s="16"/>
      <c r="EA53" s="16"/>
      <c r="EB53" s="16"/>
      <c r="EC53" s="16"/>
      <c r="ED53" s="25"/>
      <c r="EE53" s="108" t="s">
        <v>2030</v>
      </c>
      <c r="EF53" s="16"/>
      <c r="EG53" s="16"/>
      <c r="EH53" s="16"/>
      <c r="EI53" s="16"/>
      <c r="EJ53" s="16"/>
      <c r="EK53" s="25"/>
      <c r="EL53" s="108" t="s">
        <v>329</v>
      </c>
      <c r="EM53" s="16"/>
      <c r="EN53" s="16"/>
      <c r="EO53" s="16"/>
      <c r="EP53" s="16"/>
      <c r="EQ53" s="16"/>
      <c r="ER53" s="25"/>
      <c r="ES53" s="108" t="s">
        <v>2031</v>
      </c>
      <c r="ET53" s="16"/>
      <c r="EU53" s="16"/>
      <c r="EV53" s="16"/>
      <c r="EW53" s="16"/>
      <c r="EX53" s="16"/>
      <c r="EY53" s="25"/>
      <c r="EZ53" s="108" t="s">
        <v>2032</v>
      </c>
      <c r="FA53" s="16"/>
      <c r="FB53" s="16"/>
      <c r="FC53" s="16"/>
      <c r="FD53" s="16"/>
      <c r="FE53" s="16"/>
      <c r="FF53" s="25"/>
      <c r="FG53" s="108" t="s">
        <v>2033</v>
      </c>
      <c r="FH53" s="16"/>
      <c r="FI53" s="16"/>
      <c r="FJ53" s="16"/>
      <c r="FK53" s="16"/>
      <c r="FL53" s="16"/>
      <c r="FM53" s="25"/>
      <c r="FN53" s="108" t="s">
        <v>2034</v>
      </c>
      <c r="FO53" s="16"/>
      <c r="FP53" s="16"/>
      <c r="FQ53" s="16"/>
      <c r="FR53" s="16"/>
      <c r="FS53" s="16"/>
      <c r="FT53" s="25"/>
      <c r="FU53" s="106" t="s">
        <v>2035</v>
      </c>
      <c r="FV53" s="16"/>
      <c r="FW53" s="16"/>
      <c r="FX53" s="16"/>
      <c r="FY53" s="16"/>
      <c r="FZ53" s="16"/>
      <c r="GA53" s="25"/>
      <c r="GB53" s="106" t="s">
        <v>2036</v>
      </c>
      <c r="GC53" s="16"/>
      <c r="GD53" s="16"/>
      <c r="GE53" s="16"/>
      <c r="GF53" s="16"/>
      <c r="GG53" s="16"/>
      <c r="GH53" s="25"/>
      <c r="GI53" s="108" t="s">
        <v>1216</v>
      </c>
      <c r="GJ53" s="16"/>
      <c r="GK53" s="16"/>
      <c r="GL53" s="16"/>
      <c r="GM53" s="16"/>
      <c r="GN53" s="16"/>
      <c r="GO53" s="25"/>
      <c r="GP53" s="106" t="s">
        <v>2037</v>
      </c>
      <c r="GQ53" s="16"/>
      <c r="GR53" s="16"/>
      <c r="GS53" s="16"/>
      <c r="GT53" s="16"/>
      <c r="GU53" s="16"/>
      <c r="GV53" s="25"/>
      <c r="GW53" s="108" t="s">
        <v>2038</v>
      </c>
      <c r="GX53" s="16"/>
      <c r="GY53" s="16"/>
      <c r="GZ53" s="16"/>
      <c r="HA53" s="16"/>
      <c r="HB53" s="16"/>
      <c r="HC53" s="25"/>
      <c r="HD53" s="108" t="s">
        <v>2039</v>
      </c>
      <c r="HE53" s="16"/>
      <c r="HF53" s="16"/>
      <c r="HG53" s="16"/>
      <c r="HH53" s="16"/>
      <c r="HI53" s="16"/>
      <c r="HJ53" s="25"/>
      <c r="HK53" s="108" t="s">
        <v>2040</v>
      </c>
      <c r="HL53" s="16"/>
      <c r="HM53" s="16"/>
      <c r="HN53" s="16"/>
      <c r="HO53" s="16"/>
      <c r="HP53" s="16"/>
      <c r="HQ53" s="25"/>
      <c r="HR53" s="108" t="s">
        <v>2041</v>
      </c>
      <c r="HS53" s="16"/>
      <c r="HT53" s="16"/>
      <c r="HU53" s="16"/>
      <c r="HV53" s="16"/>
      <c r="HW53" s="16"/>
      <c r="HX53" s="25"/>
      <c r="HY53" s="108" t="s">
        <v>2042</v>
      </c>
      <c r="HZ53" s="16"/>
      <c r="IA53" s="16"/>
      <c r="IB53" s="16"/>
      <c r="IC53" s="16"/>
      <c r="ID53" s="16"/>
      <c r="IE53" s="25"/>
      <c r="IF53" s="108" t="s">
        <v>2043</v>
      </c>
      <c r="IG53" s="16"/>
      <c r="IH53" s="16"/>
      <c r="II53" s="16"/>
      <c r="IJ53" s="16"/>
      <c r="IK53" s="16"/>
      <c r="IL53" s="25"/>
      <c r="IM53" s="108" t="s">
        <v>2044</v>
      </c>
      <c r="IN53" s="16"/>
      <c r="IO53" s="16"/>
      <c r="IP53" s="16"/>
      <c r="IQ53" s="16"/>
      <c r="IR53" s="16"/>
      <c r="IS53" s="25"/>
      <c r="IT53" s="108" t="s">
        <v>2045</v>
      </c>
      <c r="IU53" s="16"/>
      <c r="IV53" s="16"/>
      <c r="IW53" s="16"/>
      <c r="IX53" s="16"/>
      <c r="IY53" s="16"/>
      <c r="IZ53" s="25"/>
      <c r="JA53" s="108" t="s">
        <v>896</v>
      </c>
      <c r="JB53" s="16"/>
      <c r="JC53" s="16"/>
      <c r="JD53" s="16"/>
      <c r="JE53" s="16"/>
      <c r="JF53" s="16"/>
      <c r="JG53" s="25"/>
      <c r="JH53" s="108" t="s">
        <v>2046</v>
      </c>
      <c r="JI53" s="16"/>
      <c r="JJ53" s="16"/>
      <c r="JK53" s="16"/>
      <c r="JL53" s="16"/>
      <c r="JM53" s="16"/>
      <c r="JN53" s="25"/>
      <c r="JO53" s="108"/>
      <c r="JP53" s="16"/>
      <c r="JQ53" s="16"/>
      <c r="JR53" s="16"/>
      <c r="JS53" s="16"/>
      <c r="JT53" s="16"/>
      <c r="JU53" s="25"/>
      <c r="JV53" s="108"/>
      <c r="JW53" s="16"/>
      <c r="JX53" s="16"/>
      <c r="JY53" s="16"/>
      <c r="JZ53" s="16"/>
      <c r="KA53" s="16"/>
      <c r="KB53" s="25"/>
      <c r="KC53" s="108"/>
      <c r="KD53" s="16"/>
      <c r="KE53" s="16"/>
      <c r="KF53" s="16"/>
      <c r="KG53" s="16"/>
      <c r="KH53" s="16"/>
      <c r="KI53" s="25"/>
      <c r="KJ53" s="108"/>
      <c r="KK53" s="16"/>
      <c r="KL53" s="16"/>
      <c r="KM53" s="16"/>
      <c r="KN53" s="16"/>
      <c r="KO53" s="16"/>
      <c r="KP53" s="25"/>
      <c r="KQ53" s="108" t="s">
        <v>338</v>
      </c>
      <c r="KR53" s="16"/>
      <c r="KS53" s="16"/>
      <c r="KT53" s="16"/>
      <c r="KU53" s="16"/>
      <c r="KV53" s="16"/>
      <c r="KW53" s="25"/>
      <c r="KX53" s="108" t="s">
        <v>1456</v>
      </c>
      <c r="KY53" s="16"/>
      <c r="KZ53" s="16"/>
      <c r="LA53" s="16"/>
      <c r="LB53" s="16"/>
      <c r="LC53" s="16"/>
      <c r="LD53" s="25"/>
      <c r="LE53" s="108" t="s">
        <v>1460</v>
      </c>
      <c r="LF53" s="16"/>
      <c r="LG53" s="16"/>
      <c r="LH53" s="16"/>
      <c r="LI53" s="16"/>
      <c r="LJ53" s="16"/>
      <c r="LK53" s="25"/>
      <c r="LL53" s="108" t="s">
        <v>2047</v>
      </c>
      <c r="LM53" s="16"/>
      <c r="LN53" s="16"/>
      <c r="LO53" s="16"/>
      <c r="LP53" s="16"/>
      <c r="LQ53" s="16"/>
      <c r="LR53" s="25"/>
      <c r="LS53" s="108" t="s">
        <v>2048</v>
      </c>
      <c r="LT53" s="16"/>
      <c r="LU53" s="16"/>
      <c r="LV53" s="16"/>
      <c r="LW53" s="16"/>
      <c r="LX53" s="16"/>
      <c r="LY53" s="25"/>
      <c r="LZ53" s="108" t="s">
        <v>2049</v>
      </c>
      <c r="MA53" s="16"/>
      <c r="MB53" s="16"/>
      <c r="MC53" s="16"/>
      <c r="MD53" s="16"/>
      <c r="ME53" s="16"/>
      <c r="MF53" s="25"/>
      <c r="MG53" s="108" t="s">
        <v>2050</v>
      </c>
      <c r="MH53" s="16"/>
      <c r="MI53" s="16"/>
      <c r="MJ53" s="16"/>
      <c r="MK53" s="16"/>
      <c r="ML53" s="16"/>
      <c r="MM53" s="25"/>
      <c r="MN53" s="108" t="s">
        <v>2051</v>
      </c>
      <c r="MO53" s="16"/>
      <c r="MP53" s="16"/>
      <c r="MQ53" s="16"/>
      <c r="MR53" s="16"/>
      <c r="MS53" s="16"/>
      <c r="MT53" s="25"/>
      <c r="MU53" s="108" t="s">
        <v>2052</v>
      </c>
      <c r="MV53" s="16"/>
      <c r="MW53" s="16"/>
      <c r="MX53" s="16"/>
      <c r="MY53" s="16"/>
      <c r="MZ53" s="16"/>
      <c r="NA53" s="25"/>
      <c r="NB53" s="399"/>
      <c r="NC53" s="270"/>
      <c r="ND53" s="270"/>
      <c r="NE53" s="270"/>
      <c r="NF53" s="270"/>
      <c r="NG53" s="270"/>
      <c r="NH53" s="270"/>
      <c r="NI53" s="270"/>
      <c r="NJ53" s="270"/>
      <c r="NK53" s="270"/>
      <c r="NL53" s="270"/>
      <c r="NM53" s="270"/>
      <c r="NN53" s="270"/>
      <c r="NO53" s="270"/>
      <c r="NP53" s="270"/>
      <c r="NQ53" s="270"/>
      <c r="NR53" s="270"/>
      <c r="NS53" s="270"/>
      <c r="NT53" s="270"/>
      <c r="NU53" s="270"/>
      <c r="NV53" s="270"/>
      <c r="NW53" s="270"/>
      <c r="NX53" s="270"/>
      <c r="NY53" s="270"/>
      <c r="NZ53" s="270"/>
      <c r="OA53" s="270"/>
      <c r="OB53" s="270"/>
      <c r="OC53" s="270"/>
      <c r="OD53" s="270"/>
      <c r="OE53" s="270"/>
      <c r="OF53" s="270"/>
      <c r="OG53" s="270"/>
      <c r="OH53" s="270"/>
      <c r="OI53" s="270"/>
      <c r="OJ53" s="270"/>
      <c r="OK53" s="270"/>
      <c r="OL53" s="270"/>
      <c r="OM53" s="270"/>
      <c r="ON53" s="270"/>
      <c r="OO53" s="270"/>
      <c r="OP53" s="270"/>
      <c r="OQ53" s="270"/>
      <c r="OR53" s="270"/>
      <c r="OS53" s="270"/>
      <c r="OT53" s="270"/>
      <c r="OU53" s="270"/>
      <c r="OV53" s="270"/>
      <c r="OW53" s="270"/>
      <c r="OX53" s="270"/>
      <c r="OY53" s="270"/>
      <c r="OZ53" s="270"/>
      <c r="PA53" s="270"/>
      <c r="PB53" s="270"/>
      <c r="PC53" s="270"/>
      <c r="PD53" s="270"/>
      <c r="PE53" s="270"/>
      <c r="PF53" s="270"/>
      <c r="PG53" s="270"/>
      <c r="PH53" s="270"/>
      <c r="PI53" s="270"/>
      <c r="PJ53" s="270"/>
      <c r="PK53" s="270"/>
      <c r="PL53" s="270"/>
      <c r="PM53" s="270"/>
      <c r="PN53" s="270"/>
      <c r="PO53" s="270"/>
      <c r="PP53" s="270"/>
      <c r="PQ53" s="270"/>
      <c r="PR53" s="270"/>
      <c r="PS53" s="270"/>
      <c r="PT53" s="270"/>
      <c r="PU53" s="270"/>
      <c r="PV53" s="270"/>
      <c r="PW53" s="270"/>
      <c r="PX53" s="270"/>
      <c r="PY53" s="270"/>
      <c r="PZ53" s="270"/>
      <c r="QA53" s="270"/>
      <c r="QB53" s="270"/>
      <c r="QC53" s="270"/>
      <c r="QD53" s="270"/>
      <c r="QE53" s="270"/>
      <c r="QF53" s="270"/>
      <c r="QG53" s="270"/>
      <c r="QH53" s="270"/>
      <c r="QI53" s="270"/>
      <c r="QJ53" s="270"/>
      <c r="QK53" s="270"/>
      <c r="QL53" s="270"/>
      <c r="QM53" s="270"/>
      <c r="QN53" s="270"/>
      <c r="QO53" s="270"/>
      <c r="QP53" s="270"/>
      <c r="QQ53" s="270"/>
      <c r="QR53" s="270"/>
      <c r="QS53" s="270"/>
      <c r="QT53" s="270"/>
      <c r="QU53" s="270"/>
      <c r="QV53" s="270"/>
      <c r="QW53" s="270"/>
      <c r="QX53" s="270"/>
      <c r="QY53" s="270"/>
      <c r="QZ53" s="270"/>
      <c r="RA53" s="270"/>
      <c r="RB53" s="270"/>
      <c r="RC53" s="270"/>
      <c r="RD53" s="270"/>
      <c r="RE53" s="270"/>
      <c r="RF53" s="270"/>
      <c r="RG53" s="270"/>
      <c r="RH53" s="270"/>
      <c r="RI53" s="270"/>
      <c r="RJ53" s="270"/>
      <c r="RK53" s="270"/>
      <c r="RL53" s="270"/>
      <c r="RM53" s="270"/>
      <c r="RN53" s="270"/>
      <c r="RO53" s="270"/>
      <c r="RP53" s="270"/>
      <c r="RQ53" s="270"/>
      <c r="RR53" s="270"/>
      <c r="RS53" s="270"/>
      <c r="RT53" s="270"/>
      <c r="RU53" s="270"/>
      <c r="RV53" s="270"/>
      <c r="RW53" s="270"/>
      <c r="RX53" s="270"/>
      <c r="RY53" s="270"/>
      <c r="RZ53" s="270"/>
      <c r="SA53" s="270"/>
      <c r="SB53" s="270"/>
      <c r="SC53" s="270"/>
      <c r="SD53" s="270"/>
      <c r="SE53" s="270"/>
      <c r="SF53" s="270"/>
      <c r="SG53" s="270"/>
      <c r="SH53" s="270"/>
      <c r="SI53" s="270"/>
      <c r="SJ53" s="270"/>
      <c r="SK53" s="270"/>
      <c r="SL53" s="270"/>
      <c r="SM53" s="270"/>
      <c r="SN53" s="270"/>
      <c r="SO53" s="270"/>
      <c r="SP53" s="270"/>
      <c r="SQ53" s="270"/>
      <c r="SR53" s="270"/>
      <c r="SS53" s="270"/>
      <c r="ST53" s="270"/>
      <c r="SU53" s="270"/>
      <c r="SV53" s="270"/>
      <c r="SW53" s="270"/>
      <c r="SX53" s="270"/>
      <c r="SY53" s="270"/>
      <c r="SZ53" s="270"/>
      <c r="TA53" s="270"/>
      <c r="TB53" s="270"/>
      <c r="TC53" s="270"/>
      <c r="TD53" s="270"/>
      <c r="TE53" s="270"/>
      <c r="TF53" s="270"/>
      <c r="TG53" s="270"/>
      <c r="TH53" s="270"/>
      <c r="TI53" s="270"/>
      <c r="TJ53" s="270"/>
      <c r="TK53" s="270"/>
      <c r="TL53" s="270"/>
      <c r="TM53" s="270"/>
      <c r="TN53" s="270"/>
      <c r="TO53" s="270"/>
      <c r="TP53" s="270"/>
      <c r="TQ53" s="270"/>
      <c r="TR53" s="270"/>
      <c r="TS53" s="270"/>
      <c r="TT53" s="270"/>
      <c r="TU53" s="270"/>
      <c r="TV53" s="270"/>
      <c r="TW53" s="270"/>
      <c r="TX53" s="270"/>
      <c r="TY53" s="270"/>
      <c r="TZ53" s="270"/>
      <c r="UA53" s="270"/>
      <c r="UB53" s="270"/>
      <c r="UC53" s="270"/>
      <c r="UD53" s="270"/>
      <c r="UE53" s="270"/>
      <c r="UF53" s="270"/>
      <c r="UG53" s="270"/>
      <c r="UH53" s="270"/>
      <c r="UI53" s="270"/>
      <c r="UJ53" s="270"/>
      <c r="UK53" s="270"/>
      <c r="UL53" s="270"/>
      <c r="UM53" s="270"/>
      <c r="UN53" s="270"/>
      <c r="UO53" s="270"/>
      <c r="UP53" s="270"/>
      <c r="UQ53" s="270"/>
      <c r="UR53" s="270"/>
      <c r="US53" s="270"/>
      <c r="UT53" s="270"/>
      <c r="UU53" s="270"/>
      <c r="UV53" s="270"/>
      <c r="UW53" s="270"/>
      <c r="UX53" s="270"/>
      <c r="UY53" s="270"/>
      <c r="UZ53" s="270"/>
      <c r="VA53" s="270"/>
      <c r="VB53" s="270"/>
      <c r="VC53" s="270"/>
      <c r="VD53" s="270"/>
      <c r="VE53" s="270"/>
      <c r="VF53" s="270"/>
      <c r="VG53" s="270"/>
      <c r="VH53" s="270"/>
      <c r="VI53" s="270"/>
      <c r="VJ53" s="270"/>
      <c r="VK53" s="270"/>
      <c r="VL53" s="270"/>
      <c r="VM53" s="270"/>
      <c r="VN53" s="270"/>
      <c r="VO53" s="270"/>
      <c r="VP53" s="270"/>
      <c r="VQ53" s="270"/>
      <c r="VR53" s="270"/>
      <c r="VS53" s="270"/>
      <c r="VT53" s="270"/>
      <c r="VU53" s="270"/>
      <c r="VV53" s="270"/>
      <c r="VW53" s="270"/>
      <c r="VX53" s="270"/>
      <c r="VY53" s="270"/>
      <c r="VZ53" s="270"/>
      <c r="WA53" s="270"/>
      <c r="WB53" s="270"/>
      <c r="WC53" s="270"/>
      <c r="WD53" s="270"/>
      <c r="WE53" s="270"/>
      <c r="WF53" s="270"/>
      <c r="WG53" s="270"/>
      <c r="WH53" s="270"/>
      <c r="WI53" s="270"/>
      <c r="WJ53" s="270"/>
      <c r="WK53" s="270"/>
      <c r="WL53" s="270"/>
      <c r="WM53" s="270"/>
      <c r="WN53" s="270"/>
      <c r="WO53" s="270"/>
      <c r="WP53" s="270"/>
      <c r="WQ53" s="270"/>
      <c r="WR53" s="270"/>
      <c r="WS53" s="270"/>
      <c r="WT53" s="270"/>
      <c r="WU53" s="270"/>
      <c r="WV53" s="270"/>
      <c r="WW53" s="270"/>
      <c r="WX53" s="270"/>
      <c r="WY53" s="270"/>
      <c r="WZ53" s="270"/>
      <c r="XA53" s="270"/>
      <c r="XB53" s="270"/>
      <c r="XC53" s="270"/>
      <c r="XD53" s="270"/>
      <c r="XE53" s="270"/>
      <c r="XF53" s="270"/>
      <c r="XG53" s="270"/>
      <c r="XH53" s="270"/>
      <c r="XI53" s="270"/>
      <c r="XJ53" s="270"/>
      <c r="XK53" s="270"/>
      <c r="XL53" s="270"/>
      <c r="XM53" s="270"/>
      <c r="XN53" s="270"/>
      <c r="XO53" s="270"/>
      <c r="XP53" s="270"/>
      <c r="XQ53" s="270"/>
      <c r="XR53" s="270"/>
      <c r="XS53" s="270"/>
      <c r="XT53" s="270"/>
      <c r="XU53" s="270"/>
      <c r="XV53" s="270"/>
      <c r="XW53" s="270"/>
      <c r="XX53" s="270"/>
      <c r="XY53" s="270"/>
      <c r="XZ53" s="270"/>
      <c r="YA53" s="270"/>
      <c r="YB53" s="270"/>
      <c r="YC53" s="270"/>
      <c r="YD53" s="270"/>
      <c r="YE53" s="270"/>
      <c r="YF53" s="270"/>
      <c r="YG53" s="270"/>
      <c r="YH53" s="270"/>
      <c r="YI53" s="270"/>
      <c r="YJ53" s="270"/>
      <c r="YK53" s="270"/>
      <c r="YL53" s="270"/>
      <c r="YM53" s="270"/>
      <c r="YN53" s="270"/>
      <c r="YO53" s="270"/>
      <c r="YP53" s="270"/>
      <c r="YQ53" s="270"/>
      <c r="YR53" s="270"/>
      <c r="YS53" s="270"/>
      <c r="YT53" s="270"/>
      <c r="YU53" s="270"/>
      <c r="YV53" s="270"/>
      <c r="YW53" s="270"/>
      <c r="YX53" s="270"/>
      <c r="YY53" s="270"/>
      <c r="YZ53" s="270"/>
      <c r="ZA53" s="270"/>
      <c r="ZB53" s="270"/>
      <c r="ZC53" s="270"/>
      <c r="ZD53" s="270"/>
      <c r="ZE53" s="270"/>
    </row>
    <row r="54">
      <c r="A54" s="156" t="s">
        <v>2053</v>
      </c>
      <c r="B54" s="108"/>
      <c r="C54" s="16"/>
      <c r="D54" s="16"/>
      <c r="E54" s="16"/>
      <c r="F54" s="16"/>
      <c r="G54" s="16"/>
      <c r="H54" s="25"/>
      <c r="I54" s="108" t="s">
        <v>417</v>
      </c>
      <c r="J54" s="16"/>
      <c r="K54" s="16"/>
      <c r="L54" s="16"/>
      <c r="M54" s="16"/>
      <c r="N54" s="16"/>
      <c r="O54" s="25"/>
      <c r="P54" s="108" t="s">
        <v>2054</v>
      </c>
      <c r="Q54" s="16"/>
      <c r="R54" s="16"/>
      <c r="S54" s="16"/>
      <c r="T54" s="16"/>
      <c r="U54" s="16"/>
      <c r="V54" s="25"/>
      <c r="W54" s="108" t="s">
        <v>2055</v>
      </c>
      <c r="X54" s="16"/>
      <c r="Y54" s="16"/>
      <c r="Z54" s="16"/>
      <c r="AA54" s="16"/>
      <c r="AB54" s="16"/>
      <c r="AC54" s="25"/>
      <c r="AD54" s="108" t="s">
        <v>2056</v>
      </c>
      <c r="AE54" s="16"/>
      <c r="AF54" s="16"/>
      <c r="AG54" s="16"/>
      <c r="AH54" s="16"/>
      <c r="AI54" s="16"/>
      <c r="AJ54" s="25"/>
      <c r="AK54" s="108"/>
      <c r="AL54" s="16"/>
      <c r="AM54" s="16"/>
      <c r="AN54" s="16"/>
      <c r="AO54" s="16"/>
      <c r="AP54" s="16"/>
      <c r="AQ54" s="25"/>
      <c r="AR54" s="446"/>
      <c r="AS54" s="16"/>
      <c r="AT54" s="16"/>
      <c r="AU54" s="16"/>
      <c r="AV54" s="16"/>
      <c r="AW54" s="16"/>
      <c r="AX54" s="25"/>
      <c r="AY54" s="108"/>
      <c r="AZ54" s="16"/>
      <c r="BA54" s="16"/>
      <c r="BB54" s="16"/>
      <c r="BC54" s="16"/>
      <c r="BD54" s="16"/>
      <c r="BE54" s="25"/>
      <c r="BF54" s="108" t="s">
        <v>2057</v>
      </c>
      <c r="BG54" s="16"/>
      <c r="BH54" s="16"/>
      <c r="BI54" s="16"/>
      <c r="BJ54" s="16"/>
      <c r="BK54" s="16"/>
      <c r="BL54" s="25"/>
      <c r="BM54" s="108" t="s">
        <v>2058</v>
      </c>
      <c r="BN54" s="16"/>
      <c r="BO54" s="16"/>
      <c r="BP54" s="16"/>
      <c r="BQ54" s="16"/>
      <c r="BR54" s="16"/>
      <c r="BS54" s="25"/>
      <c r="BT54" s="108" t="s">
        <v>2059</v>
      </c>
      <c r="BU54" s="16"/>
      <c r="BV54" s="16"/>
      <c r="BW54" s="16"/>
      <c r="BX54" s="16"/>
      <c r="BY54" s="16"/>
      <c r="BZ54" s="25"/>
      <c r="CA54" s="108"/>
      <c r="CB54" s="16"/>
      <c r="CC54" s="16"/>
      <c r="CD54" s="16"/>
      <c r="CE54" s="16"/>
      <c r="CF54" s="16"/>
      <c r="CG54" s="25"/>
      <c r="CH54" s="108" t="s">
        <v>2060</v>
      </c>
      <c r="CI54" s="16"/>
      <c r="CJ54" s="16"/>
      <c r="CK54" s="16"/>
      <c r="CL54" s="16"/>
      <c r="CM54" s="16"/>
      <c r="CN54" s="25"/>
      <c r="CO54" s="108"/>
      <c r="CP54" s="16"/>
      <c r="CQ54" s="16"/>
      <c r="CR54" s="16"/>
      <c r="CS54" s="16"/>
      <c r="CT54" s="16"/>
      <c r="CU54" s="25"/>
      <c r="CV54" s="108" t="s">
        <v>2061</v>
      </c>
      <c r="CW54" s="16"/>
      <c r="CX54" s="16"/>
      <c r="CY54" s="16"/>
      <c r="CZ54" s="16"/>
      <c r="DA54" s="16"/>
      <c r="DB54" s="25"/>
      <c r="DC54" s="108" t="s">
        <v>2062</v>
      </c>
      <c r="DD54" s="16"/>
      <c r="DE54" s="16"/>
      <c r="DF54" s="16"/>
      <c r="DG54" s="16"/>
      <c r="DH54" s="16"/>
      <c r="DI54" s="25"/>
      <c r="DJ54" s="108" t="s">
        <v>2063</v>
      </c>
      <c r="DK54" s="16"/>
      <c r="DL54" s="16"/>
      <c r="DM54" s="16"/>
      <c r="DN54" s="16"/>
      <c r="DO54" s="16"/>
      <c r="DP54" s="25"/>
      <c r="DQ54" s="108" t="s">
        <v>2064</v>
      </c>
      <c r="DR54" s="16"/>
      <c r="DS54" s="16"/>
      <c r="DT54" s="16"/>
      <c r="DU54" s="16"/>
      <c r="DV54" s="16"/>
      <c r="DW54" s="25"/>
      <c r="DX54" s="236" t="s">
        <v>2065</v>
      </c>
      <c r="DY54" s="324"/>
      <c r="DZ54" s="324"/>
      <c r="EA54" s="324"/>
      <c r="EB54" s="324"/>
      <c r="EC54" s="324"/>
      <c r="ED54" s="324"/>
      <c r="EE54" s="108" t="s">
        <v>2066</v>
      </c>
      <c r="EF54" s="16"/>
      <c r="EG54" s="16"/>
      <c r="EH54" s="16"/>
      <c r="EI54" s="16"/>
      <c r="EJ54" s="16"/>
      <c r="EK54" s="25"/>
      <c r="EL54" s="108" t="s">
        <v>2067</v>
      </c>
      <c r="EM54" s="16"/>
      <c r="EN54" s="16"/>
      <c r="EO54" s="16"/>
      <c r="EP54" s="16"/>
      <c r="EQ54" s="16"/>
      <c r="ER54" s="25"/>
      <c r="ES54" s="108" t="s">
        <v>2068</v>
      </c>
      <c r="ET54" s="16"/>
      <c r="EU54" s="16"/>
      <c r="EV54" s="16"/>
      <c r="EW54" s="16"/>
      <c r="EX54" s="16"/>
      <c r="EY54" s="25"/>
      <c r="EZ54" s="108" t="s">
        <v>2069</v>
      </c>
      <c r="FA54" s="16"/>
      <c r="FB54" s="16"/>
      <c r="FC54" s="16"/>
      <c r="FD54" s="16"/>
      <c r="FE54" s="16"/>
      <c r="FF54" s="25"/>
      <c r="FG54" s="108" t="s">
        <v>2071</v>
      </c>
      <c r="FH54" s="16"/>
      <c r="FI54" s="16"/>
      <c r="FJ54" s="16"/>
      <c r="FK54" s="16"/>
      <c r="FL54" s="16"/>
      <c r="FM54" s="25"/>
      <c r="FN54" s="388"/>
      <c r="FO54" s="16"/>
      <c r="FP54" s="16"/>
      <c r="FQ54" s="16"/>
      <c r="FR54" s="16"/>
      <c r="FS54" s="16"/>
      <c r="FT54" s="25"/>
      <c r="FU54" s="108"/>
      <c r="FV54" s="16"/>
      <c r="FW54" s="16"/>
      <c r="FX54" s="16"/>
      <c r="FY54" s="16"/>
      <c r="FZ54" s="16"/>
      <c r="GA54" s="25"/>
      <c r="GB54" s="108"/>
      <c r="GC54" s="16"/>
      <c r="GD54" s="16"/>
      <c r="GE54" s="16"/>
      <c r="GF54" s="16"/>
      <c r="GG54" s="16"/>
      <c r="GH54" s="25"/>
      <c r="GI54" s="108"/>
      <c r="GJ54" s="16"/>
      <c r="GK54" s="16"/>
      <c r="GL54" s="16"/>
      <c r="GM54" s="16"/>
      <c r="GN54" s="16"/>
      <c r="GO54" s="25"/>
      <c r="GP54" s="108"/>
      <c r="GQ54" s="16"/>
      <c r="GR54" s="16"/>
      <c r="GS54" s="16"/>
      <c r="GT54" s="16"/>
      <c r="GU54" s="16"/>
      <c r="GV54" s="25"/>
      <c r="GW54" s="108" t="s">
        <v>2072</v>
      </c>
      <c r="GX54" s="16"/>
      <c r="GY54" s="16"/>
      <c r="GZ54" s="16"/>
      <c r="HA54" s="16"/>
      <c r="HB54" s="16"/>
      <c r="HC54" s="25"/>
      <c r="HD54" s="108"/>
      <c r="HE54" s="16"/>
      <c r="HF54" s="16"/>
      <c r="HG54" s="16"/>
      <c r="HH54" s="16"/>
      <c r="HI54" s="16"/>
      <c r="HJ54" s="25"/>
      <c r="HK54" s="108"/>
      <c r="HL54" s="16"/>
      <c r="HM54" s="16"/>
      <c r="HN54" s="16"/>
      <c r="HO54" s="16"/>
      <c r="HP54" s="16"/>
      <c r="HQ54" s="25"/>
      <c r="HR54" s="108"/>
      <c r="HS54" s="16"/>
      <c r="HT54" s="16"/>
      <c r="HU54" s="16"/>
      <c r="HV54" s="16"/>
      <c r="HW54" s="16"/>
      <c r="HX54" s="25"/>
      <c r="HY54" s="108" t="s">
        <v>2074</v>
      </c>
      <c r="HZ54" s="16"/>
      <c r="IA54" s="16"/>
      <c r="IB54" s="16"/>
      <c r="IC54" s="16"/>
      <c r="ID54" s="16"/>
      <c r="IE54" s="25"/>
      <c r="IM54" s="108" t="s">
        <v>2075</v>
      </c>
      <c r="IN54" s="16"/>
      <c r="IO54" s="16"/>
      <c r="IP54" s="16"/>
      <c r="IQ54" s="16"/>
      <c r="IR54" s="16"/>
      <c r="IS54" s="25"/>
      <c r="IT54" s="108"/>
      <c r="IU54" s="16"/>
      <c r="IV54" s="16"/>
      <c r="IW54" s="16"/>
      <c r="IX54" s="16"/>
      <c r="IY54" s="16"/>
      <c r="IZ54" s="25"/>
      <c r="JA54" s="108" t="s">
        <v>2076</v>
      </c>
      <c r="JB54" s="16"/>
      <c r="JC54" s="16"/>
      <c r="JD54" s="16"/>
      <c r="JE54" s="16"/>
      <c r="JF54" s="16"/>
      <c r="JG54" s="25"/>
      <c r="JH54" s="108"/>
      <c r="JI54" s="16"/>
      <c r="JJ54" s="16"/>
      <c r="JK54" s="16"/>
      <c r="JL54" s="16"/>
      <c r="JM54" s="16"/>
      <c r="JN54" s="25"/>
      <c r="JO54" s="388"/>
      <c r="JP54" s="16"/>
      <c r="JQ54" s="16"/>
      <c r="JR54" s="16"/>
      <c r="JS54" s="16"/>
      <c r="JT54" s="16"/>
      <c r="JU54" s="25"/>
      <c r="JV54" s="108"/>
      <c r="JW54" s="16"/>
      <c r="JX54" s="16"/>
      <c r="JY54" s="16"/>
      <c r="JZ54" s="16"/>
      <c r="KA54" s="16"/>
      <c r="KB54" s="25"/>
      <c r="KC54" s="108"/>
      <c r="KD54" s="16"/>
      <c r="KE54" s="16"/>
      <c r="KF54" s="16"/>
      <c r="KG54" s="16"/>
      <c r="KH54" s="16"/>
      <c r="KI54" s="25"/>
      <c r="KJ54" s="108"/>
      <c r="KK54" s="16"/>
      <c r="KL54" s="16"/>
      <c r="KM54" s="16"/>
      <c r="KN54" s="16"/>
      <c r="KO54" s="16"/>
      <c r="KP54" s="25"/>
      <c r="KQ54" s="108" t="s">
        <v>2077</v>
      </c>
      <c r="KR54" s="16"/>
      <c r="KS54" s="16"/>
      <c r="KT54" s="16"/>
      <c r="KU54" s="16"/>
      <c r="KV54" s="16"/>
      <c r="KW54" s="25"/>
      <c r="KX54" s="108" t="s">
        <v>2043</v>
      </c>
      <c r="KY54" s="16"/>
      <c r="KZ54" s="16"/>
      <c r="LA54" s="16"/>
      <c r="LB54" s="16"/>
      <c r="LC54" s="16"/>
      <c r="LD54" s="25"/>
      <c r="LE54" s="108" t="s">
        <v>2078</v>
      </c>
      <c r="LF54" s="16"/>
      <c r="LG54" s="16"/>
      <c r="LH54" s="16"/>
      <c r="LI54" s="16"/>
      <c r="LJ54" s="16"/>
      <c r="LK54" s="25"/>
      <c r="LL54" s="108"/>
      <c r="LM54" s="16"/>
      <c r="LN54" s="16"/>
      <c r="LO54" s="16"/>
      <c r="LP54" s="16"/>
      <c r="LQ54" s="16"/>
      <c r="LR54" s="25"/>
      <c r="LS54" s="108" t="s">
        <v>2079</v>
      </c>
      <c r="LT54" s="16"/>
      <c r="LU54" s="16"/>
      <c r="LV54" s="16"/>
      <c r="LW54" s="16"/>
      <c r="LX54" s="16"/>
      <c r="LY54" s="25"/>
      <c r="LZ54" s="108" t="s">
        <v>2080</v>
      </c>
      <c r="MA54" s="16"/>
      <c r="MB54" s="16"/>
      <c r="MC54" s="16"/>
      <c r="MD54" s="16"/>
      <c r="ME54" s="16"/>
      <c r="MF54" s="25"/>
      <c r="MG54" s="108" t="s">
        <v>2081</v>
      </c>
      <c r="MH54" s="16"/>
      <c r="MI54" s="16"/>
      <c r="MJ54" s="16"/>
      <c r="MK54" s="16"/>
      <c r="ML54" s="16"/>
      <c r="MM54" s="25"/>
      <c r="MN54" s="108" t="s">
        <v>2082</v>
      </c>
      <c r="MO54" s="16"/>
      <c r="MP54" s="16"/>
      <c r="MQ54" s="16"/>
      <c r="MR54" s="16"/>
      <c r="MS54" s="16"/>
      <c r="MT54" s="25"/>
      <c r="MU54" s="388"/>
      <c r="MV54" s="16"/>
      <c r="MW54" s="16"/>
      <c r="MX54" s="16"/>
      <c r="MY54" s="16"/>
      <c r="MZ54" s="16"/>
      <c r="NA54" s="25"/>
      <c r="NB54" s="399"/>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70"/>
      <c r="SK54" s="270"/>
      <c r="SL54" s="270"/>
      <c r="SM54" s="270"/>
      <c r="SN54" s="270"/>
      <c r="SO54" s="270"/>
      <c r="SP54" s="270"/>
      <c r="SQ54" s="270"/>
      <c r="SR54" s="270"/>
      <c r="SS54" s="270"/>
      <c r="ST54" s="270"/>
      <c r="SU54" s="270"/>
      <c r="SV54" s="270"/>
      <c r="SW54" s="270"/>
      <c r="SX54" s="270"/>
      <c r="SY54" s="270"/>
      <c r="SZ54" s="270"/>
      <c r="TA54" s="270"/>
      <c r="TB54" s="270"/>
      <c r="TC54" s="270"/>
      <c r="TD54" s="270"/>
      <c r="TE54" s="270"/>
      <c r="TF54" s="270"/>
      <c r="TG54" s="270"/>
      <c r="TH54" s="270"/>
      <c r="TI54" s="270"/>
      <c r="TJ54" s="270"/>
      <c r="TK54" s="270"/>
      <c r="TL54" s="270"/>
      <c r="TM54" s="270"/>
      <c r="TN54" s="270"/>
      <c r="TO54" s="270"/>
      <c r="TP54" s="270"/>
      <c r="TQ54" s="270"/>
      <c r="TR54" s="270"/>
      <c r="TS54" s="270"/>
      <c r="TT54" s="270"/>
      <c r="TU54" s="270"/>
      <c r="TV54" s="270"/>
      <c r="TW54" s="270"/>
      <c r="TX54" s="270"/>
      <c r="TY54" s="270"/>
      <c r="TZ54" s="270"/>
      <c r="UA54" s="270"/>
      <c r="UB54" s="270"/>
      <c r="UC54" s="270"/>
      <c r="UD54" s="270"/>
      <c r="UE54" s="270"/>
      <c r="UF54" s="270"/>
      <c r="UG54" s="270"/>
      <c r="UH54" s="270"/>
      <c r="UI54" s="270"/>
      <c r="UJ54" s="270"/>
      <c r="UK54" s="270"/>
      <c r="UL54" s="270"/>
      <c r="UM54" s="270"/>
      <c r="UN54" s="270"/>
      <c r="UO54" s="270"/>
      <c r="UP54" s="270"/>
      <c r="UQ54" s="270"/>
      <c r="UR54" s="270"/>
      <c r="US54" s="270"/>
      <c r="UT54" s="270"/>
      <c r="UU54" s="270"/>
      <c r="UV54" s="270"/>
      <c r="UW54" s="270"/>
      <c r="UX54" s="270"/>
      <c r="UY54" s="270"/>
      <c r="UZ54" s="270"/>
      <c r="VA54" s="270"/>
      <c r="VB54" s="270"/>
      <c r="VC54" s="270"/>
      <c r="VD54" s="270"/>
      <c r="VE54" s="270"/>
      <c r="VF54" s="270"/>
      <c r="VG54" s="270"/>
      <c r="VH54" s="270"/>
      <c r="VI54" s="270"/>
      <c r="VJ54" s="270"/>
      <c r="VK54" s="270"/>
      <c r="VL54" s="270"/>
      <c r="VM54" s="270"/>
      <c r="VN54" s="270"/>
      <c r="VO54" s="270"/>
      <c r="VP54" s="270"/>
      <c r="VQ54" s="270"/>
      <c r="VR54" s="270"/>
      <c r="VS54" s="270"/>
      <c r="VT54" s="270"/>
      <c r="VU54" s="270"/>
      <c r="VV54" s="270"/>
      <c r="VW54" s="270"/>
      <c r="VX54" s="270"/>
      <c r="VY54" s="270"/>
      <c r="VZ54" s="270"/>
      <c r="WA54" s="270"/>
      <c r="WB54" s="270"/>
      <c r="WC54" s="270"/>
      <c r="WD54" s="270"/>
      <c r="WE54" s="270"/>
      <c r="WF54" s="270"/>
      <c r="WG54" s="270"/>
      <c r="WH54" s="270"/>
      <c r="WI54" s="270"/>
      <c r="WJ54" s="270"/>
      <c r="WK54" s="270"/>
      <c r="WL54" s="270"/>
      <c r="WM54" s="270"/>
      <c r="WN54" s="270"/>
      <c r="WO54" s="270"/>
      <c r="WP54" s="270"/>
      <c r="WQ54" s="270"/>
      <c r="WR54" s="270"/>
      <c r="WS54" s="270"/>
      <c r="WT54" s="270"/>
      <c r="WU54" s="270"/>
      <c r="WV54" s="270"/>
      <c r="WW54" s="270"/>
      <c r="WX54" s="270"/>
      <c r="WY54" s="270"/>
      <c r="WZ54" s="270"/>
      <c r="XA54" s="270"/>
      <c r="XB54" s="270"/>
      <c r="XC54" s="270"/>
      <c r="XD54" s="270"/>
      <c r="XE54" s="270"/>
      <c r="XF54" s="270"/>
      <c r="XG54" s="270"/>
      <c r="XH54" s="270"/>
      <c r="XI54" s="270"/>
      <c r="XJ54" s="270"/>
      <c r="XK54" s="270"/>
      <c r="XL54" s="270"/>
      <c r="XM54" s="270"/>
      <c r="XN54" s="270"/>
      <c r="XO54" s="270"/>
      <c r="XP54" s="270"/>
      <c r="XQ54" s="270"/>
      <c r="XR54" s="270"/>
      <c r="XS54" s="270"/>
      <c r="XT54" s="270"/>
      <c r="XU54" s="270"/>
      <c r="XV54" s="270"/>
      <c r="XW54" s="270"/>
      <c r="XX54" s="270"/>
      <c r="XY54" s="270"/>
      <c r="XZ54" s="270"/>
      <c r="YA54" s="270"/>
      <c r="YB54" s="270"/>
      <c r="YC54" s="270"/>
      <c r="YD54" s="270"/>
      <c r="YE54" s="270"/>
      <c r="YF54" s="270"/>
      <c r="YG54" s="270"/>
      <c r="YH54" s="270"/>
      <c r="YI54" s="270"/>
      <c r="YJ54" s="270"/>
      <c r="YK54" s="270"/>
      <c r="YL54" s="270"/>
      <c r="YM54" s="270"/>
      <c r="YN54" s="270"/>
      <c r="YO54" s="270"/>
      <c r="YP54" s="270"/>
      <c r="YQ54" s="270"/>
      <c r="YR54" s="270"/>
      <c r="YS54" s="270"/>
      <c r="YT54" s="270"/>
      <c r="YU54" s="270"/>
      <c r="YV54" s="270"/>
      <c r="YW54" s="270"/>
      <c r="YX54" s="270"/>
      <c r="YY54" s="270"/>
      <c r="YZ54" s="270"/>
      <c r="ZA54" s="270"/>
      <c r="ZB54" s="270"/>
      <c r="ZC54" s="270"/>
      <c r="ZD54" s="270"/>
      <c r="ZE54" s="270"/>
    </row>
    <row r="55">
      <c r="A55" s="156" t="s">
        <v>789</v>
      </c>
      <c r="B55" s="388"/>
      <c r="C55" s="16"/>
      <c r="D55" s="16"/>
      <c r="E55" s="16"/>
      <c r="F55" s="16"/>
      <c r="G55" s="16"/>
      <c r="H55" s="25"/>
      <c r="I55" s="388"/>
      <c r="J55" s="16"/>
      <c r="K55" s="16"/>
      <c r="L55" s="16"/>
      <c r="M55" s="16"/>
      <c r="N55" s="16"/>
      <c r="O55" s="25"/>
      <c r="P55" s="108" t="s">
        <v>2088</v>
      </c>
      <c r="Q55" s="16"/>
      <c r="R55" s="16"/>
      <c r="S55" s="16"/>
      <c r="T55" s="16"/>
      <c r="U55" s="16"/>
      <c r="V55" s="25"/>
      <c r="W55" s="388"/>
      <c r="X55" s="16"/>
      <c r="Y55" s="16"/>
      <c r="Z55" s="16"/>
      <c r="AA55" s="16"/>
      <c r="AB55" s="16"/>
      <c r="AC55" s="25"/>
      <c r="AD55" s="388"/>
      <c r="AE55" s="16"/>
      <c r="AF55" s="16"/>
      <c r="AG55" s="16"/>
      <c r="AH55" s="16"/>
      <c r="AI55" s="16"/>
      <c r="AJ55" s="25"/>
      <c r="AK55" s="388"/>
      <c r="AL55" s="16"/>
      <c r="AM55" s="16"/>
      <c r="AN55" s="16"/>
      <c r="AO55" s="16"/>
      <c r="AP55" s="16"/>
      <c r="AQ55" s="25"/>
      <c r="AR55" s="388"/>
      <c r="AS55" s="16"/>
      <c r="AT55" s="16"/>
      <c r="AU55" s="16"/>
      <c r="AV55" s="16"/>
      <c r="AW55" s="16"/>
      <c r="AX55" s="25"/>
      <c r="AY55" s="108" t="s">
        <v>2093</v>
      </c>
      <c r="AZ55" s="16"/>
      <c r="BA55" s="16"/>
      <c r="BB55" s="16"/>
      <c r="BC55" s="16"/>
      <c r="BD55" s="16"/>
      <c r="BE55" s="25"/>
      <c r="BF55" s="388"/>
      <c r="BG55" s="16"/>
      <c r="BH55" s="16"/>
      <c r="BI55" s="16"/>
      <c r="BJ55" s="16"/>
      <c r="BK55" s="16"/>
      <c r="BL55" s="25"/>
      <c r="BM55" s="108"/>
      <c r="BN55" s="16"/>
      <c r="BO55" s="16"/>
      <c r="BP55" s="16"/>
      <c r="BQ55" s="16"/>
      <c r="BR55" s="16"/>
      <c r="BS55" s="25"/>
      <c r="BT55" s="108" t="s">
        <v>2094</v>
      </c>
      <c r="BU55" s="16"/>
      <c r="BV55" s="16"/>
      <c r="BW55" s="16"/>
      <c r="BX55" s="16"/>
      <c r="BY55" s="16"/>
      <c r="BZ55" s="25"/>
      <c r="CA55" s="388"/>
      <c r="CB55" s="16"/>
      <c r="CC55" s="16"/>
      <c r="CD55" s="16"/>
      <c r="CE55" s="16"/>
      <c r="CF55" s="16"/>
      <c r="CG55" s="25"/>
      <c r="CH55" s="388"/>
      <c r="CI55" s="16"/>
      <c r="CJ55" s="16"/>
      <c r="CK55" s="16"/>
      <c r="CL55" s="16"/>
      <c r="CM55" s="16"/>
      <c r="CN55" s="25"/>
      <c r="CO55" s="388"/>
      <c r="CP55" s="16"/>
      <c r="CQ55" s="16"/>
      <c r="CR55" s="16"/>
      <c r="CS55" s="16"/>
      <c r="CT55" s="16"/>
      <c r="CU55" s="25"/>
      <c r="CV55" s="388"/>
      <c r="CW55" s="16"/>
      <c r="CX55" s="16"/>
      <c r="CY55" s="16"/>
      <c r="CZ55" s="16"/>
      <c r="DA55" s="16"/>
      <c r="DB55" s="25"/>
      <c r="DC55" s="388"/>
      <c r="DD55" s="16"/>
      <c r="DE55" s="16"/>
      <c r="DF55" s="16"/>
      <c r="DG55" s="16"/>
      <c r="DH55" s="16"/>
      <c r="DI55" s="25"/>
      <c r="DJ55" s="108"/>
      <c r="DK55" s="16"/>
      <c r="DL55" s="16"/>
      <c r="DM55" s="16"/>
      <c r="DN55" s="16"/>
      <c r="DO55" s="16"/>
      <c r="DP55" s="25"/>
      <c r="DQ55" s="108"/>
      <c r="DR55" s="16"/>
      <c r="DS55" s="16"/>
      <c r="DT55" s="16"/>
      <c r="DU55" s="16"/>
      <c r="DV55" s="16"/>
      <c r="DW55" s="25"/>
      <c r="DX55" s="108" t="s">
        <v>2095</v>
      </c>
      <c r="DY55" s="16"/>
      <c r="DZ55" s="16"/>
      <c r="EA55" s="16"/>
      <c r="EB55" s="16"/>
      <c r="EC55" s="16"/>
      <c r="ED55" s="25"/>
      <c r="EE55" s="388"/>
      <c r="EF55" s="16"/>
      <c r="EG55" s="16"/>
      <c r="EH55" s="16"/>
      <c r="EI55" s="16"/>
      <c r="EJ55" s="16"/>
      <c r="EK55" s="25"/>
      <c r="EL55" s="388"/>
      <c r="EM55" s="16"/>
      <c r="EN55" s="16"/>
      <c r="EO55" s="16"/>
      <c r="EP55" s="16"/>
      <c r="EQ55" s="16"/>
      <c r="ER55" s="25"/>
      <c r="ES55" s="388"/>
      <c r="ET55" s="16"/>
      <c r="EU55" s="16"/>
      <c r="EV55" s="16"/>
      <c r="EW55" s="16"/>
      <c r="EX55" s="16"/>
      <c r="EY55" s="25"/>
      <c r="EZ55" s="108" t="s">
        <v>2096</v>
      </c>
      <c r="FA55" s="16"/>
      <c r="FB55" s="16"/>
      <c r="FC55" s="16"/>
      <c r="FD55" s="16"/>
      <c r="FE55" s="16"/>
      <c r="FF55" s="25"/>
      <c r="FG55" s="108"/>
      <c r="FH55" s="16"/>
      <c r="FI55" s="16"/>
      <c r="FJ55" s="16"/>
      <c r="FK55" s="16"/>
      <c r="FL55" s="16"/>
      <c r="FM55" s="25"/>
      <c r="FN55" s="108"/>
      <c r="FO55" s="16"/>
      <c r="FP55" s="16"/>
      <c r="FQ55" s="16"/>
      <c r="FR55" s="16"/>
      <c r="FS55" s="16"/>
      <c r="FT55" s="25"/>
      <c r="FU55" s="388"/>
      <c r="FV55" s="16"/>
      <c r="FW55" s="16"/>
      <c r="FX55" s="16"/>
      <c r="FY55" s="16"/>
      <c r="FZ55" s="16"/>
      <c r="GA55" s="25"/>
      <c r="GB55" s="388"/>
      <c r="GC55" s="16"/>
      <c r="GD55" s="16"/>
      <c r="GE55" s="16"/>
      <c r="GF55" s="16"/>
      <c r="GG55" s="16"/>
      <c r="GH55" s="25"/>
      <c r="GI55" s="388"/>
      <c r="GJ55" s="16"/>
      <c r="GK55" s="16"/>
      <c r="GL55" s="16"/>
      <c r="GM55" s="16"/>
      <c r="GN55" s="16"/>
      <c r="GO55" s="25"/>
      <c r="GP55" s="388"/>
      <c r="GQ55" s="16"/>
      <c r="GR55" s="16"/>
      <c r="GS55" s="16"/>
      <c r="GT55" s="16"/>
      <c r="GU55" s="16"/>
      <c r="GV55" s="25"/>
      <c r="GW55" s="388"/>
      <c r="GX55" s="16"/>
      <c r="GY55" s="16"/>
      <c r="GZ55" s="16"/>
      <c r="HA55" s="16"/>
      <c r="HB55" s="16"/>
      <c r="HC55" s="25"/>
      <c r="HD55" s="388"/>
      <c r="HE55" s="16"/>
      <c r="HF55" s="16"/>
      <c r="HG55" s="16"/>
      <c r="HH55" s="16"/>
      <c r="HI55" s="16"/>
      <c r="HJ55" s="25"/>
      <c r="HK55" s="108" t="s">
        <v>2097</v>
      </c>
      <c r="HL55" s="16"/>
      <c r="HM55" s="16"/>
      <c r="HN55" s="16"/>
      <c r="HO55" s="16"/>
      <c r="HP55" s="16"/>
      <c r="HQ55" s="25"/>
      <c r="HR55" s="108" t="s">
        <v>2098</v>
      </c>
      <c r="HS55" s="16"/>
      <c r="HT55" s="16"/>
      <c r="HU55" s="16"/>
      <c r="HV55" s="16"/>
      <c r="HW55" s="16"/>
      <c r="HX55" s="25"/>
      <c r="HY55" s="388"/>
      <c r="HZ55" s="16"/>
      <c r="IA55" s="16"/>
      <c r="IB55" s="16"/>
      <c r="IC55" s="16"/>
      <c r="ID55" s="16"/>
      <c r="IE55" s="25"/>
      <c r="IF55" s="108"/>
      <c r="IG55" s="16"/>
      <c r="IH55" s="16"/>
      <c r="II55" s="16"/>
      <c r="IJ55" s="16"/>
      <c r="IK55" s="16"/>
      <c r="IL55" s="25"/>
      <c r="IM55" s="108" t="s">
        <v>2099</v>
      </c>
      <c r="IN55" s="16"/>
      <c r="IO55" s="16"/>
      <c r="IP55" s="16"/>
      <c r="IQ55" s="16"/>
      <c r="IR55" s="16"/>
      <c r="IS55" s="25"/>
      <c r="IT55" s="108"/>
      <c r="IU55" s="16"/>
      <c r="IV55" s="16"/>
      <c r="IW55" s="16"/>
      <c r="IX55" s="16"/>
      <c r="IY55" s="16"/>
      <c r="IZ55" s="25"/>
      <c r="JA55" s="388"/>
      <c r="JB55" s="16"/>
      <c r="JC55" s="16"/>
      <c r="JD55" s="16"/>
      <c r="JE55" s="16"/>
      <c r="JF55" s="16"/>
      <c r="JG55" s="25"/>
      <c r="JH55" s="108"/>
      <c r="JI55" s="16"/>
      <c r="JJ55" s="16"/>
      <c r="JK55" s="16"/>
      <c r="JL55" s="16"/>
      <c r="JM55" s="16"/>
      <c r="JN55" s="25"/>
      <c r="JO55" s="388"/>
      <c r="JP55" s="16"/>
      <c r="JQ55" s="16"/>
      <c r="JR55" s="16"/>
      <c r="JS55" s="16"/>
      <c r="JT55" s="16"/>
      <c r="JU55" s="25"/>
      <c r="JV55" s="108"/>
      <c r="JW55" s="16"/>
      <c r="JX55" s="16"/>
      <c r="JY55" s="16"/>
      <c r="JZ55" s="16"/>
      <c r="KA55" s="16"/>
      <c r="KB55" s="25"/>
      <c r="KC55" s="388"/>
      <c r="KD55" s="16"/>
      <c r="KE55" s="16"/>
      <c r="KF55" s="16"/>
      <c r="KG55" s="16"/>
      <c r="KH55" s="16"/>
      <c r="KI55" s="25"/>
      <c r="KJ55" s="388"/>
      <c r="KK55" s="16"/>
      <c r="KL55" s="16"/>
      <c r="KM55" s="16"/>
      <c r="KN55" s="16"/>
      <c r="KO55" s="16"/>
      <c r="KP55" s="25"/>
      <c r="KQ55" s="388"/>
      <c r="KR55" s="16"/>
      <c r="KS55" s="16"/>
      <c r="KT55" s="16"/>
      <c r="KU55" s="16"/>
      <c r="KV55" s="16"/>
      <c r="KW55" s="25"/>
      <c r="KX55" s="108" t="s">
        <v>2100</v>
      </c>
      <c r="KY55" s="16"/>
      <c r="KZ55" s="16"/>
      <c r="LA55" s="16"/>
      <c r="LB55" s="16"/>
      <c r="LC55" s="16"/>
      <c r="LD55" s="25"/>
      <c r="LE55" s="388"/>
      <c r="LF55" s="16"/>
      <c r="LG55" s="16"/>
      <c r="LH55" s="16"/>
      <c r="LI55" s="16"/>
      <c r="LJ55" s="16"/>
      <c r="LK55" s="25"/>
      <c r="LL55" s="388"/>
      <c r="LM55" s="16"/>
      <c r="LN55" s="16"/>
      <c r="LO55" s="16"/>
      <c r="LP55" s="16"/>
      <c r="LQ55" s="16"/>
      <c r="LR55" s="25"/>
      <c r="LS55" s="388"/>
      <c r="LT55" s="16"/>
      <c r="LU55" s="16"/>
      <c r="LV55" s="16"/>
      <c r="LW55" s="16"/>
      <c r="LX55" s="16"/>
      <c r="LY55" s="25"/>
      <c r="LZ55" s="388"/>
      <c r="MA55" s="16"/>
      <c r="MB55" s="16"/>
      <c r="MC55" s="16"/>
      <c r="MD55" s="16"/>
      <c r="ME55" s="16"/>
      <c r="MF55" s="25"/>
      <c r="MG55" s="108" t="s">
        <v>2101</v>
      </c>
      <c r="MH55" s="16"/>
      <c r="MI55" s="16"/>
      <c r="MJ55" s="16"/>
      <c r="MK55" s="16"/>
      <c r="ML55" s="16"/>
      <c r="MM55" s="25"/>
      <c r="MN55" s="108" t="s">
        <v>2102</v>
      </c>
      <c r="MO55" s="16"/>
      <c r="MP55" s="16"/>
      <c r="MQ55" s="16"/>
      <c r="MR55" s="16"/>
      <c r="MS55" s="16"/>
      <c r="MT55" s="25"/>
      <c r="MU55" s="388"/>
      <c r="MV55" s="16"/>
      <c r="MW55" s="16"/>
      <c r="MX55" s="16"/>
      <c r="MY55" s="16"/>
      <c r="MZ55" s="16"/>
      <c r="NA55" s="25"/>
      <c r="NB55" s="399"/>
      <c r="NC55" s="270"/>
      <c r="ND55" s="270"/>
      <c r="NE55" s="270"/>
      <c r="NF55" s="270"/>
      <c r="NG55" s="270"/>
      <c r="NH55" s="270"/>
      <c r="NI55" s="270"/>
      <c r="NJ55" s="270"/>
      <c r="NK55" s="270"/>
      <c r="NL55" s="270"/>
      <c r="NM55" s="270"/>
      <c r="NN55" s="270"/>
      <c r="NO55" s="270"/>
      <c r="NP55" s="270"/>
      <c r="NQ55" s="270"/>
      <c r="NR55" s="270"/>
      <c r="NS55" s="270"/>
      <c r="NT55" s="270"/>
      <c r="NU55" s="270"/>
      <c r="NV55" s="270"/>
      <c r="NW55" s="270"/>
      <c r="NX55" s="270"/>
      <c r="NY55" s="270"/>
      <c r="NZ55" s="270"/>
      <c r="OA55" s="270"/>
      <c r="OB55" s="270"/>
      <c r="OC55" s="270"/>
      <c r="OD55" s="270"/>
      <c r="OE55" s="270"/>
      <c r="OF55" s="270"/>
      <c r="OG55" s="270"/>
      <c r="OH55" s="270"/>
      <c r="OI55" s="270"/>
      <c r="OJ55" s="270"/>
      <c r="OK55" s="270"/>
      <c r="OL55" s="270"/>
      <c r="OM55" s="270"/>
      <c r="ON55" s="270"/>
      <c r="OO55" s="270"/>
      <c r="OP55" s="270"/>
      <c r="OQ55" s="270"/>
      <c r="OR55" s="270"/>
      <c r="OS55" s="270"/>
      <c r="OT55" s="270"/>
      <c r="OU55" s="270"/>
      <c r="OV55" s="270"/>
      <c r="OW55" s="270"/>
      <c r="OX55" s="270"/>
      <c r="OY55" s="270"/>
      <c r="OZ55" s="270"/>
      <c r="PA55" s="270"/>
      <c r="PB55" s="270"/>
      <c r="PC55" s="270"/>
      <c r="PD55" s="270"/>
      <c r="PE55" s="270"/>
      <c r="PF55" s="270"/>
      <c r="PG55" s="270"/>
      <c r="PH55" s="270"/>
      <c r="PI55" s="270"/>
      <c r="PJ55" s="270"/>
      <c r="PK55" s="270"/>
      <c r="PL55" s="270"/>
      <c r="PM55" s="270"/>
      <c r="PN55" s="270"/>
      <c r="PO55" s="270"/>
      <c r="PP55" s="270"/>
      <c r="PQ55" s="270"/>
      <c r="PR55" s="270"/>
      <c r="PS55" s="270"/>
      <c r="PT55" s="270"/>
      <c r="PU55" s="270"/>
      <c r="PV55" s="270"/>
      <c r="PW55" s="270"/>
      <c r="PX55" s="270"/>
      <c r="PY55" s="270"/>
      <c r="PZ55" s="270"/>
      <c r="QA55" s="270"/>
      <c r="QB55" s="270"/>
      <c r="QC55" s="270"/>
      <c r="QD55" s="270"/>
      <c r="QE55" s="270"/>
      <c r="QF55" s="270"/>
      <c r="QG55" s="270"/>
      <c r="QH55" s="270"/>
      <c r="QI55" s="270"/>
      <c r="QJ55" s="270"/>
      <c r="QK55" s="270"/>
      <c r="QL55" s="270"/>
      <c r="QM55" s="270"/>
      <c r="QN55" s="270"/>
      <c r="QO55" s="270"/>
      <c r="QP55" s="270"/>
      <c r="QQ55" s="270"/>
      <c r="QR55" s="270"/>
      <c r="QS55" s="270"/>
      <c r="QT55" s="270"/>
      <c r="QU55" s="270"/>
      <c r="QV55" s="270"/>
      <c r="QW55" s="270"/>
      <c r="QX55" s="270"/>
      <c r="QY55" s="270"/>
      <c r="QZ55" s="270"/>
      <c r="RA55" s="270"/>
      <c r="RB55" s="270"/>
      <c r="RC55" s="270"/>
      <c r="RD55" s="270"/>
      <c r="RE55" s="270"/>
      <c r="RF55" s="270"/>
      <c r="RG55" s="270"/>
      <c r="RH55" s="270"/>
      <c r="RI55" s="270"/>
      <c r="RJ55" s="270"/>
      <c r="RK55" s="270"/>
      <c r="RL55" s="270"/>
      <c r="RM55" s="270"/>
      <c r="RN55" s="270"/>
      <c r="RO55" s="270"/>
      <c r="RP55" s="270"/>
      <c r="RQ55" s="270"/>
      <c r="RR55" s="270"/>
      <c r="RS55" s="270"/>
      <c r="RT55" s="270"/>
      <c r="RU55" s="270"/>
      <c r="RV55" s="270"/>
      <c r="RW55" s="270"/>
      <c r="RX55" s="270"/>
      <c r="RY55" s="270"/>
      <c r="RZ55" s="270"/>
      <c r="SA55" s="270"/>
      <c r="SB55" s="270"/>
      <c r="SC55" s="270"/>
      <c r="SD55" s="270"/>
      <c r="SE55" s="270"/>
      <c r="SF55" s="270"/>
      <c r="SG55" s="270"/>
      <c r="SH55" s="270"/>
      <c r="SI55" s="270"/>
      <c r="SJ55" s="270"/>
      <c r="SK55" s="270"/>
      <c r="SL55" s="270"/>
      <c r="SM55" s="270"/>
      <c r="SN55" s="270"/>
      <c r="SO55" s="270"/>
      <c r="SP55" s="270"/>
      <c r="SQ55" s="270"/>
      <c r="SR55" s="270"/>
      <c r="SS55" s="270"/>
      <c r="ST55" s="270"/>
      <c r="SU55" s="270"/>
      <c r="SV55" s="270"/>
      <c r="SW55" s="270"/>
      <c r="SX55" s="270"/>
      <c r="SY55" s="270"/>
      <c r="SZ55" s="270"/>
      <c r="TA55" s="270"/>
      <c r="TB55" s="270"/>
      <c r="TC55" s="270"/>
      <c r="TD55" s="270"/>
      <c r="TE55" s="270"/>
      <c r="TF55" s="270"/>
      <c r="TG55" s="270"/>
      <c r="TH55" s="270"/>
      <c r="TI55" s="270"/>
      <c r="TJ55" s="270"/>
      <c r="TK55" s="270"/>
      <c r="TL55" s="270"/>
      <c r="TM55" s="270"/>
      <c r="TN55" s="270"/>
      <c r="TO55" s="270"/>
      <c r="TP55" s="270"/>
      <c r="TQ55" s="270"/>
      <c r="TR55" s="270"/>
      <c r="TS55" s="270"/>
      <c r="TT55" s="270"/>
      <c r="TU55" s="270"/>
      <c r="TV55" s="270"/>
      <c r="TW55" s="270"/>
      <c r="TX55" s="270"/>
      <c r="TY55" s="270"/>
      <c r="TZ55" s="270"/>
      <c r="UA55" s="270"/>
      <c r="UB55" s="270"/>
      <c r="UC55" s="270"/>
      <c r="UD55" s="270"/>
      <c r="UE55" s="270"/>
      <c r="UF55" s="270"/>
      <c r="UG55" s="270"/>
      <c r="UH55" s="270"/>
      <c r="UI55" s="270"/>
      <c r="UJ55" s="270"/>
      <c r="UK55" s="270"/>
      <c r="UL55" s="270"/>
      <c r="UM55" s="270"/>
      <c r="UN55" s="270"/>
      <c r="UO55" s="270"/>
      <c r="UP55" s="270"/>
      <c r="UQ55" s="270"/>
      <c r="UR55" s="270"/>
      <c r="US55" s="270"/>
      <c r="UT55" s="270"/>
      <c r="UU55" s="270"/>
      <c r="UV55" s="270"/>
      <c r="UW55" s="270"/>
      <c r="UX55" s="270"/>
      <c r="UY55" s="270"/>
      <c r="UZ55" s="270"/>
      <c r="VA55" s="270"/>
      <c r="VB55" s="270"/>
      <c r="VC55" s="270"/>
      <c r="VD55" s="270"/>
      <c r="VE55" s="270"/>
      <c r="VF55" s="270"/>
      <c r="VG55" s="270"/>
      <c r="VH55" s="270"/>
      <c r="VI55" s="270"/>
      <c r="VJ55" s="270"/>
      <c r="VK55" s="270"/>
      <c r="VL55" s="270"/>
      <c r="VM55" s="270"/>
      <c r="VN55" s="270"/>
      <c r="VO55" s="270"/>
      <c r="VP55" s="270"/>
      <c r="VQ55" s="270"/>
      <c r="VR55" s="270"/>
      <c r="VS55" s="270"/>
      <c r="VT55" s="270"/>
      <c r="VU55" s="270"/>
      <c r="VV55" s="270"/>
      <c r="VW55" s="270"/>
      <c r="VX55" s="270"/>
      <c r="VY55" s="270"/>
      <c r="VZ55" s="270"/>
      <c r="WA55" s="270"/>
      <c r="WB55" s="270"/>
      <c r="WC55" s="270"/>
      <c r="WD55" s="270"/>
      <c r="WE55" s="270"/>
      <c r="WF55" s="270"/>
      <c r="WG55" s="270"/>
      <c r="WH55" s="270"/>
      <c r="WI55" s="270"/>
      <c r="WJ55" s="270"/>
      <c r="WK55" s="270"/>
      <c r="WL55" s="270"/>
      <c r="WM55" s="270"/>
      <c r="WN55" s="270"/>
      <c r="WO55" s="270"/>
      <c r="WP55" s="270"/>
      <c r="WQ55" s="270"/>
      <c r="WR55" s="270"/>
      <c r="WS55" s="270"/>
      <c r="WT55" s="270"/>
      <c r="WU55" s="270"/>
      <c r="WV55" s="270"/>
      <c r="WW55" s="270"/>
      <c r="WX55" s="270"/>
      <c r="WY55" s="270"/>
      <c r="WZ55" s="270"/>
      <c r="XA55" s="270"/>
      <c r="XB55" s="270"/>
      <c r="XC55" s="270"/>
      <c r="XD55" s="270"/>
      <c r="XE55" s="270"/>
      <c r="XF55" s="270"/>
      <c r="XG55" s="270"/>
      <c r="XH55" s="270"/>
      <c r="XI55" s="270"/>
      <c r="XJ55" s="270"/>
      <c r="XK55" s="270"/>
      <c r="XL55" s="270"/>
      <c r="XM55" s="270"/>
      <c r="XN55" s="270"/>
      <c r="XO55" s="270"/>
      <c r="XP55" s="270"/>
      <c r="XQ55" s="270"/>
      <c r="XR55" s="270"/>
      <c r="XS55" s="270"/>
      <c r="XT55" s="270"/>
      <c r="XU55" s="270"/>
      <c r="XV55" s="270"/>
      <c r="XW55" s="270"/>
      <c r="XX55" s="270"/>
      <c r="XY55" s="270"/>
      <c r="XZ55" s="270"/>
      <c r="YA55" s="270"/>
      <c r="YB55" s="270"/>
      <c r="YC55" s="270"/>
      <c r="YD55" s="270"/>
      <c r="YE55" s="270"/>
      <c r="YF55" s="270"/>
      <c r="YG55" s="270"/>
      <c r="YH55" s="270"/>
      <c r="YI55" s="270"/>
      <c r="YJ55" s="270"/>
      <c r="YK55" s="270"/>
      <c r="YL55" s="270"/>
      <c r="YM55" s="270"/>
      <c r="YN55" s="270"/>
      <c r="YO55" s="270"/>
      <c r="YP55" s="270"/>
      <c r="YQ55" s="270"/>
      <c r="YR55" s="270"/>
      <c r="YS55" s="270"/>
      <c r="YT55" s="270"/>
      <c r="YU55" s="270"/>
      <c r="YV55" s="270"/>
      <c r="YW55" s="270"/>
      <c r="YX55" s="270"/>
      <c r="YY55" s="270"/>
      <c r="YZ55" s="270"/>
      <c r="ZA55" s="270"/>
      <c r="ZB55" s="270"/>
      <c r="ZC55" s="270"/>
      <c r="ZD55" s="270"/>
      <c r="ZE55" s="270"/>
    </row>
    <row r="56">
      <c r="A56" s="459" t="s">
        <v>1388</v>
      </c>
      <c r="B56" s="388"/>
      <c r="C56" s="16"/>
      <c r="D56" s="16"/>
      <c r="E56" s="16"/>
      <c r="F56" s="16"/>
      <c r="G56" s="16"/>
      <c r="H56" s="25"/>
      <c r="I56" s="388"/>
      <c r="J56" s="16"/>
      <c r="K56" s="16"/>
      <c r="L56" s="16"/>
      <c r="M56" s="16"/>
      <c r="N56" s="16"/>
      <c r="O56" s="25"/>
      <c r="P56" s="108"/>
      <c r="Q56" s="16"/>
      <c r="R56" s="16"/>
      <c r="S56" s="16"/>
      <c r="T56" s="16"/>
      <c r="U56" s="16"/>
      <c r="V56" s="25"/>
      <c r="W56" s="388"/>
      <c r="X56" s="16"/>
      <c r="Y56" s="16"/>
      <c r="Z56" s="16"/>
      <c r="AA56" s="16"/>
      <c r="AB56" s="16"/>
      <c r="AC56" s="25"/>
      <c r="AD56" s="108" t="s">
        <v>2113</v>
      </c>
      <c r="AE56" s="16"/>
      <c r="AF56" s="16"/>
      <c r="AG56" s="16"/>
      <c r="AH56" s="16"/>
      <c r="AI56" s="16"/>
      <c r="AJ56" s="25"/>
      <c r="AK56" s="108" t="s">
        <v>2115</v>
      </c>
      <c r="AL56" s="16"/>
      <c r="AM56" s="16"/>
      <c r="AN56" s="16"/>
      <c r="AO56" s="16"/>
      <c r="AP56" s="16"/>
      <c r="AQ56" s="25"/>
      <c r="AR56" s="108"/>
      <c r="AS56" s="16"/>
      <c r="AT56" s="16"/>
      <c r="AU56" s="16"/>
      <c r="AV56" s="16"/>
      <c r="AW56" s="16"/>
      <c r="AX56" s="25"/>
      <c r="AY56" s="108"/>
      <c r="AZ56" s="16"/>
      <c r="BA56" s="16"/>
      <c r="BB56" s="16"/>
      <c r="BC56" s="16"/>
      <c r="BD56" s="16"/>
      <c r="BE56" s="25"/>
      <c r="BF56" s="108"/>
      <c r="BG56" s="16"/>
      <c r="BH56" s="16"/>
      <c r="BI56" s="16"/>
      <c r="BJ56" s="16"/>
      <c r="BK56" s="16"/>
      <c r="BL56" s="25"/>
      <c r="BM56" s="106" t="s">
        <v>2118</v>
      </c>
      <c r="BN56" s="16"/>
      <c r="BO56" s="16"/>
      <c r="BP56" s="16"/>
      <c r="BQ56" s="16"/>
      <c r="BR56" s="16"/>
      <c r="BS56" s="25"/>
      <c r="BT56" s="108" t="s">
        <v>2119</v>
      </c>
      <c r="BU56" s="16"/>
      <c r="BV56" s="16"/>
      <c r="BW56" s="16"/>
      <c r="BX56" s="16"/>
      <c r="BY56" s="16"/>
      <c r="BZ56" s="25"/>
      <c r="CA56" s="108"/>
      <c r="CB56" s="16"/>
      <c r="CC56" s="16"/>
      <c r="CD56" s="16"/>
      <c r="CE56" s="16"/>
      <c r="CF56" s="16"/>
      <c r="CG56" s="25"/>
      <c r="CH56" s="108" t="s">
        <v>2120</v>
      </c>
      <c r="CI56" s="16"/>
      <c r="CJ56" s="16"/>
      <c r="CK56" s="16"/>
      <c r="CL56" s="16"/>
      <c r="CM56" s="16"/>
      <c r="CN56" s="25"/>
      <c r="CO56" s="460" t="s">
        <v>2121</v>
      </c>
      <c r="CP56" s="399"/>
      <c r="CQ56" s="461"/>
      <c r="CR56" s="399"/>
      <c r="CS56" s="399"/>
      <c r="CT56" s="399"/>
      <c r="CU56" s="399"/>
      <c r="CV56" s="232" t="s">
        <v>2122</v>
      </c>
      <c r="CW56" s="232"/>
      <c r="CX56" s="232"/>
      <c r="CY56" s="232"/>
      <c r="CZ56" s="232"/>
      <c r="DA56" s="232"/>
      <c r="DB56" s="232"/>
      <c r="DC56" s="232" t="s">
        <v>771</v>
      </c>
      <c r="DD56" s="232"/>
      <c r="DE56" s="232"/>
      <c r="DF56" s="232"/>
      <c r="DG56" s="108"/>
      <c r="DH56" s="16"/>
      <c r="DI56" s="25"/>
      <c r="DJ56" s="108"/>
      <c r="DK56" s="16"/>
      <c r="DL56" s="16"/>
      <c r="DM56" s="16"/>
      <c r="DN56" s="16"/>
      <c r="DO56" s="16"/>
      <c r="DP56" s="25"/>
      <c r="DQ56" s="108"/>
      <c r="DR56" s="16"/>
      <c r="DS56" s="16"/>
      <c r="DT56" s="16"/>
      <c r="DU56" s="16"/>
      <c r="DV56" s="16"/>
      <c r="DW56" s="25"/>
      <c r="DX56" s="236" t="s">
        <v>2123</v>
      </c>
      <c r="DY56" s="324"/>
      <c r="DZ56" s="324"/>
      <c r="EA56" s="309"/>
      <c r="EB56" s="16"/>
      <c r="EC56" s="16"/>
      <c r="ED56" s="25"/>
      <c r="EE56" s="462" t="s">
        <v>2124</v>
      </c>
      <c r="EF56" s="16"/>
      <c r="EG56" s="16"/>
      <c r="EH56" s="16"/>
      <c r="EI56" s="16"/>
      <c r="EJ56" s="16"/>
      <c r="EK56" s="25"/>
      <c r="EL56" s="462" t="s">
        <v>2125</v>
      </c>
      <c r="EM56" s="16"/>
      <c r="EN56" s="16"/>
      <c r="EO56" s="16"/>
      <c r="EP56" s="16"/>
      <c r="EQ56" s="16"/>
      <c r="ER56" s="25"/>
      <c r="ES56" s="463" t="s">
        <v>2126</v>
      </c>
      <c r="ET56" s="16"/>
      <c r="EU56" s="16"/>
      <c r="EV56" s="16"/>
      <c r="EW56" s="16"/>
      <c r="EX56" s="16"/>
      <c r="EY56" s="25"/>
      <c r="EZ56" s="462" t="s">
        <v>2127</v>
      </c>
      <c r="FA56" s="16"/>
      <c r="FB56" s="16"/>
      <c r="FC56" s="16"/>
      <c r="FD56" s="16"/>
      <c r="FE56" s="16"/>
      <c r="FF56" s="25"/>
      <c r="FG56" s="108" t="s">
        <v>2128</v>
      </c>
      <c r="FH56" s="16"/>
      <c r="FI56" s="16"/>
      <c r="FJ56" s="16"/>
      <c r="FK56" s="16"/>
      <c r="FL56" s="16"/>
      <c r="FM56" s="25"/>
      <c r="FN56" s="108" t="s">
        <v>2129</v>
      </c>
      <c r="FO56" s="16"/>
      <c r="FP56" s="16"/>
      <c r="FQ56" s="16"/>
      <c r="FR56" s="16"/>
      <c r="FS56" s="16"/>
      <c r="FT56" s="25"/>
      <c r="FU56" s="108" t="s">
        <v>2130</v>
      </c>
      <c r="FV56" s="16"/>
      <c r="FW56" s="16"/>
      <c r="FX56" s="16"/>
      <c r="FY56" s="16"/>
      <c r="FZ56" s="16"/>
      <c r="GA56" s="25"/>
      <c r="GB56" s="108"/>
      <c r="GC56" s="16"/>
      <c r="GD56" s="16"/>
      <c r="GE56" s="16"/>
      <c r="GF56" s="16"/>
      <c r="GG56" s="16"/>
      <c r="GH56" s="25"/>
      <c r="GI56" s="108" t="s">
        <v>872</v>
      </c>
      <c r="GJ56" s="16"/>
      <c r="GK56" s="16"/>
      <c r="GL56" s="16"/>
      <c r="GM56" s="16"/>
      <c r="GN56" s="16"/>
      <c r="GO56" s="25"/>
      <c r="GP56" s="108"/>
      <c r="GQ56" s="16"/>
      <c r="GR56" s="16"/>
      <c r="GS56" s="16"/>
      <c r="GT56" s="16"/>
      <c r="GU56" s="16"/>
      <c r="GV56" s="25"/>
      <c r="GW56" s="388"/>
      <c r="GX56" s="16"/>
      <c r="GY56" s="16"/>
      <c r="GZ56" s="16"/>
      <c r="HA56" s="16"/>
      <c r="HB56" s="16"/>
      <c r="HC56" s="25"/>
      <c r="HD56" s="388"/>
      <c r="HE56" s="16"/>
      <c r="HF56" s="16"/>
      <c r="HG56" s="16"/>
      <c r="HH56" s="16"/>
      <c r="HI56" s="16"/>
      <c r="HJ56" s="25"/>
      <c r="HK56" s="388"/>
      <c r="HL56" s="16"/>
      <c r="HM56" s="16"/>
      <c r="HN56" s="16"/>
      <c r="HO56" s="16"/>
      <c r="HP56" s="16"/>
      <c r="HQ56" s="25"/>
      <c r="HR56" s="108"/>
      <c r="HS56" s="16"/>
      <c r="HT56" s="16"/>
      <c r="HU56" s="16"/>
      <c r="HV56" s="16"/>
      <c r="HW56" s="16"/>
      <c r="HX56" s="25"/>
      <c r="HY56" s="388"/>
      <c r="HZ56" s="16"/>
      <c r="IA56" s="16"/>
      <c r="IB56" s="16"/>
      <c r="IC56" s="16"/>
      <c r="ID56" s="16"/>
      <c r="IE56" s="25"/>
      <c r="IF56" s="108"/>
      <c r="IG56" s="16"/>
      <c r="IH56" s="16"/>
      <c r="II56" s="16"/>
      <c r="IJ56" s="16"/>
      <c r="IK56" s="16"/>
      <c r="IL56" s="25"/>
      <c r="IM56" s="108"/>
      <c r="IN56" s="16"/>
      <c r="IO56" s="16"/>
      <c r="IP56" s="16"/>
      <c r="IQ56" s="16"/>
      <c r="IR56" s="16"/>
      <c r="IS56" s="25"/>
      <c r="IT56" s="108"/>
      <c r="IU56" s="16"/>
      <c r="IV56" s="16"/>
      <c r="IW56" s="16"/>
      <c r="IX56" s="16"/>
      <c r="IY56" s="16"/>
      <c r="IZ56" s="25"/>
      <c r="JA56" s="108"/>
      <c r="JB56" s="16"/>
      <c r="JC56" s="16"/>
      <c r="JD56" s="16"/>
      <c r="JE56" s="16"/>
      <c r="JF56" s="16"/>
      <c r="JG56" s="25"/>
      <c r="JH56" s="106" t="s">
        <v>2131</v>
      </c>
      <c r="JI56" s="16"/>
      <c r="JJ56" s="16"/>
      <c r="JK56" s="16"/>
      <c r="JL56" s="16"/>
      <c r="JM56" s="16"/>
      <c r="JN56" s="25"/>
      <c r="JO56" s="108" t="s">
        <v>2132</v>
      </c>
      <c r="JP56" s="16"/>
      <c r="JQ56" s="16"/>
      <c r="JR56" s="16"/>
      <c r="JS56" s="16"/>
      <c r="JT56" s="16"/>
      <c r="JU56" s="25"/>
      <c r="JV56" s="108"/>
      <c r="JW56" s="16"/>
      <c r="JX56" s="16"/>
      <c r="JY56" s="16"/>
      <c r="JZ56" s="16"/>
      <c r="KA56" s="16"/>
      <c r="KB56" s="25"/>
      <c r="KC56" s="108"/>
      <c r="KD56" s="16"/>
      <c r="KE56" s="16"/>
      <c r="KF56" s="16"/>
      <c r="KG56" s="16"/>
      <c r="KH56" s="16"/>
      <c r="KI56" s="25"/>
      <c r="KJ56" s="388"/>
      <c r="KK56" s="16"/>
      <c r="KL56" s="16"/>
      <c r="KM56" s="16"/>
      <c r="KN56" s="16"/>
      <c r="KO56" s="16"/>
      <c r="KP56" s="25"/>
      <c r="KQ56" s="108"/>
      <c r="KR56" s="16"/>
      <c r="KS56" s="16"/>
      <c r="KT56" s="16"/>
      <c r="KU56" s="16"/>
      <c r="KV56" s="16"/>
      <c r="KW56" s="25"/>
      <c r="KX56" s="108" t="s">
        <v>2135</v>
      </c>
      <c r="KY56" s="16"/>
      <c r="KZ56" s="16"/>
      <c r="LA56" s="16"/>
      <c r="LB56" s="16"/>
      <c r="LC56" s="16"/>
      <c r="LD56" s="25"/>
      <c r="LE56" s="388"/>
      <c r="LF56" s="16"/>
      <c r="LG56" s="16"/>
      <c r="LH56" s="16"/>
      <c r="LI56" s="16"/>
      <c r="LJ56" s="16"/>
      <c r="LK56" s="25"/>
      <c r="LL56" s="108"/>
      <c r="LM56" s="16"/>
      <c r="LN56" s="16"/>
      <c r="LO56" s="16"/>
      <c r="LP56" s="16"/>
      <c r="LQ56" s="16"/>
      <c r="LR56" s="25"/>
      <c r="LS56" s="108"/>
      <c r="LT56" s="16"/>
      <c r="LU56" s="16"/>
      <c r="LV56" s="16"/>
      <c r="LW56" s="16"/>
      <c r="LX56" s="16"/>
      <c r="LY56" s="25"/>
      <c r="LZ56" s="108"/>
      <c r="MA56" s="16"/>
      <c r="MB56" s="16"/>
      <c r="MC56" s="16"/>
      <c r="MD56" s="16"/>
      <c r="ME56" s="16"/>
      <c r="MF56" s="25"/>
      <c r="MG56" s="388"/>
      <c r="MH56" s="16"/>
      <c r="MI56" s="16"/>
      <c r="MJ56" s="16"/>
      <c r="MK56" s="16"/>
      <c r="ML56" s="16"/>
      <c r="MM56" s="25"/>
      <c r="MN56" s="108"/>
      <c r="MO56" s="16"/>
      <c r="MP56" s="16"/>
      <c r="MQ56" s="16"/>
      <c r="MR56" s="16"/>
      <c r="MS56" s="16"/>
      <c r="MT56" s="25"/>
      <c r="MU56" s="388"/>
      <c r="MV56" s="16"/>
      <c r="MW56" s="16"/>
      <c r="MX56" s="16"/>
      <c r="MY56" s="16"/>
      <c r="MZ56" s="16"/>
      <c r="NA56" s="25"/>
      <c r="NB56" s="399"/>
      <c r="NC56" s="270"/>
      <c r="ND56" s="270"/>
      <c r="NE56" s="270"/>
      <c r="NF56" s="270"/>
      <c r="NG56" s="270"/>
      <c r="NH56" s="270"/>
      <c r="NI56" s="270"/>
      <c r="NJ56" s="270"/>
      <c r="NK56" s="270"/>
      <c r="NL56" s="270"/>
      <c r="NM56" s="270"/>
      <c r="NN56" s="270"/>
      <c r="NO56" s="270"/>
      <c r="NP56" s="270"/>
      <c r="NQ56" s="270"/>
      <c r="NR56" s="270"/>
      <c r="NS56" s="270"/>
      <c r="NT56" s="270"/>
      <c r="NU56" s="270"/>
      <c r="NV56" s="270"/>
      <c r="NW56" s="270"/>
      <c r="NX56" s="270"/>
      <c r="NY56" s="270"/>
      <c r="NZ56" s="270"/>
      <c r="OA56" s="270"/>
      <c r="OB56" s="270"/>
      <c r="OC56" s="270"/>
      <c r="OD56" s="270"/>
      <c r="OE56" s="270"/>
      <c r="OF56" s="270"/>
      <c r="OG56" s="270"/>
      <c r="OH56" s="270"/>
      <c r="OI56" s="270"/>
      <c r="OJ56" s="270"/>
      <c r="OK56" s="270"/>
      <c r="OL56" s="270"/>
      <c r="OM56" s="270"/>
      <c r="ON56" s="270"/>
      <c r="OO56" s="270"/>
      <c r="OP56" s="270"/>
      <c r="OQ56" s="270"/>
      <c r="OR56" s="270"/>
      <c r="OS56" s="270"/>
      <c r="OT56" s="270"/>
      <c r="OU56" s="270"/>
      <c r="OV56" s="270"/>
      <c r="OW56" s="270"/>
      <c r="OX56" s="270"/>
      <c r="OY56" s="270"/>
      <c r="OZ56" s="270"/>
      <c r="PA56" s="270"/>
      <c r="PB56" s="270"/>
      <c r="PC56" s="270"/>
      <c r="PD56" s="270"/>
      <c r="PE56" s="270"/>
      <c r="PF56" s="270"/>
      <c r="PG56" s="270"/>
      <c r="PH56" s="270"/>
      <c r="PI56" s="270"/>
      <c r="PJ56" s="270"/>
      <c r="PK56" s="270"/>
      <c r="PL56" s="270"/>
      <c r="PM56" s="270"/>
      <c r="PN56" s="270"/>
      <c r="PO56" s="270"/>
      <c r="PP56" s="270"/>
      <c r="PQ56" s="270"/>
      <c r="PR56" s="270"/>
      <c r="PS56" s="270"/>
      <c r="PT56" s="270"/>
      <c r="PU56" s="270"/>
      <c r="PV56" s="270"/>
      <c r="PW56" s="270"/>
      <c r="PX56" s="270"/>
      <c r="PY56" s="270"/>
      <c r="PZ56" s="270"/>
      <c r="QA56" s="270"/>
      <c r="QB56" s="270"/>
      <c r="QC56" s="270"/>
      <c r="QD56" s="270"/>
      <c r="QE56" s="270"/>
      <c r="QF56" s="270"/>
      <c r="QG56" s="270"/>
      <c r="QH56" s="270"/>
      <c r="QI56" s="270"/>
      <c r="QJ56" s="270"/>
      <c r="QK56" s="270"/>
      <c r="QL56" s="270"/>
      <c r="QM56" s="270"/>
      <c r="QN56" s="270"/>
      <c r="QO56" s="270"/>
      <c r="QP56" s="270"/>
      <c r="QQ56" s="270"/>
      <c r="QR56" s="270"/>
      <c r="QS56" s="270"/>
      <c r="QT56" s="270"/>
      <c r="QU56" s="270"/>
      <c r="QV56" s="270"/>
      <c r="QW56" s="270"/>
      <c r="QX56" s="270"/>
      <c r="QY56" s="270"/>
      <c r="QZ56" s="270"/>
      <c r="RA56" s="270"/>
      <c r="RB56" s="270"/>
      <c r="RC56" s="270"/>
      <c r="RD56" s="270"/>
      <c r="RE56" s="270"/>
      <c r="RF56" s="270"/>
      <c r="RG56" s="270"/>
      <c r="RH56" s="270"/>
      <c r="RI56" s="270"/>
      <c r="RJ56" s="270"/>
      <c r="RK56" s="270"/>
      <c r="RL56" s="270"/>
      <c r="RM56" s="270"/>
      <c r="RN56" s="270"/>
      <c r="RO56" s="270"/>
      <c r="RP56" s="270"/>
      <c r="RQ56" s="270"/>
      <c r="RR56" s="270"/>
      <c r="RS56" s="270"/>
      <c r="RT56" s="270"/>
      <c r="RU56" s="270"/>
      <c r="RV56" s="270"/>
      <c r="RW56" s="270"/>
      <c r="RX56" s="270"/>
      <c r="RY56" s="270"/>
      <c r="RZ56" s="270"/>
      <c r="SA56" s="270"/>
      <c r="SB56" s="270"/>
      <c r="SC56" s="270"/>
      <c r="SD56" s="270"/>
      <c r="SE56" s="270"/>
      <c r="SF56" s="270"/>
      <c r="SG56" s="270"/>
      <c r="SH56" s="270"/>
      <c r="SI56" s="270"/>
      <c r="SJ56" s="270"/>
      <c r="SK56" s="270"/>
      <c r="SL56" s="270"/>
      <c r="SM56" s="270"/>
      <c r="SN56" s="270"/>
      <c r="SO56" s="270"/>
      <c r="SP56" s="270"/>
      <c r="SQ56" s="270"/>
      <c r="SR56" s="270"/>
      <c r="SS56" s="270"/>
      <c r="ST56" s="270"/>
      <c r="SU56" s="270"/>
      <c r="SV56" s="270"/>
      <c r="SW56" s="270"/>
      <c r="SX56" s="270"/>
      <c r="SY56" s="270"/>
      <c r="SZ56" s="270"/>
      <c r="TA56" s="270"/>
      <c r="TB56" s="270"/>
      <c r="TC56" s="270"/>
      <c r="TD56" s="270"/>
      <c r="TE56" s="270"/>
      <c r="TF56" s="270"/>
      <c r="TG56" s="270"/>
      <c r="TH56" s="270"/>
      <c r="TI56" s="270"/>
      <c r="TJ56" s="270"/>
      <c r="TK56" s="270"/>
      <c r="TL56" s="270"/>
      <c r="TM56" s="270"/>
      <c r="TN56" s="270"/>
      <c r="TO56" s="270"/>
      <c r="TP56" s="270"/>
      <c r="TQ56" s="270"/>
      <c r="TR56" s="270"/>
      <c r="TS56" s="270"/>
      <c r="TT56" s="270"/>
      <c r="TU56" s="270"/>
      <c r="TV56" s="270"/>
      <c r="TW56" s="270"/>
      <c r="TX56" s="270"/>
      <c r="TY56" s="270"/>
      <c r="TZ56" s="270"/>
      <c r="UA56" s="270"/>
      <c r="UB56" s="270"/>
      <c r="UC56" s="270"/>
      <c r="UD56" s="270"/>
      <c r="UE56" s="270"/>
      <c r="UF56" s="270"/>
      <c r="UG56" s="270"/>
      <c r="UH56" s="270"/>
      <c r="UI56" s="270"/>
      <c r="UJ56" s="270"/>
      <c r="UK56" s="270"/>
      <c r="UL56" s="270"/>
      <c r="UM56" s="270"/>
      <c r="UN56" s="270"/>
      <c r="UO56" s="270"/>
      <c r="UP56" s="270"/>
      <c r="UQ56" s="270"/>
      <c r="UR56" s="270"/>
      <c r="US56" s="270"/>
      <c r="UT56" s="270"/>
      <c r="UU56" s="270"/>
      <c r="UV56" s="270"/>
      <c r="UW56" s="270"/>
      <c r="UX56" s="270"/>
      <c r="UY56" s="270"/>
      <c r="UZ56" s="270"/>
      <c r="VA56" s="270"/>
      <c r="VB56" s="270"/>
      <c r="VC56" s="270"/>
      <c r="VD56" s="270"/>
      <c r="VE56" s="270"/>
      <c r="VF56" s="270"/>
      <c r="VG56" s="270"/>
      <c r="VH56" s="270"/>
      <c r="VI56" s="270"/>
      <c r="VJ56" s="270"/>
      <c r="VK56" s="270"/>
      <c r="VL56" s="270"/>
      <c r="VM56" s="270"/>
      <c r="VN56" s="270"/>
      <c r="VO56" s="270"/>
      <c r="VP56" s="270"/>
      <c r="VQ56" s="270"/>
      <c r="VR56" s="270"/>
      <c r="VS56" s="270"/>
      <c r="VT56" s="270"/>
      <c r="VU56" s="270"/>
      <c r="VV56" s="270"/>
      <c r="VW56" s="270"/>
      <c r="VX56" s="270"/>
      <c r="VY56" s="270"/>
      <c r="VZ56" s="270"/>
      <c r="WA56" s="270"/>
      <c r="WB56" s="270"/>
      <c r="WC56" s="270"/>
      <c r="WD56" s="270"/>
      <c r="WE56" s="270"/>
      <c r="WF56" s="270"/>
      <c r="WG56" s="270"/>
      <c r="WH56" s="270"/>
      <c r="WI56" s="270"/>
      <c r="WJ56" s="270"/>
      <c r="WK56" s="270"/>
      <c r="WL56" s="270"/>
      <c r="WM56" s="270"/>
      <c r="WN56" s="270"/>
      <c r="WO56" s="270"/>
      <c r="WP56" s="270"/>
      <c r="WQ56" s="270"/>
      <c r="WR56" s="270"/>
      <c r="WS56" s="270"/>
      <c r="WT56" s="270"/>
      <c r="WU56" s="270"/>
      <c r="WV56" s="270"/>
      <c r="WW56" s="270"/>
      <c r="WX56" s="270"/>
      <c r="WY56" s="270"/>
      <c r="WZ56" s="270"/>
      <c r="XA56" s="270"/>
      <c r="XB56" s="270"/>
      <c r="XC56" s="270"/>
      <c r="XD56" s="270"/>
      <c r="XE56" s="270"/>
      <c r="XF56" s="270"/>
      <c r="XG56" s="270"/>
      <c r="XH56" s="270"/>
      <c r="XI56" s="270"/>
      <c r="XJ56" s="270"/>
      <c r="XK56" s="270"/>
      <c r="XL56" s="270"/>
      <c r="XM56" s="270"/>
      <c r="XN56" s="270"/>
      <c r="XO56" s="270"/>
      <c r="XP56" s="270"/>
      <c r="XQ56" s="270"/>
      <c r="XR56" s="270"/>
      <c r="XS56" s="270"/>
      <c r="XT56" s="270"/>
      <c r="XU56" s="270"/>
      <c r="XV56" s="270"/>
      <c r="XW56" s="270"/>
      <c r="XX56" s="270"/>
      <c r="XY56" s="270"/>
      <c r="XZ56" s="270"/>
      <c r="YA56" s="270"/>
      <c r="YB56" s="270"/>
      <c r="YC56" s="270"/>
      <c r="YD56" s="270"/>
      <c r="YE56" s="270"/>
      <c r="YF56" s="270"/>
      <c r="YG56" s="270"/>
      <c r="YH56" s="270"/>
      <c r="YI56" s="270"/>
      <c r="YJ56" s="270"/>
      <c r="YK56" s="270"/>
      <c r="YL56" s="270"/>
      <c r="YM56" s="270"/>
      <c r="YN56" s="270"/>
      <c r="YO56" s="270"/>
      <c r="YP56" s="270"/>
      <c r="YQ56" s="270"/>
      <c r="YR56" s="270"/>
      <c r="YS56" s="270"/>
      <c r="YT56" s="270"/>
      <c r="YU56" s="270"/>
      <c r="YV56" s="270"/>
      <c r="YW56" s="270"/>
      <c r="YX56" s="270"/>
      <c r="YY56" s="270"/>
      <c r="YZ56" s="270"/>
      <c r="ZA56" s="270"/>
      <c r="ZB56" s="270"/>
      <c r="ZC56" s="270"/>
      <c r="ZD56" s="270"/>
      <c r="ZE56" s="270"/>
    </row>
    <row r="57">
      <c r="A57" s="156" t="s">
        <v>1637</v>
      </c>
      <c r="B57" s="388"/>
      <c r="C57" s="16"/>
      <c r="D57" s="16"/>
      <c r="E57" s="16"/>
      <c r="F57" s="16"/>
      <c r="G57" s="16"/>
      <c r="H57" s="25"/>
      <c r="I57" s="388"/>
      <c r="J57" s="16"/>
      <c r="K57" s="16"/>
      <c r="L57" s="16"/>
      <c r="M57" s="16"/>
      <c r="N57" s="16"/>
      <c r="O57" s="25"/>
      <c r="P57" s="388"/>
      <c r="Q57" s="16"/>
      <c r="R57" s="16"/>
      <c r="S57" s="16"/>
      <c r="T57" s="16"/>
      <c r="U57" s="16"/>
      <c r="V57" s="25"/>
      <c r="W57" s="388"/>
      <c r="X57" s="16"/>
      <c r="Y57" s="16"/>
      <c r="Z57" s="16"/>
      <c r="AA57" s="16"/>
      <c r="AB57" s="16"/>
      <c r="AC57" s="25"/>
      <c r="AD57" s="388"/>
      <c r="AE57" s="16"/>
      <c r="AF57" s="16"/>
      <c r="AG57" s="16"/>
      <c r="AH57" s="16"/>
      <c r="AI57" s="16"/>
      <c r="AJ57" s="25"/>
      <c r="AK57" s="388"/>
      <c r="AL57" s="16"/>
      <c r="AM57" s="16"/>
      <c r="AN57" s="16"/>
      <c r="AO57" s="16"/>
      <c r="AP57" s="16"/>
      <c r="AQ57" s="25"/>
      <c r="AR57" s="388"/>
      <c r="AS57" s="16"/>
      <c r="AT57" s="16"/>
      <c r="AU57" s="16"/>
      <c r="AV57" s="16"/>
      <c r="AW57" s="16"/>
      <c r="AX57" s="25"/>
      <c r="AY57" s="388"/>
      <c r="AZ57" s="16"/>
      <c r="BA57" s="16"/>
      <c r="BB57" s="16"/>
      <c r="BC57" s="16"/>
      <c r="BD57" s="16"/>
      <c r="BE57" s="25"/>
      <c r="BF57" s="388"/>
      <c r="BG57" s="16"/>
      <c r="BH57" s="16"/>
      <c r="BI57" s="16"/>
      <c r="BJ57" s="16"/>
      <c r="BK57" s="16"/>
      <c r="BL57" s="25"/>
      <c r="BM57" s="388"/>
      <c r="BN57" s="16"/>
      <c r="BO57" s="16"/>
      <c r="BP57" s="16"/>
      <c r="BQ57" s="16"/>
      <c r="BR57" s="16"/>
      <c r="BS57" s="25"/>
      <c r="BT57" s="108"/>
      <c r="BU57" s="16"/>
      <c r="BV57" s="16"/>
      <c r="BW57" s="16"/>
      <c r="BX57" s="16"/>
      <c r="BY57" s="16"/>
      <c r="BZ57" s="25"/>
      <c r="CA57" s="388"/>
      <c r="CB57" s="16"/>
      <c r="CC57" s="16"/>
      <c r="CD57" s="16"/>
      <c r="CE57" s="16"/>
      <c r="CF57" s="16"/>
      <c r="CG57" s="25"/>
      <c r="CH57" s="388"/>
      <c r="CI57" s="16"/>
      <c r="CJ57" s="16"/>
      <c r="CK57" s="16"/>
      <c r="CL57" s="16"/>
      <c r="CM57" s="16"/>
      <c r="CN57" s="25"/>
      <c r="CO57" s="388"/>
      <c r="CP57" s="16"/>
      <c r="CQ57" s="16"/>
      <c r="CR57" s="16"/>
      <c r="CS57" s="16"/>
      <c r="CT57" s="16"/>
      <c r="CU57" s="25"/>
      <c r="CV57" s="388"/>
      <c r="CW57" s="16"/>
      <c r="CX57" s="16"/>
      <c r="CY57" s="16"/>
      <c r="CZ57" s="16"/>
      <c r="DA57" s="16"/>
      <c r="DB57" s="25"/>
      <c r="DC57" s="388"/>
      <c r="DD57" s="16"/>
      <c r="DE57" s="16"/>
      <c r="DF57" s="16"/>
      <c r="DG57" s="16"/>
      <c r="DH57" s="16"/>
      <c r="DI57" s="25"/>
      <c r="DJ57" s="388"/>
      <c r="DK57" s="16"/>
      <c r="DL57" s="16"/>
      <c r="DM57" s="16"/>
      <c r="DN57" s="16"/>
      <c r="DO57" s="16"/>
      <c r="DP57" s="25"/>
      <c r="DQ57" s="388"/>
      <c r="DR57" s="16"/>
      <c r="DS57" s="16"/>
      <c r="DT57" s="16"/>
      <c r="DU57" s="16"/>
      <c r="DV57" s="16"/>
      <c r="DW57" s="25"/>
      <c r="DX57" s="108" t="s">
        <v>2143</v>
      </c>
      <c r="DY57" s="16"/>
      <c r="DZ57" s="16"/>
      <c r="EA57" s="16"/>
      <c r="EB57" s="16"/>
      <c r="EC57" s="16"/>
      <c r="ED57" s="25"/>
      <c r="EE57" s="388"/>
      <c r="EF57" s="16"/>
      <c r="EG57" s="16"/>
      <c r="EH57" s="16"/>
      <c r="EI57" s="16"/>
      <c r="EJ57" s="16"/>
      <c r="EK57" s="25"/>
      <c r="EL57" s="388"/>
      <c r="EM57" s="16"/>
      <c r="EN57" s="16"/>
      <c r="EO57" s="16"/>
      <c r="EP57" s="16"/>
      <c r="EQ57" s="16"/>
      <c r="ER57" s="25"/>
      <c r="ES57" s="388"/>
      <c r="ET57" s="16"/>
      <c r="EU57" s="16"/>
      <c r="EV57" s="16"/>
      <c r="EW57" s="16"/>
      <c r="EX57" s="16"/>
      <c r="EY57" s="25"/>
      <c r="EZ57" s="388"/>
      <c r="FA57" s="16"/>
      <c r="FB57" s="16"/>
      <c r="FC57" s="16"/>
      <c r="FD57" s="16"/>
      <c r="FE57" s="16"/>
      <c r="FF57" s="25"/>
      <c r="FG57" s="388"/>
      <c r="FH57" s="16"/>
      <c r="FI57" s="16"/>
      <c r="FJ57" s="16"/>
      <c r="FK57" s="16"/>
      <c r="FL57" s="16"/>
      <c r="FM57" s="25"/>
      <c r="FN57" s="469"/>
      <c r="FO57" s="16"/>
      <c r="FP57" s="16"/>
      <c r="FQ57" s="16"/>
      <c r="FR57" s="16"/>
      <c r="FS57" s="16"/>
      <c r="FT57" s="25"/>
      <c r="FU57" s="108"/>
      <c r="FV57" s="16"/>
      <c r="FW57" s="16"/>
      <c r="FX57" s="16"/>
      <c r="FY57" s="16"/>
      <c r="FZ57" s="16"/>
      <c r="GA57" s="25"/>
      <c r="GB57" s="108"/>
      <c r="GC57" s="16"/>
      <c r="GD57" s="16"/>
      <c r="GE57" s="16"/>
      <c r="GF57" s="16"/>
      <c r="GG57" s="16"/>
      <c r="GH57" s="25"/>
      <c r="GI57" s="388"/>
      <c r="GJ57" s="16"/>
      <c r="GK57" s="16"/>
      <c r="GL57" s="16"/>
      <c r="GM57" s="16"/>
      <c r="GN57" s="16"/>
      <c r="GO57" s="25"/>
      <c r="GP57" s="388"/>
      <c r="GQ57" s="16"/>
      <c r="GR57" s="16"/>
      <c r="GS57" s="16"/>
      <c r="GT57" s="16"/>
      <c r="GU57" s="16"/>
      <c r="GV57" s="25"/>
      <c r="GW57" s="388"/>
      <c r="GX57" s="16"/>
      <c r="GY57" s="16"/>
      <c r="GZ57" s="16"/>
      <c r="HA57" s="16"/>
      <c r="HB57" s="16"/>
      <c r="HC57" s="25"/>
      <c r="HD57" s="388"/>
      <c r="HE57" s="16"/>
      <c r="HF57" s="16"/>
      <c r="HG57" s="16"/>
      <c r="HH57" s="16"/>
      <c r="HI57" s="16"/>
      <c r="HJ57" s="25"/>
      <c r="HK57" s="388"/>
      <c r="HL57" s="16"/>
      <c r="HM57" s="16"/>
      <c r="HN57" s="16"/>
      <c r="HO57" s="16"/>
      <c r="HP57" s="16"/>
      <c r="HQ57" s="25"/>
      <c r="HR57" s="388"/>
      <c r="HS57" s="16"/>
      <c r="HT57" s="16"/>
      <c r="HU57" s="16"/>
      <c r="HV57" s="16"/>
      <c r="HW57" s="16"/>
      <c r="HX57" s="25"/>
      <c r="HY57" s="388"/>
      <c r="HZ57" s="16"/>
      <c r="IA57" s="16"/>
      <c r="IB57" s="16"/>
      <c r="IC57" s="16"/>
      <c r="ID57" s="16"/>
      <c r="IE57" s="25"/>
      <c r="IF57" s="388"/>
      <c r="IG57" s="16"/>
      <c r="IH57" s="16"/>
      <c r="II57" s="16"/>
      <c r="IJ57" s="16"/>
      <c r="IK57" s="16"/>
      <c r="IL57" s="25"/>
      <c r="IM57" s="388"/>
      <c r="IN57" s="16"/>
      <c r="IO57" s="16"/>
      <c r="IP57" s="16"/>
      <c r="IQ57" s="16"/>
      <c r="IR57" s="16"/>
      <c r="IS57" s="25"/>
      <c r="IT57" s="388"/>
      <c r="IU57" s="16"/>
      <c r="IV57" s="16"/>
      <c r="IW57" s="16"/>
      <c r="IX57" s="16"/>
      <c r="IY57" s="16"/>
      <c r="IZ57" s="25"/>
      <c r="JA57" s="388"/>
      <c r="JB57" s="16"/>
      <c r="JC57" s="16"/>
      <c r="JD57" s="16"/>
      <c r="JE57" s="16"/>
      <c r="JF57" s="16"/>
      <c r="JG57" s="25"/>
      <c r="JH57" s="388"/>
      <c r="JI57" s="16"/>
      <c r="JJ57" s="16"/>
      <c r="JK57" s="16"/>
      <c r="JL57" s="16"/>
      <c r="JM57" s="16"/>
      <c r="JN57" s="25"/>
      <c r="JO57" s="388"/>
      <c r="JP57" s="16"/>
      <c r="JQ57" s="16"/>
      <c r="JR57" s="16"/>
      <c r="JS57" s="16"/>
      <c r="JT57" s="16"/>
      <c r="JU57" s="25"/>
      <c r="JV57" s="388"/>
      <c r="JW57" s="16"/>
      <c r="JX57" s="16"/>
      <c r="JY57" s="16"/>
      <c r="JZ57" s="16"/>
      <c r="KA57" s="16"/>
      <c r="KB57" s="25"/>
      <c r="KC57" s="388"/>
      <c r="KD57" s="16"/>
      <c r="KE57" s="16"/>
      <c r="KF57" s="16"/>
      <c r="KG57" s="16"/>
      <c r="KH57" s="16"/>
      <c r="KI57" s="25"/>
      <c r="KJ57" s="388"/>
      <c r="KK57" s="16"/>
      <c r="KL57" s="16"/>
      <c r="KM57" s="16"/>
      <c r="KN57" s="16"/>
      <c r="KO57" s="16"/>
      <c r="KP57" s="25"/>
      <c r="KQ57" s="388"/>
      <c r="KR57" s="16"/>
      <c r="KS57" s="16"/>
      <c r="KT57" s="16"/>
      <c r="KU57" s="16"/>
      <c r="KV57" s="16"/>
      <c r="KW57" s="25"/>
      <c r="KX57" s="388"/>
      <c r="KY57" s="16"/>
      <c r="KZ57" s="16"/>
      <c r="LA57" s="16"/>
      <c r="LB57" s="16"/>
      <c r="LC57" s="16"/>
      <c r="LD57" s="25"/>
      <c r="LE57" s="108"/>
      <c r="LF57" s="16"/>
      <c r="LG57" s="16"/>
      <c r="LH57" s="16"/>
      <c r="LI57" s="16"/>
      <c r="LJ57" s="16"/>
      <c r="LK57" s="25"/>
      <c r="LL57" s="388"/>
      <c r="LM57" s="16"/>
      <c r="LN57" s="16"/>
      <c r="LO57" s="16"/>
      <c r="LP57" s="16"/>
      <c r="LQ57" s="16"/>
      <c r="LR57" s="25"/>
      <c r="LS57" s="388"/>
      <c r="LT57" s="16"/>
      <c r="LU57" s="16"/>
      <c r="LV57" s="16"/>
      <c r="LW57" s="16"/>
      <c r="LX57" s="16"/>
      <c r="LY57" s="25"/>
      <c r="LZ57" s="388"/>
      <c r="MA57" s="16"/>
      <c r="MB57" s="16"/>
      <c r="MC57" s="16"/>
      <c r="MD57" s="16"/>
      <c r="ME57" s="16"/>
      <c r="MF57" s="25"/>
      <c r="MG57" s="388"/>
      <c r="MH57" s="16"/>
      <c r="MI57" s="16"/>
      <c r="MJ57" s="16"/>
      <c r="MK57" s="16"/>
      <c r="ML57" s="16"/>
      <c r="MM57" s="25"/>
      <c r="MN57" s="388"/>
      <c r="MO57" s="16"/>
      <c r="MP57" s="16"/>
      <c r="MQ57" s="16"/>
      <c r="MR57" s="16"/>
      <c r="MS57" s="16"/>
      <c r="MT57" s="25"/>
      <c r="MU57" s="388"/>
      <c r="MV57" s="16"/>
      <c r="MW57" s="16"/>
      <c r="MX57" s="16"/>
      <c r="MY57" s="16"/>
      <c r="MZ57" s="16"/>
      <c r="NA57" s="25"/>
      <c r="NB57" s="399"/>
      <c r="NC57" s="270"/>
      <c r="ND57" s="270"/>
      <c r="NE57" s="270"/>
      <c r="NF57" s="270"/>
      <c r="NG57" s="270"/>
      <c r="NH57" s="270"/>
      <c r="NI57" s="270"/>
      <c r="NJ57" s="270"/>
      <c r="NK57" s="270"/>
      <c r="NL57" s="270"/>
      <c r="NM57" s="270"/>
      <c r="NN57" s="270"/>
      <c r="NO57" s="270"/>
      <c r="NP57" s="270"/>
      <c r="NQ57" s="270"/>
      <c r="NR57" s="270"/>
      <c r="NS57" s="270"/>
      <c r="NT57" s="270"/>
      <c r="NU57" s="270"/>
      <c r="NV57" s="270"/>
      <c r="NW57" s="270"/>
      <c r="NX57" s="270"/>
      <c r="NY57" s="270"/>
      <c r="NZ57" s="270"/>
      <c r="OA57" s="270"/>
      <c r="OB57" s="270"/>
      <c r="OC57" s="270"/>
      <c r="OD57" s="270"/>
      <c r="OE57" s="270"/>
      <c r="OF57" s="270"/>
      <c r="OG57" s="270"/>
      <c r="OH57" s="270"/>
      <c r="OI57" s="270"/>
      <c r="OJ57" s="270"/>
      <c r="OK57" s="270"/>
      <c r="OL57" s="270"/>
      <c r="OM57" s="270"/>
      <c r="ON57" s="270"/>
      <c r="OO57" s="270"/>
      <c r="OP57" s="270"/>
      <c r="OQ57" s="270"/>
      <c r="OR57" s="270"/>
      <c r="OS57" s="270"/>
      <c r="OT57" s="270"/>
      <c r="OU57" s="270"/>
      <c r="OV57" s="270"/>
      <c r="OW57" s="270"/>
      <c r="OX57" s="270"/>
      <c r="OY57" s="270"/>
      <c r="OZ57" s="270"/>
      <c r="PA57" s="270"/>
      <c r="PB57" s="270"/>
      <c r="PC57" s="270"/>
      <c r="PD57" s="270"/>
      <c r="PE57" s="270"/>
      <c r="PF57" s="270"/>
      <c r="PG57" s="270"/>
      <c r="PH57" s="270"/>
      <c r="PI57" s="270"/>
      <c r="PJ57" s="270"/>
      <c r="PK57" s="270"/>
      <c r="PL57" s="270"/>
      <c r="PM57" s="270"/>
      <c r="PN57" s="270"/>
      <c r="PO57" s="270"/>
      <c r="PP57" s="270"/>
      <c r="PQ57" s="270"/>
      <c r="PR57" s="270"/>
      <c r="PS57" s="270"/>
      <c r="PT57" s="270"/>
      <c r="PU57" s="270"/>
      <c r="PV57" s="270"/>
      <c r="PW57" s="270"/>
      <c r="PX57" s="270"/>
      <c r="PY57" s="270"/>
      <c r="PZ57" s="270"/>
      <c r="QA57" s="270"/>
      <c r="QB57" s="270"/>
      <c r="QC57" s="270"/>
      <c r="QD57" s="270"/>
      <c r="QE57" s="270"/>
      <c r="QF57" s="270"/>
      <c r="QG57" s="270"/>
      <c r="QH57" s="270"/>
      <c r="QI57" s="270"/>
      <c r="QJ57" s="270"/>
      <c r="QK57" s="270"/>
      <c r="QL57" s="270"/>
      <c r="QM57" s="270"/>
      <c r="QN57" s="270"/>
      <c r="QO57" s="270"/>
      <c r="QP57" s="270"/>
      <c r="QQ57" s="270"/>
      <c r="QR57" s="270"/>
      <c r="QS57" s="270"/>
      <c r="QT57" s="270"/>
      <c r="QU57" s="270"/>
      <c r="QV57" s="270"/>
      <c r="QW57" s="270"/>
      <c r="QX57" s="270"/>
      <c r="QY57" s="270"/>
      <c r="QZ57" s="270"/>
      <c r="RA57" s="270"/>
      <c r="RB57" s="270"/>
      <c r="RC57" s="270"/>
      <c r="RD57" s="270"/>
      <c r="RE57" s="270"/>
      <c r="RF57" s="270"/>
      <c r="RG57" s="270"/>
      <c r="RH57" s="270"/>
      <c r="RI57" s="270"/>
      <c r="RJ57" s="270"/>
      <c r="RK57" s="270"/>
      <c r="RL57" s="270"/>
      <c r="RM57" s="270"/>
      <c r="RN57" s="270"/>
      <c r="RO57" s="270"/>
      <c r="RP57" s="270"/>
      <c r="RQ57" s="270"/>
      <c r="RR57" s="270"/>
      <c r="RS57" s="270"/>
      <c r="RT57" s="270"/>
      <c r="RU57" s="270"/>
      <c r="RV57" s="270"/>
      <c r="RW57" s="270"/>
      <c r="RX57" s="270"/>
      <c r="RY57" s="270"/>
      <c r="RZ57" s="270"/>
      <c r="SA57" s="270"/>
      <c r="SB57" s="270"/>
      <c r="SC57" s="270"/>
      <c r="SD57" s="270"/>
      <c r="SE57" s="270"/>
      <c r="SF57" s="270"/>
      <c r="SG57" s="270"/>
      <c r="SH57" s="270"/>
      <c r="SI57" s="270"/>
      <c r="SJ57" s="270"/>
      <c r="SK57" s="270"/>
      <c r="SL57" s="270"/>
      <c r="SM57" s="270"/>
      <c r="SN57" s="270"/>
      <c r="SO57" s="270"/>
      <c r="SP57" s="270"/>
      <c r="SQ57" s="270"/>
      <c r="SR57" s="270"/>
      <c r="SS57" s="270"/>
      <c r="ST57" s="270"/>
      <c r="SU57" s="270"/>
      <c r="SV57" s="270"/>
      <c r="SW57" s="270"/>
      <c r="SX57" s="270"/>
      <c r="SY57" s="270"/>
      <c r="SZ57" s="270"/>
      <c r="TA57" s="270"/>
      <c r="TB57" s="270"/>
      <c r="TC57" s="270"/>
      <c r="TD57" s="270"/>
      <c r="TE57" s="270"/>
      <c r="TF57" s="270"/>
      <c r="TG57" s="270"/>
      <c r="TH57" s="270"/>
      <c r="TI57" s="270"/>
      <c r="TJ57" s="270"/>
      <c r="TK57" s="270"/>
      <c r="TL57" s="270"/>
      <c r="TM57" s="270"/>
      <c r="TN57" s="270"/>
      <c r="TO57" s="270"/>
      <c r="TP57" s="270"/>
      <c r="TQ57" s="270"/>
      <c r="TR57" s="270"/>
      <c r="TS57" s="270"/>
      <c r="TT57" s="270"/>
      <c r="TU57" s="270"/>
      <c r="TV57" s="270"/>
      <c r="TW57" s="270"/>
      <c r="TX57" s="270"/>
      <c r="TY57" s="270"/>
      <c r="TZ57" s="270"/>
      <c r="UA57" s="270"/>
      <c r="UB57" s="270"/>
      <c r="UC57" s="270"/>
      <c r="UD57" s="270"/>
      <c r="UE57" s="270"/>
      <c r="UF57" s="270"/>
      <c r="UG57" s="270"/>
      <c r="UH57" s="270"/>
      <c r="UI57" s="270"/>
      <c r="UJ57" s="270"/>
      <c r="UK57" s="270"/>
      <c r="UL57" s="270"/>
      <c r="UM57" s="270"/>
      <c r="UN57" s="270"/>
      <c r="UO57" s="270"/>
      <c r="UP57" s="270"/>
      <c r="UQ57" s="270"/>
      <c r="UR57" s="270"/>
      <c r="US57" s="270"/>
      <c r="UT57" s="270"/>
      <c r="UU57" s="270"/>
      <c r="UV57" s="270"/>
      <c r="UW57" s="270"/>
      <c r="UX57" s="270"/>
      <c r="UY57" s="270"/>
      <c r="UZ57" s="270"/>
      <c r="VA57" s="270"/>
      <c r="VB57" s="270"/>
      <c r="VC57" s="270"/>
      <c r="VD57" s="270"/>
      <c r="VE57" s="270"/>
      <c r="VF57" s="270"/>
      <c r="VG57" s="270"/>
      <c r="VH57" s="270"/>
      <c r="VI57" s="270"/>
      <c r="VJ57" s="270"/>
      <c r="VK57" s="270"/>
      <c r="VL57" s="270"/>
      <c r="VM57" s="270"/>
      <c r="VN57" s="270"/>
      <c r="VO57" s="270"/>
      <c r="VP57" s="270"/>
      <c r="VQ57" s="270"/>
      <c r="VR57" s="270"/>
      <c r="VS57" s="270"/>
      <c r="VT57" s="270"/>
      <c r="VU57" s="270"/>
      <c r="VV57" s="270"/>
      <c r="VW57" s="270"/>
      <c r="VX57" s="270"/>
      <c r="VY57" s="270"/>
      <c r="VZ57" s="270"/>
      <c r="WA57" s="270"/>
      <c r="WB57" s="270"/>
      <c r="WC57" s="270"/>
      <c r="WD57" s="270"/>
      <c r="WE57" s="270"/>
      <c r="WF57" s="270"/>
      <c r="WG57" s="270"/>
      <c r="WH57" s="270"/>
      <c r="WI57" s="270"/>
      <c r="WJ57" s="270"/>
      <c r="WK57" s="270"/>
      <c r="WL57" s="270"/>
      <c r="WM57" s="270"/>
      <c r="WN57" s="270"/>
      <c r="WO57" s="270"/>
      <c r="WP57" s="270"/>
      <c r="WQ57" s="270"/>
      <c r="WR57" s="270"/>
      <c r="WS57" s="270"/>
      <c r="WT57" s="270"/>
      <c r="WU57" s="270"/>
      <c r="WV57" s="270"/>
      <c r="WW57" s="270"/>
      <c r="WX57" s="270"/>
      <c r="WY57" s="270"/>
      <c r="WZ57" s="270"/>
      <c r="XA57" s="270"/>
      <c r="XB57" s="270"/>
      <c r="XC57" s="270"/>
      <c r="XD57" s="270"/>
      <c r="XE57" s="270"/>
      <c r="XF57" s="270"/>
      <c r="XG57" s="270"/>
      <c r="XH57" s="270"/>
      <c r="XI57" s="270"/>
      <c r="XJ57" s="270"/>
      <c r="XK57" s="270"/>
      <c r="XL57" s="270"/>
      <c r="XM57" s="270"/>
      <c r="XN57" s="270"/>
      <c r="XO57" s="270"/>
      <c r="XP57" s="270"/>
      <c r="XQ57" s="270"/>
      <c r="XR57" s="270"/>
      <c r="XS57" s="270"/>
      <c r="XT57" s="270"/>
      <c r="XU57" s="270"/>
      <c r="XV57" s="270"/>
      <c r="XW57" s="270"/>
      <c r="XX57" s="270"/>
      <c r="XY57" s="270"/>
      <c r="XZ57" s="270"/>
      <c r="YA57" s="270"/>
      <c r="YB57" s="270"/>
      <c r="YC57" s="270"/>
      <c r="YD57" s="270"/>
      <c r="YE57" s="270"/>
      <c r="YF57" s="270"/>
      <c r="YG57" s="270"/>
      <c r="YH57" s="270"/>
      <c r="YI57" s="270"/>
      <c r="YJ57" s="270"/>
      <c r="YK57" s="270"/>
      <c r="YL57" s="270"/>
      <c r="YM57" s="270"/>
      <c r="YN57" s="270"/>
      <c r="YO57" s="270"/>
      <c r="YP57" s="270"/>
      <c r="YQ57" s="270"/>
      <c r="YR57" s="270"/>
      <c r="YS57" s="270"/>
      <c r="YT57" s="270"/>
      <c r="YU57" s="270"/>
      <c r="YV57" s="270"/>
      <c r="YW57" s="270"/>
      <c r="YX57" s="270"/>
      <c r="YY57" s="270"/>
      <c r="YZ57" s="270"/>
      <c r="ZA57" s="270"/>
      <c r="ZB57" s="270"/>
      <c r="ZC57" s="270"/>
      <c r="ZD57" s="270"/>
      <c r="ZE57" s="270"/>
    </row>
    <row r="58">
      <c r="A58" s="156" t="s">
        <v>1756</v>
      </c>
      <c r="B58" s="473" t="s">
        <v>2151</v>
      </c>
      <c r="C58" s="16"/>
      <c r="D58" s="16"/>
      <c r="E58" s="16"/>
      <c r="F58" s="16"/>
      <c r="G58" s="16"/>
      <c r="H58" s="25"/>
      <c r="I58" s="388"/>
      <c r="J58" s="16"/>
      <c r="K58" s="16"/>
      <c r="L58" s="16"/>
      <c r="M58" s="16"/>
      <c r="N58" s="16"/>
      <c r="O58" s="25"/>
      <c r="P58" s="388"/>
      <c r="Q58" s="16"/>
      <c r="R58" s="16"/>
      <c r="S58" s="16"/>
      <c r="T58" s="16"/>
      <c r="U58" s="16"/>
      <c r="V58" s="25"/>
      <c r="W58" s="388"/>
      <c r="X58" s="16"/>
      <c r="Y58" s="16"/>
      <c r="Z58" s="16"/>
      <c r="AA58" s="16"/>
      <c r="AB58" s="16"/>
      <c r="AC58" s="25"/>
      <c r="AD58" s="388"/>
      <c r="AE58" s="16"/>
      <c r="AF58" s="16"/>
      <c r="AG58" s="16"/>
      <c r="AH58" s="16"/>
      <c r="AI58" s="16"/>
      <c r="AJ58" s="25"/>
      <c r="AK58" s="388"/>
      <c r="AL58" s="16"/>
      <c r="AM58" s="16"/>
      <c r="AN58" s="16"/>
      <c r="AO58" s="16"/>
      <c r="AP58" s="16"/>
      <c r="AQ58" s="25"/>
      <c r="AR58" s="388"/>
      <c r="AS58" s="16"/>
      <c r="AT58" s="16"/>
      <c r="AU58" s="16"/>
      <c r="AV58" s="16"/>
      <c r="AW58" s="16"/>
      <c r="AX58" s="25"/>
      <c r="AY58" s="108" t="s">
        <v>2154</v>
      </c>
      <c r="AZ58" s="16"/>
      <c r="BA58" s="16"/>
      <c r="BB58" s="16"/>
      <c r="BC58" s="16"/>
      <c r="BD58" s="16"/>
      <c r="BE58" s="25"/>
      <c r="BF58" s="388"/>
      <c r="BG58" s="16"/>
      <c r="BH58" s="16"/>
      <c r="BI58" s="16"/>
      <c r="BJ58" s="16"/>
      <c r="BK58" s="16"/>
      <c r="BL58" s="25"/>
      <c r="BM58" s="388"/>
      <c r="BN58" s="16"/>
      <c r="BO58" s="16"/>
      <c r="BP58" s="16"/>
      <c r="BQ58" s="16"/>
      <c r="BR58" s="16"/>
      <c r="BS58" s="25"/>
      <c r="BT58" s="108"/>
      <c r="BU58" s="16"/>
      <c r="BV58" s="16"/>
      <c r="BW58" s="16"/>
      <c r="BX58" s="16"/>
      <c r="BY58" s="16"/>
      <c r="BZ58" s="25"/>
      <c r="CA58" s="388"/>
      <c r="CB58" s="16"/>
      <c r="CC58" s="16"/>
      <c r="CD58" s="16"/>
      <c r="CE58" s="16"/>
      <c r="CF58" s="16"/>
      <c r="CG58" s="25"/>
      <c r="CH58" s="388"/>
      <c r="CI58" s="16"/>
      <c r="CJ58" s="16"/>
      <c r="CK58" s="16"/>
      <c r="CL58" s="16"/>
      <c r="CM58" s="16"/>
      <c r="CN58" s="25"/>
      <c r="CO58" s="388"/>
      <c r="CP58" s="16"/>
      <c r="CQ58" s="16"/>
      <c r="CR58" s="16"/>
      <c r="CS58" s="16"/>
      <c r="CT58" s="16"/>
      <c r="CU58" s="25"/>
      <c r="CV58" s="388"/>
      <c r="CW58" s="16"/>
      <c r="CX58" s="16"/>
      <c r="CY58" s="16"/>
      <c r="CZ58" s="16"/>
      <c r="DA58" s="16"/>
      <c r="DB58" s="25"/>
      <c r="DC58" s="388"/>
      <c r="DD58" s="16"/>
      <c r="DE58" s="16"/>
      <c r="DF58" s="16"/>
      <c r="DG58" s="16"/>
      <c r="DH58" s="16"/>
      <c r="DI58" s="25"/>
      <c r="DJ58" s="388"/>
      <c r="DK58" s="16"/>
      <c r="DL58" s="16"/>
      <c r="DM58" s="16"/>
      <c r="DN58" s="16"/>
      <c r="DO58" s="16"/>
      <c r="DP58" s="25"/>
      <c r="DQ58" s="388"/>
      <c r="DR58" s="16"/>
      <c r="DS58" s="16"/>
      <c r="DT58" s="16"/>
      <c r="DU58" s="16"/>
      <c r="DV58" s="16"/>
      <c r="DW58" s="25"/>
      <c r="DX58" s="388"/>
      <c r="DY58" s="16"/>
      <c r="DZ58" s="16"/>
      <c r="EA58" s="16"/>
      <c r="EB58" s="16"/>
      <c r="EC58" s="16"/>
      <c r="ED58" s="25"/>
      <c r="EE58" s="388"/>
      <c r="EF58" s="16"/>
      <c r="EG58" s="16"/>
      <c r="EH58" s="16"/>
      <c r="EI58" s="16"/>
      <c r="EJ58" s="16"/>
      <c r="EK58" s="25"/>
      <c r="EL58" s="108"/>
      <c r="EM58" s="16"/>
      <c r="EN58" s="16"/>
      <c r="EO58" s="16"/>
      <c r="EP58" s="16"/>
      <c r="EQ58" s="16"/>
      <c r="ER58" s="16"/>
      <c r="ES58" s="16"/>
      <c r="ET58" s="16"/>
      <c r="EU58" s="16"/>
      <c r="EV58" s="16"/>
      <c r="EW58" s="16"/>
      <c r="EX58" s="16"/>
      <c r="EY58" s="25"/>
      <c r="EZ58" s="388"/>
      <c r="FA58" s="16"/>
      <c r="FB58" s="16"/>
      <c r="FC58" s="16"/>
      <c r="FD58" s="16"/>
      <c r="FE58" s="16"/>
      <c r="FF58" s="25"/>
      <c r="FG58" s="388"/>
      <c r="FH58" s="16"/>
      <c r="FI58" s="16"/>
      <c r="FJ58" s="16"/>
      <c r="FK58" s="16"/>
      <c r="FL58" s="16"/>
      <c r="FM58" s="25"/>
      <c r="FN58" s="469"/>
      <c r="FO58" s="16"/>
      <c r="FP58" s="16"/>
      <c r="FQ58" s="16"/>
      <c r="FR58" s="16"/>
      <c r="FS58" s="16"/>
      <c r="FT58" s="25"/>
      <c r="FU58" s="108"/>
      <c r="FV58" s="16"/>
      <c r="FW58" s="16"/>
      <c r="FX58" s="16"/>
      <c r="FY58" s="16"/>
      <c r="FZ58" s="16"/>
      <c r="GA58" s="25"/>
      <c r="GB58" s="108"/>
      <c r="GC58" s="16"/>
      <c r="GD58" s="16"/>
      <c r="GE58" s="16"/>
      <c r="GF58" s="16"/>
      <c r="GG58" s="16"/>
      <c r="GH58" s="25"/>
      <c r="GI58" s="388"/>
      <c r="GJ58" s="16"/>
      <c r="GK58" s="16"/>
      <c r="GL58" s="16"/>
      <c r="GM58" s="16"/>
      <c r="GN58" s="16"/>
      <c r="GO58" s="25"/>
      <c r="GP58" s="388"/>
      <c r="GQ58" s="16"/>
      <c r="GR58" s="16"/>
      <c r="GS58" s="16"/>
      <c r="GT58" s="16"/>
      <c r="GU58" s="16"/>
      <c r="GV58" s="25"/>
      <c r="GW58" s="388"/>
      <c r="GX58" s="16"/>
      <c r="GY58" s="16"/>
      <c r="GZ58" s="16"/>
      <c r="HA58" s="16"/>
      <c r="HB58" s="16"/>
      <c r="HC58" s="25"/>
      <c r="HD58" s="388"/>
      <c r="HE58" s="16"/>
      <c r="HF58" s="16"/>
      <c r="HG58" s="16"/>
      <c r="HH58" s="16"/>
      <c r="HI58" s="16"/>
      <c r="HJ58" s="25"/>
      <c r="HK58" s="388"/>
      <c r="HL58" s="16"/>
      <c r="HM58" s="16"/>
      <c r="HN58" s="16"/>
      <c r="HO58" s="16"/>
      <c r="HP58" s="16"/>
      <c r="HQ58" s="25"/>
      <c r="HR58" s="388"/>
      <c r="HS58" s="16"/>
      <c r="HT58" s="16"/>
      <c r="HU58" s="16"/>
      <c r="HV58" s="16"/>
      <c r="HW58" s="16"/>
      <c r="HX58" s="25"/>
      <c r="HY58" s="388"/>
      <c r="HZ58" s="16"/>
      <c r="IA58" s="16"/>
      <c r="IB58" s="16"/>
      <c r="IC58" s="16"/>
      <c r="ID58" s="16"/>
      <c r="IE58" s="25"/>
      <c r="IF58" s="388"/>
      <c r="IG58" s="16"/>
      <c r="IH58" s="16"/>
      <c r="II58" s="16"/>
      <c r="IJ58" s="16"/>
      <c r="IK58" s="16"/>
      <c r="IL58" s="25"/>
      <c r="IM58" s="388"/>
      <c r="IN58" s="16"/>
      <c r="IO58" s="16"/>
      <c r="IP58" s="16"/>
      <c r="IQ58" s="16"/>
      <c r="IR58" s="16"/>
      <c r="IS58" s="25"/>
      <c r="IT58" s="388"/>
      <c r="IU58" s="16"/>
      <c r="IV58" s="16"/>
      <c r="IW58" s="16"/>
      <c r="IX58" s="16"/>
      <c r="IY58" s="16"/>
      <c r="IZ58" s="25"/>
      <c r="JA58" s="388"/>
      <c r="JB58" s="16"/>
      <c r="JC58" s="16"/>
      <c r="JD58" s="16"/>
      <c r="JE58" s="16"/>
      <c r="JF58" s="16"/>
      <c r="JG58" s="25"/>
      <c r="JH58" s="388"/>
      <c r="JI58" s="16"/>
      <c r="JJ58" s="16"/>
      <c r="JK58" s="16"/>
      <c r="JL58" s="16"/>
      <c r="JM58" s="16"/>
      <c r="JN58" s="25"/>
      <c r="JO58" s="388"/>
      <c r="JP58" s="16"/>
      <c r="JQ58" s="16"/>
      <c r="JR58" s="16"/>
      <c r="JS58" s="16"/>
      <c r="JT58" s="16"/>
      <c r="JU58" s="25"/>
      <c r="JV58" s="388"/>
      <c r="JW58" s="16"/>
      <c r="JX58" s="16"/>
      <c r="JY58" s="16"/>
      <c r="JZ58" s="16"/>
      <c r="KA58" s="16"/>
      <c r="KB58" s="25"/>
      <c r="KC58" s="388"/>
      <c r="KD58" s="16"/>
      <c r="KE58" s="16"/>
      <c r="KF58" s="16"/>
      <c r="KG58" s="16"/>
      <c r="KH58" s="16"/>
      <c r="KI58" s="25"/>
      <c r="KJ58" s="388"/>
      <c r="KK58" s="16"/>
      <c r="KL58" s="16"/>
      <c r="KM58" s="16"/>
      <c r="KN58" s="16"/>
      <c r="KO58" s="16"/>
      <c r="KP58" s="25"/>
      <c r="KQ58" s="388"/>
      <c r="KR58" s="16"/>
      <c r="KS58" s="16"/>
      <c r="KT58" s="16"/>
      <c r="KU58" s="16"/>
      <c r="KV58" s="16"/>
      <c r="KW58" s="25"/>
      <c r="KX58" s="388"/>
      <c r="KY58" s="16"/>
      <c r="KZ58" s="16"/>
      <c r="LA58" s="16"/>
      <c r="LB58" s="16"/>
      <c r="LC58" s="16"/>
      <c r="LD58" s="25"/>
      <c r="LE58" s="108"/>
      <c r="LF58" s="16"/>
      <c r="LG58" s="16"/>
      <c r="LH58" s="16"/>
      <c r="LI58" s="16"/>
      <c r="LJ58" s="16"/>
      <c r="LK58" s="25"/>
      <c r="LL58" s="388"/>
      <c r="LM58" s="16"/>
      <c r="LN58" s="16"/>
      <c r="LO58" s="16"/>
      <c r="LP58" s="16"/>
      <c r="LQ58" s="16"/>
      <c r="LR58" s="25"/>
      <c r="LS58" s="388"/>
      <c r="LT58" s="16"/>
      <c r="LU58" s="16"/>
      <c r="LV58" s="16"/>
      <c r="LW58" s="16"/>
      <c r="LX58" s="16"/>
      <c r="LY58" s="25"/>
      <c r="LZ58" s="388"/>
      <c r="MA58" s="16"/>
      <c r="MB58" s="16"/>
      <c r="MC58" s="16"/>
      <c r="MD58" s="16"/>
      <c r="ME58" s="16"/>
      <c r="MF58" s="25"/>
      <c r="MG58" s="388"/>
      <c r="MH58" s="16"/>
      <c r="MI58" s="16"/>
      <c r="MJ58" s="16"/>
      <c r="MK58" s="16"/>
      <c r="ML58" s="16"/>
      <c r="MM58" s="25"/>
      <c r="MN58" s="388"/>
      <c r="MO58" s="16"/>
      <c r="MP58" s="16"/>
      <c r="MQ58" s="16"/>
      <c r="MR58" s="16"/>
      <c r="MS58" s="16"/>
      <c r="MT58" s="25"/>
      <c r="MU58" s="388"/>
      <c r="MV58" s="16"/>
      <c r="MW58" s="16"/>
      <c r="MX58" s="16"/>
      <c r="MY58" s="16"/>
      <c r="MZ58" s="16"/>
      <c r="NA58" s="25"/>
      <c r="NB58" s="399"/>
      <c r="NC58" s="270"/>
      <c r="ND58" s="270"/>
      <c r="NE58" s="270"/>
      <c r="NF58" s="270"/>
      <c r="NG58" s="270"/>
      <c r="NH58" s="270"/>
      <c r="NI58" s="270"/>
      <c r="NJ58" s="270"/>
      <c r="NK58" s="270"/>
      <c r="NL58" s="270"/>
      <c r="NM58" s="270"/>
      <c r="NN58" s="270"/>
      <c r="NO58" s="270"/>
      <c r="NP58" s="270"/>
      <c r="NQ58" s="270"/>
      <c r="NR58" s="270"/>
      <c r="NS58" s="270"/>
      <c r="NT58" s="270"/>
      <c r="NU58" s="270"/>
      <c r="NV58" s="270"/>
      <c r="NW58" s="270"/>
      <c r="NX58" s="270"/>
      <c r="NY58" s="270"/>
      <c r="NZ58" s="270"/>
      <c r="OA58" s="270"/>
      <c r="OB58" s="270"/>
      <c r="OC58" s="270"/>
      <c r="OD58" s="270"/>
      <c r="OE58" s="270"/>
      <c r="OF58" s="270"/>
      <c r="OG58" s="270"/>
      <c r="OH58" s="270"/>
      <c r="OI58" s="270"/>
      <c r="OJ58" s="270"/>
      <c r="OK58" s="270"/>
      <c r="OL58" s="270"/>
      <c r="OM58" s="270"/>
      <c r="ON58" s="270"/>
      <c r="OO58" s="270"/>
      <c r="OP58" s="270"/>
      <c r="OQ58" s="270"/>
      <c r="OR58" s="270"/>
      <c r="OS58" s="270"/>
      <c r="OT58" s="270"/>
      <c r="OU58" s="270"/>
      <c r="OV58" s="270"/>
      <c r="OW58" s="270"/>
      <c r="OX58" s="270"/>
      <c r="OY58" s="270"/>
      <c r="OZ58" s="270"/>
      <c r="PA58" s="270"/>
      <c r="PB58" s="270"/>
      <c r="PC58" s="270"/>
      <c r="PD58" s="270"/>
      <c r="PE58" s="270"/>
      <c r="PF58" s="270"/>
      <c r="PG58" s="270"/>
      <c r="PH58" s="270"/>
      <c r="PI58" s="270"/>
      <c r="PJ58" s="270"/>
      <c r="PK58" s="270"/>
      <c r="PL58" s="270"/>
      <c r="PM58" s="270"/>
      <c r="PN58" s="270"/>
      <c r="PO58" s="270"/>
      <c r="PP58" s="270"/>
      <c r="PQ58" s="270"/>
      <c r="PR58" s="270"/>
      <c r="PS58" s="270"/>
      <c r="PT58" s="270"/>
      <c r="PU58" s="270"/>
      <c r="PV58" s="270"/>
      <c r="PW58" s="270"/>
      <c r="PX58" s="270"/>
      <c r="PY58" s="270"/>
      <c r="PZ58" s="270"/>
      <c r="QA58" s="270"/>
      <c r="QB58" s="270"/>
      <c r="QC58" s="270"/>
      <c r="QD58" s="270"/>
      <c r="QE58" s="270"/>
      <c r="QF58" s="270"/>
      <c r="QG58" s="270"/>
      <c r="QH58" s="270"/>
      <c r="QI58" s="270"/>
      <c r="QJ58" s="270"/>
      <c r="QK58" s="270"/>
      <c r="QL58" s="270"/>
      <c r="QM58" s="270"/>
      <c r="QN58" s="270"/>
      <c r="QO58" s="270"/>
      <c r="QP58" s="270"/>
      <c r="QQ58" s="270"/>
      <c r="QR58" s="270"/>
      <c r="QS58" s="270"/>
      <c r="QT58" s="270"/>
      <c r="QU58" s="270"/>
      <c r="QV58" s="270"/>
      <c r="QW58" s="270"/>
      <c r="QX58" s="270"/>
      <c r="QY58" s="270"/>
      <c r="QZ58" s="270"/>
      <c r="RA58" s="270"/>
      <c r="RB58" s="270"/>
      <c r="RC58" s="270"/>
      <c r="RD58" s="270"/>
      <c r="RE58" s="270"/>
      <c r="RF58" s="270"/>
      <c r="RG58" s="270"/>
      <c r="RH58" s="270"/>
      <c r="RI58" s="270"/>
      <c r="RJ58" s="270"/>
      <c r="RK58" s="270"/>
      <c r="RL58" s="270"/>
      <c r="RM58" s="270"/>
      <c r="RN58" s="270"/>
      <c r="RO58" s="270"/>
      <c r="RP58" s="270"/>
      <c r="RQ58" s="270"/>
      <c r="RR58" s="270"/>
      <c r="RS58" s="270"/>
      <c r="RT58" s="270"/>
      <c r="RU58" s="270"/>
      <c r="RV58" s="270"/>
      <c r="RW58" s="270"/>
      <c r="RX58" s="270"/>
      <c r="RY58" s="270"/>
      <c r="RZ58" s="270"/>
      <c r="SA58" s="270"/>
      <c r="SB58" s="270"/>
      <c r="SC58" s="270"/>
      <c r="SD58" s="270"/>
      <c r="SE58" s="270"/>
      <c r="SF58" s="270"/>
      <c r="SG58" s="270"/>
      <c r="SH58" s="270"/>
      <c r="SI58" s="270"/>
      <c r="SJ58" s="270"/>
      <c r="SK58" s="270"/>
      <c r="SL58" s="270"/>
      <c r="SM58" s="270"/>
      <c r="SN58" s="270"/>
      <c r="SO58" s="270"/>
      <c r="SP58" s="270"/>
      <c r="SQ58" s="270"/>
      <c r="SR58" s="270"/>
      <c r="SS58" s="270"/>
      <c r="ST58" s="270"/>
      <c r="SU58" s="270"/>
      <c r="SV58" s="270"/>
      <c r="SW58" s="270"/>
      <c r="SX58" s="270"/>
      <c r="SY58" s="270"/>
      <c r="SZ58" s="270"/>
      <c r="TA58" s="270"/>
      <c r="TB58" s="270"/>
      <c r="TC58" s="270"/>
      <c r="TD58" s="270"/>
      <c r="TE58" s="270"/>
      <c r="TF58" s="270"/>
      <c r="TG58" s="270"/>
      <c r="TH58" s="270"/>
      <c r="TI58" s="270"/>
      <c r="TJ58" s="270"/>
      <c r="TK58" s="270"/>
      <c r="TL58" s="270"/>
      <c r="TM58" s="270"/>
      <c r="TN58" s="270"/>
      <c r="TO58" s="270"/>
      <c r="TP58" s="270"/>
      <c r="TQ58" s="270"/>
      <c r="TR58" s="270"/>
      <c r="TS58" s="270"/>
      <c r="TT58" s="270"/>
      <c r="TU58" s="270"/>
      <c r="TV58" s="270"/>
      <c r="TW58" s="270"/>
      <c r="TX58" s="270"/>
      <c r="TY58" s="270"/>
      <c r="TZ58" s="270"/>
      <c r="UA58" s="270"/>
      <c r="UB58" s="270"/>
      <c r="UC58" s="270"/>
      <c r="UD58" s="270"/>
      <c r="UE58" s="270"/>
      <c r="UF58" s="270"/>
      <c r="UG58" s="270"/>
      <c r="UH58" s="270"/>
      <c r="UI58" s="270"/>
      <c r="UJ58" s="270"/>
      <c r="UK58" s="270"/>
      <c r="UL58" s="270"/>
      <c r="UM58" s="270"/>
      <c r="UN58" s="270"/>
      <c r="UO58" s="270"/>
      <c r="UP58" s="270"/>
      <c r="UQ58" s="270"/>
      <c r="UR58" s="270"/>
      <c r="US58" s="270"/>
      <c r="UT58" s="270"/>
      <c r="UU58" s="270"/>
      <c r="UV58" s="270"/>
      <c r="UW58" s="270"/>
      <c r="UX58" s="270"/>
      <c r="UY58" s="270"/>
      <c r="UZ58" s="270"/>
      <c r="VA58" s="270"/>
      <c r="VB58" s="270"/>
      <c r="VC58" s="270"/>
      <c r="VD58" s="270"/>
      <c r="VE58" s="270"/>
      <c r="VF58" s="270"/>
      <c r="VG58" s="270"/>
      <c r="VH58" s="270"/>
      <c r="VI58" s="270"/>
      <c r="VJ58" s="270"/>
      <c r="VK58" s="270"/>
      <c r="VL58" s="270"/>
      <c r="VM58" s="270"/>
      <c r="VN58" s="270"/>
      <c r="VO58" s="270"/>
      <c r="VP58" s="270"/>
      <c r="VQ58" s="270"/>
      <c r="VR58" s="270"/>
      <c r="VS58" s="270"/>
      <c r="VT58" s="270"/>
      <c r="VU58" s="270"/>
      <c r="VV58" s="270"/>
      <c r="VW58" s="270"/>
      <c r="VX58" s="270"/>
      <c r="VY58" s="270"/>
      <c r="VZ58" s="270"/>
      <c r="WA58" s="270"/>
      <c r="WB58" s="270"/>
      <c r="WC58" s="270"/>
      <c r="WD58" s="270"/>
      <c r="WE58" s="270"/>
      <c r="WF58" s="270"/>
      <c r="WG58" s="270"/>
      <c r="WH58" s="270"/>
      <c r="WI58" s="270"/>
      <c r="WJ58" s="270"/>
      <c r="WK58" s="270"/>
      <c r="WL58" s="270"/>
      <c r="WM58" s="270"/>
      <c r="WN58" s="270"/>
      <c r="WO58" s="270"/>
      <c r="WP58" s="270"/>
      <c r="WQ58" s="270"/>
      <c r="WR58" s="270"/>
      <c r="WS58" s="270"/>
      <c r="WT58" s="270"/>
      <c r="WU58" s="270"/>
      <c r="WV58" s="270"/>
      <c r="WW58" s="270"/>
      <c r="WX58" s="270"/>
      <c r="WY58" s="270"/>
      <c r="WZ58" s="270"/>
      <c r="XA58" s="270"/>
      <c r="XB58" s="270"/>
      <c r="XC58" s="270"/>
      <c r="XD58" s="270"/>
      <c r="XE58" s="270"/>
      <c r="XF58" s="270"/>
      <c r="XG58" s="270"/>
      <c r="XH58" s="270"/>
      <c r="XI58" s="270"/>
      <c r="XJ58" s="270"/>
      <c r="XK58" s="270"/>
      <c r="XL58" s="270"/>
      <c r="XM58" s="270"/>
      <c r="XN58" s="270"/>
      <c r="XO58" s="270"/>
      <c r="XP58" s="270"/>
      <c r="XQ58" s="270"/>
      <c r="XR58" s="270"/>
      <c r="XS58" s="270"/>
      <c r="XT58" s="270"/>
      <c r="XU58" s="270"/>
      <c r="XV58" s="270"/>
      <c r="XW58" s="270"/>
      <c r="XX58" s="270"/>
      <c r="XY58" s="270"/>
      <c r="XZ58" s="270"/>
      <c r="YA58" s="270"/>
      <c r="YB58" s="270"/>
      <c r="YC58" s="270"/>
      <c r="YD58" s="270"/>
      <c r="YE58" s="270"/>
      <c r="YF58" s="270"/>
      <c r="YG58" s="270"/>
      <c r="YH58" s="270"/>
      <c r="YI58" s="270"/>
      <c r="YJ58" s="270"/>
      <c r="YK58" s="270"/>
      <c r="YL58" s="270"/>
      <c r="YM58" s="270"/>
      <c r="YN58" s="270"/>
      <c r="YO58" s="270"/>
      <c r="YP58" s="270"/>
      <c r="YQ58" s="270"/>
      <c r="YR58" s="270"/>
      <c r="YS58" s="270"/>
      <c r="YT58" s="270"/>
      <c r="YU58" s="270"/>
      <c r="YV58" s="270"/>
      <c r="YW58" s="270"/>
      <c r="YX58" s="270"/>
      <c r="YY58" s="270"/>
      <c r="YZ58" s="270"/>
      <c r="ZA58" s="270"/>
      <c r="ZB58" s="270"/>
      <c r="ZC58" s="270"/>
      <c r="ZD58" s="270"/>
      <c r="ZE58" s="270"/>
    </row>
    <row r="59">
      <c r="A59" s="143" t="s">
        <v>2160</v>
      </c>
      <c r="B59" s="428"/>
      <c r="C59" s="16"/>
      <c r="D59" s="16"/>
      <c r="E59" s="16"/>
      <c r="F59" s="16"/>
      <c r="G59" s="16"/>
      <c r="H59" s="16"/>
      <c r="I59" s="428"/>
      <c r="J59" s="16"/>
      <c r="K59" s="16"/>
      <c r="L59" s="16"/>
      <c r="M59" s="16"/>
      <c r="N59" s="16"/>
      <c r="O59" s="16"/>
      <c r="P59" s="428"/>
      <c r="Q59" s="16"/>
      <c r="R59" s="16"/>
      <c r="S59" s="16"/>
      <c r="T59" s="16"/>
      <c r="U59" s="16"/>
      <c r="V59" s="16"/>
      <c r="W59" s="428"/>
      <c r="X59" s="16"/>
      <c r="Y59" s="16"/>
      <c r="Z59" s="16"/>
      <c r="AA59" s="16"/>
      <c r="AB59" s="16"/>
      <c r="AC59" s="16"/>
      <c r="AD59" s="428"/>
      <c r="AE59" s="16"/>
      <c r="AF59" s="16"/>
      <c r="AG59" s="16"/>
      <c r="AH59" s="16"/>
      <c r="AI59" s="16"/>
      <c r="AJ59" s="16"/>
      <c r="AK59" s="428"/>
      <c r="AL59" s="16"/>
      <c r="AM59" s="16"/>
      <c r="AN59" s="16"/>
      <c r="AO59" s="16"/>
      <c r="AP59" s="16"/>
      <c r="AQ59" s="16"/>
      <c r="AR59" s="428"/>
      <c r="AS59" s="16"/>
      <c r="AT59" s="16"/>
      <c r="AU59" s="16"/>
      <c r="AV59" s="16"/>
      <c r="AW59" s="16"/>
      <c r="AX59" s="16"/>
      <c r="AY59" s="428"/>
      <c r="AZ59" s="16"/>
      <c r="BA59" s="16"/>
      <c r="BB59" s="16"/>
      <c r="BC59" s="16"/>
      <c r="BD59" s="16"/>
      <c r="BE59" s="16"/>
      <c r="BF59" s="428"/>
      <c r="BG59" s="16"/>
      <c r="BH59" s="16"/>
      <c r="BI59" s="16"/>
      <c r="BJ59" s="16"/>
      <c r="BK59" s="16"/>
      <c r="BL59" s="16"/>
      <c r="BM59" s="428"/>
      <c r="BN59" s="16"/>
      <c r="BO59" s="16"/>
      <c r="BP59" s="16"/>
      <c r="BQ59" s="16"/>
      <c r="BR59" s="16"/>
      <c r="BS59" s="16"/>
      <c r="BT59" s="428"/>
      <c r="BU59" s="16"/>
      <c r="BV59" s="16"/>
      <c r="BW59" s="16"/>
      <c r="BX59" s="16"/>
      <c r="BY59" s="16"/>
      <c r="BZ59" s="16"/>
      <c r="CA59" s="428"/>
      <c r="CB59" s="16"/>
      <c r="CC59" s="16"/>
      <c r="CD59" s="16"/>
      <c r="CE59" s="16"/>
      <c r="CF59" s="16"/>
      <c r="CG59" s="16"/>
      <c r="CH59" s="428"/>
      <c r="CI59" s="16"/>
      <c r="CJ59" s="16"/>
      <c r="CK59" s="16"/>
      <c r="CL59" s="16"/>
      <c r="CM59" s="16"/>
      <c r="CN59" s="16"/>
      <c r="CO59" s="428"/>
      <c r="CP59" s="16"/>
      <c r="CQ59" s="16"/>
      <c r="CR59" s="16"/>
      <c r="CS59" s="16"/>
      <c r="CT59" s="16"/>
      <c r="CU59" s="16"/>
      <c r="CV59" s="428"/>
      <c r="CW59" s="16"/>
      <c r="CX59" s="16"/>
      <c r="CY59" s="16"/>
      <c r="CZ59" s="16"/>
      <c r="DA59" s="16"/>
      <c r="DB59" s="16"/>
      <c r="DC59" s="428"/>
      <c r="DD59" s="16"/>
      <c r="DE59" s="16"/>
      <c r="DF59" s="16"/>
      <c r="DG59" s="16"/>
      <c r="DH59" s="16"/>
      <c r="DI59" s="16"/>
      <c r="DJ59" s="428"/>
      <c r="DK59" s="16"/>
      <c r="DL59" s="16"/>
      <c r="DM59" s="16"/>
      <c r="DN59" s="16"/>
      <c r="DO59" s="16"/>
      <c r="DP59" s="16"/>
      <c r="DQ59" s="428"/>
      <c r="DR59" s="16"/>
      <c r="DS59" s="16"/>
      <c r="DT59" s="16"/>
      <c r="DU59" s="16"/>
      <c r="DV59" s="16"/>
      <c r="DW59" s="16"/>
      <c r="DX59" s="428"/>
      <c r="DY59" s="16"/>
      <c r="DZ59" s="16"/>
      <c r="EA59" s="16"/>
      <c r="EB59" s="16"/>
      <c r="EC59" s="16"/>
      <c r="ED59" s="16"/>
      <c r="EE59" s="428"/>
      <c r="EF59" s="16"/>
      <c r="EG59" s="16"/>
      <c r="EH59" s="16"/>
      <c r="EI59" s="16"/>
      <c r="EJ59" s="16"/>
      <c r="EK59" s="16"/>
      <c r="EL59" s="428"/>
      <c r="EM59" s="16"/>
      <c r="EN59" s="16"/>
      <c r="EO59" s="16"/>
      <c r="EP59" s="16"/>
      <c r="EQ59" s="16"/>
      <c r="ER59" s="16"/>
      <c r="ES59" s="428"/>
      <c r="ET59" s="16"/>
      <c r="EU59" s="16"/>
      <c r="EV59" s="16"/>
      <c r="EW59" s="16"/>
      <c r="EX59" s="16"/>
      <c r="EY59" s="16"/>
      <c r="EZ59" s="428"/>
      <c r="FA59" s="16"/>
      <c r="FB59" s="16"/>
      <c r="FC59" s="16"/>
      <c r="FD59" s="16"/>
      <c r="FE59" s="16"/>
      <c r="FF59" s="16"/>
      <c r="FG59" s="428"/>
      <c r="FH59" s="16"/>
      <c r="FI59" s="16"/>
      <c r="FJ59" s="16"/>
      <c r="FK59" s="16"/>
      <c r="FL59" s="16"/>
      <c r="FM59" s="16"/>
      <c r="FN59" s="428"/>
      <c r="FO59" s="16"/>
      <c r="FP59" s="16"/>
      <c r="FQ59" s="16"/>
      <c r="FR59" s="16"/>
      <c r="FS59" s="16"/>
      <c r="FT59" s="16"/>
      <c r="FU59" s="428"/>
      <c r="FV59" s="16"/>
      <c r="FW59" s="16"/>
      <c r="FX59" s="16"/>
      <c r="FY59" s="16"/>
      <c r="FZ59" s="16"/>
      <c r="GA59" s="16"/>
      <c r="GB59" s="330"/>
      <c r="GC59" s="23"/>
      <c r="GD59" s="23"/>
      <c r="GE59" s="23"/>
      <c r="GF59" s="23"/>
      <c r="GG59" s="23"/>
      <c r="GH59" s="23"/>
      <c r="GI59" s="428"/>
      <c r="GJ59" s="16"/>
      <c r="GK59" s="16"/>
      <c r="GL59" s="16"/>
      <c r="GM59" s="16"/>
      <c r="GN59" s="16"/>
      <c r="GO59" s="16"/>
      <c r="GP59" s="428"/>
      <c r="GQ59" s="16"/>
      <c r="GR59" s="16"/>
      <c r="GS59" s="16"/>
      <c r="GT59" s="16"/>
      <c r="GU59" s="16"/>
      <c r="GV59" s="16"/>
      <c r="GW59" s="428"/>
      <c r="GX59" s="16"/>
      <c r="GY59" s="16"/>
      <c r="GZ59" s="16"/>
      <c r="HA59" s="16"/>
      <c r="HB59" s="16"/>
      <c r="HC59" s="16"/>
      <c r="HD59" s="428"/>
      <c r="HE59" s="16"/>
      <c r="HF59" s="16"/>
      <c r="HG59" s="16"/>
      <c r="HH59" s="16"/>
      <c r="HI59" s="16"/>
      <c r="HJ59" s="16"/>
      <c r="HK59" s="428"/>
      <c r="HL59" s="16"/>
      <c r="HM59" s="16"/>
      <c r="HN59" s="16"/>
      <c r="HO59" s="16"/>
      <c r="HP59" s="16"/>
      <c r="HQ59" s="16"/>
      <c r="HR59" s="428"/>
      <c r="HS59" s="16"/>
      <c r="HT59" s="16"/>
      <c r="HU59" s="16"/>
      <c r="HV59" s="16"/>
      <c r="HW59" s="16"/>
      <c r="HX59" s="16"/>
      <c r="HY59" s="428"/>
      <c r="HZ59" s="16"/>
      <c r="IA59" s="16"/>
      <c r="IB59" s="16"/>
      <c r="IC59" s="16"/>
      <c r="ID59" s="16"/>
      <c r="IE59" s="16"/>
      <c r="IF59" s="428"/>
      <c r="IG59" s="16"/>
      <c r="IH59" s="16"/>
      <c r="II59" s="16"/>
      <c r="IJ59" s="16"/>
      <c r="IK59" s="16"/>
      <c r="IL59" s="16"/>
      <c r="IM59" s="428"/>
      <c r="IN59" s="16"/>
      <c r="IO59" s="16"/>
      <c r="IP59" s="16"/>
      <c r="IQ59" s="16"/>
      <c r="IR59" s="16"/>
      <c r="IS59" s="16"/>
      <c r="IT59" s="428"/>
      <c r="IU59" s="16"/>
      <c r="IV59" s="16"/>
      <c r="IW59" s="16"/>
      <c r="IX59" s="16"/>
      <c r="IY59" s="16"/>
      <c r="IZ59" s="16"/>
      <c r="JA59" s="428"/>
      <c r="JB59" s="16"/>
      <c r="JC59" s="16"/>
      <c r="JD59" s="16"/>
      <c r="JE59" s="16"/>
      <c r="JF59" s="16"/>
      <c r="JG59" s="16"/>
      <c r="JH59" s="428"/>
      <c r="JI59" s="16"/>
      <c r="JJ59" s="16"/>
      <c r="JK59" s="16"/>
      <c r="JL59" s="16"/>
      <c r="JM59" s="16"/>
      <c r="JN59" s="16"/>
      <c r="JO59" s="428"/>
      <c r="JP59" s="16"/>
      <c r="JQ59" s="16"/>
      <c r="JR59" s="16"/>
      <c r="JS59" s="16"/>
      <c r="JT59" s="16"/>
      <c r="JU59" s="16"/>
      <c r="JV59" s="428"/>
      <c r="JW59" s="16"/>
      <c r="JX59" s="16"/>
      <c r="JY59" s="16"/>
      <c r="JZ59" s="16"/>
      <c r="KA59" s="16"/>
      <c r="KB59" s="16"/>
      <c r="KC59" s="428"/>
      <c r="KD59" s="16"/>
      <c r="KE59" s="16"/>
      <c r="KF59" s="16"/>
      <c r="KG59" s="16"/>
      <c r="KH59" s="16"/>
      <c r="KI59" s="16"/>
      <c r="KJ59" s="428"/>
      <c r="KK59" s="16"/>
      <c r="KL59" s="16"/>
      <c r="KM59" s="16"/>
      <c r="KN59" s="16"/>
      <c r="KO59" s="16"/>
      <c r="KP59" s="16"/>
      <c r="KQ59" s="428"/>
      <c r="KR59" s="16"/>
      <c r="KS59" s="16"/>
      <c r="KT59" s="16"/>
      <c r="KU59" s="16"/>
      <c r="KV59" s="16"/>
      <c r="KW59" s="16"/>
      <c r="KX59" s="428"/>
      <c r="KY59" s="16"/>
      <c r="KZ59" s="16"/>
      <c r="LA59" s="16"/>
      <c r="LB59" s="16"/>
      <c r="LC59" s="16"/>
      <c r="LD59" s="16"/>
      <c r="LE59" s="428"/>
      <c r="LF59" s="16"/>
      <c r="LG59" s="16"/>
      <c r="LH59" s="16"/>
      <c r="LI59" s="16"/>
      <c r="LJ59" s="16"/>
      <c r="LK59" s="16"/>
      <c r="LL59" s="428"/>
      <c r="LM59" s="16"/>
      <c r="LN59" s="16"/>
      <c r="LO59" s="16"/>
      <c r="LP59" s="16"/>
      <c r="LQ59" s="16"/>
      <c r="LR59" s="16"/>
      <c r="LS59" s="428"/>
      <c r="LT59" s="16"/>
      <c r="LU59" s="16"/>
      <c r="LV59" s="16"/>
      <c r="LW59" s="16"/>
      <c r="LX59" s="16"/>
      <c r="LY59" s="16"/>
      <c r="LZ59" s="428"/>
      <c r="MA59" s="16"/>
      <c r="MB59" s="16"/>
      <c r="MC59" s="16"/>
      <c r="MD59" s="16"/>
      <c r="ME59" s="16"/>
      <c r="MF59" s="16"/>
      <c r="MG59" s="428"/>
      <c r="MH59" s="16"/>
      <c r="MI59" s="16"/>
      <c r="MJ59" s="16"/>
      <c r="MK59" s="16"/>
      <c r="ML59" s="16"/>
      <c r="MM59" s="16"/>
      <c r="MN59" s="428"/>
      <c r="MO59" s="16"/>
      <c r="MP59" s="16"/>
      <c r="MQ59" s="16"/>
      <c r="MR59" s="16"/>
      <c r="MS59" s="16"/>
      <c r="MT59" s="16"/>
      <c r="MU59" s="428"/>
      <c r="MV59" s="16"/>
      <c r="MW59" s="16"/>
      <c r="MX59" s="16"/>
      <c r="MY59" s="16"/>
      <c r="MZ59" s="16"/>
      <c r="NA59" s="25"/>
      <c r="NB59" s="430"/>
      <c r="ZE59" s="366"/>
    </row>
    <row r="60">
      <c r="A60" s="156" t="s">
        <v>254</v>
      </c>
      <c r="B60" s="134" t="s">
        <v>259</v>
      </c>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25"/>
      <c r="AG60" s="134" t="s">
        <v>1548</v>
      </c>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25"/>
      <c r="BI60" s="134" t="s">
        <v>2164</v>
      </c>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25"/>
      <c r="CN60" s="134" t="s">
        <v>2165</v>
      </c>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25"/>
      <c r="DR60" s="134" t="s">
        <v>2166</v>
      </c>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25"/>
      <c r="EW60" s="108"/>
      <c r="EX60" s="16"/>
      <c r="EY60" s="25"/>
      <c r="EZ60" s="108"/>
      <c r="FA60" s="16"/>
      <c r="FB60" s="16"/>
      <c r="FC60" s="16"/>
      <c r="FD60" s="16"/>
      <c r="FE60" s="16"/>
      <c r="FF60" s="25"/>
      <c r="FG60" s="108"/>
      <c r="FH60" s="16"/>
      <c r="FI60" s="16"/>
      <c r="FJ60" s="16"/>
      <c r="FK60" s="16"/>
      <c r="FL60" s="16"/>
      <c r="FM60" s="25"/>
      <c r="FN60" s="108"/>
      <c r="FO60" s="16"/>
      <c r="FP60" s="16"/>
      <c r="FQ60" s="16"/>
      <c r="FR60" s="16"/>
      <c r="FS60" s="16"/>
      <c r="FT60" s="25"/>
      <c r="FU60" s="108"/>
      <c r="FV60" s="16"/>
      <c r="FW60" s="16"/>
      <c r="FX60" s="16"/>
      <c r="FY60" s="16"/>
      <c r="FZ60" s="16"/>
      <c r="GA60" s="25"/>
      <c r="GB60" s="108"/>
      <c r="GC60" s="16"/>
      <c r="GD60" s="16"/>
      <c r="GE60" s="16"/>
      <c r="GF60" s="16"/>
      <c r="GG60" s="16"/>
      <c r="GH60" s="25"/>
      <c r="GI60" s="108"/>
      <c r="GJ60" s="16"/>
      <c r="GK60" s="16"/>
      <c r="GL60" s="16"/>
      <c r="GM60" s="16"/>
      <c r="GN60" s="16"/>
      <c r="GO60" s="25"/>
      <c r="GP60" s="108"/>
      <c r="GQ60" s="16"/>
      <c r="GR60" s="16"/>
      <c r="GS60" s="16"/>
      <c r="GT60" s="16"/>
      <c r="GU60" s="16"/>
      <c r="GV60" s="25"/>
      <c r="GW60" s="108"/>
      <c r="GX60" s="16"/>
      <c r="GY60" s="16"/>
      <c r="GZ60" s="16"/>
      <c r="HA60" s="16"/>
      <c r="HB60" s="16"/>
      <c r="HC60" s="25"/>
      <c r="HD60" s="108"/>
      <c r="HE60" s="16"/>
      <c r="HF60" s="16"/>
      <c r="HG60" s="16"/>
      <c r="HH60" s="16"/>
      <c r="HI60" s="16"/>
      <c r="HJ60" s="25"/>
      <c r="HK60" s="108"/>
      <c r="HL60" s="16"/>
      <c r="HM60" s="16"/>
      <c r="HN60" s="16"/>
      <c r="HO60" s="16"/>
      <c r="HP60" s="16"/>
      <c r="HQ60" s="25"/>
      <c r="IF60" s="108"/>
      <c r="IG60" s="16"/>
      <c r="IH60" s="16"/>
      <c r="II60" s="16"/>
      <c r="IJ60" s="16"/>
      <c r="IK60" s="16"/>
      <c r="IL60" s="25"/>
      <c r="IM60" s="108"/>
      <c r="IN60" s="16"/>
      <c r="IO60" s="16"/>
      <c r="IP60" s="16"/>
      <c r="IQ60" s="16"/>
      <c r="IR60" s="16"/>
      <c r="IS60" s="25"/>
      <c r="IT60" s="108"/>
      <c r="IU60" s="16"/>
      <c r="IV60" s="16"/>
      <c r="IW60" s="16"/>
      <c r="IX60" s="16"/>
      <c r="IY60" s="16"/>
      <c r="IZ60" s="25"/>
      <c r="JA60" s="108"/>
      <c r="JB60" s="16"/>
      <c r="JC60" s="16"/>
      <c r="JD60" s="16"/>
      <c r="JE60" s="16"/>
      <c r="JF60" s="16"/>
      <c r="JG60" s="25"/>
      <c r="JH60" s="108"/>
      <c r="JI60" s="16"/>
      <c r="JJ60" s="16"/>
      <c r="JK60" s="16"/>
      <c r="JL60" s="16"/>
      <c r="JM60" s="16"/>
      <c r="JN60" s="25"/>
      <c r="JO60" s="108"/>
      <c r="JP60" s="16"/>
      <c r="JQ60" s="16"/>
      <c r="JR60" s="16"/>
      <c r="JS60" s="16"/>
      <c r="JT60" s="16"/>
      <c r="JU60" s="25"/>
      <c r="JV60" s="108"/>
      <c r="JW60" s="16"/>
      <c r="JX60" s="16"/>
      <c r="JY60" s="16"/>
      <c r="JZ60" s="16"/>
      <c r="KA60" s="16"/>
      <c r="KB60" s="25"/>
      <c r="KC60" s="108"/>
      <c r="KD60" s="16"/>
      <c r="KE60" s="16"/>
      <c r="KF60" s="16"/>
      <c r="KG60" s="16"/>
      <c r="KH60" s="16"/>
      <c r="KI60" s="25"/>
      <c r="KJ60" s="108"/>
      <c r="KK60" s="16"/>
      <c r="KL60" s="16"/>
      <c r="KM60" s="16"/>
      <c r="KN60" s="16"/>
      <c r="KO60" s="16"/>
      <c r="KP60" s="25"/>
      <c r="KQ60" s="108"/>
      <c r="KR60" s="16"/>
      <c r="KS60" s="16"/>
      <c r="KT60" s="16"/>
      <c r="KU60" s="16"/>
      <c r="KV60" s="16"/>
      <c r="KW60" s="25"/>
      <c r="KX60" s="108"/>
      <c r="KY60" s="16"/>
      <c r="KZ60" s="16"/>
      <c r="LA60" s="16"/>
      <c r="LB60" s="16"/>
      <c r="LC60" s="16"/>
      <c r="LD60" s="25"/>
      <c r="LE60" s="108"/>
      <c r="LF60" s="16"/>
      <c r="LG60" s="16"/>
      <c r="LH60" s="16"/>
      <c r="LI60" s="16"/>
      <c r="LJ60" s="16"/>
      <c r="LK60" s="25"/>
      <c r="LL60" s="108"/>
      <c r="LM60" s="16"/>
      <c r="LN60" s="16"/>
      <c r="LO60" s="16"/>
      <c r="LP60" s="16"/>
      <c r="LQ60" s="16"/>
      <c r="LR60" s="25"/>
      <c r="LS60" s="108"/>
      <c r="LT60" s="16"/>
      <c r="LU60" s="16"/>
      <c r="LV60" s="16"/>
      <c r="LW60" s="16"/>
      <c r="LX60" s="16"/>
      <c r="LY60" s="25"/>
      <c r="LZ60" s="108"/>
      <c r="MA60" s="16"/>
      <c r="MB60" s="16"/>
      <c r="MC60" s="16"/>
      <c r="MD60" s="16"/>
      <c r="ME60" s="16"/>
      <c r="MF60" s="25"/>
      <c r="MG60" s="108"/>
      <c r="MH60" s="16"/>
      <c r="MI60" s="16"/>
      <c r="MJ60" s="16"/>
      <c r="MK60" s="16"/>
      <c r="ML60" s="16"/>
      <c r="MM60" s="25"/>
      <c r="MN60" s="108"/>
      <c r="MO60" s="16"/>
      <c r="MP60" s="16"/>
      <c r="MQ60" s="16"/>
      <c r="MR60" s="16"/>
      <c r="MS60" s="16"/>
      <c r="MT60" s="25"/>
      <c r="MU60" s="108"/>
      <c r="MV60" s="16"/>
      <c r="MW60" s="16"/>
      <c r="MX60" s="16"/>
      <c r="MY60" s="16"/>
      <c r="MZ60" s="16"/>
      <c r="NA60" s="25"/>
      <c r="NB60" s="81"/>
      <c r="ZE60" s="366"/>
    </row>
    <row r="61">
      <c r="A61" s="483"/>
      <c r="HR61" s="484" t="s">
        <v>2167</v>
      </c>
      <c r="HS61" s="10"/>
      <c r="HT61" s="10"/>
      <c r="HU61" s="10"/>
      <c r="HV61" s="10"/>
      <c r="HW61" s="10"/>
      <c r="HX61" s="10"/>
      <c r="HY61" s="10"/>
      <c r="HZ61" s="10"/>
      <c r="IA61" s="10"/>
      <c r="IB61" s="10"/>
      <c r="IC61" s="10"/>
      <c r="ID61" s="10"/>
      <c r="IE61" s="121"/>
      <c r="IF61" s="486" t="s">
        <v>2168</v>
      </c>
      <c r="IG61" s="10"/>
      <c r="IH61" s="10"/>
      <c r="II61" s="10"/>
      <c r="IJ61" s="10"/>
      <c r="IK61" s="10"/>
      <c r="IL61" s="121"/>
      <c r="ZE61" s="366"/>
    </row>
    <row r="62">
      <c r="A62" s="483"/>
      <c r="HR62" s="405"/>
      <c r="IE62" s="83"/>
      <c r="IF62" s="405"/>
      <c r="IL62" s="83"/>
      <c r="ZE62" s="366"/>
    </row>
    <row r="63">
      <c r="A63" s="483"/>
      <c r="HR63" s="405"/>
      <c r="IE63" s="83"/>
      <c r="IF63" s="405"/>
      <c r="IL63" s="83"/>
      <c r="ZE63" s="366"/>
    </row>
    <row r="64">
      <c r="A64" s="483"/>
      <c r="HR64" s="405"/>
      <c r="IE64" s="83"/>
      <c r="IF64" s="405"/>
      <c r="IL64" s="83"/>
      <c r="ZE64" s="366"/>
    </row>
    <row r="65">
      <c r="A65" s="483"/>
      <c r="HR65" s="405"/>
      <c r="IE65" s="83"/>
      <c r="IF65" s="405"/>
      <c r="IL65" s="83"/>
      <c r="ZE65" s="366"/>
    </row>
    <row r="66">
      <c r="A66" s="483"/>
      <c r="HR66" s="488"/>
      <c r="HS66" s="23"/>
      <c r="HT66" s="23"/>
      <c r="HU66" s="23"/>
      <c r="HV66" s="23"/>
      <c r="HW66" s="23"/>
      <c r="HX66" s="23"/>
      <c r="HY66" s="23"/>
      <c r="HZ66" s="23"/>
      <c r="IA66" s="23"/>
      <c r="IB66" s="23"/>
      <c r="IC66" s="23"/>
      <c r="ID66" s="23"/>
      <c r="IE66" s="104"/>
      <c r="IF66" s="488"/>
      <c r="IG66" s="23"/>
      <c r="IH66" s="23"/>
      <c r="II66" s="23"/>
      <c r="IJ66" s="23"/>
      <c r="IK66" s="23"/>
      <c r="IL66" s="104"/>
      <c r="ZE66" s="366"/>
    </row>
    <row r="67">
      <c r="A67" s="483"/>
      <c r="ZE67" s="366"/>
    </row>
    <row r="68">
      <c r="A68" s="483"/>
      <c r="B68" s="380"/>
      <c r="C68" s="380"/>
      <c r="D68" s="380"/>
      <c r="E68" s="380"/>
      <c r="F68" s="380"/>
      <c r="G68" s="380"/>
      <c r="H68" s="380"/>
      <c r="I68" s="380"/>
      <c r="J68" s="380"/>
      <c r="K68" s="380"/>
      <c r="L68" s="380"/>
      <c r="M68" s="380"/>
      <c r="N68" s="380"/>
      <c r="O68" s="380"/>
      <c r="P68" s="380"/>
      <c r="Q68" s="380"/>
      <c r="R68" s="380"/>
      <c r="S68" s="380"/>
      <c r="T68" s="380"/>
      <c r="U68" s="380"/>
      <c r="V68" s="380"/>
      <c r="W68" s="380"/>
      <c r="X68" s="380"/>
      <c r="Y68" s="380"/>
      <c r="Z68" s="380"/>
      <c r="AA68" s="380"/>
      <c r="AB68" s="380"/>
      <c r="AC68" s="380"/>
      <c r="AD68" s="380"/>
      <c r="AE68" s="380"/>
      <c r="AF68" s="380"/>
      <c r="AG68" s="380"/>
      <c r="AH68" s="380"/>
      <c r="AI68" s="380"/>
      <c r="AJ68" s="380"/>
      <c r="AK68" s="380"/>
      <c r="AL68" s="380"/>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row>
    <row r="69">
      <c r="A69" s="483"/>
      <c r="B69" s="380"/>
      <c r="C69" s="380"/>
      <c r="D69" s="380"/>
      <c r="E69" s="380"/>
      <c r="F69" s="380"/>
      <c r="G69" s="380"/>
      <c r="H69" s="380"/>
      <c r="I69" s="380"/>
      <c r="J69" s="380"/>
      <c r="K69" s="380"/>
      <c r="L69" s="380"/>
      <c r="M69" s="380"/>
      <c r="N69" s="380"/>
      <c r="O69" s="380"/>
      <c r="P69" s="380"/>
      <c r="Q69" s="380"/>
      <c r="R69" s="380"/>
      <c r="S69" s="380"/>
      <c r="T69" s="380"/>
      <c r="U69" s="380"/>
      <c r="V69" s="380"/>
      <c r="W69" s="380"/>
      <c r="X69" s="380"/>
      <c r="Y69" s="380"/>
      <c r="Z69" s="380"/>
      <c r="AA69" s="380"/>
      <c r="AB69" s="380"/>
      <c r="AC69" s="380"/>
      <c r="AD69" s="380"/>
      <c r="AE69" s="380"/>
      <c r="AF69" s="380"/>
      <c r="AG69" s="380"/>
      <c r="AH69" s="380"/>
      <c r="AI69" s="380"/>
      <c r="AJ69" s="380"/>
      <c r="AK69" s="380"/>
      <c r="AL69" s="380"/>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row>
    <row r="70">
      <c r="A70" s="483"/>
      <c r="B70" s="380"/>
      <c r="C70" s="380"/>
      <c r="D70" s="380"/>
      <c r="E70" s="380"/>
      <c r="F70" s="380"/>
      <c r="G70" s="380"/>
      <c r="H70" s="380"/>
      <c r="I70" s="380"/>
      <c r="J70" s="380"/>
      <c r="K70" s="380"/>
      <c r="L70" s="380"/>
      <c r="M70" s="380"/>
      <c r="N70" s="380"/>
      <c r="O70" s="380"/>
      <c r="P70" s="380"/>
      <c r="Q70" s="380"/>
      <c r="R70" s="380"/>
      <c r="S70" s="380"/>
      <c r="T70" s="380"/>
      <c r="U70" s="380"/>
      <c r="V70" s="380"/>
      <c r="W70" s="380"/>
      <c r="X70" s="380"/>
      <c r="Y70" s="380"/>
      <c r="Z70" s="380"/>
      <c r="AA70" s="380"/>
      <c r="AB70" s="380"/>
      <c r="AC70" s="380"/>
      <c r="AD70" s="380"/>
      <c r="AE70" s="380"/>
      <c r="AF70" s="380"/>
      <c r="AG70" s="380"/>
      <c r="AH70" s="380"/>
      <c r="AI70" s="380"/>
      <c r="AJ70" s="380"/>
      <c r="AK70" s="380"/>
      <c r="AL70" s="380"/>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row>
    <row r="71">
      <c r="A71" s="483"/>
      <c r="B71" s="380"/>
      <c r="C71" s="380"/>
      <c r="D71" s="380"/>
      <c r="E71" s="380"/>
      <c r="F71" s="380"/>
      <c r="G71" s="380"/>
      <c r="H71" s="380"/>
      <c r="I71" s="380"/>
      <c r="J71" s="380"/>
      <c r="K71" s="380"/>
      <c r="L71" s="380"/>
      <c r="M71" s="380"/>
      <c r="N71" s="380"/>
      <c r="O71" s="380"/>
      <c r="P71" s="380"/>
      <c r="Q71" s="380"/>
      <c r="R71" s="380"/>
      <c r="S71" s="380"/>
      <c r="T71" s="380"/>
      <c r="U71" s="380"/>
      <c r="V71" s="380"/>
      <c r="W71" s="380"/>
      <c r="X71" s="380"/>
      <c r="Y71" s="380"/>
      <c r="Z71" s="380"/>
      <c r="AA71" s="380"/>
      <c r="AB71" s="380"/>
      <c r="AC71" s="380"/>
      <c r="AD71" s="380"/>
      <c r="AE71" s="380"/>
      <c r="AF71" s="380"/>
      <c r="AG71" s="380"/>
      <c r="AH71" s="380"/>
      <c r="AI71" s="380"/>
      <c r="AJ71" s="380"/>
      <c r="AK71" s="380"/>
      <c r="AL71" s="380"/>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row>
    <row r="72">
      <c r="A72" s="483"/>
      <c r="B72" s="380"/>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c r="AA72" s="380"/>
      <c r="AB72" s="380"/>
      <c r="AC72" s="380"/>
      <c r="AD72" s="380"/>
      <c r="AE72" s="380"/>
      <c r="AF72" s="380"/>
      <c r="AG72" s="380"/>
      <c r="AH72" s="380"/>
      <c r="AI72" s="380"/>
      <c r="AJ72" s="380"/>
      <c r="AK72" s="380"/>
      <c r="AL72" s="380"/>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row>
    <row r="87">
      <c r="A87" s="483"/>
      <c r="B87" s="380"/>
      <c r="C87" s="380"/>
      <c r="D87" s="380"/>
      <c r="E87" s="380"/>
      <c r="F87" s="380"/>
      <c r="G87" s="380"/>
      <c r="H87" s="380"/>
      <c r="I87" s="403"/>
      <c r="J87" s="380"/>
      <c r="K87" s="380"/>
      <c r="L87" s="380"/>
      <c r="M87" s="380"/>
      <c r="N87" s="380"/>
      <c r="O87" s="404"/>
      <c r="P87" s="380"/>
      <c r="Q87" s="380"/>
      <c r="R87" s="380"/>
      <c r="S87" s="380"/>
      <c r="T87" s="380"/>
      <c r="U87" s="380"/>
      <c r="V87" s="380"/>
      <c r="W87" s="403"/>
      <c r="X87" s="380"/>
      <c r="Y87" s="380"/>
      <c r="Z87" s="380"/>
      <c r="AA87" s="380"/>
      <c r="AB87" s="380"/>
      <c r="AC87" s="404"/>
      <c r="AD87" s="380"/>
      <c r="AE87" s="380"/>
      <c r="AF87" s="380"/>
      <c r="AG87" s="380"/>
      <c r="AH87" s="380"/>
      <c r="AI87" s="380"/>
      <c r="AJ87" s="380"/>
      <c r="AK87" s="403"/>
      <c r="AL87" s="380"/>
      <c r="AM87" s="380"/>
      <c r="AN87" s="380"/>
      <c r="AO87" s="380"/>
      <c r="AP87" s="380"/>
      <c r="AQ87" s="404"/>
      <c r="AR87" s="380"/>
      <c r="AS87" s="380"/>
      <c r="AT87" s="380"/>
      <c r="AU87" s="380"/>
      <c r="AV87" s="380"/>
      <c r="AW87" s="380"/>
      <c r="AX87" s="380"/>
      <c r="AY87" s="403"/>
      <c r="AZ87" s="380"/>
      <c r="BA87" s="380"/>
      <c r="BB87" s="380"/>
      <c r="BC87" s="380"/>
      <c r="BD87" s="380"/>
      <c r="BE87" s="404"/>
      <c r="BF87" s="380"/>
      <c r="BG87" s="380"/>
      <c r="BH87" s="380"/>
      <c r="BI87" s="380"/>
      <c r="BJ87" s="380"/>
      <c r="BK87" s="380"/>
      <c r="BL87" s="380"/>
      <c r="BM87" s="403"/>
      <c r="BS87" s="83"/>
      <c r="CA87" s="405"/>
      <c r="CG87" s="83"/>
      <c r="CO87" s="405"/>
      <c r="CU87" s="83"/>
      <c r="DC87" s="405"/>
      <c r="DI87" s="83"/>
      <c r="DQ87" s="405"/>
      <c r="DW87" s="83"/>
      <c r="EE87" s="405"/>
      <c r="EK87" s="83"/>
      <c r="ES87" s="405"/>
      <c r="EY87" s="83"/>
      <c r="FG87" s="405"/>
      <c r="FM87" s="83"/>
      <c r="FU87" s="405"/>
      <c r="GA87" s="83"/>
      <c r="GI87" s="405"/>
      <c r="GO87" s="83"/>
      <c r="GW87" s="405"/>
      <c r="HC87" s="83"/>
      <c r="HK87" s="405"/>
      <c r="HQ87" s="83"/>
      <c r="HY87" s="405"/>
      <c r="IE87" s="83"/>
      <c r="IM87" s="405"/>
      <c r="IS87" s="83"/>
      <c r="JA87" s="405"/>
      <c r="JG87" s="83"/>
      <c r="JO87" s="405"/>
      <c r="JU87" s="83"/>
      <c r="KC87" s="405"/>
      <c r="KI87" s="83"/>
      <c r="KQ87" s="405"/>
      <c r="KW87" s="83"/>
      <c r="LE87" s="405"/>
      <c r="LK87" s="83"/>
      <c r="LS87" s="405"/>
      <c r="LY87" s="83"/>
      <c r="MG87" s="405"/>
      <c r="MM87" s="83"/>
      <c r="MU87" s="405"/>
      <c r="NA87" s="83"/>
    </row>
    <row r="88">
      <c r="A88" s="483"/>
      <c r="B88" s="380"/>
      <c r="C88" s="380"/>
      <c r="D88" s="380"/>
      <c r="E88" s="380"/>
      <c r="F88" s="380"/>
      <c r="G88" s="380"/>
      <c r="H88" s="380"/>
      <c r="I88" s="403"/>
      <c r="J88" s="380"/>
      <c r="K88" s="380"/>
      <c r="L88" s="380"/>
      <c r="M88" s="380"/>
      <c r="N88" s="380"/>
      <c r="O88" s="404"/>
      <c r="P88" s="380"/>
      <c r="Q88" s="380"/>
      <c r="R88" s="380"/>
      <c r="S88" s="380"/>
      <c r="T88" s="380"/>
      <c r="U88" s="380"/>
      <c r="V88" s="380"/>
      <c r="W88" s="403"/>
      <c r="X88" s="380"/>
      <c r="Y88" s="380"/>
      <c r="Z88" s="380"/>
      <c r="AA88" s="380"/>
      <c r="AB88" s="380"/>
      <c r="AC88" s="404"/>
      <c r="AD88" s="380"/>
      <c r="AE88" s="380"/>
      <c r="AF88" s="380"/>
      <c r="AG88" s="380"/>
      <c r="AH88" s="380"/>
      <c r="AI88" s="380"/>
      <c r="AJ88" s="380"/>
      <c r="AK88" s="403"/>
      <c r="AL88" s="380"/>
      <c r="AM88" s="380"/>
      <c r="AN88" s="380"/>
      <c r="AO88" s="380"/>
      <c r="AP88" s="380"/>
      <c r="AQ88" s="404"/>
      <c r="AR88" s="380"/>
      <c r="AS88" s="380"/>
      <c r="AT88" s="380"/>
      <c r="AU88" s="380"/>
      <c r="AV88" s="380"/>
      <c r="AW88" s="380"/>
      <c r="AX88" s="380"/>
      <c r="AY88" s="403"/>
      <c r="AZ88" s="380"/>
      <c r="BA88" s="380"/>
      <c r="BB88" s="380"/>
      <c r="BC88" s="380"/>
      <c r="BD88" s="380"/>
      <c r="BE88" s="404"/>
      <c r="BF88" s="380"/>
      <c r="BG88" s="380"/>
      <c r="BH88" s="380"/>
      <c r="BI88" s="380"/>
      <c r="BJ88" s="380"/>
      <c r="BK88" s="380"/>
      <c r="BL88" s="380"/>
      <c r="BM88" s="403"/>
      <c r="BS88" s="83"/>
      <c r="CA88" s="405"/>
      <c r="CG88" s="83"/>
      <c r="CO88" s="405"/>
      <c r="CU88" s="83"/>
      <c r="DC88" s="405"/>
      <c r="DI88" s="83"/>
      <c r="DQ88" s="405"/>
      <c r="DW88" s="83"/>
      <c r="EE88" s="405"/>
      <c r="EK88" s="83"/>
      <c r="ES88" s="405"/>
      <c r="EY88" s="83"/>
      <c r="FG88" s="405"/>
      <c r="FM88" s="83"/>
      <c r="FU88" s="405"/>
      <c r="GA88" s="83"/>
      <c r="GI88" s="405"/>
      <c r="GO88" s="83"/>
      <c r="GW88" s="405"/>
      <c r="HC88" s="83"/>
      <c r="HK88" s="405"/>
      <c r="HQ88" s="83"/>
      <c r="HY88" s="405"/>
      <c r="IE88" s="83"/>
      <c r="IM88" s="405"/>
      <c r="IS88" s="83"/>
      <c r="JA88" s="405"/>
      <c r="JG88" s="83"/>
      <c r="JO88" s="405"/>
      <c r="JU88" s="83"/>
      <c r="KC88" s="405"/>
      <c r="KI88" s="83"/>
      <c r="KQ88" s="405"/>
      <c r="KW88" s="83"/>
      <c r="LE88" s="405"/>
      <c r="LK88" s="83"/>
      <c r="LS88" s="405"/>
      <c r="LY88" s="83"/>
      <c r="MG88" s="405"/>
      <c r="MM88" s="83"/>
      <c r="MU88" s="405"/>
      <c r="NA88" s="83"/>
    </row>
    <row r="89">
      <c r="A89" s="483"/>
      <c r="B89" s="380"/>
      <c r="C89" s="380"/>
      <c r="D89" s="380"/>
      <c r="E89" s="380"/>
      <c r="F89" s="380"/>
      <c r="G89" s="380"/>
      <c r="H89" s="380"/>
      <c r="I89" s="403"/>
      <c r="J89" s="380"/>
      <c r="K89" s="380"/>
      <c r="L89" s="380"/>
      <c r="M89" s="380"/>
      <c r="N89" s="380"/>
      <c r="O89" s="404"/>
      <c r="P89" s="380"/>
      <c r="Q89" s="380"/>
      <c r="R89" s="380"/>
      <c r="S89" s="380"/>
      <c r="T89" s="380"/>
      <c r="U89" s="380"/>
      <c r="V89" s="380"/>
      <c r="W89" s="403"/>
      <c r="X89" s="380"/>
      <c r="Y89" s="380"/>
      <c r="Z89" s="380"/>
      <c r="AA89" s="380"/>
      <c r="AB89" s="380"/>
      <c r="AC89" s="404"/>
      <c r="AD89" s="380"/>
      <c r="AE89" s="380"/>
      <c r="AF89" s="380"/>
      <c r="AG89" s="380"/>
      <c r="AH89" s="380"/>
      <c r="AI89" s="380"/>
      <c r="AJ89" s="380"/>
      <c r="AK89" s="403"/>
      <c r="AL89" s="380"/>
      <c r="AM89" s="380"/>
      <c r="AN89" s="380"/>
      <c r="AO89" s="380"/>
      <c r="AP89" s="380"/>
      <c r="AQ89" s="404"/>
      <c r="AR89" s="380"/>
      <c r="AS89" s="380"/>
      <c r="AT89" s="380"/>
      <c r="AU89" s="380"/>
      <c r="AV89" s="380"/>
      <c r="AW89" s="380"/>
      <c r="AX89" s="380"/>
      <c r="AY89" s="403"/>
      <c r="AZ89" s="380"/>
      <c r="BA89" s="380"/>
      <c r="BB89" s="380"/>
      <c r="BC89" s="380"/>
      <c r="BD89" s="380"/>
      <c r="BE89" s="404"/>
      <c r="BF89" s="380"/>
      <c r="BG89" s="380"/>
      <c r="BH89" s="380"/>
      <c r="BI89" s="380"/>
      <c r="BJ89" s="380"/>
      <c r="BK89" s="380"/>
      <c r="BL89" s="380"/>
      <c r="BM89" s="403"/>
      <c r="BS89" s="83"/>
      <c r="CA89" s="405"/>
      <c r="CG89" s="83"/>
      <c r="CO89" s="405"/>
      <c r="CU89" s="83"/>
      <c r="DC89" s="405"/>
      <c r="DI89" s="83"/>
      <c r="DQ89" s="405"/>
      <c r="DW89" s="83"/>
      <c r="EE89" s="405"/>
      <c r="EK89" s="83"/>
      <c r="ES89" s="405"/>
      <c r="EY89" s="83"/>
      <c r="FG89" s="405"/>
      <c r="FM89" s="83"/>
      <c r="FU89" s="405"/>
      <c r="GA89" s="83"/>
      <c r="GI89" s="405"/>
      <c r="GO89" s="83"/>
      <c r="GW89" s="405"/>
      <c r="HC89" s="83"/>
      <c r="HK89" s="405"/>
      <c r="HQ89" s="83"/>
      <c r="HY89" s="405"/>
      <c r="IE89" s="83"/>
      <c r="IM89" s="405"/>
      <c r="IS89" s="83"/>
      <c r="JA89" s="405"/>
      <c r="JG89" s="83"/>
      <c r="JO89" s="405"/>
      <c r="JU89" s="83"/>
      <c r="KC89" s="405"/>
      <c r="KI89" s="83"/>
      <c r="KQ89" s="405"/>
      <c r="KW89" s="83"/>
      <c r="LE89" s="405"/>
      <c r="LK89" s="83"/>
      <c r="LS89" s="405"/>
      <c r="LY89" s="83"/>
      <c r="MG89" s="405"/>
      <c r="MM89" s="83"/>
      <c r="MU89" s="405"/>
      <c r="NA89" s="83"/>
    </row>
    <row r="90">
      <c r="A90" s="483"/>
      <c r="B90" s="380"/>
      <c r="C90" s="380"/>
      <c r="D90" s="380"/>
      <c r="E90" s="380"/>
      <c r="F90" s="380"/>
      <c r="G90" s="380"/>
      <c r="H90" s="380"/>
      <c r="I90" s="403"/>
      <c r="J90" s="380"/>
      <c r="K90" s="380"/>
      <c r="L90" s="380"/>
      <c r="M90" s="380"/>
      <c r="N90" s="380"/>
      <c r="O90" s="404"/>
      <c r="P90" s="380"/>
      <c r="Q90" s="380"/>
      <c r="R90" s="380"/>
      <c r="S90" s="380"/>
      <c r="T90" s="380"/>
      <c r="U90" s="380"/>
      <c r="V90" s="380"/>
      <c r="W90" s="403"/>
      <c r="X90" s="380"/>
      <c r="Y90" s="380"/>
      <c r="Z90" s="380"/>
      <c r="AA90" s="380"/>
      <c r="AB90" s="380"/>
      <c r="AC90" s="404"/>
      <c r="AD90" s="380"/>
      <c r="AE90" s="380"/>
      <c r="AF90" s="380"/>
      <c r="AG90" s="380"/>
      <c r="AH90" s="380"/>
      <c r="AI90" s="380"/>
      <c r="AJ90" s="380"/>
      <c r="AK90" s="403"/>
      <c r="AL90" s="380"/>
      <c r="AM90" s="380"/>
      <c r="AN90" s="380"/>
      <c r="AO90" s="380"/>
      <c r="AP90" s="380"/>
      <c r="AQ90" s="404"/>
      <c r="AR90" s="380"/>
      <c r="AS90" s="380"/>
      <c r="AT90" s="380"/>
      <c r="AU90" s="380"/>
      <c r="AV90" s="380"/>
      <c r="AW90" s="380"/>
      <c r="AX90" s="380"/>
      <c r="AY90" s="403"/>
      <c r="AZ90" s="380"/>
      <c r="BA90" s="380"/>
      <c r="BB90" s="380"/>
      <c r="BC90" s="380"/>
      <c r="BD90" s="380"/>
      <c r="BE90" s="404"/>
      <c r="BF90" s="380"/>
      <c r="BG90" s="380"/>
      <c r="BH90" s="380"/>
      <c r="BI90" s="380"/>
      <c r="BJ90" s="380"/>
      <c r="BK90" s="380"/>
      <c r="BL90" s="380"/>
      <c r="BM90" s="403"/>
      <c r="BS90" s="83"/>
      <c r="CA90" s="405"/>
      <c r="CG90" s="83"/>
      <c r="CO90" s="405"/>
      <c r="CU90" s="83"/>
      <c r="DC90" s="405"/>
      <c r="DI90" s="83"/>
      <c r="DQ90" s="405"/>
      <c r="DW90" s="83"/>
      <c r="EE90" s="405"/>
      <c r="EK90" s="83"/>
      <c r="ES90" s="405"/>
      <c r="EY90" s="83"/>
      <c r="FG90" s="405"/>
      <c r="FM90" s="83"/>
      <c r="FU90" s="405"/>
      <c r="GA90" s="83"/>
      <c r="GI90" s="405"/>
      <c r="GO90" s="83"/>
      <c r="GW90" s="405"/>
      <c r="HC90" s="83"/>
      <c r="HK90" s="405"/>
      <c r="HQ90" s="83"/>
      <c r="HY90" s="405"/>
      <c r="IE90" s="83"/>
      <c r="IM90" s="405"/>
      <c r="IS90" s="83"/>
      <c r="JA90" s="405"/>
      <c r="JG90" s="83"/>
      <c r="JO90" s="405"/>
      <c r="JU90" s="83"/>
      <c r="KC90" s="405"/>
      <c r="KI90" s="83"/>
      <c r="KQ90" s="405"/>
      <c r="KW90" s="83"/>
      <c r="LE90" s="405"/>
      <c r="LK90" s="83"/>
      <c r="LS90" s="405"/>
      <c r="LY90" s="83"/>
      <c r="MG90" s="405"/>
      <c r="MM90" s="83"/>
      <c r="MU90" s="405"/>
      <c r="NA90" s="83"/>
    </row>
    <row r="91">
      <c r="A91" s="483"/>
      <c r="B91" s="380"/>
      <c r="C91" s="380"/>
      <c r="D91" s="380"/>
      <c r="E91" s="380"/>
      <c r="F91" s="380"/>
      <c r="G91" s="380"/>
      <c r="H91" s="380"/>
      <c r="I91" s="403"/>
      <c r="J91" s="380"/>
      <c r="K91" s="380"/>
      <c r="L91" s="380"/>
      <c r="M91" s="380"/>
      <c r="N91" s="380"/>
      <c r="O91" s="404"/>
      <c r="P91" s="380"/>
      <c r="Q91" s="380"/>
      <c r="R91" s="380"/>
      <c r="S91" s="380"/>
      <c r="T91" s="380"/>
      <c r="U91" s="380"/>
      <c r="V91" s="380"/>
      <c r="W91" s="403"/>
      <c r="X91" s="380"/>
      <c r="Y91" s="380"/>
      <c r="Z91" s="380"/>
      <c r="AA91" s="380"/>
      <c r="AB91" s="380"/>
      <c r="AC91" s="404"/>
      <c r="AD91" s="380"/>
      <c r="AE91" s="380"/>
      <c r="AF91" s="380"/>
      <c r="AG91" s="380"/>
      <c r="AH91" s="380"/>
      <c r="AI91" s="380"/>
      <c r="AJ91" s="380"/>
      <c r="AK91" s="403"/>
      <c r="AL91" s="380"/>
      <c r="AM91" s="380"/>
      <c r="AN91" s="380"/>
      <c r="AO91" s="380"/>
      <c r="AP91" s="380"/>
      <c r="AQ91" s="404"/>
      <c r="AR91" s="380"/>
      <c r="AS91" s="380"/>
      <c r="AT91" s="380"/>
      <c r="AU91" s="380"/>
      <c r="AV91" s="380"/>
      <c r="AW91" s="380"/>
      <c r="AX91" s="380"/>
      <c r="AY91" s="403"/>
      <c r="AZ91" s="380"/>
      <c r="BA91" s="380"/>
      <c r="BB91" s="380"/>
      <c r="BC91" s="380"/>
      <c r="BD91" s="380"/>
      <c r="BE91" s="404"/>
      <c r="BF91" s="380"/>
      <c r="BG91" s="380"/>
      <c r="BH91" s="380"/>
      <c r="BI91" s="380"/>
      <c r="BJ91" s="380"/>
      <c r="BK91" s="380"/>
      <c r="BL91" s="380"/>
      <c r="BM91" s="403"/>
      <c r="BS91" s="83"/>
      <c r="CA91" s="405"/>
      <c r="CG91" s="83"/>
      <c r="CO91" s="405"/>
      <c r="CU91" s="83"/>
      <c r="DC91" s="405"/>
      <c r="DI91" s="83"/>
      <c r="DQ91" s="405"/>
      <c r="DW91" s="83"/>
      <c r="EE91" s="405"/>
      <c r="EK91" s="83"/>
      <c r="ES91" s="405"/>
      <c r="EY91" s="83"/>
      <c r="FG91" s="405"/>
      <c r="FM91" s="83"/>
      <c r="FU91" s="405"/>
      <c r="GA91" s="83"/>
      <c r="GI91" s="405"/>
      <c r="GO91" s="83"/>
      <c r="GW91" s="405"/>
      <c r="HC91" s="83"/>
      <c r="HK91" s="405"/>
      <c r="HQ91" s="83"/>
      <c r="HY91" s="405"/>
      <c r="IE91" s="83"/>
      <c r="IM91" s="405"/>
      <c r="IS91" s="83"/>
      <c r="JA91" s="405"/>
      <c r="JG91" s="83"/>
      <c r="JO91" s="405"/>
      <c r="JU91" s="83"/>
      <c r="KC91" s="405"/>
      <c r="KI91" s="83"/>
      <c r="KQ91" s="405"/>
      <c r="KW91" s="83"/>
      <c r="LE91" s="405"/>
      <c r="LK91" s="83"/>
      <c r="LS91" s="405"/>
      <c r="LY91" s="83"/>
      <c r="MG91" s="405"/>
      <c r="MM91" s="83"/>
      <c r="MU91" s="405"/>
      <c r="NA91" s="83"/>
    </row>
    <row r="92">
      <c r="A92" s="483"/>
      <c r="B92" s="380"/>
      <c r="C92" s="380"/>
      <c r="D92" s="380"/>
      <c r="E92" s="380"/>
      <c r="F92" s="380"/>
      <c r="G92" s="380"/>
      <c r="H92" s="380"/>
      <c r="I92" s="403"/>
      <c r="J92" s="380"/>
      <c r="K92" s="380"/>
      <c r="L92" s="380"/>
      <c r="M92" s="380"/>
      <c r="N92" s="380"/>
      <c r="O92" s="404"/>
      <c r="P92" s="380"/>
      <c r="Q92" s="380"/>
      <c r="R92" s="380"/>
      <c r="S92" s="380"/>
      <c r="T92" s="380"/>
      <c r="U92" s="380"/>
      <c r="V92" s="380"/>
      <c r="W92" s="403"/>
      <c r="X92" s="380"/>
      <c r="Y92" s="380"/>
      <c r="Z92" s="380"/>
      <c r="AA92" s="380"/>
      <c r="AB92" s="380"/>
      <c r="AC92" s="404"/>
      <c r="AD92" s="380"/>
      <c r="AE92" s="380"/>
      <c r="AF92" s="380"/>
      <c r="AG92" s="380"/>
      <c r="AH92" s="380"/>
      <c r="AI92" s="380"/>
      <c r="AJ92" s="380"/>
      <c r="AK92" s="403"/>
      <c r="AL92" s="380"/>
      <c r="AM92" s="380"/>
      <c r="AN92" s="380"/>
      <c r="AO92" s="380"/>
      <c r="AP92" s="380"/>
      <c r="AQ92" s="404"/>
      <c r="AR92" s="380"/>
      <c r="AS92" s="380"/>
      <c r="AT92" s="380"/>
      <c r="AU92" s="380"/>
      <c r="AV92" s="380"/>
      <c r="AW92" s="380"/>
      <c r="AX92" s="380"/>
      <c r="AY92" s="403"/>
      <c r="AZ92" s="380"/>
      <c r="BA92" s="380"/>
      <c r="BB92" s="380"/>
      <c r="BC92" s="380"/>
      <c r="BD92" s="380"/>
      <c r="BE92" s="404"/>
      <c r="BF92" s="380"/>
      <c r="BG92" s="380"/>
      <c r="BH92" s="380"/>
      <c r="BI92" s="380"/>
      <c r="BJ92" s="380"/>
      <c r="BK92" s="380"/>
      <c r="BL92" s="380"/>
      <c r="BM92" s="403"/>
      <c r="BS92" s="83"/>
      <c r="CA92" s="405"/>
      <c r="CG92" s="83"/>
      <c r="CO92" s="405"/>
      <c r="CU92" s="83"/>
      <c r="DC92" s="405"/>
      <c r="DI92" s="83"/>
      <c r="DQ92" s="405"/>
      <c r="DW92" s="83"/>
      <c r="EE92" s="405"/>
      <c r="EK92" s="83"/>
      <c r="ES92" s="405"/>
      <c r="EY92" s="83"/>
      <c r="FG92" s="405"/>
      <c r="FM92" s="83"/>
      <c r="FU92" s="405"/>
      <c r="GA92" s="83"/>
      <c r="GI92" s="405"/>
      <c r="GO92" s="83"/>
      <c r="GW92" s="405"/>
      <c r="HC92" s="83"/>
      <c r="HK92" s="405"/>
      <c r="HQ92" s="83"/>
      <c r="HY92" s="405"/>
      <c r="IE92" s="83"/>
      <c r="IM92" s="405"/>
      <c r="IS92" s="83"/>
      <c r="JA92" s="405"/>
      <c r="JG92" s="83"/>
      <c r="JO92" s="405"/>
      <c r="JU92" s="83"/>
      <c r="KC92" s="405"/>
      <c r="KI92" s="83"/>
      <c r="KQ92" s="405"/>
      <c r="KW92" s="83"/>
      <c r="LE92" s="405"/>
      <c r="LK92" s="83"/>
      <c r="LS92" s="405"/>
      <c r="LY92" s="83"/>
      <c r="MG92" s="405"/>
      <c r="MM92" s="83"/>
      <c r="MU92" s="405"/>
      <c r="NA92" s="83"/>
    </row>
    <row r="93">
      <c r="A93" s="483"/>
      <c r="B93" s="380"/>
      <c r="C93" s="380"/>
      <c r="D93" s="380"/>
      <c r="E93" s="380"/>
      <c r="F93" s="380"/>
      <c r="G93" s="380"/>
      <c r="H93" s="380"/>
      <c r="I93" s="403"/>
      <c r="J93" s="380"/>
      <c r="K93" s="380"/>
      <c r="L93" s="380"/>
      <c r="M93" s="380"/>
      <c r="N93" s="380"/>
      <c r="O93" s="404"/>
      <c r="P93" s="380"/>
      <c r="Q93" s="380"/>
      <c r="R93" s="380"/>
      <c r="S93" s="380"/>
      <c r="T93" s="380"/>
      <c r="U93" s="380"/>
      <c r="V93" s="380"/>
      <c r="W93" s="403"/>
      <c r="X93" s="380"/>
      <c r="Y93" s="380"/>
      <c r="Z93" s="380"/>
      <c r="AA93" s="380"/>
      <c r="AB93" s="380"/>
      <c r="AC93" s="404"/>
      <c r="AD93" s="380"/>
      <c r="AE93" s="380"/>
      <c r="AF93" s="380"/>
      <c r="AG93" s="380"/>
      <c r="AH93" s="380"/>
      <c r="AI93" s="380"/>
      <c r="AJ93" s="380"/>
      <c r="AK93" s="403"/>
      <c r="AL93" s="380"/>
      <c r="AM93" s="380"/>
      <c r="AN93" s="380"/>
      <c r="AO93" s="380"/>
      <c r="AP93" s="380"/>
      <c r="AQ93" s="404"/>
      <c r="AR93" s="380"/>
      <c r="AS93" s="380"/>
      <c r="AT93" s="380"/>
      <c r="AU93" s="380"/>
      <c r="AV93" s="380"/>
      <c r="AW93" s="380"/>
      <c r="AX93" s="380"/>
      <c r="AY93" s="403"/>
      <c r="AZ93" s="380"/>
      <c r="BA93" s="380"/>
      <c r="BB93" s="380"/>
      <c r="BC93" s="380"/>
      <c r="BD93" s="380"/>
      <c r="BE93" s="404"/>
      <c r="BF93" s="380"/>
      <c r="BG93" s="380"/>
      <c r="BH93" s="380"/>
      <c r="BI93" s="380"/>
      <c r="BJ93" s="380"/>
      <c r="BK93" s="380"/>
      <c r="BL93" s="380"/>
      <c r="BM93" s="403"/>
      <c r="BS93" s="83"/>
      <c r="CA93" s="405"/>
      <c r="CG93" s="83"/>
      <c r="CO93" s="405"/>
      <c r="CU93" s="83"/>
      <c r="DC93" s="405"/>
      <c r="DI93" s="83"/>
      <c r="DQ93" s="405"/>
      <c r="DW93" s="83"/>
      <c r="EE93" s="405"/>
      <c r="EK93" s="83"/>
      <c r="ES93" s="405"/>
      <c r="EY93" s="83"/>
      <c r="FG93" s="405"/>
      <c r="FM93" s="83"/>
      <c r="FU93" s="405"/>
      <c r="GA93" s="83"/>
      <c r="GI93" s="405"/>
      <c r="GO93" s="83"/>
      <c r="GW93" s="405"/>
      <c r="HC93" s="83"/>
      <c r="HK93" s="405"/>
      <c r="HQ93" s="83"/>
      <c r="HY93" s="405"/>
      <c r="IE93" s="83"/>
      <c r="IM93" s="405"/>
      <c r="IS93" s="83"/>
      <c r="JA93" s="405"/>
      <c r="JG93" s="83"/>
      <c r="JO93" s="405"/>
      <c r="JU93" s="83"/>
      <c r="KC93" s="405"/>
      <c r="KI93" s="83"/>
      <c r="KQ93" s="405"/>
      <c r="KW93" s="83"/>
      <c r="LE93" s="405"/>
      <c r="LK93" s="83"/>
      <c r="LS93" s="405"/>
      <c r="LY93" s="83"/>
      <c r="MG93" s="405"/>
      <c r="MM93" s="83"/>
      <c r="MU93" s="405"/>
      <c r="NA93" s="83"/>
    </row>
    <row r="94">
      <c r="A94" s="483"/>
      <c r="B94" s="380"/>
      <c r="C94" s="380"/>
      <c r="D94" s="380"/>
      <c r="E94" s="380"/>
      <c r="F94" s="380"/>
      <c r="G94" s="380"/>
      <c r="H94" s="380"/>
      <c r="I94" s="403"/>
      <c r="J94" s="380"/>
      <c r="K94" s="380"/>
      <c r="L94" s="380"/>
      <c r="M94" s="380"/>
      <c r="N94" s="380"/>
      <c r="O94" s="404"/>
      <c r="P94" s="380"/>
      <c r="Q94" s="380"/>
      <c r="R94" s="380"/>
      <c r="S94" s="380"/>
      <c r="T94" s="380"/>
      <c r="U94" s="380"/>
      <c r="V94" s="380"/>
      <c r="W94" s="403"/>
      <c r="X94" s="380"/>
      <c r="Y94" s="380"/>
      <c r="Z94" s="380"/>
      <c r="AA94" s="380"/>
      <c r="AB94" s="380"/>
      <c r="AC94" s="404"/>
      <c r="AD94" s="380"/>
      <c r="AE94" s="380"/>
      <c r="AF94" s="380"/>
      <c r="AG94" s="380"/>
      <c r="AH94" s="380"/>
      <c r="AI94" s="380"/>
      <c r="AJ94" s="380"/>
      <c r="AK94" s="403"/>
      <c r="AL94" s="380"/>
      <c r="AM94" s="380"/>
      <c r="AN94" s="380"/>
      <c r="AO94" s="380"/>
      <c r="AP94" s="380"/>
      <c r="AQ94" s="404"/>
      <c r="AR94" s="380"/>
      <c r="AS94" s="380"/>
      <c r="AT94" s="380"/>
      <c r="AU94" s="380"/>
      <c r="AV94" s="380"/>
      <c r="AW94" s="380"/>
      <c r="AX94" s="380"/>
      <c r="AY94" s="403"/>
      <c r="AZ94" s="380"/>
      <c r="BA94" s="380"/>
      <c r="BB94" s="380"/>
      <c r="BC94" s="380"/>
      <c r="BD94" s="380"/>
      <c r="BE94" s="404"/>
      <c r="BF94" s="380"/>
      <c r="BG94" s="380"/>
      <c r="BH94" s="380"/>
      <c r="BI94" s="380"/>
      <c r="BJ94" s="380"/>
      <c r="BK94" s="380"/>
      <c r="BL94" s="380"/>
      <c r="BM94" s="403"/>
      <c r="BS94" s="83"/>
      <c r="CA94" s="405"/>
      <c r="CG94" s="83"/>
      <c r="CO94" s="405"/>
      <c r="CU94" s="83"/>
      <c r="DC94" s="405"/>
      <c r="DI94" s="83"/>
      <c r="DQ94" s="405"/>
      <c r="DW94" s="83"/>
      <c r="EE94" s="405"/>
      <c r="EK94" s="83"/>
      <c r="ES94" s="405"/>
      <c r="EY94" s="83"/>
      <c r="FG94" s="405"/>
      <c r="FM94" s="83"/>
      <c r="FU94" s="405"/>
      <c r="GA94" s="83"/>
      <c r="GI94" s="405"/>
      <c r="GO94" s="83"/>
      <c r="GW94" s="405"/>
      <c r="HC94" s="83"/>
      <c r="HK94" s="405"/>
      <c r="HQ94" s="83"/>
      <c r="HY94" s="405"/>
      <c r="IE94" s="83"/>
      <c r="IM94" s="405"/>
      <c r="IS94" s="83"/>
      <c r="JA94" s="405"/>
      <c r="JG94" s="83"/>
      <c r="JO94" s="405"/>
      <c r="JU94" s="83"/>
      <c r="KC94" s="405"/>
      <c r="KI94" s="83"/>
      <c r="KQ94" s="405"/>
      <c r="KW94" s="83"/>
      <c r="LE94" s="405"/>
      <c r="LK94" s="83"/>
      <c r="LS94" s="405"/>
      <c r="LY94" s="83"/>
      <c r="MG94" s="405"/>
      <c r="MM94" s="83"/>
      <c r="MU94" s="405"/>
      <c r="NA94" s="83"/>
    </row>
    <row r="95">
      <c r="A95" s="483"/>
      <c r="B95" s="380"/>
      <c r="C95" s="380"/>
      <c r="D95" s="380"/>
      <c r="E95" s="380"/>
      <c r="F95" s="380"/>
      <c r="G95" s="380"/>
      <c r="H95" s="380"/>
      <c r="I95" s="403"/>
      <c r="J95" s="380"/>
      <c r="K95" s="380"/>
      <c r="L95" s="380"/>
      <c r="M95" s="380"/>
      <c r="N95" s="380"/>
      <c r="O95" s="404"/>
      <c r="P95" s="380"/>
      <c r="Q95" s="380"/>
      <c r="R95" s="380"/>
      <c r="S95" s="380"/>
      <c r="T95" s="380"/>
      <c r="U95" s="380"/>
      <c r="V95" s="380"/>
      <c r="W95" s="403"/>
      <c r="X95" s="380"/>
      <c r="Y95" s="380"/>
      <c r="Z95" s="380"/>
      <c r="AA95" s="380"/>
      <c r="AB95" s="380"/>
      <c r="AC95" s="404"/>
      <c r="AD95" s="380"/>
      <c r="AE95" s="380"/>
      <c r="AF95" s="380"/>
      <c r="AG95" s="380"/>
      <c r="AH95" s="380"/>
      <c r="AI95" s="380"/>
      <c r="AJ95" s="380"/>
      <c r="AK95" s="403"/>
      <c r="AL95" s="380"/>
      <c r="AM95" s="380"/>
      <c r="AN95" s="380"/>
      <c r="AO95" s="380"/>
      <c r="AP95" s="380"/>
      <c r="AQ95" s="404"/>
      <c r="AR95" s="380"/>
      <c r="AS95" s="380"/>
      <c r="AT95" s="380"/>
      <c r="AU95" s="380"/>
      <c r="AV95" s="380"/>
      <c r="AW95" s="380"/>
      <c r="AX95" s="380"/>
      <c r="AY95" s="403"/>
      <c r="AZ95" s="380"/>
      <c r="BA95" s="380"/>
      <c r="BB95" s="380"/>
      <c r="BC95" s="380"/>
      <c r="BD95" s="380"/>
      <c r="BE95" s="404"/>
      <c r="BF95" s="380"/>
      <c r="BG95" s="380"/>
      <c r="BH95" s="380"/>
      <c r="BI95" s="380"/>
      <c r="BJ95" s="380"/>
      <c r="BK95" s="380"/>
      <c r="BL95" s="380"/>
      <c r="BM95" s="403"/>
      <c r="BS95" s="83"/>
      <c r="CA95" s="405"/>
      <c r="CG95" s="83"/>
      <c r="CO95" s="405"/>
      <c r="CU95" s="83"/>
      <c r="DC95" s="405"/>
      <c r="DI95" s="83"/>
      <c r="DQ95" s="405"/>
      <c r="DW95" s="83"/>
      <c r="EE95" s="405"/>
      <c r="EK95" s="83"/>
      <c r="ES95" s="405"/>
      <c r="EY95" s="83"/>
      <c r="FG95" s="405"/>
      <c r="FM95" s="83"/>
      <c r="FU95" s="405"/>
      <c r="GA95" s="83"/>
      <c r="GI95" s="405"/>
      <c r="GO95" s="83"/>
      <c r="GW95" s="405"/>
      <c r="HC95" s="83"/>
      <c r="HK95" s="405"/>
      <c r="HQ95" s="83"/>
      <c r="HY95" s="405"/>
      <c r="IE95" s="83"/>
      <c r="IM95" s="405"/>
      <c r="IS95" s="83"/>
      <c r="JA95" s="405"/>
      <c r="JG95" s="83"/>
      <c r="JO95" s="405"/>
      <c r="JU95" s="83"/>
      <c r="KC95" s="405"/>
      <c r="KI95" s="83"/>
      <c r="KQ95" s="405"/>
      <c r="KW95" s="83"/>
      <c r="LE95" s="405"/>
      <c r="LK95" s="83"/>
      <c r="LS95" s="405"/>
      <c r="LY95" s="83"/>
      <c r="MG95" s="405"/>
      <c r="MM95" s="83"/>
      <c r="MU95" s="405"/>
      <c r="NA95" s="83"/>
    </row>
    <row r="96">
      <c r="A96" s="483"/>
      <c r="B96" s="380"/>
      <c r="C96" s="380"/>
      <c r="D96" s="380"/>
      <c r="E96" s="380"/>
      <c r="F96" s="380"/>
      <c r="G96" s="380"/>
      <c r="H96" s="380"/>
      <c r="I96" s="403"/>
      <c r="J96" s="380"/>
      <c r="K96" s="380"/>
      <c r="L96" s="380"/>
      <c r="M96" s="380"/>
      <c r="N96" s="380"/>
      <c r="O96" s="404"/>
      <c r="P96" s="380"/>
      <c r="Q96" s="380"/>
      <c r="R96" s="380"/>
      <c r="S96" s="380"/>
      <c r="T96" s="380"/>
      <c r="U96" s="380"/>
      <c r="V96" s="380"/>
      <c r="W96" s="403"/>
      <c r="X96" s="380"/>
      <c r="Y96" s="380"/>
      <c r="Z96" s="380"/>
      <c r="AA96" s="380"/>
      <c r="AB96" s="380"/>
      <c r="AC96" s="404"/>
      <c r="AD96" s="380"/>
      <c r="AE96" s="380"/>
      <c r="AF96" s="380"/>
      <c r="AG96" s="380"/>
      <c r="AH96" s="380"/>
      <c r="AI96" s="380"/>
      <c r="AJ96" s="380"/>
      <c r="AK96" s="403"/>
      <c r="AL96" s="380"/>
      <c r="AM96" s="380"/>
      <c r="AN96" s="380"/>
      <c r="AO96" s="380"/>
      <c r="AP96" s="380"/>
      <c r="AQ96" s="404"/>
      <c r="AR96" s="380"/>
      <c r="AS96" s="380"/>
      <c r="AT96" s="380"/>
      <c r="AU96" s="380"/>
      <c r="AV96" s="380"/>
      <c r="AW96" s="380"/>
      <c r="AX96" s="380"/>
      <c r="AY96" s="403"/>
      <c r="AZ96" s="380"/>
      <c r="BA96" s="380"/>
      <c r="BB96" s="380"/>
      <c r="BC96" s="380"/>
      <c r="BD96" s="380"/>
      <c r="BE96" s="404"/>
      <c r="BF96" s="380"/>
      <c r="BG96" s="380"/>
      <c r="BH96" s="380"/>
      <c r="BI96" s="380"/>
      <c r="BJ96" s="380"/>
      <c r="BK96" s="380"/>
      <c r="BL96" s="380"/>
      <c r="BM96" s="403"/>
      <c r="BS96" s="83"/>
      <c r="CA96" s="405"/>
      <c r="CG96" s="83"/>
      <c r="CO96" s="405"/>
      <c r="CU96" s="83"/>
      <c r="DC96" s="405"/>
      <c r="DI96" s="83"/>
      <c r="DQ96" s="405"/>
      <c r="DW96" s="83"/>
      <c r="EE96" s="405"/>
      <c r="EK96" s="83"/>
      <c r="ES96" s="405"/>
      <c r="EY96" s="83"/>
      <c r="FG96" s="405"/>
      <c r="FM96" s="83"/>
      <c r="FU96" s="405"/>
      <c r="GA96" s="83"/>
      <c r="GI96" s="405"/>
      <c r="GO96" s="83"/>
      <c r="GW96" s="405"/>
      <c r="HC96" s="83"/>
      <c r="HK96" s="405"/>
      <c r="HQ96" s="83"/>
      <c r="HY96" s="405"/>
      <c r="IE96" s="83"/>
      <c r="IM96" s="405"/>
      <c r="IS96" s="83"/>
      <c r="JA96" s="405"/>
      <c r="JG96" s="83"/>
      <c r="JO96" s="405"/>
      <c r="JU96" s="83"/>
      <c r="KC96" s="405"/>
      <c r="KI96" s="83"/>
      <c r="KQ96" s="405"/>
      <c r="KW96" s="83"/>
      <c r="LE96" s="405"/>
      <c r="LK96" s="83"/>
      <c r="LS96" s="405"/>
      <c r="LY96" s="83"/>
      <c r="MG96" s="405"/>
      <c r="MM96" s="83"/>
      <c r="MU96" s="405"/>
      <c r="NA96" s="83"/>
    </row>
    <row r="97">
      <c r="A97" s="483"/>
      <c r="B97" s="380"/>
      <c r="C97" s="380"/>
      <c r="D97" s="380"/>
      <c r="E97" s="380"/>
      <c r="F97" s="380"/>
      <c r="G97" s="380"/>
      <c r="H97" s="380"/>
      <c r="I97" s="403"/>
      <c r="J97" s="380"/>
      <c r="K97" s="380"/>
      <c r="L97" s="380"/>
      <c r="M97" s="380"/>
      <c r="N97" s="380"/>
      <c r="O97" s="404"/>
      <c r="P97" s="380"/>
      <c r="Q97" s="380"/>
      <c r="R97" s="380"/>
      <c r="S97" s="380"/>
      <c r="T97" s="380"/>
      <c r="U97" s="380"/>
      <c r="V97" s="380"/>
      <c r="W97" s="403"/>
      <c r="X97" s="380"/>
      <c r="Y97" s="380"/>
      <c r="Z97" s="380"/>
      <c r="AA97" s="380"/>
      <c r="AB97" s="380"/>
      <c r="AC97" s="404"/>
      <c r="AD97" s="380"/>
      <c r="AE97" s="380"/>
      <c r="AF97" s="380"/>
      <c r="AG97" s="380"/>
      <c r="AH97" s="380"/>
      <c r="AI97" s="380"/>
      <c r="AJ97" s="380"/>
      <c r="AK97" s="403"/>
      <c r="AL97" s="380"/>
      <c r="AM97" s="380"/>
      <c r="AN97" s="380"/>
      <c r="AO97" s="380"/>
      <c r="AP97" s="380"/>
      <c r="AQ97" s="404"/>
      <c r="AR97" s="380"/>
      <c r="AS97" s="380"/>
      <c r="AT97" s="380"/>
      <c r="AU97" s="380"/>
      <c r="AV97" s="380"/>
      <c r="AW97" s="380"/>
      <c r="AX97" s="380"/>
      <c r="AY97" s="403"/>
      <c r="AZ97" s="380"/>
      <c r="BA97" s="380"/>
      <c r="BB97" s="380"/>
      <c r="BC97" s="380"/>
      <c r="BD97" s="380"/>
      <c r="BE97" s="404"/>
      <c r="BF97" s="380"/>
      <c r="BG97" s="380"/>
      <c r="BH97" s="380"/>
      <c r="BI97" s="380"/>
      <c r="BJ97" s="380"/>
      <c r="BK97" s="380"/>
      <c r="BL97" s="380"/>
      <c r="BM97" s="403"/>
      <c r="BS97" s="83"/>
      <c r="CA97" s="405"/>
      <c r="CG97" s="83"/>
      <c r="CO97" s="405"/>
      <c r="CU97" s="83"/>
      <c r="DC97" s="405"/>
      <c r="DI97" s="83"/>
      <c r="DQ97" s="405"/>
      <c r="DW97" s="83"/>
      <c r="EE97" s="405"/>
      <c r="EK97" s="83"/>
      <c r="ES97" s="405"/>
      <c r="EY97" s="83"/>
      <c r="FG97" s="405"/>
      <c r="FM97" s="83"/>
      <c r="FU97" s="405"/>
      <c r="GA97" s="83"/>
      <c r="GI97" s="405"/>
      <c r="GO97" s="83"/>
      <c r="GW97" s="405"/>
      <c r="HC97" s="83"/>
      <c r="HK97" s="405"/>
      <c r="HQ97" s="83"/>
      <c r="HY97" s="405"/>
      <c r="IE97" s="83"/>
      <c r="IM97" s="405"/>
      <c r="IS97" s="83"/>
      <c r="JA97" s="405"/>
      <c r="JG97" s="83"/>
      <c r="JO97" s="405"/>
      <c r="JU97" s="83"/>
      <c r="KC97" s="405"/>
      <c r="KI97" s="83"/>
      <c r="KQ97" s="405"/>
      <c r="KW97" s="83"/>
      <c r="LE97" s="405"/>
      <c r="LK97" s="83"/>
      <c r="LS97" s="405"/>
      <c r="LY97" s="83"/>
      <c r="MG97" s="405"/>
      <c r="MM97" s="83"/>
      <c r="MU97" s="405"/>
      <c r="NA97" s="83"/>
    </row>
    <row r="98">
      <c r="A98" s="483"/>
      <c r="B98" s="380"/>
      <c r="C98" s="380"/>
      <c r="D98" s="380"/>
      <c r="E98" s="380"/>
      <c r="F98" s="380"/>
      <c r="G98" s="380"/>
      <c r="H98" s="380"/>
      <c r="I98" s="403"/>
      <c r="J98" s="380"/>
      <c r="K98" s="380"/>
      <c r="L98" s="380"/>
      <c r="M98" s="380"/>
      <c r="N98" s="380"/>
      <c r="O98" s="404"/>
      <c r="P98" s="380"/>
      <c r="Q98" s="380"/>
      <c r="R98" s="380"/>
      <c r="S98" s="380"/>
      <c r="T98" s="380"/>
      <c r="U98" s="380"/>
      <c r="V98" s="380"/>
      <c r="W98" s="403"/>
      <c r="X98" s="380"/>
      <c r="Y98" s="380"/>
      <c r="Z98" s="380"/>
      <c r="AA98" s="380"/>
      <c r="AB98" s="380"/>
      <c r="AC98" s="404"/>
      <c r="AD98" s="380"/>
      <c r="AE98" s="380"/>
      <c r="AF98" s="380"/>
      <c r="AG98" s="380"/>
      <c r="AH98" s="380"/>
      <c r="AI98" s="380"/>
      <c r="AJ98" s="380"/>
      <c r="AK98" s="403"/>
      <c r="AL98" s="380"/>
      <c r="AM98" s="380"/>
      <c r="AN98" s="380"/>
      <c r="AO98" s="380"/>
      <c r="AP98" s="380"/>
      <c r="AQ98" s="404"/>
      <c r="AR98" s="380"/>
      <c r="AS98" s="380"/>
      <c r="AT98" s="380"/>
      <c r="AU98" s="380"/>
      <c r="AV98" s="380"/>
      <c r="AW98" s="380"/>
      <c r="AX98" s="380"/>
      <c r="AY98" s="403"/>
      <c r="AZ98" s="380"/>
      <c r="BA98" s="380"/>
      <c r="BB98" s="380"/>
      <c r="BC98" s="380"/>
      <c r="BD98" s="380"/>
      <c r="BE98" s="404"/>
      <c r="BF98" s="380"/>
      <c r="BG98" s="380"/>
      <c r="BH98" s="380"/>
      <c r="BI98" s="380"/>
      <c r="BJ98" s="380"/>
      <c r="BK98" s="380"/>
      <c r="BL98" s="380"/>
      <c r="BM98" s="403"/>
      <c r="BS98" s="83"/>
      <c r="CA98" s="405"/>
      <c r="CG98" s="83"/>
      <c r="CO98" s="405"/>
      <c r="CU98" s="83"/>
      <c r="DC98" s="405"/>
      <c r="DI98" s="83"/>
      <c r="DQ98" s="405"/>
      <c r="DW98" s="83"/>
      <c r="EE98" s="405"/>
      <c r="EK98" s="83"/>
      <c r="ES98" s="405"/>
      <c r="EY98" s="83"/>
      <c r="FG98" s="405"/>
      <c r="FM98" s="83"/>
      <c r="FU98" s="405"/>
      <c r="GA98" s="83"/>
      <c r="GI98" s="405"/>
      <c r="GO98" s="83"/>
      <c r="GW98" s="405"/>
      <c r="HC98" s="83"/>
      <c r="HK98" s="405"/>
      <c r="HQ98" s="83"/>
      <c r="HY98" s="405"/>
      <c r="IE98" s="83"/>
      <c r="IM98" s="405"/>
      <c r="IS98" s="83"/>
      <c r="JA98" s="405"/>
      <c r="JG98" s="83"/>
      <c r="JO98" s="405"/>
      <c r="JU98" s="83"/>
      <c r="KC98" s="405"/>
      <c r="KI98" s="83"/>
      <c r="KQ98" s="405"/>
      <c r="KW98" s="83"/>
      <c r="LE98" s="405"/>
      <c r="LK98" s="83"/>
      <c r="LS98" s="405"/>
      <c r="LY98" s="83"/>
      <c r="MG98" s="405"/>
      <c r="MM98" s="83"/>
      <c r="MU98" s="405"/>
      <c r="NA98" s="83"/>
    </row>
    <row r="99">
      <c r="A99" s="483"/>
      <c r="B99" s="380"/>
      <c r="C99" s="380"/>
      <c r="D99" s="380"/>
      <c r="E99" s="380"/>
      <c r="F99" s="380"/>
      <c r="G99" s="380"/>
      <c r="H99" s="380"/>
      <c r="I99" s="403"/>
      <c r="J99" s="380"/>
      <c r="K99" s="380"/>
      <c r="L99" s="380"/>
      <c r="M99" s="380"/>
      <c r="N99" s="380"/>
      <c r="O99" s="404"/>
      <c r="P99" s="380"/>
      <c r="Q99" s="380"/>
      <c r="R99" s="380"/>
      <c r="S99" s="380"/>
      <c r="T99" s="380"/>
      <c r="U99" s="380"/>
      <c r="V99" s="380"/>
      <c r="W99" s="403"/>
      <c r="X99" s="380"/>
      <c r="Y99" s="380"/>
      <c r="Z99" s="380"/>
      <c r="AA99" s="380"/>
      <c r="AB99" s="380"/>
      <c r="AC99" s="404"/>
      <c r="AD99" s="380"/>
      <c r="AE99" s="380"/>
      <c r="AF99" s="380"/>
      <c r="AG99" s="380"/>
      <c r="AH99" s="380"/>
      <c r="AI99" s="380"/>
      <c r="AJ99" s="380"/>
      <c r="AK99" s="403"/>
      <c r="AL99" s="380"/>
      <c r="AM99" s="380"/>
      <c r="AN99" s="380"/>
      <c r="AO99" s="380"/>
      <c r="AP99" s="380"/>
      <c r="AQ99" s="404"/>
      <c r="AR99" s="380"/>
      <c r="AS99" s="380"/>
      <c r="AT99" s="380"/>
      <c r="AU99" s="380"/>
      <c r="AV99" s="380"/>
      <c r="AW99" s="380"/>
      <c r="AX99" s="380"/>
      <c r="AY99" s="403"/>
      <c r="AZ99" s="380"/>
      <c r="BA99" s="380"/>
      <c r="BB99" s="380"/>
      <c r="BC99" s="380"/>
      <c r="BD99" s="380"/>
      <c r="BE99" s="404"/>
      <c r="BF99" s="380"/>
      <c r="BG99" s="380"/>
      <c r="BH99" s="380"/>
      <c r="BI99" s="380"/>
      <c r="BJ99" s="380"/>
      <c r="BK99" s="380"/>
      <c r="BL99" s="380"/>
      <c r="BM99" s="403"/>
      <c r="BS99" s="83"/>
      <c r="CA99" s="405"/>
      <c r="CG99" s="83"/>
      <c r="CO99" s="405"/>
      <c r="CU99" s="83"/>
      <c r="DC99" s="405"/>
      <c r="DI99" s="83"/>
      <c r="DQ99" s="405"/>
      <c r="DW99" s="83"/>
      <c r="EE99" s="405"/>
      <c r="EK99" s="83"/>
      <c r="ES99" s="405"/>
      <c r="EY99" s="83"/>
      <c r="FG99" s="405"/>
      <c r="FM99" s="83"/>
      <c r="FU99" s="405"/>
      <c r="GA99" s="83"/>
      <c r="GI99" s="405"/>
      <c r="GO99" s="83"/>
      <c r="GW99" s="405"/>
      <c r="HC99" s="83"/>
      <c r="HK99" s="405"/>
      <c r="HQ99" s="83"/>
      <c r="HY99" s="405"/>
      <c r="IE99" s="83"/>
      <c r="IM99" s="405"/>
      <c r="IS99" s="83"/>
      <c r="JA99" s="405"/>
      <c r="JG99" s="83"/>
      <c r="JO99" s="405"/>
      <c r="JU99" s="83"/>
      <c r="KC99" s="405"/>
      <c r="KI99" s="83"/>
      <c r="KQ99" s="405"/>
      <c r="KW99" s="83"/>
      <c r="LE99" s="405"/>
      <c r="LK99" s="83"/>
      <c r="LS99" s="405"/>
      <c r="LY99" s="83"/>
      <c r="MG99" s="405"/>
      <c r="MM99" s="83"/>
      <c r="MU99" s="405"/>
      <c r="NA99" s="83"/>
    </row>
    <row r="100">
      <c r="A100" s="483"/>
      <c r="B100" s="380"/>
      <c r="C100" s="380"/>
      <c r="D100" s="380"/>
      <c r="E100" s="380"/>
      <c r="F100" s="380"/>
      <c r="G100" s="380"/>
      <c r="H100" s="380"/>
      <c r="I100" s="403"/>
      <c r="J100" s="380"/>
      <c r="K100" s="380"/>
      <c r="L100" s="380"/>
      <c r="M100" s="380"/>
      <c r="N100" s="380"/>
      <c r="O100" s="404"/>
      <c r="P100" s="380"/>
      <c r="Q100" s="380"/>
      <c r="R100" s="380"/>
      <c r="S100" s="380"/>
      <c r="T100" s="380"/>
      <c r="U100" s="380"/>
      <c r="V100" s="380"/>
      <c r="W100" s="403"/>
      <c r="X100" s="380"/>
      <c r="Y100" s="380"/>
      <c r="Z100" s="380"/>
      <c r="AA100" s="380"/>
      <c r="AB100" s="380"/>
      <c r="AC100" s="404"/>
      <c r="AD100" s="380"/>
      <c r="AE100" s="380"/>
      <c r="AF100" s="380"/>
      <c r="AG100" s="380"/>
      <c r="AH100" s="380"/>
      <c r="AI100" s="380"/>
      <c r="AJ100" s="380"/>
      <c r="AK100" s="403"/>
      <c r="AL100" s="380"/>
      <c r="AM100" s="380"/>
      <c r="AN100" s="380"/>
      <c r="AO100" s="380"/>
      <c r="AP100" s="380"/>
      <c r="AQ100" s="404"/>
      <c r="AR100" s="380"/>
      <c r="AS100" s="380"/>
      <c r="AT100" s="380"/>
      <c r="AU100" s="380"/>
      <c r="AV100" s="380"/>
      <c r="AW100" s="380"/>
      <c r="AX100" s="380"/>
      <c r="AY100" s="403"/>
      <c r="AZ100" s="380"/>
      <c r="BA100" s="380"/>
      <c r="BB100" s="380"/>
      <c r="BC100" s="380"/>
      <c r="BD100" s="380"/>
      <c r="BE100" s="404"/>
      <c r="BF100" s="380"/>
      <c r="BG100" s="380"/>
      <c r="BH100" s="380"/>
      <c r="BI100" s="380"/>
      <c r="BJ100" s="380"/>
      <c r="BK100" s="380"/>
      <c r="BL100" s="380"/>
      <c r="BM100" s="403"/>
      <c r="BS100" s="83"/>
      <c r="CA100" s="405"/>
      <c r="CG100" s="83"/>
      <c r="CO100" s="405"/>
      <c r="CU100" s="83"/>
      <c r="DC100" s="405"/>
      <c r="DI100" s="83"/>
      <c r="DQ100" s="405"/>
      <c r="DW100" s="83"/>
      <c r="EE100" s="405"/>
      <c r="EK100" s="83"/>
      <c r="ES100" s="405"/>
      <c r="EY100" s="83"/>
      <c r="FG100" s="405"/>
      <c r="FM100" s="83"/>
      <c r="FU100" s="405"/>
      <c r="GA100" s="83"/>
      <c r="GI100" s="405"/>
      <c r="GO100" s="83"/>
      <c r="GW100" s="405"/>
      <c r="HC100" s="83"/>
      <c r="HK100" s="405"/>
      <c r="HQ100" s="83"/>
      <c r="HY100" s="405"/>
      <c r="IE100" s="83"/>
      <c r="IM100" s="405"/>
      <c r="IS100" s="83"/>
      <c r="JA100" s="405"/>
      <c r="JG100" s="83"/>
      <c r="JO100" s="405"/>
      <c r="JU100" s="83"/>
      <c r="KC100" s="405"/>
      <c r="KI100" s="83"/>
      <c r="KQ100" s="405"/>
      <c r="KW100" s="83"/>
      <c r="LE100" s="405"/>
      <c r="LK100" s="83"/>
      <c r="LS100" s="405"/>
      <c r="LY100" s="83"/>
      <c r="MG100" s="405"/>
      <c r="MM100" s="83"/>
      <c r="MU100" s="405"/>
      <c r="NA100" s="83"/>
    </row>
    <row r="101">
      <c r="A101" s="483"/>
      <c r="B101" s="380"/>
      <c r="C101" s="380"/>
      <c r="D101" s="380"/>
      <c r="E101" s="380"/>
      <c r="F101" s="380"/>
      <c r="G101" s="380"/>
      <c r="H101" s="380"/>
      <c r="I101" s="403"/>
      <c r="J101" s="380"/>
      <c r="K101" s="380"/>
      <c r="L101" s="380"/>
      <c r="M101" s="380"/>
      <c r="N101" s="380"/>
      <c r="O101" s="404"/>
      <c r="P101" s="380"/>
      <c r="Q101" s="380"/>
      <c r="R101" s="380"/>
      <c r="S101" s="380"/>
      <c r="T101" s="380"/>
      <c r="U101" s="380"/>
      <c r="V101" s="380"/>
      <c r="W101" s="403"/>
      <c r="X101" s="380"/>
      <c r="Y101" s="380"/>
      <c r="Z101" s="380"/>
      <c r="AA101" s="380"/>
      <c r="AB101" s="380"/>
      <c r="AC101" s="404"/>
      <c r="AD101" s="380"/>
      <c r="AE101" s="380"/>
      <c r="AF101" s="380"/>
      <c r="AG101" s="380"/>
      <c r="AH101" s="380"/>
      <c r="AI101" s="380"/>
      <c r="AJ101" s="380"/>
      <c r="AK101" s="403"/>
      <c r="AL101" s="380"/>
      <c r="AM101" s="380"/>
      <c r="AN101" s="380"/>
      <c r="AO101" s="380"/>
      <c r="AP101" s="380"/>
      <c r="AQ101" s="404"/>
      <c r="AR101" s="380"/>
      <c r="AS101" s="380"/>
      <c r="AT101" s="380"/>
      <c r="AU101" s="380"/>
      <c r="AV101" s="380"/>
      <c r="AW101" s="380"/>
      <c r="AX101" s="380"/>
      <c r="AY101" s="403"/>
      <c r="AZ101" s="380"/>
      <c r="BA101" s="380"/>
      <c r="BB101" s="380"/>
      <c r="BC101" s="380"/>
      <c r="BD101" s="380"/>
      <c r="BE101" s="404"/>
      <c r="BF101" s="380"/>
      <c r="BG101" s="380"/>
      <c r="BH101" s="380"/>
      <c r="BI101" s="380"/>
      <c r="BJ101" s="380"/>
      <c r="BK101" s="380"/>
      <c r="BL101" s="380"/>
      <c r="BM101" s="403"/>
      <c r="BS101" s="83"/>
      <c r="CA101" s="405"/>
      <c r="CG101" s="83"/>
      <c r="CO101" s="405"/>
      <c r="CU101" s="83"/>
      <c r="DC101" s="405"/>
      <c r="DI101" s="83"/>
      <c r="DQ101" s="405"/>
      <c r="DW101" s="83"/>
      <c r="EE101" s="405"/>
      <c r="EK101" s="83"/>
      <c r="ES101" s="405"/>
      <c r="EY101" s="83"/>
      <c r="FG101" s="405"/>
      <c r="FM101" s="83"/>
      <c r="FU101" s="405"/>
      <c r="GA101" s="83"/>
      <c r="GI101" s="405"/>
      <c r="GO101" s="83"/>
      <c r="GW101" s="405"/>
      <c r="HC101" s="83"/>
      <c r="HK101" s="405"/>
      <c r="HQ101" s="83"/>
      <c r="HY101" s="405"/>
      <c r="IE101" s="83"/>
      <c r="IM101" s="405"/>
      <c r="IS101" s="83"/>
      <c r="JA101" s="405"/>
      <c r="JG101" s="83"/>
      <c r="JO101" s="405"/>
      <c r="JU101" s="83"/>
      <c r="KC101" s="405"/>
      <c r="KI101" s="83"/>
      <c r="KQ101" s="405"/>
      <c r="KW101" s="83"/>
      <c r="LE101" s="405"/>
      <c r="LK101" s="83"/>
      <c r="LS101" s="405"/>
      <c r="LY101" s="83"/>
      <c r="MG101" s="405"/>
      <c r="MM101" s="83"/>
      <c r="MU101" s="405"/>
      <c r="NA101" s="83"/>
    </row>
    <row r="102">
      <c r="A102" s="483"/>
      <c r="B102" s="380"/>
      <c r="C102" s="380"/>
      <c r="D102" s="380"/>
      <c r="E102" s="380"/>
      <c r="F102" s="380"/>
      <c r="G102" s="380"/>
      <c r="H102" s="380"/>
      <c r="I102" s="403"/>
      <c r="J102" s="380"/>
      <c r="K102" s="380"/>
      <c r="L102" s="380"/>
      <c r="M102" s="380"/>
      <c r="N102" s="380"/>
      <c r="O102" s="404"/>
      <c r="P102" s="380"/>
      <c r="Q102" s="380"/>
      <c r="R102" s="380"/>
      <c r="S102" s="380"/>
      <c r="T102" s="380"/>
      <c r="U102" s="380"/>
      <c r="V102" s="380"/>
      <c r="W102" s="403"/>
      <c r="X102" s="380"/>
      <c r="Y102" s="380"/>
      <c r="Z102" s="380"/>
      <c r="AA102" s="380"/>
      <c r="AB102" s="380"/>
      <c r="AC102" s="404"/>
      <c r="AD102" s="380"/>
      <c r="AE102" s="380"/>
      <c r="AF102" s="380"/>
      <c r="AG102" s="380"/>
      <c r="AH102" s="380"/>
      <c r="AI102" s="380"/>
      <c r="AJ102" s="380"/>
      <c r="AK102" s="403"/>
      <c r="AL102" s="380"/>
      <c r="AM102" s="380"/>
      <c r="AN102" s="380"/>
      <c r="AO102" s="380"/>
      <c r="AP102" s="380"/>
      <c r="AQ102" s="404"/>
      <c r="AR102" s="380"/>
      <c r="AS102" s="380"/>
      <c r="AT102" s="380"/>
      <c r="AU102" s="380"/>
      <c r="AV102" s="380"/>
      <c r="AW102" s="380"/>
      <c r="AX102" s="380"/>
      <c r="AY102" s="403"/>
      <c r="AZ102" s="380"/>
      <c r="BA102" s="380"/>
      <c r="BB102" s="380"/>
      <c r="BC102" s="380"/>
      <c r="BD102" s="380"/>
      <c r="BE102" s="404"/>
      <c r="BF102" s="380"/>
      <c r="BG102" s="380"/>
      <c r="BH102" s="380"/>
      <c r="BI102" s="380"/>
      <c r="BJ102" s="380"/>
      <c r="BK102" s="380"/>
      <c r="BL102" s="380"/>
      <c r="BM102" s="403"/>
      <c r="BS102" s="83"/>
      <c r="CA102" s="405"/>
      <c r="CG102" s="83"/>
      <c r="CO102" s="405"/>
      <c r="CU102" s="83"/>
      <c r="DC102" s="405"/>
      <c r="DI102" s="83"/>
      <c r="DQ102" s="405"/>
      <c r="DW102" s="83"/>
      <c r="EE102" s="405"/>
      <c r="EK102" s="83"/>
      <c r="ES102" s="405"/>
      <c r="EY102" s="83"/>
      <c r="FG102" s="405"/>
      <c r="FM102" s="83"/>
      <c r="FU102" s="405"/>
      <c r="GA102" s="83"/>
      <c r="GI102" s="405"/>
      <c r="GO102" s="83"/>
      <c r="GW102" s="405"/>
      <c r="HC102" s="83"/>
      <c r="HK102" s="405"/>
      <c r="HQ102" s="83"/>
      <c r="HY102" s="405"/>
      <c r="IE102" s="83"/>
      <c r="IM102" s="405"/>
      <c r="IS102" s="83"/>
      <c r="JA102" s="405"/>
      <c r="JG102" s="83"/>
      <c r="JO102" s="405"/>
      <c r="JU102" s="83"/>
      <c r="KC102" s="405"/>
      <c r="KI102" s="83"/>
      <c r="KQ102" s="405"/>
      <c r="KW102" s="83"/>
      <c r="LE102" s="405"/>
      <c r="LK102" s="83"/>
      <c r="LS102" s="405"/>
      <c r="LY102" s="83"/>
      <c r="MG102" s="405"/>
      <c r="MM102" s="83"/>
      <c r="MU102" s="405"/>
      <c r="NA102" s="83"/>
    </row>
    <row r="103">
      <c r="A103" s="483"/>
      <c r="B103" s="380"/>
      <c r="C103" s="380"/>
      <c r="D103" s="380"/>
      <c r="E103" s="380"/>
      <c r="F103" s="380"/>
      <c r="G103" s="380"/>
      <c r="H103" s="380"/>
      <c r="I103" s="403"/>
      <c r="J103" s="380"/>
      <c r="K103" s="380"/>
      <c r="L103" s="380"/>
      <c r="M103" s="380"/>
      <c r="N103" s="380"/>
      <c r="O103" s="404"/>
      <c r="P103" s="380"/>
      <c r="Q103" s="380"/>
      <c r="R103" s="380"/>
      <c r="S103" s="380"/>
      <c r="T103" s="380"/>
      <c r="U103" s="380"/>
      <c r="V103" s="380"/>
      <c r="W103" s="403"/>
      <c r="X103" s="380"/>
      <c r="Y103" s="380"/>
      <c r="Z103" s="380"/>
      <c r="AA103" s="380"/>
      <c r="AB103" s="380"/>
      <c r="AC103" s="404"/>
      <c r="AD103" s="380"/>
      <c r="AE103" s="380"/>
      <c r="AF103" s="380"/>
      <c r="AG103" s="380"/>
      <c r="AH103" s="380"/>
      <c r="AI103" s="380"/>
      <c r="AJ103" s="380"/>
      <c r="AK103" s="403"/>
      <c r="AL103" s="380"/>
      <c r="AM103" s="380"/>
      <c r="AN103" s="380"/>
      <c r="AO103" s="380"/>
      <c r="AP103" s="380"/>
      <c r="AQ103" s="404"/>
      <c r="AR103" s="380"/>
      <c r="AS103" s="380"/>
      <c r="AT103" s="380"/>
      <c r="AU103" s="380"/>
      <c r="AV103" s="380"/>
      <c r="AW103" s="380"/>
      <c r="AX103" s="380"/>
      <c r="AY103" s="403"/>
      <c r="AZ103" s="380"/>
      <c r="BA103" s="380"/>
      <c r="BB103" s="380"/>
      <c r="BC103" s="380"/>
      <c r="BD103" s="380"/>
      <c r="BE103" s="404"/>
      <c r="BF103" s="380"/>
      <c r="BG103" s="380"/>
      <c r="BH103" s="380"/>
      <c r="BI103" s="380"/>
      <c r="BJ103" s="380"/>
      <c r="BK103" s="380"/>
      <c r="BL103" s="380"/>
      <c r="BM103" s="403"/>
      <c r="BS103" s="83"/>
      <c r="CA103" s="405"/>
      <c r="CG103" s="83"/>
      <c r="CO103" s="405"/>
      <c r="CU103" s="83"/>
      <c r="DC103" s="405"/>
      <c r="DI103" s="83"/>
      <c r="DQ103" s="405"/>
      <c r="DW103" s="83"/>
      <c r="EE103" s="405"/>
      <c r="EK103" s="83"/>
      <c r="ES103" s="405"/>
      <c r="EY103" s="83"/>
      <c r="FG103" s="405"/>
      <c r="FM103" s="83"/>
      <c r="FU103" s="405"/>
      <c r="GA103" s="83"/>
      <c r="GI103" s="405"/>
      <c r="GO103" s="83"/>
      <c r="GW103" s="405"/>
      <c r="HC103" s="83"/>
      <c r="HK103" s="405"/>
      <c r="HQ103" s="83"/>
      <c r="HY103" s="405"/>
      <c r="IE103" s="83"/>
      <c r="IM103" s="405"/>
      <c r="IS103" s="83"/>
      <c r="JA103" s="405"/>
      <c r="JG103" s="83"/>
      <c r="JO103" s="405"/>
      <c r="JU103" s="83"/>
      <c r="KC103" s="405"/>
      <c r="KI103" s="83"/>
      <c r="KQ103" s="405"/>
      <c r="KW103" s="83"/>
      <c r="LE103" s="405"/>
      <c r="LK103" s="83"/>
      <c r="LS103" s="405"/>
      <c r="LY103" s="83"/>
      <c r="MG103" s="405"/>
      <c r="MM103" s="83"/>
      <c r="MU103" s="405"/>
      <c r="NA103" s="83"/>
    </row>
    <row r="104">
      <c r="A104" s="483"/>
      <c r="B104" s="380"/>
      <c r="C104" s="380"/>
      <c r="D104" s="380"/>
      <c r="E104" s="380"/>
      <c r="F104" s="380"/>
      <c r="G104" s="380"/>
      <c r="H104" s="380"/>
      <c r="I104" s="403"/>
      <c r="J104" s="380"/>
      <c r="K104" s="380"/>
      <c r="L104" s="380"/>
      <c r="M104" s="380"/>
      <c r="N104" s="380"/>
      <c r="O104" s="404"/>
      <c r="P104" s="380"/>
      <c r="Q104" s="380"/>
      <c r="R104" s="380"/>
      <c r="S104" s="380"/>
      <c r="T104" s="380"/>
      <c r="U104" s="380"/>
      <c r="V104" s="380"/>
      <c r="W104" s="403"/>
      <c r="X104" s="380"/>
      <c r="Y104" s="380"/>
      <c r="Z104" s="380"/>
      <c r="AA104" s="380"/>
      <c r="AB104" s="380"/>
      <c r="AC104" s="404"/>
      <c r="AD104" s="380"/>
      <c r="AE104" s="380"/>
      <c r="AF104" s="380"/>
      <c r="AG104" s="380"/>
      <c r="AH104" s="380"/>
      <c r="AI104" s="380"/>
      <c r="AJ104" s="380"/>
      <c r="AK104" s="403"/>
      <c r="AL104" s="380"/>
      <c r="AM104" s="380"/>
      <c r="AN104" s="380"/>
      <c r="AO104" s="380"/>
      <c r="AP104" s="380"/>
      <c r="AQ104" s="404"/>
      <c r="AR104" s="380"/>
      <c r="AS104" s="380"/>
      <c r="AT104" s="380"/>
      <c r="AU104" s="380"/>
      <c r="AV104" s="380"/>
      <c r="AW104" s="380"/>
      <c r="AX104" s="380"/>
      <c r="AY104" s="403"/>
      <c r="AZ104" s="380"/>
      <c r="BA104" s="380"/>
      <c r="BB104" s="380"/>
      <c r="BC104" s="380"/>
      <c r="BD104" s="380"/>
      <c r="BE104" s="404"/>
      <c r="BF104" s="380"/>
      <c r="BG104" s="380"/>
      <c r="BH104" s="380"/>
      <c r="BI104" s="380"/>
      <c r="BJ104" s="380"/>
      <c r="BK104" s="380"/>
      <c r="BL104" s="380"/>
      <c r="BM104" s="403"/>
      <c r="BS104" s="83"/>
      <c r="CA104" s="405"/>
      <c r="CG104" s="83"/>
      <c r="CO104" s="405"/>
      <c r="CU104" s="83"/>
      <c r="DC104" s="405"/>
      <c r="DI104" s="83"/>
      <c r="DQ104" s="405"/>
      <c r="DW104" s="83"/>
      <c r="EE104" s="405"/>
      <c r="EK104" s="83"/>
      <c r="ES104" s="405"/>
      <c r="EY104" s="83"/>
      <c r="FG104" s="405"/>
      <c r="FM104" s="83"/>
      <c r="FU104" s="405"/>
      <c r="GA104" s="83"/>
      <c r="GI104" s="405"/>
      <c r="GO104" s="83"/>
      <c r="GW104" s="405"/>
      <c r="HC104" s="83"/>
      <c r="HK104" s="405"/>
      <c r="HQ104" s="83"/>
      <c r="HY104" s="405"/>
      <c r="IE104" s="83"/>
      <c r="IM104" s="405"/>
      <c r="IS104" s="83"/>
      <c r="JA104" s="405"/>
      <c r="JG104" s="83"/>
      <c r="JO104" s="405"/>
      <c r="JU104" s="83"/>
      <c r="KC104" s="405"/>
      <c r="KI104" s="83"/>
      <c r="KQ104" s="405"/>
      <c r="KW104" s="83"/>
      <c r="LE104" s="405"/>
      <c r="LK104" s="83"/>
      <c r="LS104" s="405"/>
      <c r="LY104" s="83"/>
      <c r="MG104" s="405"/>
      <c r="MM104" s="83"/>
      <c r="MU104" s="405"/>
      <c r="NA104" s="83"/>
    </row>
    <row r="105">
      <c r="A105" s="483"/>
      <c r="B105" s="380"/>
      <c r="C105" s="380"/>
      <c r="D105" s="380"/>
      <c r="E105" s="380"/>
      <c r="F105" s="380"/>
      <c r="G105" s="380"/>
      <c r="H105" s="380"/>
      <c r="I105" s="403"/>
      <c r="J105" s="380"/>
      <c r="K105" s="380"/>
      <c r="L105" s="380"/>
      <c r="M105" s="380"/>
      <c r="N105" s="380"/>
      <c r="O105" s="404"/>
      <c r="P105" s="380"/>
      <c r="Q105" s="380"/>
      <c r="R105" s="380"/>
      <c r="S105" s="380"/>
      <c r="T105" s="380"/>
      <c r="U105" s="380"/>
      <c r="V105" s="380"/>
      <c r="W105" s="403"/>
      <c r="X105" s="380"/>
      <c r="Y105" s="380"/>
      <c r="Z105" s="380"/>
      <c r="AA105" s="380"/>
      <c r="AB105" s="380"/>
      <c r="AC105" s="404"/>
      <c r="AD105" s="380"/>
      <c r="AE105" s="380"/>
      <c r="AF105" s="380"/>
      <c r="AG105" s="380"/>
      <c r="AH105" s="380"/>
      <c r="AI105" s="380"/>
      <c r="AJ105" s="380"/>
      <c r="AK105" s="403"/>
      <c r="AL105" s="380"/>
      <c r="AM105" s="380"/>
      <c r="AN105" s="380"/>
      <c r="AO105" s="380"/>
      <c r="AP105" s="380"/>
      <c r="AQ105" s="404"/>
      <c r="AR105" s="380"/>
      <c r="AS105" s="380"/>
      <c r="AT105" s="380"/>
      <c r="AU105" s="380"/>
      <c r="AV105" s="380"/>
      <c r="AW105" s="380"/>
      <c r="AX105" s="380"/>
      <c r="AY105" s="403"/>
      <c r="AZ105" s="380"/>
      <c r="BA105" s="380"/>
      <c r="BB105" s="380"/>
      <c r="BC105" s="380"/>
      <c r="BD105" s="380"/>
      <c r="BE105" s="404"/>
      <c r="BF105" s="380"/>
      <c r="BG105" s="380"/>
      <c r="BH105" s="380"/>
      <c r="BI105" s="380"/>
      <c r="BJ105" s="380"/>
      <c r="BK105" s="380"/>
      <c r="BL105" s="380"/>
      <c r="BM105" s="403"/>
      <c r="BS105" s="83"/>
      <c r="CA105" s="405"/>
      <c r="CG105" s="83"/>
      <c r="CO105" s="405"/>
      <c r="CU105" s="83"/>
      <c r="DC105" s="405"/>
      <c r="DI105" s="83"/>
      <c r="DQ105" s="405"/>
      <c r="DW105" s="83"/>
      <c r="EE105" s="405"/>
      <c r="EK105" s="83"/>
      <c r="ES105" s="405"/>
      <c r="EY105" s="83"/>
      <c r="FG105" s="405"/>
      <c r="FM105" s="83"/>
      <c r="FU105" s="405"/>
      <c r="GA105" s="83"/>
      <c r="GI105" s="405"/>
      <c r="GO105" s="83"/>
      <c r="GW105" s="405"/>
      <c r="HC105" s="83"/>
      <c r="HK105" s="405"/>
      <c r="HQ105" s="83"/>
      <c r="HY105" s="405"/>
      <c r="IE105" s="83"/>
      <c r="IM105" s="405"/>
      <c r="IS105" s="83"/>
      <c r="JA105" s="405"/>
      <c r="JG105" s="83"/>
      <c r="JO105" s="405"/>
      <c r="JU105" s="83"/>
      <c r="KC105" s="405"/>
      <c r="KI105" s="83"/>
      <c r="KQ105" s="405"/>
      <c r="KW105" s="83"/>
      <c r="LE105" s="405"/>
      <c r="LK105" s="83"/>
      <c r="LS105" s="405"/>
      <c r="LY105" s="83"/>
      <c r="MG105" s="405"/>
      <c r="MM105" s="83"/>
      <c r="MU105" s="405"/>
      <c r="NA105" s="83"/>
    </row>
    <row r="106">
      <c r="A106" s="483"/>
      <c r="B106" s="380"/>
      <c r="C106" s="380"/>
      <c r="D106" s="380"/>
      <c r="E106" s="380"/>
      <c r="F106" s="380"/>
      <c r="G106" s="380"/>
      <c r="H106" s="380"/>
      <c r="I106" s="403"/>
      <c r="J106" s="380"/>
      <c r="K106" s="380"/>
      <c r="L106" s="380"/>
      <c r="M106" s="380"/>
      <c r="N106" s="380"/>
      <c r="O106" s="404"/>
      <c r="P106" s="380"/>
      <c r="Q106" s="380"/>
      <c r="R106" s="380"/>
      <c r="S106" s="380"/>
      <c r="T106" s="380"/>
      <c r="U106" s="380"/>
      <c r="V106" s="380"/>
      <c r="W106" s="403"/>
      <c r="X106" s="380"/>
      <c r="Y106" s="380"/>
      <c r="Z106" s="380"/>
      <c r="AA106" s="380"/>
      <c r="AB106" s="380"/>
      <c r="AC106" s="404"/>
      <c r="AD106" s="380"/>
      <c r="AE106" s="380"/>
      <c r="AF106" s="380"/>
      <c r="AG106" s="380"/>
      <c r="AH106" s="380"/>
      <c r="AI106" s="380"/>
      <c r="AJ106" s="380"/>
      <c r="AK106" s="403"/>
      <c r="AL106" s="380"/>
      <c r="AM106" s="380"/>
      <c r="AN106" s="380"/>
      <c r="AO106" s="380"/>
      <c r="AP106" s="380"/>
      <c r="AQ106" s="404"/>
      <c r="AR106" s="380"/>
      <c r="AS106" s="380"/>
      <c r="AT106" s="380"/>
      <c r="AU106" s="380"/>
      <c r="AV106" s="380"/>
      <c r="AW106" s="380"/>
      <c r="AX106" s="380"/>
      <c r="AY106" s="403"/>
      <c r="AZ106" s="380"/>
      <c r="BA106" s="380"/>
      <c r="BB106" s="380"/>
      <c r="BC106" s="380"/>
      <c r="BD106" s="380"/>
      <c r="BE106" s="404"/>
      <c r="BF106" s="380"/>
      <c r="BG106" s="380"/>
      <c r="BH106" s="380"/>
      <c r="BI106" s="380"/>
      <c r="BJ106" s="380"/>
      <c r="BK106" s="380"/>
      <c r="BL106" s="380"/>
      <c r="BM106" s="403"/>
      <c r="BS106" s="83"/>
      <c r="CA106" s="405"/>
      <c r="CG106" s="83"/>
      <c r="CO106" s="405"/>
      <c r="CU106" s="83"/>
      <c r="DC106" s="405"/>
      <c r="DI106" s="83"/>
      <c r="DQ106" s="405"/>
      <c r="DW106" s="83"/>
      <c r="EE106" s="405"/>
      <c r="EK106" s="83"/>
      <c r="ES106" s="405"/>
      <c r="EY106" s="83"/>
      <c r="FG106" s="405"/>
      <c r="FM106" s="83"/>
      <c r="FU106" s="405"/>
      <c r="GA106" s="83"/>
      <c r="GI106" s="405"/>
      <c r="GO106" s="83"/>
      <c r="GW106" s="405"/>
      <c r="HC106" s="83"/>
      <c r="HK106" s="405"/>
      <c r="HQ106" s="83"/>
      <c r="HY106" s="405"/>
      <c r="IE106" s="83"/>
      <c r="IM106" s="405"/>
      <c r="IS106" s="83"/>
      <c r="JA106" s="405"/>
      <c r="JG106" s="83"/>
      <c r="JO106" s="405"/>
      <c r="JU106" s="83"/>
      <c r="KC106" s="405"/>
      <c r="KI106" s="83"/>
      <c r="KQ106" s="405"/>
      <c r="KW106" s="83"/>
      <c r="LE106" s="405"/>
      <c r="LK106" s="83"/>
      <c r="LS106" s="405"/>
      <c r="LY106" s="83"/>
      <c r="MG106" s="405"/>
      <c r="MM106" s="83"/>
      <c r="MU106" s="405"/>
      <c r="NA106" s="83"/>
    </row>
    <row r="107">
      <c r="A107" s="483"/>
      <c r="B107" s="380"/>
      <c r="C107" s="380"/>
      <c r="D107" s="380"/>
      <c r="E107" s="380"/>
      <c r="F107" s="380"/>
      <c r="G107" s="380"/>
      <c r="H107" s="380"/>
      <c r="I107" s="403"/>
      <c r="J107" s="380"/>
      <c r="K107" s="380"/>
      <c r="L107" s="380"/>
      <c r="M107" s="380"/>
      <c r="N107" s="380"/>
      <c r="O107" s="404"/>
      <c r="P107" s="380"/>
      <c r="Q107" s="380"/>
      <c r="R107" s="380"/>
      <c r="S107" s="380"/>
      <c r="T107" s="380"/>
      <c r="U107" s="380"/>
      <c r="V107" s="380"/>
      <c r="W107" s="403"/>
      <c r="X107" s="380"/>
      <c r="Y107" s="380"/>
      <c r="Z107" s="380"/>
      <c r="AA107" s="380"/>
      <c r="AB107" s="380"/>
      <c r="AC107" s="404"/>
      <c r="AD107" s="380"/>
      <c r="AE107" s="380"/>
      <c r="AF107" s="380"/>
      <c r="AG107" s="380"/>
      <c r="AH107" s="380"/>
      <c r="AI107" s="380"/>
      <c r="AJ107" s="380"/>
      <c r="AK107" s="403"/>
      <c r="AL107" s="380"/>
      <c r="AM107" s="380"/>
      <c r="AN107" s="380"/>
      <c r="AO107" s="380"/>
      <c r="AP107" s="380"/>
      <c r="AQ107" s="404"/>
      <c r="AR107" s="380"/>
      <c r="AS107" s="380"/>
      <c r="AT107" s="380"/>
      <c r="AU107" s="380"/>
      <c r="AV107" s="380"/>
      <c r="AW107" s="380"/>
      <c r="AX107" s="380"/>
      <c r="AY107" s="403"/>
      <c r="AZ107" s="380"/>
      <c r="BA107" s="380"/>
      <c r="BB107" s="380"/>
      <c r="BC107" s="380"/>
      <c r="BD107" s="380"/>
      <c r="BE107" s="404"/>
      <c r="BF107" s="380"/>
      <c r="BG107" s="380"/>
      <c r="BH107" s="380"/>
      <c r="BI107" s="380"/>
      <c r="BJ107" s="380"/>
      <c r="BK107" s="380"/>
      <c r="BL107" s="380"/>
      <c r="BM107" s="403"/>
      <c r="BS107" s="83"/>
      <c r="CA107" s="405"/>
      <c r="CG107" s="83"/>
      <c r="CO107" s="405"/>
      <c r="CU107" s="83"/>
      <c r="DC107" s="405"/>
      <c r="DI107" s="83"/>
      <c r="DQ107" s="405"/>
      <c r="DW107" s="83"/>
      <c r="EE107" s="405"/>
      <c r="EK107" s="83"/>
      <c r="ES107" s="405"/>
      <c r="EY107" s="83"/>
      <c r="FG107" s="405"/>
      <c r="FM107" s="83"/>
      <c r="FU107" s="405"/>
      <c r="GA107" s="83"/>
      <c r="GI107" s="405"/>
      <c r="GO107" s="83"/>
      <c r="GW107" s="405"/>
      <c r="HC107" s="83"/>
      <c r="HK107" s="405"/>
      <c r="HQ107" s="83"/>
      <c r="HY107" s="405"/>
      <c r="IE107" s="83"/>
      <c r="IM107" s="405"/>
      <c r="IS107" s="83"/>
      <c r="JA107" s="405"/>
      <c r="JG107" s="83"/>
      <c r="JO107" s="405"/>
      <c r="JU107" s="83"/>
      <c r="KC107" s="405"/>
      <c r="KI107" s="83"/>
      <c r="KQ107" s="405"/>
      <c r="KW107" s="83"/>
      <c r="LE107" s="405"/>
      <c r="LK107" s="83"/>
      <c r="LS107" s="405"/>
      <c r="LY107" s="83"/>
      <c r="MG107" s="405"/>
      <c r="MM107" s="83"/>
      <c r="MU107" s="405"/>
      <c r="NA107" s="83"/>
    </row>
    <row r="108">
      <c r="A108" s="483"/>
      <c r="B108" s="380"/>
      <c r="C108" s="380"/>
      <c r="D108" s="380"/>
      <c r="E108" s="380"/>
      <c r="F108" s="380"/>
      <c r="G108" s="380"/>
      <c r="H108" s="380"/>
      <c r="I108" s="403"/>
      <c r="J108" s="380"/>
      <c r="K108" s="380"/>
      <c r="L108" s="380"/>
      <c r="M108" s="380"/>
      <c r="N108" s="380"/>
      <c r="O108" s="404"/>
      <c r="P108" s="380"/>
      <c r="Q108" s="380"/>
      <c r="R108" s="380"/>
      <c r="S108" s="380"/>
      <c r="T108" s="380"/>
      <c r="U108" s="380"/>
      <c r="V108" s="380"/>
      <c r="W108" s="403"/>
      <c r="X108" s="380"/>
      <c r="Y108" s="380"/>
      <c r="Z108" s="380"/>
      <c r="AA108" s="380"/>
      <c r="AB108" s="380"/>
      <c r="AC108" s="404"/>
      <c r="AD108" s="380"/>
      <c r="AE108" s="380"/>
      <c r="AF108" s="380"/>
      <c r="AG108" s="380"/>
      <c r="AH108" s="380"/>
      <c r="AI108" s="380"/>
      <c r="AJ108" s="380"/>
      <c r="AK108" s="403"/>
      <c r="AL108" s="380"/>
      <c r="AM108" s="380"/>
      <c r="AN108" s="380"/>
      <c r="AO108" s="380"/>
      <c r="AP108" s="380"/>
      <c r="AQ108" s="404"/>
      <c r="AR108" s="380"/>
      <c r="AS108" s="380"/>
      <c r="AT108" s="380"/>
      <c r="AU108" s="380"/>
      <c r="AV108" s="380"/>
      <c r="AW108" s="380"/>
      <c r="AX108" s="380"/>
      <c r="AY108" s="403"/>
      <c r="AZ108" s="380"/>
      <c r="BA108" s="380"/>
      <c r="BB108" s="380"/>
      <c r="BC108" s="380"/>
      <c r="BD108" s="380"/>
      <c r="BE108" s="404"/>
      <c r="BF108" s="380"/>
      <c r="BG108" s="380"/>
      <c r="BH108" s="380"/>
      <c r="BI108" s="380"/>
      <c r="BJ108" s="380"/>
      <c r="BK108" s="380"/>
      <c r="BL108" s="380"/>
      <c r="BM108" s="403"/>
      <c r="BS108" s="83"/>
      <c r="CA108" s="405"/>
      <c r="CG108" s="83"/>
      <c r="CO108" s="405"/>
      <c r="CU108" s="83"/>
      <c r="DC108" s="405"/>
      <c r="DI108" s="83"/>
      <c r="DQ108" s="405"/>
      <c r="DW108" s="83"/>
      <c r="EE108" s="405"/>
      <c r="EK108" s="83"/>
      <c r="ES108" s="405"/>
      <c r="EY108" s="83"/>
      <c r="FG108" s="405"/>
      <c r="FM108" s="83"/>
      <c r="FU108" s="405"/>
      <c r="GA108" s="83"/>
      <c r="GI108" s="405"/>
      <c r="GO108" s="83"/>
      <c r="GW108" s="405"/>
      <c r="HC108" s="83"/>
      <c r="HK108" s="405"/>
      <c r="HQ108" s="83"/>
      <c r="HY108" s="405"/>
      <c r="IE108" s="83"/>
      <c r="IM108" s="405"/>
      <c r="IS108" s="83"/>
      <c r="JA108" s="405"/>
      <c r="JG108" s="83"/>
      <c r="JO108" s="405"/>
      <c r="JU108" s="83"/>
      <c r="KC108" s="405"/>
      <c r="KI108" s="83"/>
      <c r="KQ108" s="405"/>
      <c r="KW108" s="83"/>
      <c r="LE108" s="405"/>
      <c r="LK108" s="83"/>
      <c r="LS108" s="405"/>
      <c r="LY108" s="83"/>
      <c r="MG108" s="405"/>
      <c r="MM108" s="83"/>
      <c r="MU108" s="405"/>
      <c r="NA108" s="83"/>
    </row>
    <row r="109">
      <c r="A109" s="483"/>
      <c r="B109" s="380"/>
      <c r="C109" s="380"/>
      <c r="D109" s="380"/>
      <c r="E109" s="380"/>
      <c r="F109" s="380"/>
      <c r="G109" s="380"/>
      <c r="H109" s="380"/>
      <c r="I109" s="403"/>
      <c r="J109" s="380"/>
      <c r="K109" s="380"/>
      <c r="L109" s="380"/>
      <c r="M109" s="380"/>
      <c r="N109" s="380"/>
      <c r="O109" s="404"/>
      <c r="P109" s="380"/>
      <c r="Q109" s="380"/>
      <c r="R109" s="380"/>
      <c r="S109" s="380"/>
      <c r="T109" s="380"/>
      <c r="U109" s="380"/>
      <c r="V109" s="380"/>
      <c r="W109" s="403"/>
      <c r="X109" s="380"/>
      <c r="Y109" s="380"/>
      <c r="Z109" s="380"/>
      <c r="AA109" s="380"/>
      <c r="AB109" s="380"/>
      <c r="AC109" s="404"/>
      <c r="AD109" s="380"/>
      <c r="AE109" s="380"/>
      <c r="AF109" s="380"/>
      <c r="AG109" s="380"/>
      <c r="AH109" s="380"/>
      <c r="AI109" s="380"/>
      <c r="AJ109" s="380"/>
      <c r="AK109" s="403"/>
      <c r="AL109" s="380"/>
      <c r="AM109" s="380"/>
      <c r="AN109" s="380"/>
      <c r="AO109" s="380"/>
      <c r="AP109" s="380"/>
      <c r="AQ109" s="404"/>
      <c r="AR109" s="380"/>
      <c r="AS109" s="380"/>
      <c r="AT109" s="380"/>
      <c r="AU109" s="380"/>
      <c r="AV109" s="380"/>
      <c r="AW109" s="380"/>
      <c r="AX109" s="380"/>
      <c r="AY109" s="403"/>
      <c r="AZ109" s="380"/>
      <c r="BA109" s="380"/>
      <c r="BB109" s="380"/>
      <c r="BC109" s="380"/>
      <c r="BD109" s="380"/>
      <c r="BE109" s="404"/>
      <c r="BF109" s="380"/>
      <c r="BG109" s="380"/>
      <c r="BH109" s="380"/>
      <c r="BI109" s="380"/>
      <c r="BJ109" s="380"/>
      <c r="BK109" s="380"/>
      <c r="BL109" s="380"/>
      <c r="BM109" s="403"/>
      <c r="BS109" s="83"/>
      <c r="CA109" s="405"/>
      <c r="CG109" s="83"/>
      <c r="CO109" s="405"/>
      <c r="CU109" s="83"/>
      <c r="DC109" s="405"/>
      <c r="DI109" s="83"/>
      <c r="DQ109" s="405"/>
      <c r="DW109" s="83"/>
      <c r="EE109" s="405"/>
      <c r="EK109" s="83"/>
      <c r="ES109" s="405"/>
      <c r="EY109" s="83"/>
      <c r="FG109" s="405"/>
      <c r="FM109" s="83"/>
      <c r="FU109" s="405"/>
      <c r="GA109" s="83"/>
      <c r="GI109" s="405"/>
      <c r="GO109" s="83"/>
      <c r="GW109" s="405"/>
      <c r="HC109" s="83"/>
      <c r="HK109" s="405"/>
      <c r="HQ109" s="83"/>
      <c r="HY109" s="405"/>
      <c r="IE109" s="83"/>
      <c r="IM109" s="405"/>
      <c r="IS109" s="83"/>
      <c r="JA109" s="405"/>
      <c r="JG109" s="83"/>
      <c r="JO109" s="405"/>
      <c r="JU109" s="83"/>
      <c r="KC109" s="405"/>
      <c r="KI109" s="83"/>
      <c r="KQ109" s="405"/>
      <c r="KW109" s="83"/>
      <c r="LE109" s="405"/>
      <c r="LK109" s="83"/>
      <c r="LS109" s="405"/>
      <c r="LY109" s="83"/>
      <c r="MG109" s="405"/>
      <c r="MM109" s="83"/>
      <c r="MU109" s="405"/>
      <c r="NA109" s="83"/>
    </row>
    <row r="110">
      <c r="A110" s="483"/>
      <c r="B110" s="380"/>
      <c r="C110" s="380"/>
      <c r="D110" s="380"/>
      <c r="E110" s="380"/>
      <c r="F110" s="380"/>
      <c r="G110" s="380"/>
      <c r="H110" s="380"/>
      <c r="I110" s="403"/>
      <c r="J110" s="380"/>
      <c r="K110" s="380"/>
      <c r="L110" s="380"/>
      <c r="M110" s="380"/>
      <c r="N110" s="380"/>
      <c r="O110" s="404"/>
      <c r="P110" s="380"/>
      <c r="Q110" s="380"/>
      <c r="R110" s="380"/>
      <c r="S110" s="380"/>
      <c r="T110" s="380"/>
      <c r="U110" s="380"/>
      <c r="V110" s="380"/>
      <c r="W110" s="403"/>
      <c r="X110" s="380"/>
      <c r="Y110" s="380"/>
      <c r="Z110" s="380"/>
      <c r="AA110" s="380"/>
      <c r="AB110" s="380"/>
      <c r="AC110" s="404"/>
      <c r="AD110" s="380"/>
      <c r="AE110" s="380"/>
      <c r="AF110" s="380"/>
      <c r="AG110" s="380"/>
      <c r="AH110" s="380"/>
      <c r="AI110" s="380"/>
      <c r="AJ110" s="380"/>
      <c r="AK110" s="403"/>
      <c r="AL110" s="380"/>
      <c r="AM110" s="380"/>
      <c r="AN110" s="380"/>
      <c r="AO110" s="380"/>
      <c r="AP110" s="380"/>
      <c r="AQ110" s="404"/>
      <c r="AR110" s="380"/>
      <c r="AS110" s="380"/>
      <c r="AT110" s="380"/>
      <c r="AU110" s="380"/>
      <c r="AV110" s="380"/>
      <c r="AW110" s="380"/>
      <c r="AX110" s="380"/>
      <c r="AY110" s="403"/>
      <c r="AZ110" s="380"/>
      <c r="BA110" s="380"/>
      <c r="BB110" s="380"/>
      <c r="BC110" s="380"/>
      <c r="BD110" s="380"/>
      <c r="BE110" s="404"/>
      <c r="BF110" s="380"/>
      <c r="BG110" s="380"/>
      <c r="BH110" s="380"/>
      <c r="BI110" s="380"/>
      <c r="BJ110" s="380"/>
      <c r="BK110" s="380"/>
      <c r="BL110" s="380"/>
      <c r="BM110" s="403"/>
      <c r="BS110" s="83"/>
      <c r="CA110" s="405"/>
      <c r="CG110" s="83"/>
      <c r="CO110" s="405"/>
      <c r="CU110" s="83"/>
      <c r="DC110" s="405"/>
      <c r="DI110" s="83"/>
      <c r="DQ110" s="405"/>
      <c r="DW110" s="83"/>
      <c r="EE110" s="405"/>
      <c r="EK110" s="83"/>
      <c r="ES110" s="405"/>
      <c r="EY110" s="83"/>
      <c r="FG110" s="405"/>
      <c r="FM110" s="83"/>
      <c r="FU110" s="405"/>
      <c r="GA110" s="83"/>
      <c r="GI110" s="405"/>
      <c r="GO110" s="83"/>
      <c r="GW110" s="405"/>
      <c r="HC110" s="83"/>
      <c r="HK110" s="405"/>
      <c r="HQ110" s="83"/>
      <c r="HY110" s="405"/>
      <c r="IE110" s="83"/>
      <c r="IM110" s="405"/>
      <c r="IS110" s="83"/>
      <c r="JA110" s="405"/>
      <c r="JG110" s="83"/>
      <c r="JO110" s="405"/>
      <c r="JU110" s="83"/>
      <c r="KC110" s="405"/>
      <c r="KI110" s="83"/>
      <c r="KQ110" s="405"/>
      <c r="KW110" s="83"/>
      <c r="LE110" s="405"/>
      <c r="LK110" s="83"/>
      <c r="LS110" s="405"/>
      <c r="LY110" s="83"/>
      <c r="MG110" s="405"/>
      <c r="MM110" s="83"/>
      <c r="MU110" s="405"/>
      <c r="NA110" s="83"/>
    </row>
    <row r="111">
      <c r="A111" s="483"/>
      <c r="B111" s="380"/>
      <c r="C111" s="380"/>
      <c r="D111" s="380"/>
      <c r="E111" s="380"/>
      <c r="F111" s="380"/>
      <c r="G111" s="380"/>
      <c r="H111" s="380"/>
      <c r="I111" s="403"/>
      <c r="J111" s="380"/>
      <c r="K111" s="380"/>
      <c r="L111" s="380"/>
      <c r="M111" s="380"/>
      <c r="N111" s="380"/>
      <c r="O111" s="404"/>
      <c r="P111" s="380"/>
      <c r="Q111" s="380"/>
      <c r="R111" s="380"/>
      <c r="S111" s="380"/>
      <c r="T111" s="380"/>
      <c r="U111" s="380"/>
      <c r="V111" s="380"/>
      <c r="W111" s="403"/>
      <c r="X111" s="380"/>
      <c r="Y111" s="380"/>
      <c r="Z111" s="380"/>
      <c r="AA111" s="380"/>
      <c r="AB111" s="380"/>
      <c r="AC111" s="404"/>
      <c r="AD111" s="380"/>
      <c r="AE111" s="380"/>
      <c r="AF111" s="380"/>
      <c r="AG111" s="380"/>
      <c r="AH111" s="380"/>
      <c r="AI111" s="380"/>
      <c r="AJ111" s="380"/>
      <c r="AK111" s="403"/>
      <c r="AL111" s="380"/>
      <c r="AM111" s="380"/>
      <c r="AN111" s="380"/>
      <c r="AO111" s="380"/>
      <c r="AP111" s="380"/>
      <c r="AQ111" s="404"/>
      <c r="AR111" s="380"/>
      <c r="AS111" s="380"/>
      <c r="AT111" s="380"/>
      <c r="AU111" s="380"/>
      <c r="AV111" s="380"/>
      <c r="AW111" s="380"/>
      <c r="AX111" s="380"/>
      <c r="AY111" s="403"/>
      <c r="AZ111" s="380"/>
      <c r="BA111" s="380"/>
      <c r="BB111" s="380"/>
      <c r="BC111" s="380"/>
      <c r="BD111" s="380"/>
      <c r="BE111" s="404"/>
      <c r="BF111" s="380"/>
      <c r="BG111" s="380"/>
      <c r="BH111" s="380"/>
      <c r="BI111" s="380"/>
      <c r="BJ111" s="380"/>
      <c r="BK111" s="380"/>
      <c r="BL111" s="380"/>
      <c r="BM111" s="403"/>
      <c r="BS111" s="83"/>
      <c r="CA111" s="405"/>
      <c r="CG111" s="83"/>
      <c r="CO111" s="405"/>
      <c r="CU111" s="83"/>
      <c r="DC111" s="405"/>
      <c r="DI111" s="83"/>
      <c r="DQ111" s="405"/>
      <c r="DW111" s="83"/>
      <c r="EE111" s="405"/>
      <c r="EK111" s="83"/>
      <c r="ES111" s="405"/>
      <c r="EY111" s="83"/>
      <c r="FG111" s="405"/>
      <c r="FM111" s="83"/>
      <c r="FU111" s="405"/>
      <c r="GA111" s="83"/>
      <c r="GI111" s="405"/>
      <c r="GO111" s="83"/>
      <c r="GW111" s="405"/>
      <c r="HC111" s="83"/>
      <c r="HK111" s="405"/>
      <c r="HQ111" s="83"/>
      <c r="HY111" s="405"/>
      <c r="IE111" s="83"/>
      <c r="IM111" s="405"/>
      <c r="IS111" s="83"/>
      <c r="JA111" s="405"/>
      <c r="JG111" s="83"/>
      <c r="JO111" s="405"/>
      <c r="JU111" s="83"/>
      <c r="KC111" s="405"/>
      <c r="KI111" s="83"/>
      <c r="KQ111" s="405"/>
      <c r="KW111" s="83"/>
      <c r="LE111" s="405"/>
      <c r="LK111" s="83"/>
      <c r="LS111" s="405"/>
      <c r="LY111" s="83"/>
      <c r="MG111" s="405"/>
      <c r="MM111" s="83"/>
      <c r="MU111" s="405"/>
      <c r="NA111" s="83"/>
    </row>
    <row r="112">
      <c r="A112" s="483"/>
      <c r="B112" s="380"/>
      <c r="C112" s="380"/>
      <c r="D112" s="380"/>
      <c r="E112" s="380"/>
      <c r="F112" s="380"/>
      <c r="G112" s="380"/>
      <c r="H112" s="380"/>
      <c r="I112" s="403"/>
      <c r="J112" s="380"/>
      <c r="K112" s="380"/>
      <c r="L112" s="380"/>
      <c r="M112" s="380"/>
      <c r="N112" s="380"/>
      <c r="O112" s="404"/>
      <c r="P112" s="380"/>
      <c r="Q112" s="380"/>
      <c r="R112" s="380"/>
      <c r="S112" s="380"/>
      <c r="T112" s="380"/>
      <c r="U112" s="380"/>
      <c r="V112" s="380"/>
      <c r="W112" s="403"/>
      <c r="X112" s="380"/>
      <c r="Y112" s="380"/>
      <c r="Z112" s="380"/>
      <c r="AA112" s="380"/>
      <c r="AB112" s="380"/>
      <c r="AC112" s="404"/>
      <c r="AD112" s="380"/>
      <c r="AE112" s="380"/>
      <c r="AF112" s="380"/>
      <c r="AG112" s="380"/>
      <c r="AH112" s="380"/>
      <c r="AI112" s="380"/>
      <c r="AJ112" s="380"/>
      <c r="AK112" s="403"/>
      <c r="AL112" s="380"/>
      <c r="AM112" s="380"/>
      <c r="AN112" s="380"/>
      <c r="AO112" s="380"/>
      <c r="AP112" s="380"/>
      <c r="AQ112" s="404"/>
      <c r="AR112" s="380"/>
      <c r="AS112" s="380"/>
      <c r="AT112" s="380"/>
      <c r="AU112" s="380"/>
      <c r="AV112" s="380"/>
      <c r="AW112" s="380"/>
      <c r="AX112" s="380"/>
      <c r="AY112" s="403"/>
      <c r="AZ112" s="380"/>
      <c r="BA112" s="380"/>
      <c r="BB112" s="380"/>
      <c r="BC112" s="380"/>
      <c r="BD112" s="380"/>
      <c r="BE112" s="404"/>
      <c r="BF112" s="380"/>
      <c r="BG112" s="380"/>
      <c r="BH112" s="380"/>
      <c r="BI112" s="380"/>
      <c r="BJ112" s="380"/>
      <c r="BK112" s="380"/>
      <c r="BL112" s="380"/>
      <c r="BM112" s="403"/>
      <c r="BS112" s="83"/>
      <c r="CA112" s="405"/>
      <c r="CG112" s="83"/>
      <c r="CO112" s="405"/>
      <c r="CU112" s="83"/>
      <c r="DC112" s="405"/>
      <c r="DI112" s="83"/>
      <c r="DQ112" s="405"/>
      <c r="DW112" s="83"/>
      <c r="EE112" s="405"/>
      <c r="EK112" s="83"/>
      <c r="ES112" s="405"/>
      <c r="EY112" s="83"/>
      <c r="FG112" s="405"/>
      <c r="FM112" s="83"/>
      <c r="FU112" s="405"/>
      <c r="GA112" s="83"/>
      <c r="GI112" s="405"/>
      <c r="GO112" s="83"/>
      <c r="GW112" s="405"/>
      <c r="HC112" s="83"/>
      <c r="HK112" s="405"/>
      <c r="HQ112" s="83"/>
      <c r="HY112" s="405"/>
      <c r="IE112" s="83"/>
      <c r="IM112" s="405"/>
      <c r="IS112" s="83"/>
      <c r="JA112" s="405"/>
      <c r="JG112" s="83"/>
      <c r="JO112" s="405"/>
      <c r="JU112" s="83"/>
      <c r="KC112" s="405"/>
      <c r="KI112" s="83"/>
      <c r="KQ112" s="405"/>
      <c r="KW112" s="83"/>
      <c r="LE112" s="405"/>
      <c r="LK112" s="83"/>
      <c r="LS112" s="405"/>
      <c r="LY112" s="83"/>
      <c r="MG112" s="405"/>
      <c r="MM112" s="83"/>
      <c r="MU112" s="405"/>
      <c r="NA112" s="83"/>
    </row>
    <row r="113">
      <c r="A113" s="483"/>
      <c r="B113" s="380"/>
      <c r="C113" s="380"/>
      <c r="D113" s="380"/>
      <c r="E113" s="380"/>
      <c r="F113" s="380"/>
      <c r="G113" s="380"/>
      <c r="H113" s="380"/>
      <c r="I113" s="403"/>
      <c r="J113" s="380"/>
      <c r="K113" s="380"/>
      <c r="L113" s="380"/>
      <c r="M113" s="380"/>
      <c r="N113" s="380"/>
      <c r="O113" s="404"/>
      <c r="P113" s="380"/>
      <c r="Q113" s="380"/>
      <c r="R113" s="380"/>
      <c r="S113" s="380"/>
      <c r="T113" s="380"/>
      <c r="U113" s="380"/>
      <c r="V113" s="380"/>
      <c r="W113" s="403"/>
      <c r="X113" s="380"/>
      <c r="Y113" s="380"/>
      <c r="Z113" s="380"/>
      <c r="AA113" s="380"/>
      <c r="AB113" s="380"/>
      <c r="AC113" s="404"/>
      <c r="AD113" s="380"/>
      <c r="AE113" s="380"/>
      <c r="AF113" s="380"/>
      <c r="AG113" s="380"/>
      <c r="AH113" s="380"/>
      <c r="AI113" s="380"/>
      <c r="AJ113" s="380"/>
      <c r="AK113" s="403"/>
      <c r="AL113" s="380"/>
      <c r="AM113" s="380"/>
      <c r="AN113" s="380"/>
      <c r="AO113" s="380"/>
      <c r="AP113" s="380"/>
      <c r="AQ113" s="404"/>
      <c r="AR113" s="380"/>
      <c r="AS113" s="380"/>
      <c r="AT113" s="380"/>
      <c r="AU113" s="380"/>
      <c r="AV113" s="380"/>
      <c r="AW113" s="380"/>
      <c r="AX113" s="380"/>
      <c r="AY113" s="403"/>
      <c r="AZ113" s="380"/>
      <c r="BA113" s="380"/>
      <c r="BB113" s="380"/>
      <c r="BC113" s="380"/>
      <c r="BD113" s="380"/>
      <c r="BE113" s="404"/>
      <c r="BF113" s="380"/>
      <c r="BG113" s="380"/>
      <c r="BH113" s="380"/>
      <c r="BI113" s="380"/>
      <c r="BJ113" s="380"/>
      <c r="BK113" s="380"/>
      <c r="BL113" s="380"/>
      <c r="BM113" s="403"/>
      <c r="BS113" s="83"/>
      <c r="CA113" s="405"/>
      <c r="CG113" s="83"/>
      <c r="CO113" s="405"/>
      <c r="CU113" s="83"/>
      <c r="DC113" s="405"/>
      <c r="DI113" s="83"/>
      <c r="DQ113" s="405"/>
      <c r="DW113" s="83"/>
      <c r="EE113" s="405"/>
      <c r="EK113" s="83"/>
      <c r="ES113" s="405"/>
      <c r="EY113" s="83"/>
      <c r="FG113" s="405"/>
      <c r="FM113" s="83"/>
      <c r="FU113" s="405"/>
      <c r="GA113" s="83"/>
      <c r="GI113" s="405"/>
      <c r="GO113" s="83"/>
      <c r="GW113" s="405"/>
      <c r="HC113" s="83"/>
      <c r="HK113" s="405"/>
      <c r="HQ113" s="83"/>
      <c r="HY113" s="405"/>
      <c r="IE113" s="83"/>
      <c r="IM113" s="405"/>
      <c r="IS113" s="83"/>
      <c r="JA113" s="405"/>
      <c r="JG113" s="83"/>
      <c r="JO113" s="405"/>
      <c r="JU113" s="83"/>
      <c r="KC113" s="405"/>
      <c r="KI113" s="83"/>
      <c r="KQ113" s="405"/>
      <c r="KW113" s="83"/>
      <c r="LE113" s="405"/>
      <c r="LK113" s="83"/>
      <c r="LS113" s="405"/>
      <c r="LY113" s="83"/>
      <c r="MG113" s="405"/>
      <c r="MM113" s="83"/>
      <c r="MU113" s="405"/>
      <c r="NA113" s="83"/>
    </row>
    <row r="114">
      <c r="A114" s="483"/>
      <c r="B114" s="380"/>
      <c r="C114" s="380"/>
      <c r="D114" s="380"/>
      <c r="E114" s="380"/>
      <c r="F114" s="380"/>
      <c r="G114" s="380"/>
      <c r="H114" s="380"/>
      <c r="I114" s="403"/>
      <c r="J114" s="380"/>
      <c r="K114" s="380"/>
      <c r="L114" s="380"/>
      <c r="M114" s="380"/>
      <c r="N114" s="380"/>
      <c r="O114" s="404"/>
      <c r="P114" s="380"/>
      <c r="Q114" s="380"/>
      <c r="R114" s="380"/>
      <c r="S114" s="380"/>
      <c r="T114" s="380"/>
      <c r="U114" s="380"/>
      <c r="V114" s="380"/>
      <c r="W114" s="403"/>
      <c r="X114" s="380"/>
      <c r="Y114" s="380"/>
      <c r="Z114" s="380"/>
      <c r="AA114" s="380"/>
      <c r="AB114" s="380"/>
      <c r="AC114" s="404"/>
      <c r="AD114" s="380"/>
      <c r="AE114" s="380"/>
      <c r="AF114" s="380"/>
      <c r="AG114" s="380"/>
      <c r="AH114" s="380"/>
      <c r="AI114" s="380"/>
      <c r="AJ114" s="380"/>
      <c r="AK114" s="403"/>
      <c r="AL114" s="380"/>
      <c r="AM114" s="380"/>
      <c r="AN114" s="380"/>
      <c r="AO114" s="380"/>
      <c r="AP114" s="380"/>
      <c r="AQ114" s="404"/>
      <c r="AR114" s="380"/>
      <c r="AS114" s="380"/>
      <c r="AT114" s="380"/>
      <c r="AU114" s="380"/>
      <c r="AV114" s="380"/>
      <c r="AW114" s="380"/>
      <c r="AX114" s="380"/>
      <c r="AY114" s="403"/>
      <c r="AZ114" s="380"/>
      <c r="BA114" s="380"/>
      <c r="BB114" s="380"/>
      <c r="BC114" s="380"/>
      <c r="BD114" s="380"/>
      <c r="BE114" s="404"/>
      <c r="BF114" s="380"/>
      <c r="BG114" s="380"/>
      <c r="BH114" s="380"/>
      <c r="BI114" s="380"/>
      <c r="BJ114" s="380"/>
      <c r="BK114" s="380"/>
      <c r="BL114" s="380"/>
      <c r="BM114" s="403"/>
      <c r="BS114" s="83"/>
      <c r="CA114" s="405"/>
      <c r="CG114" s="83"/>
      <c r="CO114" s="405"/>
      <c r="CU114" s="83"/>
      <c r="DC114" s="405"/>
      <c r="DI114" s="83"/>
      <c r="DQ114" s="405"/>
      <c r="DW114" s="83"/>
      <c r="EE114" s="405"/>
      <c r="EK114" s="83"/>
      <c r="ES114" s="405"/>
      <c r="EY114" s="83"/>
      <c r="FG114" s="405"/>
      <c r="FM114" s="83"/>
      <c r="FU114" s="405"/>
      <c r="GA114" s="83"/>
      <c r="GI114" s="405"/>
      <c r="GO114" s="83"/>
      <c r="GW114" s="405"/>
      <c r="HC114" s="83"/>
      <c r="HK114" s="405"/>
      <c r="HQ114" s="83"/>
      <c r="HY114" s="405"/>
      <c r="IE114" s="83"/>
      <c r="IM114" s="405"/>
      <c r="IS114" s="83"/>
      <c r="JA114" s="405"/>
      <c r="JG114" s="83"/>
      <c r="JO114" s="405"/>
      <c r="JU114" s="83"/>
      <c r="KC114" s="405"/>
      <c r="KI114" s="83"/>
      <c r="KQ114" s="405"/>
      <c r="KW114" s="83"/>
      <c r="LE114" s="405"/>
      <c r="LK114" s="83"/>
      <c r="LS114" s="405"/>
      <c r="LY114" s="83"/>
      <c r="MG114" s="405"/>
      <c r="MM114" s="83"/>
      <c r="MU114" s="405"/>
      <c r="NA114" s="83"/>
    </row>
    <row r="115">
      <c r="A115" s="483"/>
      <c r="B115" s="380"/>
      <c r="C115" s="380"/>
      <c r="D115" s="380"/>
      <c r="E115" s="380"/>
      <c r="F115" s="380"/>
      <c r="G115" s="380"/>
      <c r="H115" s="380"/>
      <c r="I115" s="403"/>
      <c r="J115" s="380"/>
      <c r="K115" s="380"/>
      <c r="L115" s="380"/>
      <c r="M115" s="380"/>
      <c r="N115" s="380"/>
      <c r="O115" s="404"/>
      <c r="P115" s="380"/>
      <c r="Q115" s="380"/>
      <c r="R115" s="380"/>
      <c r="S115" s="380"/>
      <c r="T115" s="380"/>
      <c r="U115" s="380"/>
      <c r="V115" s="380"/>
      <c r="W115" s="403"/>
      <c r="X115" s="380"/>
      <c r="Y115" s="380"/>
      <c r="Z115" s="380"/>
      <c r="AA115" s="380"/>
      <c r="AB115" s="380"/>
      <c r="AC115" s="404"/>
      <c r="AD115" s="380"/>
      <c r="AE115" s="380"/>
      <c r="AF115" s="380"/>
      <c r="AG115" s="380"/>
      <c r="AH115" s="380"/>
      <c r="AI115" s="380"/>
      <c r="AJ115" s="380"/>
      <c r="AK115" s="403"/>
      <c r="AL115" s="380"/>
      <c r="AM115" s="380"/>
      <c r="AN115" s="380"/>
      <c r="AO115" s="380"/>
      <c r="AP115" s="380"/>
      <c r="AQ115" s="404"/>
      <c r="AR115" s="380"/>
      <c r="AS115" s="380"/>
      <c r="AT115" s="380"/>
      <c r="AU115" s="380"/>
      <c r="AV115" s="380"/>
      <c r="AW115" s="380"/>
      <c r="AX115" s="380"/>
      <c r="AY115" s="403"/>
      <c r="AZ115" s="380"/>
      <c r="BA115" s="380"/>
      <c r="BB115" s="380"/>
      <c r="BC115" s="380"/>
      <c r="BD115" s="380"/>
      <c r="BE115" s="404"/>
      <c r="BF115" s="380"/>
      <c r="BG115" s="380"/>
      <c r="BH115" s="380"/>
      <c r="BI115" s="380"/>
      <c r="BJ115" s="380"/>
      <c r="BK115" s="380"/>
      <c r="BL115" s="380"/>
      <c r="BM115" s="403"/>
      <c r="BS115" s="83"/>
      <c r="CA115" s="405"/>
      <c r="CG115" s="83"/>
      <c r="CO115" s="405"/>
      <c r="CU115" s="83"/>
      <c r="DC115" s="405"/>
      <c r="DI115" s="83"/>
      <c r="DQ115" s="405"/>
      <c r="DW115" s="83"/>
      <c r="EE115" s="405"/>
      <c r="EK115" s="83"/>
      <c r="ES115" s="405"/>
      <c r="EY115" s="83"/>
      <c r="FG115" s="405"/>
      <c r="FM115" s="83"/>
      <c r="FU115" s="405"/>
      <c r="GA115" s="83"/>
      <c r="GI115" s="405"/>
      <c r="GO115" s="83"/>
      <c r="GW115" s="405"/>
      <c r="HC115" s="83"/>
      <c r="HK115" s="405"/>
      <c r="HQ115" s="83"/>
      <c r="HY115" s="405"/>
      <c r="IE115" s="83"/>
      <c r="IM115" s="405"/>
      <c r="IS115" s="83"/>
      <c r="JA115" s="405"/>
      <c r="JG115" s="83"/>
      <c r="JO115" s="405"/>
      <c r="JU115" s="83"/>
      <c r="KC115" s="405"/>
      <c r="KI115" s="83"/>
      <c r="KQ115" s="405"/>
      <c r="KW115" s="83"/>
      <c r="LE115" s="405"/>
      <c r="LK115" s="83"/>
      <c r="LS115" s="405"/>
      <c r="LY115" s="83"/>
      <c r="MG115" s="405"/>
      <c r="MM115" s="83"/>
      <c r="MU115" s="405"/>
      <c r="NA115" s="83"/>
    </row>
    <row r="116">
      <c r="A116" s="483"/>
      <c r="B116" s="380"/>
      <c r="C116" s="380"/>
      <c r="D116" s="380"/>
      <c r="E116" s="380"/>
      <c r="F116" s="380"/>
      <c r="G116" s="380"/>
      <c r="H116" s="380"/>
      <c r="I116" s="403"/>
      <c r="J116" s="380"/>
      <c r="K116" s="380"/>
      <c r="L116" s="380"/>
      <c r="M116" s="380"/>
      <c r="N116" s="380"/>
      <c r="O116" s="404"/>
      <c r="P116" s="380"/>
      <c r="Q116" s="380"/>
      <c r="R116" s="380"/>
      <c r="S116" s="380"/>
      <c r="T116" s="380"/>
      <c r="U116" s="380"/>
      <c r="V116" s="380"/>
      <c r="W116" s="403"/>
      <c r="X116" s="380"/>
      <c r="Y116" s="380"/>
      <c r="Z116" s="380"/>
      <c r="AA116" s="380"/>
      <c r="AB116" s="380"/>
      <c r="AC116" s="404"/>
      <c r="AD116" s="380"/>
      <c r="AE116" s="380"/>
      <c r="AF116" s="380"/>
      <c r="AG116" s="380"/>
      <c r="AH116" s="380"/>
      <c r="AI116" s="380"/>
      <c r="AJ116" s="380"/>
      <c r="AK116" s="403"/>
      <c r="AL116" s="380"/>
      <c r="AM116" s="380"/>
      <c r="AN116" s="380"/>
      <c r="AO116" s="380"/>
      <c r="AP116" s="380"/>
      <c r="AQ116" s="404"/>
      <c r="AR116" s="380"/>
      <c r="AS116" s="380"/>
      <c r="AT116" s="380"/>
      <c r="AU116" s="380"/>
      <c r="AV116" s="380"/>
      <c r="AW116" s="380"/>
      <c r="AX116" s="380"/>
      <c r="AY116" s="403"/>
      <c r="AZ116" s="380"/>
      <c r="BA116" s="380"/>
      <c r="BB116" s="380"/>
      <c r="BC116" s="380"/>
      <c r="BD116" s="380"/>
      <c r="BE116" s="404"/>
      <c r="BF116" s="380"/>
      <c r="BG116" s="380"/>
      <c r="BH116" s="380"/>
      <c r="BI116" s="380"/>
      <c r="BJ116" s="380"/>
      <c r="BK116" s="380"/>
      <c r="BL116" s="380"/>
      <c r="BM116" s="403"/>
      <c r="BS116" s="83"/>
      <c r="CA116" s="405"/>
      <c r="CG116" s="83"/>
      <c r="CO116" s="405"/>
      <c r="CU116" s="83"/>
      <c r="DC116" s="405"/>
      <c r="DI116" s="83"/>
      <c r="DQ116" s="405"/>
      <c r="DW116" s="83"/>
      <c r="EE116" s="405"/>
      <c r="EK116" s="83"/>
      <c r="ES116" s="405"/>
      <c r="EY116" s="83"/>
      <c r="FG116" s="405"/>
      <c r="FM116" s="83"/>
      <c r="FU116" s="405"/>
      <c r="GA116" s="83"/>
      <c r="GI116" s="405"/>
      <c r="GO116" s="83"/>
      <c r="GW116" s="405"/>
      <c r="HC116" s="83"/>
      <c r="HK116" s="405"/>
      <c r="HQ116" s="83"/>
      <c r="HY116" s="405"/>
      <c r="IE116" s="83"/>
      <c r="IM116" s="405"/>
      <c r="IS116" s="83"/>
      <c r="JA116" s="405"/>
      <c r="JG116" s="83"/>
      <c r="JO116" s="405"/>
      <c r="JU116" s="83"/>
      <c r="KC116" s="405"/>
      <c r="KI116" s="83"/>
      <c r="KQ116" s="405"/>
      <c r="KW116" s="83"/>
      <c r="LE116" s="405"/>
      <c r="LK116" s="83"/>
      <c r="LS116" s="405"/>
      <c r="LY116" s="83"/>
      <c r="MG116" s="405"/>
      <c r="MM116" s="83"/>
      <c r="MU116" s="405"/>
      <c r="NA116" s="83"/>
    </row>
    <row r="117">
      <c r="A117" s="483"/>
      <c r="B117" s="380"/>
      <c r="C117" s="380"/>
      <c r="D117" s="380"/>
      <c r="E117" s="380"/>
      <c r="F117" s="380"/>
      <c r="G117" s="380"/>
      <c r="H117" s="380"/>
      <c r="I117" s="403"/>
      <c r="J117" s="380"/>
      <c r="K117" s="380"/>
      <c r="L117" s="380"/>
      <c r="M117" s="380"/>
      <c r="N117" s="380"/>
      <c r="O117" s="404"/>
      <c r="P117" s="380"/>
      <c r="Q117" s="380"/>
      <c r="R117" s="380"/>
      <c r="S117" s="380"/>
      <c r="T117" s="380"/>
      <c r="U117" s="380"/>
      <c r="V117" s="380"/>
      <c r="W117" s="403"/>
      <c r="X117" s="380"/>
      <c r="Y117" s="380"/>
      <c r="Z117" s="380"/>
      <c r="AA117" s="380"/>
      <c r="AB117" s="380"/>
      <c r="AC117" s="404"/>
      <c r="AD117" s="380"/>
      <c r="AE117" s="380"/>
      <c r="AF117" s="380"/>
      <c r="AG117" s="380"/>
      <c r="AH117" s="380"/>
      <c r="AI117" s="380"/>
      <c r="AJ117" s="380"/>
      <c r="AK117" s="403"/>
      <c r="AL117" s="380"/>
      <c r="AM117" s="380"/>
      <c r="AN117" s="380"/>
      <c r="AO117" s="380"/>
      <c r="AP117" s="380"/>
      <c r="AQ117" s="404"/>
      <c r="AR117" s="380"/>
      <c r="AS117" s="380"/>
      <c r="AT117" s="380"/>
      <c r="AU117" s="380"/>
      <c r="AV117" s="380"/>
      <c r="AW117" s="380"/>
      <c r="AX117" s="380"/>
      <c r="AY117" s="403"/>
      <c r="AZ117" s="380"/>
      <c r="BA117" s="380"/>
      <c r="BB117" s="380"/>
      <c r="BC117" s="380"/>
      <c r="BD117" s="380"/>
      <c r="BE117" s="404"/>
      <c r="BF117" s="380"/>
      <c r="BG117" s="380"/>
      <c r="BH117" s="380"/>
      <c r="BI117" s="380"/>
      <c r="BJ117" s="380"/>
      <c r="BK117" s="380"/>
      <c r="BL117" s="380"/>
      <c r="BM117" s="403"/>
      <c r="BS117" s="83"/>
      <c r="CA117" s="405"/>
      <c r="CG117" s="83"/>
      <c r="CO117" s="405"/>
      <c r="CU117" s="83"/>
      <c r="DC117" s="405"/>
      <c r="DI117" s="83"/>
      <c r="DQ117" s="405"/>
      <c r="DW117" s="83"/>
      <c r="EE117" s="405"/>
      <c r="EK117" s="83"/>
      <c r="ES117" s="405"/>
      <c r="EY117" s="83"/>
      <c r="FG117" s="405"/>
      <c r="FM117" s="83"/>
      <c r="FU117" s="405"/>
      <c r="GA117" s="83"/>
      <c r="GI117" s="405"/>
      <c r="GO117" s="83"/>
      <c r="GW117" s="405"/>
      <c r="HC117" s="83"/>
      <c r="HK117" s="405"/>
      <c r="HQ117" s="83"/>
      <c r="HY117" s="405"/>
      <c r="IE117" s="83"/>
      <c r="IM117" s="405"/>
      <c r="IS117" s="83"/>
      <c r="JA117" s="405"/>
      <c r="JG117" s="83"/>
      <c r="JO117" s="405"/>
      <c r="JU117" s="83"/>
      <c r="KC117" s="405"/>
      <c r="KI117" s="83"/>
      <c r="KQ117" s="405"/>
      <c r="KW117" s="83"/>
      <c r="LE117" s="405"/>
      <c r="LK117" s="83"/>
      <c r="LS117" s="405"/>
      <c r="LY117" s="83"/>
      <c r="MG117" s="405"/>
      <c r="MM117" s="83"/>
      <c r="MU117" s="405"/>
      <c r="NA117" s="83"/>
    </row>
    <row r="118">
      <c r="A118" s="483"/>
      <c r="B118" s="380"/>
      <c r="C118" s="380"/>
      <c r="D118" s="380"/>
      <c r="E118" s="380"/>
      <c r="F118" s="380"/>
      <c r="G118" s="380"/>
      <c r="H118" s="380"/>
      <c r="I118" s="403"/>
      <c r="J118" s="380"/>
      <c r="K118" s="380"/>
      <c r="L118" s="380"/>
      <c r="M118" s="380"/>
      <c r="N118" s="380"/>
      <c r="O118" s="404"/>
      <c r="P118" s="380"/>
      <c r="Q118" s="380"/>
      <c r="R118" s="380"/>
      <c r="S118" s="380"/>
      <c r="T118" s="380"/>
      <c r="U118" s="380"/>
      <c r="V118" s="380"/>
      <c r="W118" s="403"/>
      <c r="X118" s="380"/>
      <c r="Y118" s="380"/>
      <c r="Z118" s="380"/>
      <c r="AA118" s="380"/>
      <c r="AB118" s="380"/>
      <c r="AC118" s="404"/>
      <c r="AD118" s="380"/>
      <c r="AE118" s="380"/>
      <c r="AF118" s="380"/>
      <c r="AG118" s="380"/>
      <c r="AH118" s="380"/>
      <c r="AI118" s="380"/>
      <c r="AJ118" s="380"/>
      <c r="AK118" s="403"/>
      <c r="AL118" s="380"/>
      <c r="AM118" s="380"/>
      <c r="AN118" s="380"/>
      <c r="AO118" s="380"/>
      <c r="AP118" s="380"/>
      <c r="AQ118" s="404"/>
      <c r="AR118" s="380"/>
      <c r="AS118" s="380"/>
      <c r="AT118" s="380"/>
      <c r="AU118" s="380"/>
      <c r="AV118" s="380"/>
      <c r="AW118" s="380"/>
      <c r="AX118" s="380"/>
      <c r="AY118" s="403"/>
      <c r="AZ118" s="380"/>
      <c r="BA118" s="380"/>
      <c r="BB118" s="380"/>
      <c r="BC118" s="380"/>
      <c r="BD118" s="380"/>
      <c r="BE118" s="404"/>
      <c r="BF118" s="380"/>
      <c r="BG118" s="380"/>
      <c r="BH118" s="380"/>
      <c r="BI118" s="380"/>
      <c r="BJ118" s="380"/>
      <c r="BK118" s="380"/>
      <c r="BL118" s="380"/>
      <c r="BM118" s="403"/>
      <c r="BS118" s="83"/>
      <c r="CA118" s="405"/>
      <c r="CG118" s="83"/>
      <c r="CO118" s="405"/>
      <c r="CU118" s="83"/>
      <c r="DC118" s="405"/>
      <c r="DI118" s="83"/>
      <c r="DQ118" s="405"/>
      <c r="DW118" s="83"/>
      <c r="EE118" s="405"/>
      <c r="EK118" s="83"/>
      <c r="ES118" s="405"/>
      <c r="EY118" s="83"/>
      <c r="FG118" s="405"/>
      <c r="FM118" s="83"/>
      <c r="FU118" s="405"/>
      <c r="GA118" s="83"/>
      <c r="GI118" s="405"/>
      <c r="GO118" s="83"/>
      <c r="GW118" s="405"/>
      <c r="HC118" s="83"/>
      <c r="HK118" s="405"/>
      <c r="HQ118" s="83"/>
      <c r="HY118" s="405"/>
      <c r="IE118" s="83"/>
      <c r="IM118" s="405"/>
      <c r="IS118" s="83"/>
      <c r="JA118" s="405"/>
      <c r="JG118" s="83"/>
      <c r="JO118" s="405"/>
      <c r="JU118" s="83"/>
      <c r="KC118" s="405"/>
      <c r="KI118" s="83"/>
      <c r="KQ118" s="405"/>
      <c r="KW118" s="83"/>
      <c r="LE118" s="405"/>
      <c r="LK118" s="83"/>
      <c r="LS118" s="405"/>
      <c r="LY118" s="83"/>
      <c r="MG118" s="405"/>
      <c r="MM118" s="83"/>
      <c r="MU118" s="405"/>
      <c r="NA118" s="83"/>
    </row>
    <row r="119">
      <c r="A119" s="483"/>
      <c r="B119" s="380"/>
      <c r="C119" s="380"/>
      <c r="D119" s="380"/>
      <c r="E119" s="380"/>
      <c r="F119" s="380"/>
      <c r="G119" s="380"/>
      <c r="H119" s="380"/>
      <c r="I119" s="403"/>
      <c r="J119" s="380"/>
      <c r="K119" s="380"/>
      <c r="L119" s="380"/>
      <c r="M119" s="380"/>
      <c r="N119" s="380"/>
      <c r="O119" s="404"/>
      <c r="P119" s="380"/>
      <c r="Q119" s="380"/>
      <c r="R119" s="380"/>
      <c r="S119" s="380"/>
      <c r="T119" s="380"/>
      <c r="U119" s="380"/>
      <c r="V119" s="380"/>
      <c r="W119" s="403"/>
      <c r="X119" s="380"/>
      <c r="Y119" s="380"/>
      <c r="Z119" s="380"/>
      <c r="AA119" s="380"/>
      <c r="AB119" s="380"/>
      <c r="AC119" s="404"/>
      <c r="AD119" s="380"/>
      <c r="AE119" s="380"/>
      <c r="AF119" s="380"/>
      <c r="AG119" s="380"/>
      <c r="AH119" s="380"/>
      <c r="AI119" s="380"/>
      <c r="AJ119" s="380"/>
      <c r="AK119" s="403"/>
      <c r="AL119" s="380"/>
      <c r="AM119" s="380"/>
      <c r="AN119" s="380"/>
      <c r="AO119" s="380"/>
      <c r="AP119" s="380"/>
      <c r="AQ119" s="404"/>
      <c r="AR119" s="380"/>
      <c r="AS119" s="380"/>
      <c r="AT119" s="380"/>
      <c r="AU119" s="380"/>
      <c r="AV119" s="380"/>
      <c r="AW119" s="380"/>
      <c r="AX119" s="380"/>
      <c r="AY119" s="403"/>
      <c r="AZ119" s="380"/>
      <c r="BA119" s="380"/>
      <c r="BB119" s="380"/>
      <c r="BC119" s="380"/>
      <c r="BD119" s="380"/>
      <c r="BE119" s="404"/>
      <c r="BF119" s="380"/>
      <c r="BG119" s="380"/>
      <c r="BH119" s="380"/>
      <c r="BI119" s="380"/>
      <c r="BJ119" s="380"/>
      <c r="BK119" s="380"/>
      <c r="BL119" s="380"/>
      <c r="BM119" s="403"/>
      <c r="BS119" s="83"/>
      <c r="CA119" s="405"/>
      <c r="CG119" s="83"/>
      <c r="CO119" s="405"/>
      <c r="CU119" s="83"/>
      <c r="DC119" s="405"/>
      <c r="DI119" s="83"/>
      <c r="DQ119" s="405"/>
      <c r="DW119" s="83"/>
      <c r="EE119" s="405"/>
      <c r="EK119" s="83"/>
      <c r="ES119" s="405"/>
      <c r="EY119" s="83"/>
      <c r="FG119" s="405"/>
      <c r="FM119" s="83"/>
      <c r="FU119" s="405"/>
      <c r="GA119" s="83"/>
      <c r="GI119" s="405"/>
      <c r="GO119" s="83"/>
      <c r="GW119" s="405"/>
      <c r="HC119" s="83"/>
      <c r="HK119" s="405"/>
      <c r="HQ119" s="83"/>
      <c r="HY119" s="405"/>
      <c r="IE119" s="83"/>
      <c r="IM119" s="405"/>
      <c r="IS119" s="83"/>
      <c r="JA119" s="405"/>
      <c r="JG119" s="83"/>
      <c r="JO119" s="405"/>
      <c r="JU119" s="83"/>
      <c r="KC119" s="405"/>
      <c r="KI119" s="83"/>
      <c r="KQ119" s="405"/>
      <c r="KW119" s="83"/>
      <c r="LE119" s="405"/>
      <c r="LK119" s="83"/>
      <c r="LS119" s="405"/>
      <c r="LY119" s="83"/>
      <c r="MG119" s="405"/>
      <c r="MM119" s="83"/>
      <c r="MU119" s="405"/>
      <c r="NA119" s="83"/>
    </row>
    <row r="120">
      <c r="A120" s="483"/>
      <c r="B120" s="380"/>
      <c r="C120" s="380"/>
      <c r="D120" s="380"/>
      <c r="E120" s="380"/>
      <c r="F120" s="380"/>
      <c r="G120" s="380"/>
      <c r="H120" s="380"/>
      <c r="I120" s="403"/>
      <c r="J120" s="380"/>
      <c r="K120" s="380"/>
      <c r="L120" s="380"/>
      <c r="M120" s="380"/>
      <c r="N120" s="380"/>
      <c r="O120" s="404"/>
      <c r="P120" s="380"/>
      <c r="Q120" s="380"/>
      <c r="R120" s="380"/>
      <c r="S120" s="380"/>
      <c r="T120" s="380"/>
      <c r="U120" s="380"/>
      <c r="V120" s="380"/>
      <c r="W120" s="403"/>
      <c r="X120" s="380"/>
      <c r="Y120" s="380"/>
      <c r="Z120" s="380"/>
      <c r="AA120" s="380"/>
      <c r="AB120" s="380"/>
      <c r="AC120" s="404"/>
      <c r="AD120" s="380"/>
      <c r="AE120" s="380"/>
      <c r="AF120" s="380"/>
      <c r="AG120" s="380"/>
      <c r="AH120" s="380"/>
      <c r="AI120" s="380"/>
      <c r="AJ120" s="380"/>
      <c r="AK120" s="403"/>
      <c r="AL120" s="380"/>
      <c r="AM120" s="380"/>
      <c r="AN120" s="380"/>
      <c r="AO120" s="380"/>
      <c r="AP120" s="380"/>
      <c r="AQ120" s="404"/>
      <c r="AR120" s="380"/>
      <c r="AS120" s="380"/>
      <c r="AT120" s="380"/>
      <c r="AU120" s="380"/>
      <c r="AV120" s="380"/>
      <c r="AW120" s="380"/>
      <c r="AX120" s="380"/>
      <c r="AY120" s="403"/>
      <c r="AZ120" s="380"/>
      <c r="BA120" s="380"/>
      <c r="BB120" s="380"/>
      <c r="BC120" s="380"/>
      <c r="BD120" s="380"/>
      <c r="BE120" s="404"/>
      <c r="BF120" s="380"/>
      <c r="BG120" s="380"/>
      <c r="BH120" s="380"/>
      <c r="BI120" s="380"/>
      <c r="BJ120" s="380"/>
      <c r="BK120" s="380"/>
      <c r="BL120" s="380"/>
      <c r="BM120" s="403"/>
      <c r="BS120" s="83"/>
      <c r="CA120" s="405"/>
      <c r="CG120" s="83"/>
      <c r="CO120" s="405"/>
      <c r="CU120" s="83"/>
      <c r="DC120" s="405"/>
      <c r="DI120" s="83"/>
      <c r="DQ120" s="405"/>
      <c r="DW120" s="83"/>
      <c r="EE120" s="405"/>
      <c r="EK120" s="83"/>
      <c r="ES120" s="405"/>
      <c r="EY120" s="83"/>
      <c r="FG120" s="405"/>
      <c r="FM120" s="83"/>
      <c r="FU120" s="405"/>
      <c r="GA120" s="83"/>
      <c r="GI120" s="405"/>
      <c r="GO120" s="83"/>
      <c r="GW120" s="405"/>
      <c r="HC120" s="83"/>
      <c r="HK120" s="405"/>
      <c r="HQ120" s="83"/>
      <c r="HY120" s="405"/>
      <c r="IE120" s="83"/>
      <c r="IM120" s="405"/>
      <c r="IS120" s="83"/>
      <c r="JA120" s="405"/>
      <c r="JG120" s="83"/>
      <c r="JO120" s="405"/>
      <c r="JU120" s="83"/>
      <c r="KC120" s="405"/>
      <c r="KI120" s="83"/>
      <c r="KQ120" s="405"/>
      <c r="KW120" s="83"/>
      <c r="LE120" s="405"/>
      <c r="LK120" s="83"/>
      <c r="LS120" s="405"/>
      <c r="LY120" s="83"/>
      <c r="MG120" s="405"/>
      <c r="MM120" s="83"/>
      <c r="MU120" s="405"/>
      <c r="NA120" s="83"/>
    </row>
    <row r="121">
      <c r="A121" s="483"/>
      <c r="B121" s="380"/>
      <c r="C121" s="380"/>
      <c r="D121" s="380"/>
      <c r="E121" s="380"/>
      <c r="F121" s="380"/>
      <c r="G121" s="380"/>
      <c r="H121" s="380"/>
      <c r="I121" s="403"/>
      <c r="J121" s="380"/>
      <c r="K121" s="380"/>
      <c r="L121" s="380"/>
      <c r="M121" s="380"/>
      <c r="N121" s="380"/>
      <c r="O121" s="404"/>
      <c r="P121" s="380"/>
      <c r="Q121" s="380"/>
      <c r="R121" s="380"/>
      <c r="S121" s="380"/>
      <c r="T121" s="380"/>
      <c r="U121" s="380"/>
      <c r="V121" s="380"/>
      <c r="W121" s="403"/>
      <c r="X121" s="380"/>
      <c r="Y121" s="380"/>
      <c r="Z121" s="380"/>
      <c r="AA121" s="380"/>
      <c r="AB121" s="380"/>
      <c r="AC121" s="404"/>
      <c r="AD121" s="380"/>
      <c r="AE121" s="380"/>
      <c r="AF121" s="380"/>
      <c r="AG121" s="380"/>
      <c r="AH121" s="380"/>
      <c r="AI121" s="380"/>
      <c r="AJ121" s="380"/>
      <c r="AK121" s="403"/>
      <c r="AL121" s="380"/>
      <c r="AM121" s="380"/>
      <c r="AN121" s="380"/>
      <c r="AO121" s="380"/>
      <c r="AP121" s="380"/>
      <c r="AQ121" s="404"/>
      <c r="AR121" s="380"/>
      <c r="AS121" s="380"/>
      <c r="AT121" s="380"/>
      <c r="AU121" s="380"/>
      <c r="AV121" s="380"/>
      <c r="AW121" s="380"/>
      <c r="AX121" s="380"/>
      <c r="AY121" s="403"/>
      <c r="AZ121" s="380"/>
      <c r="BA121" s="380"/>
      <c r="BB121" s="380"/>
      <c r="BC121" s="380"/>
      <c r="BD121" s="380"/>
      <c r="BE121" s="404"/>
      <c r="BF121" s="380"/>
      <c r="BG121" s="380"/>
      <c r="BH121" s="380"/>
      <c r="BI121" s="380"/>
      <c r="BJ121" s="380"/>
      <c r="BK121" s="380"/>
      <c r="BL121" s="380"/>
      <c r="BM121" s="403"/>
      <c r="BS121" s="83"/>
      <c r="CA121" s="405"/>
      <c r="CG121" s="83"/>
      <c r="CO121" s="405"/>
      <c r="CU121" s="83"/>
      <c r="DC121" s="405"/>
      <c r="DI121" s="83"/>
      <c r="DQ121" s="405"/>
      <c r="DW121" s="83"/>
      <c r="EE121" s="405"/>
      <c r="EK121" s="83"/>
      <c r="ES121" s="405"/>
      <c r="EY121" s="83"/>
      <c r="FG121" s="405"/>
      <c r="FM121" s="83"/>
      <c r="FU121" s="405"/>
      <c r="GA121" s="83"/>
      <c r="GI121" s="405"/>
      <c r="GO121" s="83"/>
      <c r="GW121" s="405"/>
      <c r="HC121" s="83"/>
      <c r="HK121" s="405"/>
      <c r="HQ121" s="83"/>
      <c r="HY121" s="405"/>
      <c r="IE121" s="83"/>
      <c r="IM121" s="405"/>
      <c r="IS121" s="83"/>
      <c r="JA121" s="405"/>
      <c r="JG121" s="83"/>
      <c r="JO121" s="405"/>
      <c r="JU121" s="83"/>
      <c r="KC121" s="405"/>
      <c r="KI121" s="83"/>
      <c r="KQ121" s="405"/>
      <c r="KW121" s="83"/>
      <c r="LE121" s="405"/>
      <c r="LK121" s="83"/>
      <c r="LS121" s="405"/>
      <c r="LY121" s="83"/>
      <c r="MG121" s="405"/>
      <c r="MM121" s="83"/>
      <c r="MU121" s="405"/>
      <c r="NA121" s="83"/>
    </row>
    <row r="122">
      <c r="A122" s="483"/>
      <c r="B122" s="380"/>
      <c r="C122" s="380"/>
      <c r="D122" s="380"/>
      <c r="E122" s="380"/>
      <c r="F122" s="380"/>
      <c r="G122" s="380"/>
      <c r="H122" s="380"/>
      <c r="I122" s="403"/>
      <c r="J122" s="380"/>
      <c r="K122" s="380"/>
      <c r="L122" s="380"/>
      <c r="M122" s="380"/>
      <c r="N122" s="380"/>
      <c r="O122" s="404"/>
      <c r="P122" s="380"/>
      <c r="Q122" s="380"/>
      <c r="R122" s="380"/>
      <c r="S122" s="380"/>
      <c r="T122" s="380"/>
      <c r="U122" s="380"/>
      <c r="V122" s="380"/>
      <c r="W122" s="403"/>
      <c r="X122" s="380"/>
      <c r="Y122" s="380"/>
      <c r="Z122" s="380"/>
      <c r="AA122" s="380"/>
      <c r="AB122" s="380"/>
      <c r="AC122" s="404"/>
      <c r="AD122" s="380"/>
      <c r="AE122" s="380"/>
      <c r="AF122" s="380"/>
      <c r="AG122" s="380"/>
      <c r="AH122" s="380"/>
      <c r="AI122" s="380"/>
      <c r="AJ122" s="380"/>
      <c r="AK122" s="403"/>
      <c r="AL122" s="380"/>
      <c r="AM122" s="380"/>
      <c r="AN122" s="380"/>
      <c r="AO122" s="380"/>
      <c r="AP122" s="380"/>
      <c r="AQ122" s="404"/>
      <c r="AR122" s="380"/>
      <c r="AS122" s="380"/>
      <c r="AT122" s="380"/>
      <c r="AU122" s="380"/>
      <c r="AV122" s="380"/>
      <c r="AW122" s="380"/>
      <c r="AX122" s="380"/>
      <c r="AY122" s="403"/>
      <c r="AZ122" s="380"/>
      <c r="BA122" s="380"/>
      <c r="BB122" s="380"/>
      <c r="BC122" s="380"/>
      <c r="BD122" s="380"/>
      <c r="BE122" s="404"/>
      <c r="BF122" s="380"/>
      <c r="BG122" s="380"/>
      <c r="BH122" s="380"/>
      <c r="BI122" s="380"/>
      <c r="BJ122" s="380"/>
      <c r="BK122" s="380"/>
      <c r="BL122" s="380"/>
      <c r="BM122" s="403"/>
      <c r="BS122" s="83"/>
      <c r="CA122" s="405"/>
      <c r="CG122" s="83"/>
      <c r="CO122" s="405"/>
      <c r="CU122" s="83"/>
      <c r="DC122" s="405"/>
      <c r="DI122" s="83"/>
      <c r="DQ122" s="405"/>
      <c r="DW122" s="83"/>
      <c r="EE122" s="405"/>
      <c r="EK122" s="83"/>
      <c r="ES122" s="405"/>
      <c r="EY122" s="83"/>
      <c r="FG122" s="405"/>
      <c r="FM122" s="83"/>
      <c r="FU122" s="405"/>
      <c r="GA122" s="83"/>
      <c r="GI122" s="405"/>
      <c r="GO122" s="83"/>
      <c r="GW122" s="405"/>
      <c r="HC122" s="83"/>
      <c r="HK122" s="405"/>
      <c r="HQ122" s="83"/>
      <c r="HY122" s="405"/>
      <c r="IE122" s="83"/>
      <c r="IM122" s="405"/>
      <c r="IS122" s="83"/>
      <c r="JA122" s="405"/>
      <c r="JG122" s="83"/>
      <c r="JO122" s="405"/>
      <c r="JU122" s="83"/>
      <c r="KC122" s="405"/>
      <c r="KI122" s="83"/>
      <c r="KQ122" s="405"/>
      <c r="KW122" s="83"/>
      <c r="LE122" s="405"/>
      <c r="LK122" s="83"/>
      <c r="LS122" s="405"/>
      <c r="LY122" s="83"/>
      <c r="MG122" s="405"/>
      <c r="MM122" s="83"/>
      <c r="MU122" s="405"/>
      <c r="NA122" s="83"/>
    </row>
    <row r="123">
      <c r="A123" s="483"/>
      <c r="B123" s="380"/>
      <c r="C123" s="380"/>
      <c r="D123" s="380"/>
      <c r="E123" s="380"/>
      <c r="F123" s="380"/>
      <c r="G123" s="380"/>
      <c r="H123" s="380"/>
      <c r="I123" s="403"/>
      <c r="J123" s="380"/>
      <c r="K123" s="380"/>
      <c r="L123" s="380"/>
      <c r="M123" s="380"/>
      <c r="N123" s="380"/>
      <c r="O123" s="404"/>
      <c r="P123" s="380"/>
      <c r="Q123" s="380"/>
      <c r="R123" s="380"/>
      <c r="S123" s="380"/>
      <c r="T123" s="380"/>
      <c r="U123" s="380"/>
      <c r="V123" s="380"/>
      <c r="W123" s="403"/>
      <c r="X123" s="380"/>
      <c r="Y123" s="380"/>
      <c r="Z123" s="380"/>
      <c r="AA123" s="380"/>
      <c r="AB123" s="380"/>
      <c r="AC123" s="404"/>
      <c r="AD123" s="380"/>
      <c r="AE123" s="380"/>
      <c r="AF123" s="380"/>
      <c r="AG123" s="380"/>
      <c r="AH123" s="380"/>
      <c r="AI123" s="380"/>
      <c r="AJ123" s="380"/>
      <c r="AK123" s="403"/>
      <c r="AL123" s="380"/>
      <c r="AM123" s="380"/>
      <c r="AN123" s="380"/>
      <c r="AO123" s="380"/>
      <c r="AP123" s="380"/>
      <c r="AQ123" s="404"/>
      <c r="AR123" s="380"/>
      <c r="AS123" s="380"/>
      <c r="AT123" s="380"/>
      <c r="AU123" s="380"/>
      <c r="AV123" s="380"/>
      <c r="AW123" s="380"/>
      <c r="AX123" s="380"/>
      <c r="AY123" s="403"/>
      <c r="AZ123" s="380"/>
      <c r="BA123" s="380"/>
      <c r="BB123" s="380"/>
      <c r="BC123" s="380"/>
      <c r="BD123" s="380"/>
      <c r="BE123" s="404"/>
      <c r="BF123" s="380"/>
      <c r="BG123" s="380"/>
      <c r="BH123" s="380"/>
      <c r="BI123" s="380"/>
      <c r="BJ123" s="380"/>
      <c r="BK123" s="380"/>
      <c r="BL123" s="380"/>
      <c r="BM123" s="403"/>
      <c r="BS123" s="83"/>
      <c r="CA123" s="405"/>
      <c r="CG123" s="83"/>
      <c r="CO123" s="405"/>
      <c r="CU123" s="83"/>
      <c r="DC123" s="405"/>
      <c r="DI123" s="83"/>
      <c r="DQ123" s="405"/>
      <c r="DW123" s="83"/>
      <c r="EE123" s="405"/>
      <c r="EK123" s="83"/>
      <c r="ES123" s="405"/>
      <c r="EY123" s="83"/>
      <c r="FG123" s="405"/>
      <c r="FM123" s="83"/>
      <c r="FU123" s="405"/>
      <c r="GA123" s="83"/>
      <c r="GI123" s="405"/>
      <c r="GO123" s="83"/>
      <c r="GW123" s="405"/>
      <c r="HC123" s="83"/>
      <c r="HK123" s="405"/>
      <c r="HQ123" s="83"/>
      <c r="HY123" s="405"/>
      <c r="IE123" s="83"/>
      <c r="IM123" s="405"/>
      <c r="IS123" s="83"/>
      <c r="JA123" s="405"/>
      <c r="JG123" s="83"/>
      <c r="JO123" s="405"/>
      <c r="JU123" s="83"/>
      <c r="KC123" s="405"/>
      <c r="KI123" s="83"/>
      <c r="KQ123" s="405"/>
      <c r="KW123" s="83"/>
      <c r="LE123" s="405"/>
      <c r="LK123" s="83"/>
      <c r="LS123" s="405"/>
      <c r="LY123" s="83"/>
      <c r="MG123" s="405"/>
      <c r="MM123" s="83"/>
      <c r="MU123" s="405"/>
      <c r="NA123" s="83"/>
    </row>
    <row r="124">
      <c r="A124" s="483"/>
      <c r="B124" s="380"/>
      <c r="C124" s="380"/>
      <c r="D124" s="380"/>
      <c r="E124" s="380"/>
      <c r="F124" s="380"/>
      <c r="G124" s="380"/>
      <c r="H124" s="380"/>
      <c r="I124" s="403"/>
      <c r="J124" s="380"/>
      <c r="K124" s="380"/>
      <c r="L124" s="380"/>
      <c r="M124" s="380"/>
      <c r="N124" s="380"/>
      <c r="O124" s="404"/>
      <c r="P124" s="380"/>
      <c r="Q124" s="380"/>
      <c r="R124" s="380"/>
      <c r="S124" s="380"/>
      <c r="T124" s="380"/>
      <c r="U124" s="380"/>
      <c r="V124" s="380"/>
      <c r="W124" s="403"/>
      <c r="X124" s="380"/>
      <c r="Y124" s="380"/>
      <c r="Z124" s="380"/>
      <c r="AA124" s="380"/>
      <c r="AB124" s="380"/>
      <c r="AC124" s="404"/>
      <c r="AD124" s="380"/>
      <c r="AE124" s="380"/>
      <c r="AF124" s="380"/>
      <c r="AG124" s="380"/>
      <c r="AH124" s="380"/>
      <c r="AI124" s="380"/>
      <c r="AJ124" s="380"/>
      <c r="AK124" s="403"/>
      <c r="AL124" s="380"/>
      <c r="AM124" s="380"/>
      <c r="AN124" s="380"/>
      <c r="AO124" s="380"/>
      <c r="AP124" s="380"/>
      <c r="AQ124" s="404"/>
      <c r="AR124" s="380"/>
      <c r="AS124" s="380"/>
      <c r="AT124" s="380"/>
      <c r="AU124" s="380"/>
      <c r="AV124" s="380"/>
      <c r="AW124" s="380"/>
      <c r="AX124" s="380"/>
      <c r="AY124" s="403"/>
      <c r="AZ124" s="380"/>
      <c r="BA124" s="380"/>
      <c r="BB124" s="380"/>
      <c r="BC124" s="380"/>
      <c r="BD124" s="380"/>
      <c r="BE124" s="404"/>
      <c r="BF124" s="380"/>
      <c r="BG124" s="380"/>
      <c r="BH124" s="380"/>
      <c r="BI124" s="380"/>
      <c r="BJ124" s="380"/>
      <c r="BK124" s="380"/>
      <c r="BL124" s="380"/>
      <c r="BM124" s="403"/>
      <c r="BS124" s="83"/>
      <c r="CA124" s="405"/>
      <c r="CG124" s="83"/>
      <c r="CO124" s="405"/>
      <c r="CU124" s="83"/>
      <c r="DC124" s="405"/>
      <c r="DI124" s="83"/>
      <c r="DQ124" s="405"/>
      <c r="DW124" s="83"/>
      <c r="EE124" s="405"/>
      <c r="EK124" s="83"/>
      <c r="ES124" s="405"/>
      <c r="EY124" s="83"/>
      <c r="FG124" s="405"/>
      <c r="FM124" s="83"/>
      <c r="FU124" s="405"/>
      <c r="GA124" s="83"/>
      <c r="GI124" s="405"/>
      <c r="GO124" s="83"/>
      <c r="GW124" s="405"/>
      <c r="HC124" s="83"/>
      <c r="HK124" s="405"/>
      <c r="HQ124" s="83"/>
      <c r="HY124" s="405"/>
      <c r="IE124" s="83"/>
      <c r="IM124" s="405"/>
      <c r="IS124" s="83"/>
      <c r="JA124" s="405"/>
      <c r="JG124" s="83"/>
      <c r="JO124" s="405"/>
      <c r="JU124" s="83"/>
      <c r="KC124" s="405"/>
      <c r="KI124" s="83"/>
      <c r="KQ124" s="405"/>
      <c r="KW124" s="83"/>
      <c r="LE124" s="405"/>
      <c r="LK124" s="83"/>
      <c r="LS124" s="405"/>
      <c r="LY124" s="83"/>
      <c r="MG124" s="405"/>
      <c r="MM124" s="83"/>
      <c r="MU124" s="405"/>
      <c r="NA124" s="83"/>
    </row>
    <row r="125">
      <c r="A125" s="483"/>
      <c r="B125" s="380"/>
      <c r="C125" s="380"/>
      <c r="D125" s="380"/>
      <c r="E125" s="380"/>
      <c r="F125" s="380"/>
      <c r="G125" s="380"/>
      <c r="H125" s="380"/>
      <c r="I125" s="403"/>
      <c r="J125" s="380"/>
      <c r="K125" s="380"/>
      <c r="L125" s="380"/>
      <c r="M125" s="380"/>
      <c r="N125" s="380"/>
      <c r="O125" s="404"/>
      <c r="P125" s="380"/>
      <c r="Q125" s="380"/>
      <c r="R125" s="380"/>
      <c r="S125" s="380"/>
      <c r="T125" s="380"/>
      <c r="U125" s="380"/>
      <c r="V125" s="380"/>
      <c r="W125" s="403"/>
      <c r="X125" s="380"/>
      <c r="Y125" s="380"/>
      <c r="Z125" s="380"/>
      <c r="AA125" s="380"/>
      <c r="AB125" s="380"/>
      <c r="AC125" s="404"/>
      <c r="AD125" s="380"/>
      <c r="AE125" s="380"/>
      <c r="AF125" s="380"/>
      <c r="AG125" s="380"/>
      <c r="AH125" s="380"/>
      <c r="AI125" s="380"/>
      <c r="AJ125" s="380"/>
      <c r="AK125" s="403"/>
      <c r="AL125" s="380"/>
      <c r="AM125" s="380"/>
      <c r="AN125" s="380"/>
      <c r="AO125" s="380"/>
      <c r="AP125" s="380"/>
      <c r="AQ125" s="404"/>
      <c r="AR125" s="380"/>
      <c r="AS125" s="380"/>
      <c r="AT125" s="380"/>
      <c r="AU125" s="380"/>
      <c r="AV125" s="380"/>
      <c r="AW125" s="380"/>
      <c r="AX125" s="380"/>
      <c r="AY125" s="403"/>
      <c r="AZ125" s="380"/>
      <c r="BA125" s="380"/>
      <c r="BB125" s="380"/>
      <c r="BC125" s="380"/>
      <c r="BD125" s="380"/>
      <c r="BE125" s="404"/>
      <c r="BF125" s="380"/>
      <c r="BG125" s="380"/>
      <c r="BH125" s="380"/>
      <c r="BI125" s="380"/>
      <c r="BJ125" s="380"/>
      <c r="BK125" s="380"/>
      <c r="BL125" s="380"/>
      <c r="BM125" s="403"/>
      <c r="BS125" s="83"/>
      <c r="CA125" s="405"/>
      <c r="CG125" s="83"/>
      <c r="CO125" s="405"/>
      <c r="CU125" s="83"/>
      <c r="DC125" s="405"/>
      <c r="DI125" s="83"/>
      <c r="DQ125" s="405"/>
      <c r="DW125" s="83"/>
      <c r="EE125" s="405"/>
      <c r="EK125" s="83"/>
      <c r="ES125" s="405"/>
      <c r="EY125" s="83"/>
      <c r="FG125" s="405"/>
      <c r="FM125" s="83"/>
      <c r="FU125" s="405"/>
      <c r="GA125" s="83"/>
      <c r="GI125" s="405"/>
      <c r="GO125" s="83"/>
      <c r="GW125" s="405"/>
      <c r="HC125" s="83"/>
      <c r="HK125" s="405"/>
      <c r="HQ125" s="83"/>
      <c r="HY125" s="405"/>
      <c r="IE125" s="83"/>
      <c r="IM125" s="405"/>
      <c r="IS125" s="83"/>
      <c r="JA125" s="405"/>
      <c r="JG125" s="83"/>
      <c r="JO125" s="405"/>
      <c r="JU125" s="83"/>
      <c r="KC125" s="405"/>
      <c r="KI125" s="83"/>
      <c r="KQ125" s="405"/>
      <c r="KW125" s="83"/>
      <c r="LE125" s="405"/>
      <c r="LK125" s="83"/>
      <c r="LS125" s="405"/>
      <c r="LY125" s="83"/>
      <c r="MG125" s="405"/>
      <c r="MM125" s="83"/>
      <c r="MU125" s="405"/>
      <c r="NA125" s="83"/>
    </row>
    <row r="126">
      <c r="A126" s="483"/>
      <c r="B126" s="380"/>
      <c r="C126" s="380"/>
      <c r="D126" s="380"/>
      <c r="E126" s="380"/>
      <c r="F126" s="380"/>
      <c r="G126" s="380"/>
      <c r="H126" s="380"/>
      <c r="I126" s="403"/>
      <c r="J126" s="380"/>
      <c r="K126" s="380"/>
      <c r="L126" s="380"/>
      <c r="M126" s="380"/>
      <c r="N126" s="380"/>
      <c r="O126" s="404"/>
      <c r="P126" s="380"/>
      <c r="Q126" s="380"/>
      <c r="R126" s="380"/>
      <c r="S126" s="380"/>
      <c r="T126" s="380"/>
      <c r="U126" s="380"/>
      <c r="V126" s="380"/>
      <c r="W126" s="403"/>
      <c r="X126" s="380"/>
      <c r="Y126" s="380"/>
      <c r="Z126" s="380"/>
      <c r="AA126" s="380"/>
      <c r="AB126" s="380"/>
      <c r="AC126" s="404"/>
      <c r="AD126" s="380"/>
      <c r="AE126" s="380"/>
      <c r="AF126" s="380"/>
      <c r="AG126" s="380"/>
      <c r="AH126" s="380"/>
      <c r="AI126" s="380"/>
      <c r="AJ126" s="380"/>
      <c r="AK126" s="403"/>
      <c r="AL126" s="380"/>
      <c r="AM126" s="380"/>
      <c r="AN126" s="380"/>
      <c r="AO126" s="380"/>
      <c r="AP126" s="380"/>
      <c r="AQ126" s="404"/>
      <c r="AR126" s="380"/>
      <c r="AS126" s="380"/>
      <c r="AT126" s="380"/>
      <c r="AU126" s="380"/>
      <c r="AV126" s="380"/>
      <c r="AW126" s="380"/>
      <c r="AX126" s="380"/>
      <c r="AY126" s="403"/>
      <c r="AZ126" s="380"/>
      <c r="BA126" s="380"/>
      <c r="BB126" s="380"/>
      <c r="BC126" s="380"/>
      <c r="BD126" s="380"/>
      <c r="BE126" s="404"/>
      <c r="BF126" s="380"/>
      <c r="BG126" s="380"/>
      <c r="BH126" s="380"/>
      <c r="BI126" s="380"/>
      <c r="BJ126" s="380"/>
      <c r="BK126" s="380"/>
      <c r="BL126" s="380"/>
      <c r="BM126" s="403"/>
      <c r="BS126" s="83"/>
      <c r="CA126" s="405"/>
      <c r="CG126" s="83"/>
      <c r="CO126" s="405"/>
      <c r="CU126" s="83"/>
      <c r="DC126" s="405"/>
      <c r="DI126" s="83"/>
      <c r="DQ126" s="405"/>
      <c r="DW126" s="83"/>
      <c r="EE126" s="405"/>
      <c r="EK126" s="83"/>
      <c r="ES126" s="405"/>
      <c r="EY126" s="83"/>
      <c r="FG126" s="405"/>
      <c r="FM126" s="83"/>
      <c r="FU126" s="405"/>
      <c r="GA126" s="83"/>
      <c r="GI126" s="405"/>
      <c r="GO126" s="83"/>
      <c r="GW126" s="405"/>
      <c r="HC126" s="83"/>
      <c r="HK126" s="405"/>
      <c r="HQ126" s="83"/>
      <c r="HY126" s="405"/>
      <c r="IE126" s="83"/>
      <c r="IM126" s="405"/>
      <c r="IS126" s="83"/>
      <c r="JA126" s="405"/>
      <c r="JG126" s="83"/>
      <c r="JO126" s="405"/>
      <c r="JU126" s="83"/>
      <c r="KC126" s="405"/>
      <c r="KI126" s="83"/>
      <c r="KQ126" s="405"/>
      <c r="KW126" s="83"/>
      <c r="LE126" s="405"/>
      <c r="LK126" s="83"/>
      <c r="LS126" s="405"/>
      <c r="LY126" s="83"/>
      <c r="MG126" s="405"/>
      <c r="MM126" s="83"/>
      <c r="MU126" s="405"/>
      <c r="NA126" s="83"/>
    </row>
    <row r="127">
      <c r="A127" s="483"/>
      <c r="B127" s="380"/>
      <c r="C127" s="380"/>
      <c r="D127" s="380"/>
      <c r="E127" s="380"/>
      <c r="F127" s="380"/>
      <c r="G127" s="380"/>
      <c r="H127" s="380"/>
      <c r="I127" s="403"/>
      <c r="J127" s="380"/>
      <c r="K127" s="380"/>
      <c r="L127" s="380"/>
      <c r="M127" s="380"/>
      <c r="N127" s="380"/>
      <c r="O127" s="404"/>
      <c r="P127" s="380"/>
      <c r="Q127" s="380"/>
      <c r="R127" s="380"/>
      <c r="S127" s="380"/>
      <c r="T127" s="380"/>
      <c r="U127" s="380"/>
      <c r="V127" s="380"/>
      <c r="W127" s="403"/>
      <c r="X127" s="380"/>
      <c r="Y127" s="380"/>
      <c r="Z127" s="380"/>
      <c r="AA127" s="380"/>
      <c r="AB127" s="380"/>
      <c r="AC127" s="404"/>
      <c r="AD127" s="380"/>
      <c r="AE127" s="380"/>
      <c r="AF127" s="380"/>
      <c r="AG127" s="380"/>
      <c r="AH127" s="380"/>
      <c r="AI127" s="380"/>
      <c r="AJ127" s="380"/>
      <c r="AK127" s="403"/>
      <c r="AL127" s="380"/>
      <c r="AM127" s="380"/>
      <c r="AN127" s="380"/>
      <c r="AO127" s="380"/>
      <c r="AP127" s="380"/>
      <c r="AQ127" s="404"/>
      <c r="AR127" s="380"/>
      <c r="AS127" s="380"/>
      <c r="AT127" s="380"/>
      <c r="AU127" s="380"/>
      <c r="AV127" s="380"/>
      <c r="AW127" s="380"/>
      <c r="AX127" s="380"/>
      <c r="AY127" s="403"/>
      <c r="AZ127" s="380"/>
      <c r="BA127" s="380"/>
      <c r="BB127" s="380"/>
      <c r="BC127" s="380"/>
      <c r="BD127" s="380"/>
      <c r="BE127" s="404"/>
      <c r="BF127" s="380"/>
      <c r="BG127" s="380"/>
      <c r="BH127" s="380"/>
      <c r="BI127" s="380"/>
      <c r="BJ127" s="380"/>
      <c r="BK127" s="380"/>
      <c r="BL127" s="380"/>
      <c r="BM127" s="403"/>
      <c r="BS127" s="83"/>
      <c r="CA127" s="405"/>
      <c r="CG127" s="83"/>
      <c r="CO127" s="405"/>
      <c r="CU127" s="83"/>
      <c r="DC127" s="405"/>
      <c r="DI127" s="83"/>
      <c r="DQ127" s="405"/>
      <c r="DW127" s="83"/>
      <c r="EE127" s="405"/>
      <c r="EK127" s="83"/>
      <c r="ES127" s="405"/>
      <c r="EY127" s="83"/>
      <c r="FG127" s="405"/>
      <c r="FM127" s="83"/>
      <c r="FU127" s="405"/>
      <c r="GA127" s="83"/>
      <c r="GI127" s="405"/>
      <c r="GO127" s="83"/>
      <c r="GW127" s="405"/>
      <c r="HC127" s="83"/>
      <c r="HK127" s="405"/>
      <c r="HQ127" s="83"/>
      <c r="HY127" s="405"/>
      <c r="IE127" s="83"/>
      <c r="IM127" s="405"/>
      <c r="IS127" s="83"/>
      <c r="JA127" s="405"/>
      <c r="JG127" s="83"/>
      <c r="JO127" s="405"/>
      <c r="JU127" s="83"/>
      <c r="KC127" s="405"/>
      <c r="KI127" s="83"/>
      <c r="KQ127" s="405"/>
      <c r="KW127" s="83"/>
      <c r="LE127" s="405"/>
      <c r="LK127" s="83"/>
      <c r="LS127" s="405"/>
      <c r="LY127" s="83"/>
      <c r="MG127" s="405"/>
      <c r="MM127" s="83"/>
      <c r="MU127" s="405"/>
      <c r="NA127" s="83"/>
    </row>
    <row r="128">
      <c r="A128" s="483"/>
      <c r="B128" s="380"/>
      <c r="C128" s="380"/>
      <c r="D128" s="380"/>
      <c r="E128" s="380"/>
      <c r="F128" s="380"/>
      <c r="G128" s="380"/>
      <c r="H128" s="380"/>
      <c r="I128" s="403"/>
      <c r="J128" s="380"/>
      <c r="K128" s="380"/>
      <c r="L128" s="380"/>
      <c r="M128" s="380"/>
      <c r="N128" s="380"/>
      <c r="O128" s="404"/>
      <c r="P128" s="380"/>
      <c r="Q128" s="380"/>
      <c r="R128" s="380"/>
      <c r="S128" s="380"/>
      <c r="T128" s="380"/>
      <c r="U128" s="380"/>
      <c r="V128" s="380"/>
      <c r="W128" s="403"/>
      <c r="X128" s="380"/>
      <c r="Y128" s="380"/>
      <c r="Z128" s="380"/>
      <c r="AA128" s="380"/>
      <c r="AB128" s="380"/>
      <c r="AC128" s="404"/>
      <c r="AD128" s="380"/>
      <c r="AE128" s="380"/>
      <c r="AF128" s="380"/>
      <c r="AG128" s="380"/>
      <c r="AH128" s="380"/>
      <c r="AI128" s="380"/>
      <c r="AJ128" s="380"/>
      <c r="AK128" s="403"/>
      <c r="AL128" s="380"/>
      <c r="AM128" s="380"/>
      <c r="AN128" s="380"/>
      <c r="AO128" s="380"/>
      <c r="AP128" s="380"/>
      <c r="AQ128" s="404"/>
      <c r="AR128" s="380"/>
      <c r="AS128" s="380"/>
      <c r="AT128" s="380"/>
      <c r="AU128" s="380"/>
      <c r="AV128" s="380"/>
      <c r="AW128" s="380"/>
      <c r="AX128" s="380"/>
      <c r="AY128" s="403"/>
      <c r="AZ128" s="380"/>
      <c r="BA128" s="380"/>
      <c r="BB128" s="380"/>
      <c r="BC128" s="380"/>
      <c r="BD128" s="380"/>
      <c r="BE128" s="404"/>
      <c r="BF128" s="380"/>
      <c r="BG128" s="380"/>
      <c r="BH128" s="380"/>
      <c r="BI128" s="380"/>
      <c r="BJ128" s="380"/>
      <c r="BK128" s="380"/>
      <c r="BL128" s="380"/>
      <c r="BM128" s="403"/>
      <c r="BS128" s="83"/>
      <c r="CA128" s="405"/>
      <c r="CG128" s="83"/>
      <c r="CO128" s="405"/>
      <c r="CU128" s="83"/>
      <c r="DC128" s="405"/>
      <c r="DI128" s="83"/>
      <c r="DQ128" s="405"/>
      <c r="DW128" s="83"/>
      <c r="EE128" s="405"/>
      <c r="EK128" s="83"/>
      <c r="ES128" s="405"/>
      <c r="EY128" s="83"/>
      <c r="FG128" s="405"/>
      <c r="FM128" s="83"/>
      <c r="FU128" s="405"/>
      <c r="GA128" s="83"/>
      <c r="GI128" s="405"/>
      <c r="GO128" s="83"/>
      <c r="GW128" s="405"/>
      <c r="HC128" s="83"/>
      <c r="HK128" s="405"/>
      <c r="HQ128" s="83"/>
      <c r="HY128" s="405"/>
      <c r="IE128" s="83"/>
      <c r="IM128" s="405"/>
      <c r="IS128" s="83"/>
      <c r="JA128" s="405"/>
      <c r="JG128" s="83"/>
      <c r="JO128" s="405"/>
      <c r="JU128" s="83"/>
      <c r="KC128" s="405"/>
      <c r="KI128" s="83"/>
      <c r="KQ128" s="405"/>
      <c r="KW128" s="83"/>
      <c r="LE128" s="405"/>
      <c r="LK128" s="83"/>
      <c r="LS128" s="405"/>
      <c r="LY128" s="83"/>
      <c r="MG128" s="405"/>
      <c r="MM128" s="83"/>
      <c r="MU128" s="405"/>
      <c r="NA128" s="83"/>
    </row>
    <row r="129">
      <c r="A129" s="483"/>
      <c r="B129" s="380"/>
      <c r="C129" s="380"/>
      <c r="D129" s="380"/>
      <c r="E129" s="380"/>
      <c r="F129" s="380"/>
      <c r="G129" s="380"/>
      <c r="H129" s="380"/>
      <c r="I129" s="403"/>
      <c r="J129" s="380"/>
      <c r="K129" s="380"/>
      <c r="L129" s="380"/>
      <c r="M129" s="380"/>
      <c r="N129" s="380"/>
      <c r="O129" s="404"/>
      <c r="P129" s="380"/>
      <c r="Q129" s="380"/>
      <c r="R129" s="380"/>
      <c r="S129" s="380"/>
      <c r="T129" s="380"/>
      <c r="U129" s="380"/>
      <c r="V129" s="380"/>
      <c r="W129" s="403"/>
      <c r="X129" s="380"/>
      <c r="Y129" s="380"/>
      <c r="Z129" s="380"/>
      <c r="AA129" s="380"/>
      <c r="AB129" s="380"/>
      <c r="AC129" s="404"/>
      <c r="AD129" s="380"/>
      <c r="AE129" s="380"/>
      <c r="AF129" s="380"/>
      <c r="AG129" s="380"/>
      <c r="AH129" s="380"/>
      <c r="AI129" s="380"/>
      <c r="AJ129" s="380"/>
      <c r="AK129" s="403"/>
      <c r="AL129" s="380"/>
      <c r="AM129" s="380"/>
      <c r="AN129" s="380"/>
      <c r="AO129" s="380"/>
      <c r="AP129" s="380"/>
      <c r="AQ129" s="404"/>
      <c r="AR129" s="380"/>
      <c r="AS129" s="380"/>
      <c r="AT129" s="380"/>
      <c r="AU129" s="380"/>
      <c r="AV129" s="380"/>
      <c r="AW129" s="380"/>
      <c r="AX129" s="380"/>
      <c r="AY129" s="403"/>
      <c r="AZ129" s="380"/>
      <c r="BA129" s="380"/>
      <c r="BB129" s="380"/>
      <c r="BC129" s="380"/>
      <c r="BD129" s="380"/>
      <c r="BE129" s="404"/>
      <c r="BF129" s="380"/>
      <c r="BG129" s="380"/>
      <c r="BH129" s="380"/>
      <c r="BI129" s="380"/>
      <c r="BJ129" s="380"/>
      <c r="BK129" s="380"/>
      <c r="BL129" s="380"/>
      <c r="BM129" s="403"/>
      <c r="BS129" s="83"/>
      <c r="CA129" s="405"/>
      <c r="CG129" s="83"/>
      <c r="CO129" s="405"/>
      <c r="CU129" s="83"/>
      <c r="DC129" s="405"/>
      <c r="DI129" s="83"/>
      <c r="DQ129" s="405"/>
      <c r="DW129" s="83"/>
      <c r="EE129" s="405"/>
      <c r="EK129" s="83"/>
      <c r="ES129" s="405"/>
      <c r="EY129" s="83"/>
      <c r="FG129" s="405"/>
      <c r="FM129" s="83"/>
      <c r="FU129" s="405"/>
      <c r="GA129" s="83"/>
      <c r="GI129" s="405"/>
      <c r="GO129" s="83"/>
      <c r="GW129" s="405"/>
      <c r="HC129" s="83"/>
      <c r="HK129" s="405"/>
      <c r="HQ129" s="83"/>
      <c r="HY129" s="405"/>
      <c r="IE129" s="83"/>
      <c r="IM129" s="405"/>
      <c r="IS129" s="83"/>
      <c r="JA129" s="405"/>
      <c r="JG129" s="83"/>
      <c r="JO129" s="405"/>
      <c r="JU129" s="83"/>
      <c r="KC129" s="405"/>
      <c r="KI129" s="83"/>
      <c r="KQ129" s="405"/>
      <c r="KW129" s="83"/>
      <c r="LE129" s="405"/>
      <c r="LK129" s="83"/>
      <c r="LS129" s="405"/>
      <c r="LY129" s="83"/>
      <c r="MG129" s="405"/>
      <c r="MM129" s="83"/>
      <c r="MU129" s="405"/>
      <c r="NA129" s="83"/>
    </row>
    <row r="130">
      <c r="A130" s="483"/>
      <c r="B130" s="380"/>
      <c r="C130" s="380"/>
      <c r="D130" s="380"/>
      <c r="E130" s="380"/>
      <c r="F130" s="380"/>
      <c r="G130" s="380"/>
      <c r="H130" s="380"/>
      <c r="I130" s="403"/>
      <c r="J130" s="380"/>
      <c r="K130" s="380"/>
      <c r="L130" s="380"/>
      <c r="M130" s="380"/>
      <c r="N130" s="380"/>
      <c r="O130" s="404"/>
      <c r="P130" s="380"/>
      <c r="Q130" s="380"/>
      <c r="R130" s="380"/>
      <c r="S130" s="380"/>
      <c r="T130" s="380"/>
      <c r="U130" s="380"/>
      <c r="V130" s="380"/>
      <c r="W130" s="403"/>
      <c r="X130" s="380"/>
      <c r="Y130" s="380"/>
      <c r="Z130" s="380"/>
      <c r="AA130" s="380"/>
      <c r="AB130" s="380"/>
      <c r="AC130" s="404"/>
      <c r="AD130" s="380"/>
      <c r="AE130" s="380"/>
      <c r="AF130" s="380"/>
      <c r="AG130" s="380"/>
      <c r="AH130" s="380"/>
      <c r="AI130" s="380"/>
      <c r="AJ130" s="380"/>
      <c r="AK130" s="403"/>
      <c r="AL130" s="380"/>
      <c r="AM130" s="380"/>
      <c r="AN130" s="380"/>
      <c r="AO130" s="380"/>
      <c r="AP130" s="380"/>
      <c r="AQ130" s="404"/>
      <c r="AR130" s="380"/>
      <c r="AS130" s="380"/>
      <c r="AT130" s="380"/>
      <c r="AU130" s="380"/>
      <c r="AV130" s="380"/>
      <c r="AW130" s="380"/>
      <c r="AX130" s="380"/>
      <c r="AY130" s="403"/>
      <c r="AZ130" s="380"/>
      <c r="BA130" s="380"/>
      <c r="BB130" s="380"/>
      <c r="BC130" s="380"/>
      <c r="BD130" s="380"/>
      <c r="BE130" s="404"/>
      <c r="BF130" s="380"/>
      <c r="BG130" s="380"/>
      <c r="BH130" s="380"/>
      <c r="BI130" s="380"/>
      <c r="BJ130" s="380"/>
      <c r="BK130" s="380"/>
      <c r="BL130" s="380"/>
      <c r="BM130" s="403"/>
      <c r="BS130" s="83"/>
      <c r="CA130" s="405"/>
      <c r="CG130" s="83"/>
      <c r="CO130" s="405"/>
      <c r="CU130" s="83"/>
      <c r="DC130" s="405"/>
      <c r="DI130" s="83"/>
      <c r="DQ130" s="405"/>
      <c r="DW130" s="83"/>
      <c r="EE130" s="405"/>
      <c r="EK130" s="83"/>
      <c r="ES130" s="405"/>
      <c r="EY130" s="83"/>
      <c r="FG130" s="405"/>
      <c r="FM130" s="83"/>
      <c r="FU130" s="405"/>
      <c r="GA130" s="83"/>
      <c r="GI130" s="405"/>
      <c r="GO130" s="83"/>
      <c r="GW130" s="405"/>
      <c r="HC130" s="83"/>
      <c r="HK130" s="405"/>
      <c r="HQ130" s="83"/>
      <c r="HY130" s="405"/>
      <c r="IE130" s="83"/>
      <c r="IM130" s="405"/>
      <c r="IS130" s="83"/>
      <c r="JA130" s="405"/>
      <c r="JG130" s="83"/>
      <c r="JO130" s="405"/>
      <c r="JU130" s="83"/>
      <c r="KC130" s="405"/>
      <c r="KI130" s="83"/>
      <c r="KQ130" s="405"/>
      <c r="KW130" s="83"/>
      <c r="LE130" s="405"/>
      <c r="LK130" s="83"/>
      <c r="LS130" s="405"/>
      <c r="LY130" s="83"/>
      <c r="MG130" s="405"/>
      <c r="MM130" s="83"/>
      <c r="MU130" s="405"/>
      <c r="NA130" s="83"/>
    </row>
    <row r="131">
      <c r="A131" s="483"/>
      <c r="B131" s="380"/>
      <c r="C131" s="380"/>
      <c r="D131" s="380"/>
      <c r="E131" s="380"/>
      <c r="F131" s="380"/>
      <c r="G131" s="380"/>
      <c r="H131" s="380"/>
      <c r="I131" s="403"/>
      <c r="J131" s="380"/>
      <c r="K131" s="380"/>
      <c r="L131" s="380"/>
      <c r="M131" s="380"/>
      <c r="N131" s="380"/>
      <c r="O131" s="404"/>
      <c r="P131" s="380"/>
      <c r="Q131" s="380"/>
      <c r="R131" s="380"/>
      <c r="S131" s="380"/>
      <c r="T131" s="380"/>
      <c r="U131" s="380"/>
      <c r="V131" s="380"/>
      <c r="W131" s="403"/>
      <c r="X131" s="380"/>
      <c r="Y131" s="380"/>
      <c r="Z131" s="380"/>
      <c r="AA131" s="380"/>
      <c r="AB131" s="380"/>
      <c r="AC131" s="404"/>
      <c r="AD131" s="380"/>
      <c r="AE131" s="380"/>
      <c r="AF131" s="380"/>
      <c r="AG131" s="380"/>
      <c r="AH131" s="380"/>
      <c r="AI131" s="380"/>
      <c r="AJ131" s="380"/>
      <c r="AK131" s="403"/>
      <c r="AL131" s="380"/>
      <c r="AM131" s="380"/>
      <c r="AN131" s="380"/>
      <c r="AO131" s="380"/>
      <c r="AP131" s="380"/>
      <c r="AQ131" s="404"/>
      <c r="AR131" s="380"/>
      <c r="AS131" s="380"/>
      <c r="AT131" s="380"/>
      <c r="AU131" s="380"/>
      <c r="AV131" s="380"/>
      <c r="AW131" s="380"/>
      <c r="AX131" s="380"/>
      <c r="AY131" s="403"/>
      <c r="AZ131" s="380"/>
      <c r="BA131" s="380"/>
      <c r="BB131" s="380"/>
      <c r="BC131" s="380"/>
      <c r="BD131" s="380"/>
      <c r="BE131" s="404"/>
      <c r="BF131" s="380"/>
      <c r="BG131" s="380"/>
      <c r="BH131" s="380"/>
      <c r="BI131" s="380"/>
      <c r="BJ131" s="380"/>
      <c r="BK131" s="380"/>
      <c r="BL131" s="380"/>
      <c r="BM131" s="403"/>
      <c r="BS131" s="83"/>
      <c r="CA131" s="405"/>
      <c r="CG131" s="83"/>
      <c r="CO131" s="405"/>
      <c r="CU131" s="83"/>
      <c r="DC131" s="405"/>
      <c r="DI131" s="83"/>
      <c r="DQ131" s="405"/>
      <c r="DW131" s="83"/>
      <c r="EE131" s="405"/>
      <c r="EK131" s="83"/>
      <c r="ES131" s="405"/>
      <c r="EY131" s="83"/>
      <c r="FG131" s="405"/>
      <c r="FM131" s="83"/>
      <c r="FU131" s="405"/>
      <c r="GA131" s="83"/>
      <c r="GI131" s="405"/>
      <c r="GO131" s="83"/>
      <c r="GW131" s="405"/>
      <c r="HC131" s="83"/>
      <c r="HK131" s="405"/>
      <c r="HQ131" s="83"/>
      <c r="HY131" s="405"/>
      <c r="IE131" s="83"/>
      <c r="IM131" s="405"/>
      <c r="IS131" s="83"/>
      <c r="JA131" s="405"/>
      <c r="JG131" s="83"/>
      <c r="JO131" s="405"/>
      <c r="JU131" s="83"/>
      <c r="KC131" s="405"/>
      <c r="KI131" s="83"/>
      <c r="KQ131" s="405"/>
      <c r="KW131" s="83"/>
      <c r="LE131" s="405"/>
      <c r="LK131" s="83"/>
      <c r="LS131" s="405"/>
      <c r="LY131" s="83"/>
      <c r="MG131" s="405"/>
      <c r="MM131" s="83"/>
      <c r="MU131" s="405"/>
      <c r="NA131" s="83"/>
    </row>
    <row r="132">
      <c r="A132" s="483"/>
      <c r="B132" s="380"/>
      <c r="C132" s="380"/>
      <c r="D132" s="380"/>
      <c r="E132" s="380"/>
      <c r="F132" s="380"/>
      <c r="G132" s="380"/>
      <c r="H132" s="380"/>
      <c r="I132" s="403"/>
      <c r="J132" s="380"/>
      <c r="K132" s="380"/>
      <c r="L132" s="380"/>
      <c r="M132" s="380"/>
      <c r="N132" s="380"/>
      <c r="O132" s="404"/>
      <c r="P132" s="380"/>
      <c r="Q132" s="380"/>
      <c r="R132" s="380"/>
      <c r="S132" s="380"/>
      <c r="T132" s="380"/>
      <c r="U132" s="380"/>
      <c r="V132" s="380"/>
      <c r="W132" s="403"/>
      <c r="X132" s="380"/>
      <c r="Y132" s="380"/>
      <c r="Z132" s="380"/>
      <c r="AA132" s="380"/>
      <c r="AB132" s="380"/>
      <c r="AC132" s="404"/>
      <c r="AD132" s="380"/>
      <c r="AE132" s="380"/>
      <c r="AF132" s="380"/>
      <c r="AG132" s="380"/>
      <c r="AH132" s="380"/>
      <c r="AI132" s="380"/>
      <c r="AJ132" s="380"/>
      <c r="AK132" s="403"/>
      <c r="AL132" s="380"/>
      <c r="AM132" s="380"/>
      <c r="AN132" s="380"/>
      <c r="AO132" s="380"/>
      <c r="AP132" s="380"/>
      <c r="AQ132" s="404"/>
      <c r="AR132" s="380"/>
      <c r="AS132" s="380"/>
      <c r="AT132" s="380"/>
      <c r="AU132" s="380"/>
      <c r="AV132" s="380"/>
      <c r="AW132" s="380"/>
      <c r="AX132" s="380"/>
      <c r="AY132" s="403"/>
      <c r="AZ132" s="380"/>
      <c r="BA132" s="380"/>
      <c r="BB132" s="380"/>
      <c r="BC132" s="380"/>
      <c r="BD132" s="380"/>
      <c r="BE132" s="404"/>
      <c r="BF132" s="380"/>
      <c r="BG132" s="380"/>
      <c r="BH132" s="380"/>
      <c r="BI132" s="380"/>
      <c r="BJ132" s="380"/>
      <c r="BK132" s="380"/>
      <c r="BL132" s="380"/>
      <c r="BM132" s="403"/>
      <c r="BS132" s="83"/>
      <c r="CA132" s="405"/>
      <c r="CG132" s="83"/>
      <c r="CO132" s="405"/>
      <c r="CU132" s="83"/>
      <c r="DC132" s="405"/>
      <c r="DI132" s="83"/>
      <c r="DQ132" s="405"/>
      <c r="DW132" s="83"/>
      <c r="EE132" s="405"/>
      <c r="EK132" s="83"/>
      <c r="ES132" s="405"/>
      <c r="EY132" s="83"/>
      <c r="FG132" s="405"/>
      <c r="FM132" s="83"/>
      <c r="FU132" s="405"/>
      <c r="GA132" s="83"/>
      <c r="GI132" s="405"/>
      <c r="GO132" s="83"/>
      <c r="GW132" s="405"/>
      <c r="HC132" s="83"/>
      <c r="HK132" s="405"/>
      <c r="HQ132" s="83"/>
      <c r="HY132" s="405"/>
      <c r="IE132" s="83"/>
      <c r="IM132" s="405"/>
      <c r="IS132" s="83"/>
      <c r="JA132" s="405"/>
      <c r="JG132" s="83"/>
      <c r="JO132" s="405"/>
      <c r="JU132" s="83"/>
      <c r="KC132" s="405"/>
      <c r="KI132" s="83"/>
      <c r="KQ132" s="405"/>
      <c r="KW132" s="83"/>
      <c r="LE132" s="405"/>
      <c r="LK132" s="83"/>
      <c r="LS132" s="405"/>
      <c r="LY132" s="83"/>
      <c r="MG132" s="405"/>
      <c r="MM132" s="83"/>
      <c r="MU132" s="405"/>
      <c r="NA132" s="83"/>
    </row>
    <row r="133">
      <c r="A133" s="483"/>
      <c r="B133" s="380"/>
      <c r="C133" s="380"/>
      <c r="D133" s="380"/>
      <c r="E133" s="380"/>
      <c r="F133" s="380"/>
      <c r="G133" s="380"/>
      <c r="H133" s="380"/>
      <c r="I133" s="403"/>
      <c r="J133" s="380"/>
      <c r="K133" s="380"/>
      <c r="L133" s="380"/>
      <c r="M133" s="380"/>
      <c r="N133" s="380"/>
      <c r="O133" s="404"/>
      <c r="P133" s="380"/>
      <c r="Q133" s="380"/>
      <c r="R133" s="380"/>
      <c r="S133" s="380"/>
      <c r="T133" s="380"/>
      <c r="U133" s="380"/>
      <c r="V133" s="380"/>
      <c r="W133" s="403"/>
      <c r="X133" s="380"/>
      <c r="Y133" s="380"/>
      <c r="Z133" s="380"/>
      <c r="AA133" s="380"/>
      <c r="AB133" s="380"/>
      <c r="AC133" s="404"/>
      <c r="AD133" s="380"/>
      <c r="AE133" s="380"/>
      <c r="AF133" s="380"/>
      <c r="AG133" s="380"/>
      <c r="AH133" s="380"/>
      <c r="AI133" s="380"/>
      <c r="AJ133" s="380"/>
      <c r="AK133" s="403"/>
      <c r="AL133" s="380"/>
      <c r="AM133" s="380"/>
      <c r="AN133" s="380"/>
      <c r="AO133" s="380"/>
      <c r="AP133" s="380"/>
      <c r="AQ133" s="404"/>
      <c r="AR133" s="380"/>
      <c r="AS133" s="380"/>
      <c r="AT133" s="380"/>
      <c r="AU133" s="380"/>
      <c r="AV133" s="380"/>
      <c r="AW133" s="380"/>
      <c r="AX133" s="380"/>
      <c r="AY133" s="403"/>
      <c r="AZ133" s="380"/>
      <c r="BA133" s="380"/>
      <c r="BB133" s="380"/>
      <c r="BC133" s="380"/>
      <c r="BD133" s="380"/>
      <c r="BE133" s="404"/>
      <c r="BF133" s="380"/>
      <c r="BG133" s="380"/>
      <c r="BH133" s="380"/>
      <c r="BI133" s="380"/>
      <c r="BJ133" s="380"/>
      <c r="BK133" s="380"/>
      <c r="BL133" s="380"/>
      <c r="BM133" s="403"/>
      <c r="BS133" s="83"/>
      <c r="CA133" s="405"/>
      <c r="CG133" s="83"/>
      <c r="CO133" s="405"/>
      <c r="CU133" s="83"/>
      <c r="DC133" s="405"/>
      <c r="DI133" s="83"/>
      <c r="DQ133" s="405"/>
      <c r="DW133" s="83"/>
      <c r="EE133" s="405"/>
      <c r="EK133" s="83"/>
      <c r="ES133" s="405"/>
      <c r="EY133" s="83"/>
      <c r="FG133" s="405"/>
      <c r="FM133" s="83"/>
      <c r="FU133" s="405"/>
      <c r="GA133" s="83"/>
      <c r="GI133" s="405"/>
      <c r="GO133" s="83"/>
      <c r="GW133" s="405"/>
      <c r="HC133" s="83"/>
      <c r="HK133" s="405"/>
      <c r="HQ133" s="83"/>
      <c r="HY133" s="405"/>
      <c r="IE133" s="83"/>
      <c r="IM133" s="405"/>
      <c r="IS133" s="83"/>
      <c r="JA133" s="405"/>
      <c r="JG133" s="83"/>
      <c r="JO133" s="405"/>
      <c r="JU133" s="83"/>
      <c r="KC133" s="405"/>
      <c r="KI133" s="83"/>
      <c r="KQ133" s="405"/>
      <c r="KW133" s="83"/>
      <c r="LE133" s="405"/>
      <c r="LK133" s="83"/>
      <c r="LS133" s="405"/>
      <c r="LY133" s="83"/>
      <c r="MG133" s="405"/>
      <c r="MM133" s="83"/>
      <c r="MU133" s="405"/>
      <c r="NA133" s="83"/>
    </row>
    <row r="134">
      <c r="A134" s="483"/>
      <c r="B134" s="380"/>
      <c r="C134" s="380"/>
      <c r="D134" s="380"/>
      <c r="E134" s="380"/>
      <c r="F134" s="380"/>
      <c r="G134" s="380"/>
      <c r="H134" s="380"/>
      <c r="I134" s="403"/>
      <c r="J134" s="380"/>
      <c r="K134" s="380"/>
      <c r="L134" s="380"/>
      <c r="M134" s="380"/>
      <c r="N134" s="380"/>
      <c r="O134" s="404"/>
      <c r="P134" s="380"/>
      <c r="Q134" s="380"/>
      <c r="R134" s="380"/>
      <c r="S134" s="380"/>
      <c r="T134" s="380"/>
      <c r="U134" s="380"/>
      <c r="V134" s="380"/>
      <c r="W134" s="403"/>
      <c r="X134" s="380"/>
      <c r="Y134" s="380"/>
      <c r="Z134" s="380"/>
      <c r="AA134" s="380"/>
      <c r="AB134" s="380"/>
      <c r="AC134" s="404"/>
      <c r="AD134" s="380"/>
      <c r="AE134" s="380"/>
      <c r="AF134" s="380"/>
      <c r="AG134" s="380"/>
      <c r="AH134" s="380"/>
      <c r="AI134" s="380"/>
      <c r="AJ134" s="380"/>
      <c r="AK134" s="403"/>
      <c r="AL134" s="380"/>
      <c r="AM134" s="380"/>
      <c r="AN134" s="380"/>
      <c r="AO134" s="380"/>
      <c r="AP134" s="380"/>
      <c r="AQ134" s="404"/>
      <c r="AR134" s="380"/>
      <c r="AS134" s="380"/>
      <c r="AT134" s="380"/>
      <c r="AU134" s="380"/>
      <c r="AV134" s="380"/>
      <c r="AW134" s="380"/>
      <c r="AX134" s="380"/>
      <c r="AY134" s="403"/>
      <c r="AZ134" s="380"/>
      <c r="BA134" s="380"/>
      <c r="BB134" s="380"/>
      <c r="BC134" s="380"/>
      <c r="BD134" s="380"/>
      <c r="BE134" s="404"/>
      <c r="BF134" s="380"/>
      <c r="BG134" s="380"/>
      <c r="BH134" s="380"/>
      <c r="BI134" s="380"/>
      <c r="BJ134" s="380"/>
      <c r="BK134" s="380"/>
      <c r="BL134" s="380"/>
      <c r="BM134" s="403"/>
      <c r="BS134" s="83"/>
      <c r="CA134" s="405"/>
      <c r="CG134" s="83"/>
      <c r="CO134" s="405"/>
      <c r="CU134" s="83"/>
      <c r="DC134" s="405"/>
      <c r="DI134" s="83"/>
      <c r="DQ134" s="405"/>
      <c r="DW134" s="83"/>
      <c r="EE134" s="405"/>
      <c r="EK134" s="83"/>
      <c r="ES134" s="405"/>
      <c r="EY134" s="83"/>
      <c r="FG134" s="405"/>
      <c r="FM134" s="83"/>
      <c r="FU134" s="405"/>
      <c r="GA134" s="83"/>
      <c r="GI134" s="405"/>
      <c r="GO134" s="83"/>
      <c r="GW134" s="405"/>
      <c r="HC134" s="83"/>
      <c r="HK134" s="405"/>
      <c r="HQ134" s="83"/>
      <c r="HY134" s="405"/>
      <c r="IE134" s="83"/>
      <c r="IM134" s="405"/>
      <c r="IS134" s="83"/>
      <c r="JA134" s="405"/>
      <c r="JG134" s="83"/>
      <c r="JO134" s="405"/>
      <c r="JU134" s="83"/>
      <c r="KC134" s="405"/>
      <c r="KI134" s="83"/>
      <c r="KQ134" s="405"/>
      <c r="KW134" s="83"/>
      <c r="LE134" s="405"/>
      <c r="LK134" s="83"/>
      <c r="LS134" s="405"/>
      <c r="LY134" s="83"/>
      <c r="MG134" s="405"/>
      <c r="MM134" s="83"/>
      <c r="MU134" s="405"/>
      <c r="NA134" s="83"/>
    </row>
    <row r="135">
      <c r="A135" s="483"/>
      <c r="B135" s="380"/>
      <c r="C135" s="380"/>
      <c r="D135" s="380"/>
      <c r="E135" s="380"/>
      <c r="F135" s="380"/>
      <c r="G135" s="380"/>
      <c r="H135" s="380"/>
      <c r="I135" s="403"/>
      <c r="J135" s="380"/>
      <c r="K135" s="380"/>
      <c r="L135" s="380"/>
      <c r="M135" s="380"/>
      <c r="N135" s="380"/>
      <c r="O135" s="404"/>
      <c r="P135" s="380"/>
      <c r="Q135" s="380"/>
      <c r="R135" s="380"/>
      <c r="S135" s="380"/>
      <c r="T135" s="380"/>
      <c r="U135" s="380"/>
      <c r="V135" s="380"/>
      <c r="W135" s="403"/>
      <c r="X135" s="380"/>
      <c r="Y135" s="380"/>
      <c r="Z135" s="380"/>
      <c r="AA135" s="380"/>
      <c r="AB135" s="380"/>
      <c r="AC135" s="404"/>
      <c r="AD135" s="380"/>
      <c r="AE135" s="380"/>
      <c r="AF135" s="380"/>
      <c r="AG135" s="380"/>
      <c r="AH135" s="380"/>
      <c r="AI135" s="380"/>
      <c r="AJ135" s="380"/>
      <c r="AK135" s="403"/>
      <c r="AL135" s="380"/>
      <c r="AM135" s="380"/>
      <c r="AN135" s="380"/>
      <c r="AO135" s="380"/>
      <c r="AP135" s="380"/>
      <c r="AQ135" s="404"/>
      <c r="AR135" s="380"/>
      <c r="AS135" s="380"/>
      <c r="AT135" s="380"/>
      <c r="AU135" s="380"/>
      <c r="AV135" s="380"/>
      <c r="AW135" s="380"/>
      <c r="AX135" s="380"/>
      <c r="AY135" s="403"/>
      <c r="AZ135" s="380"/>
      <c r="BA135" s="380"/>
      <c r="BB135" s="380"/>
      <c r="BC135" s="380"/>
      <c r="BD135" s="380"/>
      <c r="BE135" s="404"/>
      <c r="BF135" s="380"/>
      <c r="BG135" s="380"/>
      <c r="BH135" s="380"/>
      <c r="BI135" s="380"/>
      <c r="BJ135" s="380"/>
      <c r="BK135" s="380"/>
      <c r="BL135" s="380"/>
      <c r="BM135" s="403"/>
      <c r="BS135" s="83"/>
      <c r="CA135" s="405"/>
      <c r="CG135" s="83"/>
      <c r="CO135" s="405"/>
      <c r="CU135" s="83"/>
      <c r="DC135" s="405"/>
      <c r="DI135" s="83"/>
      <c r="DQ135" s="405"/>
      <c r="DW135" s="83"/>
      <c r="EE135" s="405"/>
      <c r="EK135" s="83"/>
      <c r="ES135" s="405"/>
      <c r="EY135" s="83"/>
      <c r="FG135" s="405"/>
      <c r="FM135" s="83"/>
      <c r="FU135" s="405"/>
      <c r="GA135" s="83"/>
      <c r="GI135" s="405"/>
      <c r="GO135" s="83"/>
      <c r="GW135" s="405"/>
      <c r="HC135" s="83"/>
      <c r="HK135" s="405"/>
      <c r="HQ135" s="83"/>
      <c r="HY135" s="405"/>
      <c r="IE135" s="83"/>
      <c r="IM135" s="405"/>
      <c r="IS135" s="83"/>
      <c r="JA135" s="405"/>
      <c r="JG135" s="83"/>
      <c r="JO135" s="405"/>
      <c r="JU135" s="83"/>
      <c r="KC135" s="405"/>
      <c r="KI135" s="83"/>
      <c r="KQ135" s="405"/>
      <c r="KW135" s="83"/>
      <c r="LE135" s="405"/>
      <c r="LK135" s="83"/>
      <c r="LS135" s="405"/>
      <c r="LY135" s="83"/>
      <c r="MG135" s="405"/>
      <c r="MM135" s="83"/>
      <c r="MU135" s="405"/>
      <c r="NA135" s="83"/>
    </row>
    <row r="136">
      <c r="A136" s="483"/>
      <c r="B136" s="380"/>
      <c r="C136" s="380"/>
      <c r="D136" s="380"/>
      <c r="E136" s="380"/>
      <c r="F136" s="380"/>
      <c r="G136" s="380"/>
      <c r="H136" s="380"/>
      <c r="I136" s="403"/>
      <c r="J136" s="380"/>
      <c r="K136" s="380"/>
      <c r="L136" s="380"/>
      <c r="M136" s="380"/>
      <c r="N136" s="380"/>
      <c r="O136" s="404"/>
      <c r="P136" s="380"/>
      <c r="Q136" s="380"/>
      <c r="R136" s="380"/>
      <c r="S136" s="380"/>
      <c r="T136" s="380"/>
      <c r="U136" s="380"/>
      <c r="V136" s="380"/>
      <c r="W136" s="403"/>
      <c r="X136" s="380"/>
      <c r="Y136" s="380"/>
      <c r="Z136" s="380"/>
      <c r="AA136" s="380"/>
      <c r="AB136" s="380"/>
      <c r="AC136" s="404"/>
      <c r="AD136" s="380"/>
      <c r="AE136" s="380"/>
      <c r="AF136" s="380"/>
      <c r="AG136" s="380"/>
      <c r="AH136" s="380"/>
      <c r="AI136" s="380"/>
      <c r="AJ136" s="380"/>
      <c r="AK136" s="403"/>
      <c r="AL136" s="380"/>
      <c r="AM136" s="380"/>
      <c r="AN136" s="380"/>
      <c r="AO136" s="380"/>
      <c r="AP136" s="380"/>
      <c r="AQ136" s="404"/>
      <c r="AR136" s="380"/>
      <c r="AS136" s="380"/>
      <c r="AT136" s="380"/>
      <c r="AU136" s="380"/>
      <c r="AV136" s="380"/>
      <c r="AW136" s="380"/>
      <c r="AX136" s="380"/>
      <c r="AY136" s="403"/>
      <c r="AZ136" s="380"/>
      <c r="BA136" s="380"/>
      <c r="BB136" s="380"/>
      <c r="BC136" s="380"/>
      <c r="BD136" s="380"/>
      <c r="BE136" s="404"/>
      <c r="BF136" s="380"/>
      <c r="BG136" s="380"/>
      <c r="BH136" s="380"/>
      <c r="BI136" s="380"/>
      <c r="BJ136" s="380"/>
      <c r="BK136" s="380"/>
      <c r="BL136" s="380"/>
      <c r="BM136" s="403"/>
      <c r="BS136" s="83"/>
      <c r="CA136" s="405"/>
      <c r="CG136" s="83"/>
      <c r="CO136" s="405"/>
      <c r="CU136" s="83"/>
      <c r="DC136" s="405"/>
      <c r="DI136" s="83"/>
      <c r="DQ136" s="405"/>
      <c r="DW136" s="83"/>
      <c r="EE136" s="405"/>
      <c r="EK136" s="83"/>
      <c r="ES136" s="405"/>
      <c r="EY136" s="83"/>
      <c r="FG136" s="405"/>
      <c r="FM136" s="83"/>
      <c r="FU136" s="405"/>
      <c r="GA136" s="83"/>
      <c r="GI136" s="405"/>
      <c r="GO136" s="83"/>
      <c r="GW136" s="405"/>
      <c r="HC136" s="83"/>
      <c r="HK136" s="405"/>
      <c r="HQ136" s="83"/>
      <c r="HY136" s="405"/>
      <c r="IE136" s="83"/>
      <c r="IM136" s="405"/>
      <c r="IS136" s="83"/>
      <c r="JA136" s="405"/>
      <c r="JG136" s="83"/>
      <c r="JO136" s="405"/>
      <c r="JU136" s="83"/>
      <c r="KC136" s="405"/>
      <c r="KI136" s="83"/>
      <c r="KQ136" s="405"/>
      <c r="KW136" s="83"/>
      <c r="LE136" s="405"/>
      <c r="LK136" s="83"/>
      <c r="LS136" s="405"/>
      <c r="LY136" s="83"/>
      <c r="MG136" s="405"/>
      <c r="MM136" s="83"/>
      <c r="MU136" s="405"/>
      <c r="NA136" s="83"/>
    </row>
    <row r="137">
      <c r="A137" s="483"/>
      <c r="B137" s="380"/>
      <c r="C137" s="380"/>
      <c r="D137" s="380"/>
      <c r="E137" s="380"/>
      <c r="F137" s="380"/>
      <c r="G137" s="380"/>
      <c r="H137" s="380"/>
      <c r="I137" s="403"/>
      <c r="J137" s="380"/>
      <c r="K137" s="380"/>
      <c r="L137" s="380"/>
      <c r="M137" s="380"/>
      <c r="N137" s="380"/>
      <c r="O137" s="404"/>
      <c r="P137" s="380"/>
      <c r="Q137" s="380"/>
      <c r="R137" s="380"/>
      <c r="S137" s="380"/>
      <c r="T137" s="380"/>
      <c r="U137" s="380"/>
      <c r="V137" s="380"/>
      <c r="W137" s="403"/>
      <c r="X137" s="380"/>
      <c r="Y137" s="380"/>
      <c r="Z137" s="380"/>
      <c r="AA137" s="380"/>
      <c r="AB137" s="380"/>
      <c r="AC137" s="404"/>
      <c r="AD137" s="380"/>
      <c r="AE137" s="380"/>
      <c r="AF137" s="380"/>
      <c r="AG137" s="380"/>
      <c r="AH137" s="380"/>
      <c r="AI137" s="380"/>
      <c r="AJ137" s="380"/>
      <c r="AK137" s="403"/>
      <c r="AL137" s="380"/>
      <c r="AM137" s="380"/>
      <c r="AN137" s="380"/>
      <c r="AO137" s="380"/>
      <c r="AP137" s="380"/>
      <c r="AQ137" s="404"/>
      <c r="AR137" s="380"/>
      <c r="AS137" s="380"/>
      <c r="AT137" s="380"/>
      <c r="AU137" s="380"/>
      <c r="AV137" s="380"/>
      <c r="AW137" s="380"/>
      <c r="AX137" s="380"/>
      <c r="AY137" s="403"/>
      <c r="AZ137" s="380"/>
      <c r="BA137" s="380"/>
      <c r="BB137" s="380"/>
      <c r="BC137" s="380"/>
      <c r="BD137" s="380"/>
      <c r="BE137" s="404"/>
      <c r="BF137" s="380"/>
      <c r="BG137" s="380"/>
      <c r="BH137" s="380"/>
      <c r="BI137" s="380"/>
      <c r="BJ137" s="380"/>
      <c r="BK137" s="380"/>
      <c r="BL137" s="380"/>
      <c r="BM137" s="403"/>
      <c r="BS137" s="83"/>
      <c r="CA137" s="405"/>
      <c r="CG137" s="83"/>
      <c r="CO137" s="405"/>
      <c r="CU137" s="83"/>
      <c r="DC137" s="405"/>
      <c r="DI137" s="83"/>
      <c r="DQ137" s="405"/>
      <c r="DW137" s="83"/>
      <c r="EE137" s="405"/>
      <c r="EK137" s="83"/>
      <c r="ES137" s="405"/>
      <c r="EY137" s="83"/>
      <c r="FG137" s="405"/>
      <c r="FM137" s="83"/>
      <c r="FU137" s="405"/>
      <c r="GA137" s="83"/>
      <c r="GI137" s="405"/>
      <c r="GO137" s="83"/>
      <c r="GW137" s="405"/>
      <c r="HC137" s="83"/>
      <c r="HK137" s="405"/>
      <c r="HQ137" s="83"/>
      <c r="HY137" s="405"/>
      <c r="IE137" s="83"/>
      <c r="IM137" s="405"/>
      <c r="IS137" s="83"/>
      <c r="JA137" s="405"/>
      <c r="JG137" s="83"/>
      <c r="JO137" s="405"/>
      <c r="JU137" s="83"/>
      <c r="KC137" s="405"/>
      <c r="KI137" s="83"/>
      <c r="KQ137" s="405"/>
      <c r="KW137" s="83"/>
      <c r="LE137" s="405"/>
      <c r="LK137" s="83"/>
      <c r="LS137" s="405"/>
      <c r="LY137" s="83"/>
      <c r="MG137" s="405"/>
      <c r="MM137" s="83"/>
      <c r="MU137" s="405"/>
      <c r="NA137" s="83"/>
    </row>
    <row r="138">
      <c r="A138" s="483"/>
      <c r="B138" s="380"/>
      <c r="C138" s="380"/>
      <c r="D138" s="380"/>
      <c r="E138" s="380"/>
      <c r="F138" s="380"/>
      <c r="G138" s="380"/>
      <c r="H138" s="380"/>
      <c r="I138" s="403"/>
      <c r="J138" s="380"/>
      <c r="K138" s="380"/>
      <c r="L138" s="380"/>
      <c r="M138" s="380"/>
      <c r="N138" s="380"/>
      <c r="O138" s="404"/>
      <c r="P138" s="380"/>
      <c r="Q138" s="380"/>
      <c r="R138" s="380"/>
      <c r="S138" s="380"/>
      <c r="T138" s="380"/>
      <c r="U138" s="380"/>
      <c r="V138" s="380"/>
      <c r="W138" s="403"/>
      <c r="X138" s="380"/>
      <c r="Y138" s="380"/>
      <c r="Z138" s="380"/>
      <c r="AA138" s="380"/>
      <c r="AB138" s="380"/>
      <c r="AC138" s="404"/>
      <c r="AD138" s="380"/>
      <c r="AE138" s="380"/>
      <c r="AF138" s="380"/>
      <c r="AG138" s="380"/>
      <c r="AH138" s="380"/>
      <c r="AI138" s="380"/>
      <c r="AJ138" s="380"/>
      <c r="AK138" s="403"/>
      <c r="AL138" s="380"/>
      <c r="AM138" s="380"/>
      <c r="AN138" s="380"/>
      <c r="AO138" s="380"/>
      <c r="AP138" s="380"/>
      <c r="AQ138" s="404"/>
      <c r="AR138" s="380"/>
      <c r="AS138" s="380"/>
      <c r="AT138" s="380"/>
      <c r="AU138" s="380"/>
      <c r="AV138" s="380"/>
      <c r="AW138" s="380"/>
      <c r="AX138" s="380"/>
      <c r="AY138" s="403"/>
      <c r="AZ138" s="380"/>
      <c r="BA138" s="380"/>
      <c r="BB138" s="380"/>
      <c r="BC138" s="380"/>
      <c r="BD138" s="380"/>
      <c r="BE138" s="404"/>
      <c r="BF138" s="380"/>
      <c r="BG138" s="380"/>
      <c r="BH138" s="380"/>
      <c r="BI138" s="380"/>
      <c r="BJ138" s="380"/>
      <c r="BK138" s="380"/>
      <c r="BL138" s="380"/>
      <c r="BM138" s="403"/>
      <c r="BS138" s="83"/>
      <c r="CA138" s="405"/>
      <c r="CG138" s="83"/>
      <c r="CO138" s="405"/>
      <c r="CU138" s="83"/>
      <c r="DC138" s="405"/>
      <c r="DI138" s="83"/>
      <c r="DQ138" s="405"/>
      <c r="DW138" s="83"/>
      <c r="EE138" s="405"/>
      <c r="EK138" s="83"/>
      <c r="ES138" s="405"/>
      <c r="EY138" s="83"/>
      <c r="FG138" s="405"/>
      <c r="FM138" s="83"/>
      <c r="FU138" s="405"/>
      <c r="GA138" s="83"/>
      <c r="GI138" s="405"/>
      <c r="GO138" s="83"/>
      <c r="GW138" s="405"/>
      <c r="HC138" s="83"/>
      <c r="HK138" s="405"/>
      <c r="HQ138" s="83"/>
      <c r="HY138" s="405"/>
      <c r="IE138" s="83"/>
      <c r="IM138" s="405"/>
      <c r="IS138" s="83"/>
      <c r="JA138" s="405"/>
      <c r="JG138" s="83"/>
      <c r="JO138" s="405"/>
      <c r="JU138" s="83"/>
      <c r="KC138" s="405"/>
      <c r="KI138" s="83"/>
      <c r="KQ138" s="405"/>
      <c r="KW138" s="83"/>
      <c r="LE138" s="405"/>
      <c r="LK138" s="83"/>
      <c r="LS138" s="405"/>
      <c r="LY138" s="83"/>
      <c r="MG138" s="405"/>
      <c r="MM138" s="83"/>
      <c r="MU138" s="405"/>
      <c r="NA138" s="83"/>
    </row>
    <row r="139">
      <c r="A139" s="483"/>
      <c r="B139" s="380"/>
      <c r="C139" s="380"/>
      <c r="D139" s="380"/>
      <c r="E139" s="380"/>
      <c r="F139" s="380"/>
      <c r="G139" s="380"/>
      <c r="H139" s="380"/>
      <c r="I139" s="403"/>
      <c r="J139" s="380"/>
      <c r="K139" s="380"/>
      <c r="L139" s="380"/>
      <c r="M139" s="380"/>
      <c r="N139" s="380"/>
      <c r="O139" s="404"/>
      <c r="P139" s="380"/>
      <c r="Q139" s="380"/>
      <c r="R139" s="380"/>
      <c r="S139" s="380"/>
      <c r="T139" s="380"/>
      <c r="U139" s="380"/>
      <c r="V139" s="380"/>
      <c r="W139" s="403"/>
      <c r="X139" s="380"/>
      <c r="Y139" s="380"/>
      <c r="Z139" s="380"/>
      <c r="AA139" s="380"/>
      <c r="AB139" s="380"/>
      <c r="AC139" s="404"/>
      <c r="AD139" s="380"/>
      <c r="AE139" s="380"/>
      <c r="AF139" s="380"/>
      <c r="AG139" s="380"/>
      <c r="AH139" s="380"/>
      <c r="AI139" s="380"/>
      <c r="AJ139" s="380"/>
      <c r="AK139" s="403"/>
      <c r="AL139" s="380"/>
      <c r="AM139" s="380"/>
      <c r="AN139" s="380"/>
      <c r="AO139" s="380"/>
      <c r="AP139" s="380"/>
      <c r="AQ139" s="404"/>
      <c r="AR139" s="380"/>
      <c r="AS139" s="380"/>
      <c r="AT139" s="380"/>
      <c r="AU139" s="380"/>
      <c r="AV139" s="380"/>
      <c r="AW139" s="380"/>
      <c r="AX139" s="380"/>
      <c r="AY139" s="403"/>
      <c r="AZ139" s="380"/>
      <c r="BA139" s="380"/>
      <c r="BB139" s="380"/>
      <c r="BC139" s="380"/>
      <c r="BD139" s="380"/>
      <c r="BE139" s="404"/>
      <c r="BF139" s="380"/>
      <c r="BG139" s="380"/>
      <c r="BH139" s="380"/>
      <c r="BI139" s="380"/>
      <c r="BJ139" s="380"/>
      <c r="BK139" s="380"/>
      <c r="BL139" s="380"/>
      <c r="BM139" s="403"/>
      <c r="BS139" s="83"/>
      <c r="CA139" s="405"/>
      <c r="CG139" s="83"/>
      <c r="CO139" s="405"/>
      <c r="CU139" s="83"/>
      <c r="DC139" s="405"/>
      <c r="DI139" s="83"/>
      <c r="DQ139" s="405"/>
      <c r="DW139" s="83"/>
      <c r="EE139" s="405"/>
      <c r="EK139" s="83"/>
      <c r="ES139" s="405"/>
      <c r="EY139" s="83"/>
      <c r="FG139" s="405"/>
      <c r="FM139" s="83"/>
      <c r="FU139" s="405"/>
      <c r="GA139" s="83"/>
      <c r="GI139" s="405"/>
      <c r="GO139" s="83"/>
      <c r="GW139" s="405"/>
      <c r="HC139" s="83"/>
      <c r="HK139" s="405"/>
      <c r="HQ139" s="83"/>
      <c r="HY139" s="405"/>
      <c r="IE139" s="83"/>
      <c r="IM139" s="405"/>
      <c r="IS139" s="83"/>
      <c r="JA139" s="405"/>
      <c r="JG139" s="83"/>
      <c r="JO139" s="405"/>
      <c r="JU139" s="83"/>
      <c r="KC139" s="405"/>
      <c r="KI139" s="83"/>
      <c r="KQ139" s="405"/>
      <c r="KW139" s="83"/>
      <c r="LE139" s="405"/>
      <c r="LK139" s="83"/>
      <c r="LS139" s="405"/>
      <c r="LY139" s="83"/>
      <c r="MG139" s="405"/>
      <c r="MM139" s="83"/>
      <c r="MU139" s="405"/>
      <c r="NA139" s="83"/>
    </row>
    <row r="140">
      <c r="A140" s="483"/>
      <c r="B140" s="380"/>
      <c r="C140" s="380"/>
      <c r="D140" s="380"/>
      <c r="E140" s="380"/>
      <c r="F140" s="380"/>
      <c r="G140" s="380"/>
      <c r="H140" s="380"/>
      <c r="I140" s="403"/>
      <c r="J140" s="380"/>
      <c r="K140" s="380"/>
      <c r="L140" s="380"/>
      <c r="M140" s="380"/>
      <c r="N140" s="380"/>
      <c r="O140" s="404"/>
      <c r="P140" s="380"/>
      <c r="Q140" s="380"/>
      <c r="R140" s="380"/>
      <c r="S140" s="380"/>
      <c r="T140" s="380"/>
      <c r="U140" s="380"/>
      <c r="V140" s="380"/>
      <c r="W140" s="403"/>
      <c r="X140" s="380"/>
      <c r="Y140" s="380"/>
      <c r="Z140" s="380"/>
      <c r="AA140" s="380"/>
      <c r="AB140" s="380"/>
      <c r="AC140" s="404"/>
      <c r="AD140" s="380"/>
      <c r="AE140" s="380"/>
      <c r="AF140" s="380"/>
      <c r="AG140" s="380"/>
      <c r="AH140" s="380"/>
      <c r="AI140" s="380"/>
      <c r="AJ140" s="380"/>
      <c r="AK140" s="403"/>
      <c r="AL140" s="380"/>
      <c r="AM140" s="380"/>
      <c r="AN140" s="380"/>
      <c r="AO140" s="380"/>
      <c r="AP140" s="380"/>
      <c r="AQ140" s="404"/>
      <c r="AR140" s="380"/>
      <c r="AS140" s="380"/>
      <c r="AT140" s="380"/>
      <c r="AU140" s="380"/>
      <c r="AV140" s="380"/>
      <c r="AW140" s="380"/>
      <c r="AX140" s="380"/>
      <c r="AY140" s="403"/>
      <c r="AZ140" s="380"/>
      <c r="BA140" s="380"/>
      <c r="BB140" s="380"/>
      <c r="BC140" s="380"/>
      <c r="BD140" s="380"/>
      <c r="BE140" s="404"/>
      <c r="BF140" s="380"/>
      <c r="BG140" s="380"/>
      <c r="BH140" s="380"/>
      <c r="BI140" s="380"/>
      <c r="BJ140" s="380"/>
      <c r="BK140" s="380"/>
      <c r="BL140" s="380"/>
      <c r="BM140" s="403"/>
      <c r="BS140" s="83"/>
      <c r="CA140" s="405"/>
      <c r="CG140" s="83"/>
      <c r="CO140" s="405"/>
      <c r="CU140" s="83"/>
      <c r="DC140" s="405"/>
      <c r="DI140" s="83"/>
      <c r="DQ140" s="405"/>
      <c r="DW140" s="83"/>
      <c r="EE140" s="405"/>
      <c r="EK140" s="83"/>
      <c r="ES140" s="405"/>
      <c r="EY140" s="83"/>
      <c r="FG140" s="405"/>
      <c r="FM140" s="83"/>
      <c r="FU140" s="405"/>
      <c r="GA140" s="83"/>
      <c r="GI140" s="405"/>
      <c r="GO140" s="83"/>
      <c r="GW140" s="405"/>
      <c r="HC140" s="83"/>
      <c r="HK140" s="405"/>
      <c r="HQ140" s="83"/>
      <c r="HY140" s="405"/>
      <c r="IE140" s="83"/>
      <c r="IM140" s="405"/>
      <c r="IS140" s="83"/>
      <c r="JA140" s="405"/>
      <c r="JG140" s="83"/>
      <c r="JO140" s="405"/>
      <c r="JU140" s="83"/>
      <c r="KC140" s="405"/>
      <c r="KI140" s="83"/>
      <c r="KQ140" s="405"/>
      <c r="KW140" s="83"/>
      <c r="LE140" s="405"/>
      <c r="LK140" s="83"/>
      <c r="LS140" s="405"/>
      <c r="LY140" s="83"/>
      <c r="MG140" s="405"/>
      <c r="MM140" s="83"/>
      <c r="MU140" s="405"/>
      <c r="NA140" s="83"/>
    </row>
    <row r="141">
      <c r="A141" s="483"/>
      <c r="B141" s="380"/>
      <c r="C141" s="380"/>
      <c r="D141" s="380"/>
      <c r="E141" s="380"/>
      <c r="F141" s="380"/>
      <c r="G141" s="380"/>
      <c r="H141" s="380"/>
      <c r="I141" s="403"/>
      <c r="J141" s="380"/>
      <c r="K141" s="380"/>
      <c r="L141" s="380"/>
      <c r="M141" s="380"/>
      <c r="N141" s="380"/>
      <c r="O141" s="404"/>
      <c r="P141" s="380"/>
      <c r="Q141" s="380"/>
      <c r="R141" s="380"/>
      <c r="S141" s="380"/>
      <c r="T141" s="380"/>
      <c r="U141" s="380"/>
      <c r="V141" s="380"/>
      <c r="W141" s="403"/>
      <c r="X141" s="380"/>
      <c r="Y141" s="380"/>
      <c r="Z141" s="380"/>
      <c r="AA141" s="380"/>
      <c r="AB141" s="380"/>
      <c r="AC141" s="404"/>
      <c r="AD141" s="380"/>
      <c r="AE141" s="380"/>
      <c r="AF141" s="380"/>
      <c r="AG141" s="380"/>
      <c r="AH141" s="380"/>
      <c r="AI141" s="380"/>
      <c r="AJ141" s="380"/>
      <c r="AK141" s="403"/>
      <c r="AL141" s="380"/>
      <c r="AM141" s="380"/>
      <c r="AN141" s="380"/>
      <c r="AO141" s="380"/>
      <c r="AP141" s="380"/>
      <c r="AQ141" s="404"/>
      <c r="AR141" s="380"/>
      <c r="AS141" s="380"/>
      <c r="AT141" s="380"/>
      <c r="AU141" s="380"/>
      <c r="AV141" s="380"/>
      <c r="AW141" s="380"/>
      <c r="AX141" s="380"/>
      <c r="AY141" s="403"/>
      <c r="AZ141" s="380"/>
      <c r="BA141" s="380"/>
      <c r="BB141" s="380"/>
      <c r="BC141" s="380"/>
      <c r="BD141" s="380"/>
      <c r="BE141" s="404"/>
      <c r="BF141" s="380"/>
      <c r="BG141" s="380"/>
      <c r="BH141" s="380"/>
      <c r="BI141" s="380"/>
      <c r="BJ141" s="380"/>
      <c r="BK141" s="380"/>
      <c r="BL141" s="380"/>
      <c r="BM141" s="403"/>
      <c r="BS141" s="83"/>
      <c r="CA141" s="405"/>
      <c r="CG141" s="83"/>
      <c r="CO141" s="405"/>
      <c r="CU141" s="83"/>
      <c r="DC141" s="405"/>
      <c r="DI141" s="83"/>
      <c r="DQ141" s="405"/>
      <c r="DW141" s="83"/>
      <c r="EE141" s="405"/>
      <c r="EK141" s="83"/>
      <c r="ES141" s="405"/>
      <c r="EY141" s="83"/>
      <c r="FG141" s="405"/>
      <c r="FM141" s="83"/>
      <c r="FU141" s="405"/>
      <c r="GA141" s="83"/>
      <c r="GI141" s="405"/>
      <c r="GO141" s="83"/>
      <c r="GW141" s="405"/>
      <c r="HC141" s="83"/>
      <c r="HK141" s="405"/>
      <c r="HQ141" s="83"/>
      <c r="HY141" s="405"/>
      <c r="IE141" s="83"/>
      <c r="IM141" s="405"/>
      <c r="IS141" s="83"/>
      <c r="JA141" s="405"/>
      <c r="JG141" s="83"/>
      <c r="JO141" s="405"/>
      <c r="JU141" s="83"/>
      <c r="KC141" s="405"/>
      <c r="KI141" s="83"/>
      <c r="KQ141" s="405"/>
      <c r="KW141" s="83"/>
      <c r="LE141" s="405"/>
      <c r="LK141" s="83"/>
      <c r="LS141" s="405"/>
      <c r="LY141" s="83"/>
      <c r="MG141" s="405"/>
      <c r="MM141" s="83"/>
      <c r="MU141" s="405"/>
      <c r="NA141" s="83"/>
    </row>
    <row r="142">
      <c r="A142" s="483"/>
      <c r="B142" s="380"/>
      <c r="C142" s="380"/>
      <c r="D142" s="380"/>
      <c r="E142" s="380"/>
      <c r="F142" s="380"/>
      <c r="G142" s="380"/>
      <c r="H142" s="380"/>
      <c r="I142" s="403"/>
      <c r="J142" s="380"/>
      <c r="K142" s="380"/>
      <c r="L142" s="380"/>
      <c r="M142" s="380"/>
      <c r="N142" s="380"/>
      <c r="O142" s="404"/>
      <c r="P142" s="380"/>
      <c r="Q142" s="380"/>
      <c r="R142" s="380"/>
      <c r="S142" s="380"/>
      <c r="T142" s="380"/>
      <c r="U142" s="380"/>
      <c r="V142" s="380"/>
      <c r="W142" s="403"/>
      <c r="X142" s="380"/>
      <c r="Y142" s="380"/>
      <c r="Z142" s="380"/>
      <c r="AA142" s="380"/>
      <c r="AB142" s="380"/>
      <c r="AC142" s="404"/>
      <c r="AD142" s="380"/>
      <c r="AE142" s="380"/>
      <c r="AF142" s="380"/>
      <c r="AG142" s="380"/>
      <c r="AH142" s="380"/>
      <c r="AI142" s="380"/>
      <c r="AJ142" s="380"/>
      <c r="AK142" s="403"/>
      <c r="AL142" s="380"/>
      <c r="AM142" s="380"/>
      <c r="AN142" s="380"/>
      <c r="AO142" s="380"/>
      <c r="AP142" s="380"/>
      <c r="AQ142" s="404"/>
      <c r="AR142" s="380"/>
      <c r="AS142" s="380"/>
      <c r="AT142" s="380"/>
      <c r="AU142" s="380"/>
      <c r="AV142" s="380"/>
      <c r="AW142" s="380"/>
      <c r="AX142" s="380"/>
      <c r="AY142" s="403"/>
      <c r="AZ142" s="380"/>
      <c r="BA142" s="380"/>
      <c r="BB142" s="380"/>
      <c r="BC142" s="380"/>
      <c r="BD142" s="380"/>
      <c r="BE142" s="404"/>
      <c r="BF142" s="380"/>
      <c r="BG142" s="380"/>
      <c r="BH142" s="380"/>
      <c r="BI142" s="380"/>
      <c r="BJ142" s="380"/>
      <c r="BK142" s="380"/>
      <c r="BL142" s="380"/>
      <c r="BM142" s="403"/>
      <c r="BS142" s="83"/>
      <c r="CA142" s="405"/>
      <c r="CG142" s="83"/>
      <c r="CO142" s="405"/>
      <c r="CU142" s="83"/>
      <c r="DC142" s="405"/>
      <c r="DI142" s="83"/>
      <c r="DQ142" s="405"/>
      <c r="DW142" s="83"/>
      <c r="EE142" s="405"/>
      <c r="EK142" s="83"/>
      <c r="ES142" s="405"/>
      <c r="EY142" s="83"/>
      <c r="FG142" s="405"/>
      <c r="FM142" s="83"/>
      <c r="FU142" s="405"/>
      <c r="GA142" s="83"/>
      <c r="GI142" s="405"/>
      <c r="GO142" s="83"/>
      <c r="GW142" s="405"/>
      <c r="HC142" s="83"/>
      <c r="HK142" s="405"/>
      <c r="HQ142" s="83"/>
      <c r="HY142" s="405"/>
      <c r="IE142" s="83"/>
      <c r="IM142" s="405"/>
      <c r="IS142" s="83"/>
      <c r="JA142" s="405"/>
      <c r="JG142" s="83"/>
      <c r="JO142" s="405"/>
      <c r="JU142" s="83"/>
      <c r="KC142" s="405"/>
      <c r="KI142" s="83"/>
      <c r="KQ142" s="405"/>
      <c r="KW142" s="83"/>
      <c r="LE142" s="405"/>
      <c r="LK142" s="83"/>
      <c r="LS142" s="405"/>
      <c r="LY142" s="83"/>
      <c r="MG142" s="405"/>
      <c r="MM142" s="83"/>
      <c r="MU142" s="405"/>
      <c r="NA142" s="83"/>
    </row>
    <row r="143">
      <c r="A143" s="483"/>
      <c r="B143" s="380"/>
      <c r="C143" s="380"/>
      <c r="D143" s="380"/>
      <c r="E143" s="380"/>
      <c r="F143" s="380"/>
      <c r="G143" s="380"/>
      <c r="H143" s="380"/>
      <c r="I143" s="403"/>
      <c r="J143" s="380"/>
      <c r="K143" s="380"/>
      <c r="L143" s="380"/>
      <c r="M143" s="380"/>
      <c r="N143" s="380"/>
      <c r="O143" s="404"/>
      <c r="P143" s="380"/>
      <c r="Q143" s="380"/>
      <c r="R143" s="380"/>
      <c r="S143" s="380"/>
      <c r="T143" s="380"/>
      <c r="U143" s="380"/>
      <c r="V143" s="380"/>
      <c r="W143" s="403"/>
      <c r="X143" s="380"/>
      <c r="Y143" s="380"/>
      <c r="Z143" s="380"/>
      <c r="AA143" s="380"/>
      <c r="AB143" s="380"/>
      <c r="AC143" s="404"/>
      <c r="AD143" s="380"/>
      <c r="AE143" s="380"/>
      <c r="AF143" s="380"/>
      <c r="AG143" s="380"/>
      <c r="AH143" s="380"/>
      <c r="AI143" s="380"/>
      <c r="AJ143" s="380"/>
      <c r="AK143" s="403"/>
      <c r="AL143" s="380"/>
      <c r="AM143" s="380"/>
      <c r="AN143" s="380"/>
      <c r="AO143" s="380"/>
      <c r="AP143" s="380"/>
      <c r="AQ143" s="404"/>
      <c r="AR143" s="380"/>
      <c r="AS143" s="380"/>
      <c r="AT143" s="380"/>
      <c r="AU143" s="380"/>
      <c r="AV143" s="380"/>
      <c r="AW143" s="380"/>
      <c r="AX143" s="380"/>
      <c r="AY143" s="403"/>
      <c r="AZ143" s="380"/>
      <c r="BA143" s="380"/>
      <c r="BB143" s="380"/>
      <c r="BC143" s="380"/>
      <c r="BD143" s="380"/>
      <c r="BE143" s="404"/>
      <c r="BF143" s="380"/>
      <c r="BG143" s="380"/>
      <c r="BH143" s="380"/>
      <c r="BI143" s="380"/>
      <c r="BJ143" s="380"/>
      <c r="BK143" s="380"/>
      <c r="BL143" s="380"/>
      <c r="BM143" s="403"/>
      <c r="BS143" s="83"/>
      <c r="CA143" s="405"/>
      <c r="CG143" s="83"/>
      <c r="CO143" s="405"/>
      <c r="CU143" s="83"/>
      <c r="DC143" s="405"/>
      <c r="DI143" s="83"/>
      <c r="DQ143" s="405"/>
      <c r="DW143" s="83"/>
      <c r="EE143" s="405"/>
      <c r="EK143" s="83"/>
      <c r="ES143" s="405"/>
      <c r="EY143" s="83"/>
      <c r="FG143" s="405"/>
      <c r="FM143" s="83"/>
      <c r="FU143" s="405"/>
      <c r="GA143" s="83"/>
      <c r="GI143" s="405"/>
      <c r="GO143" s="83"/>
      <c r="GW143" s="405"/>
      <c r="HC143" s="83"/>
      <c r="HK143" s="405"/>
      <c r="HQ143" s="83"/>
      <c r="HY143" s="405"/>
      <c r="IE143" s="83"/>
      <c r="IM143" s="405"/>
      <c r="IS143" s="83"/>
      <c r="JA143" s="405"/>
      <c r="JG143" s="83"/>
      <c r="JO143" s="405"/>
      <c r="JU143" s="83"/>
      <c r="KC143" s="405"/>
      <c r="KI143" s="83"/>
      <c r="KQ143" s="405"/>
      <c r="KW143" s="83"/>
      <c r="LE143" s="405"/>
      <c r="LK143" s="83"/>
      <c r="LS143" s="405"/>
      <c r="LY143" s="83"/>
      <c r="MG143" s="405"/>
      <c r="MM143" s="83"/>
      <c r="MU143" s="405"/>
      <c r="NA143" s="83"/>
    </row>
    <row r="144">
      <c r="A144" s="483"/>
      <c r="B144" s="380"/>
      <c r="C144" s="380"/>
      <c r="D144" s="380"/>
      <c r="E144" s="380"/>
      <c r="F144" s="380"/>
      <c r="G144" s="380"/>
      <c r="H144" s="380"/>
      <c r="I144" s="403"/>
      <c r="J144" s="380"/>
      <c r="K144" s="380"/>
      <c r="L144" s="380"/>
      <c r="M144" s="380"/>
      <c r="N144" s="380"/>
      <c r="O144" s="404"/>
      <c r="P144" s="380"/>
      <c r="Q144" s="380"/>
      <c r="R144" s="380"/>
      <c r="S144" s="380"/>
      <c r="T144" s="380"/>
      <c r="U144" s="380"/>
      <c r="V144" s="380"/>
      <c r="W144" s="403"/>
      <c r="X144" s="380"/>
      <c r="Y144" s="380"/>
      <c r="Z144" s="380"/>
      <c r="AA144" s="380"/>
      <c r="AB144" s="380"/>
      <c r="AC144" s="404"/>
      <c r="AD144" s="380"/>
      <c r="AE144" s="380"/>
      <c r="AF144" s="380"/>
      <c r="AG144" s="380"/>
      <c r="AH144" s="380"/>
      <c r="AI144" s="380"/>
      <c r="AJ144" s="380"/>
      <c r="AK144" s="403"/>
      <c r="AL144" s="380"/>
      <c r="AM144" s="380"/>
      <c r="AN144" s="380"/>
      <c r="AO144" s="380"/>
      <c r="AP144" s="380"/>
      <c r="AQ144" s="404"/>
      <c r="AR144" s="380"/>
      <c r="AS144" s="380"/>
      <c r="AT144" s="380"/>
      <c r="AU144" s="380"/>
      <c r="AV144" s="380"/>
      <c r="AW144" s="380"/>
      <c r="AX144" s="380"/>
      <c r="AY144" s="403"/>
      <c r="AZ144" s="380"/>
      <c r="BA144" s="380"/>
      <c r="BB144" s="380"/>
      <c r="BC144" s="380"/>
      <c r="BD144" s="380"/>
      <c r="BE144" s="404"/>
      <c r="BF144" s="380"/>
      <c r="BG144" s="380"/>
      <c r="BH144" s="380"/>
      <c r="BI144" s="380"/>
      <c r="BJ144" s="380"/>
      <c r="BK144" s="380"/>
      <c r="BL144" s="380"/>
      <c r="BM144" s="403"/>
      <c r="BS144" s="83"/>
      <c r="CA144" s="405"/>
      <c r="CG144" s="83"/>
      <c r="CO144" s="405"/>
      <c r="CU144" s="83"/>
      <c r="DC144" s="405"/>
      <c r="DI144" s="83"/>
      <c r="DQ144" s="405"/>
      <c r="DW144" s="83"/>
      <c r="EE144" s="405"/>
      <c r="EK144" s="83"/>
      <c r="ES144" s="405"/>
      <c r="EY144" s="83"/>
      <c r="FG144" s="405"/>
      <c r="FM144" s="83"/>
      <c r="FU144" s="405"/>
      <c r="GA144" s="83"/>
      <c r="GI144" s="405"/>
      <c r="GO144" s="83"/>
      <c r="GW144" s="405"/>
      <c r="HC144" s="83"/>
      <c r="HK144" s="405"/>
      <c r="HQ144" s="83"/>
      <c r="HY144" s="405"/>
      <c r="IE144" s="83"/>
      <c r="IM144" s="405"/>
      <c r="IS144" s="83"/>
      <c r="JA144" s="405"/>
      <c r="JG144" s="83"/>
      <c r="JO144" s="405"/>
      <c r="JU144" s="83"/>
      <c r="KC144" s="405"/>
      <c r="KI144" s="83"/>
      <c r="KQ144" s="405"/>
      <c r="KW144" s="83"/>
      <c r="LE144" s="405"/>
      <c r="LK144" s="83"/>
      <c r="LS144" s="405"/>
      <c r="LY144" s="83"/>
      <c r="MG144" s="405"/>
      <c r="MM144" s="83"/>
      <c r="MU144" s="405"/>
      <c r="NA144" s="83"/>
    </row>
    <row r="145">
      <c r="A145" s="483"/>
      <c r="B145" s="380"/>
      <c r="C145" s="380"/>
      <c r="D145" s="380"/>
      <c r="E145" s="380"/>
      <c r="F145" s="380"/>
      <c r="G145" s="380"/>
      <c r="H145" s="380"/>
      <c r="I145" s="403"/>
      <c r="J145" s="380"/>
      <c r="K145" s="380"/>
      <c r="L145" s="380"/>
      <c r="M145" s="380"/>
      <c r="N145" s="380"/>
      <c r="O145" s="404"/>
      <c r="P145" s="380"/>
      <c r="Q145" s="380"/>
      <c r="R145" s="380"/>
      <c r="S145" s="380"/>
      <c r="T145" s="380"/>
      <c r="U145" s="380"/>
      <c r="V145" s="380"/>
      <c r="W145" s="403"/>
      <c r="X145" s="380"/>
      <c r="Y145" s="380"/>
      <c r="Z145" s="380"/>
      <c r="AA145" s="380"/>
      <c r="AB145" s="380"/>
      <c r="AC145" s="404"/>
      <c r="AD145" s="380"/>
      <c r="AE145" s="380"/>
      <c r="AF145" s="380"/>
      <c r="AG145" s="380"/>
      <c r="AH145" s="380"/>
      <c r="AI145" s="380"/>
      <c r="AJ145" s="380"/>
      <c r="AK145" s="403"/>
      <c r="AL145" s="380"/>
      <c r="AM145" s="380"/>
      <c r="AN145" s="380"/>
      <c r="AO145" s="380"/>
      <c r="AP145" s="380"/>
      <c r="AQ145" s="404"/>
      <c r="AR145" s="380"/>
      <c r="AS145" s="380"/>
      <c r="AT145" s="380"/>
      <c r="AU145" s="380"/>
      <c r="AV145" s="380"/>
      <c r="AW145" s="380"/>
      <c r="AX145" s="380"/>
      <c r="AY145" s="403"/>
      <c r="AZ145" s="380"/>
      <c r="BA145" s="380"/>
      <c r="BB145" s="380"/>
      <c r="BC145" s="380"/>
      <c r="BD145" s="380"/>
      <c r="BE145" s="404"/>
      <c r="BF145" s="380"/>
      <c r="BG145" s="380"/>
      <c r="BH145" s="380"/>
      <c r="BI145" s="380"/>
      <c r="BJ145" s="380"/>
      <c r="BK145" s="380"/>
      <c r="BL145" s="380"/>
      <c r="BM145" s="403"/>
      <c r="BS145" s="83"/>
      <c r="CA145" s="405"/>
      <c r="CG145" s="83"/>
      <c r="CO145" s="405"/>
      <c r="CU145" s="83"/>
      <c r="DC145" s="405"/>
      <c r="DI145" s="83"/>
      <c r="DQ145" s="405"/>
      <c r="DW145" s="83"/>
      <c r="EE145" s="405"/>
      <c r="EK145" s="83"/>
      <c r="ES145" s="405"/>
      <c r="EY145" s="83"/>
      <c r="FG145" s="405"/>
      <c r="FM145" s="83"/>
      <c r="FU145" s="405"/>
      <c r="GA145" s="83"/>
      <c r="GI145" s="405"/>
      <c r="GO145" s="83"/>
      <c r="GW145" s="405"/>
      <c r="HC145" s="83"/>
      <c r="HK145" s="405"/>
      <c r="HQ145" s="83"/>
      <c r="HY145" s="405"/>
      <c r="IE145" s="83"/>
      <c r="IM145" s="405"/>
      <c r="IS145" s="83"/>
      <c r="JA145" s="405"/>
      <c r="JG145" s="83"/>
      <c r="JO145" s="405"/>
      <c r="JU145" s="83"/>
      <c r="KC145" s="405"/>
      <c r="KI145" s="83"/>
      <c r="KQ145" s="405"/>
      <c r="KW145" s="83"/>
      <c r="LE145" s="405"/>
      <c r="LK145" s="83"/>
      <c r="LS145" s="405"/>
      <c r="LY145" s="83"/>
      <c r="MG145" s="405"/>
      <c r="MM145" s="83"/>
      <c r="MU145" s="405"/>
      <c r="NA145" s="83"/>
    </row>
    <row r="146">
      <c r="A146" s="483"/>
      <c r="B146" s="380"/>
      <c r="C146" s="380"/>
      <c r="D146" s="380"/>
      <c r="E146" s="380"/>
      <c r="F146" s="380"/>
      <c r="G146" s="380"/>
      <c r="H146" s="380"/>
      <c r="I146" s="403"/>
      <c r="J146" s="380"/>
      <c r="K146" s="380"/>
      <c r="L146" s="380"/>
      <c r="M146" s="380"/>
      <c r="N146" s="380"/>
      <c r="O146" s="404"/>
      <c r="P146" s="380"/>
      <c r="Q146" s="380"/>
      <c r="R146" s="380"/>
      <c r="S146" s="380"/>
      <c r="T146" s="380"/>
      <c r="U146" s="380"/>
      <c r="V146" s="380"/>
      <c r="W146" s="403"/>
      <c r="X146" s="380"/>
      <c r="Y146" s="380"/>
      <c r="Z146" s="380"/>
      <c r="AA146" s="380"/>
      <c r="AB146" s="380"/>
      <c r="AC146" s="404"/>
      <c r="AD146" s="380"/>
      <c r="AE146" s="380"/>
      <c r="AF146" s="380"/>
      <c r="AG146" s="380"/>
      <c r="AH146" s="380"/>
      <c r="AI146" s="380"/>
      <c r="AJ146" s="380"/>
      <c r="AK146" s="403"/>
      <c r="AL146" s="380"/>
      <c r="AM146" s="380"/>
      <c r="AN146" s="380"/>
      <c r="AO146" s="380"/>
      <c r="AP146" s="380"/>
      <c r="AQ146" s="404"/>
      <c r="AR146" s="380"/>
      <c r="AS146" s="380"/>
      <c r="AT146" s="380"/>
      <c r="AU146" s="380"/>
      <c r="AV146" s="380"/>
      <c r="AW146" s="380"/>
      <c r="AX146" s="380"/>
      <c r="AY146" s="403"/>
      <c r="AZ146" s="380"/>
      <c r="BA146" s="380"/>
      <c r="BB146" s="380"/>
      <c r="BC146" s="380"/>
      <c r="BD146" s="380"/>
      <c r="BE146" s="404"/>
      <c r="BF146" s="380"/>
      <c r="BG146" s="380"/>
      <c r="BH146" s="380"/>
      <c r="BI146" s="380"/>
      <c r="BJ146" s="380"/>
      <c r="BK146" s="380"/>
      <c r="BL146" s="380"/>
      <c r="BM146" s="403"/>
      <c r="BS146" s="83"/>
      <c r="CA146" s="405"/>
      <c r="CG146" s="83"/>
      <c r="CO146" s="405"/>
      <c r="CU146" s="83"/>
      <c r="DC146" s="405"/>
      <c r="DI146" s="83"/>
      <c r="DQ146" s="405"/>
      <c r="DW146" s="83"/>
      <c r="EE146" s="405"/>
      <c r="EK146" s="83"/>
      <c r="ES146" s="405"/>
      <c r="EY146" s="83"/>
      <c r="FG146" s="405"/>
      <c r="FM146" s="83"/>
      <c r="FU146" s="405"/>
      <c r="GA146" s="83"/>
      <c r="GI146" s="405"/>
      <c r="GO146" s="83"/>
      <c r="GW146" s="405"/>
      <c r="HC146" s="83"/>
      <c r="HK146" s="405"/>
      <c r="HQ146" s="83"/>
      <c r="HY146" s="405"/>
      <c r="IE146" s="83"/>
      <c r="IM146" s="405"/>
      <c r="IS146" s="83"/>
      <c r="JA146" s="405"/>
      <c r="JG146" s="83"/>
      <c r="JO146" s="405"/>
      <c r="JU146" s="83"/>
      <c r="KC146" s="405"/>
      <c r="KI146" s="83"/>
      <c r="KQ146" s="405"/>
      <c r="KW146" s="83"/>
      <c r="LE146" s="405"/>
      <c r="LK146" s="83"/>
      <c r="LS146" s="405"/>
      <c r="LY146" s="83"/>
      <c r="MG146" s="405"/>
      <c r="MM146" s="83"/>
      <c r="MU146" s="405"/>
      <c r="NA146" s="83"/>
    </row>
    <row r="147">
      <c r="A147" s="483"/>
      <c r="B147" s="380"/>
      <c r="C147" s="380"/>
      <c r="D147" s="380"/>
      <c r="E147" s="380"/>
      <c r="F147" s="380"/>
      <c r="G147" s="380"/>
      <c r="H147" s="380"/>
      <c r="I147" s="403"/>
      <c r="J147" s="380"/>
      <c r="K147" s="380"/>
      <c r="L147" s="380"/>
      <c r="M147" s="380"/>
      <c r="N147" s="380"/>
      <c r="O147" s="404"/>
      <c r="P147" s="380"/>
      <c r="Q147" s="380"/>
      <c r="R147" s="380"/>
      <c r="S147" s="380"/>
      <c r="T147" s="380"/>
      <c r="U147" s="380"/>
      <c r="V147" s="380"/>
      <c r="W147" s="403"/>
      <c r="X147" s="380"/>
      <c r="Y147" s="380"/>
      <c r="Z147" s="380"/>
      <c r="AA147" s="380"/>
      <c r="AB147" s="380"/>
      <c r="AC147" s="404"/>
      <c r="AD147" s="380"/>
      <c r="AE147" s="380"/>
      <c r="AF147" s="380"/>
      <c r="AG147" s="380"/>
      <c r="AH147" s="380"/>
      <c r="AI147" s="380"/>
      <c r="AJ147" s="380"/>
      <c r="AK147" s="403"/>
      <c r="AL147" s="380"/>
      <c r="AM147" s="380"/>
      <c r="AN147" s="380"/>
      <c r="AO147" s="380"/>
      <c r="AP147" s="380"/>
      <c r="AQ147" s="404"/>
      <c r="AR147" s="380"/>
      <c r="AS147" s="380"/>
      <c r="AT147" s="380"/>
      <c r="AU147" s="380"/>
      <c r="AV147" s="380"/>
      <c r="AW147" s="380"/>
      <c r="AX147" s="380"/>
      <c r="AY147" s="403"/>
      <c r="AZ147" s="380"/>
      <c r="BA147" s="380"/>
      <c r="BB147" s="380"/>
      <c r="BC147" s="380"/>
      <c r="BD147" s="380"/>
      <c r="BE147" s="404"/>
      <c r="BF147" s="380"/>
      <c r="BG147" s="380"/>
      <c r="BH147" s="380"/>
      <c r="BI147" s="380"/>
      <c r="BJ147" s="380"/>
      <c r="BK147" s="380"/>
      <c r="BL147" s="380"/>
      <c r="BM147" s="403"/>
      <c r="BS147" s="83"/>
      <c r="CA147" s="405"/>
      <c r="CG147" s="83"/>
      <c r="CO147" s="405"/>
      <c r="CU147" s="83"/>
      <c r="DC147" s="405"/>
      <c r="DI147" s="83"/>
      <c r="DQ147" s="405"/>
      <c r="DW147" s="83"/>
      <c r="EE147" s="405"/>
      <c r="EK147" s="83"/>
      <c r="ES147" s="405"/>
      <c r="EY147" s="83"/>
      <c r="FG147" s="405"/>
      <c r="FM147" s="83"/>
      <c r="FU147" s="405"/>
      <c r="GA147" s="83"/>
      <c r="GI147" s="405"/>
      <c r="GO147" s="83"/>
      <c r="GW147" s="405"/>
      <c r="HC147" s="83"/>
      <c r="HK147" s="405"/>
      <c r="HQ147" s="83"/>
      <c r="HY147" s="405"/>
      <c r="IE147" s="83"/>
      <c r="IM147" s="405"/>
      <c r="IS147" s="83"/>
      <c r="JA147" s="405"/>
      <c r="JG147" s="83"/>
      <c r="JO147" s="405"/>
      <c r="JU147" s="83"/>
      <c r="KC147" s="405"/>
      <c r="KI147" s="83"/>
      <c r="KQ147" s="405"/>
      <c r="KW147" s="83"/>
      <c r="LE147" s="405"/>
      <c r="LK147" s="83"/>
      <c r="LS147" s="405"/>
      <c r="LY147" s="83"/>
      <c r="MG147" s="405"/>
      <c r="MM147" s="83"/>
      <c r="MU147" s="405"/>
      <c r="NA147" s="83"/>
    </row>
    <row r="148">
      <c r="A148" s="483"/>
      <c r="B148" s="380"/>
      <c r="C148" s="380"/>
      <c r="D148" s="380"/>
      <c r="E148" s="380"/>
      <c r="F148" s="380"/>
      <c r="G148" s="380"/>
      <c r="H148" s="380"/>
      <c r="I148" s="403"/>
      <c r="J148" s="380"/>
      <c r="K148" s="380"/>
      <c r="L148" s="380"/>
      <c r="M148" s="380"/>
      <c r="N148" s="380"/>
      <c r="O148" s="404"/>
      <c r="P148" s="380"/>
      <c r="Q148" s="380"/>
      <c r="R148" s="380"/>
      <c r="S148" s="380"/>
      <c r="T148" s="380"/>
      <c r="U148" s="380"/>
      <c r="V148" s="380"/>
      <c r="W148" s="403"/>
      <c r="X148" s="380"/>
      <c r="Y148" s="380"/>
      <c r="Z148" s="380"/>
      <c r="AA148" s="380"/>
      <c r="AB148" s="380"/>
      <c r="AC148" s="404"/>
      <c r="AD148" s="380"/>
      <c r="AE148" s="380"/>
      <c r="AF148" s="380"/>
      <c r="AG148" s="380"/>
      <c r="AH148" s="380"/>
      <c r="AI148" s="380"/>
      <c r="AJ148" s="380"/>
      <c r="AK148" s="403"/>
      <c r="AL148" s="380"/>
      <c r="AM148" s="380"/>
      <c r="AN148" s="380"/>
      <c r="AO148" s="380"/>
      <c r="AP148" s="380"/>
      <c r="AQ148" s="404"/>
      <c r="AR148" s="380"/>
      <c r="AS148" s="380"/>
      <c r="AT148" s="380"/>
      <c r="AU148" s="380"/>
      <c r="AV148" s="380"/>
      <c r="AW148" s="380"/>
      <c r="AX148" s="380"/>
      <c r="AY148" s="403"/>
      <c r="AZ148" s="380"/>
      <c r="BA148" s="380"/>
      <c r="BB148" s="380"/>
      <c r="BC148" s="380"/>
      <c r="BD148" s="380"/>
      <c r="BE148" s="404"/>
      <c r="BF148" s="380"/>
      <c r="BG148" s="380"/>
      <c r="BH148" s="380"/>
      <c r="BI148" s="380"/>
      <c r="BJ148" s="380"/>
      <c r="BK148" s="380"/>
      <c r="BL148" s="380"/>
      <c r="BM148" s="403"/>
      <c r="BS148" s="83"/>
      <c r="CA148" s="405"/>
      <c r="CG148" s="83"/>
      <c r="CO148" s="405"/>
      <c r="CU148" s="83"/>
      <c r="DC148" s="405"/>
      <c r="DI148" s="83"/>
      <c r="DQ148" s="405"/>
      <c r="DW148" s="83"/>
      <c r="EE148" s="405"/>
      <c r="EK148" s="83"/>
      <c r="ES148" s="405"/>
      <c r="EY148" s="83"/>
      <c r="FG148" s="405"/>
      <c r="FM148" s="83"/>
      <c r="FU148" s="405"/>
      <c r="GA148" s="83"/>
      <c r="GI148" s="405"/>
      <c r="GO148" s="83"/>
      <c r="GW148" s="405"/>
      <c r="HC148" s="83"/>
      <c r="HK148" s="405"/>
      <c r="HQ148" s="83"/>
      <c r="HY148" s="405"/>
      <c r="IE148" s="83"/>
      <c r="IM148" s="405"/>
      <c r="IS148" s="83"/>
      <c r="JA148" s="405"/>
      <c r="JG148" s="83"/>
      <c r="JO148" s="405"/>
      <c r="JU148" s="83"/>
      <c r="KC148" s="405"/>
      <c r="KI148" s="83"/>
      <c r="KQ148" s="405"/>
      <c r="KW148" s="83"/>
      <c r="LE148" s="405"/>
      <c r="LK148" s="83"/>
      <c r="LS148" s="405"/>
      <c r="LY148" s="83"/>
      <c r="MG148" s="405"/>
      <c r="MM148" s="83"/>
      <c r="MU148" s="405"/>
      <c r="NA148" s="83"/>
    </row>
    <row r="149">
      <c r="A149" s="483"/>
      <c r="B149" s="380"/>
      <c r="C149" s="380"/>
      <c r="D149" s="380"/>
      <c r="E149" s="380"/>
      <c r="F149" s="380"/>
      <c r="G149" s="380"/>
      <c r="H149" s="380"/>
      <c r="I149" s="403"/>
      <c r="J149" s="380"/>
      <c r="K149" s="380"/>
      <c r="L149" s="380"/>
      <c r="M149" s="380"/>
      <c r="N149" s="380"/>
      <c r="O149" s="404"/>
      <c r="P149" s="380"/>
      <c r="Q149" s="380"/>
      <c r="R149" s="380"/>
      <c r="S149" s="380"/>
      <c r="T149" s="380"/>
      <c r="U149" s="380"/>
      <c r="V149" s="380"/>
      <c r="W149" s="403"/>
      <c r="X149" s="380"/>
      <c r="Y149" s="380"/>
      <c r="Z149" s="380"/>
      <c r="AA149" s="380"/>
      <c r="AB149" s="380"/>
      <c r="AC149" s="404"/>
      <c r="AD149" s="380"/>
      <c r="AE149" s="380"/>
      <c r="AF149" s="380"/>
      <c r="AG149" s="380"/>
      <c r="AH149" s="380"/>
      <c r="AI149" s="380"/>
      <c r="AJ149" s="380"/>
      <c r="AK149" s="403"/>
      <c r="AL149" s="380"/>
      <c r="AM149" s="380"/>
      <c r="AN149" s="380"/>
      <c r="AO149" s="380"/>
      <c r="AP149" s="380"/>
      <c r="AQ149" s="404"/>
      <c r="AR149" s="380"/>
      <c r="AS149" s="380"/>
      <c r="AT149" s="380"/>
      <c r="AU149" s="380"/>
      <c r="AV149" s="380"/>
      <c r="AW149" s="380"/>
      <c r="AX149" s="380"/>
      <c r="AY149" s="403"/>
      <c r="AZ149" s="380"/>
      <c r="BA149" s="380"/>
      <c r="BB149" s="380"/>
      <c r="BC149" s="380"/>
      <c r="BD149" s="380"/>
      <c r="BE149" s="404"/>
      <c r="BF149" s="380"/>
      <c r="BG149" s="380"/>
      <c r="BH149" s="380"/>
      <c r="BI149" s="380"/>
      <c r="BJ149" s="380"/>
      <c r="BK149" s="380"/>
      <c r="BL149" s="380"/>
      <c r="BM149" s="403"/>
      <c r="BS149" s="83"/>
      <c r="CA149" s="405"/>
      <c r="CG149" s="83"/>
      <c r="CO149" s="405"/>
      <c r="CU149" s="83"/>
      <c r="DC149" s="405"/>
      <c r="DI149" s="83"/>
      <c r="DQ149" s="405"/>
      <c r="DW149" s="83"/>
      <c r="EE149" s="405"/>
      <c r="EK149" s="83"/>
      <c r="ES149" s="405"/>
      <c r="EY149" s="83"/>
      <c r="FG149" s="405"/>
      <c r="FM149" s="83"/>
      <c r="FU149" s="405"/>
      <c r="GA149" s="83"/>
      <c r="GI149" s="405"/>
      <c r="GO149" s="83"/>
      <c r="GW149" s="405"/>
      <c r="HC149" s="83"/>
      <c r="HK149" s="405"/>
      <c r="HQ149" s="83"/>
      <c r="HY149" s="405"/>
      <c r="IE149" s="83"/>
      <c r="IM149" s="405"/>
      <c r="IS149" s="83"/>
      <c r="JA149" s="405"/>
      <c r="JG149" s="83"/>
      <c r="JO149" s="405"/>
      <c r="JU149" s="83"/>
      <c r="KC149" s="405"/>
      <c r="KI149" s="83"/>
      <c r="KQ149" s="405"/>
      <c r="KW149" s="83"/>
      <c r="LE149" s="405"/>
      <c r="LK149" s="83"/>
      <c r="LS149" s="405"/>
      <c r="LY149" s="83"/>
      <c r="MG149" s="405"/>
      <c r="MM149" s="83"/>
      <c r="MU149" s="405"/>
      <c r="NA149" s="83"/>
    </row>
    <row r="150">
      <c r="A150" s="483"/>
      <c r="B150" s="380"/>
      <c r="C150" s="380"/>
      <c r="D150" s="380"/>
      <c r="E150" s="380"/>
      <c r="F150" s="380"/>
      <c r="G150" s="380"/>
      <c r="H150" s="380"/>
      <c r="I150" s="403"/>
      <c r="J150" s="380"/>
      <c r="K150" s="380"/>
      <c r="L150" s="380"/>
      <c r="M150" s="380"/>
      <c r="N150" s="380"/>
      <c r="O150" s="404"/>
      <c r="P150" s="380"/>
      <c r="Q150" s="380"/>
      <c r="R150" s="380"/>
      <c r="S150" s="380"/>
      <c r="T150" s="380"/>
      <c r="U150" s="380"/>
      <c r="V150" s="380"/>
      <c r="W150" s="403"/>
      <c r="X150" s="380"/>
      <c r="Y150" s="380"/>
      <c r="Z150" s="380"/>
      <c r="AA150" s="380"/>
      <c r="AB150" s="380"/>
      <c r="AC150" s="404"/>
      <c r="AD150" s="380"/>
      <c r="AE150" s="380"/>
      <c r="AF150" s="380"/>
      <c r="AG150" s="380"/>
      <c r="AH150" s="380"/>
      <c r="AI150" s="380"/>
      <c r="AJ150" s="380"/>
      <c r="AK150" s="403"/>
      <c r="AL150" s="380"/>
      <c r="AM150" s="380"/>
      <c r="AN150" s="380"/>
      <c r="AO150" s="380"/>
      <c r="AP150" s="380"/>
      <c r="AQ150" s="404"/>
      <c r="AR150" s="380"/>
      <c r="AS150" s="380"/>
      <c r="AT150" s="380"/>
      <c r="AU150" s="380"/>
      <c r="AV150" s="380"/>
      <c r="AW150" s="380"/>
      <c r="AX150" s="380"/>
      <c r="AY150" s="403"/>
      <c r="AZ150" s="380"/>
      <c r="BA150" s="380"/>
      <c r="BB150" s="380"/>
      <c r="BC150" s="380"/>
      <c r="BD150" s="380"/>
      <c r="BE150" s="404"/>
      <c r="BF150" s="380"/>
      <c r="BG150" s="380"/>
      <c r="BH150" s="380"/>
      <c r="BI150" s="380"/>
      <c r="BJ150" s="380"/>
      <c r="BK150" s="380"/>
      <c r="BL150" s="380"/>
      <c r="BM150" s="403"/>
      <c r="BS150" s="83"/>
      <c r="CA150" s="405"/>
      <c r="CG150" s="83"/>
      <c r="CO150" s="405"/>
      <c r="CU150" s="83"/>
      <c r="DC150" s="405"/>
      <c r="DI150" s="83"/>
      <c r="DQ150" s="405"/>
      <c r="DW150" s="83"/>
      <c r="EE150" s="405"/>
      <c r="EK150" s="83"/>
      <c r="ES150" s="405"/>
      <c r="EY150" s="83"/>
      <c r="FG150" s="405"/>
      <c r="FM150" s="83"/>
      <c r="FU150" s="405"/>
      <c r="GA150" s="83"/>
      <c r="GI150" s="405"/>
      <c r="GO150" s="83"/>
      <c r="GW150" s="405"/>
      <c r="HC150" s="83"/>
      <c r="HK150" s="405"/>
      <c r="HQ150" s="83"/>
      <c r="HY150" s="405"/>
      <c r="IE150" s="83"/>
      <c r="IM150" s="405"/>
      <c r="IS150" s="83"/>
      <c r="JA150" s="405"/>
      <c r="JG150" s="83"/>
      <c r="JO150" s="405"/>
      <c r="JU150" s="83"/>
      <c r="KC150" s="405"/>
      <c r="KI150" s="83"/>
      <c r="KQ150" s="405"/>
      <c r="KW150" s="83"/>
      <c r="LE150" s="405"/>
      <c r="LK150" s="83"/>
      <c r="LS150" s="405"/>
      <c r="LY150" s="83"/>
      <c r="MG150" s="405"/>
      <c r="MM150" s="83"/>
      <c r="MU150" s="405"/>
      <c r="NA150" s="83"/>
    </row>
    <row r="151">
      <c r="A151" s="483"/>
      <c r="B151" s="380"/>
      <c r="C151" s="380"/>
      <c r="D151" s="380"/>
      <c r="E151" s="380"/>
      <c r="F151" s="380"/>
      <c r="G151" s="380"/>
      <c r="H151" s="380"/>
      <c r="I151" s="403"/>
      <c r="J151" s="380"/>
      <c r="K151" s="380"/>
      <c r="L151" s="380"/>
      <c r="M151" s="380"/>
      <c r="N151" s="380"/>
      <c r="O151" s="404"/>
      <c r="P151" s="380"/>
      <c r="Q151" s="380"/>
      <c r="R151" s="380"/>
      <c r="S151" s="380"/>
      <c r="T151" s="380"/>
      <c r="U151" s="380"/>
      <c r="V151" s="380"/>
      <c r="W151" s="403"/>
      <c r="X151" s="380"/>
      <c r="Y151" s="380"/>
      <c r="Z151" s="380"/>
      <c r="AA151" s="380"/>
      <c r="AB151" s="380"/>
      <c r="AC151" s="404"/>
      <c r="AD151" s="380"/>
      <c r="AE151" s="380"/>
      <c r="AF151" s="380"/>
      <c r="AG151" s="380"/>
      <c r="AH151" s="380"/>
      <c r="AI151" s="380"/>
      <c r="AJ151" s="380"/>
      <c r="AK151" s="403"/>
      <c r="AL151" s="380"/>
      <c r="AM151" s="380"/>
      <c r="AN151" s="380"/>
      <c r="AO151" s="380"/>
      <c r="AP151" s="380"/>
      <c r="AQ151" s="404"/>
      <c r="AR151" s="380"/>
      <c r="AS151" s="380"/>
      <c r="AT151" s="380"/>
      <c r="AU151" s="380"/>
      <c r="AV151" s="380"/>
      <c r="AW151" s="380"/>
      <c r="AX151" s="380"/>
      <c r="AY151" s="403"/>
      <c r="AZ151" s="380"/>
      <c r="BA151" s="380"/>
      <c r="BB151" s="380"/>
      <c r="BC151" s="380"/>
      <c r="BD151" s="380"/>
      <c r="BE151" s="404"/>
      <c r="BF151" s="380"/>
      <c r="BG151" s="380"/>
      <c r="BH151" s="380"/>
      <c r="BI151" s="380"/>
      <c r="BJ151" s="380"/>
      <c r="BK151" s="380"/>
      <c r="BL151" s="380"/>
      <c r="BM151" s="403"/>
      <c r="BS151" s="83"/>
      <c r="CA151" s="405"/>
      <c r="CG151" s="83"/>
      <c r="CO151" s="405"/>
      <c r="CU151" s="83"/>
      <c r="DC151" s="405"/>
      <c r="DI151" s="83"/>
      <c r="DQ151" s="405"/>
      <c r="DW151" s="83"/>
      <c r="EE151" s="405"/>
      <c r="EK151" s="83"/>
      <c r="ES151" s="405"/>
      <c r="EY151" s="83"/>
      <c r="FG151" s="405"/>
      <c r="FM151" s="83"/>
      <c r="FU151" s="405"/>
      <c r="GA151" s="83"/>
      <c r="GI151" s="405"/>
      <c r="GO151" s="83"/>
      <c r="GW151" s="405"/>
      <c r="HC151" s="83"/>
      <c r="HK151" s="405"/>
      <c r="HQ151" s="83"/>
      <c r="HY151" s="405"/>
      <c r="IE151" s="83"/>
      <c r="IM151" s="405"/>
      <c r="IS151" s="83"/>
      <c r="JA151" s="405"/>
      <c r="JG151" s="83"/>
      <c r="JO151" s="405"/>
      <c r="JU151" s="83"/>
      <c r="KC151" s="405"/>
      <c r="KI151" s="83"/>
      <c r="KQ151" s="405"/>
      <c r="KW151" s="83"/>
      <c r="LE151" s="405"/>
      <c r="LK151" s="83"/>
      <c r="LS151" s="405"/>
      <c r="LY151" s="83"/>
      <c r="MG151" s="405"/>
      <c r="MM151" s="83"/>
      <c r="MU151" s="405"/>
      <c r="NA151" s="83"/>
    </row>
    <row r="152">
      <c r="A152" s="483"/>
      <c r="B152" s="380"/>
      <c r="C152" s="380"/>
      <c r="D152" s="380"/>
      <c r="E152" s="380"/>
      <c r="F152" s="380"/>
      <c r="G152" s="380"/>
      <c r="H152" s="380"/>
      <c r="I152" s="403"/>
      <c r="J152" s="380"/>
      <c r="K152" s="380"/>
      <c r="L152" s="380"/>
      <c r="M152" s="380"/>
      <c r="N152" s="380"/>
      <c r="O152" s="404"/>
      <c r="P152" s="380"/>
      <c r="Q152" s="380"/>
      <c r="R152" s="380"/>
      <c r="S152" s="380"/>
      <c r="T152" s="380"/>
      <c r="U152" s="380"/>
      <c r="V152" s="380"/>
      <c r="W152" s="403"/>
      <c r="X152" s="380"/>
      <c r="Y152" s="380"/>
      <c r="Z152" s="380"/>
      <c r="AA152" s="380"/>
      <c r="AB152" s="380"/>
      <c r="AC152" s="404"/>
      <c r="AD152" s="380"/>
      <c r="AE152" s="380"/>
      <c r="AF152" s="380"/>
      <c r="AG152" s="380"/>
      <c r="AH152" s="380"/>
      <c r="AI152" s="380"/>
      <c r="AJ152" s="380"/>
      <c r="AK152" s="403"/>
      <c r="AL152" s="380"/>
      <c r="AM152" s="380"/>
      <c r="AN152" s="380"/>
      <c r="AO152" s="380"/>
      <c r="AP152" s="380"/>
      <c r="AQ152" s="404"/>
      <c r="AR152" s="380"/>
      <c r="AS152" s="380"/>
      <c r="AT152" s="380"/>
      <c r="AU152" s="380"/>
      <c r="AV152" s="380"/>
      <c r="AW152" s="380"/>
      <c r="AX152" s="380"/>
      <c r="AY152" s="403"/>
      <c r="AZ152" s="380"/>
      <c r="BA152" s="380"/>
      <c r="BB152" s="380"/>
      <c r="BC152" s="380"/>
      <c r="BD152" s="380"/>
      <c r="BE152" s="404"/>
      <c r="BF152" s="380"/>
      <c r="BG152" s="380"/>
      <c r="BH152" s="380"/>
      <c r="BI152" s="380"/>
      <c r="BJ152" s="380"/>
      <c r="BK152" s="380"/>
      <c r="BL152" s="380"/>
      <c r="BM152" s="403"/>
      <c r="BS152" s="83"/>
      <c r="CA152" s="405"/>
      <c r="CG152" s="83"/>
      <c r="CO152" s="405"/>
      <c r="CU152" s="83"/>
      <c r="DC152" s="405"/>
      <c r="DI152" s="83"/>
      <c r="DQ152" s="405"/>
      <c r="DW152" s="83"/>
      <c r="EE152" s="405"/>
      <c r="EK152" s="83"/>
      <c r="ES152" s="405"/>
      <c r="EY152" s="83"/>
      <c r="FG152" s="405"/>
      <c r="FM152" s="83"/>
      <c r="FU152" s="405"/>
      <c r="GA152" s="83"/>
      <c r="GI152" s="405"/>
      <c r="GO152" s="83"/>
      <c r="GW152" s="405"/>
      <c r="HC152" s="83"/>
      <c r="HK152" s="405"/>
      <c r="HQ152" s="83"/>
      <c r="HY152" s="405"/>
      <c r="IE152" s="83"/>
      <c r="IM152" s="405"/>
      <c r="IS152" s="83"/>
      <c r="JA152" s="405"/>
      <c r="JG152" s="83"/>
      <c r="JO152" s="405"/>
      <c r="JU152" s="83"/>
      <c r="KC152" s="405"/>
      <c r="KI152" s="83"/>
      <c r="KQ152" s="405"/>
      <c r="KW152" s="83"/>
      <c r="LE152" s="405"/>
      <c r="LK152" s="83"/>
      <c r="LS152" s="405"/>
      <c r="LY152" s="83"/>
      <c r="MG152" s="405"/>
      <c r="MM152" s="83"/>
      <c r="MU152" s="405"/>
      <c r="NA152" s="83"/>
    </row>
    <row r="153">
      <c r="A153" s="483"/>
      <c r="B153" s="380"/>
      <c r="C153" s="380"/>
      <c r="D153" s="380"/>
      <c r="E153" s="380"/>
      <c r="F153" s="380"/>
      <c r="G153" s="380"/>
      <c r="H153" s="380"/>
      <c r="I153" s="403"/>
      <c r="J153" s="380"/>
      <c r="K153" s="380"/>
      <c r="L153" s="380"/>
      <c r="M153" s="380"/>
      <c r="N153" s="380"/>
      <c r="O153" s="404"/>
      <c r="P153" s="380"/>
      <c r="Q153" s="380"/>
      <c r="R153" s="380"/>
      <c r="S153" s="380"/>
      <c r="T153" s="380"/>
      <c r="U153" s="380"/>
      <c r="V153" s="380"/>
      <c r="W153" s="403"/>
      <c r="X153" s="380"/>
      <c r="Y153" s="380"/>
      <c r="Z153" s="380"/>
      <c r="AA153" s="380"/>
      <c r="AB153" s="380"/>
      <c r="AC153" s="404"/>
      <c r="AD153" s="380"/>
      <c r="AE153" s="380"/>
      <c r="AF153" s="380"/>
      <c r="AG153" s="380"/>
      <c r="AH153" s="380"/>
      <c r="AI153" s="380"/>
      <c r="AJ153" s="380"/>
      <c r="AK153" s="403"/>
      <c r="AL153" s="380"/>
      <c r="AM153" s="380"/>
      <c r="AN153" s="380"/>
      <c r="AO153" s="380"/>
      <c r="AP153" s="380"/>
      <c r="AQ153" s="404"/>
      <c r="AR153" s="380"/>
      <c r="AS153" s="380"/>
      <c r="AT153" s="380"/>
      <c r="AU153" s="380"/>
      <c r="AV153" s="380"/>
      <c r="AW153" s="380"/>
      <c r="AX153" s="380"/>
      <c r="AY153" s="403"/>
      <c r="AZ153" s="380"/>
      <c r="BA153" s="380"/>
      <c r="BB153" s="380"/>
      <c r="BC153" s="380"/>
      <c r="BD153" s="380"/>
      <c r="BE153" s="404"/>
      <c r="BF153" s="380"/>
      <c r="BG153" s="380"/>
      <c r="BH153" s="380"/>
      <c r="BI153" s="380"/>
      <c r="BJ153" s="380"/>
      <c r="BK153" s="380"/>
      <c r="BL153" s="380"/>
      <c r="BM153" s="403"/>
      <c r="BS153" s="83"/>
      <c r="CA153" s="405"/>
      <c r="CG153" s="83"/>
      <c r="CO153" s="405"/>
      <c r="CU153" s="83"/>
      <c r="DC153" s="405"/>
      <c r="DI153" s="83"/>
      <c r="DQ153" s="405"/>
      <c r="DW153" s="83"/>
      <c r="EE153" s="405"/>
      <c r="EK153" s="83"/>
      <c r="ES153" s="405"/>
      <c r="EY153" s="83"/>
      <c r="FG153" s="405"/>
      <c r="FM153" s="83"/>
      <c r="FU153" s="405"/>
      <c r="GA153" s="83"/>
      <c r="GI153" s="405"/>
      <c r="GO153" s="83"/>
      <c r="GW153" s="405"/>
      <c r="HC153" s="83"/>
      <c r="HK153" s="405"/>
      <c r="HQ153" s="83"/>
      <c r="HY153" s="405"/>
      <c r="IE153" s="83"/>
      <c r="IM153" s="405"/>
      <c r="IS153" s="83"/>
      <c r="JA153" s="405"/>
      <c r="JG153" s="83"/>
      <c r="JO153" s="405"/>
      <c r="JU153" s="83"/>
      <c r="KC153" s="405"/>
      <c r="KI153" s="83"/>
      <c r="KQ153" s="405"/>
      <c r="KW153" s="83"/>
      <c r="LE153" s="405"/>
      <c r="LK153" s="83"/>
      <c r="LS153" s="405"/>
      <c r="LY153" s="83"/>
      <c r="MG153" s="405"/>
      <c r="MM153" s="83"/>
      <c r="MU153" s="405"/>
      <c r="NA153" s="83"/>
    </row>
    <row r="154">
      <c r="A154" s="483"/>
      <c r="B154" s="380"/>
      <c r="C154" s="380"/>
      <c r="D154" s="380"/>
      <c r="E154" s="380"/>
      <c r="F154" s="380"/>
      <c r="G154" s="380"/>
      <c r="H154" s="380"/>
      <c r="I154" s="403"/>
      <c r="J154" s="380"/>
      <c r="K154" s="380"/>
      <c r="L154" s="380"/>
      <c r="M154" s="380"/>
      <c r="N154" s="380"/>
      <c r="O154" s="404"/>
      <c r="P154" s="380"/>
      <c r="Q154" s="380"/>
      <c r="R154" s="380"/>
      <c r="S154" s="380"/>
      <c r="T154" s="380"/>
      <c r="U154" s="380"/>
      <c r="V154" s="380"/>
      <c r="W154" s="403"/>
      <c r="X154" s="380"/>
      <c r="Y154" s="380"/>
      <c r="Z154" s="380"/>
      <c r="AA154" s="380"/>
      <c r="AB154" s="380"/>
      <c r="AC154" s="404"/>
      <c r="AD154" s="380"/>
      <c r="AE154" s="380"/>
      <c r="AF154" s="380"/>
      <c r="AG154" s="380"/>
      <c r="AH154" s="380"/>
      <c r="AI154" s="380"/>
      <c r="AJ154" s="380"/>
      <c r="AK154" s="403"/>
      <c r="AL154" s="380"/>
      <c r="AM154" s="380"/>
      <c r="AN154" s="380"/>
      <c r="AO154" s="380"/>
      <c r="AP154" s="380"/>
      <c r="AQ154" s="404"/>
      <c r="AR154" s="380"/>
      <c r="AS154" s="380"/>
      <c r="AT154" s="380"/>
      <c r="AU154" s="380"/>
      <c r="AV154" s="380"/>
      <c r="AW154" s="380"/>
      <c r="AX154" s="380"/>
      <c r="AY154" s="403"/>
      <c r="AZ154" s="380"/>
      <c r="BA154" s="380"/>
      <c r="BB154" s="380"/>
      <c r="BC154" s="380"/>
      <c r="BD154" s="380"/>
      <c r="BE154" s="404"/>
      <c r="BF154" s="380"/>
      <c r="BG154" s="380"/>
      <c r="BH154" s="380"/>
      <c r="BI154" s="380"/>
      <c r="BJ154" s="380"/>
      <c r="BK154" s="380"/>
      <c r="BL154" s="380"/>
      <c r="BM154" s="403"/>
      <c r="BS154" s="83"/>
      <c r="CA154" s="405"/>
      <c r="CG154" s="83"/>
      <c r="CO154" s="405"/>
      <c r="CU154" s="83"/>
      <c r="DC154" s="405"/>
      <c r="DI154" s="83"/>
      <c r="DQ154" s="405"/>
      <c r="DW154" s="83"/>
      <c r="EE154" s="405"/>
      <c r="EK154" s="83"/>
      <c r="ES154" s="405"/>
      <c r="EY154" s="83"/>
      <c r="FG154" s="405"/>
      <c r="FM154" s="83"/>
      <c r="FU154" s="405"/>
      <c r="GA154" s="83"/>
      <c r="GI154" s="405"/>
      <c r="GO154" s="83"/>
      <c r="GW154" s="405"/>
      <c r="HC154" s="83"/>
      <c r="HK154" s="405"/>
      <c r="HQ154" s="83"/>
      <c r="HY154" s="405"/>
      <c r="IE154" s="83"/>
      <c r="IM154" s="405"/>
      <c r="IS154" s="83"/>
      <c r="JA154" s="405"/>
      <c r="JG154" s="83"/>
      <c r="JO154" s="405"/>
      <c r="JU154" s="83"/>
      <c r="KC154" s="405"/>
      <c r="KI154" s="83"/>
      <c r="KQ154" s="405"/>
      <c r="KW154" s="83"/>
      <c r="LE154" s="405"/>
      <c r="LK154" s="83"/>
      <c r="LS154" s="405"/>
      <c r="LY154" s="83"/>
      <c r="MG154" s="405"/>
      <c r="MM154" s="83"/>
      <c r="MU154" s="405"/>
      <c r="NA154" s="83"/>
    </row>
    <row r="155">
      <c r="A155" s="483"/>
      <c r="B155" s="380"/>
      <c r="C155" s="380"/>
      <c r="D155" s="380"/>
      <c r="E155" s="380"/>
      <c r="F155" s="380"/>
      <c r="G155" s="380"/>
      <c r="H155" s="380"/>
      <c r="I155" s="403"/>
      <c r="J155" s="380"/>
      <c r="K155" s="380"/>
      <c r="L155" s="380"/>
      <c r="M155" s="380"/>
      <c r="N155" s="380"/>
      <c r="O155" s="404"/>
      <c r="P155" s="380"/>
      <c r="Q155" s="380"/>
      <c r="R155" s="380"/>
      <c r="S155" s="380"/>
      <c r="T155" s="380"/>
      <c r="U155" s="380"/>
      <c r="V155" s="380"/>
      <c r="W155" s="403"/>
      <c r="X155" s="380"/>
      <c r="Y155" s="380"/>
      <c r="Z155" s="380"/>
      <c r="AA155" s="380"/>
      <c r="AB155" s="380"/>
      <c r="AC155" s="404"/>
      <c r="AD155" s="380"/>
      <c r="AE155" s="380"/>
      <c r="AF155" s="380"/>
      <c r="AG155" s="380"/>
      <c r="AH155" s="380"/>
      <c r="AI155" s="380"/>
      <c r="AJ155" s="380"/>
      <c r="AK155" s="403"/>
      <c r="AL155" s="380"/>
      <c r="AM155" s="380"/>
      <c r="AN155" s="380"/>
      <c r="AO155" s="380"/>
      <c r="AP155" s="380"/>
      <c r="AQ155" s="404"/>
      <c r="AR155" s="380"/>
      <c r="AS155" s="380"/>
      <c r="AT155" s="380"/>
      <c r="AU155" s="380"/>
      <c r="AV155" s="380"/>
      <c r="AW155" s="380"/>
      <c r="AX155" s="380"/>
      <c r="AY155" s="403"/>
      <c r="AZ155" s="380"/>
      <c r="BA155" s="380"/>
      <c r="BB155" s="380"/>
      <c r="BC155" s="380"/>
      <c r="BD155" s="380"/>
      <c r="BE155" s="404"/>
      <c r="BF155" s="380"/>
      <c r="BG155" s="380"/>
      <c r="BH155" s="380"/>
      <c r="BI155" s="380"/>
      <c r="BJ155" s="380"/>
      <c r="BK155" s="380"/>
      <c r="BL155" s="380"/>
      <c r="BM155" s="403"/>
      <c r="BS155" s="83"/>
      <c r="CA155" s="405"/>
      <c r="CG155" s="83"/>
      <c r="CO155" s="405"/>
      <c r="CU155" s="83"/>
      <c r="DC155" s="405"/>
      <c r="DI155" s="83"/>
      <c r="DQ155" s="405"/>
      <c r="DW155" s="83"/>
      <c r="EE155" s="405"/>
      <c r="EK155" s="83"/>
      <c r="ES155" s="405"/>
      <c r="EY155" s="83"/>
      <c r="FG155" s="405"/>
      <c r="FM155" s="83"/>
      <c r="FU155" s="405"/>
      <c r="GA155" s="83"/>
      <c r="GI155" s="405"/>
      <c r="GO155" s="83"/>
      <c r="GW155" s="405"/>
      <c r="HC155" s="83"/>
      <c r="HK155" s="405"/>
      <c r="HQ155" s="83"/>
      <c r="HY155" s="405"/>
      <c r="IE155" s="83"/>
      <c r="IM155" s="405"/>
      <c r="IS155" s="83"/>
      <c r="JA155" s="405"/>
      <c r="JG155" s="83"/>
      <c r="JO155" s="405"/>
      <c r="JU155" s="83"/>
      <c r="KC155" s="405"/>
      <c r="KI155" s="83"/>
      <c r="KQ155" s="405"/>
      <c r="KW155" s="83"/>
      <c r="LE155" s="405"/>
      <c r="LK155" s="83"/>
      <c r="LS155" s="405"/>
      <c r="LY155" s="83"/>
      <c r="MG155" s="405"/>
      <c r="MM155" s="83"/>
      <c r="MU155" s="405"/>
      <c r="NA155" s="83"/>
    </row>
    <row r="156">
      <c r="A156" s="483"/>
      <c r="B156" s="380"/>
      <c r="C156" s="380"/>
      <c r="D156" s="380"/>
      <c r="E156" s="380"/>
      <c r="F156" s="380"/>
      <c r="G156" s="380"/>
      <c r="H156" s="380"/>
      <c r="I156" s="403"/>
      <c r="J156" s="380"/>
      <c r="K156" s="380"/>
      <c r="L156" s="380"/>
      <c r="M156" s="380"/>
      <c r="N156" s="380"/>
      <c r="O156" s="404"/>
      <c r="P156" s="380"/>
      <c r="Q156" s="380"/>
      <c r="R156" s="380"/>
      <c r="S156" s="380"/>
      <c r="T156" s="380"/>
      <c r="U156" s="380"/>
      <c r="V156" s="380"/>
      <c r="W156" s="403"/>
      <c r="X156" s="380"/>
      <c r="Y156" s="380"/>
      <c r="Z156" s="380"/>
      <c r="AA156" s="380"/>
      <c r="AB156" s="380"/>
      <c r="AC156" s="404"/>
      <c r="AD156" s="380"/>
      <c r="AE156" s="380"/>
      <c r="AF156" s="380"/>
      <c r="AG156" s="380"/>
      <c r="AH156" s="380"/>
      <c r="AI156" s="380"/>
      <c r="AJ156" s="380"/>
      <c r="AK156" s="403"/>
      <c r="AL156" s="380"/>
      <c r="AM156" s="380"/>
      <c r="AN156" s="380"/>
      <c r="AO156" s="380"/>
      <c r="AP156" s="380"/>
      <c r="AQ156" s="404"/>
      <c r="AR156" s="380"/>
      <c r="AS156" s="380"/>
      <c r="AT156" s="380"/>
      <c r="AU156" s="380"/>
      <c r="AV156" s="380"/>
      <c r="AW156" s="380"/>
      <c r="AX156" s="380"/>
      <c r="AY156" s="403"/>
      <c r="AZ156" s="380"/>
      <c r="BA156" s="380"/>
      <c r="BB156" s="380"/>
      <c r="BC156" s="380"/>
      <c r="BD156" s="380"/>
      <c r="BE156" s="404"/>
      <c r="BF156" s="380"/>
      <c r="BG156" s="380"/>
      <c r="BH156" s="380"/>
      <c r="BI156" s="380"/>
      <c r="BJ156" s="380"/>
      <c r="BK156" s="380"/>
      <c r="BL156" s="380"/>
      <c r="BM156" s="403"/>
      <c r="BS156" s="83"/>
      <c r="CA156" s="405"/>
      <c r="CG156" s="83"/>
      <c r="CO156" s="405"/>
      <c r="CU156" s="83"/>
      <c r="DC156" s="405"/>
      <c r="DI156" s="83"/>
      <c r="DQ156" s="405"/>
      <c r="DW156" s="83"/>
      <c r="EE156" s="405"/>
      <c r="EK156" s="83"/>
      <c r="ES156" s="405"/>
      <c r="EY156" s="83"/>
      <c r="FG156" s="405"/>
      <c r="FM156" s="83"/>
      <c r="FU156" s="405"/>
      <c r="GA156" s="83"/>
      <c r="GI156" s="405"/>
      <c r="GO156" s="83"/>
      <c r="GW156" s="405"/>
      <c r="HC156" s="83"/>
      <c r="HK156" s="405"/>
      <c r="HQ156" s="83"/>
      <c r="HY156" s="405"/>
      <c r="IE156" s="83"/>
      <c r="IM156" s="405"/>
      <c r="IS156" s="83"/>
      <c r="JA156" s="405"/>
      <c r="JG156" s="83"/>
      <c r="JO156" s="405"/>
      <c r="JU156" s="83"/>
      <c r="KC156" s="405"/>
      <c r="KI156" s="83"/>
      <c r="KQ156" s="405"/>
      <c r="KW156" s="83"/>
      <c r="LE156" s="405"/>
      <c r="LK156" s="83"/>
      <c r="LS156" s="405"/>
      <c r="LY156" s="83"/>
      <c r="MG156" s="405"/>
      <c r="MM156" s="83"/>
      <c r="MU156" s="405"/>
      <c r="NA156" s="83"/>
    </row>
    <row r="157">
      <c r="A157" s="483"/>
      <c r="B157" s="380"/>
      <c r="C157" s="380"/>
      <c r="D157" s="380"/>
      <c r="E157" s="380"/>
      <c r="F157" s="380"/>
      <c r="G157" s="380"/>
      <c r="H157" s="380"/>
      <c r="I157" s="403"/>
      <c r="J157" s="380"/>
      <c r="K157" s="380"/>
      <c r="L157" s="380"/>
      <c r="M157" s="380"/>
      <c r="N157" s="380"/>
      <c r="O157" s="404"/>
      <c r="P157" s="380"/>
      <c r="Q157" s="380"/>
      <c r="R157" s="380"/>
      <c r="S157" s="380"/>
      <c r="T157" s="380"/>
      <c r="U157" s="380"/>
      <c r="V157" s="380"/>
      <c r="W157" s="403"/>
      <c r="X157" s="380"/>
      <c r="Y157" s="380"/>
      <c r="Z157" s="380"/>
      <c r="AA157" s="380"/>
      <c r="AB157" s="380"/>
      <c r="AC157" s="404"/>
      <c r="AD157" s="380"/>
      <c r="AE157" s="380"/>
      <c r="AF157" s="380"/>
      <c r="AG157" s="380"/>
      <c r="AH157" s="380"/>
      <c r="AI157" s="380"/>
      <c r="AJ157" s="380"/>
      <c r="AK157" s="403"/>
      <c r="AL157" s="380"/>
      <c r="AM157" s="380"/>
      <c r="AN157" s="380"/>
      <c r="AO157" s="380"/>
      <c r="AP157" s="380"/>
      <c r="AQ157" s="404"/>
      <c r="AR157" s="380"/>
      <c r="AS157" s="380"/>
      <c r="AT157" s="380"/>
      <c r="AU157" s="380"/>
      <c r="AV157" s="380"/>
      <c r="AW157" s="380"/>
      <c r="AX157" s="380"/>
      <c r="AY157" s="403"/>
      <c r="AZ157" s="380"/>
      <c r="BA157" s="380"/>
      <c r="BB157" s="380"/>
      <c r="BC157" s="380"/>
      <c r="BD157" s="380"/>
      <c r="BE157" s="404"/>
      <c r="BF157" s="380"/>
      <c r="BG157" s="380"/>
      <c r="BH157" s="380"/>
      <c r="BI157" s="380"/>
      <c r="BJ157" s="380"/>
      <c r="BK157" s="380"/>
      <c r="BL157" s="380"/>
      <c r="BM157" s="403"/>
      <c r="BS157" s="83"/>
      <c r="CA157" s="405"/>
      <c r="CG157" s="83"/>
      <c r="CO157" s="405"/>
      <c r="CU157" s="83"/>
      <c r="DC157" s="405"/>
      <c r="DI157" s="83"/>
      <c r="DQ157" s="405"/>
      <c r="DW157" s="83"/>
      <c r="EE157" s="405"/>
      <c r="EK157" s="83"/>
      <c r="ES157" s="405"/>
      <c r="EY157" s="83"/>
      <c r="FG157" s="405"/>
      <c r="FM157" s="83"/>
      <c r="FU157" s="405"/>
      <c r="GA157" s="83"/>
      <c r="GI157" s="405"/>
      <c r="GO157" s="83"/>
      <c r="GW157" s="405"/>
      <c r="HC157" s="83"/>
      <c r="HK157" s="405"/>
      <c r="HQ157" s="83"/>
      <c r="HY157" s="405"/>
      <c r="IE157" s="83"/>
      <c r="IM157" s="405"/>
      <c r="IS157" s="83"/>
      <c r="JA157" s="405"/>
      <c r="JG157" s="83"/>
      <c r="JO157" s="405"/>
      <c r="JU157" s="83"/>
      <c r="KC157" s="405"/>
      <c r="KI157" s="83"/>
      <c r="KQ157" s="405"/>
      <c r="KW157" s="83"/>
      <c r="LE157" s="405"/>
      <c r="LK157" s="83"/>
      <c r="LS157" s="405"/>
      <c r="LY157" s="83"/>
      <c r="MG157" s="405"/>
      <c r="MM157" s="83"/>
      <c r="MU157" s="405"/>
      <c r="NA157" s="83"/>
    </row>
    <row r="158">
      <c r="A158" s="483"/>
      <c r="B158" s="380"/>
      <c r="C158" s="380"/>
      <c r="D158" s="380"/>
      <c r="E158" s="380"/>
      <c r="F158" s="380"/>
      <c r="G158" s="380"/>
      <c r="H158" s="380"/>
      <c r="I158" s="403"/>
      <c r="J158" s="380"/>
      <c r="K158" s="380"/>
      <c r="L158" s="380"/>
      <c r="M158" s="380"/>
      <c r="N158" s="380"/>
      <c r="O158" s="404"/>
      <c r="P158" s="380"/>
      <c r="Q158" s="380"/>
      <c r="R158" s="380"/>
      <c r="S158" s="380"/>
      <c r="T158" s="380"/>
      <c r="U158" s="380"/>
      <c r="V158" s="380"/>
      <c r="W158" s="403"/>
      <c r="X158" s="380"/>
      <c r="Y158" s="380"/>
      <c r="Z158" s="380"/>
      <c r="AA158" s="380"/>
      <c r="AB158" s="380"/>
      <c r="AC158" s="404"/>
      <c r="AD158" s="380"/>
      <c r="AE158" s="380"/>
      <c r="AF158" s="380"/>
      <c r="AG158" s="380"/>
      <c r="AH158" s="380"/>
      <c r="AI158" s="380"/>
      <c r="AJ158" s="380"/>
      <c r="AK158" s="403"/>
      <c r="AL158" s="380"/>
      <c r="AM158" s="380"/>
      <c r="AN158" s="380"/>
      <c r="AO158" s="380"/>
      <c r="AP158" s="380"/>
      <c r="AQ158" s="404"/>
      <c r="AR158" s="380"/>
      <c r="AS158" s="380"/>
      <c r="AT158" s="380"/>
      <c r="AU158" s="380"/>
      <c r="AV158" s="380"/>
      <c r="AW158" s="380"/>
      <c r="AX158" s="380"/>
      <c r="AY158" s="403"/>
      <c r="AZ158" s="380"/>
      <c r="BA158" s="380"/>
      <c r="BB158" s="380"/>
      <c r="BC158" s="380"/>
      <c r="BD158" s="380"/>
      <c r="BE158" s="404"/>
      <c r="BF158" s="380"/>
      <c r="BG158" s="380"/>
      <c r="BH158" s="380"/>
      <c r="BI158" s="380"/>
      <c r="BJ158" s="380"/>
      <c r="BK158" s="380"/>
      <c r="BL158" s="380"/>
      <c r="BM158" s="403"/>
      <c r="BS158" s="83"/>
      <c r="CA158" s="405"/>
      <c r="CG158" s="83"/>
      <c r="CO158" s="405"/>
      <c r="CU158" s="83"/>
      <c r="DC158" s="405"/>
      <c r="DI158" s="83"/>
      <c r="DQ158" s="405"/>
      <c r="DW158" s="83"/>
      <c r="EE158" s="405"/>
      <c r="EK158" s="83"/>
      <c r="ES158" s="405"/>
      <c r="EY158" s="83"/>
      <c r="FG158" s="405"/>
      <c r="FM158" s="83"/>
      <c r="FU158" s="405"/>
      <c r="GA158" s="83"/>
      <c r="GI158" s="405"/>
      <c r="GO158" s="83"/>
      <c r="GW158" s="405"/>
      <c r="HC158" s="83"/>
      <c r="HK158" s="405"/>
      <c r="HQ158" s="83"/>
      <c r="HY158" s="405"/>
      <c r="IE158" s="83"/>
      <c r="IM158" s="405"/>
      <c r="IS158" s="83"/>
      <c r="JA158" s="405"/>
      <c r="JG158" s="83"/>
      <c r="JO158" s="405"/>
      <c r="JU158" s="83"/>
      <c r="KC158" s="405"/>
      <c r="KI158" s="83"/>
      <c r="KQ158" s="405"/>
      <c r="KW158" s="83"/>
      <c r="LE158" s="405"/>
      <c r="LK158" s="83"/>
      <c r="LS158" s="405"/>
      <c r="LY158" s="83"/>
      <c r="MG158" s="405"/>
      <c r="MM158" s="83"/>
      <c r="MU158" s="405"/>
      <c r="NA158" s="83"/>
    </row>
    <row r="159">
      <c r="A159" s="483"/>
      <c r="B159" s="380"/>
      <c r="C159" s="380"/>
      <c r="D159" s="380"/>
      <c r="E159" s="380"/>
      <c r="F159" s="380"/>
      <c r="G159" s="380"/>
      <c r="H159" s="380"/>
      <c r="I159" s="403"/>
      <c r="J159" s="380"/>
      <c r="K159" s="380"/>
      <c r="L159" s="380"/>
      <c r="M159" s="380"/>
      <c r="N159" s="380"/>
      <c r="O159" s="404"/>
      <c r="P159" s="380"/>
      <c r="Q159" s="380"/>
      <c r="R159" s="380"/>
      <c r="S159" s="380"/>
      <c r="T159" s="380"/>
      <c r="U159" s="380"/>
      <c r="V159" s="380"/>
      <c r="W159" s="403"/>
      <c r="X159" s="380"/>
      <c r="Y159" s="380"/>
      <c r="Z159" s="380"/>
      <c r="AA159" s="380"/>
      <c r="AB159" s="380"/>
      <c r="AC159" s="404"/>
      <c r="AD159" s="380"/>
      <c r="AE159" s="380"/>
      <c r="AF159" s="380"/>
      <c r="AG159" s="380"/>
      <c r="AH159" s="380"/>
      <c r="AI159" s="380"/>
      <c r="AJ159" s="380"/>
      <c r="AK159" s="403"/>
      <c r="AL159" s="380"/>
      <c r="AM159" s="380"/>
      <c r="AN159" s="380"/>
      <c r="AO159" s="380"/>
      <c r="AP159" s="380"/>
      <c r="AQ159" s="404"/>
      <c r="AR159" s="380"/>
      <c r="AS159" s="380"/>
      <c r="AT159" s="380"/>
      <c r="AU159" s="380"/>
      <c r="AV159" s="380"/>
      <c r="AW159" s="380"/>
      <c r="AX159" s="380"/>
      <c r="AY159" s="403"/>
      <c r="AZ159" s="380"/>
      <c r="BA159" s="380"/>
      <c r="BB159" s="380"/>
      <c r="BC159" s="380"/>
      <c r="BD159" s="380"/>
      <c r="BE159" s="404"/>
      <c r="BF159" s="380"/>
      <c r="BG159" s="380"/>
      <c r="BH159" s="380"/>
      <c r="BI159" s="380"/>
      <c r="BJ159" s="380"/>
      <c r="BK159" s="380"/>
      <c r="BL159" s="380"/>
      <c r="BM159" s="403"/>
      <c r="BS159" s="83"/>
      <c r="CA159" s="405"/>
      <c r="CG159" s="83"/>
      <c r="CO159" s="405"/>
      <c r="CU159" s="83"/>
      <c r="DC159" s="405"/>
      <c r="DI159" s="83"/>
      <c r="DQ159" s="405"/>
      <c r="DW159" s="83"/>
      <c r="EE159" s="405"/>
      <c r="EK159" s="83"/>
      <c r="ES159" s="405"/>
      <c r="EY159" s="83"/>
      <c r="FG159" s="405"/>
      <c r="FM159" s="83"/>
      <c r="FU159" s="405"/>
      <c r="GA159" s="83"/>
      <c r="GI159" s="405"/>
      <c r="GO159" s="83"/>
      <c r="GW159" s="405"/>
      <c r="HC159" s="83"/>
      <c r="HK159" s="405"/>
      <c r="HQ159" s="83"/>
      <c r="HY159" s="405"/>
      <c r="IE159" s="83"/>
      <c r="IM159" s="405"/>
      <c r="IS159" s="83"/>
      <c r="JA159" s="405"/>
      <c r="JG159" s="83"/>
      <c r="JO159" s="405"/>
      <c r="JU159" s="83"/>
      <c r="KC159" s="405"/>
      <c r="KI159" s="83"/>
      <c r="KQ159" s="405"/>
      <c r="KW159" s="83"/>
      <c r="LE159" s="405"/>
      <c r="LK159" s="83"/>
      <c r="LS159" s="405"/>
      <c r="LY159" s="83"/>
      <c r="MG159" s="405"/>
      <c r="MM159" s="83"/>
      <c r="MU159" s="405"/>
      <c r="NA159" s="83"/>
    </row>
    <row r="160">
      <c r="A160" s="483"/>
      <c r="B160" s="380"/>
      <c r="C160" s="380"/>
      <c r="D160" s="380"/>
      <c r="E160" s="380"/>
      <c r="F160" s="380"/>
      <c r="G160" s="380"/>
      <c r="H160" s="380"/>
      <c r="I160" s="403"/>
      <c r="J160" s="380"/>
      <c r="K160" s="380"/>
      <c r="L160" s="380"/>
      <c r="M160" s="380"/>
      <c r="N160" s="380"/>
      <c r="O160" s="404"/>
      <c r="P160" s="380"/>
      <c r="Q160" s="380"/>
      <c r="R160" s="380"/>
      <c r="S160" s="380"/>
      <c r="T160" s="380"/>
      <c r="U160" s="380"/>
      <c r="V160" s="380"/>
      <c r="W160" s="403"/>
      <c r="X160" s="380"/>
      <c r="Y160" s="380"/>
      <c r="Z160" s="380"/>
      <c r="AA160" s="380"/>
      <c r="AB160" s="380"/>
      <c r="AC160" s="404"/>
      <c r="AD160" s="380"/>
      <c r="AE160" s="380"/>
      <c r="AF160" s="380"/>
      <c r="AG160" s="380"/>
      <c r="AH160" s="380"/>
      <c r="AI160" s="380"/>
      <c r="AJ160" s="380"/>
      <c r="AK160" s="403"/>
      <c r="AL160" s="380"/>
      <c r="AM160" s="380"/>
      <c r="AN160" s="380"/>
      <c r="AO160" s="380"/>
      <c r="AP160" s="380"/>
      <c r="AQ160" s="404"/>
      <c r="AR160" s="380"/>
      <c r="AS160" s="380"/>
      <c r="AT160" s="380"/>
      <c r="AU160" s="380"/>
      <c r="AV160" s="380"/>
      <c r="AW160" s="380"/>
      <c r="AX160" s="380"/>
      <c r="AY160" s="403"/>
      <c r="AZ160" s="380"/>
      <c r="BA160" s="380"/>
      <c r="BB160" s="380"/>
      <c r="BC160" s="380"/>
      <c r="BD160" s="380"/>
      <c r="BE160" s="404"/>
      <c r="BF160" s="380"/>
      <c r="BG160" s="380"/>
      <c r="BH160" s="380"/>
      <c r="BI160" s="380"/>
      <c r="BJ160" s="380"/>
      <c r="BK160" s="380"/>
      <c r="BL160" s="380"/>
      <c r="BM160" s="403"/>
      <c r="BS160" s="83"/>
      <c r="CA160" s="405"/>
      <c r="CG160" s="83"/>
      <c r="CO160" s="405"/>
      <c r="CU160" s="83"/>
      <c r="DC160" s="405"/>
      <c r="DI160" s="83"/>
      <c r="DQ160" s="405"/>
      <c r="DW160" s="83"/>
      <c r="EE160" s="405"/>
      <c r="EK160" s="83"/>
      <c r="ES160" s="405"/>
      <c r="EY160" s="83"/>
      <c r="FG160" s="405"/>
      <c r="FM160" s="83"/>
      <c r="FU160" s="405"/>
      <c r="GA160" s="83"/>
      <c r="GI160" s="405"/>
      <c r="GO160" s="83"/>
      <c r="GW160" s="405"/>
      <c r="HC160" s="83"/>
      <c r="HK160" s="405"/>
      <c r="HQ160" s="83"/>
      <c r="HY160" s="405"/>
      <c r="IE160" s="83"/>
      <c r="IM160" s="405"/>
      <c r="IS160" s="83"/>
      <c r="JA160" s="405"/>
      <c r="JG160" s="83"/>
      <c r="JO160" s="405"/>
      <c r="JU160" s="83"/>
      <c r="KC160" s="405"/>
      <c r="KI160" s="83"/>
      <c r="KQ160" s="405"/>
      <c r="KW160" s="83"/>
      <c r="LE160" s="405"/>
      <c r="LK160" s="83"/>
      <c r="LS160" s="405"/>
      <c r="LY160" s="83"/>
      <c r="MG160" s="405"/>
      <c r="MM160" s="83"/>
      <c r="MU160" s="405"/>
      <c r="NA160" s="83"/>
    </row>
    <row r="161">
      <c r="A161" s="483"/>
      <c r="B161" s="380"/>
      <c r="C161" s="380"/>
      <c r="D161" s="380"/>
      <c r="E161" s="380"/>
      <c r="F161" s="380"/>
      <c r="G161" s="380"/>
      <c r="H161" s="380"/>
      <c r="I161" s="403"/>
      <c r="J161" s="380"/>
      <c r="K161" s="380"/>
      <c r="L161" s="380"/>
      <c r="M161" s="380"/>
      <c r="N161" s="380"/>
      <c r="O161" s="404"/>
      <c r="P161" s="380"/>
      <c r="Q161" s="380"/>
      <c r="R161" s="380"/>
      <c r="S161" s="380"/>
      <c r="T161" s="380"/>
      <c r="U161" s="380"/>
      <c r="V161" s="380"/>
      <c r="W161" s="403"/>
      <c r="X161" s="380"/>
      <c r="Y161" s="380"/>
      <c r="Z161" s="380"/>
      <c r="AA161" s="380"/>
      <c r="AB161" s="380"/>
      <c r="AC161" s="404"/>
      <c r="AD161" s="380"/>
      <c r="AE161" s="380"/>
      <c r="AF161" s="380"/>
      <c r="AG161" s="380"/>
      <c r="AH161" s="380"/>
      <c r="AI161" s="380"/>
      <c r="AJ161" s="380"/>
      <c r="AK161" s="403"/>
      <c r="AL161" s="380"/>
      <c r="AM161" s="380"/>
      <c r="AN161" s="380"/>
      <c r="AO161" s="380"/>
      <c r="AP161" s="380"/>
      <c r="AQ161" s="404"/>
      <c r="AR161" s="380"/>
      <c r="AS161" s="380"/>
      <c r="AT161" s="380"/>
      <c r="AU161" s="380"/>
      <c r="AV161" s="380"/>
      <c r="AW161" s="380"/>
      <c r="AX161" s="380"/>
      <c r="AY161" s="403"/>
      <c r="AZ161" s="380"/>
      <c r="BA161" s="380"/>
      <c r="BB161" s="380"/>
      <c r="BC161" s="380"/>
      <c r="BD161" s="380"/>
      <c r="BE161" s="404"/>
      <c r="BF161" s="380"/>
      <c r="BG161" s="380"/>
      <c r="BH161" s="380"/>
      <c r="BI161" s="380"/>
      <c r="BJ161" s="380"/>
      <c r="BK161" s="380"/>
      <c r="BL161" s="380"/>
      <c r="BM161" s="403"/>
      <c r="BS161" s="83"/>
      <c r="CA161" s="405"/>
      <c r="CG161" s="83"/>
      <c r="CO161" s="405"/>
      <c r="CU161" s="83"/>
      <c r="DC161" s="405"/>
      <c r="DI161" s="83"/>
      <c r="DQ161" s="405"/>
      <c r="DW161" s="83"/>
      <c r="EE161" s="405"/>
      <c r="EK161" s="83"/>
      <c r="ES161" s="405"/>
      <c r="EY161" s="83"/>
      <c r="FG161" s="405"/>
      <c r="FM161" s="83"/>
      <c r="FU161" s="405"/>
      <c r="GA161" s="83"/>
      <c r="GI161" s="405"/>
      <c r="GO161" s="83"/>
      <c r="GW161" s="405"/>
      <c r="HC161" s="83"/>
      <c r="HK161" s="405"/>
      <c r="HQ161" s="83"/>
      <c r="HY161" s="405"/>
      <c r="IE161" s="83"/>
      <c r="IM161" s="405"/>
      <c r="IS161" s="83"/>
      <c r="JA161" s="405"/>
      <c r="JG161" s="83"/>
      <c r="JO161" s="405"/>
      <c r="JU161" s="83"/>
      <c r="KC161" s="405"/>
      <c r="KI161" s="83"/>
      <c r="KQ161" s="405"/>
      <c r="KW161" s="83"/>
      <c r="LE161" s="405"/>
      <c r="LK161" s="83"/>
      <c r="LS161" s="405"/>
      <c r="LY161" s="83"/>
      <c r="MG161" s="405"/>
      <c r="MM161" s="83"/>
      <c r="MU161" s="405"/>
      <c r="NA161" s="83"/>
    </row>
    <row r="162">
      <c r="A162" s="483"/>
      <c r="B162" s="380"/>
      <c r="C162" s="380"/>
      <c r="D162" s="380"/>
      <c r="E162" s="380"/>
      <c r="F162" s="380"/>
      <c r="G162" s="380"/>
      <c r="H162" s="380"/>
      <c r="I162" s="403"/>
      <c r="J162" s="380"/>
      <c r="K162" s="380"/>
      <c r="L162" s="380"/>
      <c r="M162" s="380"/>
      <c r="N162" s="380"/>
      <c r="O162" s="404"/>
      <c r="P162" s="380"/>
      <c r="Q162" s="380"/>
      <c r="R162" s="380"/>
      <c r="S162" s="380"/>
      <c r="T162" s="380"/>
      <c r="U162" s="380"/>
      <c r="V162" s="380"/>
      <c r="W162" s="403"/>
      <c r="X162" s="380"/>
      <c r="Y162" s="380"/>
      <c r="Z162" s="380"/>
      <c r="AA162" s="380"/>
      <c r="AB162" s="380"/>
      <c r="AC162" s="404"/>
      <c r="AD162" s="380"/>
      <c r="AE162" s="380"/>
      <c r="AF162" s="380"/>
      <c r="AG162" s="380"/>
      <c r="AH162" s="380"/>
      <c r="AI162" s="380"/>
      <c r="AJ162" s="380"/>
      <c r="AK162" s="403"/>
      <c r="AL162" s="380"/>
      <c r="AM162" s="380"/>
      <c r="AN162" s="380"/>
      <c r="AO162" s="380"/>
      <c r="AP162" s="380"/>
      <c r="AQ162" s="404"/>
      <c r="AR162" s="380"/>
      <c r="AS162" s="380"/>
      <c r="AT162" s="380"/>
      <c r="AU162" s="380"/>
      <c r="AV162" s="380"/>
      <c r="AW162" s="380"/>
      <c r="AX162" s="380"/>
      <c r="AY162" s="403"/>
      <c r="AZ162" s="380"/>
      <c r="BA162" s="380"/>
      <c r="BB162" s="380"/>
      <c r="BC162" s="380"/>
      <c r="BD162" s="380"/>
      <c r="BE162" s="404"/>
      <c r="BF162" s="380"/>
      <c r="BG162" s="380"/>
      <c r="BH162" s="380"/>
      <c r="BI162" s="380"/>
      <c r="BJ162" s="380"/>
      <c r="BK162" s="380"/>
      <c r="BL162" s="380"/>
      <c r="BM162" s="403"/>
      <c r="BS162" s="83"/>
      <c r="CA162" s="405"/>
      <c r="CG162" s="83"/>
      <c r="CO162" s="405"/>
      <c r="CU162" s="83"/>
      <c r="DC162" s="405"/>
      <c r="DI162" s="83"/>
      <c r="DQ162" s="405"/>
      <c r="DW162" s="83"/>
      <c r="EE162" s="405"/>
      <c r="EK162" s="83"/>
      <c r="ES162" s="405"/>
      <c r="EY162" s="83"/>
      <c r="FG162" s="405"/>
      <c r="FM162" s="83"/>
      <c r="FU162" s="405"/>
      <c r="GA162" s="83"/>
      <c r="GI162" s="405"/>
      <c r="GO162" s="83"/>
      <c r="GW162" s="405"/>
      <c r="HC162" s="83"/>
      <c r="HK162" s="405"/>
      <c r="HQ162" s="83"/>
      <c r="HY162" s="405"/>
      <c r="IE162" s="83"/>
      <c r="IM162" s="405"/>
      <c r="IS162" s="83"/>
      <c r="JA162" s="405"/>
      <c r="JG162" s="83"/>
      <c r="JO162" s="405"/>
      <c r="JU162" s="83"/>
      <c r="KC162" s="405"/>
      <c r="KI162" s="83"/>
      <c r="KQ162" s="405"/>
      <c r="KW162" s="83"/>
      <c r="LE162" s="405"/>
      <c r="LK162" s="83"/>
      <c r="LS162" s="405"/>
      <c r="LY162" s="83"/>
      <c r="MG162" s="405"/>
      <c r="MM162" s="83"/>
      <c r="MU162" s="405"/>
      <c r="NA162" s="83"/>
    </row>
    <row r="163">
      <c r="A163" s="483"/>
      <c r="B163" s="380"/>
      <c r="C163" s="380"/>
      <c r="D163" s="380"/>
      <c r="E163" s="380"/>
      <c r="F163" s="380"/>
      <c r="G163" s="380"/>
      <c r="H163" s="380"/>
      <c r="I163" s="403"/>
      <c r="J163" s="380"/>
      <c r="K163" s="380"/>
      <c r="L163" s="380"/>
      <c r="M163" s="380"/>
      <c r="N163" s="380"/>
      <c r="O163" s="404"/>
      <c r="P163" s="380"/>
      <c r="Q163" s="380"/>
      <c r="R163" s="380"/>
      <c r="S163" s="380"/>
      <c r="T163" s="380"/>
      <c r="U163" s="380"/>
      <c r="V163" s="380"/>
      <c r="W163" s="403"/>
      <c r="X163" s="380"/>
      <c r="Y163" s="380"/>
      <c r="Z163" s="380"/>
      <c r="AA163" s="380"/>
      <c r="AB163" s="380"/>
      <c r="AC163" s="404"/>
      <c r="AD163" s="380"/>
      <c r="AE163" s="380"/>
      <c r="AF163" s="380"/>
      <c r="AG163" s="380"/>
      <c r="AH163" s="380"/>
      <c r="AI163" s="380"/>
      <c r="AJ163" s="380"/>
      <c r="AK163" s="403"/>
      <c r="AL163" s="380"/>
      <c r="AM163" s="380"/>
      <c r="AN163" s="380"/>
      <c r="AO163" s="380"/>
      <c r="AP163" s="380"/>
      <c r="AQ163" s="404"/>
      <c r="AR163" s="380"/>
      <c r="AS163" s="380"/>
      <c r="AT163" s="380"/>
      <c r="AU163" s="380"/>
      <c r="AV163" s="380"/>
      <c r="AW163" s="380"/>
      <c r="AX163" s="380"/>
      <c r="AY163" s="403"/>
      <c r="AZ163" s="380"/>
      <c r="BA163" s="380"/>
      <c r="BB163" s="380"/>
      <c r="BC163" s="380"/>
      <c r="BD163" s="380"/>
      <c r="BE163" s="404"/>
      <c r="BF163" s="380"/>
      <c r="BG163" s="380"/>
      <c r="BH163" s="380"/>
      <c r="BI163" s="380"/>
      <c r="BJ163" s="380"/>
      <c r="BK163" s="380"/>
      <c r="BL163" s="380"/>
      <c r="BM163" s="403"/>
      <c r="BS163" s="83"/>
      <c r="CA163" s="405"/>
      <c r="CG163" s="83"/>
      <c r="CO163" s="405"/>
      <c r="CU163" s="83"/>
      <c r="DC163" s="405"/>
      <c r="DI163" s="83"/>
      <c r="DQ163" s="405"/>
      <c r="DW163" s="83"/>
      <c r="EE163" s="405"/>
      <c r="EK163" s="83"/>
      <c r="ES163" s="405"/>
      <c r="EY163" s="83"/>
      <c r="FG163" s="405"/>
      <c r="FM163" s="83"/>
      <c r="FU163" s="405"/>
      <c r="GA163" s="83"/>
      <c r="GI163" s="405"/>
      <c r="GO163" s="83"/>
      <c r="GW163" s="405"/>
      <c r="HC163" s="83"/>
      <c r="HK163" s="405"/>
      <c r="HQ163" s="83"/>
      <c r="HY163" s="405"/>
      <c r="IE163" s="83"/>
      <c r="IM163" s="405"/>
      <c r="IS163" s="83"/>
      <c r="JA163" s="405"/>
      <c r="JG163" s="83"/>
      <c r="JO163" s="405"/>
      <c r="JU163" s="83"/>
      <c r="KC163" s="405"/>
      <c r="KI163" s="83"/>
      <c r="KQ163" s="405"/>
      <c r="KW163" s="83"/>
      <c r="LE163" s="405"/>
      <c r="LK163" s="83"/>
      <c r="LS163" s="405"/>
      <c r="LY163" s="83"/>
      <c r="MG163" s="405"/>
      <c r="MM163" s="83"/>
      <c r="MU163" s="405"/>
      <c r="NA163" s="83"/>
    </row>
    <row r="164">
      <c r="A164" s="483"/>
      <c r="B164" s="380"/>
      <c r="C164" s="380"/>
      <c r="D164" s="380"/>
      <c r="E164" s="380"/>
      <c r="F164" s="380"/>
      <c r="G164" s="380"/>
      <c r="H164" s="380"/>
      <c r="I164" s="403"/>
      <c r="J164" s="380"/>
      <c r="K164" s="380"/>
      <c r="L164" s="380"/>
      <c r="M164" s="380"/>
      <c r="N164" s="380"/>
      <c r="O164" s="404"/>
      <c r="P164" s="380"/>
      <c r="Q164" s="380"/>
      <c r="R164" s="380"/>
      <c r="S164" s="380"/>
      <c r="T164" s="380"/>
      <c r="U164" s="380"/>
      <c r="V164" s="380"/>
      <c r="W164" s="403"/>
      <c r="X164" s="380"/>
      <c r="Y164" s="380"/>
      <c r="Z164" s="380"/>
      <c r="AA164" s="380"/>
      <c r="AB164" s="380"/>
      <c r="AC164" s="404"/>
      <c r="AD164" s="380"/>
      <c r="AE164" s="380"/>
      <c r="AF164" s="380"/>
      <c r="AG164" s="380"/>
      <c r="AH164" s="380"/>
      <c r="AI164" s="380"/>
      <c r="AJ164" s="380"/>
      <c r="AK164" s="403"/>
      <c r="AL164" s="380"/>
      <c r="AM164" s="380"/>
      <c r="AN164" s="380"/>
      <c r="AO164" s="380"/>
      <c r="AP164" s="380"/>
      <c r="AQ164" s="404"/>
      <c r="AR164" s="380"/>
      <c r="AS164" s="380"/>
      <c r="AT164" s="380"/>
      <c r="AU164" s="380"/>
      <c r="AV164" s="380"/>
      <c r="AW164" s="380"/>
      <c r="AX164" s="380"/>
      <c r="AY164" s="403"/>
      <c r="AZ164" s="380"/>
      <c r="BA164" s="380"/>
      <c r="BB164" s="380"/>
      <c r="BC164" s="380"/>
      <c r="BD164" s="380"/>
      <c r="BE164" s="404"/>
      <c r="BF164" s="380"/>
      <c r="BG164" s="380"/>
      <c r="BH164" s="380"/>
      <c r="BI164" s="380"/>
      <c r="BJ164" s="380"/>
      <c r="BK164" s="380"/>
      <c r="BL164" s="380"/>
      <c r="BM164" s="403"/>
      <c r="BS164" s="83"/>
      <c r="CA164" s="405"/>
      <c r="CG164" s="83"/>
      <c r="CO164" s="405"/>
      <c r="CU164" s="83"/>
      <c r="DC164" s="405"/>
      <c r="DI164" s="83"/>
      <c r="DQ164" s="405"/>
      <c r="DW164" s="83"/>
      <c r="EE164" s="405"/>
      <c r="EK164" s="83"/>
      <c r="ES164" s="405"/>
      <c r="EY164" s="83"/>
      <c r="FG164" s="405"/>
      <c r="FM164" s="83"/>
      <c r="FU164" s="405"/>
      <c r="GA164" s="83"/>
      <c r="GI164" s="405"/>
      <c r="GO164" s="83"/>
      <c r="GW164" s="405"/>
      <c r="HC164" s="83"/>
      <c r="HK164" s="405"/>
      <c r="HQ164" s="83"/>
      <c r="HY164" s="405"/>
      <c r="IE164" s="83"/>
      <c r="IM164" s="405"/>
      <c r="IS164" s="83"/>
      <c r="JA164" s="405"/>
      <c r="JG164" s="83"/>
      <c r="JO164" s="405"/>
      <c r="JU164" s="83"/>
      <c r="KC164" s="405"/>
      <c r="KI164" s="83"/>
      <c r="KQ164" s="405"/>
      <c r="KW164" s="83"/>
      <c r="LE164" s="405"/>
      <c r="LK164" s="83"/>
      <c r="LS164" s="405"/>
      <c r="LY164" s="83"/>
      <c r="MG164" s="405"/>
      <c r="MM164" s="83"/>
      <c r="MU164" s="405"/>
      <c r="NA164" s="83"/>
    </row>
    <row r="165">
      <c r="A165" s="483"/>
      <c r="B165" s="380"/>
      <c r="C165" s="380"/>
      <c r="D165" s="380"/>
      <c r="E165" s="380"/>
      <c r="F165" s="380"/>
      <c r="G165" s="380"/>
      <c r="H165" s="380"/>
      <c r="I165" s="403"/>
      <c r="J165" s="380"/>
      <c r="K165" s="380"/>
      <c r="L165" s="380"/>
      <c r="M165" s="380"/>
      <c r="N165" s="380"/>
      <c r="O165" s="404"/>
      <c r="P165" s="380"/>
      <c r="Q165" s="380"/>
      <c r="R165" s="380"/>
      <c r="S165" s="380"/>
      <c r="T165" s="380"/>
      <c r="U165" s="380"/>
      <c r="V165" s="380"/>
      <c r="W165" s="403"/>
      <c r="X165" s="380"/>
      <c r="Y165" s="380"/>
      <c r="Z165" s="380"/>
      <c r="AA165" s="380"/>
      <c r="AB165" s="380"/>
      <c r="AC165" s="404"/>
      <c r="AD165" s="380"/>
      <c r="AE165" s="380"/>
      <c r="AF165" s="380"/>
      <c r="AG165" s="380"/>
      <c r="AH165" s="380"/>
      <c r="AI165" s="380"/>
      <c r="AJ165" s="380"/>
      <c r="AK165" s="403"/>
      <c r="AL165" s="380"/>
      <c r="AM165" s="380"/>
      <c r="AN165" s="380"/>
      <c r="AO165" s="380"/>
      <c r="AP165" s="380"/>
      <c r="AQ165" s="404"/>
      <c r="AR165" s="380"/>
      <c r="AS165" s="380"/>
      <c r="AT165" s="380"/>
      <c r="AU165" s="380"/>
      <c r="AV165" s="380"/>
      <c r="AW165" s="380"/>
      <c r="AX165" s="380"/>
      <c r="AY165" s="403"/>
      <c r="AZ165" s="380"/>
      <c r="BA165" s="380"/>
      <c r="BB165" s="380"/>
      <c r="BC165" s="380"/>
      <c r="BD165" s="380"/>
      <c r="BE165" s="404"/>
      <c r="BF165" s="380"/>
      <c r="BG165" s="380"/>
      <c r="BH165" s="380"/>
      <c r="BI165" s="380"/>
      <c r="BJ165" s="380"/>
      <c r="BK165" s="380"/>
      <c r="BL165" s="380"/>
      <c r="BM165" s="403"/>
      <c r="BS165" s="83"/>
      <c r="CA165" s="405"/>
      <c r="CG165" s="83"/>
      <c r="CO165" s="405"/>
      <c r="CU165" s="83"/>
      <c r="DC165" s="405"/>
      <c r="DI165" s="83"/>
      <c r="DQ165" s="405"/>
      <c r="DW165" s="83"/>
      <c r="EE165" s="405"/>
      <c r="EK165" s="83"/>
      <c r="ES165" s="405"/>
      <c r="EY165" s="83"/>
      <c r="FG165" s="405"/>
      <c r="FM165" s="83"/>
      <c r="FU165" s="405"/>
      <c r="GA165" s="83"/>
      <c r="GI165" s="405"/>
      <c r="GO165" s="83"/>
      <c r="GW165" s="405"/>
      <c r="HC165" s="83"/>
      <c r="HK165" s="405"/>
      <c r="HQ165" s="83"/>
      <c r="HY165" s="405"/>
      <c r="IE165" s="83"/>
      <c r="IM165" s="405"/>
      <c r="IS165" s="83"/>
      <c r="JA165" s="405"/>
      <c r="JG165" s="83"/>
      <c r="JO165" s="405"/>
      <c r="JU165" s="83"/>
      <c r="KC165" s="405"/>
      <c r="KI165" s="83"/>
      <c r="KQ165" s="405"/>
      <c r="KW165" s="83"/>
      <c r="LE165" s="405"/>
      <c r="LK165" s="83"/>
      <c r="LS165" s="405"/>
      <c r="LY165" s="83"/>
      <c r="MG165" s="405"/>
      <c r="MM165" s="83"/>
      <c r="MU165" s="405"/>
      <c r="NA165" s="83"/>
    </row>
    <row r="166">
      <c r="A166" s="483"/>
      <c r="B166" s="380"/>
      <c r="C166" s="380"/>
      <c r="D166" s="380"/>
      <c r="E166" s="380"/>
      <c r="F166" s="380"/>
      <c r="G166" s="380"/>
      <c r="H166" s="380"/>
      <c r="I166" s="403"/>
      <c r="J166" s="380"/>
      <c r="K166" s="380"/>
      <c r="L166" s="380"/>
      <c r="M166" s="380"/>
      <c r="N166" s="380"/>
      <c r="O166" s="404"/>
      <c r="P166" s="380"/>
      <c r="Q166" s="380"/>
      <c r="R166" s="380"/>
      <c r="S166" s="380"/>
      <c r="T166" s="380"/>
      <c r="U166" s="380"/>
      <c r="V166" s="380"/>
      <c r="W166" s="403"/>
      <c r="X166" s="380"/>
      <c r="Y166" s="380"/>
      <c r="Z166" s="380"/>
      <c r="AA166" s="380"/>
      <c r="AB166" s="380"/>
      <c r="AC166" s="404"/>
      <c r="AD166" s="380"/>
      <c r="AE166" s="380"/>
      <c r="AF166" s="380"/>
      <c r="AG166" s="380"/>
      <c r="AH166" s="380"/>
      <c r="AI166" s="380"/>
      <c r="AJ166" s="380"/>
      <c r="AK166" s="403"/>
      <c r="AL166" s="380"/>
      <c r="AM166" s="380"/>
      <c r="AN166" s="380"/>
      <c r="AO166" s="380"/>
      <c r="AP166" s="380"/>
      <c r="AQ166" s="404"/>
      <c r="AR166" s="380"/>
      <c r="AS166" s="380"/>
      <c r="AT166" s="380"/>
      <c r="AU166" s="380"/>
      <c r="AV166" s="380"/>
      <c r="AW166" s="380"/>
      <c r="AX166" s="380"/>
      <c r="AY166" s="403"/>
      <c r="AZ166" s="380"/>
      <c r="BA166" s="380"/>
      <c r="BB166" s="380"/>
      <c r="BC166" s="380"/>
      <c r="BD166" s="380"/>
      <c r="BE166" s="404"/>
      <c r="BF166" s="380"/>
      <c r="BG166" s="380"/>
      <c r="BH166" s="380"/>
      <c r="BI166" s="380"/>
      <c r="BJ166" s="380"/>
      <c r="BK166" s="380"/>
      <c r="BL166" s="380"/>
      <c r="BM166" s="403"/>
      <c r="BS166" s="83"/>
      <c r="CA166" s="405"/>
      <c r="CG166" s="83"/>
      <c r="CO166" s="405"/>
      <c r="CU166" s="83"/>
      <c r="DC166" s="405"/>
      <c r="DI166" s="83"/>
      <c r="DQ166" s="405"/>
      <c r="DW166" s="83"/>
      <c r="EE166" s="405"/>
      <c r="EK166" s="83"/>
      <c r="ES166" s="405"/>
      <c r="EY166" s="83"/>
      <c r="FG166" s="405"/>
      <c r="FM166" s="83"/>
      <c r="FU166" s="405"/>
      <c r="GA166" s="83"/>
      <c r="GI166" s="405"/>
      <c r="GO166" s="83"/>
      <c r="GW166" s="405"/>
      <c r="HC166" s="83"/>
      <c r="HK166" s="405"/>
      <c r="HQ166" s="83"/>
      <c r="HY166" s="405"/>
      <c r="IE166" s="83"/>
      <c r="IM166" s="405"/>
      <c r="IS166" s="83"/>
      <c r="JA166" s="405"/>
      <c r="JG166" s="83"/>
      <c r="JO166" s="405"/>
      <c r="JU166" s="83"/>
      <c r="KC166" s="405"/>
      <c r="KI166" s="83"/>
      <c r="KQ166" s="405"/>
      <c r="KW166" s="83"/>
      <c r="LE166" s="405"/>
      <c r="LK166" s="83"/>
      <c r="LS166" s="405"/>
      <c r="LY166" s="83"/>
      <c r="MG166" s="405"/>
      <c r="MM166" s="83"/>
      <c r="MU166" s="405"/>
      <c r="NA166" s="83"/>
    </row>
    <row r="167">
      <c r="A167" s="483"/>
      <c r="B167" s="380"/>
      <c r="C167" s="380"/>
      <c r="D167" s="380"/>
      <c r="E167" s="380"/>
      <c r="F167" s="380"/>
      <c r="G167" s="380"/>
      <c r="H167" s="380"/>
      <c r="I167" s="403"/>
      <c r="J167" s="380"/>
      <c r="K167" s="380"/>
      <c r="L167" s="380"/>
      <c r="M167" s="380"/>
      <c r="N167" s="380"/>
      <c r="O167" s="404"/>
      <c r="P167" s="380"/>
      <c r="Q167" s="380"/>
      <c r="R167" s="380"/>
      <c r="S167" s="380"/>
      <c r="T167" s="380"/>
      <c r="U167" s="380"/>
      <c r="V167" s="380"/>
      <c r="W167" s="403"/>
      <c r="X167" s="380"/>
      <c r="Y167" s="380"/>
      <c r="Z167" s="380"/>
      <c r="AA167" s="380"/>
      <c r="AB167" s="380"/>
      <c r="AC167" s="404"/>
      <c r="AD167" s="380"/>
      <c r="AE167" s="380"/>
      <c r="AF167" s="380"/>
      <c r="AG167" s="380"/>
      <c r="AH167" s="380"/>
      <c r="AI167" s="380"/>
      <c r="AJ167" s="380"/>
      <c r="AK167" s="403"/>
      <c r="AL167" s="380"/>
      <c r="AM167" s="380"/>
      <c r="AN167" s="380"/>
      <c r="AO167" s="380"/>
      <c r="AP167" s="380"/>
      <c r="AQ167" s="404"/>
      <c r="AR167" s="380"/>
      <c r="AS167" s="380"/>
      <c r="AT167" s="380"/>
      <c r="AU167" s="380"/>
      <c r="AV167" s="380"/>
      <c r="AW167" s="380"/>
      <c r="AX167" s="380"/>
      <c r="AY167" s="403"/>
      <c r="AZ167" s="380"/>
      <c r="BA167" s="380"/>
      <c r="BB167" s="380"/>
      <c r="BC167" s="380"/>
      <c r="BD167" s="380"/>
      <c r="BE167" s="404"/>
      <c r="BF167" s="380"/>
      <c r="BG167" s="380"/>
      <c r="BH167" s="380"/>
      <c r="BI167" s="380"/>
      <c r="BJ167" s="380"/>
      <c r="BK167" s="380"/>
      <c r="BL167" s="380"/>
      <c r="BM167" s="403"/>
      <c r="BS167" s="83"/>
      <c r="CA167" s="405"/>
      <c r="CG167" s="83"/>
      <c r="CO167" s="405"/>
      <c r="CU167" s="83"/>
      <c r="DC167" s="405"/>
      <c r="DI167" s="83"/>
      <c r="DQ167" s="405"/>
      <c r="DW167" s="83"/>
      <c r="EE167" s="405"/>
      <c r="EK167" s="83"/>
      <c r="ES167" s="405"/>
      <c r="EY167" s="83"/>
      <c r="FG167" s="405"/>
      <c r="FM167" s="83"/>
      <c r="FU167" s="405"/>
      <c r="GA167" s="83"/>
      <c r="GI167" s="405"/>
      <c r="GO167" s="83"/>
      <c r="GW167" s="405"/>
      <c r="HC167" s="83"/>
      <c r="HK167" s="405"/>
      <c r="HQ167" s="83"/>
      <c r="HY167" s="405"/>
      <c r="IE167" s="83"/>
      <c r="IM167" s="405"/>
      <c r="IS167" s="83"/>
      <c r="JA167" s="405"/>
      <c r="JG167" s="83"/>
      <c r="JO167" s="405"/>
      <c r="JU167" s="83"/>
      <c r="KC167" s="405"/>
      <c r="KI167" s="83"/>
      <c r="KQ167" s="405"/>
      <c r="KW167" s="83"/>
      <c r="LE167" s="405"/>
      <c r="LK167" s="83"/>
      <c r="LS167" s="405"/>
      <c r="LY167" s="83"/>
      <c r="MG167" s="405"/>
      <c r="MM167" s="83"/>
      <c r="MU167" s="405"/>
      <c r="NA167" s="83"/>
    </row>
    <row r="168">
      <c r="A168" s="483"/>
      <c r="B168" s="380"/>
      <c r="C168" s="380"/>
      <c r="D168" s="380"/>
      <c r="E168" s="380"/>
      <c r="F168" s="380"/>
      <c r="G168" s="380"/>
      <c r="H168" s="380"/>
      <c r="I168" s="403"/>
      <c r="J168" s="380"/>
      <c r="K168" s="380"/>
      <c r="L168" s="380"/>
      <c r="M168" s="380"/>
      <c r="N168" s="380"/>
      <c r="O168" s="404"/>
      <c r="P168" s="380"/>
      <c r="Q168" s="380"/>
      <c r="R168" s="380"/>
      <c r="S168" s="380"/>
      <c r="T168" s="380"/>
      <c r="U168" s="380"/>
      <c r="V168" s="380"/>
      <c r="W168" s="403"/>
      <c r="X168" s="380"/>
      <c r="Y168" s="380"/>
      <c r="Z168" s="380"/>
      <c r="AA168" s="380"/>
      <c r="AB168" s="380"/>
      <c r="AC168" s="404"/>
      <c r="AD168" s="380"/>
      <c r="AE168" s="380"/>
      <c r="AF168" s="380"/>
      <c r="AG168" s="380"/>
      <c r="AH168" s="380"/>
      <c r="AI168" s="380"/>
      <c r="AJ168" s="380"/>
      <c r="AK168" s="403"/>
      <c r="AL168" s="380"/>
      <c r="AM168" s="380"/>
      <c r="AN168" s="380"/>
      <c r="AO168" s="380"/>
      <c r="AP168" s="380"/>
      <c r="AQ168" s="404"/>
      <c r="AR168" s="380"/>
      <c r="AS168" s="380"/>
      <c r="AT168" s="380"/>
      <c r="AU168" s="380"/>
      <c r="AV168" s="380"/>
      <c r="AW168" s="380"/>
      <c r="AX168" s="380"/>
      <c r="AY168" s="403"/>
      <c r="AZ168" s="380"/>
      <c r="BA168" s="380"/>
      <c r="BB168" s="380"/>
      <c r="BC168" s="380"/>
      <c r="BD168" s="380"/>
      <c r="BE168" s="404"/>
      <c r="BF168" s="380"/>
      <c r="BG168" s="380"/>
      <c r="BH168" s="380"/>
      <c r="BI168" s="380"/>
      <c r="BJ168" s="380"/>
      <c r="BK168" s="380"/>
      <c r="BL168" s="380"/>
      <c r="BM168" s="403"/>
      <c r="BS168" s="83"/>
      <c r="CA168" s="405"/>
      <c r="CG168" s="83"/>
      <c r="CO168" s="405"/>
      <c r="CU168" s="83"/>
      <c r="DC168" s="405"/>
      <c r="DI168" s="83"/>
      <c r="DQ168" s="405"/>
      <c r="DW168" s="83"/>
      <c r="EE168" s="405"/>
      <c r="EK168" s="83"/>
      <c r="ES168" s="405"/>
      <c r="EY168" s="83"/>
      <c r="FG168" s="405"/>
      <c r="FM168" s="83"/>
      <c r="FU168" s="405"/>
      <c r="GA168" s="83"/>
      <c r="GI168" s="405"/>
      <c r="GO168" s="83"/>
      <c r="GW168" s="405"/>
      <c r="HC168" s="83"/>
      <c r="HK168" s="405"/>
      <c r="HQ168" s="83"/>
      <c r="HY168" s="405"/>
      <c r="IE168" s="83"/>
      <c r="IM168" s="405"/>
      <c r="IS168" s="83"/>
      <c r="JA168" s="405"/>
      <c r="JG168" s="83"/>
      <c r="JO168" s="405"/>
      <c r="JU168" s="83"/>
      <c r="KC168" s="405"/>
      <c r="KI168" s="83"/>
      <c r="KQ168" s="405"/>
      <c r="KW168" s="83"/>
      <c r="LE168" s="405"/>
      <c r="LK168" s="83"/>
      <c r="LS168" s="405"/>
      <c r="LY168" s="83"/>
      <c r="MG168" s="405"/>
      <c r="MM168" s="83"/>
      <c r="MU168" s="405"/>
      <c r="NA168" s="83"/>
    </row>
    <row r="169">
      <c r="A169" s="483"/>
      <c r="B169" s="380"/>
      <c r="C169" s="380"/>
      <c r="D169" s="380"/>
      <c r="E169" s="380"/>
      <c r="F169" s="380"/>
      <c r="G169" s="380"/>
      <c r="H169" s="380"/>
      <c r="I169" s="403"/>
      <c r="J169" s="380"/>
      <c r="K169" s="380"/>
      <c r="L169" s="380"/>
      <c r="M169" s="380"/>
      <c r="N169" s="380"/>
      <c r="O169" s="404"/>
      <c r="P169" s="380"/>
      <c r="Q169" s="380"/>
      <c r="R169" s="380"/>
      <c r="S169" s="380"/>
      <c r="T169" s="380"/>
      <c r="U169" s="380"/>
      <c r="V169" s="380"/>
      <c r="W169" s="403"/>
      <c r="X169" s="380"/>
      <c r="Y169" s="380"/>
      <c r="Z169" s="380"/>
      <c r="AA169" s="380"/>
      <c r="AB169" s="380"/>
      <c r="AC169" s="404"/>
      <c r="AD169" s="380"/>
      <c r="AE169" s="380"/>
      <c r="AF169" s="380"/>
      <c r="AG169" s="380"/>
      <c r="AH169" s="380"/>
      <c r="AI169" s="380"/>
      <c r="AJ169" s="380"/>
      <c r="AK169" s="403"/>
      <c r="AL169" s="380"/>
      <c r="AM169" s="380"/>
      <c r="AN169" s="380"/>
      <c r="AO169" s="380"/>
      <c r="AP169" s="380"/>
      <c r="AQ169" s="404"/>
      <c r="AR169" s="380"/>
      <c r="AS169" s="380"/>
      <c r="AT169" s="380"/>
      <c r="AU169" s="380"/>
      <c r="AV169" s="380"/>
      <c r="AW169" s="380"/>
      <c r="AX169" s="380"/>
      <c r="AY169" s="403"/>
      <c r="AZ169" s="380"/>
      <c r="BA169" s="380"/>
      <c r="BB169" s="380"/>
      <c r="BC169" s="380"/>
      <c r="BD169" s="380"/>
      <c r="BE169" s="404"/>
      <c r="BF169" s="380"/>
      <c r="BG169" s="380"/>
      <c r="BH169" s="380"/>
      <c r="BI169" s="380"/>
      <c r="BJ169" s="380"/>
      <c r="BK169" s="380"/>
      <c r="BL169" s="380"/>
      <c r="BM169" s="403"/>
      <c r="BS169" s="83"/>
      <c r="CA169" s="405"/>
      <c r="CG169" s="83"/>
      <c r="CO169" s="405"/>
      <c r="CU169" s="83"/>
      <c r="DC169" s="405"/>
      <c r="DI169" s="83"/>
      <c r="DQ169" s="405"/>
      <c r="DW169" s="83"/>
      <c r="EE169" s="405"/>
      <c r="EK169" s="83"/>
      <c r="ES169" s="405"/>
      <c r="EY169" s="83"/>
      <c r="FG169" s="405"/>
      <c r="FM169" s="83"/>
      <c r="FU169" s="405"/>
      <c r="GA169" s="83"/>
      <c r="GI169" s="405"/>
      <c r="GO169" s="83"/>
      <c r="GW169" s="405"/>
      <c r="HC169" s="83"/>
      <c r="HK169" s="405"/>
      <c r="HQ169" s="83"/>
      <c r="HY169" s="405"/>
      <c r="IE169" s="83"/>
      <c r="IM169" s="405"/>
      <c r="IS169" s="83"/>
      <c r="JA169" s="405"/>
      <c r="JG169" s="83"/>
      <c r="JO169" s="405"/>
      <c r="JU169" s="83"/>
      <c r="KC169" s="405"/>
      <c r="KI169" s="83"/>
      <c r="KQ169" s="405"/>
      <c r="KW169" s="83"/>
      <c r="LE169" s="405"/>
      <c r="LK169" s="83"/>
      <c r="LS169" s="405"/>
      <c r="LY169" s="83"/>
      <c r="MG169" s="405"/>
      <c r="MM169" s="83"/>
      <c r="MU169" s="405"/>
      <c r="NA169" s="83"/>
    </row>
    <row r="170">
      <c r="A170" s="483"/>
      <c r="B170" s="380"/>
      <c r="C170" s="380"/>
      <c r="D170" s="380"/>
      <c r="E170" s="380"/>
      <c r="F170" s="380"/>
      <c r="G170" s="380"/>
      <c r="H170" s="380"/>
      <c r="I170" s="403"/>
      <c r="J170" s="380"/>
      <c r="K170" s="380"/>
      <c r="L170" s="380"/>
      <c r="M170" s="380"/>
      <c r="N170" s="380"/>
      <c r="O170" s="404"/>
      <c r="P170" s="380"/>
      <c r="Q170" s="380"/>
      <c r="R170" s="380"/>
      <c r="S170" s="380"/>
      <c r="T170" s="380"/>
      <c r="U170" s="380"/>
      <c r="V170" s="380"/>
      <c r="W170" s="403"/>
      <c r="X170" s="380"/>
      <c r="Y170" s="380"/>
      <c r="Z170" s="380"/>
      <c r="AA170" s="380"/>
      <c r="AB170" s="380"/>
      <c r="AC170" s="404"/>
      <c r="AD170" s="380"/>
      <c r="AE170" s="380"/>
      <c r="AF170" s="380"/>
      <c r="AG170" s="380"/>
      <c r="AH170" s="380"/>
      <c r="AI170" s="380"/>
      <c r="AJ170" s="380"/>
      <c r="AK170" s="403"/>
      <c r="AL170" s="380"/>
      <c r="AM170" s="380"/>
      <c r="AN170" s="380"/>
      <c r="AO170" s="380"/>
      <c r="AP170" s="380"/>
      <c r="AQ170" s="404"/>
      <c r="AR170" s="380"/>
      <c r="AS170" s="380"/>
      <c r="AT170" s="380"/>
      <c r="AU170" s="380"/>
      <c r="AV170" s="380"/>
      <c r="AW170" s="380"/>
      <c r="AX170" s="380"/>
      <c r="AY170" s="403"/>
      <c r="AZ170" s="380"/>
      <c r="BA170" s="380"/>
      <c r="BB170" s="380"/>
      <c r="BC170" s="380"/>
      <c r="BD170" s="380"/>
      <c r="BE170" s="404"/>
      <c r="BF170" s="380"/>
      <c r="BG170" s="380"/>
      <c r="BH170" s="380"/>
      <c r="BI170" s="380"/>
      <c r="BJ170" s="380"/>
      <c r="BK170" s="380"/>
      <c r="BL170" s="380"/>
      <c r="BM170" s="403"/>
      <c r="BS170" s="83"/>
      <c r="CA170" s="405"/>
      <c r="CG170" s="83"/>
      <c r="CO170" s="405"/>
      <c r="CU170" s="83"/>
      <c r="DC170" s="405"/>
      <c r="DI170" s="83"/>
      <c r="DQ170" s="405"/>
      <c r="DW170" s="83"/>
      <c r="EE170" s="405"/>
      <c r="EK170" s="83"/>
      <c r="ES170" s="405"/>
      <c r="EY170" s="83"/>
      <c r="FG170" s="405"/>
      <c r="FM170" s="83"/>
      <c r="FU170" s="405"/>
      <c r="GA170" s="83"/>
      <c r="GI170" s="405"/>
      <c r="GO170" s="83"/>
      <c r="GW170" s="405"/>
      <c r="HC170" s="83"/>
      <c r="HK170" s="405"/>
      <c r="HQ170" s="83"/>
      <c r="HY170" s="405"/>
      <c r="IE170" s="83"/>
      <c r="IM170" s="405"/>
      <c r="IS170" s="83"/>
      <c r="JA170" s="405"/>
      <c r="JG170" s="83"/>
      <c r="JO170" s="405"/>
      <c r="JU170" s="83"/>
      <c r="KC170" s="405"/>
      <c r="KI170" s="83"/>
      <c r="KQ170" s="405"/>
      <c r="KW170" s="83"/>
      <c r="LE170" s="405"/>
      <c r="LK170" s="83"/>
      <c r="LS170" s="405"/>
      <c r="LY170" s="83"/>
      <c r="MG170" s="405"/>
      <c r="MM170" s="83"/>
      <c r="MU170" s="405"/>
      <c r="NA170" s="83"/>
    </row>
    <row r="171">
      <c r="A171" s="483"/>
      <c r="B171" s="380"/>
      <c r="C171" s="380"/>
      <c r="D171" s="380"/>
      <c r="E171" s="380"/>
      <c r="F171" s="380"/>
      <c r="G171" s="380"/>
      <c r="H171" s="380"/>
      <c r="I171" s="403"/>
      <c r="J171" s="380"/>
      <c r="K171" s="380"/>
      <c r="L171" s="380"/>
      <c r="M171" s="380"/>
      <c r="N171" s="380"/>
      <c r="O171" s="404"/>
      <c r="P171" s="380"/>
      <c r="Q171" s="380"/>
      <c r="R171" s="380"/>
      <c r="S171" s="380"/>
      <c r="T171" s="380"/>
      <c r="U171" s="380"/>
      <c r="V171" s="380"/>
      <c r="W171" s="403"/>
      <c r="X171" s="380"/>
      <c r="Y171" s="380"/>
      <c r="Z171" s="380"/>
      <c r="AA171" s="380"/>
      <c r="AB171" s="380"/>
      <c r="AC171" s="404"/>
      <c r="AD171" s="380"/>
      <c r="AE171" s="380"/>
      <c r="AF171" s="380"/>
      <c r="AG171" s="380"/>
      <c r="AH171" s="380"/>
      <c r="AI171" s="380"/>
      <c r="AJ171" s="380"/>
      <c r="AK171" s="403"/>
      <c r="AL171" s="380"/>
      <c r="AM171" s="380"/>
      <c r="AN171" s="380"/>
      <c r="AO171" s="380"/>
      <c r="AP171" s="380"/>
      <c r="AQ171" s="404"/>
      <c r="AR171" s="380"/>
      <c r="AS171" s="380"/>
      <c r="AT171" s="380"/>
      <c r="AU171" s="380"/>
      <c r="AV171" s="380"/>
      <c r="AW171" s="380"/>
      <c r="AX171" s="380"/>
      <c r="AY171" s="403"/>
      <c r="AZ171" s="380"/>
      <c r="BA171" s="380"/>
      <c r="BB171" s="380"/>
      <c r="BC171" s="380"/>
      <c r="BD171" s="380"/>
      <c r="BE171" s="404"/>
      <c r="BF171" s="380"/>
      <c r="BG171" s="380"/>
      <c r="BH171" s="380"/>
      <c r="BI171" s="380"/>
      <c r="BJ171" s="380"/>
      <c r="BK171" s="380"/>
      <c r="BL171" s="380"/>
      <c r="BM171" s="403"/>
      <c r="BS171" s="83"/>
      <c r="CA171" s="405"/>
      <c r="CG171" s="83"/>
      <c r="CO171" s="405"/>
      <c r="CU171" s="83"/>
      <c r="DC171" s="405"/>
      <c r="DI171" s="83"/>
      <c r="DQ171" s="405"/>
      <c r="DW171" s="83"/>
      <c r="EE171" s="405"/>
      <c r="EK171" s="83"/>
      <c r="ES171" s="405"/>
      <c r="EY171" s="83"/>
      <c r="FG171" s="405"/>
      <c r="FM171" s="83"/>
      <c r="FU171" s="405"/>
      <c r="GA171" s="83"/>
      <c r="GI171" s="405"/>
      <c r="GO171" s="83"/>
      <c r="GW171" s="405"/>
      <c r="HC171" s="83"/>
      <c r="HK171" s="405"/>
      <c r="HQ171" s="83"/>
      <c r="HY171" s="405"/>
      <c r="IE171" s="83"/>
      <c r="IM171" s="405"/>
      <c r="IS171" s="83"/>
      <c r="JA171" s="405"/>
      <c r="JG171" s="83"/>
      <c r="JO171" s="405"/>
      <c r="JU171" s="83"/>
      <c r="KC171" s="405"/>
      <c r="KI171" s="83"/>
      <c r="KQ171" s="405"/>
      <c r="KW171" s="83"/>
      <c r="LE171" s="405"/>
      <c r="LK171" s="83"/>
      <c r="LS171" s="405"/>
      <c r="LY171" s="83"/>
      <c r="MG171" s="405"/>
      <c r="MM171" s="83"/>
      <c r="MU171" s="405"/>
      <c r="NA171" s="83"/>
    </row>
    <row r="172">
      <c r="A172" s="483"/>
      <c r="B172" s="380"/>
      <c r="C172" s="380"/>
      <c r="D172" s="380"/>
      <c r="E172" s="380"/>
      <c r="F172" s="380"/>
      <c r="G172" s="380"/>
      <c r="H172" s="380"/>
      <c r="I172" s="403"/>
      <c r="J172" s="380"/>
      <c r="K172" s="380"/>
      <c r="L172" s="380"/>
      <c r="M172" s="380"/>
      <c r="N172" s="380"/>
      <c r="O172" s="404"/>
      <c r="P172" s="380"/>
      <c r="Q172" s="380"/>
      <c r="R172" s="380"/>
      <c r="S172" s="380"/>
      <c r="T172" s="380"/>
      <c r="U172" s="380"/>
      <c r="V172" s="380"/>
      <c r="W172" s="403"/>
      <c r="X172" s="380"/>
      <c r="Y172" s="380"/>
      <c r="Z172" s="380"/>
      <c r="AA172" s="380"/>
      <c r="AB172" s="380"/>
      <c r="AC172" s="404"/>
      <c r="AD172" s="380"/>
      <c r="AE172" s="380"/>
      <c r="AF172" s="380"/>
      <c r="AG172" s="380"/>
      <c r="AH172" s="380"/>
      <c r="AI172" s="380"/>
      <c r="AJ172" s="380"/>
      <c r="AK172" s="403"/>
      <c r="AL172" s="380"/>
      <c r="AM172" s="380"/>
      <c r="AN172" s="380"/>
      <c r="AO172" s="380"/>
      <c r="AP172" s="380"/>
      <c r="AQ172" s="404"/>
      <c r="AR172" s="380"/>
      <c r="AS172" s="380"/>
      <c r="AT172" s="380"/>
      <c r="AU172" s="380"/>
      <c r="AV172" s="380"/>
      <c r="AW172" s="380"/>
      <c r="AX172" s="380"/>
      <c r="AY172" s="403"/>
      <c r="AZ172" s="380"/>
      <c r="BA172" s="380"/>
      <c r="BB172" s="380"/>
      <c r="BC172" s="380"/>
      <c r="BD172" s="380"/>
      <c r="BE172" s="404"/>
      <c r="BF172" s="380"/>
      <c r="BG172" s="380"/>
      <c r="BH172" s="380"/>
      <c r="BI172" s="380"/>
      <c r="BJ172" s="380"/>
      <c r="BK172" s="380"/>
      <c r="BL172" s="380"/>
      <c r="BM172" s="403"/>
      <c r="BS172" s="83"/>
      <c r="CA172" s="405"/>
      <c r="CG172" s="83"/>
      <c r="CO172" s="405"/>
      <c r="CU172" s="83"/>
      <c r="DC172" s="405"/>
      <c r="DI172" s="83"/>
      <c r="DQ172" s="405"/>
      <c r="DW172" s="83"/>
      <c r="EE172" s="405"/>
      <c r="EK172" s="83"/>
      <c r="ES172" s="405"/>
      <c r="EY172" s="83"/>
      <c r="FG172" s="405"/>
      <c r="FM172" s="83"/>
      <c r="FU172" s="405"/>
      <c r="GA172" s="83"/>
      <c r="GI172" s="405"/>
      <c r="GO172" s="83"/>
      <c r="GW172" s="405"/>
      <c r="HC172" s="83"/>
      <c r="HK172" s="405"/>
      <c r="HQ172" s="83"/>
      <c r="HY172" s="405"/>
      <c r="IE172" s="83"/>
      <c r="IM172" s="405"/>
      <c r="IS172" s="83"/>
      <c r="JA172" s="405"/>
      <c r="JG172" s="83"/>
      <c r="JO172" s="405"/>
      <c r="JU172" s="83"/>
      <c r="KC172" s="405"/>
      <c r="KI172" s="83"/>
      <c r="KQ172" s="405"/>
      <c r="KW172" s="83"/>
      <c r="LE172" s="405"/>
      <c r="LK172" s="83"/>
      <c r="LS172" s="405"/>
      <c r="LY172" s="83"/>
      <c r="MG172" s="405"/>
      <c r="MM172" s="83"/>
      <c r="MU172" s="405"/>
      <c r="NA172" s="83"/>
    </row>
    <row r="173">
      <c r="A173" s="483"/>
      <c r="B173" s="380"/>
      <c r="C173" s="380"/>
      <c r="D173" s="380"/>
      <c r="E173" s="380"/>
      <c r="F173" s="380"/>
      <c r="G173" s="380"/>
      <c r="H173" s="380"/>
      <c r="I173" s="403"/>
      <c r="J173" s="380"/>
      <c r="K173" s="380"/>
      <c r="L173" s="380"/>
      <c r="M173" s="380"/>
      <c r="N173" s="380"/>
      <c r="O173" s="404"/>
      <c r="P173" s="380"/>
      <c r="Q173" s="380"/>
      <c r="R173" s="380"/>
      <c r="S173" s="380"/>
      <c r="T173" s="380"/>
      <c r="U173" s="380"/>
      <c r="V173" s="380"/>
      <c r="W173" s="403"/>
      <c r="X173" s="380"/>
      <c r="Y173" s="380"/>
      <c r="Z173" s="380"/>
      <c r="AA173" s="380"/>
      <c r="AB173" s="380"/>
      <c r="AC173" s="404"/>
      <c r="AD173" s="380"/>
      <c r="AE173" s="380"/>
      <c r="AF173" s="380"/>
      <c r="AG173" s="380"/>
      <c r="AH173" s="380"/>
      <c r="AI173" s="380"/>
      <c r="AJ173" s="380"/>
      <c r="AK173" s="403"/>
      <c r="AL173" s="380"/>
      <c r="AM173" s="380"/>
      <c r="AN173" s="380"/>
      <c r="AO173" s="380"/>
      <c r="AP173" s="380"/>
      <c r="AQ173" s="404"/>
      <c r="AR173" s="380"/>
      <c r="AS173" s="380"/>
      <c r="AT173" s="380"/>
      <c r="AU173" s="380"/>
      <c r="AV173" s="380"/>
      <c r="AW173" s="380"/>
      <c r="AX173" s="380"/>
      <c r="AY173" s="403"/>
      <c r="AZ173" s="380"/>
      <c r="BA173" s="380"/>
      <c r="BB173" s="380"/>
      <c r="BC173" s="380"/>
      <c r="BD173" s="380"/>
      <c r="BE173" s="404"/>
      <c r="BF173" s="380"/>
      <c r="BG173" s="380"/>
      <c r="BH173" s="380"/>
      <c r="BI173" s="380"/>
      <c r="BJ173" s="380"/>
      <c r="BK173" s="380"/>
      <c r="BL173" s="380"/>
      <c r="BM173" s="403"/>
      <c r="BS173" s="83"/>
      <c r="CA173" s="405"/>
      <c r="CG173" s="83"/>
      <c r="CO173" s="405"/>
      <c r="CU173" s="83"/>
      <c r="DC173" s="405"/>
      <c r="DI173" s="83"/>
      <c r="DQ173" s="405"/>
      <c r="DW173" s="83"/>
      <c r="EE173" s="405"/>
      <c r="EK173" s="83"/>
      <c r="ES173" s="405"/>
      <c r="EY173" s="83"/>
      <c r="FG173" s="405"/>
      <c r="FM173" s="83"/>
      <c r="FU173" s="405"/>
      <c r="GA173" s="83"/>
      <c r="GI173" s="405"/>
      <c r="GO173" s="83"/>
      <c r="GW173" s="405"/>
      <c r="HC173" s="83"/>
      <c r="HK173" s="405"/>
      <c r="HQ173" s="83"/>
      <c r="HY173" s="405"/>
      <c r="IE173" s="83"/>
      <c r="IM173" s="405"/>
      <c r="IS173" s="83"/>
      <c r="JA173" s="405"/>
      <c r="JG173" s="83"/>
      <c r="JO173" s="405"/>
      <c r="JU173" s="83"/>
      <c r="KC173" s="405"/>
      <c r="KI173" s="83"/>
      <c r="KQ173" s="405"/>
      <c r="KW173" s="83"/>
      <c r="LE173" s="405"/>
      <c r="LK173" s="83"/>
      <c r="LS173" s="405"/>
      <c r="LY173" s="83"/>
      <c r="MG173" s="405"/>
      <c r="MM173" s="83"/>
      <c r="MU173" s="405"/>
      <c r="NA173" s="83"/>
    </row>
    <row r="174">
      <c r="A174" s="483"/>
      <c r="B174" s="380"/>
      <c r="C174" s="380"/>
      <c r="D174" s="380"/>
      <c r="E174" s="380"/>
      <c r="F174" s="380"/>
      <c r="G174" s="380"/>
      <c r="H174" s="380"/>
      <c r="I174" s="403"/>
      <c r="J174" s="380"/>
      <c r="K174" s="380"/>
      <c r="L174" s="380"/>
      <c r="M174" s="380"/>
      <c r="N174" s="380"/>
      <c r="O174" s="404"/>
      <c r="P174" s="380"/>
      <c r="Q174" s="380"/>
      <c r="R174" s="380"/>
      <c r="S174" s="380"/>
      <c r="T174" s="380"/>
      <c r="U174" s="380"/>
      <c r="V174" s="380"/>
      <c r="W174" s="403"/>
      <c r="X174" s="380"/>
      <c r="Y174" s="380"/>
      <c r="Z174" s="380"/>
      <c r="AA174" s="380"/>
      <c r="AB174" s="380"/>
      <c r="AC174" s="404"/>
      <c r="AD174" s="380"/>
      <c r="AE174" s="380"/>
      <c r="AF174" s="380"/>
      <c r="AG174" s="380"/>
      <c r="AH174" s="380"/>
      <c r="AI174" s="380"/>
      <c r="AJ174" s="380"/>
      <c r="AK174" s="403"/>
      <c r="AL174" s="380"/>
      <c r="AM174" s="380"/>
      <c r="AN174" s="380"/>
      <c r="AO174" s="380"/>
      <c r="AP174" s="380"/>
      <c r="AQ174" s="404"/>
      <c r="AR174" s="380"/>
      <c r="AS174" s="380"/>
      <c r="AT174" s="380"/>
      <c r="AU174" s="380"/>
      <c r="AV174" s="380"/>
      <c r="AW174" s="380"/>
      <c r="AX174" s="380"/>
      <c r="AY174" s="403"/>
      <c r="AZ174" s="380"/>
      <c r="BA174" s="380"/>
      <c r="BB174" s="380"/>
      <c r="BC174" s="380"/>
      <c r="BD174" s="380"/>
      <c r="BE174" s="404"/>
      <c r="BF174" s="380"/>
      <c r="BG174" s="380"/>
      <c r="BH174" s="380"/>
      <c r="BI174" s="380"/>
      <c r="BJ174" s="380"/>
      <c r="BK174" s="380"/>
      <c r="BL174" s="380"/>
      <c r="BM174" s="403"/>
      <c r="BS174" s="83"/>
      <c r="CA174" s="405"/>
      <c r="CG174" s="83"/>
      <c r="CO174" s="405"/>
      <c r="CU174" s="83"/>
      <c r="DC174" s="405"/>
      <c r="DI174" s="83"/>
      <c r="DQ174" s="405"/>
      <c r="DW174" s="83"/>
      <c r="EE174" s="405"/>
      <c r="EK174" s="83"/>
      <c r="ES174" s="405"/>
      <c r="EY174" s="83"/>
      <c r="FG174" s="405"/>
      <c r="FM174" s="83"/>
      <c r="FU174" s="405"/>
      <c r="GA174" s="83"/>
      <c r="GI174" s="405"/>
      <c r="GO174" s="83"/>
      <c r="GW174" s="405"/>
      <c r="HC174" s="83"/>
      <c r="HK174" s="405"/>
      <c r="HQ174" s="83"/>
      <c r="HY174" s="405"/>
      <c r="IE174" s="83"/>
      <c r="IM174" s="405"/>
      <c r="IS174" s="83"/>
      <c r="JA174" s="405"/>
      <c r="JG174" s="83"/>
      <c r="JO174" s="405"/>
      <c r="JU174" s="83"/>
      <c r="KC174" s="405"/>
      <c r="KI174" s="83"/>
      <c r="KQ174" s="405"/>
      <c r="KW174" s="83"/>
      <c r="LE174" s="405"/>
      <c r="LK174" s="83"/>
      <c r="LS174" s="405"/>
      <c r="LY174" s="83"/>
      <c r="MG174" s="405"/>
      <c r="MM174" s="83"/>
      <c r="MU174" s="405"/>
      <c r="NA174" s="83"/>
    </row>
    <row r="175">
      <c r="A175" s="483"/>
      <c r="B175" s="380"/>
      <c r="C175" s="380"/>
      <c r="D175" s="380"/>
      <c r="E175" s="380"/>
      <c r="F175" s="380"/>
      <c r="G175" s="380"/>
      <c r="H175" s="380"/>
      <c r="I175" s="403"/>
      <c r="J175" s="380"/>
      <c r="K175" s="380"/>
      <c r="L175" s="380"/>
      <c r="M175" s="380"/>
      <c r="N175" s="380"/>
      <c r="O175" s="404"/>
      <c r="P175" s="380"/>
      <c r="Q175" s="380"/>
      <c r="R175" s="380"/>
      <c r="S175" s="380"/>
      <c r="T175" s="380"/>
      <c r="U175" s="380"/>
      <c r="V175" s="380"/>
      <c r="W175" s="403"/>
      <c r="X175" s="380"/>
      <c r="Y175" s="380"/>
      <c r="Z175" s="380"/>
      <c r="AA175" s="380"/>
      <c r="AB175" s="380"/>
      <c r="AC175" s="404"/>
      <c r="AD175" s="380"/>
      <c r="AE175" s="380"/>
      <c r="AF175" s="380"/>
      <c r="AG175" s="380"/>
      <c r="AH175" s="380"/>
      <c r="AI175" s="380"/>
      <c r="AJ175" s="380"/>
      <c r="AK175" s="403"/>
      <c r="AL175" s="380"/>
      <c r="AM175" s="380"/>
      <c r="AN175" s="380"/>
      <c r="AO175" s="380"/>
      <c r="AP175" s="380"/>
      <c r="AQ175" s="404"/>
      <c r="AR175" s="380"/>
      <c r="AS175" s="380"/>
      <c r="AT175" s="380"/>
      <c r="AU175" s="380"/>
      <c r="AV175" s="380"/>
      <c r="AW175" s="380"/>
      <c r="AX175" s="380"/>
      <c r="AY175" s="403"/>
      <c r="AZ175" s="380"/>
      <c r="BA175" s="380"/>
      <c r="BB175" s="380"/>
      <c r="BC175" s="380"/>
      <c r="BD175" s="380"/>
      <c r="BE175" s="404"/>
      <c r="BF175" s="380"/>
      <c r="BG175" s="380"/>
      <c r="BH175" s="380"/>
      <c r="BI175" s="380"/>
      <c r="BJ175" s="380"/>
      <c r="BK175" s="380"/>
      <c r="BL175" s="380"/>
      <c r="BM175" s="403"/>
      <c r="BS175" s="83"/>
      <c r="CA175" s="405"/>
      <c r="CG175" s="83"/>
      <c r="CO175" s="405"/>
      <c r="CU175" s="83"/>
      <c r="DC175" s="405"/>
      <c r="DI175" s="83"/>
      <c r="DQ175" s="405"/>
      <c r="DW175" s="83"/>
      <c r="EE175" s="405"/>
      <c r="EK175" s="83"/>
      <c r="ES175" s="405"/>
      <c r="EY175" s="83"/>
      <c r="FG175" s="405"/>
      <c r="FM175" s="83"/>
      <c r="FU175" s="405"/>
      <c r="GA175" s="83"/>
      <c r="GI175" s="405"/>
      <c r="GO175" s="83"/>
      <c r="GW175" s="405"/>
      <c r="HC175" s="83"/>
      <c r="HK175" s="405"/>
      <c r="HQ175" s="83"/>
      <c r="HY175" s="405"/>
      <c r="IE175" s="83"/>
      <c r="IM175" s="405"/>
      <c r="IS175" s="83"/>
      <c r="JA175" s="405"/>
      <c r="JG175" s="83"/>
      <c r="JO175" s="405"/>
      <c r="JU175" s="83"/>
      <c r="KC175" s="405"/>
      <c r="KI175" s="83"/>
      <c r="KQ175" s="405"/>
      <c r="KW175" s="83"/>
      <c r="LE175" s="405"/>
      <c r="LK175" s="83"/>
      <c r="LS175" s="405"/>
      <c r="LY175" s="83"/>
      <c r="MG175" s="405"/>
      <c r="MM175" s="83"/>
      <c r="MU175" s="405"/>
      <c r="NA175" s="83"/>
    </row>
    <row r="176">
      <c r="A176" s="483"/>
      <c r="B176" s="380"/>
      <c r="C176" s="380"/>
      <c r="D176" s="380"/>
      <c r="E176" s="380"/>
      <c r="F176" s="380"/>
      <c r="G176" s="380"/>
      <c r="H176" s="380"/>
      <c r="I176" s="403"/>
      <c r="J176" s="380"/>
      <c r="K176" s="380"/>
      <c r="L176" s="380"/>
      <c r="M176" s="380"/>
      <c r="N176" s="380"/>
      <c r="O176" s="404"/>
      <c r="P176" s="380"/>
      <c r="Q176" s="380"/>
      <c r="R176" s="380"/>
      <c r="S176" s="380"/>
      <c r="T176" s="380"/>
      <c r="U176" s="380"/>
      <c r="V176" s="380"/>
      <c r="W176" s="403"/>
      <c r="X176" s="380"/>
      <c r="Y176" s="380"/>
      <c r="Z176" s="380"/>
      <c r="AA176" s="380"/>
      <c r="AB176" s="380"/>
      <c r="AC176" s="404"/>
      <c r="AD176" s="380"/>
      <c r="AE176" s="380"/>
      <c r="AF176" s="380"/>
      <c r="AG176" s="380"/>
      <c r="AH176" s="380"/>
      <c r="AI176" s="380"/>
      <c r="AJ176" s="380"/>
      <c r="AK176" s="403"/>
      <c r="AL176" s="380"/>
      <c r="AM176" s="380"/>
      <c r="AN176" s="380"/>
      <c r="AO176" s="380"/>
      <c r="AP176" s="380"/>
      <c r="AQ176" s="404"/>
      <c r="AR176" s="380"/>
      <c r="AS176" s="380"/>
      <c r="AT176" s="380"/>
      <c r="AU176" s="380"/>
      <c r="AV176" s="380"/>
      <c r="AW176" s="380"/>
      <c r="AX176" s="380"/>
      <c r="AY176" s="403"/>
      <c r="AZ176" s="380"/>
      <c r="BA176" s="380"/>
      <c r="BB176" s="380"/>
      <c r="BC176" s="380"/>
      <c r="BD176" s="380"/>
      <c r="BE176" s="404"/>
      <c r="BF176" s="380"/>
      <c r="BG176" s="380"/>
      <c r="BH176" s="380"/>
      <c r="BI176" s="380"/>
      <c r="BJ176" s="380"/>
      <c r="BK176" s="380"/>
      <c r="BL176" s="380"/>
      <c r="BM176" s="403"/>
      <c r="BS176" s="83"/>
      <c r="CA176" s="405"/>
      <c r="CG176" s="83"/>
      <c r="CO176" s="405"/>
      <c r="CU176" s="83"/>
      <c r="DC176" s="405"/>
      <c r="DI176" s="83"/>
      <c r="DQ176" s="405"/>
      <c r="DW176" s="83"/>
      <c r="EE176" s="405"/>
      <c r="EK176" s="83"/>
      <c r="ES176" s="405"/>
      <c r="EY176" s="83"/>
      <c r="FG176" s="405"/>
      <c r="FM176" s="83"/>
      <c r="FU176" s="405"/>
      <c r="GA176" s="83"/>
      <c r="GI176" s="405"/>
      <c r="GO176" s="83"/>
      <c r="GW176" s="405"/>
      <c r="HC176" s="83"/>
      <c r="HK176" s="405"/>
      <c r="HQ176" s="83"/>
      <c r="HY176" s="405"/>
      <c r="IE176" s="83"/>
      <c r="IM176" s="405"/>
      <c r="IS176" s="83"/>
      <c r="JA176" s="405"/>
      <c r="JG176" s="83"/>
      <c r="JO176" s="405"/>
      <c r="JU176" s="83"/>
      <c r="KC176" s="405"/>
      <c r="KI176" s="83"/>
      <c r="KQ176" s="405"/>
      <c r="KW176" s="83"/>
      <c r="LE176" s="405"/>
      <c r="LK176" s="83"/>
      <c r="LS176" s="405"/>
      <c r="LY176" s="83"/>
      <c r="MG176" s="405"/>
      <c r="MM176" s="83"/>
      <c r="MU176" s="405"/>
      <c r="NA176" s="83"/>
    </row>
    <row r="177">
      <c r="A177" s="483"/>
      <c r="B177" s="380"/>
      <c r="C177" s="380"/>
      <c r="D177" s="380"/>
      <c r="E177" s="380"/>
      <c r="F177" s="380"/>
      <c r="G177" s="380"/>
      <c r="H177" s="380"/>
      <c r="I177" s="403"/>
      <c r="J177" s="380"/>
      <c r="K177" s="380"/>
      <c r="L177" s="380"/>
      <c r="M177" s="380"/>
      <c r="N177" s="380"/>
      <c r="O177" s="404"/>
      <c r="P177" s="380"/>
      <c r="Q177" s="380"/>
      <c r="R177" s="380"/>
      <c r="S177" s="380"/>
      <c r="T177" s="380"/>
      <c r="U177" s="380"/>
      <c r="V177" s="380"/>
      <c r="W177" s="403"/>
      <c r="X177" s="380"/>
      <c r="Y177" s="380"/>
      <c r="Z177" s="380"/>
      <c r="AA177" s="380"/>
      <c r="AB177" s="380"/>
      <c r="AC177" s="404"/>
      <c r="AD177" s="380"/>
      <c r="AE177" s="380"/>
      <c r="AF177" s="380"/>
      <c r="AG177" s="380"/>
      <c r="AH177" s="380"/>
      <c r="AI177" s="380"/>
      <c r="AJ177" s="380"/>
      <c r="AK177" s="403"/>
      <c r="AL177" s="380"/>
      <c r="AM177" s="380"/>
      <c r="AN177" s="380"/>
      <c r="AO177" s="380"/>
      <c r="AP177" s="380"/>
      <c r="AQ177" s="404"/>
      <c r="AR177" s="380"/>
      <c r="AS177" s="380"/>
      <c r="AT177" s="380"/>
      <c r="AU177" s="380"/>
      <c r="AV177" s="380"/>
      <c r="AW177" s="380"/>
      <c r="AX177" s="380"/>
      <c r="AY177" s="403"/>
      <c r="AZ177" s="380"/>
      <c r="BA177" s="380"/>
      <c r="BB177" s="380"/>
      <c r="BC177" s="380"/>
      <c r="BD177" s="380"/>
      <c r="BE177" s="404"/>
      <c r="BF177" s="380"/>
      <c r="BG177" s="380"/>
      <c r="BH177" s="380"/>
      <c r="BI177" s="380"/>
      <c r="BJ177" s="380"/>
      <c r="BK177" s="380"/>
      <c r="BL177" s="380"/>
      <c r="BM177" s="403"/>
      <c r="BS177" s="83"/>
      <c r="CA177" s="405"/>
      <c r="CG177" s="83"/>
      <c r="CO177" s="405"/>
      <c r="CU177" s="83"/>
      <c r="DC177" s="405"/>
      <c r="DI177" s="83"/>
      <c r="DQ177" s="405"/>
      <c r="DW177" s="83"/>
      <c r="EE177" s="405"/>
      <c r="EK177" s="83"/>
      <c r="ES177" s="405"/>
      <c r="EY177" s="83"/>
      <c r="FG177" s="405"/>
      <c r="FM177" s="83"/>
      <c r="FU177" s="405"/>
      <c r="GA177" s="83"/>
      <c r="GI177" s="405"/>
      <c r="GO177" s="83"/>
      <c r="GW177" s="405"/>
      <c r="HC177" s="83"/>
      <c r="HK177" s="405"/>
      <c r="HQ177" s="83"/>
      <c r="HY177" s="405"/>
      <c r="IE177" s="83"/>
      <c r="IM177" s="405"/>
      <c r="IS177" s="83"/>
      <c r="JA177" s="405"/>
      <c r="JG177" s="83"/>
      <c r="JO177" s="405"/>
      <c r="JU177" s="83"/>
      <c r="KC177" s="405"/>
      <c r="KI177" s="83"/>
      <c r="KQ177" s="405"/>
      <c r="KW177" s="83"/>
      <c r="LE177" s="405"/>
      <c r="LK177" s="83"/>
      <c r="LS177" s="405"/>
      <c r="LY177" s="83"/>
      <c r="MG177" s="405"/>
      <c r="MM177" s="83"/>
      <c r="MU177" s="405"/>
      <c r="NA177" s="83"/>
    </row>
    <row r="178">
      <c r="A178" s="483"/>
      <c r="B178" s="380"/>
      <c r="C178" s="380"/>
      <c r="D178" s="380"/>
      <c r="E178" s="380"/>
      <c r="F178" s="380"/>
      <c r="G178" s="380"/>
      <c r="H178" s="380"/>
      <c r="I178" s="403"/>
      <c r="J178" s="380"/>
      <c r="K178" s="380"/>
      <c r="L178" s="380"/>
      <c r="M178" s="380"/>
      <c r="N178" s="380"/>
      <c r="O178" s="404"/>
      <c r="P178" s="380"/>
      <c r="Q178" s="380"/>
      <c r="R178" s="380"/>
      <c r="S178" s="380"/>
      <c r="T178" s="380"/>
      <c r="U178" s="380"/>
      <c r="V178" s="380"/>
      <c r="W178" s="403"/>
      <c r="X178" s="380"/>
      <c r="Y178" s="380"/>
      <c r="Z178" s="380"/>
      <c r="AA178" s="380"/>
      <c r="AB178" s="380"/>
      <c r="AC178" s="404"/>
      <c r="AD178" s="380"/>
      <c r="AE178" s="380"/>
      <c r="AF178" s="380"/>
      <c r="AG178" s="380"/>
      <c r="AH178" s="380"/>
      <c r="AI178" s="380"/>
      <c r="AJ178" s="380"/>
      <c r="AK178" s="403"/>
      <c r="AL178" s="380"/>
      <c r="AM178" s="380"/>
      <c r="AN178" s="380"/>
      <c r="AO178" s="380"/>
      <c r="AP178" s="380"/>
      <c r="AQ178" s="404"/>
      <c r="AR178" s="380"/>
      <c r="AS178" s="380"/>
      <c r="AT178" s="380"/>
      <c r="AU178" s="380"/>
      <c r="AV178" s="380"/>
      <c r="AW178" s="380"/>
      <c r="AX178" s="380"/>
      <c r="AY178" s="403"/>
      <c r="AZ178" s="380"/>
      <c r="BA178" s="380"/>
      <c r="BB178" s="380"/>
      <c r="BC178" s="380"/>
      <c r="BD178" s="380"/>
      <c r="BE178" s="404"/>
      <c r="BF178" s="380"/>
      <c r="BG178" s="380"/>
      <c r="BH178" s="380"/>
      <c r="BI178" s="380"/>
      <c r="BJ178" s="380"/>
      <c r="BK178" s="380"/>
      <c r="BL178" s="380"/>
      <c r="BM178" s="403"/>
      <c r="BS178" s="83"/>
      <c r="CA178" s="405"/>
      <c r="CG178" s="83"/>
      <c r="CO178" s="405"/>
      <c r="CU178" s="83"/>
      <c r="DC178" s="405"/>
      <c r="DI178" s="83"/>
      <c r="DQ178" s="405"/>
      <c r="DW178" s="83"/>
      <c r="EE178" s="405"/>
      <c r="EK178" s="83"/>
      <c r="ES178" s="405"/>
      <c r="EY178" s="83"/>
      <c r="FG178" s="405"/>
      <c r="FM178" s="83"/>
      <c r="FU178" s="405"/>
      <c r="GA178" s="83"/>
      <c r="GI178" s="405"/>
      <c r="GO178" s="83"/>
      <c r="GW178" s="405"/>
      <c r="HC178" s="83"/>
      <c r="HK178" s="405"/>
      <c r="HQ178" s="83"/>
      <c r="HY178" s="405"/>
      <c r="IE178" s="83"/>
      <c r="IM178" s="405"/>
      <c r="IS178" s="83"/>
      <c r="JA178" s="405"/>
      <c r="JG178" s="83"/>
      <c r="JO178" s="405"/>
      <c r="JU178" s="83"/>
      <c r="KC178" s="405"/>
      <c r="KI178" s="83"/>
      <c r="KQ178" s="405"/>
      <c r="KW178" s="83"/>
      <c r="LE178" s="405"/>
      <c r="LK178" s="83"/>
      <c r="LS178" s="405"/>
      <c r="LY178" s="83"/>
      <c r="MG178" s="405"/>
      <c r="MM178" s="83"/>
      <c r="MU178" s="405"/>
      <c r="NA178" s="83"/>
    </row>
    <row r="179">
      <c r="A179" s="483"/>
      <c r="B179" s="380"/>
      <c r="C179" s="380"/>
      <c r="D179" s="380"/>
      <c r="E179" s="380"/>
      <c r="F179" s="380"/>
      <c r="G179" s="380"/>
      <c r="H179" s="380"/>
      <c r="I179" s="403"/>
      <c r="J179" s="380"/>
      <c r="K179" s="380"/>
      <c r="L179" s="380"/>
      <c r="M179" s="380"/>
      <c r="N179" s="380"/>
      <c r="O179" s="404"/>
      <c r="P179" s="380"/>
      <c r="Q179" s="380"/>
      <c r="R179" s="380"/>
      <c r="S179" s="380"/>
      <c r="T179" s="380"/>
      <c r="U179" s="380"/>
      <c r="V179" s="380"/>
      <c r="W179" s="403"/>
      <c r="X179" s="380"/>
      <c r="Y179" s="380"/>
      <c r="Z179" s="380"/>
      <c r="AA179" s="380"/>
      <c r="AB179" s="380"/>
      <c r="AC179" s="404"/>
      <c r="AD179" s="380"/>
      <c r="AE179" s="380"/>
      <c r="AF179" s="380"/>
      <c r="AG179" s="380"/>
      <c r="AH179" s="380"/>
      <c r="AI179" s="380"/>
      <c r="AJ179" s="380"/>
      <c r="AK179" s="403"/>
      <c r="AL179" s="380"/>
      <c r="AM179" s="380"/>
      <c r="AN179" s="380"/>
      <c r="AO179" s="380"/>
      <c r="AP179" s="380"/>
      <c r="AQ179" s="404"/>
      <c r="AR179" s="380"/>
      <c r="AS179" s="380"/>
      <c r="AT179" s="380"/>
      <c r="AU179" s="380"/>
      <c r="AV179" s="380"/>
      <c r="AW179" s="380"/>
      <c r="AX179" s="380"/>
      <c r="AY179" s="403"/>
      <c r="AZ179" s="380"/>
      <c r="BA179" s="380"/>
      <c r="BB179" s="380"/>
      <c r="BC179" s="380"/>
      <c r="BD179" s="380"/>
      <c r="BE179" s="404"/>
      <c r="BF179" s="380"/>
      <c r="BG179" s="380"/>
      <c r="BH179" s="380"/>
      <c r="BI179" s="380"/>
      <c r="BJ179" s="380"/>
      <c r="BK179" s="380"/>
      <c r="BL179" s="380"/>
      <c r="BM179" s="403"/>
      <c r="BS179" s="83"/>
      <c r="CA179" s="405"/>
      <c r="CG179" s="83"/>
      <c r="CO179" s="405"/>
      <c r="CU179" s="83"/>
      <c r="DC179" s="405"/>
      <c r="DI179" s="83"/>
      <c r="DQ179" s="405"/>
      <c r="DW179" s="83"/>
      <c r="EE179" s="405"/>
      <c r="EK179" s="83"/>
      <c r="ES179" s="405"/>
      <c r="EY179" s="83"/>
      <c r="FG179" s="405"/>
      <c r="FM179" s="83"/>
      <c r="FU179" s="405"/>
      <c r="GA179" s="83"/>
      <c r="GI179" s="405"/>
      <c r="GO179" s="83"/>
      <c r="GW179" s="405"/>
      <c r="HC179" s="83"/>
      <c r="HK179" s="405"/>
      <c r="HQ179" s="83"/>
      <c r="HY179" s="405"/>
      <c r="IE179" s="83"/>
      <c r="IM179" s="405"/>
      <c r="IS179" s="83"/>
      <c r="JA179" s="405"/>
      <c r="JG179" s="83"/>
      <c r="JO179" s="405"/>
      <c r="JU179" s="83"/>
      <c r="KC179" s="405"/>
      <c r="KI179" s="83"/>
      <c r="KQ179" s="405"/>
      <c r="KW179" s="83"/>
      <c r="LE179" s="405"/>
      <c r="LK179" s="83"/>
      <c r="LS179" s="405"/>
      <c r="LY179" s="83"/>
      <c r="MG179" s="405"/>
      <c r="MM179" s="83"/>
      <c r="MU179" s="405"/>
      <c r="NA179" s="83"/>
    </row>
    <row r="180">
      <c r="A180" s="483"/>
      <c r="B180" s="380"/>
      <c r="C180" s="380"/>
      <c r="D180" s="380"/>
      <c r="E180" s="380"/>
      <c r="F180" s="380"/>
      <c r="G180" s="380"/>
      <c r="H180" s="380"/>
      <c r="I180" s="403"/>
      <c r="J180" s="380"/>
      <c r="K180" s="380"/>
      <c r="L180" s="380"/>
      <c r="M180" s="380"/>
      <c r="N180" s="380"/>
      <c r="O180" s="404"/>
      <c r="P180" s="380"/>
      <c r="Q180" s="380"/>
      <c r="R180" s="380"/>
      <c r="S180" s="380"/>
      <c r="T180" s="380"/>
      <c r="U180" s="380"/>
      <c r="V180" s="380"/>
      <c r="W180" s="403"/>
      <c r="X180" s="380"/>
      <c r="Y180" s="380"/>
      <c r="Z180" s="380"/>
      <c r="AA180" s="380"/>
      <c r="AB180" s="380"/>
      <c r="AC180" s="404"/>
      <c r="AD180" s="380"/>
      <c r="AE180" s="380"/>
      <c r="AF180" s="380"/>
      <c r="AG180" s="380"/>
      <c r="AH180" s="380"/>
      <c r="AI180" s="380"/>
      <c r="AJ180" s="380"/>
      <c r="AK180" s="403"/>
      <c r="AL180" s="380"/>
      <c r="AM180" s="380"/>
      <c r="AN180" s="380"/>
      <c r="AO180" s="380"/>
      <c r="AP180" s="380"/>
      <c r="AQ180" s="404"/>
      <c r="AR180" s="380"/>
      <c r="AS180" s="380"/>
      <c r="AT180" s="380"/>
      <c r="AU180" s="380"/>
      <c r="AV180" s="380"/>
      <c r="AW180" s="380"/>
      <c r="AX180" s="380"/>
      <c r="AY180" s="403"/>
      <c r="AZ180" s="380"/>
      <c r="BA180" s="380"/>
      <c r="BB180" s="380"/>
      <c r="BC180" s="380"/>
      <c r="BD180" s="380"/>
      <c r="BE180" s="404"/>
      <c r="BF180" s="380"/>
      <c r="BG180" s="380"/>
      <c r="BH180" s="380"/>
      <c r="BI180" s="380"/>
      <c r="BJ180" s="380"/>
      <c r="BK180" s="380"/>
      <c r="BL180" s="380"/>
      <c r="BM180" s="403"/>
      <c r="BS180" s="83"/>
      <c r="CA180" s="405"/>
      <c r="CG180" s="83"/>
      <c r="CO180" s="405"/>
      <c r="CU180" s="83"/>
      <c r="DC180" s="405"/>
      <c r="DI180" s="83"/>
      <c r="DQ180" s="405"/>
      <c r="DW180" s="83"/>
      <c r="EE180" s="405"/>
      <c r="EK180" s="83"/>
      <c r="ES180" s="405"/>
      <c r="EY180" s="83"/>
      <c r="FG180" s="405"/>
      <c r="FM180" s="83"/>
      <c r="FU180" s="405"/>
      <c r="GA180" s="83"/>
      <c r="GI180" s="405"/>
      <c r="GO180" s="83"/>
      <c r="GW180" s="405"/>
      <c r="HC180" s="83"/>
      <c r="HK180" s="405"/>
      <c r="HQ180" s="83"/>
      <c r="HY180" s="405"/>
      <c r="IE180" s="83"/>
      <c r="IM180" s="405"/>
      <c r="IS180" s="83"/>
      <c r="JA180" s="405"/>
      <c r="JG180" s="83"/>
      <c r="JO180" s="405"/>
      <c r="JU180" s="83"/>
      <c r="KC180" s="405"/>
      <c r="KI180" s="83"/>
      <c r="KQ180" s="405"/>
      <c r="KW180" s="83"/>
      <c r="LE180" s="405"/>
      <c r="LK180" s="83"/>
      <c r="LS180" s="405"/>
      <c r="LY180" s="83"/>
      <c r="MG180" s="405"/>
      <c r="MM180" s="83"/>
      <c r="MU180" s="405"/>
      <c r="NA180" s="83"/>
    </row>
    <row r="181">
      <c r="A181" s="483"/>
      <c r="B181" s="380"/>
      <c r="C181" s="380"/>
      <c r="D181" s="380"/>
      <c r="E181" s="380"/>
      <c r="F181" s="380"/>
      <c r="G181" s="380"/>
      <c r="H181" s="380"/>
      <c r="I181" s="403"/>
      <c r="J181" s="380"/>
      <c r="K181" s="380"/>
      <c r="L181" s="380"/>
      <c r="M181" s="380"/>
      <c r="N181" s="380"/>
      <c r="O181" s="404"/>
      <c r="P181" s="380"/>
      <c r="Q181" s="380"/>
      <c r="R181" s="380"/>
      <c r="S181" s="380"/>
      <c r="T181" s="380"/>
      <c r="U181" s="380"/>
      <c r="V181" s="380"/>
      <c r="W181" s="403"/>
      <c r="X181" s="380"/>
      <c r="Y181" s="380"/>
      <c r="Z181" s="380"/>
      <c r="AA181" s="380"/>
      <c r="AB181" s="380"/>
      <c r="AC181" s="404"/>
      <c r="AD181" s="380"/>
      <c r="AE181" s="380"/>
      <c r="AF181" s="380"/>
      <c r="AG181" s="380"/>
      <c r="AH181" s="380"/>
      <c r="AI181" s="380"/>
      <c r="AJ181" s="380"/>
      <c r="AK181" s="403"/>
      <c r="AL181" s="380"/>
      <c r="AM181" s="380"/>
      <c r="AN181" s="380"/>
      <c r="AO181" s="380"/>
      <c r="AP181" s="380"/>
      <c r="AQ181" s="404"/>
      <c r="AR181" s="380"/>
      <c r="AS181" s="380"/>
      <c r="AT181" s="380"/>
      <c r="AU181" s="380"/>
      <c r="AV181" s="380"/>
      <c r="AW181" s="380"/>
      <c r="AX181" s="380"/>
      <c r="AY181" s="403"/>
      <c r="AZ181" s="380"/>
      <c r="BA181" s="380"/>
      <c r="BB181" s="380"/>
      <c r="BC181" s="380"/>
      <c r="BD181" s="380"/>
      <c r="BE181" s="404"/>
      <c r="BF181" s="380"/>
      <c r="BG181" s="380"/>
      <c r="BH181" s="380"/>
      <c r="BI181" s="380"/>
      <c r="BJ181" s="380"/>
      <c r="BK181" s="380"/>
      <c r="BL181" s="380"/>
      <c r="BM181" s="403"/>
      <c r="BS181" s="83"/>
      <c r="CA181" s="405"/>
      <c r="CG181" s="83"/>
      <c r="CO181" s="405"/>
      <c r="CU181" s="83"/>
      <c r="DC181" s="405"/>
      <c r="DI181" s="83"/>
      <c r="DQ181" s="405"/>
      <c r="DW181" s="83"/>
      <c r="EE181" s="405"/>
      <c r="EK181" s="83"/>
      <c r="ES181" s="405"/>
      <c r="EY181" s="83"/>
      <c r="FG181" s="405"/>
      <c r="FM181" s="83"/>
      <c r="FU181" s="405"/>
      <c r="GA181" s="83"/>
      <c r="GI181" s="405"/>
      <c r="GO181" s="83"/>
      <c r="GW181" s="405"/>
      <c r="HC181" s="83"/>
      <c r="HK181" s="405"/>
      <c r="HQ181" s="83"/>
      <c r="HY181" s="405"/>
      <c r="IE181" s="83"/>
      <c r="IM181" s="405"/>
      <c r="IS181" s="83"/>
      <c r="JA181" s="405"/>
      <c r="JG181" s="83"/>
      <c r="JO181" s="405"/>
      <c r="JU181" s="83"/>
      <c r="KC181" s="405"/>
      <c r="KI181" s="83"/>
      <c r="KQ181" s="405"/>
      <c r="KW181" s="83"/>
      <c r="LE181" s="405"/>
      <c r="LK181" s="83"/>
      <c r="LS181" s="405"/>
      <c r="LY181" s="83"/>
      <c r="MG181" s="405"/>
      <c r="MM181" s="83"/>
      <c r="MU181" s="405"/>
      <c r="NA181" s="83"/>
    </row>
    <row r="182">
      <c r="A182" s="483"/>
      <c r="B182" s="380"/>
      <c r="C182" s="380"/>
      <c r="D182" s="380"/>
      <c r="E182" s="380"/>
      <c r="F182" s="380"/>
      <c r="G182" s="380"/>
      <c r="H182" s="380"/>
      <c r="I182" s="403"/>
      <c r="J182" s="380"/>
      <c r="K182" s="380"/>
      <c r="L182" s="380"/>
      <c r="M182" s="380"/>
      <c r="N182" s="380"/>
      <c r="O182" s="404"/>
      <c r="P182" s="380"/>
      <c r="Q182" s="380"/>
      <c r="R182" s="380"/>
      <c r="S182" s="380"/>
      <c r="T182" s="380"/>
      <c r="U182" s="380"/>
      <c r="V182" s="380"/>
      <c r="W182" s="403"/>
      <c r="X182" s="380"/>
      <c r="Y182" s="380"/>
      <c r="Z182" s="380"/>
      <c r="AA182" s="380"/>
      <c r="AB182" s="380"/>
      <c r="AC182" s="404"/>
      <c r="AD182" s="380"/>
      <c r="AE182" s="380"/>
      <c r="AF182" s="380"/>
      <c r="AG182" s="380"/>
      <c r="AH182" s="380"/>
      <c r="AI182" s="380"/>
      <c r="AJ182" s="380"/>
      <c r="AK182" s="403"/>
      <c r="AL182" s="380"/>
      <c r="AM182" s="380"/>
      <c r="AN182" s="380"/>
      <c r="AO182" s="380"/>
      <c r="AP182" s="380"/>
      <c r="AQ182" s="404"/>
      <c r="AR182" s="380"/>
      <c r="AS182" s="380"/>
      <c r="AT182" s="380"/>
      <c r="AU182" s="380"/>
      <c r="AV182" s="380"/>
      <c r="AW182" s="380"/>
      <c r="AX182" s="380"/>
      <c r="AY182" s="403"/>
      <c r="AZ182" s="380"/>
      <c r="BA182" s="380"/>
      <c r="BB182" s="380"/>
      <c r="BC182" s="380"/>
      <c r="BD182" s="380"/>
      <c r="BE182" s="404"/>
      <c r="BF182" s="380"/>
      <c r="BG182" s="380"/>
      <c r="BH182" s="380"/>
      <c r="BI182" s="380"/>
      <c r="BJ182" s="380"/>
      <c r="BK182" s="380"/>
      <c r="BL182" s="380"/>
      <c r="BM182" s="403"/>
      <c r="BS182" s="83"/>
      <c r="CA182" s="405"/>
      <c r="CG182" s="83"/>
      <c r="CO182" s="405"/>
      <c r="CU182" s="83"/>
      <c r="DC182" s="405"/>
      <c r="DI182" s="83"/>
      <c r="DQ182" s="405"/>
      <c r="DW182" s="83"/>
      <c r="EE182" s="405"/>
      <c r="EK182" s="83"/>
      <c r="ES182" s="405"/>
      <c r="EY182" s="83"/>
      <c r="FG182" s="405"/>
      <c r="FM182" s="83"/>
      <c r="FU182" s="405"/>
      <c r="GA182" s="83"/>
      <c r="GI182" s="405"/>
      <c r="GO182" s="83"/>
      <c r="GW182" s="405"/>
      <c r="HC182" s="83"/>
      <c r="HK182" s="405"/>
      <c r="HQ182" s="83"/>
      <c r="HY182" s="405"/>
      <c r="IE182" s="83"/>
      <c r="IM182" s="405"/>
      <c r="IS182" s="83"/>
      <c r="JA182" s="405"/>
      <c r="JG182" s="83"/>
      <c r="JO182" s="405"/>
      <c r="JU182" s="83"/>
      <c r="KC182" s="405"/>
      <c r="KI182" s="83"/>
      <c r="KQ182" s="405"/>
      <c r="KW182" s="83"/>
      <c r="LE182" s="405"/>
      <c r="LK182" s="83"/>
      <c r="LS182" s="405"/>
      <c r="LY182" s="83"/>
      <c r="MG182" s="405"/>
      <c r="MM182" s="83"/>
      <c r="MU182" s="405"/>
      <c r="NA182" s="83"/>
    </row>
    <row r="183">
      <c r="A183" s="483"/>
      <c r="B183" s="380"/>
      <c r="C183" s="380"/>
      <c r="D183" s="380"/>
      <c r="E183" s="380"/>
      <c r="F183" s="380"/>
      <c r="G183" s="380"/>
      <c r="H183" s="380"/>
      <c r="I183" s="403"/>
      <c r="J183" s="380"/>
      <c r="K183" s="380"/>
      <c r="L183" s="380"/>
      <c r="M183" s="380"/>
      <c r="N183" s="380"/>
      <c r="O183" s="404"/>
      <c r="P183" s="380"/>
      <c r="Q183" s="380"/>
      <c r="R183" s="380"/>
      <c r="S183" s="380"/>
      <c r="T183" s="380"/>
      <c r="U183" s="380"/>
      <c r="V183" s="380"/>
      <c r="W183" s="403"/>
      <c r="X183" s="380"/>
      <c r="Y183" s="380"/>
      <c r="Z183" s="380"/>
      <c r="AA183" s="380"/>
      <c r="AB183" s="380"/>
      <c r="AC183" s="404"/>
      <c r="AD183" s="380"/>
      <c r="AE183" s="380"/>
      <c r="AF183" s="380"/>
      <c r="AG183" s="380"/>
      <c r="AH183" s="380"/>
      <c r="AI183" s="380"/>
      <c r="AJ183" s="380"/>
      <c r="AK183" s="403"/>
      <c r="AL183" s="380"/>
      <c r="AM183" s="380"/>
      <c r="AN183" s="380"/>
      <c r="AO183" s="380"/>
      <c r="AP183" s="380"/>
      <c r="AQ183" s="404"/>
      <c r="AR183" s="380"/>
      <c r="AS183" s="380"/>
      <c r="AT183" s="380"/>
      <c r="AU183" s="380"/>
      <c r="AV183" s="380"/>
      <c r="AW183" s="380"/>
      <c r="AX183" s="380"/>
      <c r="AY183" s="403"/>
      <c r="AZ183" s="380"/>
      <c r="BA183" s="380"/>
      <c r="BB183" s="380"/>
      <c r="BC183" s="380"/>
      <c r="BD183" s="380"/>
      <c r="BE183" s="404"/>
      <c r="BF183" s="380"/>
      <c r="BG183" s="380"/>
      <c r="BH183" s="380"/>
      <c r="BI183" s="380"/>
      <c r="BJ183" s="380"/>
      <c r="BK183" s="380"/>
      <c r="BL183" s="380"/>
      <c r="BM183" s="403"/>
      <c r="BS183" s="83"/>
      <c r="CA183" s="405"/>
      <c r="CG183" s="83"/>
      <c r="CO183" s="405"/>
      <c r="CU183" s="83"/>
      <c r="DC183" s="405"/>
      <c r="DI183" s="83"/>
      <c r="DQ183" s="405"/>
      <c r="DW183" s="83"/>
      <c r="EE183" s="405"/>
      <c r="EK183" s="83"/>
      <c r="ES183" s="405"/>
      <c r="EY183" s="83"/>
      <c r="FG183" s="405"/>
      <c r="FM183" s="83"/>
      <c r="FU183" s="405"/>
      <c r="GA183" s="83"/>
      <c r="GI183" s="405"/>
      <c r="GO183" s="83"/>
      <c r="GW183" s="405"/>
      <c r="HC183" s="83"/>
      <c r="HK183" s="405"/>
      <c r="HQ183" s="83"/>
      <c r="HY183" s="405"/>
      <c r="IE183" s="83"/>
      <c r="IM183" s="405"/>
      <c r="IS183" s="83"/>
      <c r="JA183" s="405"/>
      <c r="JG183" s="83"/>
      <c r="JO183" s="405"/>
      <c r="JU183" s="83"/>
      <c r="KC183" s="405"/>
      <c r="KI183" s="83"/>
      <c r="KQ183" s="405"/>
      <c r="KW183" s="83"/>
      <c r="LE183" s="405"/>
      <c r="LK183" s="83"/>
      <c r="LS183" s="405"/>
      <c r="LY183" s="83"/>
      <c r="MG183" s="405"/>
      <c r="MM183" s="83"/>
      <c r="MU183" s="405"/>
      <c r="NA183" s="83"/>
    </row>
    <row r="184">
      <c r="A184" s="483"/>
      <c r="B184" s="380"/>
      <c r="C184" s="380"/>
      <c r="D184" s="380"/>
      <c r="E184" s="380"/>
      <c r="F184" s="380"/>
      <c r="G184" s="380"/>
      <c r="H184" s="380"/>
      <c r="I184" s="403"/>
      <c r="J184" s="380"/>
      <c r="K184" s="380"/>
      <c r="L184" s="380"/>
      <c r="M184" s="380"/>
      <c r="N184" s="380"/>
      <c r="O184" s="404"/>
      <c r="P184" s="380"/>
      <c r="Q184" s="380"/>
      <c r="R184" s="380"/>
      <c r="S184" s="380"/>
      <c r="T184" s="380"/>
      <c r="U184" s="380"/>
      <c r="V184" s="380"/>
      <c r="W184" s="403"/>
      <c r="X184" s="380"/>
      <c r="Y184" s="380"/>
      <c r="Z184" s="380"/>
      <c r="AA184" s="380"/>
      <c r="AB184" s="380"/>
      <c r="AC184" s="404"/>
      <c r="AD184" s="380"/>
      <c r="AE184" s="380"/>
      <c r="AF184" s="380"/>
      <c r="AG184" s="380"/>
      <c r="AH184" s="380"/>
      <c r="AI184" s="380"/>
      <c r="AJ184" s="380"/>
      <c r="AK184" s="403"/>
      <c r="AL184" s="380"/>
      <c r="AM184" s="380"/>
      <c r="AN184" s="380"/>
      <c r="AO184" s="380"/>
      <c r="AP184" s="380"/>
      <c r="AQ184" s="404"/>
      <c r="AR184" s="380"/>
      <c r="AS184" s="380"/>
      <c r="AT184" s="380"/>
      <c r="AU184" s="380"/>
      <c r="AV184" s="380"/>
      <c r="AW184" s="380"/>
      <c r="AX184" s="380"/>
      <c r="AY184" s="403"/>
      <c r="AZ184" s="380"/>
      <c r="BA184" s="380"/>
      <c r="BB184" s="380"/>
      <c r="BC184" s="380"/>
      <c r="BD184" s="380"/>
      <c r="BE184" s="404"/>
      <c r="BF184" s="380"/>
      <c r="BG184" s="380"/>
      <c r="BH184" s="380"/>
      <c r="BI184" s="380"/>
      <c r="BJ184" s="380"/>
      <c r="BK184" s="380"/>
      <c r="BL184" s="380"/>
      <c r="BM184" s="403"/>
      <c r="BS184" s="83"/>
      <c r="CA184" s="405"/>
      <c r="CG184" s="83"/>
      <c r="CO184" s="405"/>
      <c r="CU184" s="83"/>
      <c r="DC184" s="405"/>
      <c r="DI184" s="83"/>
      <c r="DQ184" s="405"/>
      <c r="DW184" s="83"/>
      <c r="EE184" s="405"/>
      <c r="EK184" s="83"/>
      <c r="ES184" s="405"/>
      <c r="EY184" s="83"/>
      <c r="FG184" s="405"/>
      <c r="FM184" s="83"/>
      <c r="FU184" s="405"/>
      <c r="GA184" s="83"/>
      <c r="GI184" s="405"/>
      <c r="GO184" s="83"/>
      <c r="GW184" s="405"/>
      <c r="HC184" s="83"/>
      <c r="HK184" s="405"/>
      <c r="HQ184" s="83"/>
      <c r="HY184" s="405"/>
      <c r="IE184" s="83"/>
      <c r="IM184" s="405"/>
      <c r="IS184" s="83"/>
      <c r="JA184" s="405"/>
      <c r="JG184" s="83"/>
      <c r="JO184" s="405"/>
      <c r="JU184" s="83"/>
      <c r="KC184" s="405"/>
      <c r="KI184" s="83"/>
      <c r="KQ184" s="405"/>
      <c r="KW184" s="83"/>
      <c r="LE184" s="405"/>
      <c r="LK184" s="83"/>
      <c r="LS184" s="405"/>
      <c r="LY184" s="83"/>
      <c r="MG184" s="405"/>
      <c r="MM184" s="83"/>
      <c r="MU184" s="405"/>
      <c r="NA184" s="83"/>
    </row>
    <row r="185">
      <c r="A185" s="483"/>
      <c r="B185" s="380"/>
      <c r="C185" s="380"/>
      <c r="D185" s="380"/>
      <c r="E185" s="380"/>
      <c r="F185" s="380"/>
      <c r="G185" s="380"/>
      <c r="H185" s="380"/>
      <c r="I185" s="403"/>
      <c r="J185" s="380"/>
      <c r="K185" s="380"/>
      <c r="L185" s="380"/>
      <c r="M185" s="380"/>
      <c r="N185" s="380"/>
      <c r="O185" s="404"/>
      <c r="P185" s="380"/>
      <c r="Q185" s="380"/>
      <c r="R185" s="380"/>
      <c r="S185" s="380"/>
      <c r="T185" s="380"/>
      <c r="U185" s="380"/>
      <c r="V185" s="380"/>
      <c r="W185" s="403"/>
      <c r="X185" s="380"/>
      <c r="Y185" s="380"/>
      <c r="Z185" s="380"/>
      <c r="AA185" s="380"/>
      <c r="AB185" s="380"/>
      <c r="AC185" s="404"/>
      <c r="AD185" s="380"/>
      <c r="AE185" s="380"/>
      <c r="AF185" s="380"/>
      <c r="AG185" s="380"/>
      <c r="AH185" s="380"/>
      <c r="AI185" s="380"/>
      <c r="AJ185" s="380"/>
      <c r="AK185" s="403"/>
      <c r="AL185" s="380"/>
      <c r="AM185" s="380"/>
      <c r="AN185" s="380"/>
      <c r="AO185" s="380"/>
      <c r="AP185" s="380"/>
      <c r="AQ185" s="404"/>
      <c r="AR185" s="380"/>
      <c r="AS185" s="380"/>
      <c r="AT185" s="380"/>
      <c r="AU185" s="380"/>
      <c r="AV185" s="380"/>
      <c r="AW185" s="380"/>
      <c r="AX185" s="380"/>
      <c r="AY185" s="403"/>
      <c r="AZ185" s="380"/>
      <c r="BA185" s="380"/>
      <c r="BB185" s="380"/>
      <c r="BC185" s="380"/>
      <c r="BD185" s="380"/>
      <c r="BE185" s="404"/>
      <c r="BF185" s="380"/>
      <c r="BG185" s="380"/>
      <c r="BH185" s="380"/>
      <c r="BI185" s="380"/>
      <c r="BJ185" s="380"/>
      <c r="BK185" s="380"/>
      <c r="BL185" s="380"/>
      <c r="BM185" s="403"/>
      <c r="BS185" s="83"/>
      <c r="CA185" s="405"/>
      <c r="CG185" s="83"/>
      <c r="CO185" s="405"/>
      <c r="CU185" s="83"/>
      <c r="DC185" s="405"/>
      <c r="DI185" s="83"/>
      <c r="DQ185" s="405"/>
      <c r="DW185" s="83"/>
      <c r="EE185" s="405"/>
      <c r="EK185" s="83"/>
      <c r="ES185" s="405"/>
      <c r="EY185" s="83"/>
      <c r="FG185" s="405"/>
      <c r="FM185" s="83"/>
      <c r="FU185" s="405"/>
      <c r="GA185" s="83"/>
      <c r="GI185" s="405"/>
      <c r="GO185" s="83"/>
      <c r="GW185" s="405"/>
      <c r="HC185" s="83"/>
      <c r="HK185" s="405"/>
      <c r="HQ185" s="83"/>
      <c r="HY185" s="405"/>
      <c r="IE185" s="83"/>
      <c r="IM185" s="405"/>
      <c r="IS185" s="83"/>
      <c r="JA185" s="405"/>
      <c r="JG185" s="83"/>
      <c r="JO185" s="405"/>
      <c r="JU185" s="83"/>
      <c r="KC185" s="405"/>
      <c r="KI185" s="83"/>
      <c r="KQ185" s="405"/>
      <c r="KW185" s="83"/>
      <c r="LE185" s="405"/>
      <c r="LK185" s="83"/>
      <c r="LS185" s="405"/>
      <c r="LY185" s="83"/>
      <c r="MG185" s="405"/>
      <c r="MM185" s="83"/>
      <c r="MU185" s="405"/>
      <c r="NA185" s="83"/>
    </row>
    <row r="186">
      <c r="A186" s="483"/>
      <c r="B186" s="380"/>
      <c r="C186" s="380"/>
      <c r="D186" s="380"/>
      <c r="E186" s="380"/>
      <c r="F186" s="380"/>
      <c r="G186" s="380"/>
      <c r="H186" s="380"/>
      <c r="I186" s="403"/>
      <c r="J186" s="380"/>
      <c r="K186" s="380"/>
      <c r="L186" s="380"/>
      <c r="M186" s="380"/>
      <c r="N186" s="380"/>
      <c r="O186" s="404"/>
      <c r="P186" s="380"/>
      <c r="Q186" s="380"/>
      <c r="R186" s="380"/>
      <c r="S186" s="380"/>
      <c r="T186" s="380"/>
      <c r="U186" s="380"/>
      <c r="V186" s="380"/>
      <c r="W186" s="403"/>
      <c r="X186" s="380"/>
      <c r="Y186" s="380"/>
      <c r="Z186" s="380"/>
      <c r="AA186" s="380"/>
      <c r="AB186" s="380"/>
      <c r="AC186" s="404"/>
      <c r="AD186" s="380"/>
      <c r="AE186" s="380"/>
      <c r="AF186" s="380"/>
      <c r="AG186" s="380"/>
      <c r="AH186" s="380"/>
      <c r="AI186" s="380"/>
      <c r="AJ186" s="380"/>
      <c r="AK186" s="403"/>
      <c r="AL186" s="380"/>
      <c r="AM186" s="380"/>
      <c r="AN186" s="380"/>
      <c r="AO186" s="380"/>
      <c r="AP186" s="380"/>
      <c r="AQ186" s="404"/>
      <c r="AR186" s="380"/>
      <c r="AS186" s="380"/>
      <c r="AT186" s="380"/>
      <c r="AU186" s="380"/>
      <c r="AV186" s="380"/>
      <c r="AW186" s="380"/>
      <c r="AX186" s="380"/>
      <c r="AY186" s="403"/>
      <c r="AZ186" s="380"/>
      <c r="BA186" s="380"/>
      <c r="BB186" s="380"/>
      <c r="BC186" s="380"/>
      <c r="BD186" s="380"/>
      <c r="BE186" s="404"/>
      <c r="BF186" s="380"/>
      <c r="BG186" s="380"/>
      <c r="BH186" s="380"/>
      <c r="BI186" s="380"/>
      <c r="BJ186" s="380"/>
      <c r="BK186" s="380"/>
      <c r="BL186" s="380"/>
      <c r="BM186" s="403"/>
      <c r="BS186" s="83"/>
      <c r="CA186" s="405"/>
      <c r="CG186" s="83"/>
      <c r="CO186" s="405"/>
      <c r="CU186" s="83"/>
      <c r="DC186" s="405"/>
      <c r="DI186" s="83"/>
      <c r="DQ186" s="405"/>
      <c r="DW186" s="83"/>
      <c r="EE186" s="405"/>
      <c r="EK186" s="83"/>
      <c r="ES186" s="405"/>
      <c r="EY186" s="83"/>
      <c r="FG186" s="405"/>
      <c r="FM186" s="83"/>
      <c r="FU186" s="405"/>
      <c r="GA186" s="83"/>
      <c r="GI186" s="405"/>
      <c r="GO186" s="83"/>
      <c r="GW186" s="405"/>
      <c r="HC186" s="83"/>
      <c r="HK186" s="405"/>
      <c r="HQ186" s="83"/>
      <c r="HY186" s="405"/>
      <c r="IE186" s="83"/>
      <c r="IM186" s="405"/>
      <c r="IS186" s="83"/>
      <c r="JA186" s="405"/>
      <c r="JG186" s="83"/>
      <c r="JO186" s="405"/>
      <c r="JU186" s="83"/>
      <c r="KC186" s="405"/>
      <c r="KI186" s="83"/>
      <c r="KQ186" s="405"/>
      <c r="KW186" s="83"/>
      <c r="LE186" s="405"/>
      <c r="LK186" s="83"/>
      <c r="LS186" s="405"/>
      <c r="LY186" s="83"/>
      <c r="MG186" s="405"/>
      <c r="MM186" s="83"/>
      <c r="MU186" s="405"/>
      <c r="NA186" s="83"/>
    </row>
    <row r="187">
      <c r="A187" s="483"/>
      <c r="B187" s="380"/>
      <c r="C187" s="380"/>
      <c r="D187" s="380"/>
      <c r="E187" s="380"/>
      <c r="F187" s="380"/>
      <c r="G187" s="380"/>
      <c r="H187" s="380"/>
      <c r="I187" s="403"/>
      <c r="J187" s="380"/>
      <c r="K187" s="380"/>
      <c r="L187" s="380"/>
      <c r="M187" s="380"/>
      <c r="N187" s="380"/>
      <c r="O187" s="404"/>
      <c r="P187" s="380"/>
      <c r="Q187" s="380"/>
      <c r="R187" s="380"/>
      <c r="S187" s="380"/>
      <c r="T187" s="380"/>
      <c r="U187" s="380"/>
      <c r="V187" s="380"/>
      <c r="W187" s="403"/>
      <c r="X187" s="380"/>
      <c r="Y187" s="380"/>
      <c r="Z187" s="380"/>
      <c r="AA187" s="380"/>
      <c r="AB187" s="380"/>
      <c r="AC187" s="404"/>
      <c r="AD187" s="380"/>
      <c r="AE187" s="380"/>
      <c r="AF187" s="380"/>
      <c r="AG187" s="380"/>
      <c r="AH187" s="380"/>
      <c r="AI187" s="380"/>
      <c r="AJ187" s="380"/>
      <c r="AK187" s="403"/>
      <c r="AL187" s="380"/>
      <c r="AM187" s="380"/>
      <c r="AN187" s="380"/>
      <c r="AO187" s="380"/>
      <c r="AP187" s="380"/>
      <c r="AQ187" s="404"/>
      <c r="AR187" s="380"/>
      <c r="AS187" s="380"/>
      <c r="AT187" s="380"/>
      <c r="AU187" s="380"/>
      <c r="AV187" s="380"/>
      <c r="AW187" s="380"/>
      <c r="AX187" s="380"/>
      <c r="AY187" s="403"/>
      <c r="AZ187" s="380"/>
      <c r="BA187" s="380"/>
      <c r="BB187" s="380"/>
      <c r="BC187" s="380"/>
      <c r="BD187" s="380"/>
      <c r="BE187" s="404"/>
      <c r="BF187" s="380"/>
      <c r="BG187" s="380"/>
      <c r="BH187" s="380"/>
      <c r="BI187" s="380"/>
      <c r="BJ187" s="380"/>
      <c r="BK187" s="380"/>
      <c r="BL187" s="380"/>
      <c r="BM187" s="403"/>
      <c r="BS187" s="83"/>
      <c r="CA187" s="405"/>
      <c r="CG187" s="83"/>
      <c r="CO187" s="405"/>
      <c r="CU187" s="83"/>
      <c r="DC187" s="405"/>
      <c r="DI187" s="83"/>
      <c r="DQ187" s="405"/>
      <c r="DW187" s="83"/>
      <c r="EE187" s="405"/>
      <c r="EK187" s="83"/>
      <c r="ES187" s="405"/>
      <c r="EY187" s="83"/>
      <c r="FG187" s="405"/>
      <c r="FM187" s="83"/>
      <c r="FU187" s="405"/>
      <c r="GA187" s="83"/>
      <c r="GI187" s="405"/>
      <c r="GO187" s="83"/>
      <c r="GW187" s="405"/>
      <c r="HC187" s="83"/>
      <c r="HK187" s="405"/>
      <c r="HQ187" s="83"/>
      <c r="HY187" s="405"/>
      <c r="IE187" s="83"/>
      <c r="IM187" s="405"/>
      <c r="IS187" s="83"/>
      <c r="JA187" s="405"/>
      <c r="JG187" s="83"/>
      <c r="JO187" s="405"/>
      <c r="JU187" s="83"/>
      <c r="KC187" s="405"/>
      <c r="KI187" s="83"/>
      <c r="KQ187" s="405"/>
      <c r="KW187" s="83"/>
      <c r="LE187" s="405"/>
      <c r="LK187" s="83"/>
      <c r="LS187" s="405"/>
      <c r="LY187" s="83"/>
      <c r="MG187" s="405"/>
      <c r="MM187" s="83"/>
      <c r="MU187" s="405"/>
      <c r="NA187" s="83"/>
    </row>
    <row r="188">
      <c r="A188" s="483"/>
      <c r="B188" s="380"/>
      <c r="C188" s="380"/>
      <c r="D188" s="380"/>
      <c r="E188" s="380"/>
      <c r="F188" s="380"/>
      <c r="G188" s="380"/>
      <c r="H188" s="380"/>
      <c r="I188" s="403"/>
      <c r="J188" s="380"/>
      <c r="K188" s="380"/>
      <c r="L188" s="380"/>
      <c r="M188" s="380"/>
      <c r="N188" s="380"/>
      <c r="O188" s="404"/>
      <c r="P188" s="380"/>
      <c r="Q188" s="380"/>
      <c r="R188" s="380"/>
      <c r="S188" s="380"/>
      <c r="T188" s="380"/>
      <c r="U188" s="380"/>
      <c r="V188" s="380"/>
      <c r="W188" s="403"/>
      <c r="X188" s="380"/>
      <c r="Y188" s="380"/>
      <c r="Z188" s="380"/>
      <c r="AA188" s="380"/>
      <c r="AB188" s="380"/>
      <c r="AC188" s="404"/>
      <c r="AD188" s="380"/>
      <c r="AE188" s="380"/>
      <c r="AF188" s="380"/>
      <c r="AG188" s="380"/>
      <c r="AH188" s="380"/>
      <c r="AI188" s="380"/>
      <c r="AJ188" s="380"/>
      <c r="AK188" s="403"/>
      <c r="AL188" s="380"/>
      <c r="AM188" s="380"/>
      <c r="AN188" s="380"/>
      <c r="AO188" s="380"/>
      <c r="AP188" s="380"/>
      <c r="AQ188" s="404"/>
      <c r="AR188" s="380"/>
      <c r="AS188" s="380"/>
      <c r="AT188" s="380"/>
      <c r="AU188" s="380"/>
      <c r="AV188" s="380"/>
      <c r="AW188" s="380"/>
      <c r="AX188" s="380"/>
      <c r="AY188" s="403"/>
      <c r="AZ188" s="380"/>
      <c r="BA188" s="380"/>
      <c r="BB188" s="380"/>
      <c r="BC188" s="380"/>
      <c r="BD188" s="380"/>
      <c r="BE188" s="404"/>
      <c r="BF188" s="380"/>
      <c r="BG188" s="380"/>
      <c r="BH188" s="380"/>
      <c r="BI188" s="380"/>
      <c r="BJ188" s="380"/>
      <c r="BK188" s="380"/>
      <c r="BL188" s="380"/>
      <c r="BM188" s="403"/>
      <c r="BS188" s="83"/>
      <c r="CA188" s="405"/>
      <c r="CG188" s="83"/>
      <c r="CO188" s="405"/>
      <c r="CU188" s="83"/>
      <c r="DC188" s="405"/>
      <c r="DI188" s="83"/>
      <c r="DQ188" s="405"/>
      <c r="DW188" s="83"/>
      <c r="EE188" s="405"/>
      <c r="EK188" s="83"/>
      <c r="ES188" s="405"/>
      <c r="EY188" s="83"/>
      <c r="FG188" s="405"/>
      <c r="FM188" s="83"/>
      <c r="FU188" s="405"/>
      <c r="GA188" s="83"/>
      <c r="GI188" s="405"/>
      <c r="GO188" s="83"/>
      <c r="GW188" s="405"/>
      <c r="HC188" s="83"/>
      <c r="HK188" s="405"/>
      <c r="HQ188" s="83"/>
      <c r="HY188" s="405"/>
      <c r="IE188" s="83"/>
      <c r="IM188" s="405"/>
      <c r="IS188" s="83"/>
      <c r="JA188" s="405"/>
      <c r="JG188" s="83"/>
      <c r="JO188" s="405"/>
      <c r="JU188" s="83"/>
      <c r="KC188" s="405"/>
      <c r="KI188" s="83"/>
      <c r="KQ188" s="405"/>
      <c r="KW188" s="83"/>
      <c r="LE188" s="405"/>
      <c r="LK188" s="83"/>
      <c r="LS188" s="405"/>
      <c r="LY188" s="83"/>
      <c r="MG188" s="405"/>
      <c r="MM188" s="83"/>
      <c r="MU188" s="405"/>
      <c r="NA188" s="83"/>
    </row>
    <row r="189">
      <c r="A189" s="483"/>
      <c r="B189" s="380"/>
      <c r="C189" s="380"/>
      <c r="D189" s="380"/>
      <c r="E189" s="380"/>
      <c r="F189" s="380"/>
      <c r="G189" s="380"/>
      <c r="H189" s="380"/>
      <c r="I189" s="403"/>
      <c r="J189" s="380"/>
      <c r="K189" s="380"/>
      <c r="L189" s="380"/>
      <c r="M189" s="380"/>
      <c r="N189" s="380"/>
      <c r="O189" s="404"/>
      <c r="P189" s="380"/>
      <c r="Q189" s="380"/>
      <c r="R189" s="380"/>
      <c r="S189" s="380"/>
      <c r="T189" s="380"/>
      <c r="U189" s="380"/>
      <c r="V189" s="380"/>
      <c r="W189" s="403"/>
      <c r="X189" s="380"/>
      <c r="Y189" s="380"/>
      <c r="Z189" s="380"/>
      <c r="AA189" s="380"/>
      <c r="AB189" s="380"/>
      <c r="AC189" s="404"/>
      <c r="AD189" s="380"/>
      <c r="AE189" s="380"/>
      <c r="AF189" s="380"/>
      <c r="AG189" s="380"/>
      <c r="AH189" s="380"/>
      <c r="AI189" s="380"/>
      <c r="AJ189" s="380"/>
      <c r="AK189" s="403"/>
      <c r="AL189" s="380"/>
      <c r="AM189" s="380"/>
      <c r="AN189" s="380"/>
      <c r="AO189" s="380"/>
      <c r="AP189" s="380"/>
      <c r="AQ189" s="404"/>
      <c r="AR189" s="380"/>
      <c r="AS189" s="380"/>
      <c r="AT189" s="380"/>
      <c r="AU189" s="380"/>
      <c r="AV189" s="380"/>
      <c r="AW189" s="380"/>
      <c r="AX189" s="380"/>
      <c r="AY189" s="403"/>
      <c r="AZ189" s="380"/>
      <c r="BA189" s="380"/>
      <c r="BB189" s="380"/>
      <c r="BC189" s="380"/>
      <c r="BD189" s="380"/>
      <c r="BE189" s="404"/>
      <c r="BF189" s="380"/>
      <c r="BG189" s="380"/>
      <c r="BH189" s="380"/>
      <c r="BI189" s="380"/>
      <c r="BJ189" s="380"/>
      <c r="BK189" s="380"/>
      <c r="BL189" s="380"/>
      <c r="BM189" s="403"/>
      <c r="BS189" s="83"/>
      <c r="CA189" s="405"/>
      <c r="CG189" s="83"/>
      <c r="CO189" s="405"/>
      <c r="CU189" s="83"/>
      <c r="DC189" s="405"/>
      <c r="DI189" s="83"/>
      <c r="DQ189" s="405"/>
      <c r="DW189" s="83"/>
      <c r="EE189" s="405"/>
      <c r="EK189" s="83"/>
      <c r="ES189" s="405"/>
      <c r="EY189" s="83"/>
      <c r="FG189" s="405"/>
      <c r="FM189" s="83"/>
      <c r="FU189" s="405"/>
      <c r="GA189" s="83"/>
      <c r="GI189" s="405"/>
      <c r="GO189" s="83"/>
      <c r="GW189" s="405"/>
      <c r="HC189" s="83"/>
      <c r="HK189" s="405"/>
      <c r="HQ189" s="83"/>
      <c r="HY189" s="405"/>
      <c r="IE189" s="83"/>
      <c r="IM189" s="405"/>
      <c r="IS189" s="83"/>
      <c r="JA189" s="405"/>
      <c r="JG189" s="83"/>
      <c r="JO189" s="405"/>
      <c r="JU189" s="83"/>
      <c r="KC189" s="405"/>
      <c r="KI189" s="83"/>
      <c r="KQ189" s="405"/>
      <c r="KW189" s="83"/>
      <c r="LE189" s="405"/>
      <c r="LK189" s="83"/>
      <c r="LS189" s="405"/>
      <c r="LY189" s="83"/>
      <c r="MG189" s="405"/>
      <c r="MM189" s="83"/>
      <c r="MU189" s="405"/>
      <c r="NA189" s="83"/>
    </row>
    <row r="190">
      <c r="A190" s="483"/>
      <c r="B190" s="380"/>
      <c r="C190" s="380"/>
      <c r="D190" s="380"/>
      <c r="E190" s="380"/>
      <c r="F190" s="380"/>
      <c r="G190" s="380"/>
      <c r="H190" s="380"/>
      <c r="I190" s="403"/>
      <c r="J190" s="380"/>
      <c r="K190" s="380"/>
      <c r="L190" s="380"/>
      <c r="M190" s="380"/>
      <c r="N190" s="380"/>
      <c r="O190" s="404"/>
      <c r="P190" s="380"/>
      <c r="Q190" s="380"/>
      <c r="R190" s="380"/>
      <c r="S190" s="380"/>
      <c r="T190" s="380"/>
      <c r="U190" s="380"/>
      <c r="V190" s="380"/>
      <c r="W190" s="403"/>
      <c r="X190" s="380"/>
      <c r="Y190" s="380"/>
      <c r="Z190" s="380"/>
      <c r="AA190" s="380"/>
      <c r="AB190" s="380"/>
      <c r="AC190" s="404"/>
      <c r="AD190" s="380"/>
      <c r="AE190" s="380"/>
      <c r="AF190" s="380"/>
      <c r="AG190" s="380"/>
      <c r="AH190" s="380"/>
      <c r="AI190" s="380"/>
      <c r="AJ190" s="380"/>
      <c r="AK190" s="403"/>
      <c r="AL190" s="380"/>
      <c r="AM190" s="380"/>
      <c r="AN190" s="380"/>
      <c r="AO190" s="380"/>
      <c r="AP190" s="380"/>
      <c r="AQ190" s="404"/>
      <c r="AR190" s="380"/>
      <c r="AS190" s="380"/>
      <c r="AT190" s="380"/>
      <c r="AU190" s="380"/>
      <c r="AV190" s="380"/>
      <c r="AW190" s="380"/>
      <c r="AX190" s="380"/>
      <c r="AY190" s="403"/>
      <c r="AZ190" s="380"/>
      <c r="BA190" s="380"/>
      <c r="BB190" s="380"/>
      <c r="BC190" s="380"/>
      <c r="BD190" s="380"/>
      <c r="BE190" s="404"/>
      <c r="BF190" s="380"/>
      <c r="BG190" s="380"/>
      <c r="BH190" s="380"/>
      <c r="BI190" s="380"/>
      <c r="BJ190" s="380"/>
      <c r="BK190" s="380"/>
      <c r="BL190" s="380"/>
      <c r="BM190" s="403"/>
      <c r="BS190" s="83"/>
      <c r="CA190" s="405"/>
      <c r="CG190" s="83"/>
      <c r="CO190" s="405"/>
      <c r="CU190" s="83"/>
      <c r="DC190" s="405"/>
      <c r="DI190" s="83"/>
      <c r="DQ190" s="405"/>
      <c r="DW190" s="83"/>
      <c r="EE190" s="405"/>
      <c r="EK190" s="83"/>
      <c r="ES190" s="405"/>
      <c r="EY190" s="83"/>
      <c r="FG190" s="405"/>
      <c r="FM190" s="83"/>
      <c r="FU190" s="405"/>
      <c r="GA190" s="83"/>
      <c r="GI190" s="405"/>
      <c r="GO190" s="83"/>
      <c r="GW190" s="405"/>
      <c r="HC190" s="83"/>
      <c r="HK190" s="405"/>
      <c r="HQ190" s="83"/>
      <c r="HY190" s="405"/>
      <c r="IE190" s="83"/>
      <c r="IM190" s="405"/>
      <c r="IS190" s="83"/>
      <c r="JA190" s="405"/>
      <c r="JG190" s="83"/>
      <c r="JO190" s="405"/>
      <c r="JU190" s="83"/>
      <c r="KC190" s="405"/>
      <c r="KI190" s="83"/>
      <c r="KQ190" s="405"/>
      <c r="KW190" s="83"/>
      <c r="LE190" s="405"/>
      <c r="LK190" s="83"/>
      <c r="LS190" s="405"/>
      <c r="LY190" s="83"/>
      <c r="MG190" s="405"/>
      <c r="MM190" s="83"/>
      <c r="MU190" s="405"/>
      <c r="NA190" s="83"/>
    </row>
    <row r="191">
      <c r="A191" s="483"/>
      <c r="B191" s="380"/>
      <c r="C191" s="380"/>
      <c r="D191" s="380"/>
      <c r="E191" s="380"/>
      <c r="F191" s="380"/>
      <c r="G191" s="380"/>
      <c r="H191" s="380"/>
      <c r="I191" s="403"/>
      <c r="J191" s="380"/>
      <c r="K191" s="380"/>
      <c r="L191" s="380"/>
      <c r="M191" s="380"/>
      <c r="N191" s="380"/>
      <c r="O191" s="404"/>
      <c r="P191" s="380"/>
      <c r="Q191" s="380"/>
      <c r="R191" s="380"/>
      <c r="S191" s="380"/>
      <c r="T191" s="380"/>
      <c r="U191" s="380"/>
      <c r="V191" s="380"/>
      <c r="W191" s="403"/>
      <c r="X191" s="380"/>
      <c r="Y191" s="380"/>
      <c r="Z191" s="380"/>
      <c r="AA191" s="380"/>
      <c r="AB191" s="380"/>
      <c r="AC191" s="404"/>
      <c r="AD191" s="380"/>
      <c r="AE191" s="380"/>
      <c r="AF191" s="380"/>
      <c r="AG191" s="380"/>
      <c r="AH191" s="380"/>
      <c r="AI191" s="380"/>
      <c r="AJ191" s="380"/>
      <c r="AK191" s="403"/>
      <c r="AL191" s="380"/>
      <c r="AM191" s="380"/>
      <c r="AN191" s="380"/>
      <c r="AO191" s="380"/>
      <c r="AP191" s="380"/>
      <c r="AQ191" s="404"/>
      <c r="AR191" s="380"/>
      <c r="AS191" s="380"/>
      <c r="AT191" s="380"/>
      <c r="AU191" s="380"/>
      <c r="AV191" s="380"/>
      <c r="AW191" s="380"/>
      <c r="AX191" s="380"/>
      <c r="AY191" s="403"/>
      <c r="AZ191" s="380"/>
      <c r="BA191" s="380"/>
      <c r="BB191" s="380"/>
      <c r="BC191" s="380"/>
      <c r="BD191" s="380"/>
      <c r="BE191" s="404"/>
      <c r="BF191" s="380"/>
      <c r="BG191" s="380"/>
      <c r="BH191" s="380"/>
      <c r="BI191" s="380"/>
      <c r="BJ191" s="380"/>
      <c r="BK191" s="380"/>
      <c r="BL191" s="380"/>
      <c r="BM191" s="403"/>
      <c r="BS191" s="83"/>
      <c r="CA191" s="405"/>
      <c r="CG191" s="83"/>
      <c r="CO191" s="405"/>
      <c r="CU191" s="83"/>
      <c r="DC191" s="405"/>
      <c r="DI191" s="83"/>
      <c r="DQ191" s="405"/>
      <c r="DW191" s="83"/>
      <c r="EE191" s="405"/>
      <c r="EK191" s="83"/>
      <c r="ES191" s="405"/>
      <c r="EY191" s="83"/>
      <c r="FG191" s="405"/>
      <c r="FM191" s="83"/>
      <c r="FU191" s="405"/>
      <c r="GA191" s="83"/>
      <c r="GI191" s="405"/>
      <c r="GO191" s="83"/>
      <c r="GW191" s="405"/>
      <c r="HC191" s="83"/>
      <c r="HK191" s="405"/>
      <c r="HQ191" s="83"/>
      <c r="HY191" s="405"/>
      <c r="IE191" s="83"/>
      <c r="IM191" s="405"/>
      <c r="IS191" s="83"/>
      <c r="JA191" s="405"/>
      <c r="JG191" s="83"/>
      <c r="JO191" s="405"/>
      <c r="JU191" s="83"/>
      <c r="KC191" s="405"/>
      <c r="KI191" s="83"/>
      <c r="KQ191" s="405"/>
      <c r="KW191" s="83"/>
      <c r="LE191" s="405"/>
      <c r="LK191" s="83"/>
      <c r="LS191" s="405"/>
      <c r="LY191" s="83"/>
      <c r="MG191" s="405"/>
      <c r="MM191" s="83"/>
      <c r="MU191" s="405"/>
      <c r="NA191" s="83"/>
    </row>
    <row r="192">
      <c r="A192" s="483"/>
      <c r="B192" s="380"/>
      <c r="C192" s="380"/>
      <c r="D192" s="380"/>
      <c r="E192" s="380"/>
      <c r="F192" s="380"/>
      <c r="G192" s="380"/>
      <c r="H192" s="380"/>
      <c r="I192" s="403"/>
      <c r="J192" s="380"/>
      <c r="K192" s="380"/>
      <c r="L192" s="380"/>
      <c r="M192" s="380"/>
      <c r="N192" s="380"/>
      <c r="O192" s="404"/>
      <c r="P192" s="380"/>
      <c r="Q192" s="380"/>
      <c r="R192" s="380"/>
      <c r="S192" s="380"/>
      <c r="T192" s="380"/>
      <c r="U192" s="380"/>
      <c r="V192" s="380"/>
      <c r="W192" s="403"/>
      <c r="X192" s="380"/>
      <c r="Y192" s="380"/>
      <c r="Z192" s="380"/>
      <c r="AA192" s="380"/>
      <c r="AB192" s="380"/>
      <c r="AC192" s="404"/>
      <c r="AD192" s="380"/>
      <c r="AE192" s="380"/>
      <c r="AF192" s="380"/>
      <c r="AG192" s="380"/>
      <c r="AH192" s="380"/>
      <c r="AI192" s="380"/>
      <c r="AJ192" s="380"/>
      <c r="AK192" s="403"/>
      <c r="AL192" s="380"/>
      <c r="AM192" s="380"/>
      <c r="AN192" s="380"/>
      <c r="AO192" s="380"/>
      <c r="AP192" s="380"/>
      <c r="AQ192" s="404"/>
      <c r="AR192" s="380"/>
      <c r="AS192" s="380"/>
      <c r="AT192" s="380"/>
      <c r="AU192" s="380"/>
      <c r="AV192" s="380"/>
      <c r="AW192" s="380"/>
      <c r="AX192" s="380"/>
      <c r="AY192" s="403"/>
      <c r="AZ192" s="380"/>
      <c r="BA192" s="380"/>
      <c r="BB192" s="380"/>
      <c r="BC192" s="380"/>
      <c r="BD192" s="380"/>
      <c r="BE192" s="404"/>
      <c r="BF192" s="380"/>
      <c r="BG192" s="380"/>
      <c r="BH192" s="380"/>
      <c r="BI192" s="380"/>
      <c r="BJ192" s="380"/>
      <c r="BK192" s="380"/>
      <c r="BL192" s="380"/>
      <c r="BM192" s="403"/>
      <c r="BS192" s="83"/>
      <c r="CA192" s="405"/>
      <c r="CG192" s="83"/>
      <c r="CO192" s="405"/>
      <c r="CU192" s="83"/>
      <c r="DC192" s="405"/>
      <c r="DI192" s="83"/>
      <c r="DQ192" s="405"/>
      <c r="DW192" s="83"/>
      <c r="EE192" s="405"/>
      <c r="EK192" s="83"/>
      <c r="ES192" s="405"/>
      <c r="EY192" s="83"/>
      <c r="FG192" s="405"/>
      <c r="FM192" s="83"/>
      <c r="FU192" s="405"/>
      <c r="GA192" s="83"/>
      <c r="GI192" s="405"/>
      <c r="GO192" s="83"/>
      <c r="GW192" s="405"/>
      <c r="HC192" s="83"/>
      <c r="HK192" s="405"/>
      <c r="HQ192" s="83"/>
      <c r="HY192" s="405"/>
      <c r="IE192" s="83"/>
      <c r="IM192" s="405"/>
      <c r="IS192" s="83"/>
      <c r="JA192" s="405"/>
      <c r="JG192" s="83"/>
      <c r="JO192" s="405"/>
      <c r="JU192" s="83"/>
      <c r="KC192" s="405"/>
      <c r="KI192" s="83"/>
      <c r="KQ192" s="405"/>
      <c r="KW192" s="83"/>
      <c r="LE192" s="405"/>
      <c r="LK192" s="83"/>
      <c r="LS192" s="405"/>
      <c r="LY192" s="83"/>
      <c r="MG192" s="405"/>
      <c r="MM192" s="83"/>
      <c r="MU192" s="405"/>
      <c r="NA192" s="83"/>
    </row>
    <row r="193">
      <c r="A193" s="483"/>
      <c r="B193" s="380"/>
      <c r="C193" s="380"/>
      <c r="D193" s="380"/>
      <c r="E193" s="380"/>
      <c r="F193" s="380"/>
      <c r="G193" s="380"/>
      <c r="H193" s="380"/>
      <c r="I193" s="403"/>
      <c r="J193" s="380"/>
      <c r="K193" s="380"/>
      <c r="L193" s="380"/>
      <c r="M193" s="380"/>
      <c r="N193" s="380"/>
      <c r="O193" s="404"/>
      <c r="P193" s="380"/>
      <c r="Q193" s="380"/>
      <c r="R193" s="380"/>
      <c r="S193" s="380"/>
      <c r="T193" s="380"/>
      <c r="U193" s="380"/>
      <c r="V193" s="380"/>
      <c r="W193" s="403"/>
      <c r="X193" s="380"/>
      <c r="Y193" s="380"/>
      <c r="Z193" s="380"/>
      <c r="AA193" s="380"/>
      <c r="AB193" s="380"/>
      <c r="AC193" s="404"/>
      <c r="AD193" s="380"/>
      <c r="AE193" s="380"/>
      <c r="AF193" s="380"/>
      <c r="AG193" s="380"/>
      <c r="AH193" s="380"/>
      <c r="AI193" s="380"/>
      <c r="AJ193" s="380"/>
      <c r="AK193" s="403"/>
      <c r="AL193" s="380"/>
      <c r="AM193" s="380"/>
      <c r="AN193" s="380"/>
      <c r="AO193" s="380"/>
      <c r="AP193" s="380"/>
      <c r="AQ193" s="404"/>
      <c r="AR193" s="380"/>
      <c r="AS193" s="380"/>
      <c r="AT193" s="380"/>
      <c r="AU193" s="380"/>
      <c r="AV193" s="380"/>
      <c r="AW193" s="380"/>
      <c r="AX193" s="380"/>
      <c r="AY193" s="403"/>
      <c r="AZ193" s="380"/>
      <c r="BA193" s="380"/>
      <c r="BB193" s="380"/>
      <c r="BC193" s="380"/>
      <c r="BD193" s="380"/>
      <c r="BE193" s="404"/>
      <c r="BF193" s="380"/>
      <c r="BG193" s="380"/>
      <c r="BH193" s="380"/>
      <c r="BI193" s="380"/>
      <c r="BJ193" s="380"/>
      <c r="BK193" s="380"/>
      <c r="BL193" s="380"/>
      <c r="BM193" s="403"/>
      <c r="BS193" s="83"/>
      <c r="CA193" s="405"/>
      <c r="CG193" s="83"/>
      <c r="CO193" s="405"/>
      <c r="CU193" s="83"/>
      <c r="DC193" s="405"/>
      <c r="DI193" s="83"/>
      <c r="DQ193" s="405"/>
      <c r="DW193" s="83"/>
      <c r="EE193" s="405"/>
      <c r="EK193" s="83"/>
      <c r="ES193" s="405"/>
      <c r="EY193" s="83"/>
      <c r="FG193" s="405"/>
      <c r="FM193" s="83"/>
      <c r="FU193" s="405"/>
      <c r="GA193" s="83"/>
      <c r="GI193" s="405"/>
      <c r="GO193" s="83"/>
      <c r="GW193" s="405"/>
      <c r="HC193" s="83"/>
      <c r="HK193" s="405"/>
      <c r="HQ193" s="83"/>
      <c r="HY193" s="405"/>
      <c r="IE193" s="83"/>
      <c r="IM193" s="405"/>
      <c r="IS193" s="83"/>
      <c r="JA193" s="405"/>
      <c r="JG193" s="83"/>
      <c r="JO193" s="405"/>
      <c r="JU193" s="83"/>
      <c r="KC193" s="405"/>
      <c r="KI193" s="83"/>
      <c r="KQ193" s="405"/>
      <c r="KW193" s="83"/>
      <c r="LE193" s="405"/>
      <c r="LK193" s="83"/>
      <c r="LS193" s="405"/>
      <c r="LY193" s="83"/>
      <c r="MG193" s="405"/>
      <c r="MM193" s="83"/>
      <c r="MU193" s="405"/>
      <c r="NA193" s="83"/>
    </row>
    <row r="194">
      <c r="A194" s="483"/>
      <c r="B194" s="380"/>
      <c r="C194" s="380"/>
      <c r="D194" s="380"/>
      <c r="E194" s="380"/>
      <c r="F194" s="380"/>
      <c r="G194" s="380"/>
      <c r="H194" s="380"/>
      <c r="I194" s="403"/>
      <c r="J194" s="380"/>
      <c r="K194" s="380"/>
      <c r="L194" s="380"/>
      <c r="M194" s="380"/>
      <c r="N194" s="380"/>
      <c r="O194" s="404"/>
      <c r="P194" s="380"/>
      <c r="Q194" s="380"/>
      <c r="R194" s="380"/>
      <c r="S194" s="380"/>
      <c r="T194" s="380"/>
      <c r="U194" s="380"/>
      <c r="V194" s="380"/>
      <c r="W194" s="403"/>
      <c r="X194" s="380"/>
      <c r="Y194" s="380"/>
      <c r="Z194" s="380"/>
      <c r="AA194" s="380"/>
      <c r="AB194" s="380"/>
      <c r="AC194" s="404"/>
      <c r="AD194" s="380"/>
      <c r="AE194" s="380"/>
      <c r="AF194" s="380"/>
      <c r="AG194" s="380"/>
      <c r="AH194" s="380"/>
      <c r="AI194" s="380"/>
      <c r="AJ194" s="380"/>
      <c r="AK194" s="403"/>
      <c r="AL194" s="380"/>
      <c r="AM194" s="380"/>
      <c r="AN194" s="380"/>
      <c r="AO194" s="380"/>
      <c r="AP194" s="380"/>
      <c r="AQ194" s="404"/>
      <c r="AR194" s="380"/>
      <c r="AS194" s="380"/>
      <c r="AT194" s="380"/>
      <c r="AU194" s="380"/>
      <c r="AV194" s="380"/>
      <c r="AW194" s="380"/>
      <c r="AX194" s="380"/>
      <c r="AY194" s="403"/>
      <c r="AZ194" s="380"/>
      <c r="BA194" s="380"/>
      <c r="BB194" s="380"/>
      <c r="BC194" s="380"/>
      <c r="BD194" s="380"/>
      <c r="BE194" s="404"/>
      <c r="BF194" s="380"/>
      <c r="BG194" s="380"/>
      <c r="BH194" s="380"/>
      <c r="BI194" s="380"/>
      <c r="BJ194" s="380"/>
      <c r="BK194" s="380"/>
      <c r="BL194" s="380"/>
      <c r="BM194" s="403"/>
      <c r="BS194" s="83"/>
      <c r="CA194" s="405"/>
      <c r="CG194" s="83"/>
      <c r="CO194" s="405"/>
      <c r="CU194" s="83"/>
      <c r="DC194" s="405"/>
      <c r="DI194" s="83"/>
      <c r="DQ194" s="405"/>
      <c r="DW194" s="83"/>
      <c r="EE194" s="405"/>
      <c r="EK194" s="83"/>
      <c r="ES194" s="405"/>
      <c r="EY194" s="83"/>
      <c r="FG194" s="405"/>
      <c r="FM194" s="83"/>
      <c r="FU194" s="405"/>
      <c r="GA194" s="83"/>
      <c r="GI194" s="405"/>
      <c r="GO194" s="83"/>
      <c r="GW194" s="405"/>
      <c r="HC194" s="83"/>
      <c r="HK194" s="405"/>
      <c r="HQ194" s="83"/>
      <c r="HY194" s="405"/>
      <c r="IE194" s="83"/>
      <c r="IM194" s="405"/>
      <c r="IS194" s="83"/>
      <c r="JA194" s="405"/>
      <c r="JG194" s="83"/>
      <c r="JO194" s="405"/>
      <c r="JU194" s="83"/>
      <c r="KC194" s="405"/>
      <c r="KI194" s="83"/>
      <c r="KQ194" s="405"/>
      <c r="KW194" s="83"/>
      <c r="LE194" s="405"/>
      <c r="LK194" s="83"/>
      <c r="LS194" s="405"/>
      <c r="LY194" s="83"/>
      <c r="MG194" s="405"/>
      <c r="MM194" s="83"/>
      <c r="MU194" s="405"/>
      <c r="NA194" s="83"/>
    </row>
    <row r="195">
      <c r="A195" s="483"/>
      <c r="B195" s="380"/>
      <c r="C195" s="380"/>
      <c r="D195" s="380"/>
      <c r="E195" s="380"/>
      <c r="F195" s="380"/>
      <c r="G195" s="380"/>
      <c r="H195" s="380"/>
      <c r="I195" s="403"/>
      <c r="J195" s="380"/>
      <c r="K195" s="380"/>
      <c r="L195" s="380"/>
      <c r="M195" s="380"/>
      <c r="N195" s="380"/>
      <c r="O195" s="404"/>
      <c r="P195" s="380"/>
      <c r="Q195" s="380"/>
      <c r="R195" s="380"/>
      <c r="S195" s="380"/>
      <c r="T195" s="380"/>
      <c r="U195" s="380"/>
      <c r="V195" s="380"/>
      <c r="W195" s="403"/>
      <c r="X195" s="380"/>
      <c r="Y195" s="380"/>
      <c r="Z195" s="380"/>
      <c r="AA195" s="380"/>
      <c r="AB195" s="380"/>
      <c r="AC195" s="404"/>
      <c r="AD195" s="380"/>
      <c r="AE195" s="380"/>
      <c r="AF195" s="380"/>
      <c r="AG195" s="380"/>
      <c r="AH195" s="380"/>
      <c r="AI195" s="380"/>
      <c r="AJ195" s="380"/>
      <c r="AK195" s="403"/>
      <c r="AL195" s="380"/>
      <c r="AM195" s="380"/>
      <c r="AN195" s="380"/>
      <c r="AO195" s="380"/>
      <c r="AP195" s="380"/>
      <c r="AQ195" s="404"/>
      <c r="AR195" s="380"/>
      <c r="AS195" s="380"/>
      <c r="AT195" s="380"/>
      <c r="AU195" s="380"/>
      <c r="AV195" s="380"/>
      <c r="AW195" s="380"/>
      <c r="AX195" s="380"/>
      <c r="AY195" s="403"/>
      <c r="AZ195" s="380"/>
      <c r="BA195" s="380"/>
      <c r="BB195" s="380"/>
      <c r="BC195" s="380"/>
      <c r="BD195" s="380"/>
      <c r="BE195" s="404"/>
      <c r="BF195" s="380"/>
      <c r="BG195" s="380"/>
      <c r="BH195" s="380"/>
      <c r="BI195" s="380"/>
      <c r="BJ195" s="380"/>
      <c r="BK195" s="380"/>
      <c r="BL195" s="380"/>
      <c r="BM195" s="403"/>
      <c r="BS195" s="83"/>
      <c r="CA195" s="405"/>
      <c r="CG195" s="83"/>
      <c r="CO195" s="405"/>
      <c r="CU195" s="83"/>
      <c r="DC195" s="405"/>
      <c r="DI195" s="83"/>
      <c r="DQ195" s="405"/>
      <c r="DW195" s="83"/>
      <c r="EE195" s="405"/>
      <c r="EK195" s="83"/>
      <c r="ES195" s="405"/>
      <c r="EY195" s="83"/>
      <c r="FG195" s="405"/>
      <c r="FM195" s="83"/>
      <c r="FU195" s="405"/>
      <c r="GA195" s="83"/>
      <c r="GI195" s="405"/>
      <c r="GO195" s="83"/>
      <c r="GW195" s="405"/>
      <c r="HC195" s="83"/>
      <c r="HK195" s="405"/>
      <c r="HQ195" s="83"/>
      <c r="HY195" s="405"/>
      <c r="IE195" s="83"/>
      <c r="IM195" s="405"/>
      <c r="IS195" s="83"/>
      <c r="JA195" s="405"/>
      <c r="JG195" s="83"/>
      <c r="JO195" s="405"/>
      <c r="JU195" s="83"/>
      <c r="KC195" s="405"/>
      <c r="KI195" s="83"/>
      <c r="KQ195" s="405"/>
      <c r="KW195" s="83"/>
      <c r="LE195" s="405"/>
      <c r="LK195" s="83"/>
      <c r="LS195" s="405"/>
      <c r="LY195" s="83"/>
      <c r="MG195" s="405"/>
      <c r="MM195" s="83"/>
      <c r="MU195" s="405"/>
      <c r="NA195" s="83"/>
    </row>
    <row r="196">
      <c r="A196" s="483"/>
      <c r="B196" s="380"/>
      <c r="C196" s="380"/>
      <c r="D196" s="380"/>
      <c r="E196" s="380"/>
      <c r="F196" s="380"/>
      <c r="G196" s="380"/>
      <c r="H196" s="380"/>
      <c r="I196" s="403"/>
      <c r="J196" s="380"/>
      <c r="K196" s="380"/>
      <c r="L196" s="380"/>
      <c r="M196" s="380"/>
      <c r="N196" s="380"/>
      <c r="O196" s="404"/>
      <c r="P196" s="380"/>
      <c r="Q196" s="380"/>
      <c r="R196" s="380"/>
      <c r="S196" s="380"/>
      <c r="T196" s="380"/>
      <c r="U196" s="380"/>
      <c r="V196" s="380"/>
      <c r="W196" s="403"/>
      <c r="X196" s="380"/>
      <c r="Y196" s="380"/>
      <c r="Z196" s="380"/>
      <c r="AA196" s="380"/>
      <c r="AB196" s="380"/>
      <c r="AC196" s="404"/>
      <c r="AD196" s="380"/>
      <c r="AE196" s="380"/>
      <c r="AF196" s="380"/>
      <c r="AG196" s="380"/>
      <c r="AH196" s="380"/>
      <c r="AI196" s="380"/>
      <c r="AJ196" s="380"/>
      <c r="AK196" s="403"/>
      <c r="AL196" s="380"/>
      <c r="AM196" s="380"/>
      <c r="AN196" s="380"/>
      <c r="AO196" s="380"/>
      <c r="AP196" s="380"/>
      <c r="AQ196" s="404"/>
      <c r="AR196" s="380"/>
      <c r="AS196" s="380"/>
      <c r="AT196" s="380"/>
      <c r="AU196" s="380"/>
      <c r="AV196" s="380"/>
      <c r="AW196" s="380"/>
      <c r="AX196" s="380"/>
      <c r="AY196" s="403"/>
      <c r="AZ196" s="380"/>
      <c r="BA196" s="380"/>
      <c r="BB196" s="380"/>
      <c r="BC196" s="380"/>
      <c r="BD196" s="380"/>
      <c r="BE196" s="404"/>
      <c r="BF196" s="380"/>
      <c r="BG196" s="380"/>
      <c r="BH196" s="380"/>
      <c r="BI196" s="380"/>
      <c r="BJ196" s="380"/>
      <c r="BK196" s="380"/>
      <c r="BL196" s="380"/>
      <c r="BM196" s="403"/>
      <c r="BS196" s="83"/>
      <c r="CA196" s="405"/>
      <c r="CG196" s="83"/>
      <c r="CO196" s="405"/>
      <c r="CU196" s="83"/>
      <c r="DC196" s="405"/>
      <c r="DI196" s="83"/>
      <c r="DQ196" s="405"/>
      <c r="DW196" s="83"/>
      <c r="EE196" s="405"/>
      <c r="EK196" s="83"/>
      <c r="ES196" s="405"/>
      <c r="EY196" s="83"/>
      <c r="FG196" s="405"/>
      <c r="FM196" s="83"/>
      <c r="FU196" s="405"/>
      <c r="GA196" s="83"/>
      <c r="GI196" s="405"/>
      <c r="GO196" s="83"/>
      <c r="GW196" s="405"/>
      <c r="HC196" s="83"/>
      <c r="HK196" s="405"/>
      <c r="HQ196" s="83"/>
      <c r="HY196" s="405"/>
      <c r="IE196" s="83"/>
      <c r="IM196" s="405"/>
      <c r="IS196" s="83"/>
      <c r="JA196" s="405"/>
      <c r="JG196" s="83"/>
      <c r="JO196" s="405"/>
      <c r="JU196" s="83"/>
      <c r="KC196" s="405"/>
      <c r="KI196" s="83"/>
      <c r="KQ196" s="405"/>
      <c r="KW196" s="83"/>
      <c r="LE196" s="405"/>
      <c r="LK196" s="83"/>
      <c r="LS196" s="405"/>
      <c r="LY196" s="83"/>
      <c r="MG196" s="405"/>
      <c r="MM196" s="83"/>
      <c r="MU196" s="405"/>
      <c r="NA196" s="83"/>
    </row>
    <row r="197">
      <c r="A197" s="483"/>
      <c r="B197" s="380"/>
      <c r="C197" s="380"/>
      <c r="D197" s="380"/>
      <c r="E197" s="380"/>
      <c r="F197" s="380"/>
      <c r="G197" s="380"/>
      <c r="H197" s="380"/>
      <c r="I197" s="403"/>
      <c r="J197" s="380"/>
      <c r="K197" s="380"/>
      <c r="L197" s="380"/>
      <c r="M197" s="380"/>
      <c r="N197" s="380"/>
      <c r="O197" s="404"/>
      <c r="P197" s="380"/>
      <c r="Q197" s="380"/>
      <c r="R197" s="380"/>
      <c r="S197" s="380"/>
      <c r="T197" s="380"/>
      <c r="U197" s="380"/>
      <c r="V197" s="380"/>
      <c r="W197" s="403"/>
      <c r="X197" s="380"/>
      <c r="Y197" s="380"/>
      <c r="Z197" s="380"/>
      <c r="AA197" s="380"/>
      <c r="AB197" s="380"/>
      <c r="AC197" s="404"/>
      <c r="AD197" s="380"/>
      <c r="AE197" s="380"/>
      <c r="AF197" s="380"/>
      <c r="AG197" s="380"/>
      <c r="AH197" s="380"/>
      <c r="AI197" s="380"/>
      <c r="AJ197" s="380"/>
      <c r="AK197" s="403"/>
      <c r="AL197" s="380"/>
      <c r="AM197" s="380"/>
      <c r="AN197" s="380"/>
      <c r="AO197" s="380"/>
      <c r="AP197" s="380"/>
      <c r="AQ197" s="404"/>
      <c r="AR197" s="380"/>
      <c r="AS197" s="380"/>
      <c r="AT197" s="380"/>
      <c r="AU197" s="380"/>
      <c r="AV197" s="380"/>
      <c r="AW197" s="380"/>
      <c r="AX197" s="380"/>
      <c r="AY197" s="403"/>
      <c r="AZ197" s="380"/>
      <c r="BA197" s="380"/>
      <c r="BB197" s="380"/>
      <c r="BC197" s="380"/>
      <c r="BD197" s="380"/>
      <c r="BE197" s="404"/>
      <c r="BF197" s="380"/>
      <c r="BG197" s="380"/>
      <c r="BH197" s="380"/>
      <c r="BI197" s="380"/>
      <c r="BJ197" s="380"/>
      <c r="BK197" s="380"/>
      <c r="BL197" s="380"/>
      <c r="BM197" s="403"/>
      <c r="BS197" s="83"/>
      <c r="CA197" s="405"/>
      <c r="CG197" s="83"/>
      <c r="CO197" s="405"/>
      <c r="CU197" s="83"/>
      <c r="DC197" s="405"/>
      <c r="DI197" s="83"/>
      <c r="DQ197" s="405"/>
      <c r="DW197" s="83"/>
      <c r="EE197" s="405"/>
      <c r="EK197" s="83"/>
      <c r="ES197" s="405"/>
      <c r="EY197" s="83"/>
      <c r="FG197" s="405"/>
      <c r="FM197" s="83"/>
      <c r="FU197" s="405"/>
      <c r="GA197" s="83"/>
      <c r="GI197" s="405"/>
      <c r="GO197" s="83"/>
      <c r="GW197" s="405"/>
      <c r="HC197" s="83"/>
      <c r="HK197" s="405"/>
      <c r="HQ197" s="83"/>
      <c r="HY197" s="405"/>
      <c r="IE197" s="83"/>
      <c r="IM197" s="405"/>
      <c r="IS197" s="83"/>
      <c r="JA197" s="405"/>
      <c r="JG197" s="83"/>
      <c r="JO197" s="405"/>
      <c r="JU197" s="83"/>
      <c r="KC197" s="405"/>
      <c r="KI197" s="83"/>
      <c r="KQ197" s="405"/>
      <c r="KW197" s="83"/>
      <c r="LE197" s="405"/>
      <c r="LK197" s="83"/>
      <c r="LS197" s="405"/>
      <c r="LY197" s="83"/>
      <c r="MG197" s="405"/>
      <c r="MM197" s="83"/>
      <c r="MU197" s="405"/>
      <c r="NA197" s="83"/>
    </row>
    <row r="198">
      <c r="A198" s="483"/>
      <c r="B198" s="380"/>
      <c r="C198" s="380"/>
      <c r="D198" s="380"/>
      <c r="E198" s="380"/>
      <c r="F198" s="380"/>
      <c r="G198" s="380"/>
      <c r="H198" s="380"/>
      <c r="I198" s="403"/>
      <c r="J198" s="380"/>
      <c r="K198" s="380"/>
      <c r="L198" s="380"/>
      <c r="M198" s="380"/>
      <c r="N198" s="380"/>
      <c r="O198" s="404"/>
      <c r="P198" s="380"/>
      <c r="Q198" s="380"/>
      <c r="R198" s="380"/>
      <c r="S198" s="380"/>
      <c r="T198" s="380"/>
      <c r="U198" s="380"/>
      <c r="V198" s="380"/>
      <c r="W198" s="403"/>
      <c r="X198" s="380"/>
      <c r="Y198" s="380"/>
      <c r="Z198" s="380"/>
      <c r="AA198" s="380"/>
      <c r="AB198" s="380"/>
      <c r="AC198" s="404"/>
      <c r="AD198" s="380"/>
      <c r="AE198" s="380"/>
      <c r="AF198" s="380"/>
      <c r="AG198" s="380"/>
      <c r="AH198" s="380"/>
      <c r="AI198" s="380"/>
      <c r="AJ198" s="380"/>
      <c r="AK198" s="403"/>
      <c r="AL198" s="380"/>
      <c r="AM198" s="380"/>
      <c r="AN198" s="380"/>
      <c r="AO198" s="380"/>
      <c r="AP198" s="380"/>
      <c r="AQ198" s="404"/>
      <c r="AR198" s="380"/>
      <c r="AS198" s="380"/>
      <c r="AT198" s="380"/>
      <c r="AU198" s="380"/>
      <c r="AV198" s="380"/>
      <c r="AW198" s="380"/>
      <c r="AX198" s="380"/>
      <c r="AY198" s="403"/>
      <c r="AZ198" s="380"/>
      <c r="BA198" s="380"/>
      <c r="BB198" s="380"/>
      <c r="BC198" s="380"/>
      <c r="BD198" s="380"/>
      <c r="BE198" s="404"/>
      <c r="BF198" s="380"/>
      <c r="BG198" s="380"/>
      <c r="BH198" s="380"/>
      <c r="BI198" s="380"/>
      <c r="BJ198" s="380"/>
      <c r="BK198" s="380"/>
      <c r="BL198" s="380"/>
      <c r="BM198" s="403"/>
      <c r="BS198" s="83"/>
      <c r="CA198" s="405"/>
      <c r="CG198" s="83"/>
      <c r="CO198" s="405"/>
      <c r="CU198" s="83"/>
      <c r="DC198" s="405"/>
      <c r="DI198" s="83"/>
      <c r="DQ198" s="405"/>
      <c r="DW198" s="83"/>
      <c r="EE198" s="405"/>
      <c r="EK198" s="83"/>
      <c r="ES198" s="405"/>
      <c r="EY198" s="83"/>
      <c r="FG198" s="405"/>
      <c r="FM198" s="83"/>
      <c r="FU198" s="405"/>
      <c r="GA198" s="83"/>
      <c r="GI198" s="405"/>
      <c r="GO198" s="83"/>
      <c r="GW198" s="405"/>
      <c r="HC198" s="83"/>
      <c r="HK198" s="405"/>
      <c r="HQ198" s="83"/>
      <c r="HY198" s="405"/>
      <c r="IE198" s="83"/>
      <c r="IM198" s="405"/>
      <c r="IS198" s="83"/>
      <c r="JA198" s="405"/>
      <c r="JG198" s="83"/>
      <c r="JO198" s="405"/>
      <c r="JU198" s="83"/>
      <c r="KC198" s="405"/>
      <c r="KI198" s="83"/>
      <c r="KQ198" s="405"/>
      <c r="KW198" s="83"/>
      <c r="LE198" s="405"/>
      <c r="LK198" s="83"/>
      <c r="LS198" s="405"/>
      <c r="LY198" s="83"/>
      <c r="MG198" s="405"/>
      <c r="MM198" s="83"/>
      <c r="MU198" s="405"/>
      <c r="NA198" s="83"/>
    </row>
    <row r="199">
      <c r="A199" s="483"/>
      <c r="B199" s="380"/>
      <c r="C199" s="380"/>
      <c r="D199" s="380"/>
      <c r="E199" s="380"/>
      <c r="F199" s="380"/>
      <c r="G199" s="380"/>
      <c r="H199" s="380"/>
      <c r="I199" s="403"/>
      <c r="J199" s="380"/>
      <c r="K199" s="380"/>
      <c r="L199" s="380"/>
      <c r="M199" s="380"/>
      <c r="N199" s="380"/>
      <c r="O199" s="404"/>
      <c r="P199" s="380"/>
      <c r="Q199" s="380"/>
      <c r="R199" s="380"/>
      <c r="S199" s="380"/>
      <c r="T199" s="380"/>
      <c r="U199" s="380"/>
      <c r="V199" s="380"/>
      <c r="W199" s="403"/>
      <c r="X199" s="380"/>
      <c r="Y199" s="380"/>
      <c r="Z199" s="380"/>
      <c r="AA199" s="380"/>
      <c r="AB199" s="380"/>
      <c r="AC199" s="404"/>
      <c r="AD199" s="380"/>
      <c r="AE199" s="380"/>
      <c r="AF199" s="380"/>
      <c r="AG199" s="380"/>
      <c r="AH199" s="380"/>
      <c r="AI199" s="380"/>
      <c r="AJ199" s="380"/>
      <c r="AK199" s="403"/>
      <c r="AL199" s="380"/>
      <c r="AM199" s="380"/>
      <c r="AN199" s="380"/>
      <c r="AO199" s="380"/>
      <c r="AP199" s="380"/>
      <c r="AQ199" s="404"/>
      <c r="AR199" s="380"/>
      <c r="AS199" s="380"/>
      <c r="AT199" s="380"/>
      <c r="AU199" s="380"/>
      <c r="AV199" s="380"/>
      <c r="AW199" s="380"/>
      <c r="AX199" s="380"/>
      <c r="AY199" s="403"/>
      <c r="AZ199" s="380"/>
      <c r="BA199" s="380"/>
      <c r="BB199" s="380"/>
      <c r="BC199" s="380"/>
      <c r="BD199" s="380"/>
      <c r="BE199" s="404"/>
      <c r="BF199" s="380"/>
      <c r="BG199" s="380"/>
      <c r="BH199" s="380"/>
      <c r="BI199" s="380"/>
      <c r="BJ199" s="380"/>
      <c r="BK199" s="380"/>
      <c r="BL199" s="380"/>
      <c r="BM199" s="403"/>
      <c r="BS199" s="83"/>
      <c r="CA199" s="405"/>
      <c r="CG199" s="83"/>
      <c r="CO199" s="405"/>
      <c r="CU199" s="83"/>
      <c r="DC199" s="405"/>
      <c r="DI199" s="83"/>
      <c r="DQ199" s="405"/>
      <c r="DW199" s="83"/>
      <c r="EE199" s="405"/>
      <c r="EK199" s="83"/>
      <c r="ES199" s="405"/>
      <c r="EY199" s="83"/>
      <c r="FG199" s="405"/>
      <c r="FM199" s="83"/>
      <c r="FU199" s="405"/>
      <c r="GA199" s="83"/>
      <c r="GI199" s="405"/>
      <c r="GO199" s="83"/>
      <c r="GW199" s="405"/>
      <c r="HC199" s="83"/>
      <c r="HK199" s="405"/>
      <c r="HQ199" s="83"/>
      <c r="HY199" s="405"/>
      <c r="IE199" s="83"/>
      <c r="IM199" s="405"/>
      <c r="IS199" s="83"/>
      <c r="JA199" s="405"/>
      <c r="JG199" s="83"/>
      <c r="JO199" s="405"/>
      <c r="JU199" s="83"/>
      <c r="KC199" s="405"/>
      <c r="KI199" s="83"/>
      <c r="KQ199" s="405"/>
      <c r="KW199" s="83"/>
      <c r="LE199" s="405"/>
      <c r="LK199" s="83"/>
      <c r="LS199" s="405"/>
      <c r="LY199" s="83"/>
      <c r="MG199" s="405"/>
      <c r="MM199" s="83"/>
      <c r="MU199" s="405"/>
      <c r="NA199" s="83"/>
    </row>
    <row r="200">
      <c r="A200" s="483"/>
      <c r="B200" s="380"/>
      <c r="C200" s="380"/>
      <c r="D200" s="380"/>
      <c r="E200" s="380"/>
      <c r="F200" s="380"/>
      <c r="G200" s="380"/>
      <c r="H200" s="380"/>
      <c r="I200" s="403"/>
      <c r="J200" s="380"/>
      <c r="K200" s="380"/>
      <c r="L200" s="380"/>
      <c r="M200" s="380"/>
      <c r="N200" s="380"/>
      <c r="O200" s="404"/>
      <c r="P200" s="380"/>
      <c r="Q200" s="380"/>
      <c r="R200" s="380"/>
      <c r="S200" s="380"/>
      <c r="T200" s="380"/>
      <c r="U200" s="380"/>
      <c r="V200" s="380"/>
      <c r="W200" s="403"/>
      <c r="X200" s="380"/>
      <c r="Y200" s="380"/>
      <c r="Z200" s="380"/>
      <c r="AA200" s="380"/>
      <c r="AB200" s="380"/>
      <c r="AC200" s="404"/>
      <c r="AD200" s="380"/>
      <c r="AE200" s="380"/>
      <c r="AF200" s="380"/>
      <c r="AG200" s="380"/>
      <c r="AH200" s="380"/>
      <c r="AI200" s="380"/>
      <c r="AJ200" s="380"/>
      <c r="AK200" s="403"/>
      <c r="AL200" s="380"/>
      <c r="AM200" s="380"/>
      <c r="AN200" s="380"/>
      <c r="AO200" s="380"/>
      <c r="AP200" s="380"/>
      <c r="AQ200" s="404"/>
      <c r="AR200" s="380"/>
      <c r="AS200" s="380"/>
      <c r="AT200" s="380"/>
      <c r="AU200" s="380"/>
      <c r="AV200" s="380"/>
      <c r="AW200" s="380"/>
      <c r="AX200" s="380"/>
      <c r="AY200" s="403"/>
      <c r="AZ200" s="380"/>
      <c r="BA200" s="380"/>
      <c r="BB200" s="380"/>
      <c r="BC200" s="380"/>
      <c r="BD200" s="380"/>
      <c r="BE200" s="404"/>
      <c r="BF200" s="380"/>
      <c r="BG200" s="380"/>
      <c r="BH200" s="380"/>
      <c r="BI200" s="380"/>
      <c r="BJ200" s="380"/>
      <c r="BK200" s="380"/>
      <c r="BL200" s="380"/>
      <c r="BM200" s="403"/>
      <c r="BS200" s="83"/>
      <c r="CA200" s="405"/>
      <c r="CG200" s="83"/>
      <c r="CO200" s="405"/>
      <c r="CU200" s="83"/>
      <c r="DC200" s="405"/>
      <c r="DI200" s="83"/>
      <c r="DQ200" s="405"/>
      <c r="DW200" s="83"/>
      <c r="EE200" s="405"/>
      <c r="EK200" s="83"/>
      <c r="ES200" s="405"/>
      <c r="EY200" s="83"/>
      <c r="FG200" s="405"/>
      <c r="FM200" s="83"/>
      <c r="FU200" s="405"/>
      <c r="GA200" s="83"/>
      <c r="GI200" s="405"/>
      <c r="GO200" s="83"/>
      <c r="GW200" s="405"/>
      <c r="HC200" s="83"/>
      <c r="HK200" s="405"/>
      <c r="HQ200" s="83"/>
      <c r="HY200" s="405"/>
      <c r="IE200" s="83"/>
      <c r="IM200" s="405"/>
      <c r="IS200" s="83"/>
      <c r="JA200" s="405"/>
      <c r="JG200" s="83"/>
      <c r="JO200" s="405"/>
      <c r="JU200" s="83"/>
      <c r="KC200" s="405"/>
      <c r="KI200" s="83"/>
      <c r="KQ200" s="405"/>
      <c r="KW200" s="83"/>
      <c r="LE200" s="405"/>
      <c r="LK200" s="83"/>
      <c r="LS200" s="405"/>
      <c r="LY200" s="83"/>
      <c r="MG200" s="405"/>
      <c r="MM200" s="83"/>
      <c r="MU200" s="405"/>
      <c r="NA200" s="83"/>
    </row>
    <row r="201">
      <c r="A201" s="483"/>
      <c r="B201" s="380"/>
      <c r="C201" s="380"/>
      <c r="D201" s="380"/>
      <c r="E201" s="380"/>
      <c r="F201" s="380"/>
      <c r="G201" s="380"/>
      <c r="H201" s="380"/>
      <c r="I201" s="403"/>
      <c r="J201" s="380"/>
      <c r="K201" s="380"/>
      <c r="L201" s="380"/>
      <c r="M201" s="380"/>
      <c r="N201" s="380"/>
      <c r="O201" s="404"/>
      <c r="P201" s="380"/>
      <c r="Q201" s="380"/>
      <c r="R201" s="380"/>
      <c r="S201" s="380"/>
      <c r="T201" s="380"/>
      <c r="U201" s="380"/>
      <c r="V201" s="380"/>
      <c r="W201" s="403"/>
      <c r="X201" s="380"/>
      <c r="Y201" s="380"/>
      <c r="Z201" s="380"/>
      <c r="AA201" s="380"/>
      <c r="AB201" s="380"/>
      <c r="AC201" s="404"/>
      <c r="AD201" s="380"/>
      <c r="AE201" s="380"/>
      <c r="AF201" s="380"/>
      <c r="AG201" s="380"/>
      <c r="AH201" s="380"/>
      <c r="AI201" s="380"/>
      <c r="AJ201" s="380"/>
      <c r="AK201" s="403"/>
      <c r="AL201" s="380"/>
      <c r="AM201" s="380"/>
      <c r="AN201" s="380"/>
      <c r="AO201" s="380"/>
      <c r="AP201" s="380"/>
      <c r="AQ201" s="404"/>
      <c r="AR201" s="380"/>
      <c r="AS201" s="380"/>
      <c r="AT201" s="380"/>
      <c r="AU201" s="380"/>
      <c r="AV201" s="380"/>
      <c r="AW201" s="380"/>
      <c r="AX201" s="380"/>
      <c r="AY201" s="403"/>
      <c r="AZ201" s="380"/>
      <c r="BA201" s="380"/>
      <c r="BB201" s="380"/>
      <c r="BC201" s="380"/>
      <c r="BD201" s="380"/>
      <c r="BE201" s="404"/>
      <c r="BF201" s="380"/>
      <c r="BG201" s="380"/>
      <c r="BH201" s="380"/>
      <c r="BI201" s="380"/>
      <c r="BJ201" s="380"/>
      <c r="BK201" s="380"/>
      <c r="BL201" s="380"/>
      <c r="BM201" s="403"/>
      <c r="BS201" s="83"/>
      <c r="CA201" s="405"/>
      <c r="CG201" s="83"/>
      <c r="CO201" s="405"/>
      <c r="CU201" s="83"/>
      <c r="DC201" s="405"/>
      <c r="DI201" s="83"/>
      <c r="DQ201" s="405"/>
      <c r="DW201" s="83"/>
      <c r="EE201" s="405"/>
      <c r="EK201" s="83"/>
      <c r="ES201" s="405"/>
      <c r="EY201" s="83"/>
      <c r="FG201" s="405"/>
      <c r="FM201" s="83"/>
      <c r="FU201" s="405"/>
      <c r="GA201" s="83"/>
      <c r="GI201" s="405"/>
      <c r="GO201" s="83"/>
      <c r="GW201" s="405"/>
      <c r="HC201" s="83"/>
      <c r="HK201" s="405"/>
      <c r="HQ201" s="83"/>
      <c r="HY201" s="405"/>
      <c r="IE201" s="83"/>
      <c r="IM201" s="405"/>
      <c r="IS201" s="83"/>
      <c r="JA201" s="405"/>
      <c r="JG201" s="83"/>
      <c r="JO201" s="405"/>
      <c r="JU201" s="83"/>
      <c r="KC201" s="405"/>
      <c r="KI201" s="83"/>
      <c r="KQ201" s="405"/>
      <c r="KW201" s="83"/>
      <c r="LE201" s="405"/>
      <c r="LK201" s="83"/>
      <c r="LS201" s="405"/>
      <c r="LY201" s="83"/>
      <c r="MG201" s="405"/>
      <c r="MM201" s="83"/>
      <c r="MU201" s="405"/>
      <c r="NA201" s="83"/>
    </row>
    <row r="202">
      <c r="A202" s="483"/>
      <c r="B202" s="380"/>
      <c r="C202" s="380"/>
      <c r="D202" s="380"/>
      <c r="E202" s="380"/>
      <c r="F202" s="380"/>
      <c r="G202" s="380"/>
      <c r="H202" s="380"/>
      <c r="I202" s="403"/>
      <c r="J202" s="380"/>
      <c r="K202" s="380"/>
      <c r="L202" s="380"/>
      <c r="M202" s="380"/>
      <c r="N202" s="380"/>
      <c r="O202" s="404"/>
      <c r="P202" s="380"/>
      <c r="Q202" s="380"/>
      <c r="R202" s="380"/>
      <c r="S202" s="380"/>
      <c r="T202" s="380"/>
      <c r="U202" s="380"/>
      <c r="V202" s="380"/>
      <c r="W202" s="403"/>
      <c r="X202" s="380"/>
      <c r="Y202" s="380"/>
      <c r="Z202" s="380"/>
      <c r="AA202" s="380"/>
      <c r="AB202" s="380"/>
      <c r="AC202" s="404"/>
      <c r="AD202" s="380"/>
      <c r="AE202" s="380"/>
      <c r="AF202" s="380"/>
      <c r="AG202" s="380"/>
      <c r="AH202" s="380"/>
      <c r="AI202" s="380"/>
      <c r="AJ202" s="380"/>
      <c r="AK202" s="403"/>
      <c r="AL202" s="380"/>
      <c r="AM202" s="380"/>
      <c r="AN202" s="380"/>
      <c r="AO202" s="380"/>
      <c r="AP202" s="380"/>
      <c r="AQ202" s="404"/>
      <c r="AR202" s="380"/>
      <c r="AS202" s="380"/>
      <c r="AT202" s="380"/>
      <c r="AU202" s="380"/>
      <c r="AV202" s="380"/>
      <c r="AW202" s="380"/>
      <c r="AX202" s="380"/>
      <c r="AY202" s="403"/>
      <c r="AZ202" s="380"/>
      <c r="BA202" s="380"/>
      <c r="BB202" s="380"/>
      <c r="BC202" s="380"/>
      <c r="BD202" s="380"/>
      <c r="BE202" s="404"/>
      <c r="BF202" s="380"/>
      <c r="BG202" s="380"/>
      <c r="BH202" s="380"/>
      <c r="BI202" s="380"/>
      <c r="BJ202" s="380"/>
      <c r="BK202" s="380"/>
      <c r="BL202" s="380"/>
      <c r="BM202" s="403"/>
      <c r="BS202" s="83"/>
      <c r="CA202" s="405"/>
      <c r="CG202" s="83"/>
      <c r="CO202" s="405"/>
      <c r="CU202" s="83"/>
      <c r="DC202" s="405"/>
      <c r="DI202" s="83"/>
      <c r="DQ202" s="405"/>
      <c r="DW202" s="83"/>
      <c r="EE202" s="405"/>
      <c r="EK202" s="83"/>
      <c r="ES202" s="405"/>
      <c r="EY202" s="83"/>
      <c r="FG202" s="405"/>
      <c r="FM202" s="83"/>
      <c r="FU202" s="405"/>
      <c r="GA202" s="83"/>
      <c r="GI202" s="405"/>
      <c r="GO202" s="83"/>
      <c r="GW202" s="405"/>
      <c r="HC202" s="83"/>
      <c r="HK202" s="405"/>
      <c r="HQ202" s="83"/>
      <c r="HY202" s="405"/>
      <c r="IE202" s="83"/>
      <c r="IM202" s="405"/>
      <c r="IS202" s="83"/>
      <c r="JA202" s="405"/>
      <c r="JG202" s="83"/>
      <c r="JO202" s="405"/>
      <c r="JU202" s="83"/>
      <c r="KC202" s="405"/>
      <c r="KI202" s="83"/>
      <c r="KQ202" s="405"/>
      <c r="KW202" s="83"/>
      <c r="LE202" s="405"/>
      <c r="LK202" s="83"/>
      <c r="LS202" s="405"/>
      <c r="LY202" s="83"/>
      <c r="MG202" s="405"/>
      <c r="MM202" s="83"/>
      <c r="MU202" s="405"/>
      <c r="NA202" s="83"/>
    </row>
    <row r="203">
      <c r="A203" s="483"/>
      <c r="B203" s="380"/>
      <c r="C203" s="380"/>
      <c r="D203" s="380"/>
      <c r="E203" s="380"/>
      <c r="F203" s="380"/>
      <c r="G203" s="380"/>
      <c r="H203" s="380"/>
      <c r="I203" s="403"/>
      <c r="J203" s="380"/>
      <c r="K203" s="380"/>
      <c r="L203" s="380"/>
      <c r="M203" s="380"/>
      <c r="N203" s="380"/>
      <c r="O203" s="404"/>
      <c r="P203" s="380"/>
      <c r="Q203" s="380"/>
      <c r="R203" s="380"/>
      <c r="S203" s="380"/>
      <c r="T203" s="380"/>
      <c r="U203" s="380"/>
      <c r="V203" s="380"/>
      <c r="W203" s="403"/>
      <c r="X203" s="380"/>
      <c r="Y203" s="380"/>
      <c r="Z203" s="380"/>
      <c r="AA203" s="380"/>
      <c r="AB203" s="380"/>
      <c r="AC203" s="404"/>
      <c r="AD203" s="380"/>
      <c r="AE203" s="380"/>
      <c r="AF203" s="380"/>
      <c r="AG203" s="380"/>
      <c r="AH203" s="380"/>
      <c r="AI203" s="380"/>
      <c r="AJ203" s="380"/>
      <c r="AK203" s="403"/>
      <c r="AL203" s="380"/>
      <c r="AM203" s="380"/>
      <c r="AN203" s="380"/>
      <c r="AO203" s="380"/>
      <c r="AP203" s="380"/>
      <c r="AQ203" s="404"/>
      <c r="AR203" s="380"/>
      <c r="AS203" s="380"/>
      <c r="AT203" s="380"/>
      <c r="AU203" s="380"/>
      <c r="AV203" s="380"/>
      <c r="AW203" s="380"/>
      <c r="AX203" s="380"/>
      <c r="AY203" s="403"/>
      <c r="AZ203" s="380"/>
      <c r="BA203" s="380"/>
      <c r="BB203" s="380"/>
      <c r="BC203" s="380"/>
      <c r="BD203" s="380"/>
      <c r="BE203" s="404"/>
      <c r="BF203" s="380"/>
      <c r="BG203" s="380"/>
      <c r="BH203" s="380"/>
      <c r="BI203" s="380"/>
      <c r="BJ203" s="380"/>
      <c r="BK203" s="380"/>
      <c r="BL203" s="380"/>
      <c r="BM203" s="403"/>
      <c r="BS203" s="83"/>
      <c r="CA203" s="405"/>
      <c r="CG203" s="83"/>
      <c r="CO203" s="405"/>
      <c r="CU203" s="83"/>
      <c r="DC203" s="405"/>
      <c r="DI203" s="83"/>
      <c r="DQ203" s="405"/>
      <c r="DW203" s="83"/>
      <c r="EE203" s="405"/>
      <c r="EK203" s="83"/>
      <c r="ES203" s="405"/>
      <c r="EY203" s="83"/>
      <c r="FG203" s="405"/>
      <c r="FM203" s="83"/>
      <c r="FU203" s="405"/>
      <c r="GA203" s="83"/>
      <c r="GI203" s="405"/>
      <c r="GO203" s="83"/>
      <c r="GW203" s="405"/>
      <c r="HC203" s="83"/>
      <c r="HK203" s="405"/>
      <c r="HQ203" s="83"/>
      <c r="HY203" s="405"/>
      <c r="IE203" s="83"/>
      <c r="IM203" s="405"/>
      <c r="IS203" s="83"/>
      <c r="JA203" s="405"/>
      <c r="JG203" s="83"/>
      <c r="JO203" s="405"/>
      <c r="JU203" s="83"/>
      <c r="KC203" s="405"/>
      <c r="KI203" s="83"/>
      <c r="KQ203" s="405"/>
      <c r="KW203" s="83"/>
      <c r="LE203" s="405"/>
      <c r="LK203" s="83"/>
      <c r="LS203" s="405"/>
      <c r="LY203" s="83"/>
      <c r="MG203" s="405"/>
      <c r="MM203" s="83"/>
      <c r="MU203" s="405"/>
      <c r="NA203" s="83"/>
    </row>
    <row r="204">
      <c r="A204" s="483"/>
      <c r="B204" s="380"/>
      <c r="C204" s="380"/>
      <c r="D204" s="380"/>
      <c r="E204" s="380"/>
      <c r="F204" s="380"/>
      <c r="G204" s="380"/>
      <c r="H204" s="380"/>
      <c r="I204" s="403"/>
      <c r="J204" s="380"/>
      <c r="K204" s="380"/>
      <c r="L204" s="380"/>
      <c r="M204" s="380"/>
      <c r="N204" s="380"/>
      <c r="O204" s="404"/>
      <c r="P204" s="380"/>
      <c r="Q204" s="380"/>
      <c r="R204" s="380"/>
      <c r="S204" s="380"/>
      <c r="T204" s="380"/>
      <c r="U204" s="380"/>
      <c r="V204" s="380"/>
      <c r="W204" s="403"/>
      <c r="X204" s="380"/>
      <c r="Y204" s="380"/>
      <c r="Z204" s="380"/>
      <c r="AA204" s="380"/>
      <c r="AB204" s="380"/>
      <c r="AC204" s="404"/>
      <c r="AD204" s="380"/>
      <c r="AE204" s="380"/>
      <c r="AF204" s="380"/>
      <c r="AG204" s="380"/>
      <c r="AH204" s="380"/>
      <c r="AI204" s="380"/>
      <c r="AJ204" s="380"/>
      <c r="AK204" s="403"/>
      <c r="AL204" s="380"/>
      <c r="AM204" s="380"/>
      <c r="AN204" s="380"/>
      <c r="AO204" s="380"/>
      <c r="AP204" s="380"/>
      <c r="AQ204" s="404"/>
      <c r="AR204" s="380"/>
      <c r="AS204" s="380"/>
      <c r="AT204" s="380"/>
      <c r="AU204" s="380"/>
      <c r="AV204" s="380"/>
      <c r="AW204" s="380"/>
      <c r="AX204" s="380"/>
      <c r="AY204" s="403"/>
      <c r="AZ204" s="380"/>
      <c r="BA204" s="380"/>
      <c r="BB204" s="380"/>
      <c r="BC204" s="380"/>
      <c r="BD204" s="380"/>
      <c r="BE204" s="404"/>
      <c r="BF204" s="380"/>
      <c r="BG204" s="380"/>
      <c r="BH204" s="380"/>
      <c r="BI204" s="380"/>
      <c r="BJ204" s="380"/>
      <c r="BK204" s="380"/>
      <c r="BL204" s="380"/>
      <c r="BM204" s="403"/>
      <c r="BS204" s="83"/>
      <c r="CA204" s="405"/>
      <c r="CG204" s="83"/>
      <c r="CO204" s="405"/>
      <c r="CU204" s="83"/>
      <c r="DC204" s="405"/>
      <c r="DI204" s="83"/>
      <c r="DQ204" s="405"/>
      <c r="DW204" s="83"/>
      <c r="EE204" s="405"/>
      <c r="EK204" s="83"/>
      <c r="ES204" s="405"/>
      <c r="EY204" s="83"/>
      <c r="FG204" s="405"/>
      <c r="FM204" s="83"/>
      <c r="FU204" s="405"/>
      <c r="GA204" s="83"/>
      <c r="GI204" s="405"/>
      <c r="GO204" s="83"/>
      <c r="GW204" s="405"/>
      <c r="HC204" s="83"/>
      <c r="HK204" s="405"/>
      <c r="HQ204" s="83"/>
      <c r="HY204" s="405"/>
      <c r="IE204" s="83"/>
      <c r="IM204" s="405"/>
      <c r="IS204" s="83"/>
      <c r="JA204" s="405"/>
      <c r="JG204" s="83"/>
      <c r="JO204" s="405"/>
      <c r="JU204" s="83"/>
      <c r="KC204" s="405"/>
      <c r="KI204" s="83"/>
      <c r="KQ204" s="405"/>
      <c r="KW204" s="83"/>
      <c r="LE204" s="405"/>
      <c r="LK204" s="83"/>
      <c r="LS204" s="405"/>
      <c r="LY204" s="83"/>
      <c r="MG204" s="405"/>
      <c r="MM204" s="83"/>
      <c r="MU204" s="405"/>
      <c r="NA204" s="83"/>
    </row>
    <row r="205">
      <c r="A205" s="483"/>
      <c r="B205" s="380"/>
      <c r="C205" s="380"/>
      <c r="D205" s="380"/>
      <c r="E205" s="380"/>
      <c r="F205" s="380"/>
      <c r="G205" s="380"/>
      <c r="H205" s="380"/>
      <c r="I205" s="403"/>
      <c r="J205" s="380"/>
      <c r="K205" s="380"/>
      <c r="L205" s="380"/>
      <c r="M205" s="380"/>
      <c r="N205" s="380"/>
      <c r="O205" s="404"/>
      <c r="P205" s="380"/>
      <c r="Q205" s="380"/>
      <c r="R205" s="380"/>
      <c r="S205" s="380"/>
      <c r="T205" s="380"/>
      <c r="U205" s="380"/>
      <c r="V205" s="380"/>
      <c r="W205" s="403"/>
      <c r="X205" s="380"/>
      <c r="Y205" s="380"/>
      <c r="Z205" s="380"/>
      <c r="AA205" s="380"/>
      <c r="AB205" s="380"/>
      <c r="AC205" s="404"/>
      <c r="AD205" s="380"/>
      <c r="AE205" s="380"/>
      <c r="AF205" s="380"/>
      <c r="AG205" s="380"/>
      <c r="AH205" s="380"/>
      <c r="AI205" s="380"/>
      <c r="AJ205" s="380"/>
      <c r="AK205" s="403"/>
      <c r="AL205" s="380"/>
      <c r="AM205" s="380"/>
      <c r="AN205" s="380"/>
      <c r="AO205" s="380"/>
      <c r="AP205" s="380"/>
      <c r="AQ205" s="404"/>
      <c r="AR205" s="380"/>
      <c r="AS205" s="380"/>
      <c r="AT205" s="380"/>
      <c r="AU205" s="380"/>
      <c r="AV205" s="380"/>
      <c r="AW205" s="380"/>
      <c r="AX205" s="380"/>
      <c r="AY205" s="403"/>
      <c r="AZ205" s="380"/>
      <c r="BA205" s="380"/>
      <c r="BB205" s="380"/>
      <c r="BC205" s="380"/>
      <c r="BD205" s="380"/>
      <c r="BE205" s="404"/>
      <c r="BF205" s="380"/>
      <c r="BG205" s="380"/>
      <c r="BH205" s="380"/>
      <c r="BI205" s="380"/>
      <c r="BJ205" s="380"/>
      <c r="BK205" s="380"/>
      <c r="BL205" s="380"/>
      <c r="BM205" s="403"/>
      <c r="BS205" s="83"/>
      <c r="CA205" s="405"/>
      <c r="CG205" s="83"/>
      <c r="CO205" s="405"/>
      <c r="CU205" s="83"/>
      <c r="DC205" s="405"/>
      <c r="DI205" s="83"/>
      <c r="DQ205" s="405"/>
      <c r="DW205" s="83"/>
      <c r="EE205" s="405"/>
      <c r="EK205" s="83"/>
      <c r="ES205" s="405"/>
      <c r="EY205" s="83"/>
      <c r="FG205" s="405"/>
      <c r="FM205" s="83"/>
      <c r="FU205" s="405"/>
      <c r="GA205" s="83"/>
      <c r="GI205" s="405"/>
      <c r="GO205" s="83"/>
      <c r="GW205" s="405"/>
      <c r="HC205" s="83"/>
      <c r="HK205" s="405"/>
      <c r="HQ205" s="83"/>
      <c r="HY205" s="405"/>
      <c r="IE205" s="83"/>
      <c r="IM205" s="405"/>
      <c r="IS205" s="83"/>
      <c r="JA205" s="405"/>
      <c r="JG205" s="83"/>
      <c r="JO205" s="405"/>
      <c r="JU205" s="83"/>
      <c r="KC205" s="405"/>
      <c r="KI205" s="83"/>
      <c r="KQ205" s="405"/>
      <c r="KW205" s="83"/>
      <c r="LE205" s="405"/>
      <c r="LK205" s="83"/>
      <c r="LS205" s="405"/>
      <c r="LY205" s="83"/>
      <c r="MG205" s="405"/>
      <c r="MM205" s="83"/>
      <c r="MU205" s="405"/>
      <c r="NA205" s="83"/>
    </row>
    <row r="206">
      <c r="A206" s="483"/>
      <c r="B206" s="380"/>
      <c r="C206" s="380"/>
      <c r="D206" s="380"/>
      <c r="E206" s="380"/>
      <c r="F206" s="380"/>
      <c r="G206" s="380"/>
      <c r="H206" s="380"/>
      <c r="I206" s="403"/>
      <c r="J206" s="380"/>
      <c r="K206" s="380"/>
      <c r="L206" s="380"/>
      <c r="M206" s="380"/>
      <c r="N206" s="380"/>
      <c r="O206" s="404"/>
      <c r="P206" s="380"/>
      <c r="Q206" s="380"/>
      <c r="R206" s="380"/>
      <c r="S206" s="380"/>
      <c r="T206" s="380"/>
      <c r="U206" s="380"/>
      <c r="V206" s="380"/>
      <c r="W206" s="403"/>
      <c r="X206" s="380"/>
      <c r="Y206" s="380"/>
      <c r="Z206" s="380"/>
      <c r="AA206" s="380"/>
      <c r="AB206" s="380"/>
      <c r="AC206" s="404"/>
      <c r="AD206" s="380"/>
      <c r="AE206" s="380"/>
      <c r="AF206" s="380"/>
      <c r="AG206" s="380"/>
      <c r="AH206" s="380"/>
      <c r="AI206" s="380"/>
      <c r="AJ206" s="380"/>
      <c r="AK206" s="403"/>
      <c r="AL206" s="380"/>
      <c r="AM206" s="380"/>
      <c r="AN206" s="380"/>
      <c r="AO206" s="380"/>
      <c r="AP206" s="380"/>
      <c r="AQ206" s="404"/>
      <c r="AR206" s="380"/>
      <c r="AS206" s="380"/>
      <c r="AT206" s="380"/>
      <c r="AU206" s="380"/>
      <c r="AV206" s="380"/>
      <c r="AW206" s="380"/>
      <c r="AX206" s="380"/>
      <c r="AY206" s="403"/>
      <c r="AZ206" s="380"/>
      <c r="BA206" s="380"/>
      <c r="BB206" s="380"/>
      <c r="BC206" s="380"/>
      <c r="BD206" s="380"/>
      <c r="BE206" s="404"/>
      <c r="BF206" s="380"/>
      <c r="BG206" s="380"/>
      <c r="BH206" s="380"/>
      <c r="BI206" s="380"/>
      <c r="BJ206" s="380"/>
      <c r="BK206" s="380"/>
      <c r="BL206" s="380"/>
      <c r="BM206" s="403"/>
      <c r="BS206" s="83"/>
      <c r="CA206" s="405"/>
      <c r="CG206" s="83"/>
      <c r="CO206" s="405"/>
      <c r="CU206" s="83"/>
      <c r="DC206" s="405"/>
      <c r="DI206" s="83"/>
      <c r="DQ206" s="405"/>
      <c r="DW206" s="83"/>
      <c r="EE206" s="405"/>
      <c r="EK206" s="83"/>
      <c r="ES206" s="405"/>
      <c r="EY206" s="83"/>
      <c r="FG206" s="405"/>
      <c r="FM206" s="83"/>
      <c r="FU206" s="405"/>
      <c r="GA206" s="83"/>
      <c r="GI206" s="405"/>
      <c r="GO206" s="83"/>
      <c r="GW206" s="405"/>
      <c r="HC206" s="83"/>
      <c r="HK206" s="405"/>
      <c r="HQ206" s="83"/>
      <c r="HY206" s="405"/>
      <c r="IE206" s="83"/>
      <c r="IM206" s="405"/>
      <c r="IS206" s="83"/>
      <c r="JA206" s="405"/>
      <c r="JG206" s="83"/>
      <c r="JO206" s="405"/>
      <c r="JU206" s="83"/>
      <c r="KC206" s="405"/>
      <c r="KI206" s="83"/>
      <c r="KQ206" s="405"/>
      <c r="KW206" s="83"/>
      <c r="LE206" s="405"/>
      <c r="LK206" s="83"/>
      <c r="LS206" s="405"/>
      <c r="LY206" s="83"/>
      <c r="MG206" s="405"/>
      <c r="MM206" s="83"/>
      <c r="MU206" s="405"/>
      <c r="NA206" s="83"/>
    </row>
    <row r="207">
      <c r="A207" s="483"/>
      <c r="B207" s="380"/>
      <c r="C207" s="380"/>
      <c r="D207" s="380"/>
      <c r="E207" s="380"/>
      <c r="F207" s="380"/>
      <c r="G207" s="380"/>
      <c r="H207" s="380"/>
      <c r="I207" s="403"/>
      <c r="J207" s="380"/>
      <c r="K207" s="380"/>
      <c r="L207" s="380"/>
      <c r="M207" s="380"/>
      <c r="N207" s="380"/>
      <c r="O207" s="404"/>
      <c r="P207" s="380"/>
      <c r="Q207" s="380"/>
      <c r="R207" s="380"/>
      <c r="S207" s="380"/>
      <c r="T207" s="380"/>
      <c r="U207" s="380"/>
      <c r="V207" s="380"/>
      <c r="W207" s="403"/>
      <c r="X207" s="380"/>
      <c r="Y207" s="380"/>
      <c r="Z207" s="380"/>
      <c r="AA207" s="380"/>
      <c r="AB207" s="380"/>
      <c r="AC207" s="404"/>
      <c r="AD207" s="380"/>
      <c r="AE207" s="380"/>
      <c r="AF207" s="380"/>
      <c r="AG207" s="380"/>
      <c r="AH207" s="380"/>
      <c r="AI207" s="380"/>
      <c r="AJ207" s="380"/>
      <c r="AK207" s="403"/>
      <c r="AL207" s="380"/>
      <c r="AM207" s="380"/>
      <c r="AN207" s="380"/>
      <c r="AO207" s="380"/>
      <c r="AP207" s="380"/>
      <c r="AQ207" s="404"/>
      <c r="AR207" s="380"/>
      <c r="AS207" s="380"/>
      <c r="AT207" s="380"/>
      <c r="AU207" s="380"/>
      <c r="AV207" s="380"/>
      <c r="AW207" s="380"/>
      <c r="AX207" s="380"/>
      <c r="AY207" s="403"/>
      <c r="AZ207" s="380"/>
      <c r="BA207" s="380"/>
      <c r="BB207" s="380"/>
      <c r="BC207" s="380"/>
      <c r="BD207" s="380"/>
      <c r="BE207" s="404"/>
      <c r="BF207" s="380"/>
      <c r="BG207" s="380"/>
      <c r="BH207" s="380"/>
      <c r="BI207" s="380"/>
      <c r="BJ207" s="380"/>
      <c r="BK207" s="380"/>
      <c r="BL207" s="380"/>
      <c r="BM207" s="403"/>
      <c r="BS207" s="83"/>
      <c r="CA207" s="405"/>
      <c r="CG207" s="83"/>
      <c r="CO207" s="405"/>
      <c r="CU207" s="83"/>
      <c r="DC207" s="405"/>
      <c r="DI207" s="83"/>
      <c r="DQ207" s="405"/>
      <c r="DW207" s="83"/>
      <c r="EE207" s="405"/>
      <c r="EK207" s="83"/>
      <c r="ES207" s="405"/>
      <c r="EY207" s="83"/>
      <c r="FG207" s="405"/>
      <c r="FM207" s="83"/>
      <c r="FU207" s="405"/>
      <c r="GA207" s="83"/>
      <c r="GI207" s="405"/>
      <c r="GO207" s="83"/>
      <c r="GW207" s="405"/>
      <c r="HC207" s="83"/>
      <c r="HK207" s="405"/>
      <c r="HQ207" s="83"/>
      <c r="HY207" s="405"/>
      <c r="IE207" s="83"/>
      <c r="IM207" s="405"/>
      <c r="IS207" s="83"/>
      <c r="JA207" s="405"/>
      <c r="JG207" s="83"/>
      <c r="JO207" s="405"/>
      <c r="JU207" s="83"/>
      <c r="KC207" s="405"/>
      <c r="KI207" s="83"/>
      <c r="KQ207" s="405"/>
      <c r="KW207" s="83"/>
      <c r="LE207" s="405"/>
      <c r="LK207" s="83"/>
      <c r="LS207" s="405"/>
      <c r="LY207" s="83"/>
      <c r="MG207" s="405"/>
      <c r="MM207" s="83"/>
      <c r="MU207" s="405"/>
      <c r="NA207" s="83"/>
    </row>
    <row r="208">
      <c r="A208" s="483"/>
      <c r="B208" s="380"/>
      <c r="C208" s="380"/>
      <c r="D208" s="380"/>
      <c r="E208" s="380"/>
      <c r="F208" s="380"/>
      <c r="G208" s="380"/>
      <c r="H208" s="380"/>
      <c r="I208" s="403"/>
      <c r="J208" s="380"/>
      <c r="K208" s="380"/>
      <c r="L208" s="380"/>
      <c r="M208" s="380"/>
      <c r="N208" s="380"/>
      <c r="O208" s="404"/>
      <c r="P208" s="380"/>
      <c r="Q208" s="380"/>
      <c r="R208" s="380"/>
      <c r="S208" s="380"/>
      <c r="T208" s="380"/>
      <c r="U208" s="380"/>
      <c r="V208" s="380"/>
      <c r="W208" s="403"/>
      <c r="X208" s="380"/>
      <c r="Y208" s="380"/>
      <c r="Z208" s="380"/>
      <c r="AA208" s="380"/>
      <c r="AB208" s="380"/>
      <c r="AC208" s="404"/>
      <c r="AD208" s="380"/>
      <c r="AE208" s="380"/>
      <c r="AF208" s="380"/>
      <c r="AG208" s="380"/>
      <c r="AH208" s="380"/>
      <c r="AI208" s="380"/>
      <c r="AJ208" s="380"/>
      <c r="AK208" s="403"/>
      <c r="AL208" s="380"/>
      <c r="AM208" s="380"/>
      <c r="AN208" s="380"/>
      <c r="AO208" s="380"/>
      <c r="AP208" s="380"/>
      <c r="AQ208" s="404"/>
      <c r="AR208" s="380"/>
      <c r="AS208" s="380"/>
      <c r="AT208" s="380"/>
      <c r="AU208" s="380"/>
      <c r="AV208" s="380"/>
      <c r="AW208" s="380"/>
      <c r="AX208" s="380"/>
      <c r="AY208" s="403"/>
      <c r="AZ208" s="380"/>
      <c r="BA208" s="380"/>
      <c r="BB208" s="380"/>
      <c r="BC208" s="380"/>
      <c r="BD208" s="380"/>
      <c r="BE208" s="404"/>
      <c r="BF208" s="380"/>
      <c r="BG208" s="380"/>
      <c r="BH208" s="380"/>
      <c r="BI208" s="380"/>
      <c r="BJ208" s="380"/>
      <c r="BK208" s="380"/>
      <c r="BL208" s="380"/>
      <c r="BM208" s="403"/>
      <c r="BS208" s="83"/>
      <c r="CA208" s="405"/>
      <c r="CG208" s="83"/>
      <c r="CO208" s="405"/>
      <c r="CU208" s="83"/>
      <c r="DC208" s="405"/>
      <c r="DI208" s="83"/>
      <c r="DQ208" s="405"/>
      <c r="DW208" s="83"/>
      <c r="EE208" s="405"/>
      <c r="EK208" s="83"/>
      <c r="ES208" s="405"/>
      <c r="EY208" s="83"/>
      <c r="FG208" s="405"/>
      <c r="FM208" s="83"/>
      <c r="FU208" s="405"/>
      <c r="GA208" s="83"/>
      <c r="GI208" s="405"/>
      <c r="GO208" s="83"/>
      <c r="GW208" s="405"/>
      <c r="HC208" s="83"/>
      <c r="HK208" s="405"/>
      <c r="HQ208" s="83"/>
      <c r="HY208" s="405"/>
      <c r="IE208" s="83"/>
      <c r="IM208" s="405"/>
      <c r="IS208" s="83"/>
      <c r="JA208" s="405"/>
      <c r="JG208" s="83"/>
      <c r="JO208" s="405"/>
      <c r="JU208" s="83"/>
      <c r="KC208" s="405"/>
      <c r="KI208" s="83"/>
      <c r="KQ208" s="405"/>
      <c r="KW208" s="83"/>
      <c r="LE208" s="405"/>
      <c r="LK208" s="83"/>
      <c r="LS208" s="405"/>
      <c r="LY208" s="83"/>
      <c r="MG208" s="405"/>
      <c r="MM208" s="83"/>
      <c r="MU208" s="405"/>
      <c r="NA208" s="83"/>
    </row>
    <row r="209">
      <c r="A209" s="483"/>
      <c r="B209" s="380"/>
      <c r="C209" s="380"/>
      <c r="D209" s="380"/>
      <c r="E209" s="380"/>
      <c r="F209" s="380"/>
      <c r="G209" s="380"/>
      <c r="H209" s="380"/>
      <c r="I209" s="403"/>
      <c r="J209" s="380"/>
      <c r="K209" s="380"/>
      <c r="L209" s="380"/>
      <c r="M209" s="380"/>
      <c r="N209" s="380"/>
      <c r="O209" s="404"/>
      <c r="P209" s="380"/>
      <c r="Q209" s="380"/>
      <c r="R209" s="380"/>
      <c r="S209" s="380"/>
      <c r="T209" s="380"/>
      <c r="U209" s="380"/>
      <c r="V209" s="380"/>
      <c r="W209" s="403"/>
      <c r="X209" s="380"/>
      <c r="Y209" s="380"/>
      <c r="Z209" s="380"/>
      <c r="AA209" s="380"/>
      <c r="AB209" s="380"/>
      <c r="AC209" s="404"/>
      <c r="AD209" s="380"/>
      <c r="AE209" s="380"/>
      <c r="AF209" s="380"/>
      <c r="AG209" s="380"/>
      <c r="AH209" s="380"/>
      <c r="AI209" s="380"/>
      <c r="AJ209" s="380"/>
      <c r="AK209" s="403"/>
      <c r="AL209" s="380"/>
      <c r="AM209" s="380"/>
      <c r="AN209" s="380"/>
      <c r="AO209" s="380"/>
      <c r="AP209" s="380"/>
      <c r="AQ209" s="404"/>
      <c r="AR209" s="380"/>
      <c r="AS209" s="380"/>
      <c r="AT209" s="380"/>
      <c r="AU209" s="380"/>
      <c r="AV209" s="380"/>
      <c r="AW209" s="380"/>
      <c r="AX209" s="380"/>
      <c r="AY209" s="403"/>
      <c r="AZ209" s="380"/>
      <c r="BA209" s="380"/>
      <c r="BB209" s="380"/>
      <c r="BC209" s="380"/>
      <c r="BD209" s="380"/>
      <c r="BE209" s="404"/>
      <c r="BF209" s="380"/>
      <c r="BG209" s="380"/>
      <c r="BH209" s="380"/>
      <c r="BI209" s="380"/>
      <c r="BJ209" s="380"/>
      <c r="BK209" s="380"/>
      <c r="BL209" s="380"/>
      <c r="BM209" s="403"/>
      <c r="BS209" s="83"/>
      <c r="CA209" s="405"/>
      <c r="CG209" s="83"/>
      <c r="CO209" s="405"/>
      <c r="CU209" s="83"/>
      <c r="DC209" s="405"/>
      <c r="DI209" s="83"/>
      <c r="DQ209" s="405"/>
      <c r="DW209" s="83"/>
      <c r="EE209" s="405"/>
      <c r="EK209" s="83"/>
      <c r="ES209" s="405"/>
      <c r="EY209" s="83"/>
      <c r="FG209" s="405"/>
      <c r="FM209" s="83"/>
      <c r="FU209" s="405"/>
      <c r="GA209" s="83"/>
      <c r="GI209" s="405"/>
      <c r="GO209" s="83"/>
      <c r="GW209" s="405"/>
      <c r="HC209" s="83"/>
      <c r="HK209" s="405"/>
      <c r="HQ209" s="83"/>
      <c r="HY209" s="405"/>
      <c r="IE209" s="83"/>
      <c r="IM209" s="405"/>
      <c r="IS209" s="83"/>
      <c r="JA209" s="405"/>
      <c r="JG209" s="83"/>
      <c r="JO209" s="405"/>
      <c r="JU209" s="83"/>
      <c r="KC209" s="405"/>
      <c r="KI209" s="83"/>
      <c r="KQ209" s="405"/>
      <c r="KW209" s="83"/>
      <c r="LE209" s="405"/>
      <c r="LK209" s="83"/>
      <c r="LS209" s="405"/>
      <c r="LY209" s="83"/>
      <c r="MG209" s="405"/>
      <c r="MM209" s="83"/>
      <c r="MU209" s="405"/>
      <c r="NA209" s="83"/>
    </row>
    <row r="210">
      <c r="A210" s="483"/>
      <c r="B210" s="380"/>
      <c r="C210" s="380"/>
      <c r="D210" s="380"/>
      <c r="E210" s="380"/>
      <c r="F210" s="380"/>
      <c r="G210" s="380"/>
      <c r="H210" s="380"/>
      <c r="I210" s="403"/>
      <c r="J210" s="380"/>
      <c r="K210" s="380"/>
      <c r="L210" s="380"/>
      <c r="M210" s="380"/>
      <c r="N210" s="380"/>
      <c r="O210" s="404"/>
      <c r="P210" s="380"/>
      <c r="Q210" s="380"/>
      <c r="R210" s="380"/>
      <c r="S210" s="380"/>
      <c r="T210" s="380"/>
      <c r="U210" s="380"/>
      <c r="V210" s="380"/>
      <c r="W210" s="403"/>
      <c r="X210" s="380"/>
      <c r="Y210" s="380"/>
      <c r="Z210" s="380"/>
      <c r="AA210" s="380"/>
      <c r="AB210" s="380"/>
      <c r="AC210" s="404"/>
      <c r="AD210" s="380"/>
      <c r="AE210" s="380"/>
      <c r="AF210" s="380"/>
      <c r="AG210" s="380"/>
      <c r="AH210" s="380"/>
      <c r="AI210" s="380"/>
      <c r="AJ210" s="380"/>
      <c r="AK210" s="403"/>
      <c r="AL210" s="380"/>
      <c r="AM210" s="380"/>
      <c r="AN210" s="380"/>
      <c r="AO210" s="380"/>
      <c r="AP210" s="380"/>
      <c r="AQ210" s="404"/>
      <c r="AR210" s="380"/>
      <c r="AS210" s="380"/>
      <c r="AT210" s="380"/>
      <c r="AU210" s="380"/>
      <c r="AV210" s="380"/>
      <c r="AW210" s="380"/>
      <c r="AX210" s="380"/>
      <c r="AY210" s="403"/>
      <c r="AZ210" s="380"/>
      <c r="BA210" s="380"/>
      <c r="BB210" s="380"/>
      <c r="BC210" s="380"/>
      <c r="BD210" s="380"/>
      <c r="BE210" s="404"/>
      <c r="BF210" s="380"/>
      <c r="BG210" s="380"/>
      <c r="BH210" s="380"/>
      <c r="BI210" s="380"/>
      <c r="BJ210" s="380"/>
      <c r="BK210" s="380"/>
      <c r="BL210" s="380"/>
      <c r="BM210" s="403"/>
      <c r="BS210" s="83"/>
      <c r="CA210" s="405"/>
      <c r="CG210" s="83"/>
      <c r="CO210" s="405"/>
      <c r="CU210" s="83"/>
      <c r="DC210" s="405"/>
      <c r="DI210" s="83"/>
      <c r="DQ210" s="405"/>
      <c r="DW210" s="83"/>
      <c r="EE210" s="405"/>
      <c r="EK210" s="83"/>
      <c r="ES210" s="405"/>
      <c r="EY210" s="83"/>
      <c r="FG210" s="405"/>
      <c r="FM210" s="83"/>
      <c r="FU210" s="405"/>
      <c r="GA210" s="83"/>
      <c r="GI210" s="405"/>
      <c r="GO210" s="83"/>
      <c r="GW210" s="405"/>
      <c r="HC210" s="83"/>
      <c r="HK210" s="405"/>
      <c r="HQ210" s="83"/>
      <c r="HY210" s="405"/>
      <c r="IE210" s="83"/>
      <c r="IM210" s="405"/>
      <c r="IS210" s="83"/>
      <c r="JA210" s="405"/>
      <c r="JG210" s="83"/>
      <c r="JO210" s="405"/>
      <c r="JU210" s="83"/>
      <c r="KC210" s="405"/>
      <c r="KI210" s="83"/>
      <c r="KQ210" s="405"/>
      <c r="KW210" s="83"/>
      <c r="LE210" s="405"/>
      <c r="LK210" s="83"/>
      <c r="LS210" s="405"/>
      <c r="LY210" s="83"/>
      <c r="MG210" s="405"/>
      <c r="MM210" s="83"/>
      <c r="MU210" s="405"/>
      <c r="NA210" s="83"/>
    </row>
    <row r="211">
      <c r="A211" s="483"/>
      <c r="B211" s="380"/>
      <c r="C211" s="380"/>
      <c r="D211" s="380"/>
      <c r="E211" s="380"/>
      <c r="F211" s="380"/>
      <c r="G211" s="380"/>
      <c r="H211" s="380"/>
      <c r="I211" s="403"/>
      <c r="J211" s="380"/>
      <c r="K211" s="380"/>
      <c r="L211" s="380"/>
      <c r="M211" s="380"/>
      <c r="N211" s="380"/>
      <c r="O211" s="404"/>
      <c r="P211" s="380"/>
      <c r="Q211" s="380"/>
      <c r="R211" s="380"/>
      <c r="S211" s="380"/>
      <c r="T211" s="380"/>
      <c r="U211" s="380"/>
      <c r="V211" s="380"/>
      <c r="W211" s="403"/>
      <c r="X211" s="380"/>
      <c r="Y211" s="380"/>
      <c r="Z211" s="380"/>
      <c r="AA211" s="380"/>
      <c r="AB211" s="380"/>
      <c r="AC211" s="404"/>
      <c r="AD211" s="380"/>
      <c r="AE211" s="380"/>
      <c r="AF211" s="380"/>
      <c r="AG211" s="380"/>
      <c r="AH211" s="380"/>
      <c r="AI211" s="380"/>
      <c r="AJ211" s="380"/>
      <c r="AK211" s="403"/>
      <c r="AL211" s="380"/>
      <c r="AM211" s="380"/>
      <c r="AN211" s="380"/>
      <c r="AO211" s="380"/>
      <c r="AP211" s="380"/>
      <c r="AQ211" s="404"/>
      <c r="AR211" s="380"/>
      <c r="AS211" s="380"/>
      <c r="AT211" s="380"/>
      <c r="AU211" s="380"/>
      <c r="AV211" s="380"/>
      <c r="AW211" s="380"/>
      <c r="AX211" s="380"/>
      <c r="AY211" s="403"/>
      <c r="AZ211" s="380"/>
      <c r="BA211" s="380"/>
      <c r="BB211" s="380"/>
      <c r="BC211" s="380"/>
      <c r="BD211" s="380"/>
      <c r="BE211" s="404"/>
      <c r="BF211" s="380"/>
      <c r="BG211" s="380"/>
      <c r="BH211" s="380"/>
      <c r="BI211" s="380"/>
      <c r="BJ211" s="380"/>
      <c r="BK211" s="380"/>
      <c r="BL211" s="380"/>
      <c r="BM211" s="403"/>
      <c r="BS211" s="83"/>
      <c r="CA211" s="405"/>
      <c r="CG211" s="83"/>
      <c r="CO211" s="405"/>
      <c r="CU211" s="83"/>
      <c r="DC211" s="405"/>
      <c r="DI211" s="83"/>
      <c r="DQ211" s="405"/>
      <c r="DW211" s="83"/>
      <c r="EE211" s="405"/>
      <c r="EK211" s="83"/>
      <c r="ES211" s="405"/>
      <c r="EY211" s="83"/>
      <c r="FG211" s="405"/>
      <c r="FM211" s="83"/>
      <c r="FU211" s="405"/>
      <c r="GA211" s="83"/>
      <c r="GI211" s="405"/>
      <c r="GO211" s="83"/>
      <c r="GW211" s="405"/>
      <c r="HC211" s="83"/>
      <c r="HK211" s="405"/>
      <c r="HQ211" s="83"/>
      <c r="HY211" s="405"/>
      <c r="IE211" s="83"/>
      <c r="IM211" s="405"/>
      <c r="IS211" s="83"/>
      <c r="JA211" s="405"/>
      <c r="JG211" s="83"/>
      <c r="JO211" s="405"/>
      <c r="JU211" s="83"/>
      <c r="KC211" s="405"/>
      <c r="KI211" s="83"/>
      <c r="KQ211" s="405"/>
      <c r="KW211" s="83"/>
      <c r="LE211" s="405"/>
      <c r="LK211" s="83"/>
      <c r="LS211" s="405"/>
      <c r="LY211" s="83"/>
      <c r="MG211" s="405"/>
      <c r="MM211" s="83"/>
      <c r="MU211" s="405"/>
      <c r="NA211" s="83"/>
    </row>
    <row r="212">
      <c r="A212" s="483"/>
      <c r="B212" s="380"/>
      <c r="C212" s="380"/>
      <c r="D212" s="380"/>
      <c r="E212" s="380"/>
      <c r="F212" s="380"/>
      <c r="G212" s="380"/>
      <c r="H212" s="380"/>
      <c r="I212" s="403"/>
      <c r="J212" s="380"/>
      <c r="K212" s="380"/>
      <c r="L212" s="380"/>
      <c r="M212" s="380"/>
      <c r="N212" s="380"/>
      <c r="O212" s="404"/>
      <c r="P212" s="380"/>
      <c r="Q212" s="380"/>
      <c r="R212" s="380"/>
      <c r="S212" s="380"/>
      <c r="T212" s="380"/>
      <c r="U212" s="380"/>
      <c r="V212" s="380"/>
      <c r="W212" s="403"/>
      <c r="X212" s="380"/>
      <c r="Y212" s="380"/>
      <c r="Z212" s="380"/>
      <c r="AA212" s="380"/>
      <c r="AB212" s="380"/>
      <c r="AC212" s="404"/>
      <c r="AD212" s="380"/>
      <c r="AE212" s="380"/>
      <c r="AF212" s="380"/>
      <c r="AG212" s="380"/>
      <c r="AH212" s="380"/>
      <c r="AI212" s="380"/>
      <c r="AJ212" s="380"/>
      <c r="AK212" s="403"/>
      <c r="AL212" s="380"/>
      <c r="AM212" s="380"/>
      <c r="AN212" s="380"/>
      <c r="AO212" s="380"/>
      <c r="AP212" s="380"/>
      <c r="AQ212" s="404"/>
      <c r="AR212" s="380"/>
      <c r="AS212" s="380"/>
      <c r="AT212" s="380"/>
      <c r="AU212" s="380"/>
      <c r="AV212" s="380"/>
      <c r="AW212" s="380"/>
      <c r="AX212" s="380"/>
      <c r="AY212" s="403"/>
      <c r="AZ212" s="380"/>
      <c r="BA212" s="380"/>
      <c r="BB212" s="380"/>
      <c r="BC212" s="380"/>
      <c r="BD212" s="380"/>
      <c r="BE212" s="404"/>
      <c r="BF212" s="380"/>
      <c r="BG212" s="380"/>
      <c r="BH212" s="380"/>
      <c r="BI212" s="380"/>
      <c r="BJ212" s="380"/>
      <c r="BK212" s="380"/>
      <c r="BL212" s="380"/>
      <c r="BM212" s="403"/>
      <c r="BS212" s="83"/>
      <c r="CA212" s="405"/>
      <c r="CG212" s="83"/>
      <c r="CO212" s="405"/>
      <c r="CU212" s="83"/>
      <c r="DC212" s="405"/>
      <c r="DI212" s="83"/>
      <c r="DQ212" s="405"/>
      <c r="DW212" s="83"/>
      <c r="EE212" s="405"/>
      <c r="EK212" s="83"/>
      <c r="ES212" s="405"/>
      <c r="EY212" s="83"/>
      <c r="FG212" s="405"/>
      <c r="FM212" s="83"/>
      <c r="FU212" s="405"/>
      <c r="GA212" s="83"/>
      <c r="GI212" s="405"/>
      <c r="GO212" s="83"/>
      <c r="GW212" s="405"/>
      <c r="HC212" s="83"/>
      <c r="HK212" s="405"/>
      <c r="HQ212" s="83"/>
      <c r="HY212" s="405"/>
      <c r="IE212" s="83"/>
      <c r="IM212" s="405"/>
      <c r="IS212" s="83"/>
      <c r="JA212" s="405"/>
      <c r="JG212" s="83"/>
      <c r="JO212" s="405"/>
      <c r="JU212" s="83"/>
      <c r="KC212" s="405"/>
      <c r="KI212" s="83"/>
      <c r="KQ212" s="405"/>
      <c r="KW212" s="83"/>
      <c r="LE212" s="405"/>
      <c r="LK212" s="83"/>
      <c r="LS212" s="405"/>
      <c r="LY212" s="83"/>
      <c r="MG212" s="405"/>
      <c r="MM212" s="83"/>
      <c r="MU212" s="405"/>
      <c r="NA212" s="83"/>
    </row>
    <row r="213">
      <c r="A213" s="483"/>
      <c r="B213" s="380"/>
      <c r="C213" s="380"/>
      <c r="D213" s="380"/>
      <c r="E213" s="380"/>
      <c r="F213" s="380"/>
      <c r="G213" s="380"/>
      <c r="H213" s="380"/>
      <c r="I213" s="403"/>
      <c r="J213" s="380"/>
      <c r="K213" s="380"/>
      <c r="L213" s="380"/>
      <c r="M213" s="380"/>
      <c r="N213" s="380"/>
      <c r="O213" s="404"/>
      <c r="P213" s="380"/>
      <c r="Q213" s="380"/>
      <c r="R213" s="380"/>
      <c r="S213" s="380"/>
      <c r="T213" s="380"/>
      <c r="U213" s="380"/>
      <c r="V213" s="380"/>
      <c r="W213" s="403"/>
      <c r="X213" s="380"/>
      <c r="Y213" s="380"/>
      <c r="Z213" s="380"/>
      <c r="AA213" s="380"/>
      <c r="AB213" s="380"/>
      <c r="AC213" s="404"/>
      <c r="AD213" s="380"/>
      <c r="AE213" s="380"/>
      <c r="AF213" s="380"/>
      <c r="AG213" s="380"/>
      <c r="AH213" s="380"/>
      <c r="AI213" s="380"/>
      <c r="AJ213" s="380"/>
      <c r="AK213" s="403"/>
      <c r="AL213" s="380"/>
      <c r="AM213" s="380"/>
      <c r="AN213" s="380"/>
      <c r="AO213" s="380"/>
      <c r="AP213" s="380"/>
      <c r="AQ213" s="404"/>
      <c r="AR213" s="380"/>
      <c r="AS213" s="380"/>
      <c r="AT213" s="380"/>
      <c r="AU213" s="380"/>
      <c r="AV213" s="380"/>
      <c r="AW213" s="380"/>
      <c r="AX213" s="380"/>
      <c r="AY213" s="403"/>
      <c r="AZ213" s="380"/>
      <c r="BA213" s="380"/>
      <c r="BB213" s="380"/>
      <c r="BC213" s="380"/>
      <c r="BD213" s="380"/>
      <c r="BE213" s="404"/>
      <c r="BF213" s="380"/>
      <c r="BG213" s="380"/>
      <c r="BH213" s="380"/>
      <c r="BI213" s="380"/>
      <c r="BJ213" s="380"/>
      <c r="BK213" s="380"/>
      <c r="BL213" s="380"/>
      <c r="BM213" s="403"/>
      <c r="BS213" s="83"/>
      <c r="CA213" s="405"/>
      <c r="CG213" s="83"/>
      <c r="CO213" s="405"/>
      <c r="CU213" s="83"/>
      <c r="DC213" s="405"/>
      <c r="DI213" s="83"/>
      <c r="DQ213" s="405"/>
      <c r="DW213" s="83"/>
      <c r="EE213" s="405"/>
      <c r="EK213" s="83"/>
      <c r="ES213" s="405"/>
      <c r="EY213" s="83"/>
      <c r="FG213" s="405"/>
      <c r="FM213" s="83"/>
      <c r="FU213" s="405"/>
      <c r="GA213" s="83"/>
      <c r="GI213" s="405"/>
      <c r="GO213" s="83"/>
      <c r="GW213" s="405"/>
      <c r="HC213" s="83"/>
      <c r="HK213" s="405"/>
      <c r="HQ213" s="83"/>
      <c r="HY213" s="405"/>
      <c r="IE213" s="83"/>
      <c r="IM213" s="405"/>
      <c r="IS213" s="83"/>
      <c r="JA213" s="405"/>
      <c r="JG213" s="83"/>
      <c r="JO213" s="405"/>
      <c r="JU213" s="83"/>
      <c r="KC213" s="405"/>
      <c r="KI213" s="83"/>
      <c r="KQ213" s="405"/>
      <c r="KW213" s="83"/>
      <c r="LE213" s="405"/>
      <c r="LK213" s="83"/>
      <c r="LS213" s="405"/>
      <c r="LY213" s="83"/>
      <c r="MG213" s="405"/>
      <c r="MM213" s="83"/>
      <c r="MU213" s="405"/>
      <c r="NA213" s="83"/>
    </row>
    <row r="214">
      <c r="A214" s="483"/>
      <c r="B214" s="380"/>
      <c r="C214" s="380"/>
      <c r="D214" s="380"/>
      <c r="E214" s="380"/>
      <c r="F214" s="380"/>
      <c r="G214" s="380"/>
      <c r="H214" s="380"/>
      <c r="I214" s="403"/>
      <c r="J214" s="380"/>
      <c r="K214" s="380"/>
      <c r="L214" s="380"/>
      <c r="M214" s="380"/>
      <c r="N214" s="380"/>
      <c r="O214" s="404"/>
      <c r="P214" s="380"/>
      <c r="Q214" s="380"/>
      <c r="R214" s="380"/>
      <c r="S214" s="380"/>
      <c r="T214" s="380"/>
      <c r="U214" s="380"/>
      <c r="V214" s="380"/>
      <c r="W214" s="403"/>
      <c r="X214" s="380"/>
      <c r="Y214" s="380"/>
      <c r="Z214" s="380"/>
      <c r="AA214" s="380"/>
      <c r="AB214" s="380"/>
      <c r="AC214" s="404"/>
      <c r="AD214" s="380"/>
      <c r="AE214" s="380"/>
      <c r="AF214" s="380"/>
      <c r="AG214" s="380"/>
      <c r="AH214" s="380"/>
      <c r="AI214" s="380"/>
      <c r="AJ214" s="380"/>
      <c r="AK214" s="403"/>
      <c r="AL214" s="380"/>
      <c r="AM214" s="380"/>
      <c r="AN214" s="380"/>
      <c r="AO214" s="380"/>
      <c r="AP214" s="380"/>
      <c r="AQ214" s="404"/>
      <c r="AR214" s="380"/>
      <c r="AS214" s="380"/>
      <c r="AT214" s="380"/>
      <c r="AU214" s="380"/>
      <c r="AV214" s="380"/>
      <c r="AW214" s="380"/>
      <c r="AX214" s="380"/>
      <c r="AY214" s="403"/>
      <c r="AZ214" s="380"/>
      <c r="BA214" s="380"/>
      <c r="BB214" s="380"/>
      <c r="BC214" s="380"/>
      <c r="BD214" s="380"/>
      <c r="BE214" s="404"/>
      <c r="BF214" s="380"/>
      <c r="BG214" s="380"/>
      <c r="BH214" s="380"/>
      <c r="BI214" s="380"/>
      <c r="BJ214" s="380"/>
      <c r="BK214" s="380"/>
      <c r="BL214" s="380"/>
      <c r="BM214" s="403"/>
      <c r="BS214" s="83"/>
      <c r="CA214" s="405"/>
      <c r="CG214" s="83"/>
      <c r="CO214" s="405"/>
      <c r="CU214" s="83"/>
      <c r="DC214" s="405"/>
      <c r="DI214" s="83"/>
      <c r="DQ214" s="405"/>
      <c r="DW214" s="83"/>
      <c r="EE214" s="405"/>
      <c r="EK214" s="83"/>
      <c r="ES214" s="405"/>
      <c r="EY214" s="83"/>
      <c r="FG214" s="405"/>
      <c r="FM214" s="83"/>
      <c r="FU214" s="405"/>
      <c r="GA214" s="83"/>
      <c r="GI214" s="405"/>
      <c r="GO214" s="83"/>
      <c r="GW214" s="405"/>
      <c r="HC214" s="83"/>
      <c r="HK214" s="405"/>
      <c r="HQ214" s="83"/>
      <c r="HY214" s="405"/>
      <c r="IE214" s="83"/>
      <c r="IM214" s="405"/>
      <c r="IS214" s="83"/>
      <c r="JA214" s="405"/>
      <c r="JG214" s="83"/>
      <c r="JO214" s="405"/>
      <c r="JU214" s="83"/>
      <c r="KC214" s="405"/>
      <c r="KI214" s="83"/>
      <c r="KQ214" s="405"/>
      <c r="KW214" s="83"/>
      <c r="LE214" s="405"/>
      <c r="LK214" s="83"/>
      <c r="LS214" s="405"/>
      <c r="LY214" s="83"/>
      <c r="MG214" s="405"/>
      <c r="MM214" s="83"/>
      <c r="MU214" s="405"/>
      <c r="NA214" s="83"/>
    </row>
    <row r="215">
      <c r="A215" s="483"/>
      <c r="B215" s="380"/>
      <c r="C215" s="380"/>
      <c r="D215" s="380"/>
      <c r="E215" s="380"/>
      <c r="F215" s="380"/>
      <c r="G215" s="380"/>
      <c r="H215" s="380"/>
      <c r="I215" s="403"/>
      <c r="J215" s="380"/>
      <c r="K215" s="380"/>
      <c r="L215" s="380"/>
      <c r="M215" s="380"/>
      <c r="N215" s="380"/>
      <c r="O215" s="404"/>
      <c r="P215" s="380"/>
      <c r="Q215" s="380"/>
      <c r="R215" s="380"/>
      <c r="S215" s="380"/>
      <c r="T215" s="380"/>
      <c r="U215" s="380"/>
      <c r="V215" s="380"/>
      <c r="W215" s="403"/>
      <c r="X215" s="380"/>
      <c r="Y215" s="380"/>
      <c r="Z215" s="380"/>
      <c r="AA215" s="380"/>
      <c r="AB215" s="380"/>
      <c r="AC215" s="404"/>
      <c r="AD215" s="380"/>
      <c r="AE215" s="380"/>
      <c r="AF215" s="380"/>
      <c r="AG215" s="380"/>
      <c r="AH215" s="380"/>
      <c r="AI215" s="380"/>
      <c r="AJ215" s="380"/>
      <c r="AK215" s="403"/>
      <c r="AL215" s="380"/>
      <c r="AM215" s="380"/>
      <c r="AN215" s="380"/>
      <c r="AO215" s="380"/>
      <c r="AP215" s="380"/>
      <c r="AQ215" s="404"/>
      <c r="AR215" s="380"/>
      <c r="AS215" s="380"/>
      <c r="AT215" s="380"/>
      <c r="AU215" s="380"/>
      <c r="AV215" s="380"/>
      <c r="AW215" s="380"/>
      <c r="AX215" s="380"/>
      <c r="AY215" s="403"/>
      <c r="AZ215" s="380"/>
      <c r="BA215" s="380"/>
      <c r="BB215" s="380"/>
      <c r="BC215" s="380"/>
      <c r="BD215" s="380"/>
      <c r="BE215" s="404"/>
      <c r="BF215" s="380"/>
      <c r="BG215" s="380"/>
      <c r="BH215" s="380"/>
      <c r="BI215" s="380"/>
      <c r="BJ215" s="380"/>
      <c r="BK215" s="380"/>
      <c r="BL215" s="380"/>
      <c r="BM215" s="403"/>
      <c r="BS215" s="83"/>
      <c r="CA215" s="405"/>
      <c r="CG215" s="83"/>
      <c r="CO215" s="405"/>
      <c r="CU215" s="83"/>
      <c r="DC215" s="405"/>
      <c r="DI215" s="83"/>
      <c r="DQ215" s="405"/>
      <c r="DW215" s="83"/>
      <c r="EE215" s="405"/>
      <c r="EK215" s="83"/>
      <c r="ES215" s="405"/>
      <c r="EY215" s="83"/>
      <c r="FG215" s="405"/>
      <c r="FM215" s="83"/>
      <c r="FU215" s="405"/>
      <c r="GA215" s="83"/>
      <c r="GI215" s="405"/>
      <c r="GO215" s="83"/>
      <c r="GW215" s="405"/>
      <c r="HC215" s="83"/>
      <c r="HK215" s="405"/>
      <c r="HQ215" s="83"/>
      <c r="HY215" s="405"/>
      <c r="IE215" s="83"/>
      <c r="IM215" s="405"/>
      <c r="IS215" s="83"/>
      <c r="JA215" s="405"/>
      <c r="JG215" s="83"/>
      <c r="JO215" s="405"/>
      <c r="JU215" s="83"/>
      <c r="KC215" s="405"/>
      <c r="KI215" s="83"/>
      <c r="KQ215" s="405"/>
      <c r="KW215" s="83"/>
      <c r="LE215" s="405"/>
      <c r="LK215" s="83"/>
      <c r="LS215" s="405"/>
      <c r="LY215" s="83"/>
      <c r="MG215" s="405"/>
      <c r="MM215" s="83"/>
      <c r="MU215" s="405"/>
      <c r="NA215" s="83"/>
    </row>
    <row r="216">
      <c r="A216" s="483"/>
      <c r="B216" s="380"/>
      <c r="C216" s="380"/>
      <c r="D216" s="380"/>
      <c r="E216" s="380"/>
      <c r="F216" s="380"/>
      <c r="G216" s="380"/>
      <c r="H216" s="380"/>
      <c r="I216" s="403"/>
      <c r="J216" s="380"/>
      <c r="K216" s="380"/>
      <c r="L216" s="380"/>
      <c r="M216" s="380"/>
      <c r="N216" s="380"/>
      <c r="O216" s="404"/>
      <c r="P216" s="380"/>
      <c r="Q216" s="380"/>
      <c r="R216" s="380"/>
      <c r="S216" s="380"/>
      <c r="T216" s="380"/>
      <c r="U216" s="380"/>
      <c r="V216" s="380"/>
      <c r="W216" s="403"/>
      <c r="X216" s="380"/>
      <c r="Y216" s="380"/>
      <c r="Z216" s="380"/>
      <c r="AA216" s="380"/>
      <c r="AB216" s="380"/>
      <c r="AC216" s="404"/>
      <c r="AD216" s="380"/>
      <c r="AE216" s="380"/>
      <c r="AF216" s="380"/>
      <c r="AG216" s="380"/>
      <c r="AH216" s="380"/>
      <c r="AI216" s="380"/>
      <c r="AJ216" s="380"/>
      <c r="AK216" s="403"/>
      <c r="AL216" s="380"/>
      <c r="AM216" s="380"/>
      <c r="AN216" s="380"/>
      <c r="AO216" s="380"/>
      <c r="AP216" s="380"/>
      <c r="AQ216" s="404"/>
      <c r="AR216" s="380"/>
      <c r="AS216" s="380"/>
      <c r="AT216" s="380"/>
      <c r="AU216" s="380"/>
      <c r="AV216" s="380"/>
      <c r="AW216" s="380"/>
      <c r="AX216" s="380"/>
      <c r="AY216" s="403"/>
      <c r="AZ216" s="380"/>
      <c r="BA216" s="380"/>
      <c r="BB216" s="380"/>
      <c r="BC216" s="380"/>
      <c r="BD216" s="380"/>
      <c r="BE216" s="404"/>
      <c r="BF216" s="380"/>
      <c r="BG216" s="380"/>
      <c r="BH216" s="380"/>
      <c r="BI216" s="380"/>
      <c r="BJ216" s="380"/>
      <c r="BK216" s="380"/>
      <c r="BL216" s="380"/>
      <c r="BM216" s="403"/>
      <c r="BS216" s="83"/>
      <c r="CA216" s="405"/>
      <c r="CG216" s="83"/>
      <c r="CO216" s="405"/>
      <c r="CU216" s="83"/>
      <c r="DC216" s="405"/>
      <c r="DI216" s="83"/>
      <c r="DQ216" s="405"/>
      <c r="DW216" s="83"/>
      <c r="EE216" s="405"/>
      <c r="EK216" s="83"/>
      <c r="ES216" s="405"/>
      <c r="EY216" s="83"/>
      <c r="FG216" s="405"/>
      <c r="FM216" s="83"/>
      <c r="FU216" s="405"/>
      <c r="GA216" s="83"/>
      <c r="GI216" s="405"/>
      <c r="GO216" s="83"/>
      <c r="GW216" s="405"/>
      <c r="HC216" s="83"/>
      <c r="HK216" s="405"/>
      <c r="HQ216" s="83"/>
      <c r="HY216" s="405"/>
      <c r="IE216" s="83"/>
      <c r="IM216" s="405"/>
      <c r="IS216" s="83"/>
      <c r="JA216" s="405"/>
      <c r="JG216" s="83"/>
      <c r="JO216" s="405"/>
      <c r="JU216" s="83"/>
      <c r="KC216" s="405"/>
      <c r="KI216" s="83"/>
      <c r="KQ216" s="405"/>
      <c r="KW216" s="83"/>
      <c r="LE216" s="405"/>
      <c r="LK216" s="83"/>
      <c r="LS216" s="405"/>
      <c r="LY216" s="83"/>
      <c r="MG216" s="405"/>
      <c r="MM216" s="83"/>
      <c r="MU216" s="405"/>
      <c r="NA216" s="83"/>
    </row>
    <row r="217">
      <c r="A217" s="483"/>
      <c r="B217" s="380"/>
      <c r="C217" s="380"/>
      <c r="D217" s="380"/>
      <c r="E217" s="380"/>
      <c r="F217" s="380"/>
      <c r="G217" s="380"/>
      <c r="H217" s="380"/>
      <c r="I217" s="403"/>
      <c r="J217" s="380"/>
      <c r="K217" s="380"/>
      <c r="L217" s="380"/>
      <c r="M217" s="380"/>
      <c r="N217" s="380"/>
      <c r="O217" s="404"/>
      <c r="P217" s="380"/>
      <c r="Q217" s="380"/>
      <c r="R217" s="380"/>
      <c r="S217" s="380"/>
      <c r="T217" s="380"/>
      <c r="U217" s="380"/>
      <c r="V217" s="380"/>
      <c r="W217" s="403"/>
      <c r="X217" s="380"/>
      <c r="Y217" s="380"/>
      <c r="Z217" s="380"/>
      <c r="AA217" s="380"/>
      <c r="AB217" s="380"/>
      <c r="AC217" s="404"/>
      <c r="AD217" s="380"/>
      <c r="AE217" s="380"/>
      <c r="AF217" s="380"/>
      <c r="AG217" s="380"/>
      <c r="AH217" s="380"/>
      <c r="AI217" s="380"/>
      <c r="AJ217" s="380"/>
      <c r="AK217" s="403"/>
      <c r="AL217" s="380"/>
      <c r="AM217" s="380"/>
      <c r="AN217" s="380"/>
      <c r="AO217" s="380"/>
      <c r="AP217" s="380"/>
      <c r="AQ217" s="404"/>
      <c r="AR217" s="380"/>
      <c r="AS217" s="380"/>
      <c r="AT217" s="380"/>
      <c r="AU217" s="380"/>
      <c r="AV217" s="380"/>
      <c r="AW217" s="380"/>
      <c r="AX217" s="380"/>
      <c r="AY217" s="403"/>
      <c r="AZ217" s="380"/>
      <c r="BA217" s="380"/>
      <c r="BB217" s="380"/>
      <c r="BC217" s="380"/>
      <c r="BD217" s="380"/>
      <c r="BE217" s="404"/>
      <c r="BF217" s="380"/>
      <c r="BG217" s="380"/>
      <c r="BH217" s="380"/>
      <c r="BI217" s="380"/>
      <c r="BJ217" s="380"/>
      <c r="BK217" s="380"/>
      <c r="BL217" s="380"/>
      <c r="BM217" s="403"/>
      <c r="BS217" s="83"/>
      <c r="CA217" s="405"/>
      <c r="CG217" s="83"/>
      <c r="CO217" s="405"/>
      <c r="CU217" s="83"/>
      <c r="DC217" s="405"/>
      <c r="DI217" s="83"/>
      <c r="DQ217" s="405"/>
      <c r="DW217" s="83"/>
      <c r="EE217" s="405"/>
      <c r="EK217" s="83"/>
      <c r="ES217" s="405"/>
      <c r="EY217" s="83"/>
      <c r="FG217" s="405"/>
      <c r="FM217" s="83"/>
      <c r="FU217" s="405"/>
      <c r="GA217" s="83"/>
      <c r="GI217" s="405"/>
      <c r="GO217" s="83"/>
      <c r="GW217" s="405"/>
      <c r="HC217" s="83"/>
      <c r="HK217" s="405"/>
      <c r="HQ217" s="83"/>
      <c r="HY217" s="405"/>
      <c r="IE217" s="83"/>
      <c r="IM217" s="405"/>
      <c r="IS217" s="83"/>
      <c r="JA217" s="405"/>
      <c r="JG217" s="83"/>
      <c r="JO217" s="405"/>
      <c r="JU217" s="83"/>
      <c r="KC217" s="405"/>
      <c r="KI217" s="83"/>
      <c r="KQ217" s="405"/>
      <c r="KW217" s="83"/>
      <c r="LE217" s="405"/>
      <c r="LK217" s="83"/>
      <c r="LS217" s="405"/>
      <c r="LY217" s="83"/>
      <c r="MG217" s="405"/>
      <c r="MM217" s="83"/>
      <c r="MU217" s="405"/>
      <c r="NA217" s="83"/>
    </row>
    <row r="218">
      <c r="A218" s="483"/>
      <c r="B218" s="380"/>
      <c r="C218" s="380"/>
      <c r="D218" s="380"/>
      <c r="E218" s="380"/>
      <c r="F218" s="380"/>
      <c r="G218" s="380"/>
      <c r="H218" s="380"/>
      <c r="I218" s="403"/>
      <c r="J218" s="380"/>
      <c r="K218" s="380"/>
      <c r="L218" s="380"/>
      <c r="M218" s="380"/>
      <c r="N218" s="380"/>
      <c r="O218" s="404"/>
      <c r="P218" s="380"/>
      <c r="Q218" s="380"/>
      <c r="R218" s="380"/>
      <c r="S218" s="380"/>
      <c r="T218" s="380"/>
      <c r="U218" s="380"/>
      <c r="V218" s="380"/>
      <c r="W218" s="403"/>
      <c r="X218" s="380"/>
      <c r="Y218" s="380"/>
      <c r="Z218" s="380"/>
      <c r="AA218" s="380"/>
      <c r="AB218" s="380"/>
      <c r="AC218" s="404"/>
      <c r="AD218" s="380"/>
      <c r="AE218" s="380"/>
      <c r="AF218" s="380"/>
      <c r="AG218" s="380"/>
      <c r="AH218" s="380"/>
      <c r="AI218" s="380"/>
      <c r="AJ218" s="380"/>
      <c r="AK218" s="403"/>
      <c r="AL218" s="380"/>
      <c r="AM218" s="380"/>
      <c r="AN218" s="380"/>
      <c r="AO218" s="380"/>
      <c r="AP218" s="380"/>
      <c r="AQ218" s="404"/>
      <c r="AR218" s="380"/>
      <c r="AS218" s="380"/>
      <c r="AT218" s="380"/>
      <c r="AU218" s="380"/>
      <c r="AV218" s="380"/>
      <c r="AW218" s="380"/>
      <c r="AX218" s="380"/>
      <c r="AY218" s="403"/>
      <c r="AZ218" s="380"/>
      <c r="BA218" s="380"/>
      <c r="BB218" s="380"/>
      <c r="BC218" s="380"/>
      <c r="BD218" s="380"/>
      <c r="BE218" s="404"/>
      <c r="BF218" s="380"/>
      <c r="BG218" s="380"/>
      <c r="BH218" s="380"/>
      <c r="BI218" s="380"/>
      <c r="BJ218" s="380"/>
      <c r="BK218" s="380"/>
      <c r="BL218" s="380"/>
      <c r="BM218" s="403"/>
      <c r="BS218" s="83"/>
      <c r="CA218" s="405"/>
      <c r="CG218" s="83"/>
      <c r="CO218" s="405"/>
      <c r="CU218" s="83"/>
      <c r="DC218" s="405"/>
      <c r="DI218" s="83"/>
      <c r="DQ218" s="405"/>
      <c r="DW218" s="83"/>
      <c r="EE218" s="405"/>
      <c r="EK218" s="83"/>
      <c r="ES218" s="405"/>
      <c r="EY218" s="83"/>
      <c r="FG218" s="405"/>
      <c r="FM218" s="83"/>
      <c r="FU218" s="405"/>
      <c r="GA218" s="83"/>
      <c r="GI218" s="405"/>
      <c r="GO218" s="83"/>
      <c r="GW218" s="405"/>
      <c r="HC218" s="83"/>
      <c r="HK218" s="405"/>
      <c r="HQ218" s="83"/>
      <c r="HY218" s="405"/>
      <c r="IE218" s="83"/>
      <c r="IM218" s="405"/>
      <c r="IS218" s="83"/>
      <c r="JA218" s="405"/>
      <c r="JG218" s="83"/>
      <c r="JO218" s="405"/>
      <c r="JU218" s="83"/>
      <c r="KC218" s="405"/>
      <c r="KI218" s="83"/>
      <c r="KQ218" s="405"/>
      <c r="KW218" s="83"/>
      <c r="LE218" s="405"/>
      <c r="LK218" s="83"/>
      <c r="LS218" s="405"/>
      <c r="LY218" s="83"/>
      <c r="MG218" s="405"/>
      <c r="MM218" s="83"/>
      <c r="MU218" s="405"/>
      <c r="NA218" s="83"/>
    </row>
    <row r="219">
      <c r="A219" s="483"/>
      <c r="B219" s="380"/>
      <c r="C219" s="380"/>
      <c r="D219" s="380"/>
      <c r="E219" s="380"/>
      <c r="F219" s="380"/>
      <c r="G219" s="380"/>
      <c r="H219" s="380"/>
      <c r="I219" s="403"/>
      <c r="J219" s="380"/>
      <c r="K219" s="380"/>
      <c r="L219" s="380"/>
      <c r="M219" s="380"/>
      <c r="N219" s="380"/>
      <c r="O219" s="404"/>
      <c r="P219" s="380"/>
      <c r="Q219" s="380"/>
      <c r="R219" s="380"/>
      <c r="S219" s="380"/>
      <c r="T219" s="380"/>
      <c r="U219" s="380"/>
      <c r="V219" s="380"/>
      <c r="W219" s="403"/>
      <c r="X219" s="380"/>
      <c r="Y219" s="380"/>
      <c r="Z219" s="380"/>
      <c r="AA219" s="380"/>
      <c r="AB219" s="380"/>
      <c r="AC219" s="404"/>
      <c r="AD219" s="380"/>
      <c r="AE219" s="380"/>
      <c r="AF219" s="380"/>
      <c r="AG219" s="380"/>
      <c r="AH219" s="380"/>
      <c r="AI219" s="380"/>
      <c r="AJ219" s="380"/>
      <c r="AK219" s="403"/>
      <c r="AL219" s="380"/>
      <c r="AM219" s="380"/>
      <c r="AN219" s="380"/>
      <c r="AO219" s="380"/>
      <c r="AP219" s="380"/>
      <c r="AQ219" s="404"/>
      <c r="AR219" s="380"/>
      <c r="AS219" s="380"/>
      <c r="AT219" s="380"/>
      <c r="AU219" s="380"/>
      <c r="AV219" s="380"/>
      <c r="AW219" s="380"/>
      <c r="AX219" s="380"/>
      <c r="AY219" s="403"/>
      <c r="AZ219" s="380"/>
      <c r="BA219" s="380"/>
      <c r="BB219" s="380"/>
      <c r="BC219" s="380"/>
      <c r="BD219" s="380"/>
      <c r="BE219" s="404"/>
      <c r="BF219" s="380"/>
      <c r="BG219" s="380"/>
      <c r="BH219" s="380"/>
      <c r="BI219" s="380"/>
      <c r="BJ219" s="380"/>
      <c r="BK219" s="380"/>
      <c r="BL219" s="380"/>
      <c r="BM219" s="403"/>
      <c r="BS219" s="83"/>
      <c r="CA219" s="405"/>
      <c r="CG219" s="83"/>
      <c r="CO219" s="405"/>
      <c r="CU219" s="83"/>
      <c r="DC219" s="405"/>
      <c r="DI219" s="83"/>
      <c r="DQ219" s="405"/>
      <c r="DW219" s="83"/>
      <c r="EE219" s="405"/>
      <c r="EK219" s="83"/>
      <c r="ES219" s="405"/>
      <c r="EY219" s="83"/>
      <c r="FG219" s="405"/>
      <c r="FM219" s="83"/>
      <c r="FU219" s="405"/>
      <c r="GA219" s="83"/>
      <c r="GI219" s="405"/>
      <c r="GO219" s="83"/>
      <c r="GW219" s="405"/>
      <c r="HC219" s="83"/>
      <c r="HK219" s="405"/>
      <c r="HQ219" s="83"/>
      <c r="HY219" s="405"/>
      <c r="IE219" s="83"/>
      <c r="IM219" s="405"/>
      <c r="IS219" s="83"/>
      <c r="JA219" s="405"/>
      <c r="JG219" s="83"/>
      <c r="JO219" s="405"/>
      <c r="JU219" s="83"/>
      <c r="KC219" s="405"/>
      <c r="KI219" s="83"/>
      <c r="KQ219" s="405"/>
      <c r="KW219" s="83"/>
      <c r="LE219" s="405"/>
      <c r="LK219" s="83"/>
      <c r="LS219" s="405"/>
      <c r="LY219" s="83"/>
      <c r="MG219" s="405"/>
      <c r="MM219" s="83"/>
      <c r="MU219" s="405"/>
      <c r="NA219" s="83"/>
    </row>
    <row r="220">
      <c r="A220" s="483"/>
      <c r="B220" s="380"/>
      <c r="C220" s="380"/>
      <c r="D220" s="380"/>
      <c r="E220" s="380"/>
      <c r="F220" s="380"/>
      <c r="G220" s="380"/>
      <c r="H220" s="380"/>
      <c r="I220" s="403"/>
      <c r="J220" s="380"/>
      <c r="K220" s="380"/>
      <c r="L220" s="380"/>
      <c r="M220" s="380"/>
      <c r="N220" s="380"/>
      <c r="O220" s="404"/>
      <c r="P220" s="380"/>
      <c r="Q220" s="380"/>
      <c r="R220" s="380"/>
      <c r="S220" s="380"/>
      <c r="T220" s="380"/>
      <c r="U220" s="380"/>
      <c r="V220" s="380"/>
      <c r="W220" s="403"/>
      <c r="X220" s="380"/>
      <c r="Y220" s="380"/>
      <c r="Z220" s="380"/>
      <c r="AA220" s="380"/>
      <c r="AB220" s="380"/>
      <c r="AC220" s="404"/>
      <c r="AD220" s="380"/>
      <c r="AE220" s="380"/>
      <c r="AF220" s="380"/>
      <c r="AG220" s="380"/>
      <c r="AH220" s="380"/>
      <c r="AI220" s="380"/>
      <c r="AJ220" s="380"/>
      <c r="AK220" s="403"/>
      <c r="AL220" s="380"/>
      <c r="AM220" s="380"/>
      <c r="AN220" s="380"/>
      <c r="AO220" s="380"/>
      <c r="AP220" s="380"/>
      <c r="AQ220" s="404"/>
      <c r="AR220" s="380"/>
      <c r="AS220" s="380"/>
      <c r="AT220" s="380"/>
      <c r="AU220" s="380"/>
      <c r="AV220" s="380"/>
      <c r="AW220" s="380"/>
      <c r="AX220" s="380"/>
      <c r="AY220" s="403"/>
      <c r="AZ220" s="380"/>
      <c r="BA220" s="380"/>
      <c r="BB220" s="380"/>
      <c r="BC220" s="380"/>
      <c r="BD220" s="380"/>
      <c r="BE220" s="404"/>
      <c r="BF220" s="380"/>
      <c r="BG220" s="380"/>
      <c r="BH220" s="380"/>
      <c r="BI220" s="380"/>
      <c r="BJ220" s="380"/>
      <c r="BK220" s="380"/>
      <c r="BL220" s="380"/>
      <c r="BM220" s="403"/>
      <c r="BS220" s="83"/>
      <c r="CA220" s="405"/>
      <c r="CG220" s="83"/>
      <c r="CO220" s="405"/>
      <c r="CU220" s="83"/>
      <c r="DC220" s="405"/>
      <c r="DI220" s="83"/>
      <c r="DQ220" s="405"/>
      <c r="DW220" s="83"/>
      <c r="EE220" s="405"/>
      <c r="EK220" s="83"/>
      <c r="ES220" s="405"/>
      <c r="EY220" s="83"/>
      <c r="FG220" s="405"/>
      <c r="FM220" s="83"/>
      <c r="FU220" s="405"/>
      <c r="GA220" s="83"/>
      <c r="GI220" s="405"/>
      <c r="GO220" s="83"/>
      <c r="GW220" s="405"/>
      <c r="HC220" s="83"/>
      <c r="HK220" s="405"/>
      <c r="HQ220" s="83"/>
      <c r="HY220" s="405"/>
      <c r="IE220" s="83"/>
      <c r="IM220" s="405"/>
      <c r="IS220" s="83"/>
      <c r="JA220" s="405"/>
      <c r="JG220" s="83"/>
      <c r="JO220" s="405"/>
      <c r="JU220" s="83"/>
      <c r="KC220" s="405"/>
      <c r="KI220" s="83"/>
      <c r="KQ220" s="405"/>
      <c r="KW220" s="83"/>
      <c r="LE220" s="405"/>
      <c r="LK220" s="83"/>
      <c r="LS220" s="405"/>
      <c r="LY220" s="83"/>
      <c r="MG220" s="405"/>
      <c r="MM220" s="83"/>
      <c r="MU220" s="405"/>
      <c r="NA220" s="83"/>
    </row>
    <row r="221">
      <c r="A221" s="483"/>
      <c r="B221" s="380"/>
      <c r="C221" s="380"/>
      <c r="D221" s="380"/>
      <c r="E221" s="380"/>
      <c r="F221" s="380"/>
      <c r="G221" s="380"/>
      <c r="H221" s="380"/>
      <c r="I221" s="403"/>
      <c r="J221" s="380"/>
      <c r="K221" s="380"/>
      <c r="L221" s="380"/>
      <c r="M221" s="380"/>
      <c r="N221" s="380"/>
      <c r="O221" s="404"/>
      <c r="P221" s="380"/>
      <c r="Q221" s="380"/>
      <c r="R221" s="380"/>
      <c r="S221" s="380"/>
      <c r="T221" s="380"/>
      <c r="U221" s="380"/>
      <c r="V221" s="380"/>
      <c r="W221" s="403"/>
      <c r="X221" s="380"/>
      <c r="Y221" s="380"/>
      <c r="Z221" s="380"/>
      <c r="AA221" s="380"/>
      <c r="AB221" s="380"/>
      <c r="AC221" s="404"/>
      <c r="AD221" s="380"/>
      <c r="AE221" s="380"/>
      <c r="AF221" s="380"/>
      <c r="AG221" s="380"/>
      <c r="AH221" s="380"/>
      <c r="AI221" s="380"/>
      <c r="AJ221" s="380"/>
      <c r="AK221" s="403"/>
      <c r="AL221" s="380"/>
      <c r="AM221" s="380"/>
      <c r="AN221" s="380"/>
      <c r="AO221" s="380"/>
      <c r="AP221" s="380"/>
      <c r="AQ221" s="404"/>
      <c r="AR221" s="380"/>
      <c r="AS221" s="380"/>
      <c r="AT221" s="380"/>
      <c r="AU221" s="380"/>
      <c r="AV221" s="380"/>
      <c r="AW221" s="380"/>
      <c r="AX221" s="380"/>
      <c r="AY221" s="403"/>
      <c r="AZ221" s="380"/>
      <c r="BA221" s="380"/>
      <c r="BB221" s="380"/>
      <c r="BC221" s="380"/>
      <c r="BD221" s="380"/>
      <c r="BE221" s="404"/>
      <c r="BF221" s="380"/>
      <c r="BG221" s="380"/>
      <c r="BH221" s="380"/>
      <c r="BI221" s="380"/>
      <c r="BJ221" s="380"/>
      <c r="BK221" s="380"/>
      <c r="BL221" s="380"/>
      <c r="BM221" s="403"/>
      <c r="BS221" s="83"/>
      <c r="CA221" s="405"/>
      <c r="CG221" s="83"/>
      <c r="CO221" s="405"/>
      <c r="CU221" s="83"/>
      <c r="DC221" s="405"/>
      <c r="DI221" s="83"/>
      <c r="DQ221" s="405"/>
      <c r="DW221" s="83"/>
      <c r="EE221" s="405"/>
      <c r="EK221" s="83"/>
      <c r="ES221" s="405"/>
      <c r="EY221" s="83"/>
      <c r="FG221" s="405"/>
      <c r="FM221" s="83"/>
      <c r="FU221" s="405"/>
      <c r="GA221" s="83"/>
      <c r="GI221" s="405"/>
      <c r="GO221" s="83"/>
      <c r="GW221" s="405"/>
      <c r="HC221" s="83"/>
      <c r="HK221" s="405"/>
      <c r="HQ221" s="83"/>
      <c r="HY221" s="405"/>
      <c r="IE221" s="83"/>
      <c r="IM221" s="405"/>
      <c r="IS221" s="83"/>
      <c r="JA221" s="405"/>
      <c r="JG221" s="83"/>
      <c r="JO221" s="405"/>
      <c r="JU221" s="83"/>
      <c r="KC221" s="405"/>
      <c r="KI221" s="83"/>
      <c r="KQ221" s="405"/>
      <c r="KW221" s="83"/>
      <c r="LE221" s="405"/>
      <c r="LK221" s="83"/>
      <c r="LS221" s="405"/>
      <c r="LY221" s="83"/>
      <c r="MG221" s="405"/>
      <c r="MM221" s="83"/>
      <c r="MU221" s="405"/>
      <c r="NA221" s="83"/>
    </row>
    <row r="222">
      <c r="A222" s="483"/>
      <c r="B222" s="380"/>
      <c r="C222" s="380"/>
      <c r="D222" s="380"/>
      <c r="E222" s="380"/>
      <c r="F222" s="380"/>
      <c r="G222" s="380"/>
      <c r="H222" s="380"/>
      <c r="I222" s="403"/>
      <c r="J222" s="380"/>
      <c r="K222" s="380"/>
      <c r="L222" s="380"/>
      <c r="M222" s="380"/>
      <c r="N222" s="380"/>
      <c r="O222" s="404"/>
      <c r="P222" s="380"/>
      <c r="Q222" s="380"/>
      <c r="R222" s="380"/>
      <c r="S222" s="380"/>
      <c r="T222" s="380"/>
      <c r="U222" s="380"/>
      <c r="V222" s="380"/>
      <c r="W222" s="403"/>
      <c r="X222" s="380"/>
      <c r="Y222" s="380"/>
      <c r="Z222" s="380"/>
      <c r="AA222" s="380"/>
      <c r="AB222" s="380"/>
      <c r="AC222" s="404"/>
      <c r="AD222" s="380"/>
      <c r="AE222" s="380"/>
      <c r="AF222" s="380"/>
      <c r="AG222" s="380"/>
      <c r="AH222" s="380"/>
      <c r="AI222" s="380"/>
      <c r="AJ222" s="380"/>
      <c r="AK222" s="403"/>
      <c r="AL222" s="380"/>
      <c r="AM222" s="380"/>
      <c r="AN222" s="380"/>
      <c r="AO222" s="380"/>
      <c r="AP222" s="380"/>
      <c r="AQ222" s="404"/>
      <c r="AR222" s="380"/>
      <c r="AS222" s="380"/>
      <c r="AT222" s="380"/>
      <c r="AU222" s="380"/>
      <c r="AV222" s="380"/>
      <c r="AW222" s="380"/>
      <c r="AX222" s="380"/>
      <c r="AY222" s="403"/>
      <c r="AZ222" s="380"/>
      <c r="BA222" s="380"/>
      <c r="BB222" s="380"/>
      <c r="BC222" s="380"/>
      <c r="BD222" s="380"/>
      <c r="BE222" s="404"/>
      <c r="BF222" s="380"/>
      <c r="BG222" s="380"/>
      <c r="BH222" s="380"/>
      <c r="BI222" s="380"/>
      <c r="BJ222" s="380"/>
      <c r="BK222" s="380"/>
      <c r="BL222" s="380"/>
      <c r="BM222" s="403"/>
      <c r="BS222" s="83"/>
      <c r="CA222" s="405"/>
      <c r="CG222" s="83"/>
      <c r="CO222" s="405"/>
      <c r="CU222" s="83"/>
      <c r="DC222" s="405"/>
      <c r="DI222" s="83"/>
      <c r="DQ222" s="405"/>
      <c r="DW222" s="83"/>
      <c r="EE222" s="405"/>
      <c r="EK222" s="83"/>
      <c r="ES222" s="405"/>
      <c r="EY222" s="83"/>
      <c r="FG222" s="405"/>
      <c r="FM222" s="83"/>
      <c r="FU222" s="405"/>
      <c r="GA222" s="83"/>
      <c r="GI222" s="405"/>
      <c r="GO222" s="83"/>
      <c r="GW222" s="405"/>
      <c r="HC222" s="83"/>
      <c r="HK222" s="405"/>
      <c r="HQ222" s="83"/>
      <c r="HY222" s="405"/>
      <c r="IE222" s="83"/>
      <c r="IM222" s="405"/>
      <c r="IS222" s="83"/>
      <c r="JA222" s="405"/>
      <c r="JG222" s="83"/>
      <c r="JO222" s="405"/>
      <c r="JU222" s="83"/>
      <c r="KC222" s="405"/>
      <c r="KI222" s="83"/>
      <c r="KQ222" s="405"/>
      <c r="KW222" s="83"/>
      <c r="LE222" s="405"/>
      <c r="LK222" s="83"/>
      <c r="LS222" s="405"/>
      <c r="LY222" s="83"/>
      <c r="MG222" s="405"/>
      <c r="MM222" s="83"/>
      <c r="MU222" s="405"/>
      <c r="NA222" s="83"/>
    </row>
    <row r="223">
      <c r="A223" s="483"/>
      <c r="B223" s="380"/>
      <c r="C223" s="380"/>
      <c r="D223" s="380"/>
      <c r="E223" s="380"/>
      <c r="F223" s="380"/>
      <c r="G223" s="380"/>
      <c r="H223" s="380"/>
      <c r="I223" s="403"/>
      <c r="J223" s="380"/>
      <c r="K223" s="380"/>
      <c r="L223" s="380"/>
      <c r="M223" s="380"/>
      <c r="N223" s="380"/>
      <c r="O223" s="404"/>
      <c r="P223" s="380"/>
      <c r="Q223" s="380"/>
      <c r="R223" s="380"/>
      <c r="S223" s="380"/>
      <c r="T223" s="380"/>
      <c r="U223" s="380"/>
      <c r="V223" s="380"/>
      <c r="W223" s="403"/>
      <c r="X223" s="380"/>
      <c r="Y223" s="380"/>
      <c r="Z223" s="380"/>
      <c r="AA223" s="380"/>
      <c r="AB223" s="380"/>
      <c r="AC223" s="404"/>
      <c r="AD223" s="380"/>
      <c r="AE223" s="380"/>
      <c r="AF223" s="380"/>
      <c r="AG223" s="380"/>
      <c r="AH223" s="380"/>
      <c r="AI223" s="380"/>
      <c r="AJ223" s="380"/>
      <c r="AK223" s="403"/>
      <c r="AL223" s="380"/>
      <c r="AM223" s="380"/>
      <c r="AN223" s="380"/>
      <c r="AO223" s="380"/>
      <c r="AP223" s="380"/>
      <c r="AQ223" s="404"/>
      <c r="AR223" s="380"/>
      <c r="AS223" s="380"/>
      <c r="AT223" s="380"/>
      <c r="AU223" s="380"/>
      <c r="AV223" s="380"/>
      <c r="AW223" s="380"/>
      <c r="AX223" s="380"/>
      <c r="AY223" s="403"/>
      <c r="AZ223" s="380"/>
      <c r="BA223" s="380"/>
      <c r="BB223" s="380"/>
      <c r="BC223" s="380"/>
      <c r="BD223" s="380"/>
      <c r="BE223" s="404"/>
      <c r="BF223" s="380"/>
      <c r="BG223" s="380"/>
      <c r="BH223" s="380"/>
      <c r="BI223" s="380"/>
      <c r="BJ223" s="380"/>
      <c r="BK223" s="380"/>
      <c r="BL223" s="380"/>
      <c r="BM223" s="403"/>
      <c r="BS223" s="83"/>
      <c r="CA223" s="405"/>
      <c r="CG223" s="83"/>
      <c r="CO223" s="405"/>
      <c r="CU223" s="83"/>
      <c r="DC223" s="405"/>
      <c r="DI223" s="83"/>
      <c r="DQ223" s="405"/>
      <c r="DW223" s="83"/>
      <c r="EE223" s="405"/>
      <c r="EK223" s="83"/>
      <c r="ES223" s="405"/>
      <c r="EY223" s="83"/>
      <c r="FG223" s="405"/>
      <c r="FM223" s="83"/>
      <c r="FU223" s="405"/>
      <c r="GA223" s="83"/>
      <c r="GI223" s="405"/>
      <c r="GO223" s="83"/>
      <c r="GW223" s="405"/>
      <c r="HC223" s="83"/>
      <c r="HK223" s="405"/>
      <c r="HQ223" s="83"/>
      <c r="HY223" s="405"/>
      <c r="IE223" s="83"/>
      <c r="IM223" s="405"/>
      <c r="IS223" s="83"/>
      <c r="JA223" s="405"/>
      <c r="JG223" s="83"/>
      <c r="JO223" s="405"/>
      <c r="JU223" s="83"/>
      <c r="KC223" s="405"/>
      <c r="KI223" s="83"/>
      <c r="KQ223" s="405"/>
      <c r="KW223" s="83"/>
      <c r="LE223" s="405"/>
      <c r="LK223" s="83"/>
      <c r="LS223" s="405"/>
      <c r="LY223" s="83"/>
      <c r="MG223" s="405"/>
      <c r="MM223" s="83"/>
      <c r="MU223" s="405"/>
      <c r="NA223" s="83"/>
    </row>
    <row r="224">
      <c r="A224" s="483"/>
      <c r="B224" s="380"/>
      <c r="C224" s="380"/>
      <c r="D224" s="380"/>
      <c r="E224" s="380"/>
      <c r="F224" s="380"/>
      <c r="G224" s="380"/>
      <c r="H224" s="380"/>
      <c r="I224" s="403"/>
      <c r="J224" s="380"/>
      <c r="K224" s="380"/>
      <c r="L224" s="380"/>
      <c r="M224" s="380"/>
      <c r="N224" s="380"/>
      <c r="O224" s="404"/>
      <c r="P224" s="380"/>
      <c r="Q224" s="380"/>
      <c r="R224" s="380"/>
      <c r="S224" s="380"/>
      <c r="T224" s="380"/>
      <c r="U224" s="380"/>
      <c r="V224" s="380"/>
      <c r="W224" s="403"/>
      <c r="X224" s="380"/>
      <c r="Y224" s="380"/>
      <c r="Z224" s="380"/>
      <c r="AA224" s="380"/>
      <c r="AB224" s="380"/>
      <c r="AC224" s="404"/>
      <c r="AD224" s="380"/>
      <c r="AE224" s="380"/>
      <c r="AF224" s="380"/>
      <c r="AG224" s="380"/>
      <c r="AH224" s="380"/>
      <c r="AI224" s="380"/>
      <c r="AJ224" s="380"/>
      <c r="AK224" s="403"/>
      <c r="AL224" s="380"/>
      <c r="AM224" s="380"/>
      <c r="AN224" s="380"/>
      <c r="AO224" s="380"/>
      <c r="AP224" s="380"/>
      <c r="AQ224" s="404"/>
      <c r="AR224" s="380"/>
      <c r="AS224" s="380"/>
      <c r="AT224" s="380"/>
      <c r="AU224" s="380"/>
      <c r="AV224" s="380"/>
      <c r="AW224" s="380"/>
      <c r="AX224" s="380"/>
      <c r="AY224" s="403"/>
      <c r="AZ224" s="380"/>
      <c r="BA224" s="380"/>
      <c r="BB224" s="380"/>
      <c r="BC224" s="380"/>
      <c r="BD224" s="380"/>
      <c r="BE224" s="404"/>
      <c r="BF224" s="380"/>
      <c r="BG224" s="380"/>
      <c r="BH224" s="380"/>
      <c r="BI224" s="380"/>
      <c r="BJ224" s="380"/>
      <c r="BK224" s="380"/>
      <c r="BL224" s="380"/>
      <c r="BM224" s="403"/>
      <c r="BS224" s="83"/>
      <c r="CA224" s="405"/>
      <c r="CG224" s="83"/>
      <c r="CO224" s="405"/>
      <c r="CU224" s="83"/>
      <c r="DC224" s="405"/>
      <c r="DI224" s="83"/>
      <c r="DQ224" s="405"/>
      <c r="DW224" s="83"/>
      <c r="EE224" s="405"/>
      <c r="EK224" s="83"/>
      <c r="ES224" s="405"/>
      <c r="EY224" s="83"/>
      <c r="FG224" s="405"/>
      <c r="FM224" s="83"/>
      <c r="FU224" s="405"/>
      <c r="GA224" s="83"/>
      <c r="GI224" s="405"/>
      <c r="GO224" s="83"/>
      <c r="GW224" s="405"/>
      <c r="HC224" s="83"/>
      <c r="HK224" s="405"/>
      <c r="HQ224" s="83"/>
      <c r="HY224" s="405"/>
      <c r="IE224" s="83"/>
      <c r="IM224" s="405"/>
      <c r="IS224" s="83"/>
      <c r="JA224" s="405"/>
      <c r="JG224" s="83"/>
      <c r="JO224" s="405"/>
      <c r="JU224" s="83"/>
      <c r="KC224" s="405"/>
      <c r="KI224" s="83"/>
      <c r="KQ224" s="405"/>
      <c r="KW224" s="83"/>
      <c r="LE224" s="405"/>
      <c r="LK224" s="83"/>
      <c r="LS224" s="405"/>
      <c r="LY224" s="83"/>
      <c r="MG224" s="405"/>
      <c r="MM224" s="83"/>
      <c r="MU224" s="405"/>
      <c r="NA224" s="83"/>
    </row>
    <row r="225">
      <c r="A225" s="483"/>
      <c r="B225" s="380"/>
      <c r="C225" s="380"/>
      <c r="D225" s="380"/>
      <c r="E225" s="380"/>
      <c r="F225" s="380"/>
      <c r="G225" s="380"/>
      <c r="H225" s="380"/>
      <c r="I225" s="403"/>
      <c r="J225" s="380"/>
      <c r="K225" s="380"/>
      <c r="L225" s="380"/>
      <c r="M225" s="380"/>
      <c r="N225" s="380"/>
      <c r="O225" s="404"/>
      <c r="P225" s="380"/>
      <c r="Q225" s="380"/>
      <c r="R225" s="380"/>
      <c r="S225" s="380"/>
      <c r="T225" s="380"/>
      <c r="U225" s="380"/>
      <c r="V225" s="380"/>
      <c r="W225" s="403"/>
      <c r="X225" s="380"/>
      <c r="Y225" s="380"/>
      <c r="Z225" s="380"/>
      <c r="AA225" s="380"/>
      <c r="AB225" s="380"/>
      <c r="AC225" s="404"/>
      <c r="AD225" s="380"/>
      <c r="AE225" s="380"/>
      <c r="AF225" s="380"/>
      <c r="AG225" s="380"/>
      <c r="AH225" s="380"/>
      <c r="AI225" s="380"/>
      <c r="AJ225" s="380"/>
      <c r="AK225" s="403"/>
      <c r="AL225" s="380"/>
      <c r="AM225" s="380"/>
      <c r="AN225" s="380"/>
      <c r="AO225" s="380"/>
      <c r="AP225" s="380"/>
      <c r="AQ225" s="404"/>
      <c r="AR225" s="380"/>
      <c r="AS225" s="380"/>
      <c r="AT225" s="380"/>
      <c r="AU225" s="380"/>
      <c r="AV225" s="380"/>
      <c r="AW225" s="380"/>
      <c r="AX225" s="380"/>
      <c r="AY225" s="403"/>
      <c r="AZ225" s="380"/>
      <c r="BA225" s="380"/>
      <c r="BB225" s="380"/>
      <c r="BC225" s="380"/>
      <c r="BD225" s="380"/>
      <c r="BE225" s="404"/>
      <c r="BF225" s="380"/>
      <c r="BG225" s="380"/>
      <c r="BH225" s="380"/>
      <c r="BI225" s="380"/>
      <c r="BJ225" s="380"/>
      <c r="BK225" s="380"/>
      <c r="BL225" s="380"/>
      <c r="BM225" s="403"/>
      <c r="BS225" s="83"/>
      <c r="CA225" s="405"/>
      <c r="CG225" s="83"/>
      <c r="CO225" s="405"/>
      <c r="CU225" s="83"/>
      <c r="DC225" s="405"/>
      <c r="DI225" s="83"/>
      <c r="DQ225" s="405"/>
      <c r="DW225" s="83"/>
      <c r="EE225" s="405"/>
      <c r="EK225" s="83"/>
      <c r="ES225" s="405"/>
      <c r="EY225" s="83"/>
      <c r="FG225" s="405"/>
      <c r="FM225" s="83"/>
      <c r="FU225" s="405"/>
      <c r="GA225" s="83"/>
      <c r="GI225" s="405"/>
      <c r="GO225" s="83"/>
      <c r="GW225" s="405"/>
      <c r="HC225" s="83"/>
      <c r="HK225" s="405"/>
      <c r="HQ225" s="83"/>
      <c r="HY225" s="405"/>
      <c r="IE225" s="83"/>
      <c r="IM225" s="405"/>
      <c r="IS225" s="83"/>
      <c r="JA225" s="405"/>
      <c r="JG225" s="83"/>
      <c r="JO225" s="405"/>
      <c r="JU225" s="83"/>
      <c r="KC225" s="405"/>
      <c r="KI225" s="83"/>
      <c r="KQ225" s="405"/>
      <c r="KW225" s="83"/>
      <c r="LE225" s="405"/>
      <c r="LK225" s="83"/>
      <c r="LS225" s="405"/>
      <c r="LY225" s="83"/>
      <c r="MG225" s="405"/>
      <c r="MM225" s="83"/>
      <c r="MU225" s="405"/>
      <c r="NA225" s="83"/>
    </row>
    <row r="226">
      <c r="A226" s="483"/>
      <c r="B226" s="380"/>
      <c r="C226" s="380"/>
      <c r="D226" s="380"/>
      <c r="E226" s="380"/>
      <c r="F226" s="380"/>
      <c r="G226" s="380"/>
      <c r="H226" s="380"/>
      <c r="I226" s="403"/>
      <c r="J226" s="380"/>
      <c r="K226" s="380"/>
      <c r="L226" s="380"/>
      <c r="M226" s="380"/>
      <c r="N226" s="380"/>
      <c r="O226" s="404"/>
      <c r="P226" s="380"/>
      <c r="Q226" s="380"/>
      <c r="R226" s="380"/>
      <c r="S226" s="380"/>
      <c r="T226" s="380"/>
      <c r="U226" s="380"/>
      <c r="V226" s="380"/>
      <c r="W226" s="403"/>
      <c r="X226" s="380"/>
      <c r="Y226" s="380"/>
      <c r="Z226" s="380"/>
      <c r="AA226" s="380"/>
      <c r="AB226" s="380"/>
      <c r="AC226" s="404"/>
      <c r="AD226" s="380"/>
      <c r="AE226" s="380"/>
      <c r="AF226" s="380"/>
      <c r="AG226" s="380"/>
      <c r="AH226" s="380"/>
      <c r="AI226" s="380"/>
      <c r="AJ226" s="380"/>
      <c r="AK226" s="403"/>
      <c r="AL226" s="380"/>
      <c r="AM226" s="380"/>
      <c r="AN226" s="380"/>
      <c r="AO226" s="380"/>
      <c r="AP226" s="380"/>
      <c r="AQ226" s="404"/>
      <c r="AR226" s="380"/>
      <c r="AS226" s="380"/>
      <c r="AT226" s="380"/>
      <c r="AU226" s="380"/>
      <c r="AV226" s="380"/>
      <c r="AW226" s="380"/>
      <c r="AX226" s="380"/>
      <c r="AY226" s="403"/>
      <c r="AZ226" s="380"/>
      <c r="BA226" s="380"/>
      <c r="BB226" s="380"/>
      <c r="BC226" s="380"/>
      <c r="BD226" s="380"/>
      <c r="BE226" s="404"/>
      <c r="BF226" s="380"/>
      <c r="BG226" s="380"/>
      <c r="BH226" s="380"/>
      <c r="BI226" s="380"/>
      <c r="BJ226" s="380"/>
      <c r="BK226" s="380"/>
      <c r="BL226" s="380"/>
      <c r="BM226" s="403"/>
      <c r="BS226" s="83"/>
      <c r="CA226" s="405"/>
      <c r="CG226" s="83"/>
      <c r="CO226" s="405"/>
      <c r="CU226" s="83"/>
      <c r="DC226" s="405"/>
      <c r="DI226" s="83"/>
      <c r="DQ226" s="405"/>
      <c r="DW226" s="83"/>
      <c r="EE226" s="405"/>
      <c r="EK226" s="83"/>
      <c r="ES226" s="405"/>
      <c r="EY226" s="83"/>
      <c r="FG226" s="405"/>
      <c r="FM226" s="83"/>
      <c r="FU226" s="405"/>
      <c r="GA226" s="83"/>
      <c r="GI226" s="405"/>
      <c r="GO226" s="83"/>
      <c r="GW226" s="405"/>
      <c r="HC226" s="83"/>
      <c r="HK226" s="405"/>
      <c r="HQ226" s="83"/>
      <c r="HY226" s="405"/>
      <c r="IE226" s="83"/>
      <c r="IM226" s="405"/>
      <c r="IS226" s="83"/>
      <c r="JA226" s="405"/>
      <c r="JG226" s="83"/>
      <c r="JO226" s="405"/>
      <c r="JU226" s="83"/>
      <c r="KC226" s="405"/>
      <c r="KI226" s="83"/>
      <c r="KQ226" s="405"/>
      <c r="KW226" s="83"/>
      <c r="LE226" s="405"/>
      <c r="LK226" s="83"/>
      <c r="LS226" s="405"/>
      <c r="LY226" s="83"/>
      <c r="MG226" s="405"/>
      <c r="MM226" s="83"/>
      <c r="MU226" s="405"/>
      <c r="NA226" s="83"/>
    </row>
    <row r="227">
      <c r="A227" s="483"/>
      <c r="B227" s="380"/>
      <c r="C227" s="380"/>
      <c r="D227" s="380"/>
      <c r="E227" s="380"/>
      <c r="F227" s="380"/>
      <c r="G227" s="380"/>
      <c r="H227" s="380"/>
      <c r="I227" s="403"/>
      <c r="J227" s="380"/>
      <c r="K227" s="380"/>
      <c r="L227" s="380"/>
      <c r="M227" s="380"/>
      <c r="N227" s="380"/>
      <c r="O227" s="404"/>
      <c r="P227" s="380"/>
      <c r="Q227" s="380"/>
      <c r="R227" s="380"/>
      <c r="S227" s="380"/>
      <c r="T227" s="380"/>
      <c r="U227" s="380"/>
      <c r="V227" s="380"/>
      <c r="W227" s="403"/>
      <c r="X227" s="380"/>
      <c r="Y227" s="380"/>
      <c r="Z227" s="380"/>
      <c r="AA227" s="380"/>
      <c r="AB227" s="380"/>
      <c r="AC227" s="404"/>
      <c r="AD227" s="380"/>
      <c r="AE227" s="380"/>
      <c r="AF227" s="380"/>
      <c r="AG227" s="380"/>
      <c r="AH227" s="380"/>
      <c r="AI227" s="380"/>
      <c r="AJ227" s="380"/>
      <c r="AK227" s="403"/>
      <c r="AL227" s="380"/>
      <c r="AM227" s="380"/>
      <c r="AN227" s="380"/>
      <c r="AO227" s="380"/>
      <c r="AP227" s="380"/>
      <c r="AQ227" s="404"/>
      <c r="AR227" s="380"/>
      <c r="AS227" s="380"/>
      <c r="AT227" s="380"/>
      <c r="AU227" s="380"/>
      <c r="AV227" s="380"/>
      <c r="AW227" s="380"/>
      <c r="AX227" s="380"/>
      <c r="AY227" s="403"/>
      <c r="AZ227" s="380"/>
      <c r="BA227" s="380"/>
      <c r="BB227" s="380"/>
      <c r="BC227" s="380"/>
      <c r="BD227" s="380"/>
      <c r="BE227" s="404"/>
      <c r="BF227" s="380"/>
      <c r="BG227" s="380"/>
      <c r="BH227" s="380"/>
      <c r="BI227" s="380"/>
      <c r="BJ227" s="380"/>
      <c r="BK227" s="380"/>
      <c r="BL227" s="380"/>
      <c r="BM227" s="403"/>
      <c r="BS227" s="83"/>
      <c r="CA227" s="405"/>
      <c r="CG227" s="83"/>
      <c r="CO227" s="405"/>
      <c r="CU227" s="83"/>
      <c r="DC227" s="405"/>
      <c r="DI227" s="83"/>
      <c r="DQ227" s="405"/>
      <c r="DW227" s="83"/>
      <c r="EE227" s="405"/>
      <c r="EK227" s="83"/>
      <c r="ES227" s="405"/>
      <c r="EY227" s="83"/>
      <c r="FG227" s="405"/>
      <c r="FM227" s="83"/>
      <c r="FU227" s="405"/>
      <c r="GA227" s="83"/>
      <c r="GI227" s="405"/>
      <c r="GO227" s="83"/>
      <c r="GW227" s="405"/>
      <c r="HC227" s="83"/>
      <c r="HK227" s="405"/>
      <c r="HQ227" s="83"/>
      <c r="HY227" s="405"/>
      <c r="IE227" s="83"/>
      <c r="IM227" s="405"/>
      <c r="IS227" s="83"/>
      <c r="JA227" s="405"/>
      <c r="JG227" s="83"/>
      <c r="JO227" s="405"/>
      <c r="JU227" s="83"/>
      <c r="KC227" s="405"/>
      <c r="KI227" s="83"/>
      <c r="KQ227" s="405"/>
      <c r="KW227" s="83"/>
      <c r="LE227" s="405"/>
      <c r="LK227" s="83"/>
      <c r="LS227" s="405"/>
      <c r="LY227" s="83"/>
      <c r="MG227" s="405"/>
      <c r="MM227" s="83"/>
      <c r="MU227" s="405"/>
      <c r="NA227" s="83"/>
    </row>
    <row r="228">
      <c r="A228" s="483"/>
      <c r="B228" s="380"/>
      <c r="C228" s="380"/>
      <c r="D228" s="380"/>
      <c r="E228" s="380"/>
      <c r="F228" s="380"/>
      <c r="G228" s="380"/>
      <c r="H228" s="380"/>
      <c r="I228" s="403"/>
      <c r="J228" s="380"/>
      <c r="K228" s="380"/>
      <c r="L228" s="380"/>
      <c r="M228" s="380"/>
      <c r="N228" s="380"/>
      <c r="O228" s="404"/>
      <c r="P228" s="380"/>
      <c r="Q228" s="380"/>
      <c r="R228" s="380"/>
      <c r="S228" s="380"/>
      <c r="T228" s="380"/>
      <c r="U228" s="380"/>
      <c r="V228" s="380"/>
      <c r="W228" s="403"/>
      <c r="X228" s="380"/>
      <c r="Y228" s="380"/>
      <c r="Z228" s="380"/>
      <c r="AA228" s="380"/>
      <c r="AB228" s="380"/>
      <c r="AC228" s="404"/>
      <c r="AD228" s="380"/>
      <c r="AE228" s="380"/>
      <c r="AF228" s="380"/>
      <c r="AG228" s="380"/>
      <c r="AH228" s="380"/>
      <c r="AI228" s="380"/>
      <c r="AJ228" s="380"/>
      <c r="AK228" s="403"/>
      <c r="AL228" s="380"/>
      <c r="AM228" s="380"/>
      <c r="AN228" s="380"/>
      <c r="AO228" s="380"/>
      <c r="AP228" s="380"/>
      <c r="AQ228" s="404"/>
      <c r="AR228" s="380"/>
      <c r="AS228" s="380"/>
      <c r="AT228" s="380"/>
      <c r="AU228" s="380"/>
      <c r="AV228" s="380"/>
      <c r="AW228" s="380"/>
      <c r="AX228" s="380"/>
      <c r="AY228" s="403"/>
      <c r="AZ228" s="380"/>
      <c r="BA228" s="380"/>
      <c r="BB228" s="380"/>
      <c r="BC228" s="380"/>
      <c r="BD228" s="380"/>
      <c r="BE228" s="404"/>
      <c r="BF228" s="380"/>
      <c r="BG228" s="380"/>
      <c r="BH228" s="380"/>
      <c r="BI228" s="380"/>
      <c r="BJ228" s="380"/>
      <c r="BK228" s="380"/>
      <c r="BL228" s="380"/>
      <c r="BM228" s="403"/>
      <c r="BS228" s="83"/>
      <c r="CA228" s="405"/>
      <c r="CG228" s="83"/>
      <c r="CO228" s="405"/>
      <c r="CU228" s="83"/>
      <c r="DC228" s="405"/>
      <c r="DI228" s="83"/>
      <c r="DQ228" s="405"/>
      <c r="DW228" s="83"/>
      <c r="EE228" s="405"/>
      <c r="EK228" s="83"/>
      <c r="ES228" s="405"/>
      <c r="EY228" s="83"/>
      <c r="FG228" s="405"/>
      <c r="FM228" s="83"/>
      <c r="FU228" s="405"/>
      <c r="GA228" s="83"/>
      <c r="GI228" s="405"/>
      <c r="GO228" s="83"/>
      <c r="GW228" s="405"/>
      <c r="HC228" s="83"/>
      <c r="HK228" s="405"/>
      <c r="HQ228" s="83"/>
      <c r="HY228" s="405"/>
      <c r="IE228" s="83"/>
      <c r="IM228" s="405"/>
      <c r="IS228" s="83"/>
      <c r="JA228" s="405"/>
      <c r="JG228" s="83"/>
      <c r="JO228" s="405"/>
      <c r="JU228" s="83"/>
      <c r="KC228" s="405"/>
      <c r="KI228" s="83"/>
      <c r="KQ228" s="405"/>
      <c r="KW228" s="83"/>
      <c r="LE228" s="405"/>
      <c r="LK228" s="83"/>
      <c r="LS228" s="405"/>
      <c r="LY228" s="83"/>
      <c r="MG228" s="405"/>
      <c r="MM228" s="83"/>
      <c r="MU228" s="405"/>
      <c r="NA228" s="83"/>
    </row>
    <row r="229">
      <c r="A229" s="483"/>
      <c r="B229" s="380"/>
      <c r="C229" s="380"/>
      <c r="D229" s="380"/>
      <c r="E229" s="380"/>
      <c r="F229" s="380"/>
      <c r="G229" s="380"/>
      <c r="H229" s="380"/>
      <c r="I229" s="403"/>
      <c r="J229" s="380"/>
      <c r="K229" s="380"/>
      <c r="L229" s="380"/>
      <c r="M229" s="380"/>
      <c r="N229" s="380"/>
      <c r="O229" s="404"/>
      <c r="P229" s="380"/>
      <c r="Q229" s="380"/>
      <c r="R229" s="380"/>
      <c r="S229" s="380"/>
      <c r="T229" s="380"/>
      <c r="U229" s="380"/>
      <c r="V229" s="380"/>
      <c r="W229" s="403"/>
      <c r="X229" s="380"/>
      <c r="Y229" s="380"/>
      <c r="Z229" s="380"/>
      <c r="AA229" s="380"/>
      <c r="AB229" s="380"/>
      <c r="AC229" s="404"/>
      <c r="AD229" s="380"/>
      <c r="AE229" s="380"/>
      <c r="AF229" s="380"/>
      <c r="AG229" s="380"/>
      <c r="AH229" s="380"/>
      <c r="AI229" s="380"/>
      <c r="AJ229" s="380"/>
      <c r="AK229" s="403"/>
      <c r="AL229" s="380"/>
      <c r="AM229" s="380"/>
      <c r="AN229" s="380"/>
      <c r="AO229" s="380"/>
      <c r="AP229" s="380"/>
      <c r="AQ229" s="404"/>
      <c r="AR229" s="380"/>
      <c r="AS229" s="380"/>
      <c r="AT229" s="380"/>
      <c r="AU229" s="380"/>
      <c r="AV229" s="380"/>
      <c r="AW229" s="380"/>
      <c r="AX229" s="380"/>
      <c r="AY229" s="403"/>
      <c r="AZ229" s="380"/>
      <c r="BA229" s="380"/>
      <c r="BB229" s="380"/>
      <c r="BC229" s="380"/>
      <c r="BD229" s="380"/>
      <c r="BE229" s="404"/>
      <c r="BF229" s="380"/>
      <c r="BG229" s="380"/>
      <c r="BH229" s="380"/>
      <c r="BI229" s="380"/>
      <c r="BJ229" s="380"/>
      <c r="BK229" s="380"/>
      <c r="BL229" s="380"/>
      <c r="BM229" s="403"/>
      <c r="BS229" s="83"/>
      <c r="CA229" s="405"/>
      <c r="CG229" s="83"/>
      <c r="CO229" s="405"/>
      <c r="CU229" s="83"/>
      <c r="DC229" s="405"/>
      <c r="DI229" s="83"/>
      <c r="DQ229" s="405"/>
      <c r="DW229" s="83"/>
      <c r="EE229" s="405"/>
      <c r="EK229" s="83"/>
      <c r="ES229" s="405"/>
      <c r="EY229" s="83"/>
      <c r="FG229" s="405"/>
      <c r="FM229" s="83"/>
      <c r="FU229" s="405"/>
      <c r="GA229" s="83"/>
      <c r="GI229" s="405"/>
      <c r="GO229" s="83"/>
      <c r="GW229" s="405"/>
      <c r="HC229" s="83"/>
      <c r="HK229" s="405"/>
      <c r="HQ229" s="83"/>
      <c r="HY229" s="405"/>
      <c r="IE229" s="83"/>
      <c r="IM229" s="405"/>
      <c r="IS229" s="83"/>
      <c r="JA229" s="405"/>
      <c r="JG229" s="83"/>
      <c r="JO229" s="405"/>
      <c r="JU229" s="83"/>
      <c r="KC229" s="405"/>
      <c r="KI229" s="83"/>
      <c r="KQ229" s="405"/>
      <c r="KW229" s="83"/>
      <c r="LE229" s="405"/>
      <c r="LK229" s="83"/>
      <c r="LS229" s="405"/>
      <c r="LY229" s="83"/>
      <c r="MG229" s="405"/>
      <c r="MM229" s="83"/>
      <c r="MU229" s="405"/>
      <c r="NA229" s="83"/>
    </row>
    <row r="230">
      <c r="A230" s="483"/>
      <c r="B230" s="380"/>
      <c r="C230" s="380"/>
      <c r="D230" s="380"/>
      <c r="E230" s="380"/>
      <c r="F230" s="380"/>
      <c r="G230" s="380"/>
      <c r="H230" s="380"/>
      <c r="I230" s="403"/>
      <c r="J230" s="380"/>
      <c r="K230" s="380"/>
      <c r="L230" s="380"/>
      <c r="M230" s="380"/>
      <c r="N230" s="380"/>
      <c r="O230" s="404"/>
      <c r="P230" s="380"/>
      <c r="Q230" s="380"/>
      <c r="R230" s="380"/>
      <c r="S230" s="380"/>
      <c r="T230" s="380"/>
      <c r="U230" s="380"/>
      <c r="V230" s="380"/>
      <c r="W230" s="403"/>
      <c r="X230" s="380"/>
      <c r="Y230" s="380"/>
      <c r="Z230" s="380"/>
      <c r="AA230" s="380"/>
      <c r="AB230" s="380"/>
      <c r="AC230" s="404"/>
      <c r="AD230" s="380"/>
      <c r="AE230" s="380"/>
      <c r="AF230" s="380"/>
      <c r="AG230" s="380"/>
      <c r="AH230" s="380"/>
      <c r="AI230" s="380"/>
      <c r="AJ230" s="380"/>
      <c r="AK230" s="403"/>
      <c r="AL230" s="380"/>
      <c r="AM230" s="380"/>
      <c r="AN230" s="380"/>
      <c r="AO230" s="380"/>
      <c r="AP230" s="380"/>
      <c r="AQ230" s="404"/>
      <c r="AR230" s="380"/>
      <c r="AS230" s="380"/>
      <c r="AT230" s="380"/>
      <c r="AU230" s="380"/>
      <c r="AV230" s="380"/>
      <c r="AW230" s="380"/>
      <c r="AX230" s="380"/>
      <c r="AY230" s="403"/>
      <c r="AZ230" s="380"/>
      <c r="BA230" s="380"/>
      <c r="BB230" s="380"/>
      <c r="BC230" s="380"/>
      <c r="BD230" s="380"/>
      <c r="BE230" s="404"/>
      <c r="BF230" s="380"/>
      <c r="BG230" s="380"/>
      <c r="BH230" s="380"/>
      <c r="BI230" s="380"/>
      <c r="BJ230" s="380"/>
      <c r="BK230" s="380"/>
      <c r="BL230" s="380"/>
      <c r="BM230" s="403"/>
      <c r="BS230" s="83"/>
      <c r="CA230" s="405"/>
      <c r="CG230" s="83"/>
      <c r="CO230" s="405"/>
      <c r="CU230" s="83"/>
      <c r="DC230" s="405"/>
      <c r="DI230" s="83"/>
      <c r="DQ230" s="405"/>
      <c r="DW230" s="83"/>
      <c r="EE230" s="405"/>
      <c r="EK230" s="83"/>
      <c r="ES230" s="405"/>
      <c r="EY230" s="83"/>
      <c r="FG230" s="405"/>
      <c r="FM230" s="83"/>
      <c r="FU230" s="405"/>
      <c r="GA230" s="83"/>
      <c r="GI230" s="405"/>
      <c r="GO230" s="83"/>
      <c r="GW230" s="405"/>
      <c r="HC230" s="83"/>
      <c r="HK230" s="405"/>
      <c r="HQ230" s="83"/>
      <c r="HY230" s="405"/>
      <c r="IE230" s="83"/>
      <c r="IM230" s="405"/>
      <c r="IS230" s="83"/>
      <c r="JA230" s="405"/>
      <c r="JG230" s="83"/>
      <c r="JO230" s="405"/>
      <c r="JU230" s="83"/>
      <c r="KC230" s="405"/>
      <c r="KI230" s="83"/>
      <c r="KQ230" s="405"/>
      <c r="KW230" s="83"/>
      <c r="LE230" s="405"/>
      <c r="LK230" s="83"/>
      <c r="LS230" s="405"/>
      <c r="LY230" s="83"/>
      <c r="MG230" s="405"/>
      <c r="MM230" s="83"/>
      <c r="MU230" s="405"/>
      <c r="NA230" s="83"/>
    </row>
    <row r="231">
      <c r="A231" s="483"/>
      <c r="B231" s="380"/>
      <c r="C231" s="380"/>
      <c r="D231" s="380"/>
      <c r="E231" s="380"/>
      <c r="F231" s="380"/>
      <c r="G231" s="380"/>
      <c r="H231" s="380"/>
      <c r="I231" s="403"/>
      <c r="J231" s="380"/>
      <c r="K231" s="380"/>
      <c r="L231" s="380"/>
      <c r="M231" s="380"/>
      <c r="N231" s="380"/>
      <c r="O231" s="404"/>
      <c r="P231" s="380"/>
      <c r="Q231" s="380"/>
      <c r="R231" s="380"/>
      <c r="S231" s="380"/>
      <c r="T231" s="380"/>
      <c r="U231" s="380"/>
      <c r="V231" s="380"/>
      <c r="W231" s="403"/>
      <c r="X231" s="380"/>
      <c r="Y231" s="380"/>
      <c r="Z231" s="380"/>
      <c r="AA231" s="380"/>
      <c r="AB231" s="380"/>
      <c r="AC231" s="404"/>
      <c r="AD231" s="380"/>
      <c r="AE231" s="380"/>
      <c r="AF231" s="380"/>
      <c r="AG231" s="380"/>
      <c r="AH231" s="380"/>
      <c r="AI231" s="380"/>
      <c r="AJ231" s="380"/>
      <c r="AK231" s="403"/>
      <c r="AL231" s="380"/>
      <c r="AM231" s="380"/>
      <c r="AN231" s="380"/>
      <c r="AO231" s="380"/>
      <c r="AP231" s="380"/>
      <c r="AQ231" s="404"/>
      <c r="AR231" s="380"/>
      <c r="AS231" s="380"/>
      <c r="AT231" s="380"/>
      <c r="AU231" s="380"/>
      <c r="AV231" s="380"/>
      <c r="AW231" s="380"/>
      <c r="AX231" s="380"/>
      <c r="AY231" s="403"/>
      <c r="AZ231" s="380"/>
      <c r="BA231" s="380"/>
      <c r="BB231" s="380"/>
      <c r="BC231" s="380"/>
      <c r="BD231" s="380"/>
      <c r="BE231" s="404"/>
      <c r="BF231" s="380"/>
      <c r="BG231" s="380"/>
      <c r="BH231" s="380"/>
      <c r="BI231" s="380"/>
      <c r="BJ231" s="380"/>
      <c r="BK231" s="380"/>
      <c r="BL231" s="380"/>
      <c r="BM231" s="403"/>
      <c r="BS231" s="83"/>
      <c r="CA231" s="405"/>
      <c r="CG231" s="83"/>
      <c r="CO231" s="405"/>
      <c r="CU231" s="83"/>
      <c r="DC231" s="405"/>
      <c r="DI231" s="83"/>
      <c r="DQ231" s="405"/>
      <c r="DW231" s="83"/>
      <c r="EE231" s="405"/>
      <c r="EK231" s="83"/>
      <c r="ES231" s="405"/>
      <c r="EY231" s="83"/>
      <c r="FG231" s="405"/>
      <c r="FM231" s="83"/>
      <c r="FU231" s="405"/>
      <c r="GA231" s="83"/>
      <c r="GI231" s="405"/>
      <c r="GO231" s="83"/>
      <c r="GW231" s="405"/>
      <c r="HC231" s="83"/>
      <c r="HK231" s="405"/>
      <c r="HQ231" s="83"/>
      <c r="HY231" s="405"/>
      <c r="IE231" s="83"/>
      <c r="IM231" s="405"/>
      <c r="IS231" s="83"/>
      <c r="JA231" s="405"/>
      <c r="JG231" s="83"/>
      <c r="JO231" s="405"/>
      <c r="JU231" s="83"/>
      <c r="KC231" s="405"/>
      <c r="KI231" s="83"/>
      <c r="KQ231" s="405"/>
      <c r="KW231" s="83"/>
      <c r="LE231" s="405"/>
      <c r="LK231" s="83"/>
      <c r="LS231" s="405"/>
      <c r="LY231" s="83"/>
      <c r="MG231" s="405"/>
      <c r="MM231" s="83"/>
      <c r="MU231" s="405"/>
      <c r="NA231" s="83"/>
    </row>
    <row r="232">
      <c r="A232" s="483"/>
      <c r="B232" s="380"/>
      <c r="C232" s="380"/>
      <c r="D232" s="380"/>
      <c r="E232" s="380"/>
      <c r="F232" s="380"/>
      <c r="G232" s="380"/>
      <c r="H232" s="380"/>
      <c r="I232" s="403"/>
      <c r="J232" s="380"/>
      <c r="K232" s="380"/>
      <c r="L232" s="380"/>
      <c r="M232" s="380"/>
      <c r="N232" s="380"/>
      <c r="O232" s="404"/>
      <c r="P232" s="380"/>
      <c r="Q232" s="380"/>
      <c r="R232" s="380"/>
      <c r="S232" s="380"/>
      <c r="T232" s="380"/>
      <c r="U232" s="380"/>
      <c r="V232" s="380"/>
      <c r="W232" s="403"/>
      <c r="X232" s="380"/>
      <c r="Y232" s="380"/>
      <c r="Z232" s="380"/>
      <c r="AA232" s="380"/>
      <c r="AB232" s="380"/>
      <c r="AC232" s="404"/>
      <c r="AD232" s="380"/>
      <c r="AE232" s="380"/>
      <c r="AF232" s="380"/>
      <c r="AG232" s="380"/>
      <c r="AH232" s="380"/>
      <c r="AI232" s="380"/>
      <c r="AJ232" s="380"/>
      <c r="AK232" s="403"/>
      <c r="AL232" s="380"/>
      <c r="AM232" s="380"/>
      <c r="AN232" s="380"/>
      <c r="AO232" s="380"/>
      <c r="AP232" s="380"/>
      <c r="AQ232" s="404"/>
      <c r="AR232" s="380"/>
      <c r="AS232" s="380"/>
      <c r="AT232" s="380"/>
      <c r="AU232" s="380"/>
      <c r="AV232" s="380"/>
      <c r="AW232" s="380"/>
      <c r="AX232" s="380"/>
      <c r="AY232" s="403"/>
      <c r="AZ232" s="380"/>
      <c r="BA232" s="380"/>
      <c r="BB232" s="380"/>
      <c r="BC232" s="380"/>
      <c r="BD232" s="380"/>
      <c r="BE232" s="404"/>
      <c r="BF232" s="380"/>
      <c r="BG232" s="380"/>
      <c r="BH232" s="380"/>
      <c r="BI232" s="380"/>
      <c r="BJ232" s="380"/>
      <c r="BK232" s="380"/>
      <c r="BL232" s="380"/>
      <c r="BM232" s="403"/>
      <c r="BS232" s="83"/>
      <c r="CA232" s="405"/>
      <c r="CG232" s="83"/>
      <c r="CO232" s="405"/>
      <c r="CU232" s="83"/>
      <c r="DC232" s="405"/>
      <c r="DI232" s="83"/>
      <c r="DQ232" s="405"/>
      <c r="DW232" s="83"/>
      <c r="EE232" s="405"/>
      <c r="EK232" s="83"/>
      <c r="ES232" s="405"/>
      <c r="EY232" s="83"/>
      <c r="FG232" s="405"/>
      <c r="FM232" s="83"/>
      <c r="FU232" s="405"/>
      <c r="GA232" s="83"/>
      <c r="GI232" s="405"/>
      <c r="GO232" s="83"/>
      <c r="GW232" s="405"/>
      <c r="HC232" s="83"/>
      <c r="HK232" s="405"/>
      <c r="HQ232" s="83"/>
      <c r="HY232" s="405"/>
      <c r="IE232" s="83"/>
      <c r="IM232" s="405"/>
      <c r="IS232" s="83"/>
      <c r="JA232" s="405"/>
      <c r="JG232" s="83"/>
      <c r="JO232" s="405"/>
      <c r="JU232" s="83"/>
      <c r="KC232" s="405"/>
      <c r="KI232" s="83"/>
      <c r="KQ232" s="405"/>
      <c r="KW232" s="83"/>
      <c r="LE232" s="405"/>
      <c r="LK232" s="83"/>
      <c r="LS232" s="405"/>
      <c r="LY232" s="83"/>
      <c r="MG232" s="405"/>
      <c r="MM232" s="83"/>
      <c r="MU232" s="405"/>
      <c r="NA232" s="83"/>
    </row>
    <row r="233">
      <c r="A233" s="483"/>
      <c r="B233" s="380"/>
      <c r="C233" s="380"/>
      <c r="D233" s="380"/>
      <c r="E233" s="380"/>
      <c r="F233" s="380"/>
      <c r="G233" s="380"/>
      <c r="H233" s="380"/>
      <c r="I233" s="403"/>
      <c r="J233" s="380"/>
      <c r="K233" s="380"/>
      <c r="L233" s="380"/>
      <c r="M233" s="380"/>
      <c r="N233" s="380"/>
      <c r="O233" s="404"/>
      <c r="P233" s="380"/>
      <c r="Q233" s="380"/>
      <c r="R233" s="380"/>
      <c r="S233" s="380"/>
      <c r="T233" s="380"/>
      <c r="U233" s="380"/>
      <c r="V233" s="380"/>
      <c r="W233" s="403"/>
      <c r="X233" s="380"/>
      <c r="Y233" s="380"/>
      <c r="Z233" s="380"/>
      <c r="AA233" s="380"/>
      <c r="AB233" s="380"/>
      <c r="AC233" s="404"/>
      <c r="AD233" s="380"/>
      <c r="AE233" s="380"/>
      <c r="AF233" s="380"/>
      <c r="AG233" s="380"/>
      <c r="AH233" s="380"/>
      <c r="AI233" s="380"/>
      <c r="AJ233" s="380"/>
      <c r="AK233" s="403"/>
      <c r="AL233" s="380"/>
      <c r="AM233" s="380"/>
      <c r="AN233" s="380"/>
      <c r="AO233" s="380"/>
      <c r="AP233" s="380"/>
      <c r="AQ233" s="404"/>
      <c r="AR233" s="380"/>
      <c r="AS233" s="380"/>
      <c r="AT233" s="380"/>
      <c r="AU233" s="380"/>
      <c r="AV233" s="380"/>
      <c r="AW233" s="380"/>
      <c r="AX233" s="380"/>
      <c r="AY233" s="403"/>
      <c r="AZ233" s="380"/>
      <c r="BA233" s="380"/>
      <c r="BB233" s="380"/>
      <c r="BC233" s="380"/>
      <c r="BD233" s="380"/>
      <c r="BE233" s="404"/>
      <c r="BF233" s="380"/>
      <c r="BG233" s="380"/>
      <c r="BH233" s="380"/>
      <c r="BI233" s="380"/>
      <c r="BJ233" s="380"/>
      <c r="BK233" s="380"/>
      <c r="BL233" s="380"/>
      <c r="BM233" s="403"/>
      <c r="BS233" s="83"/>
      <c r="CA233" s="405"/>
      <c r="CG233" s="83"/>
      <c r="CO233" s="405"/>
      <c r="CU233" s="83"/>
      <c r="DC233" s="405"/>
      <c r="DI233" s="83"/>
      <c r="DQ233" s="405"/>
      <c r="DW233" s="83"/>
      <c r="EE233" s="405"/>
      <c r="EK233" s="83"/>
      <c r="ES233" s="405"/>
      <c r="EY233" s="83"/>
      <c r="FG233" s="405"/>
      <c r="FM233" s="83"/>
      <c r="FU233" s="405"/>
      <c r="GA233" s="83"/>
      <c r="GI233" s="405"/>
      <c r="GO233" s="83"/>
      <c r="GW233" s="405"/>
      <c r="HC233" s="83"/>
      <c r="HK233" s="405"/>
      <c r="HQ233" s="83"/>
      <c r="HY233" s="405"/>
      <c r="IE233" s="83"/>
      <c r="IM233" s="405"/>
      <c r="IS233" s="83"/>
      <c r="JA233" s="405"/>
      <c r="JG233" s="83"/>
      <c r="JO233" s="405"/>
      <c r="JU233" s="83"/>
      <c r="KC233" s="405"/>
      <c r="KI233" s="83"/>
      <c r="KQ233" s="405"/>
      <c r="KW233" s="83"/>
      <c r="LE233" s="405"/>
      <c r="LK233" s="83"/>
      <c r="LS233" s="405"/>
      <c r="LY233" s="83"/>
      <c r="MG233" s="405"/>
      <c r="MM233" s="83"/>
      <c r="MU233" s="405"/>
      <c r="NA233" s="83"/>
    </row>
    <row r="234">
      <c r="A234" s="483"/>
      <c r="B234" s="380"/>
      <c r="C234" s="380"/>
      <c r="D234" s="380"/>
      <c r="E234" s="380"/>
      <c r="F234" s="380"/>
      <c r="G234" s="380"/>
      <c r="H234" s="380"/>
      <c r="I234" s="403"/>
      <c r="J234" s="380"/>
      <c r="K234" s="380"/>
      <c r="L234" s="380"/>
      <c r="M234" s="380"/>
      <c r="N234" s="380"/>
      <c r="O234" s="404"/>
      <c r="P234" s="380"/>
      <c r="Q234" s="380"/>
      <c r="R234" s="380"/>
      <c r="S234" s="380"/>
      <c r="T234" s="380"/>
      <c r="U234" s="380"/>
      <c r="V234" s="380"/>
      <c r="W234" s="403"/>
      <c r="X234" s="380"/>
      <c r="Y234" s="380"/>
      <c r="Z234" s="380"/>
      <c r="AA234" s="380"/>
      <c r="AB234" s="380"/>
      <c r="AC234" s="404"/>
      <c r="AD234" s="380"/>
      <c r="AE234" s="380"/>
      <c r="AF234" s="380"/>
      <c r="AG234" s="380"/>
      <c r="AH234" s="380"/>
      <c r="AI234" s="380"/>
      <c r="AJ234" s="380"/>
      <c r="AK234" s="403"/>
      <c r="AL234" s="380"/>
      <c r="AM234" s="380"/>
      <c r="AN234" s="380"/>
      <c r="AO234" s="380"/>
      <c r="AP234" s="380"/>
      <c r="AQ234" s="404"/>
      <c r="AR234" s="380"/>
      <c r="AS234" s="380"/>
      <c r="AT234" s="380"/>
      <c r="AU234" s="380"/>
      <c r="AV234" s="380"/>
      <c r="AW234" s="380"/>
      <c r="AX234" s="380"/>
      <c r="AY234" s="403"/>
      <c r="AZ234" s="380"/>
      <c r="BA234" s="380"/>
      <c r="BB234" s="380"/>
      <c r="BC234" s="380"/>
      <c r="BD234" s="380"/>
      <c r="BE234" s="404"/>
      <c r="BF234" s="380"/>
      <c r="BG234" s="380"/>
      <c r="BH234" s="380"/>
      <c r="BI234" s="380"/>
      <c r="BJ234" s="380"/>
      <c r="BK234" s="380"/>
      <c r="BL234" s="380"/>
      <c r="BM234" s="403"/>
      <c r="BS234" s="83"/>
      <c r="CA234" s="405"/>
      <c r="CG234" s="83"/>
      <c r="CO234" s="405"/>
      <c r="CU234" s="83"/>
      <c r="DC234" s="405"/>
      <c r="DI234" s="83"/>
      <c r="DQ234" s="405"/>
      <c r="DW234" s="83"/>
      <c r="EE234" s="405"/>
      <c r="EK234" s="83"/>
      <c r="ES234" s="405"/>
      <c r="EY234" s="83"/>
      <c r="FG234" s="405"/>
      <c r="FM234" s="83"/>
      <c r="FU234" s="405"/>
      <c r="GA234" s="83"/>
      <c r="GI234" s="405"/>
      <c r="GO234" s="83"/>
      <c r="GW234" s="405"/>
      <c r="HC234" s="83"/>
      <c r="HK234" s="405"/>
      <c r="HQ234" s="83"/>
      <c r="HY234" s="405"/>
      <c r="IE234" s="83"/>
      <c r="IM234" s="405"/>
      <c r="IS234" s="83"/>
      <c r="JA234" s="405"/>
      <c r="JG234" s="83"/>
      <c r="JO234" s="405"/>
      <c r="JU234" s="83"/>
      <c r="KC234" s="405"/>
      <c r="KI234" s="83"/>
      <c r="KQ234" s="405"/>
      <c r="KW234" s="83"/>
      <c r="LE234" s="405"/>
      <c r="LK234" s="83"/>
      <c r="LS234" s="405"/>
      <c r="LY234" s="83"/>
      <c r="MG234" s="405"/>
      <c r="MM234" s="83"/>
      <c r="MU234" s="405"/>
      <c r="NA234" s="83"/>
    </row>
    <row r="235">
      <c r="A235" s="483"/>
      <c r="B235" s="380"/>
      <c r="C235" s="380"/>
      <c r="D235" s="380"/>
      <c r="E235" s="380"/>
      <c r="F235" s="380"/>
      <c r="G235" s="380"/>
      <c r="H235" s="380"/>
      <c r="I235" s="403"/>
      <c r="J235" s="380"/>
      <c r="K235" s="380"/>
      <c r="L235" s="380"/>
      <c r="M235" s="380"/>
      <c r="N235" s="380"/>
      <c r="O235" s="404"/>
      <c r="P235" s="380"/>
      <c r="Q235" s="380"/>
      <c r="R235" s="380"/>
      <c r="S235" s="380"/>
      <c r="T235" s="380"/>
      <c r="U235" s="380"/>
      <c r="V235" s="380"/>
      <c r="W235" s="403"/>
      <c r="X235" s="380"/>
      <c r="Y235" s="380"/>
      <c r="Z235" s="380"/>
      <c r="AA235" s="380"/>
      <c r="AB235" s="380"/>
      <c r="AC235" s="404"/>
      <c r="AD235" s="380"/>
      <c r="AE235" s="380"/>
      <c r="AF235" s="380"/>
      <c r="AG235" s="380"/>
      <c r="AH235" s="380"/>
      <c r="AI235" s="380"/>
      <c r="AJ235" s="380"/>
      <c r="AK235" s="403"/>
      <c r="AL235" s="380"/>
      <c r="AM235" s="380"/>
      <c r="AN235" s="380"/>
      <c r="AO235" s="380"/>
      <c r="AP235" s="380"/>
      <c r="AQ235" s="404"/>
      <c r="AR235" s="380"/>
      <c r="AS235" s="380"/>
      <c r="AT235" s="380"/>
      <c r="AU235" s="380"/>
      <c r="AV235" s="380"/>
      <c r="AW235" s="380"/>
      <c r="AX235" s="380"/>
      <c r="AY235" s="403"/>
      <c r="AZ235" s="380"/>
      <c r="BA235" s="380"/>
      <c r="BB235" s="380"/>
      <c r="BC235" s="380"/>
      <c r="BD235" s="380"/>
      <c r="BE235" s="404"/>
      <c r="BF235" s="380"/>
      <c r="BG235" s="380"/>
      <c r="BH235" s="380"/>
      <c r="BI235" s="380"/>
      <c r="BJ235" s="380"/>
      <c r="BK235" s="380"/>
      <c r="BL235" s="380"/>
      <c r="BM235" s="403"/>
      <c r="BS235" s="83"/>
      <c r="CA235" s="405"/>
      <c r="CG235" s="83"/>
      <c r="CO235" s="405"/>
      <c r="CU235" s="83"/>
      <c r="DC235" s="405"/>
      <c r="DI235" s="83"/>
      <c r="DQ235" s="405"/>
      <c r="DW235" s="83"/>
      <c r="EE235" s="405"/>
      <c r="EK235" s="83"/>
      <c r="ES235" s="405"/>
      <c r="EY235" s="83"/>
      <c r="FG235" s="405"/>
      <c r="FM235" s="83"/>
      <c r="FU235" s="405"/>
      <c r="GA235" s="83"/>
      <c r="GI235" s="405"/>
      <c r="GO235" s="83"/>
      <c r="GW235" s="405"/>
      <c r="HC235" s="83"/>
      <c r="HK235" s="405"/>
      <c r="HQ235" s="83"/>
      <c r="HY235" s="405"/>
      <c r="IE235" s="83"/>
      <c r="IM235" s="405"/>
      <c r="IS235" s="83"/>
      <c r="JA235" s="405"/>
      <c r="JG235" s="83"/>
      <c r="JO235" s="405"/>
      <c r="JU235" s="83"/>
      <c r="KC235" s="405"/>
      <c r="KI235" s="83"/>
      <c r="KQ235" s="405"/>
      <c r="KW235" s="83"/>
      <c r="LE235" s="405"/>
      <c r="LK235" s="83"/>
      <c r="LS235" s="405"/>
      <c r="LY235" s="83"/>
      <c r="MG235" s="405"/>
      <c r="MM235" s="83"/>
      <c r="MU235" s="405"/>
      <c r="NA235" s="83"/>
    </row>
    <row r="236">
      <c r="A236" s="483"/>
      <c r="B236" s="380"/>
      <c r="C236" s="380"/>
      <c r="D236" s="380"/>
      <c r="E236" s="380"/>
      <c r="F236" s="380"/>
      <c r="G236" s="380"/>
      <c r="H236" s="380"/>
      <c r="I236" s="403"/>
      <c r="J236" s="380"/>
      <c r="K236" s="380"/>
      <c r="L236" s="380"/>
      <c r="M236" s="380"/>
      <c r="N236" s="380"/>
      <c r="O236" s="404"/>
      <c r="P236" s="380"/>
      <c r="Q236" s="380"/>
      <c r="R236" s="380"/>
      <c r="S236" s="380"/>
      <c r="T236" s="380"/>
      <c r="U236" s="380"/>
      <c r="V236" s="380"/>
      <c r="W236" s="403"/>
      <c r="X236" s="380"/>
      <c r="Y236" s="380"/>
      <c r="Z236" s="380"/>
      <c r="AA236" s="380"/>
      <c r="AB236" s="380"/>
      <c r="AC236" s="404"/>
      <c r="AD236" s="380"/>
      <c r="AE236" s="380"/>
      <c r="AF236" s="380"/>
      <c r="AG236" s="380"/>
      <c r="AH236" s="380"/>
      <c r="AI236" s="380"/>
      <c r="AJ236" s="380"/>
      <c r="AK236" s="403"/>
      <c r="AL236" s="380"/>
      <c r="AM236" s="380"/>
      <c r="AN236" s="380"/>
      <c r="AO236" s="380"/>
      <c r="AP236" s="380"/>
      <c r="AQ236" s="404"/>
      <c r="AR236" s="380"/>
      <c r="AS236" s="380"/>
      <c r="AT236" s="380"/>
      <c r="AU236" s="380"/>
      <c r="AV236" s="380"/>
      <c r="AW236" s="380"/>
      <c r="AX236" s="380"/>
      <c r="AY236" s="403"/>
      <c r="AZ236" s="380"/>
      <c r="BA236" s="380"/>
      <c r="BB236" s="380"/>
      <c r="BC236" s="380"/>
      <c r="BD236" s="380"/>
      <c r="BE236" s="404"/>
      <c r="BF236" s="380"/>
      <c r="BG236" s="380"/>
      <c r="BH236" s="380"/>
      <c r="BI236" s="380"/>
      <c r="BJ236" s="380"/>
      <c r="BK236" s="380"/>
      <c r="BL236" s="380"/>
      <c r="BM236" s="403"/>
      <c r="BS236" s="83"/>
      <c r="CA236" s="405"/>
      <c r="CG236" s="83"/>
      <c r="CO236" s="405"/>
      <c r="CU236" s="83"/>
      <c r="DC236" s="405"/>
      <c r="DI236" s="83"/>
      <c r="DQ236" s="405"/>
      <c r="DW236" s="83"/>
      <c r="EE236" s="405"/>
      <c r="EK236" s="83"/>
      <c r="ES236" s="405"/>
      <c r="EY236" s="83"/>
      <c r="FG236" s="405"/>
      <c r="FM236" s="83"/>
      <c r="FU236" s="405"/>
      <c r="GA236" s="83"/>
      <c r="GI236" s="405"/>
      <c r="GO236" s="83"/>
      <c r="GW236" s="405"/>
      <c r="HC236" s="83"/>
      <c r="HK236" s="405"/>
      <c r="HQ236" s="83"/>
      <c r="HY236" s="405"/>
      <c r="IE236" s="83"/>
      <c r="IM236" s="405"/>
      <c r="IS236" s="83"/>
      <c r="JA236" s="405"/>
      <c r="JG236" s="83"/>
      <c r="JO236" s="405"/>
      <c r="JU236" s="83"/>
      <c r="KC236" s="405"/>
      <c r="KI236" s="83"/>
      <c r="KQ236" s="405"/>
      <c r="KW236" s="83"/>
      <c r="LE236" s="405"/>
      <c r="LK236" s="83"/>
      <c r="LS236" s="405"/>
      <c r="LY236" s="83"/>
      <c r="MG236" s="405"/>
      <c r="MM236" s="83"/>
      <c r="MU236" s="405"/>
      <c r="NA236" s="83"/>
    </row>
    <row r="237">
      <c r="A237" s="483"/>
      <c r="B237" s="380"/>
      <c r="C237" s="380"/>
      <c r="D237" s="380"/>
      <c r="E237" s="380"/>
      <c r="F237" s="380"/>
      <c r="G237" s="380"/>
      <c r="H237" s="380"/>
      <c r="I237" s="403"/>
      <c r="J237" s="380"/>
      <c r="K237" s="380"/>
      <c r="L237" s="380"/>
      <c r="M237" s="380"/>
      <c r="N237" s="380"/>
      <c r="O237" s="404"/>
      <c r="P237" s="380"/>
      <c r="Q237" s="380"/>
      <c r="R237" s="380"/>
      <c r="S237" s="380"/>
      <c r="T237" s="380"/>
      <c r="U237" s="380"/>
      <c r="V237" s="380"/>
      <c r="W237" s="403"/>
      <c r="X237" s="380"/>
      <c r="Y237" s="380"/>
      <c r="Z237" s="380"/>
      <c r="AA237" s="380"/>
      <c r="AB237" s="380"/>
      <c r="AC237" s="404"/>
      <c r="AD237" s="380"/>
      <c r="AE237" s="380"/>
      <c r="AF237" s="380"/>
      <c r="AG237" s="380"/>
      <c r="AH237" s="380"/>
      <c r="AI237" s="380"/>
      <c r="AJ237" s="380"/>
      <c r="AK237" s="403"/>
      <c r="AL237" s="380"/>
      <c r="AM237" s="380"/>
      <c r="AN237" s="380"/>
      <c r="AO237" s="380"/>
      <c r="AP237" s="380"/>
      <c r="AQ237" s="404"/>
      <c r="AR237" s="380"/>
      <c r="AS237" s="380"/>
      <c r="AT237" s="380"/>
      <c r="AU237" s="380"/>
      <c r="AV237" s="380"/>
      <c r="AW237" s="380"/>
      <c r="AX237" s="380"/>
      <c r="AY237" s="403"/>
      <c r="AZ237" s="380"/>
      <c r="BA237" s="380"/>
      <c r="BB237" s="380"/>
      <c r="BC237" s="380"/>
      <c r="BD237" s="380"/>
      <c r="BE237" s="404"/>
      <c r="BF237" s="380"/>
      <c r="BG237" s="380"/>
      <c r="BH237" s="380"/>
      <c r="BI237" s="380"/>
      <c r="BJ237" s="380"/>
      <c r="BK237" s="380"/>
      <c r="BL237" s="380"/>
      <c r="BM237" s="403"/>
      <c r="BS237" s="83"/>
      <c r="CA237" s="405"/>
      <c r="CG237" s="83"/>
      <c r="CO237" s="405"/>
      <c r="CU237" s="83"/>
      <c r="DC237" s="405"/>
      <c r="DI237" s="83"/>
      <c r="DQ237" s="405"/>
      <c r="DW237" s="83"/>
      <c r="EE237" s="405"/>
      <c r="EK237" s="83"/>
      <c r="ES237" s="405"/>
      <c r="EY237" s="83"/>
      <c r="FG237" s="405"/>
      <c r="FM237" s="83"/>
      <c r="FU237" s="405"/>
      <c r="GA237" s="83"/>
      <c r="GI237" s="405"/>
      <c r="GO237" s="83"/>
      <c r="GW237" s="405"/>
      <c r="HC237" s="83"/>
      <c r="HK237" s="405"/>
      <c r="HQ237" s="83"/>
      <c r="HY237" s="405"/>
      <c r="IE237" s="83"/>
      <c r="IM237" s="405"/>
      <c r="IS237" s="83"/>
      <c r="JA237" s="405"/>
      <c r="JG237" s="83"/>
      <c r="JO237" s="405"/>
      <c r="JU237" s="83"/>
      <c r="KC237" s="405"/>
      <c r="KI237" s="83"/>
      <c r="KQ237" s="405"/>
      <c r="KW237" s="83"/>
      <c r="LE237" s="405"/>
      <c r="LK237" s="83"/>
      <c r="LS237" s="405"/>
      <c r="LY237" s="83"/>
      <c r="MG237" s="405"/>
      <c r="MM237" s="83"/>
      <c r="MU237" s="405"/>
      <c r="NA237" s="83"/>
    </row>
    <row r="238">
      <c r="A238" s="483"/>
      <c r="B238" s="380"/>
      <c r="C238" s="380"/>
      <c r="D238" s="380"/>
      <c r="E238" s="380"/>
      <c r="F238" s="380"/>
      <c r="G238" s="380"/>
      <c r="H238" s="380"/>
      <c r="I238" s="403"/>
      <c r="J238" s="380"/>
      <c r="K238" s="380"/>
      <c r="L238" s="380"/>
      <c r="M238" s="380"/>
      <c r="N238" s="380"/>
      <c r="O238" s="404"/>
      <c r="P238" s="380"/>
      <c r="Q238" s="380"/>
      <c r="R238" s="380"/>
      <c r="S238" s="380"/>
      <c r="T238" s="380"/>
      <c r="U238" s="380"/>
      <c r="V238" s="380"/>
      <c r="W238" s="403"/>
      <c r="X238" s="380"/>
      <c r="Y238" s="380"/>
      <c r="Z238" s="380"/>
      <c r="AA238" s="380"/>
      <c r="AB238" s="380"/>
      <c r="AC238" s="404"/>
      <c r="AD238" s="380"/>
      <c r="AE238" s="380"/>
      <c r="AF238" s="380"/>
      <c r="AG238" s="380"/>
      <c r="AH238" s="380"/>
      <c r="AI238" s="380"/>
      <c r="AJ238" s="380"/>
      <c r="AK238" s="403"/>
      <c r="AL238" s="380"/>
      <c r="AM238" s="380"/>
      <c r="AN238" s="380"/>
      <c r="AO238" s="380"/>
      <c r="AP238" s="380"/>
      <c r="AQ238" s="404"/>
      <c r="AR238" s="380"/>
      <c r="AS238" s="380"/>
      <c r="AT238" s="380"/>
      <c r="AU238" s="380"/>
      <c r="AV238" s="380"/>
      <c r="AW238" s="380"/>
      <c r="AX238" s="380"/>
      <c r="AY238" s="403"/>
      <c r="AZ238" s="380"/>
      <c r="BA238" s="380"/>
      <c r="BB238" s="380"/>
      <c r="BC238" s="380"/>
      <c r="BD238" s="380"/>
      <c r="BE238" s="404"/>
      <c r="BF238" s="380"/>
      <c r="BG238" s="380"/>
      <c r="BH238" s="380"/>
      <c r="BI238" s="380"/>
      <c r="BJ238" s="380"/>
      <c r="BK238" s="380"/>
      <c r="BL238" s="380"/>
      <c r="BM238" s="403"/>
      <c r="BS238" s="83"/>
      <c r="CA238" s="405"/>
      <c r="CG238" s="83"/>
      <c r="CO238" s="405"/>
      <c r="CU238" s="83"/>
      <c r="DC238" s="405"/>
      <c r="DI238" s="83"/>
      <c r="DQ238" s="405"/>
      <c r="DW238" s="83"/>
      <c r="EE238" s="405"/>
      <c r="EK238" s="83"/>
      <c r="ES238" s="405"/>
      <c r="EY238" s="83"/>
      <c r="FG238" s="405"/>
      <c r="FM238" s="83"/>
      <c r="FU238" s="405"/>
      <c r="GA238" s="83"/>
      <c r="GI238" s="405"/>
      <c r="GO238" s="83"/>
      <c r="GW238" s="405"/>
      <c r="HC238" s="83"/>
      <c r="HK238" s="405"/>
      <c r="HQ238" s="83"/>
      <c r="HY238" s="405"/>
      <c r="IE238" s="83"/>
      <c r="IM238" s="405"/>
      <c r="IS238" s="83"/>
      <c r="JA238" s="405"/>
      <c r="JG238" s="83"/>
      <c r="JO238" s="405"/>
      <c r="JU238" s="83"/>
      <c r="KC238" s="405"/>
      <c r="KI238" s="83"/>
      <c r="KQ238" s="405"/>
      <c r="KW238" s="83"/>
      <c r="LE238" s="405"/>
      <c r="LK238" s="83"/>
      <c r="LS238" s="405"/>
      <c r="LY238" s="83"/>
      <c r="MG238" s="405"/>
      <c r="MM238" s="83"/>
      <c r="MU238" s="405"/>
      <c r="NA238" s="83"/>
    </row>
    <row r="239">
      <c r="A239" s="483"/>
      <c r="B239" s="380"/>
      <c r="C239" s="380"/>
      <c r="D239" s="380"/>
      <c r="E239" s="380"/>
      <c r="F239" s="380"/>
      <c r="G239" s="380"/>
      <c r="H239" s="380"/>
      <c r="I239" s="403"/>
      <c r="J239" s="380"/>
      <c r="K239" s="380"/>
      <c r="L239" s="380"/>
      <c r="M239" s="380"/>
      <c r="N239" s="380"/>
      <c r="O239" s="404"/>
      <c r="P239" s="380"/>
      <c r="Q239" s="380"/>
      <c r="R239" s="380"/>
      <c r="S239" s="380"/>
      <c r="T239" s="380"/>
      <c r="U239" s="380"/>
      <c r="V239" s="380"/>
      <c r="W239" s="403"/>
      <c r="X239" s="380"/>
      <c r="Y239" s="380"/>
      <c r="Z239" s="380"/>
      <c r="AA239" s="380"/>
      <c r="AB239" s="380"/>
      <c r="AC239" s="404"/>
      <c r="AD239" s="380"/>
      <c r="AE239" s="380"/>
      <c r="AF239" s="380"/>
      <c r="AG239" s="380"/>
      <c r="AH239" s="380"/>
      <c r="AI239" s="380"/>
      <c r="AJ239" s="380"/>
      <c r="AK239" s="403"/>
      <c r="AL239" s="380"/>
      <c r="AM239" s="380"/>
      <c r="AN239" s="380"/>
      <c r="AO239" s="380"/>
      <c r="AP239" s="380"/>
      <c r="AQ239" s="404"/>
      <c r="AR239" s="380"/>
      <c r="AS239" s="380"/>
      <c r="AT239" s="380"/>
      <c r="AU239" s="380"/>
      <c r="AV239" s="380"/>
      <c r="AW239" s="380"/>
      <c r="AX239" s="380"/>
      <c r="AY239" s="403"/>
      <c r="AZ239" s="380"/>
      <c r="BA239" s="380"/>
      <c r="BB239" s="380"/>
      <c r="BC239" s="380"/>
      <c r="BD239" s="380"/>
      <c r="BE239" s="404"/>
      <c r="BF239" s="380"/>
      <c r="BG239" s="380"/>
      <c r="BH239" s="380"/>
      <c r="BI239" s="380"/>
      <c r="BJ239" s="380"/>
      <c r="BK239" s="380"/>
      <c r="BL239" s="380"/>
      <c r="BM239" s="403"/>
      <c r="BS239" s="83"/>
      <c r="CA239" s="405"/>
      <c r="CG239" s="83"/>
      <c r="CO239" s="405"/>
      <c r="CU239" s="83"/>
      <c r="DC239" s="405"/>
      <c r="DI239" s="83"/>
      <c r="DQ239" s="405"/>
      <c r="DW239" s="83"/>
      <c r="EE239" s="405"/>
      <c r="EK239" s="83"/>
      <c r="ES239" s="405"/>
      <c r="EY239" s="83"/>
      <c r="FG239" s="405"/>
      <c r="FM239" s="83"/>
      <c r="FU239" s="405"/>
      <c r="GA239" s="83"/>
      <c r="GI239" s="405"/>
      <c r="GO239" s="83"/>
      <c r="GW239" s="405"/>
      <c r="HC239" s="83"/>
      <c r="HK239" s="405"/>
      <c r="HQ239" s="83"/>
      <c r="HY239" s="405"/>
      <c r="IE239" s="83"/>
      <c r="IM239" s="405"/>
      <c r="IS239" s="83"/>
      <c r="JA239" s="405"/>
      <c r="JG239" s="83"/>
      <c r="JO239" s="405"/>
      <c r="JU239" s="83"/>
      <c r="KC239" s="405"/>
      <c r="KI239" s="83"/>
      <c r="KQ239" s="405"/>
      <c r="KW239" s="83"/>
      <c r="LE239" s="405"/>
      <c r="LK239" s="83"/>
      <c r="LS239" s="405"/>
      <c r="LY239" s="83"/>
      <c r="MG239" s="405"/>
      <c r="MM239" s="83"/>
      <c r="MU239" s="405"/>
      <c r="NA239" s="83"/>
    </row>
    <row r="240">
      <c r="A240" s="483"/>
      <c r="B240" s="380"/>
      <c r="C240" s="380"/>
      <c r="D240" s="380"/>
      <c r="E240" s="380"/>
      <c r="F240" s="380"/>
      <c r="G240" s="380"/>
      <c r="H240" s="380"/>
      <c r="I240" s="403"/>
      <c r="J240" s="380"/>
      <c r="K240" s="380"/>
      <c r="L240" s="380"/>
      <c r="M240" s="380"/>
      <c r="N240" s="380"/>
      <c r="O240" s="404"/>
      <c r="P240" s="380"/>
      <c r="Q240" s="380"/>
      <c r="R240" s="380"/>
      <c r="S240" s="380"/>
      <c r="T240" s="380"/>
      <c r="U240" s="380"/>
      <c r="V240" s="380"/>
      <c r="W240" s="403"/>
      <c r="X240" s="380"/>
      <c r="Y240" s="380"/>
      <c r="Z240" s="380"/>
      <c r="AA240" s="380"/>
      <c r="AB240" s="380"/>
      <c r="AC240" s="404"/>
      <c r="AD240" s="380"/>
      <c r="AE240" s="380"/>
      <c r="AF240" s="380"/>
      <c r="AG240" s="380"/>
      <c r="AH240" s="380"/>
      <c r="AI240" s="380"/>
      <c r="AJ240" s="380"/>
      <c r="AK240" s="403"/>
      <c r="AL240" s="380"/>
      <c r="AM240" s="380"/>
      <c r="AN240" s="380"/>
      <c r="AO240" s="380"/>
      <c r="AP240" s="380"/>
      <c r="AQ240" s="404"/>
      <c r="AR240" s="380"/>
      <c r="AS240" s="380"/>
      <c r="AT240" s="380"/>
      <c r="AU240" s="380"/>
      <c r="AV240" s="380"/>
      <c r="AW240" s="380"/>
      <c r="AX240" s="380"/>
      <c r="AY240" s="403"/>
      <c r="AZ240" s="380"/>
      <c r="BA240" s="380"/>
      <c r="BB240" s="380"/>
      <c r="BC240" s="380"/>
      <c r="BD240" s="380"/>
      <c r="BE240" s="404"/>
      <c r="BF240" s="380"/>
      <c r="BG240" s="380"/>
      <c r="BH240" s="380"/>
      <c r="BI240" s="380"/>
      <c r="BJ240" s="380"/>
      <c r="BK240" s="380"/>
      <c r="BL240" s="380"/>
      <c r="BM240" s="403"/>
      <c r="BS240" s="83"/>
      <c r="CA240" s="405"/>
      <c r="CG240" s="83"/>
      <c r="CO240" s="405"/>
      <c r="CU240" s="83"/>
      <c r="DC240" s="405"/>
      <c r="DI240" s="83"/>
      <c r="DQ240" s="405"/>
      <c r="DW240" s="83"/>
      <c r="EE240" s="405"/>
      <c r="EK240" s="83"/>
      <c r="ES240" s="405"/>
      <c r="EY240" s="83"/>
      <c r="FG240" s="405"/>
      <c r="FM240" s="83"/>
      <c r="FU240" s="405"/>
      <c r="GA240" s="83"/>
      <c r="GI240" s="405"/>
      <c r="GO240" s="83"/>
      <c r="GW240" s="405"/>
      <c r="HC240" s="83"/>
      <c r="HK240" s="405"/>
      <c r="HQ240" s="83"/>
      <c r="HY240" s="405"/>
      <c r="IE240" s="83"/>
      <c r="IM240" s="405"/>
      <c r="IS240" s="83"/>
      <c r="JA240" s="405"/>
      <c r="JG240" s="83"/>
      <c r="JO240" s="405"/>
      <c r="JU240" s="83"/>
      <c r="KC240" s="405"/>
      <c r="KI240" s="83"/>
      <c r="KQ240" s="405"/>
      <c r="KW240" s="83"/>
      <c r="LE240" s="405"/>
      <c r="LK240" s="83"/>
      <c r="LS240" s="405"/>
      <c r="LY240" s="83"/>
      <c r="MG240" s="405"/>
      <c r="MM240" s="83"/>
      <c r="MU240" s="405"/>
      <c r="NA240" s="83"/>
    </row>
    <row r="241">
      <c r="A241" s="483"/>
      <c r="B241" s="380"/>
      <c r="C241" s="380"/>
      <c r="D241" s="380"/>
      <c r="E241" s="380"/>
      <c r="F241" s="380"/>
      <c r="G241" s="380"/>
      <c r="H241" s="380"/>
      <c r="I241" s="403"/>
      <c r="J241" s="380"/>
      <c r="K241" s="380"/>
      <c r="L241" s="380"/>
      <c r="M241" s="380"/>
      <c r="N241" s="380"/>
      <c r="O241" s="404"/>
      <c r="P241" s="380"/>
      <c r="Q241" s="380"/>
      <c r="R241" s="380"/>
      <c r="S241" s="380"/>
      <c r="T241" s="380"/>
      <c r="U241" s="380"/>
      <c r="V241" s="380"/>
      <c r="W241" s="403"/>
      <c r="X241" s="380"/>
      <c r="Y241" s="380"/>
      <c r="Z241" s="380"/>
      <c r="AA241" s="380"/>
      <c r="AB241" s="380"/>
      <c r="AC241" s="404"/>
      <c r="AD241" s="380"/>
      <c r="AE241" s="380"/>
      <c r="AF241" s="380"/>
      <c r="AG241" s="380"/>
      <c r="AH241" s="380"/>
      <c r="AI241" s="380"/>
      <c r="AJ241" s="380"/>
      <c r="AK241" s="403"/>
      <c r="AL241" s="380"/>
      <c r="AM241" s="380"/>
      <c r="AN241" s="380"/>
      <c r="AO241" s="380"/>
      <c r="AP241" s="380"/>
      <c r="AQ241" s="404"/>
      <c r="AR241" s="380"/>
      <c r="AS241" s="380"/>
      <c r="AT241" s="380"/>
      <c r="AU241" s="380"/>
      <c r="AV241" s="380"/>
      <c r="AW241" s="380"/>
      <c r="AX241" s="380"/>
      <c r="AY241" s="403"/>
      <c r="AZ241" s="380"/>
      <c r="BA241" s="380"/>
      <c r="BB241" s="380"/>
      <c r="BC241" s="380"/>
      <c r="BD241" s="380"/>
      <c r="BE241" s="404"/>
      <c r="BF241" s="380"/>
      <c r="BG241" s="380"/>
      <c r="BH241" s="380"/>
      <c r="BI241" s="380"/>
      <c r="BJ241" s="380"/>
      <c r="BK241" s="380"/>
      <c r="BL241" s="380"/>
      <c r="BM241" s="403"/>
      <c r="BS241" s="83"/>
      <c r="CA241" s="405"/>
      <c r="CG241" s="83"/>
      <c r="CO241" s="405"/>
      <c r="CU241" s="83"/>
      <c r="DC241" s="405"/>
      <c r="DI241" s="83"/>
      <c r="DQ241" s="405"/>
      <c r="DW241" s="83"/>
      <c r="EE241" s="405"/>
      <c r="EK241" s="83"/>
      <c r="ES241" s="405"/>
      <c r="EY241" s="83"/>
      <c r="FG241" s="405"/>
      <c r="FM241" s="83"/>
      <c r="FU241" s="405"/>
      <c r="GA241" s="83"/>
      <c r="GI241" s="405"/>
      <c r="GO241" s="83"/>
      <c r="GW241" s="405"/>
      <c r="HC241" s="83"/>
      <c r="HK241" s="405"/>
      <c r="HQ241" s="83"/>
      <c r="HY241" s="405"/>
      <c r="IE241" s="83"/>
      <c r="IM241" s="405"/>
      <c r="IS241" s="83"/>
      <c r="JA241" s="405"/>
      <c r="JG241" s="83"/>
      <c r="JO241" s="405"/>
      <c r="JU241" s="83"/>
      <c r="KC241" s="405"/>
      <c r="KI241" s="83"/>
      <c r="KQ241" s="405"/>
      <c r="KW241" s="83"/>
      <c r="LE241" s="405"/>
      <c r="LK241" s="83"/>
      <c r="LS241" s="405"/>
      <c r="LY241" s="83"/>
      <c r="MG241" s="405"/>
      <c r="MM241" s="83"/>
      <c r="MU241" s="405"/>
      <c r="NA241" s="83"/>
    </row>
    <row r="242">
      <c r="A242" s="483"/>
      <c r="B242" s="380"/>
      <c r="C242" s="380"/>
      <c r="D242" s="380"/>
      <c r="E242" s="380"/>
      <c r="F242" s="380"/>
      <c r="G242" s="380"/>
      <c r="H242" s="380"/>
      <c r="I242" s="403"/>
      <c r="J242" s="380"/>
      <c r="K242" s="380"/>
      <c r="L242" s="380"/>
      <c r="M242" s="380"/>
      <c r="N242" s="380"/>
      <c r="O242" s="404"/>
      <c r="P242" s="380"/>
      <c r="Q242" s="380"/>
      <c r="R242" s="380"/>
      <c r="S242" s="380"/>
      <c r="T242" s="380"/>
      <c r="U242" s="380"/>
      <c r="V242" s="380"/>
      <c r="W242" s="403"/>
      <c r="X242" s="380"/>
      <c r="Y242" s="380"/>
      <c r="Z242" s="380"/>
      <c r="AA242" s="380"/>
      <c r="AB242" s="380"/>
      <c r="AC242" s="404"/>
      <c r="AD242" s="380"/>
      <c r="AE242" s="380"/>
      <c r="AF242" s="380"/>
      <c r="AG242" s="380"/>
      <c r="AH242" s="380"/>
      <c r="AI242" s="380"/>
      <c r="AJ242" s="380"/>
      <c r="AK242" s="403"/>
      <c r="AL242" s="380"/>
      <c r="AM242" s="380"/>
      <c r="AN242" s="380"/>
      <c r="AO242" s="380"/>
      <c r="AP242" s="380"/>
      <c r="AQ242" s="404"/>
      <c r="AR242" s="380"/>
      <c r="AS242" s="380"/>
      <c r="AT242" s="380"/>
      <c r="AU242" s="380"/>
      <c r="AV242" s="380"/>
      <c r="AW242" s="380"/>
      <c r="AX242" s="380"/>
      <c r="AY242" s="403"/>
      <c r="AZ242" s="380"/>
      <c r="BA242" s="380"/>
      <c r="BB242" s="380"/>
      <c r="BC242" s="380"/>
      <c r="BD242" s="380"/>
      <c r="BE242" s="404"/>
      <c r="BF242" s="380"/>
      <c r="BG242" s="380"/>
      <c r="BH242" s="380"/>
      <c r="BI242" s="380"/>
      <c r="BJ242" s="380"/>
      <c r="BK242" s="380"/>
      <c r="BL242" s="380"/>
      <c r="BM242" s="403"/>
      <c r="BS242" s="83"/>
      <c r="CA242" s="405"/>
      <c r="CG242" s="83"/>
      <c r="CO242" s="405"/>
      <c r="CU242" s="83"/>
      <c r="DC242" s="405"/>
      <c r="DI242" s="83"/>
      <c r="DQ242" s="405"/>
      <c r="DW242" s="83"/>
      <c r="EE242" s="405"/>
      <c r="EK242" s="83"/>
      <c r="ES242" s="405"/>
      <c r="EY242" s="83"/>
      <c r="FG242" s="405"/>
      <c r="FM242" s="83"/>
      <c r="FU242" s="405"/>
      <c r="GA242" s="83"/>
      <c r="GI242" s="405"/>
      <c r="GO242" s="83"/>
      <c r="GW242" s="405"/>
      <c r="HC242" s="83"/>
      <c r="HK242" s="405"/>
      <c r="HQ242" s="83"/>
      <c r="HY242" s="405"/>
      <c r="IE242" s="83"/>
      <c r="IM242" s="405"/>
      <c r="IS242" s="83"/>
      <c r="JA242" s="405"/>
      <c r="JG242" s="83"/>
      <c r="JO242" s="405"/>
      <c r="JU242" s="83"/>
      <c r="KC242" s="405"/>
      <c r="KI242" s="83"/>
      <c r="KQ242" s="405"/>
      <c r="KW242" s="83"/>
      <c r="LE242" s="405"/>
      <c r="LK242" s="83"/>
      <c r="LS242" s="405"/>
      <c r="LY242" s="83"/>
      <c r="MG242" s="405"/>
      <c r="MM242" s="83"/>
      <c r="MU242" s="405"/>
      <c r="NA242" s="83"/>
    </row>
    <row r="243">
      <c r="A243" s="483"/>
      <c r="B243" s="380"/>
      <c r="C243" s="380"/>
      <c r="D243" s="380"/>
      <c r="E243" s="380"/>
      <c r="F243" s="380"/>
      <c r="G243" s="380"/>
      <c r="H243" s="380"/>
      <c r="I243" s="403"/>
      <c r="J243" s="380"/>
      <c r="K243" s="380"/>
      <c r="L243" s="380"/>
      <c r="M243" s="380"/>
      <c r="N243" s="380"/>
      <c r="O243" s="404"/>
      <c r="P243" s="380"/>
      <c r="Q243" s="380"/>
      <c r="R243" s="380"/>
      <c r="S243" s="380"/>
      <c r="T243" s="380"/>
      <c r="U243" s="380"/>
      <c r="V243" s="380"/>
      <c r="W243" s="403"/>
      <c r="X243" s="380"/>
      <c r="Y243" s="380"/>
      <c r="Z243" s="380"/>
      <c r="AA243" s="380"/>
      <c r="AB243" s="380"/>
      <c r="AC243" s="404"/>
      <c r="AD243" s="380"/>
      <c r="AE243" s="380"/>
      <c r="AF243" s="380"/>
      <c r="AG243" s="380"/>
      <c r="AH243" s="380"/>
      <c r="AI243" s="380"/>
      <c r="AJ243" s="380"/>
      <c r="AK243" s="403"/>
      <c r="AL243" s="380"/>
      <c r="AM243" s="380"/>
      <c r="AN243" s="380"/>
      <c r="AO243" s="380"/>
      <c r="AP243" s="380"/>
      <c r="AQ243" s="404"/>
      <c r="AR243" s="380"/>
      <c r="AS243" s="380"/>
      <c r="AT243" s="380"/>
      <c r="AU243" s="380"/>
      <c r="AV243" s="380"/>
      <c r="AW243" s="380"/>
      <c r="AX243" s="380"/>
      <c r="AY243" s="403"/>
      <c r="AZ243" s="380"/>
      <c r="BA243" s="380"/>
      <c r="BB243" s="380"/>
      <c r="BC243" s="380"/>
      <c r="BD243" s="380"/>
      <c r="BE243" s="404"/>
      <c r="BF243" s="380"/>
      <c r="BG243" s="380"/>
      <c r="BH243" s="380"/>
      <c r="BI243" s="380"/>
      <c r="BJ243" s="380"/>
      <c r="BK243" s="380"/>
      <c r="BL243" s="380"/>
      <c r="BM243" s="403"/>
      <c r="BS243" s="83"/>
      <c r="CA243" s="405"/>
      <c r="CG243" s="83"/>
      <c r="CO243" s="405"/>
      <c r="CU243" s="83"/>
      <c r="DC243" s="405"/>
      <c r="DI243" s="83"/>
      <c r="DQ243" s="405"/>
      <c r="DW243" s="83"/>
      <c r="EE243" s="405"/>
      <c r="EK243" s="83"/>
      <c r="ES243" s="405"/>
      <c r="EY243" s="83"/>
      <c r="FG243" s="405"/>
      <c r="FM243" s="83"/>
      <c r="FU243" s="405"/>
      <c r="GA243" s="83"/>
      <c r="GI243" s="405"/>
      <c r="GO243" s="83"/>
      <c r="GW243" s="405"/>
      <c r="HC243" s="83"/>
      <c r="HK243" s="405"/>
      <c r="HQ243" s="83"/>
      <c r="HY243" s="405"/>
      <c r="IE243" s="83"/>
      <c r="IM243" s="405"/>
      <c r="IS243" s="83"/>
      <c r="JA243" s="405"/>
      <c r="JG243" s="83"/>
      <c r="JO243" s="405"/>
      <c r="JU243" s="83"/>
      <c r="KC243" s="405"/>
      <c r="KI243" s="83"/>
      <c r="KQ243" s="405"/>
      <c r="KW243" s="83"/>
      <c r="LE243" s="405"/>
      <c r="LK243" s="83"/>
      <c r="LS243" s="405"/>
      <c r="LY243" s="83"/>
      <c r="MG243" s="405"/>
      <c r="MM243" s="83"/>
      <c r="MU243" s="405"/>
      <c r="NA243" s="83"/>
    </row>
    <row r="244">
      <c r="A244" s="483"/>
      <c r="B244" s="380"/>
      <c r="C244" s="380"/>
      <c r="D244" s="380"/>
      <c r="E244" s="380"/>
      <c r="F244" s="380"/>
      <c r="G244" s="380"/>
      <c r="H244" s="380"/>
      <c r="I244" s="403"/>
      <c r="J244" s="380"/>
      <c r="K244" s="380"/>
      <c r="L244" s="380"/>
      <c r="M244" s="380"/>
      <c r="N244" s="380"/>
      <c r="O244" s="404"/>
      <c r="P244" s="380"/>
      <c r="Q244" s="380"/>
      <c r="R244" s="380"/>
      <c r="S244" s="380"/>
      <c r="T244" s="380"/>
      <c r="U244" s="380"/>
      <c r="V244" s="380"/>
      <c r="W244" s="403"/>
      <c r="X244" s="380"/>
      <c r="Y244" s="380"/>
      <c r="Z244" s="380"/>
      <c r="AA244" s="380"/>
      <c r="AB244" s="380"/>
      <c r="AC244" s="404"/>
      <c r="AD244" s="380"/>
      <c r="AE244" s="380"/>
      <c r="AF244" s="380"/>
      <c r="AG244" s="380"/>
      <c r="AH244" s="380"/>
      <c r="AI244" s="380"/>
      <c r="AJ244" s="380"/>
      <c r="AK244" s="403"/>
      <c r="AL244" s="380"/>
      <c r="AM244" s="380"/>
      <c r="AN244" s="380"/>
      <c r="AO244" s="380"/>
      <c r="AP244" s="380"/>
      <c r="AQ244" s="404"/>
      <c r="AR244" s="380"/>
      <c r="AS244" s="380"/>
      <c r="AT244" s="380"/>
      <c r="AU244" s="380"/>
      <c r="AV244" s="380"/>
      <c r="AW244" s="380"/>
      <c r="AX244" s="380"/>
      <c r="AY244" s="403"/>
      <c r="AZ244" s="380"/>
      <c r="BA244" s="380"/>
      <c r="BB244" s="380"/>
      <c r="BC244" s="380"/>
      <c r="BD244" s="380"/>
      <c r="BE244" s="404"/>
      <c r="BF244" s="380"/>
      <c r="BG244" s="380"/>
      <c r="BH244" s="380"/>
      <c r="BI244" s="380"/>
      <c r="BJ244" s="380"/>
      <c r="BK244" s="380"/>
      <c r="BL244" s="380"/>
      <c r="BM244" s="403"/>
      <c r="BS244" s="83"/>
      <c r="CA244" s="405"/>
      <c r="CG244" s="83"/>
      <c r="CO244" s="405"/>
      <c r="CU244" s="83"/>
      <c r="DC244" s="405"/>
      <c r="DI244" s="83"/>
      <c r="DQ244" s="405"/>
      <c r="DW244" s="83"/>
      <c r="EE244" s="405"/>
      <c r="EK244" s="83"/>
      <c r="ES244" s="405"/>
      <c r="EY244" s="83"/>
      <c r="FG244" s="405"/>
      <c r="FM244" s="83"/>
      <c r="FU244" s="405"/>
      <c r="GA244" s="83"/>
      <c r="GI244" s="405"/>
      <c r="GO244" s="83"/>
      <c r="GW244" s="405"/>
      <c r="HC244" s="83"/>
      <c r="HK244" s="405"/>
      <c r="HQ244" s="83"/>
      <c r="HY244" s="405"/>
      <c r="IE244" s="83"/>
      <c r="IM244" s="405"/>
      <c r="IS244" s="83"/>
      <c r="JA244" s="405"/>
      <c r="JG244" s="83"/>
      <c r="JO244" s="405"/>
      <c r="JU244" s="83"/>
      <c r="KC244" s="405"/>
      <c r="KI244" s="83"/>
      <c r="KQ244" s="405"/>
      <c r="KW244" s="83"/>
      <c r="LE244" s="405"/>
      <c r="LK244" s="83"/>
      <c r="LS244" s="405"/>
      <c r="LY244" s="83"/>
      <c r="MG244" s="405"/>
      <c r="MM244" s="83"/>
      <c r="MU244" s="405"/>
      <c r="NA244" s="83"/>
    </row>
    <row r="245">
      <c r="A245" s="483"/>
      <c r="B245" s="380"/>
      <c r="C245" s="380"/>
      <c r="D245" s="380"/>
      <c r="E245" s="380"/>
      <c r="F245" s="380"/>
      <c r="G245" s="380"/>
      <c r="H245" s="380"/>
      <c r="I245" s="403"/>
      <c r="J245" s="380"/>
      <c r="K245" s="380"/>
      <c r="L245" s="380"/>
      <c r="M245" s="380"/>
      <c r="N245" s="380"/>
      <c r="O245" s="404"/>
      <c r="P245" s="380"/>
      <c r="Q245" s="380"/>
      <c r="R245" s="380"/>
      <c r="S245" s="380"/>
      <c r="T245" s="380"/>
      <c r="U245" s="380"/>
      <c r="V245" s="380"/>
      <c r="W245" s="403"/>
      <c r="X245" s="380"/>
      <c r="Y245" s="380"/>
      <c r="Z245" s="380"/>
      <c r="AA245" s="380"/>
      <c r="AB245" s="380"/>
      <c r="AC245" s="404"/>
      <c r="AD245" s="380"/>
      <c r="AE245" s="380"/>
      <c r="AF245" s="380"/>
      <c r="AG245" s="380"/>
      <c r="AH245" s="380"/>
      <c r="AI245" s="380"/>
      <c r="AJ245" s="380"/>
      <c r="AK245" s="403"/>
      <c r="AL245" s="380"/>
      <c r="AM245" s="380"/>
      <c r="AN245" s="380"/>
      <c r="AO245" s="380"/>
      <c r="AP245" s="380"/>
      <c r="AQ245" s="404"/>
      <c r="AR245" s="380"/>
      <c r="AS245" s="380"/>
      <c r="AT245" s="380"/>
      <c r="AU245" s="380"/>
      <c r="AV245" s="380"/>
      <c r="AW245" s="380"/>
      <c r="AX245" s="380"/>
      <c r="AY245" s="403"/>
      <c r="AZ245" s="380"/>
      <c r="BA245" s="380"/>
      <c r="BB245" s="380"/>
      <c r="BC245" s="380"/>
      <c r="BD245" s="380"/>
      <c r="BE245" s="404"/>
      <c r="BF245" s="380"/>
      <c r="BG245" s="380"/>
      <c r="BH245" s="380"/>
      <c r="BI245" s="380"/>
      <c r="BJ245" s="380"/>
      <c r="BK245" s="380"/>
      <c r="BL245" s="380"/>
      <c r="BM245" s="403"/>
      <c r="BS245" s="83"/>
      <c r="CA245" s="405"/>
      <c r="CG245" s="83"/>
      <c r="CO245" s="405"/>
      <c r="CU245" s="83"/>
      <c r="DC245" s="405"/>
      <c r="DI245" s="83"/>
      <c r="DQ245" s="405"/>
      <c r="DW245" s="83"/>
      <c r="EE245" s="405"/>
      <c r="EK245" s="83"/>
      <c r="ES245" s="405"/>
      <c r="EY245" s="83"/>
      <c r="FG245" s="405"/>
      <c r="FM245" s="83"/>
      <c r="FU245" s="405"/>
      <c r="GA245" s="83"/>
      <c r="GI245" s="405"/>
      <c r="GO245" s="83"/>
      <c r="GW245" s="405"/>
      <c r="HC245" s="83"/>
      <c r="HK245" s="405"/>
      <c r="HQ245" s="83"/>
      <c r="HY245" s="405"/>
      <c r="IE245" s="83"/>
      <c r="IM245" s="405"/>
      <c r="IS245" s="83"/>
      <c r="JA245" s="405"/>
      <c r="JG245" s="83"/>
      <c r="JO245" s="405"/>
      <c r="JU245" s="83"/>
      <c r="KC245" s="405"/>
      <c r="KI245" s="83"/>
      <c r="KQ245" s="405"/>
      <c r="KW245" s="83"/>
      <c r="LE245" s="405"/>
      <c r="LK245" s="83"/>
      <c r="LS245" s="405"/>
      <c r="LY245" s="83"/>
      <c r="MG245" s="405"/>
      <c r="MM245" s="83"/>
      <c r="MU245" s="405"/>
      <c r="NA245" s="83"/>
    </row>
    <row r="246">
      <c r="A246" s="483"/>
      <c r="B246" s="380"/>
      <c r="C246" s="380"/>
      <c r="D246" s="380"/>
      <c r="E246" s="380"/>
      <c r="F246" s="380"/>
      <c r="G246" s="380"/>
      <c r="H246" s="380"/>
      <c r="I246" s="403"/>
      <c r="J246" s="380"/>
      <c r="K246" s="380"/>
      <c r="L246" s="380"/>
      <c r="M246" s="380"/>
      <c r="N246" s="380"/>
      <c r="O246" s="404"/>
      <c r="P246" s="380"/>
      <c r="Q246" s="380"/>
      <c r="R246" s="380"/>
      <c r="S246" s="380"/>
      <c r="T246" s="380"/>
      <c r="U246" s="380"/>
      <c r="V246" s="380"/>
      <c r="W246" s="403"/>
      <c r="X246" s="380"/>
      <c r="Y246" s="380"/>
      <c r="Z246" s="380"/>
      <c r="AA246" s="380"/>
      <c r="AB246" s="380"/>
      <c r="AC246" s="404"/>
      <c r="AD246" s="380"/>
      <c r="AE246" s="380"/>
      <c r="AF246" s="380"/>
      <c r="AG246" s="380"/>
      <c r="AH246" s="380"/>
      <c r="AI246" s="380"/>
      <c r="AJ246" s="380"/>
      <c r="AK246" s="403"/>
      <c r="AL246" s="380"/>
      <c r="AM246" s="380"/>
      <c r="AN246" s="380"/>
      <c r="AO246" s="380"/>
      <c r="AP246" s="380"/>
      <c r="AQ246" s="404"/>
      <c r="AR246" s="380"/>
      <c r="AS246" s="380"/>
      <c r="AT246" s="380"/>
      <c r="AU246" s="380"/>
      <c r="AV246" s="380"/>
      <c r="AW246" s="380"/>
      <c r="AX246" s="380"/>
      <c r="AY246" s="403"/>
      <c r="AZ246" s="380"/>
      <c r="BA246" s="380"/>
      <c r="BB246" s="380"/>
      <c r="BC246" s="380"/>
      <c r="BD246" s="380"/>
      <c r="BE246" s="404"/>
      <c r="BF246" s="380"/>
      <c r="BG246" s="380"/>
      <c r="BH246" s="380"/>
      <c r="BI246" s="380"/>
      <c r="BJ246" s="380"/>
      <c r="BK246" s="380"/>
      <c r="BL246" s="380"/>
      <c r="BM246" s="403"/>
      <c r="BS246" s="83"/>
      <c r="CA246" s="405"/>
      <c r="CG246" s="83"/>
      <c r="CO246" s="405"/>
      <c r="CU246" s="83"/>
      <c r="DC246" s="405"/>
      <c r="DI246" s="83"/>
      <c r="DQ246" s="405"/>
      <c r="DW246" s="83"/>
      <c r="EE246" s="405"/>
      <c r="EK246" s="83"/>
      <c r="ES246" s="405"/>
      <c r="EY246" s="83"/>
      <c r="FG246" s="405"/>
      <c r="FM246" s="83"/>
      <c r="FU246" s="405"/>
      <c r="GA246" s="83"/>
      <c r="GI246" s="405"/>
      <c r="GO246" s="83"/>
      <c r="GW246" s="405"/>
      <c r="HC246" s="83"/>
      <c r="HK246" s="405"/>
      <c r="HQ246" s="83"/>
      <c r="HY246" s="405"/>
      <c r="IE246" s="83"/>
      <c r="IM246" s="405"/>
      <c r="IS246" s="83"/>
      <c r="JA246" s="405"/>
      <c r="JG246" s="83"/>
      <c r="JO246" s="405"/>
      <c r="JU246" s="83"/>
      <c r="KC246" s="405"/>
      <c r="KI246" s="83"/>
      <c r="KQ246" s="405"/>
      <c r="KW246" s="83"/>
      <c r="LE246" s="405"/>
      <c r="LK246" s="83"/>
      <c r="LS246" s="405"/>
      <c r="LY246" s="83"/>
      <c r="MG246" s="405"/>
      <c r="MM246" s="83"/>
      <c r="MU246" s="405"/>
      <c r="NA246" s="83"/>
    </row>
    <row r="247">
      <c r="A247" s="483"/>
      <c r="B247" s="380"/>
      <c r="C247" s="380"/>
      <c r="D247" s="380"/>
      <c r="E247" s="380"/>
      <c r="F247" s="380"/>
      <c r="G247" s="380"/>
      <c r="H247" s="380"/>
      <c r="I247" s="403"/>
      <c r="J247" s="380"/>
      <c r="K247" s="380"/>
      <c r="L247" s="380"/>
      <c r="M247" s="380"/>
      <c r="N247" s="380"/>
      <c r="O247" s="404"/>
      <c r="P247" s="380"/>
      <c r="Q247" s="380"/>
      <c r="R247" s="380"/>
      <c r="S247" s="380"/>
      <c r="T247" s="380"/>
      <c r="U247" s="380"/>
      <c r="V247" s="380"/>
      <c r="W247" s="403"/>
      <c r="X247" s="380"/>
      <c r="Y247" s="380"/>
      <c r="Z247" s="380"/>
      <c r="AA247" s="380"/>
      <c r="AB247" s="380"/>
      <c r="AC247" s="404"/>
      <c r="AD247" s="380"/>
      <c r="AE247" s="380"/>
      <c r="AF247" s="380"/>
      <c r="AG247" s="380"/>
      <c r="AH247" s="380"/>
      <c r="AI247" s="380"/>
      <c r="AJ247" s="380"/>
      <c r="AK247" s="403"/>
      <c r="AL247" s="380"/>
      <c r="AM247" s="380"/>
      <c r="AN247" s="380"/>
      <c r="AO247" s="380"/>
      <c r="AP247" s="380"/>
      <c r="AQ247" s="404"/>
      <c r="AR247" s="380"/>
      <c r="AS247" s="380"/>
      <c r="AT247" s="380"/>
      <c r="AU247" s="380"/>
      <c r="AV247" s="380"/>
      <c r="AW247" s="380"/>
      <c r="AX247" s="380"/>
      <c r="AY247" s="403"/>
      <c r="AZ247" s="380"/>
      <c r="BA247" s="380"/>
      <c r="BB247" s="380"/>
      <c r="BC247" s="380"/>
      <c r="BD247" s="380"/>
      <c r="BE247" s="404"/>
      <c r="BF247" s="380"/>
      <c r="BG247" s="380"/>
      <c r="BH247" s="380"/>
      <c r="BI247" s="380"/>
      <c r="BJ247" s="380"/>
      <c r="BK247" s="380"/>
      <c r="BL247" s="380"/>
      <c r="BM247" s="403"/>
      <c r="BS247" s="83"/>
      <c r="CA247" s="405"/>
      <c r="CG247" s="83"/>
      <c r="CO247" s="405"/>
      <c r="CU247" s="83"/>
      <c r="DC247" s="405"/>
      <c r="DI247" s="83"/>
      <c r="DQ247" s="405"/>
      <c r="DW247" s="83"/>
      <c r="EE247" s="405"/>
      <c r="EK247" s="83"/>
      <c r="ES247" s="405"/>
      <c r="EY247" s="83"/>
      <c r="FG247" s="405"/>
      <c r="FM247" s="83"/>
      <c r="FU247" s="405"/>
      <c r="GA247" s="83"/>
      <c r="GI247" s="405"/>
      <c r="GO247" s="83"/>
      <c r="GW247" s="405"/>
      <c r="HC247" s="83"/>
      <c r="HK247" s="405"/>
      <c r="HQ247" s="83"/>
      <c r="HY247" s="405"/>
      <c r="IE247" s="83"/>
      <c r="IM247" s="405"/>
      <c r="IS247" s="83"/>
      <c r="JA247" s="405"/>
      <c r="JG247" s="83"/>
      <c r="JO247" s="405"/>
      <c r="JU247" s="83"/>
      <c r="KC247" s="405"/>
      <c r="KI247" s="83"/>
      <c r="KQ247" s="405"/>
      <c r="KW247" s="83"/>
      <c r="LE247" s="405"/>
      <c r="LK247" s="83"/>
      <c r="LS247" s="405"/>
      <c r="LY247" s="83"/>
      <c r="MG247" s="405"/>
      <c r="MM247" s="83"/>
      <c r="MU247" s="405"/>
      <c r="NA247" s="83"/>
    </row>
    <row r="248">
      <c r="A248" s="483"/>
      <c r="B248" s="380"/>
      <c r="C248" s="380"/>
      <c r="D248" s="380"/>
      <c r="E248" s="380"/>
      <c r="F248" s="380"/>
      <c r="G248" s="380"/>
      <c r="H248" s="380"/>
      <c r="I248" s="403"/>
      <c r="J248" s="380"/>
      <c r="K248" s="380"/>
      <c r="L248" s="380"/>
      <c r="M248" s="380"/>
      <c r="N248" s="380"/>
      <c r="O248" s="404"/>
      <c r="P248" s="380"/>
      <c r="Q248" s="380"/>
      <c r="R248" s="380"/>
      <c r="S248" s="380"/>
      <c r="T248" s="380"/>
      <c r="U248" s="380"/>
      <c r="V248" s="380"/>
      <c r="W248" s="403"/>
      <c r="X248" s="380"/>
      <c r="Y248" s="380"/>
      <c r="Z248" s="380"/>
      <c r="AA248" s="380"/>
      <c r="AB248" s="380"/>
      <c r="AC248" s="404"/>
      <c r="AD248" s="380"/>
      <c r="AE248" s="380"/>
      <c r="AF248" s="380"/>
      <c r="AG248" s="380"/>
      <c r="AH248" s="380"/>
      <c r="AI248" s="380"/>
      <c r="AJ248" s="380"/>
      <c r="AK248" s="403"/>
      <c r="AL248" s="380"/>
      <c r="AM248" s="380"/>
      <c r="AN248" s="380"/>
      <c r="AO248" s="380"/>
      <c r="AP248" s="380"/>
      <c r="AQ248" s="404"/>
      <c r="AR248" s="380"/>
      <c r="AS248" s="380"/>
      <c r="AT248" s="380"/>
      <c r="AU248" s="380"/>
      <c r="AV248" s="380"/>
      <c r="AW248" s="380"/>
      <c r="AX248" s="380"/>
      <c r="AY248" s="403"/>
      <c r="AZ248" s="380"/>
      <c r="BA248" s="380"/>
      <c r="BB248" s="380"/>
      <c r="BC248" s="380"/>
      <c r="BD248" s="380"/>
      <c r="BE248" s="404"/>
      <c r="BF248" s="380"/>
      <c r="BG248" s="380"/>
      <c r="BH248" s="380"/>
      <c r="BI248" s="380"/>
      <c r="BJ248" s="380"/>
      <c r="BK248" s="380"/>
      <c r="BL248" s="380"/>
      <c r="BM248" s="403"/>
      <c r="BS248" s="83"/>
      <c r="CA248" s="405"/>
      <c r="CG248" s="83"/>
      <c r="CO248" s="405"/>
      <c r="CU248" s="83"/>
      <c r="DC248" s="405"/>
      <c r="DI248" s="83"/>
      <c r="DQ248" s="405"/>
      <c r="DW248" s="83"/>
      <c r="EE248" s="405"/>
      <c r="EK248" s="83"/>
      <c r="ES248" s="405"/>
      <c r="EY248" s="83"/>
      <c r="FG248" s="405"/>
      <c r="FM248" s="83"/>
      <c r="FU248" s="405"/>
      <c r="GA248" s="83"/>
      <c r="GI248" s="405"/>
      <c r="GO248" s="83"/>
      <c r="GW248" s="405"/>
      <c r="HC248" s="83"/>
      <c r="HK248" s="405"/>
      <c r="HQ248" s="83"/>
      <c r="HY248" s="405"/>
      <c r="IE248" s="83"/>
      <c r="IM248" s="405"/>
      <c r="IS248" s="83"/>
      <c r="JA248" s="405"/>
      <c r="JG248" s="83"/>
      <c r="JO248" s="405"/>
      <c r="JU248" s="83"/>
      <c r="KC248" s="405"/>
      <c r="KI248" s="83"/>
      <c r="KQ248" s="405"/>
      <c r="KW248" s="83"/>
      <c r="LE248" s="405"/>
      <c r="LK248" s="83"/>
      <c r="LS248" s="405"/>
      <c r="LY248" s="83"/>
      <c r="MG248" s="405"/>
      <c r="MM248" s="83"/>
      <c r="MU248" s="405"/>
      <c r="NA248" s="83"/>
    </row>
    <row r="249">
      <c r="A249" s="483"/>
      <c r="B249" s="380"/>
      <c r="C249" s="380"/>
      <c r="D249" s="380"/>
      <c r="E249" s="380"/>
      <c r="F249" s="380"/>
      <c r="G249" s="380"/>
      <c r="H249" s="380"/>
      <c r="I249" s="403"/>
      <c r="J249" s="380"/>
      <c r="K249" s="380"/>
      <c r="L249" s="380"/>
      <c r="M249" s="380"/>
      <c r="N249" s="380"/>
      <c r="O249" s="404"/>
      <c r="P249" s="380"/>
      <c r="Q249" s="380"/>
      <c r="R249" s="380"/>
      <c r="S249" s="380"/>
      <c r="T249" s="380"/>
      <c r="U249" s="380"/>
      <c r="V249" s="380"/>
      <c r="W249" s="403"/>
      <c r="X249" s="380"/>
      <c r="Y249" s="380"/>
      <c r="Z249" s="380"/>
      <c r="AA249" s="380"/>
      <c r="AB249" s="380"/>
      <c r="AC249" s="404"/>
      <c r="AD249" s="380"/>
      <c r="AE249" s="380"/>
      <c r="AF249" s="380"/>
      <c r="AG249" s="380"/>
      <c r="AH249" s="380"/>
      <c r="AI249" s="380"/>
      <c r="AJ249" s="380"/>
      <c r="AK249" s="403"/>
      <c r="AL249" s="380"/>
      <c r="AM249" s="380"/>
      <c r="AN249" s="380"/>
      <c r="AO249" s="380"/>
      <c r="AP249" s="380"/>
      <c r="AQ249" s="404"/>
      <c r="AR249" s="380"/>
      <c r="AS249" s="380"/>
      <c r="AT249" s="380"/>
      <c r="AU249" s="380"/>
      <c r="AV249" s="380"/>
      <c r="AW249" s="380"/>
      <c r="AX249" s="380"/>
      <c r="AY249" s="403"/>
      <c r="AZ249" s="380"/>
      <c r="BA249" s="380"/>
      <c r="BB249" s="380"/>
      <c r="BC249" s="380"/>
      <c r="BD249" s="380"/>
      <c r="BE249" s="404"/>
      <c r="BF249" s="380"/>
      <c r="BG249" s="380"/>
      <c r="BH249" s="380"/>
      <c r="BI249" s="380"/>
      <c r="BJ249" s="380"/>
      <c r="BK249" s="380"/>
      <c r="BL249" s="380"/>
      <c r="BM249" s="403"/>
      <c r="BS249" s="83"/>
      <c r="CA249" s="405"/>
      <c r="CG249" s="83"/>
      <c r="CO249" s="405"/>
      <c r="CU249" s="83"/>
      <c r="DC249" s="405"/>
      <c r="DI249" s="83"/>
      <c r="DQ249" s="405"/>
      <c r="DW249" s="83"/>
      <c r="EE249" s="405"/>
      <c r="EK249" s="83"/>
      <c r="ES249" s="405"/>
      <c r="EY249" s="83"/>
      <c r="FG249" s="405"/>
      <c r="FM249" s="83"/>
      <c r="FU249" s="405"/>
      <c r="GA249" s="83"/>
      <c r="GI249" s="405"/>
      <c r="GO249" s="83"/>
      <c r="GW249" s="405"/>
      <c r="HC249" s="83"/>
      <c r="HK249" s="405"/>
      <c r="HQ249" s="83"/>
      <c r="HY249" s="405"/>
      <c r="IE249" s="83"/>
      <c r="IM249" s="405"/>
      <c r="IS249" s="83"/>
      <c r="JA249" s="405"/>
      <c r="JG249" s="83"/>
      <c r="JO249" s="405"/>
      <c r="JU249" s="83"/>
      <c r="KC249" s="405"/>
      <c r="KI249" s="83"/>
      <c r="KQ249" s="405"/>
      <c r="KW249" s="83"/>
      <c r="LE249" s="405"/>
      <c r="LK249" s="83"/>
      <c r="LS249" s="405"/>
      <c r="LY249" s="83"/>
      <c r="MG249" s="405"/>
      <c r="MM249" s="83"/>
      <c r="MU249" s="405"/>
      <c r="NA249" s="83"/>
    </row>
    <row r="250">
      <c r="A250" s="483"/>
      <c r="B250" s="380"/>
      <c r="C250" s="380"/>
      <c r="D250" s="380"/>
      <c r="E250" s="380"/>
      <c r="F250" s="380"/>
      <c r="G250" s="380"/>
      <c r="H250" s="380"/>
      <c r="I250" s="403"/>
      <c r="J250" s="380"/>
      <c r="K250" s="380"/>
      <c r="L250" s="380"/>
      <c r="M250" s="380"/>
      <c r="N250" s="380"/>
      <c r="O250" s="404"/>
      <c r="P250" s="380"/>
      <c r="Q250" s="380"/>
      <c r="R250" s="380"/>
      <c r="S250" s="380"/>
      <c r="T250" s="380"/>
      <c r="U250" s="380"/>
      <c r="V250" s="380"/>
      <c r="W250" s="403"/>
      <c r="X250" s="380"/>
      <c r="Y250" s="380"/>
      <c r="Z250" s="380"/>
      <c r="AA250" s="380"/>
      <c r="AB250" s="380"/>
      <c r="AC250" s="404"/>
      <c r="AD250" s="380"/>
      <c r="AE250" s="380"/>
      <c r="AF250" s="380"/>
      <c r="AG250" s="380"/>
      <c r="AH250" s="380"/>
      <c r="AI250" s="380"/>
      <c r="AJ250" s="380"/>
      <c r="AK250" s="403"/>
      <c r="AL250" s="380"/>
      <c r="AM250" s="380"/>
      <c r="AN250" s="380"/>
      <c r="AO250" s="380"/>
      <c r="AP250" s="380"/>
      <c r="AQ250" s="404"/>
      <c r="AR250" s="380"/>
      <c r="AS250" s="380"/>
      <c r="AT250" s="380"/>
      <c r="AU250" s="380"/>
      <c r="AV250" s="380"/>
      <c r="AW250" s="380"/>
      <c r="AX250" s="380"/>
      <c r="AY250" s="403"/>
      <c r="AZ250" s="380"/>
      <c r="BA250" s="380"/>
      <c r="BB250" s="380"/>
      <c r="BC250" s="380"/>
      <c r="BD250" s="380"/>
      <c r="BE250" s="404"/>
      <c r="BF250" s="380"/>
      <c r="BG250" s="380"/>
      <c r="BH250" s="380"/>
      <c r="BI250" s="380"/>
      <c r="BJ250" s="380"/>
      <c r="BK250" s="380"/>
      <c r="BL250" s="380"/>
      <c r="BM250" s="403"/>
      <c r="BS250" s="83"/>
      <c r="CA250" s="405"/>
      <c r="CG250" s="83"/>
      <c r="CO250" s="405"/>
      <c r="CU250" s="83"/>
      <c r="DC250" s="405"/>
      <c r="DI250" s="83"/>
      <c r="DQ250" s="405"/>
      <c r="DW250" s="83"/>
      <c r="EE250" s="405"/>
      <c r="EK250" s="83"/>
      <c r="ES250" s="405"/>
      <c r="EY250" s="83"/>
      <c r="FG250" s="405"/>
      <c r="FM250" s="83"/>
      <c r="FU250" s="405"/>
      <c r="GA250" s="83"/>
      <c r="GI250" s="405"/>
      <c r="GO250" s="83"/>
      <c r="GW250" s="405"/>
      <c r="HC250" s="83"/>
      <c r="HK250" s="405"/>
      <c r="HQ250" s="83"/>
      <c r="HY250" s="405"/>
      <c r="IE250" s="83"/>
      <c r="IM250" s="405"/>
      <c r="IS250" s="83"/>
      <c r="JA250" s="405"/>
      <c r="JG250" s="83"/>
      <c r="JO250" s="405"/>
      <c r="JU250" s="83"/>
      <c r="KC250" s="405"/>
      <c r="KI250" s="83"/>
      <c r="KQ250" s="405"/>
      <c r="KW250" s="83"/>
      <c r="LE250" s="405"/>
      <c r="LK250" s="83"/>
      <c r="LS250" s="405"/>
      <c r="LY250" s="83"/>
      <c r="MG250" s="405"/>
      <c r="MM250" s="83"/>
      <c r="MU250" s="405"/>
      <c r="NA250" s="83"/>
    </row>
    <row r="251">
      <c r="A251" s="483"/>
      <c r="B251" s="380"/>
      <c r="C251" s="380"/>
      <c r="D251" s="380"/>
      <c r="E251" s="380"/>
      <c r="F251" s="380"/>
      <c r="G251" s="380"/>
      <c r="H251" s="380"/>
      <c r="I251" s="403"/>
      <c r="J251" s="380"/>
      <c r="K251" s="380"/>
      <c r="L251" s="380"/>
      <c r="M251" s="380"/>
      <c r="N251" s="380"/>
      <c r="O251" s="404"/>
      <c r="P251" s="380"/>
      <c r="Q251" s="380"/>
      <c r="R251" s="380"/>
      <c r="S251" s="380"/>
      <c r="T251" s="380"/>
      <c r="U251" s="380"/>
      <c r="V251" s="380"/>
      <c r="W251" s="403"/>
      <c r="X251" s="380"/>
      <c r="Y251" s="380"/>
      <c r="Z251" s="380"/>
      <c r="AA251" s="380"/>
      <c r="AB251" s="380"/>
      <c r="AC251" s="404"/>
      <c r="AD251" s="380"/>
      <c r="AE251" s="380"/>
      <c r="AF251" s="380"/>
      <c r="AG251" s="380"/>
      <c r="AH251" s="380"/>
      <c r="AI251" s="380"/>
      <c r="AJ251" s="380"/>
      <c r="AK251" s="403"/>
      <c r="AL251" s="380"/>
      <c r="AM251" s="380"/>
      <c r="AN251" s="380"/>
      <c r="AO251" s="380"/>
      <c r="AP251" s="380"/>
      <c r="AQ251" s="404"/>
      <c r="AR251" s="380"/>
      <c r="AS251" s="380"/>
      <c r="AT251" s="380"/>
      <c r="AU251" s="380"/>
      <c r="AV251" s="380"/>
      <c r="AW251" s="380"/>
      <c r="AX251" s="380"/>
      <c r="AY251" s="403"/>
      <c r="AZ251" s="380"/>
      <c r="BA251" s="380"/>
      <c r="BB251" s="380"/>
      <c r="BC251" s="380"/>
      <c r="BD251" s="380"/>
      <c r="BE251" s="404"/>
      <c r="BF251" s="380"/>
      <c r="BG251" s="380"/>
      <c r="BH251" s="380"/>
      <c r="BI251" s="380"/>
      <c r="BJ251" s="380"/>
      <c r="BK251" s="380"/>
      <c r="BL251" s="380"/>
      <c r="BM251" s="403"/>
      <c r="BS251" s="83"/>
      <c r="CA251" s="405"/>
      <c r="CG251" s="83"/>
      <c r="CO251" s="405"/>
      <c r="CU251" s="83"/>
      <c r="DC251" s="405"/>
      <c r="DI251" s="83"/>
      <c r="DQ251" s="405"/>
      <c r="DW251" s="83"/>
      <c r="EE251" s="405"/>
      <c r="EK251" s="83"/>
      <c r="ES251" s="405"/>
      <c r="EY251" s="83"/>
      <c r="FG251" s="405"/>
      <c r="FM251" s="83"/>
      <c r="FU251" s="405"/>
      <c r="GA251" s="83"/>
      <c r="GI251" s="405"/>
      <c r="GO251" s="83"/>
      <c r="GW251" s="405"/>
      <c r="HC251" s="83"/>
      <c r="HK251" s="405"/>
      <c r="HQ251" s="83"/>
      <c r="HY251" s="405"/>
      <c r="IE251" s="83"/>
      <c r="IM251" s="405"/>
      <c r="IS251" s="83"/>
      <c r="JA251" s="405"/>
      <c r="JG251" s="83"/>
      <c r="JO251" s="405"/>
      <c r="JU251" s="83"/>
      <c r="KC251" s="405"/>
      <c r="KI251" s="83"/>
      <c r="KQ251" s="405"/>
      <c r="KW251" s="83"/>
      <c r="LE251" s="405"/>
      <c r="LK251" s="83"/>
      <c r="LS251" s="405"/>
      <c r="LY251" s="83"/>
      <c r="MG251" s="405"/>
      <c r="MM251" s="83"/>
      <c r="MU251" s="405"/>
      <c r="NA251" s="83"/>
    </row>
    <row r="252">
      <c r="A252" s="483"/>
      <c r="B252" s="380"/>
      <c r="C252" s="380"/>
      <c r="D252" s="380"/>
      <c r="E252" s="380"/>
      <c r="F252" s="380"/>
      <c r="G252" s="380"/>
      <c r="H252" s="380"/>
      <c r="I252" s="403"/>
      <c r="J252" s="380"/>
      <c r="K252" s="380"/>
      <c r="L252" s="380"/>
      <c r="M252" s="380"/>
      <c r="N252" s="380"/>
      <c r="O252" s="404"/>
      <c r="P252" s="380"/>
      <c r="Q252" s="380"/>
      <c r="R252" s="380"/>
      <c r="S252" s="380"/>
      <c r="T252" s="380"/>
      <c r="U252" s="380"/>
      <c r="V252" s="380"/>
      <c r="W252" s="403"/>
      <c r="X252" s="380"/>
      <c r="Y252" s="380"/>
      <c r="Z252" s="380"/>
      <c r="AA252" s="380"/>
      <c r="AB252" s="380"/>
      <c r="AC252" s="404"/>
      <c r="AD252" s="380"/>
      <c r="AE252" s="380"/>
      <c r="AF252" s="380"/>
      <c r="AG252" s="380"/>
      <c r="AH252" s="380"/>
      <c r="AI252" s="380"/>
      <c r="AJ252" s="380"/>
      <c r="AK252" s="403"/>
      <c r="AL252" s="380"/>
      <c r="AM252" s="380"/>
      <c r="AN252" s="380"/>
      <c r="AO252" s="380"/>
      <c r="AP252" s="380"/>
      <c r="AQ252" s="404"/>
      <c r="AR252" s="380"/>
      <c r="AS252" s="380"/>
      <c r="AT252" s="380"/>
      <c r="AU252" s="380"/>
      <c r="AV252" s="380"/>
      <c r="AW252" s="380"/>
      <c r="AX252" s="380"/>
      <c r="AY252" s="403"/>
      <c r="AZ252" s="380"/>
      <c r="BA252" s="380"/>
      <c r="BB252" s="380"/>
      <c r="BC252" s="380"/>
      <c r="BD252" s="380"/>
      <c r="BE252" s="404"/>
      <c r="BF252" s="380"/>
      <c r="BG252" s="380"/>
      <c r="BH252" s="380"/>
      <c r="BI252" s="380"/>
      <c r="BJ252" s="380"/>
      <c r="BK252" s="380"/>
      <c r="BL252" s="380"/>
      <c r="BM252" s="403"/>
      <c r="BS252" s="83"/>
      <c r="CA252" s="405"/>
      <c r="CG252" s="83"/>
      <c r="CO252" s="405"/>
      <c r="CU252" s="83"/>
      <c r="DC252" s="405"/>
      <c r="DI252" s="83"/>
      <c r="DQ252" s="405"/>
      <c r="DW252" s="83"/>
      <c r="EE252" s="405"/>
      <c r="EK252" s="83"/>
      <c r="ES252" s="405"/>
      <c r="EY252" s="83"/>
      <c r="FG252" s="405"/>
      <c r="FM252" s="83"/>
      <c r="FU252" s="405"/>
      <c r="GA252" s="83"/>
      <c r="GI252" s="405"/>
      <c r="GO252" s="83"/>
      <c r="GW252" s="405"/>
      <c r="HC252" s="83"/>
      <c r="HK252" s="405"/>
      <c r="HQ252" s="83"/>
      <c r="HY252" s="405"/>
      <c r="IE252" s="83"/>
      <c r="IM252" s="405"/>
      <c r="IS252" s="83"/>
      <c r="JA252" s="405"/>
      <c r="JG252" s="83"/>
      <c r="JO252" s="405"/>
      <c r="JU252" s="83"/>
      <c r="KC252" s="405"/>
      <c r="KI252" s="83"/>
      <c r="KQ252" s="405"/>
      <c r="KW252" s="83"/>
      <c r="LE252" s="405"/>
      <c r="LK252" s="83"/>
      <c r="LS252" s="405"/>
      <c r="LY252" s="83"/>
      <c r="MG252" s="405"/>
      <c r="MM252" s="83"/>
      <c r="MU252" s="405"/>
      <c r="NA252" s="83"/>
    </row>
    <row r="253">
      <c r="A253" s="483"/>
      <c r="B253" s="380"/>
      <c r="C253" s="380"/>
      <c r="D253" s="380"/>
      <c r="E253" s="380"/>
      <c r="F253" s="380"/>
      <c r="G253" s="380"/>
      <c r="H253" s="380"/>
      <c r="I253" s="403"/>
      <c r="J253" s="380"/>
      <c r="K253" s="380"/>
      <c r="L253" s="380"/>
      <c r="M253" s="380"/>
      <c r="N253" s="380"/>
      <c r="O253" s="404"/>
      <c r="P253" s="380"/>
      <c r="Q253" s="380"/>
      <c r="R253" s="380"/>
      <c r="S253" s="380"/>
      <c r="T253" s="380"/>
      <c r="U253" s="380"/>
      <c r="V253" s="380"/>
      <c r="W253" s="403"/>
      <c r="X253" s="380"/>
      <c r="Y253" s="380"/>
      <c r="Z253" s="380"/>
      <c r="AA253" s="380"/>
      <c r="AB253" s="380"/>
      <c r="AC253" s="404"/>
      <c r="AD253" s="380"/>
      <c r="AE253" s="380"/>
      <c r="AF253" s="380"/>
      <c r="AG253" s="380"/>
      <c r="AH253" s="380"/>
      <c r="AI253" s="380"/>
      <c r="AJ253" s="380"/>
      <c r="AK253" s="403"/>
      <c r="AL253" s="380"/>
      <c r="AM253" s="380"/>
      <c r="AN253" s="380"/>
      <c r="AO253" s="380"/>
      <c r="AP253" s="380"/>
      <c r="AQ253" s="404"/>
      <c r="AR253" s="380"/>
      <c r="AS253" s="380"/>
      <c r="AT253" s="380"/>
      <c r="AU253" s="380"/>
      <c r="AV253" s="380"/>
      <c r="AW253" s="380"/>
      <c r="AX253" s="380"/>
      <c r="AY253" s="403"/>
      <c r="AZ253" s="380"/>
      <c r="BA253" s="380"/>
      <c r="BB253" s="380"/>
      <c r="BC253" s="380"/>
      <c r="BD253" s="380"/>
      <c r="BE253" s="404"/>
      <c r="BF253" s="380"/>
      <c r="BG253" s="380"/>
      <c r="BH253" s="380"/>
      <c r="BI253" s="380"/>
      <c r="BJ253" s="380"/>
      <c r="BK253" s="380"/>
      <c r="BL253" s="380"/>
      <c r="BM253" s="403"/>
      <c r="BS253" s="83"/>
      <c r="CA253" s="405"/>
      <c r="CG253" s="83"/>
      <c r="CO253" s="405"/>
      <c r="CU253" s="83"/>
      <c r="DC253" s="405"/>
      <c r="DI253" s="83"/>
      <c r="DQ253" s="405"/>
      <c r="DW253" s="83"/>
      <c r="EE253" s="405"/>
      <c r="EK253" s="83"/>
      <c r="ES253" s="405"/>
      <c r="EY253" s="83"/>
      <c r="FG253" s="405"/>
      <c r="FM253" s="83"/>
      <c r="FU253" s="405"/>
      <c r="GA253" s="83"/>
      <c r="GI253" s="405"/>
      <c r="GO253" s="83"/>
      <c r="GW253" s="405"/>
      <c r="HC253" s="83"/>
      <c r="HK253" s="405"/>
      <c r="HQ253" s="83"/>
      <c r="HY253" s="405"/>
      <c r="IE253" s="83"/>
      <c r="IM253" s="405"/>
      <c r="IS253" s="83"/>
      <c r="JA253" s="405"/>
      <c r="JG253" s="83"/>
      <c r="JO253" s="405"/>
      <c r="JU253" s="83"/>
      <c r="KC253" s="405"/>
      <c r="KI253" s="83"/>
      <c r="KQ253" s="405"/>
      <c r="KW253" s="83"/>
      <c r="LE253" s="405"/>
      <c r="LK253" s="83"/>
      <c r="LS253" s="405"/>
      <c r="LY253" s="83"/>
      <c r="MG253" s="405"/>
      <c r="MM253" s="83"/>
      <c r="MU253" s="405"/>
      <c r="NA253" s="83"/>
    </row>
    <row r="254">
      <c r="A254" s="483"/>
      <c r="B254" s="380"/>
      <c r="C254" s="380"/>
      <c r="D254" s="380"/>
      <c r="E254" s="380"/>
      <c r="F254" s="380"/>
      <c r="G254" s="380"/>
      <c r="H254" s="380"/>
      <c r="I254" s="403"/>
      <c r="J254" s="380"/>
      <c r="K254" s="380"/>
      <c r="L254" s="380"/>
      <c r="M254" s="380"/>
      <c r="N254" s="380"/>
      <c r="O254" s="404"/>
      <c r="P254" s="380"/>
      <c r="Q254" s="380"/>
      <c r="R254" s="380"/>
      <c r="S254" s="380"/>
      <c r="T254" s="380"/>
      <c r="U254" s="380"/>
      <c r="V254" s="380"/>
      <c r="W254" s="403"/>
      <c r="X254" s="380"/>
      <c r="Y254" s="380"/>
      <c r="Z254" s="380"/>
      <c r="AA254" s="380"/>
      <c r="AB254" s="380"/>
      <c r="AC254" s="404"/>
      <c r="AD254" s="380"/>
      <c r="AE254" s="380"/>
      <c r="AF254" s="380"/>
      <c r="AG254" s="380"/>
      <c r="AH254" s="380"/>
      <c r="AI254" s="380"/>
      <c r="AJ254" s="380"/>
      <c r="AK254" s="403"/>
      <c r="AL254" s="380"/>
      <c r="AM254" s="380"/>
      <c r="AN254" s="380"/>
      <c r="AO254" s="380"/>
      <c r="AP254" s="380"/>
      <c r="AQ254" s="404"/>
      <c r="AR254" s="380"/>
      <c r="AS254" s="380"/>
      <c r="AT254" s="380"/>
      <c r="AU254" s="380"/>
      <c r="AV254" s="380"/>
      <c r="AW254" s="380"/>
      <c r="AX254" s="380"/>
      <c r="AY254" s="403"/>
      <c r="AZ254" s="380"/>
      <c r="BA254" s="380"/>
      <c r="BB254" s="380"/>
      <c r="BC254" s="380"/>
      <c r="BD254" s="380"/>
      <c r="BE254" s="404"/>
      <c r="BF254" s="380"/>
      <c r="BG254" s="380"/>
      <c r="BH254" s="380"/>
      <c r="BI254" s="380"/>
      <c r="BJ254" s="380"/>
      <c r="BK254" s="380"/>
      <c r="BL254" s="380"/>
      <c r="BM254" s="403"/>
      <c r="BS254" s="83"/>
      <c r="CA254" s="405"/>
      <c r="CG254" s="83"/>
      <c r="CO254" s="405"/>
      <c r="CU254" s="83"/>
      <c r="DC254" s="405"/>
      <c r="DI254" s="83"/>
      <c r="DQ254" s="405"/>
      <c r="DW254" s="83"/>
      <c r="EE254" s="405"/>
      <c r="EK254" s="83"/>
      <c r="ES254" s="405"/>
      <c r="EY254" s="83"/>
      <c r="FG254" s="405"/>
      <c r="FM254" s="83"/>
      <c r="FU254" s="405"/>
      <c r="GA254" s="83"/>
      <c r="GI254" s="405"/>
      <c r="GO254" s="83"/>
      <c r="GW254" s="405"/>
      <c r="HC254" s="83"/>
      <c r="HK254" s="405"/>
      <c r="HQ254" s="83"/>
      <c r="HY254" s="405"/>
      <c r="IE254" s="83"/>
      <c r="IM254" s="405"/>
      <c r="IS254" s="83"/>
      <c r="JA254" s="405"/>
      <c r="JG254" s="83"/>
      <c r="JO254" s="405"/>
      <c r="JU254" s="83"/>
      <c r="KC254" s="405"/>
      <c r="KI254" s="83"/>
      <c r="KQ254" s="405"/>
      <c r="KW254" s="83"/>
      <c r="LE254" s="405"/>
      <c r="LK254" s="83"/>
      <c r="LS254" s="405"/>
      <c r="LY254" s="83"/>
      <c r="MG254" s="405"/>
      <c r="MM254" s="83"/>
      <c r="MU254" s="405"/>
      <c r="NA254" s="83"/>
    </row>
    <row r="255">
      <c r="A255" s="483"/>
      <c r="B255" s="380"/>
      <c r="C255" s="380"/>
      <c r="D255" s="380"/>
      <c r="E255" s="380"/>
      <c r="F255" s="380"/>
      <c r="G255" s="380"/>
      <c r="H255" s="380"/>
      <c r="I255" s="403"/>
      <c r="J255" s="380"/>
      <c r="K255" s="380"/>
      <c r="L255" s="380"/>
      <c r="M255" s="380"/>
      <c r="N255" s="380"/>
      <c r="O255" s="404"/>
      <c r="P255" s="380"/>
      <c r="Q255" s="380"/>
      <c r="R255" s="380"/>
      <c r="S255" s="380"/>
      <c r="T255" s="380"/>
      <c r="U255" s="380"/>
      <c r="V255" s="380"/>
      <c r="W255" s="403"/>
      <c r="X255" s="380"/>
      <c r="Y255" s="380"/>
      <c r="Z255" s="380"/>
      <c r="AA255" s="380"/>
      <c r="AB255" s="380"/>
      <c r="AC255" s="404"/>
      <c r="AD255" s="380"/>
      <c r="AE255" s="380"/>
      <c r="AF255" s="380"/>
      <c r="AG255" s="380"/>
      <c r="AH255" s="380"/>
      <c r="AI255" s="380"/>
      <c r="AJ255" s="380"/>
      <c r="AK255" s="403"/>
      <c r="AL255" s="380"/>
      <c r="AM255" s="380"/>
      <c r="AN255" s="380"/>
      <c r="AO255" s="380"/>
      <c r="AP255" s="380"/>
      <c r="AQ255" s="404"/>
      <c r="AR255" s="380"/>
      <c r="AS255" s="380"/>
      <c r="AT255" s="380"/>
      <c r="AU255" s="380"/>
      <c r="AV255" s="380"/>
      <c r="AW255" s="380"/>
      <c r="AX255" s="380"/>
      <c r="AY255" s="403"/>
      <c r="AZ255" s="380"/>
      <c r="BA255" s="380"/>
      <c r="BB255" s="380"/>
      <c r="BC255" s="380"/>
      <c r="BD255" s="380"/>
      <c r="BE255" s="404"/>
      <c r="BF255" s="380"/>
      <c r="BG255" s="380"/>
      <c r="BH255" s="380"/>
      <c r="BI255" s="380"/>
      <c r="BJ255" s="380"/>
      <c r="BK255" s="380"/>
      <c r="BL255" s="380"/>
      <c r="BM255" s="403"/>
      <c r="BS255" s="83"/>
      <c r="CA255" s="405"/>
      <c r="CG255" s="83"/>
      <c r="CO255" s="405"/>
      <c r="CU255" s="83"/>
      <c r="DC255" s="405"/>
      <c r="DI255" s="83"/>
      <c r="DQ255" s="405"/>
      <c r="DW255" s="83"/>
      <c r="EE255" s="405"/>
      <c r="EK255" s="83"/>
      <c r="ES255" s="405"/>
      <c r="EY255" s="83"/>
      <c r="FG255" s="405"/>
      <c r="FM255" s="83"/>
      <c r="FU255" s="405"/>
      <c r="GA255" s="83"/>
      <c r="GI255" s="405"/>
      <c r="GO255" s="83"/>
      <c r="GW255" s="405"/>
      <c r="HC255" s="83"/>
      <c r="HK255" s="405"/>
      <c r="HQ255" s="83"/>
      <c r="HY255" s="405"/>
      <c r="IE255" s="83"/>
      <c r="IM255" s="405"/>
      <c r="IS255" s="83"/>
      <c r="JA255" s="405"/>
      <c r="JG255" s="83"/>
      <c r="JO255" s="405"/>
      <c r="JU255" s="83"/>
      <c r="KC255" s="405"/>
      <c r="KI255" s="83"/>
      <c r="KQ255" s="405"/>
      <c r="KW255" s="83"/>
      <c r="LE255" s="405"/>
      <c r="LK255" s="83"/>
      <c r="LS255" s="405"/>
      <c r="LY255" s="83"/>
      <c r="MG255" s="405"/>
      <c r="MM255" s="83"/>
      <c r="MU255" s="405"/>
      <c r="NA255" s="83"/>
    </row>
    <row r="256">
      <c r="A256" s="483"/>
      <c r="B256" s="380"/>
      <c r="C256" s="380"/>
      <c r="D256" s="380"/>
      <c r="E256" s="380"/>
      <c r="F256" s="380"/>
      <c r="G256" s="380"/>
      <c r="H256" s="380"/>
      <c r="I256" s="403"/>
      <c r="J256" s="380"/>
      <c r="K256" s="380"/>
      <c r="L256" s="380"/>
      <c r="M256" s="380"/>
      <c r="N256" s="380"/>
      <c r="O256" s="404"/>
      <c r="P256" s="380"/>
      <c r="Q256" s="380"/>
      <c r="R256" s="380"/>
      <c r="S256" s="380"/>
      <c r="T256" s="380"/>
      <c r="U256" s="380"/>
      <c r="V256" s="380"/>
      <c r="W256" s="403"/>
      <c r="X256" s="380"/>
      <c r="Y256" s="380"/>
      <c r="Z256" s="380"/>
      <c r="AA256" s="380"/>
      <c r="AB256" s="380"/>
      <c r="AC256" s="404"/>
      <c r="AD256" s="380"/>
      <c r="AE256" s="380"/>
      <c r="AF256" s="380"/>
      <c r="AG256" s="380"/>
      <c r="AH256" s="380"/>
      <c r="AI256" s="380"/>
      <c r="AJ256" s="380"/>
      <c r="AK256" s="403"/>
      <c r="AL256" s="380"/>
      <c r="AM256" s="380"/>
      <c r="AN256" s="380"/>
      <c r="AO256" s="380"/>
      <c r="AP256" s="380"/>
      <c r="AQ256" s="404"/>
      <c r="AR256" s="380"/>
      <c r="AS256" s="380"/>
      <c r="AT256" s="380"/>
      <c r="AU256" s="380"/>
      <c r="AV256" s="380"/>
      <c r="AW256" s="380"/>
      <c r="AX256" s="380"/>
      <c r="AY256" s="403"/>
      <c r="AZ256" s="380"/>
      <c r="BA256" s="380"/>
      <c r="BB256" s="380"/>
      <c r="BC256" s="380"/>
      <c r="BD256" s="380"/>
      <c r="BE256" s="404"/>
      <c r="BF256" s="380"/>
      <c r="BG256" s="380"/>
      <c r="BH256" s="380"/>
      <c r="BI256" s="380"/>
      <c r="BJ256" s="380"/>
      <c r="BK256" s="380"/>
      <c r="BL256" s="380"/>
      <c r="BM256" s="403"/>
      <c r="BS256" s="83"/>
      <c r="CA256" s="405"/>
      <c r="CG256" s="83"/>
      <c r="CO256" s="405"/>
      <c r="CU256" s="83"/>
      <c r="DC256" s="405"/>
      <c r="DI256" s="83"/>
      <c r="DQ256" s="405"/>
      <c r="DW256" s="83"/>
      <c r="EE256" s="405"/>
      <c r="EK256" s="83"/>
      <c r="ES256" s="405"/>
      <c r="EY256" s="83"/>
      <c r="FG256" s="405"/>
      <c r="FM256" s="83"/>
      <c r="FU256" s="405"/>
      <c r="GA256" s="83"/>
      <c r="GI256" s="405"/>
      <c r="GO256" s="83"/>
      <c r="GW256" s="405"/>
      <c r="HC256" s="83"/>
      <c r="HK256" s="405"/>
      <c r="HQ256" s="83"/>
      <c r="HY256" s="405"/>
      <c r="IE256" s="83"/>
      <c r="IM256" s="405"/>
      <c r="IS256" s="83"/>
      <c r="JA256" s="405"/>
      <c r="JG256" s="83"/>
      <c r="JO256" s="405"/>
      <c r="JU256" s="83"/>
      <c r="KC256" s="405"/>
      <c r="KI256" s="83"/>
      <c r="KQ256" s="405"/>
      <c r="KW256" s="83"/>
      <c r="LE256" s="405"/>
      <c r="LK256" s="83"/>
      <c r="LS256" s="405"/>
      <c r="LY256" s="83"/>
      <c r="MG256" s="405"/>
      <c r="MM256" s="83"/>
      <c r="MU256" s="405"/>
      <c r="NA256" s="83"/>
    </row>
    <row r="257">
      <c r="A257" s="483"/>
      <c r="B257" s="380"/>
      <c r="C257" s="380"/>
      <c r="D257" s="380"/>
      <c r="E257" s="380"/>
      <c r="F257" s="380"/>
      <c r="G257" s="380"/>
      <c r="H257" s="380"/>
      <c r="I257" s="403"/>
      <c r="J257" s="380"/>
      <c r="K257" s="380"/>
      <c r="L257" s="380"/>
      <c r="M257" s="380"/>
      <c r="N257" s="380"/>
      <c r="O257" s="404"/>
      <c r="P257" s="380"/>
      <c r="Q257" s="380"/>
      <c r="R257" s="380"/>
      <c r="S257" s="380"/>
      <c r="T257" s="380"/>
      <c r="U257" s="380"/>
      <c r="V257" s="380"/>
      <c r="W257" s="403"/>
      <c r="X257" s="380"/>
      <c r="Y257" s="380"/>
      <c r="Z257" s="380"/>
      <c r="AA257" s="380"/>
      <c r="AB257" s="380"/>
      <c r="AC257" s="404"/>
      <c r="AD257" s="380"/>
      <c r="AE257" s="380"/>
      <c r="AF257" s="380"/>
      <c r="AG257" s="380"/>
      <c r="AH257" s="380"/>
      <c r="AI257" s="380"/>
      <c r="AJ257" s="380"/>
      <c r="AK257" s="403"/>
      <c r="AL257" s="380"/>
      <c r="AM257" s="380"/>
      <c r="AN257" s="380"/>
      <c r="AO257" s="380"/>
      <c r="AP257" s="380"/>
      <c r="AQ257" s="404"/>
      <c r="AR257" s="380"/>
      <c r="AS257" s="380"/>
      <c r="AT257" s="380"/>
      <c r="AU257" s="380"/>
      <c r="AV257" s="380"/>
      <c r="AW257" s="380"/>
      <c r="AX257" s="380"/>
      <c r="AY257" s="403"/>
      <c r="AZ257" s="380"/>
      <c r="BA257" s="380"/>
      <c r="BB257" s="380"/>
      <c r="BC257" s="380"/>
      <c r="BD257" s="380"/>
      <c r="BE257" s="404"/>
      <c r="BF257" s="380"/>
      <c r="BG257" s="380"/>
      <c r="BH257" s="380"/>
      <c r="BI257" s="380"/>
      <c r="BJ257" s="380"/>
      <c r="BK257" s="380"/>
      <c r="BL257" s="380"/>
      <c r="BM257" s="403"/>
      <c r="BS257" s="83"/>
      <c r="CA257" s="405"/>
      <c r="CG257" s="83"/>
      <c r="CO257" s="405"/>
      <c r="CU257" s="83"/>
      <c r="DC257" s="405"/>
      <c r="DI257" s="83"/>
      <c r="DQ257" s="405"/>
      <c r="DW257" s="83"/>
      <c r="EE257" s="405"/>
      <c r="EK257" s="83"/>
      <c r="ES257" s="405"/>
      <c r="EY257" s="83"/>
      <c r="FG257" s="405"/>
      <c r="FM257" s="83"/>
      <c r="FU257" s="405"/>
      <c r="GA257" s="83"/>
      <c r="GI257" s="405"/>
      <c r="GO257" s="83"/>
      <c r="GW257" s="405"/>
      <c r="HC257" s="83"/>
      <c r="HK257" s="405"/>
      <c r="HQ257" s="83"/>
      <c r="HY257" s="405"/>
      <c r="IE257" s="83"/>
      <c r="IM257" s="405"/>
      <c r="IS257" s="83"/>
      <c r="JA257" s="405"/>
      <c r="JG257" s="83"/>
      <c r="JO257" s="405"/>
      <c r="JU257" s="83"/>
      <c r="KC257" s="405"/>
      <c r="KI257" s="83"/>
      <c r="KQ257" s="405"/>
      <c r="KW257" s="83"/>
      <c r="LE257" s="405"/>
      <c r="LK257" s="83"/>
      <c r="LS257" s="405"/>
      <c r="LY257" s="83"/>
      <c r="MG257" s="405"/>
      <c r="MM257" s="83"/>
      <c r="MU257" s="405"/>
      <c r="NA257" s="83"/>
    </row>
    <row r="258">
      <c r="A258" s="483"/>
      <c r="B258" s="380"/>
      <c r="C258" s="380"/>
      <c r="D258" s="380"/>
      <c r="E258" s="380"/>
      <c r="F258" s="380"/>
      <c r="G258" s="380"/>
      <c r="H258" s="380"/>
      <c r="I258" s="403"/>
      <c r="J258" s="380"/>
      <c r="K258" s="380"/>
      <c r="L258" s="380"/>
      <c r="M258" s="380"/>
      <c r="N258" s="380"/>
      <c r="O258" s="404"/>
      <c r="P258" s="380"/>
      <c r="Q258" s="380"/>
      <c r="R258" s="380"/>
      <c r="S258" s="380"/>
      <c r="T258" s="380"/>
      <c r="U258" s="380"/>
      <c r="V258" s="380"/>
      <c r="W258" s="403"/>
      <c r="X258" s="380"/>
      <c r="Y258" s="380"/>
      <c r="Z258" s="380"/>
      <c r="AA258" s="380"/>
      <c r="AB258" s="380"/>
      <c r="AC258" s="404"/>
      <c r="AD258" s="380"/>
      <c r="AE258" s="380"/>
      <c r="AF258" s="380"/>
      <c r="AG258" s="380"/>
      <c r="AH258" s="380"/>
      <c r="AI258" s="380"/>
      <c r="AJ258" s="380"/>
      <c r="AK258" s="403"/>
      <c r="AL258" s="380"/>
      <c r="AM258" s="380"/>
      <c r="AN258" s="380"/>
      <c r="AO258" s="380"/>
      <c r="AP258" s="380"/>
      <c r="AQ258" s="404"/>
      <c r="AR258" s="380"/>
      <c r="AS258" s="380"/>
      <c r="AT258" s="380"/>
      <c r="AU258" s="380"/>
      <c r="AV258" s="380"/>
      <c r="AW258" s="380"/>
      <c r="AX258" s="380"/>
      <c r="AY258" s="403"/>
      <c r="AZ258" s="380"/>
      <c r="BA258" s="380"/>
      <c r="BB258" s="380"/>
      <c r="BC258" s="380"/>
      <c r="BD258" s="380"/>
      <c r="BE258" s="404"/>
      <c r="BF258" s="380"/>
      <c r="BG258" s="380"/>
      <c r="BH258" s="380"/>
      <c r="BI258" s="380"/>
      <c r="BJ258" s="380"/>
      <c r="BK258" s="380"/>
      <c r="BL258" s="380"/>
      <c r="BM258" s="403"/>
      <c r="BS258" s="83"/>
      <c r="CA258" s="405"/>
      <c r="CG258" s="83"/>
      <c r="CO258" s="405"/>
      <c r="CU258" s="83"/>
      <c r="DC258" s="405"/>
      <c r="DI258" s="83"/>
      <c r="DQ258" s="405"/>
      <c r="DW258" s="83"/>
      <c r="EE258" s="405"/>
      <c r="EK258" s="83"/>
      <c r="ES258" s="405"/>
      <c r="EY258" s="83"/>
      <c r="FG258" s="405"/>
      <c r="FM258" s="83"/>
      <c r="FU258" s="405"/>
      <c r="GA258" s="83"/>
      <c r="GI258" s="405"/>
      <c r="GO258" s="83"/>
      <c r="GW258" s="405"/>
      <c r="HC258" s="83"/>
      <c r="HK258" s="405"/>
      <c r="HQ258" s="83"/>
      <c r="HY258" s="405"/>
      <c r="IE258" s="83"/>
      <c r="IM258" s="405"/>
      <c r="IS258" s="83"/>
      <c r="JA258" s="405"/>
      <c r="JG258" s="83"/>
      <c r="JO258" s="405"/>
      <c r="JU258" s="83"/>
      <c r="KC258" s="405"/>
      <c r="KI258" s="83"/>
      <c r="KQ258" s="405"/>
      <c r="KW258" s="83"/>
      <c r="LE258" s="405"/>
      <c r="LK258" s="83"/>
      <c r="LS258" s="405"/>
      <c r="LY258" s="83"/>
      <c r="MG258" s="405"/>
      <c r="MM258" s="83"/>
      <c r="MU258" s="405"/>
      <c r="NA258" s="83"/>
    </row>
    <row r="259">
      <c r="A259" s="483"/>
      <c r="B259" s="380"/>
      <c r="C259" s="380"/>
      <c r="D259" s="380"/>
      <c r="E259" s="380"/>
      <c r="F259" s="380"/>
      <c r="G259" s="380"/>
      <c r="H259" s="380"/>
      <c r="I259" s="403"/>
      <c r="J259" s="380"/>
      <c r="K259" s="380"/>
      <c r="L259" s="380"/>
      <c r="M259" s="380"/>
      <c r="N259" s="380"/>
      <c r="O259" s="404"/>
      <c r="P259" s="380"/>
      <c r="Q259" s="380"/>
      <c r="R259" s="380"/>
      <c r="S259" s="380"/>
      <c r="T259" s="380"/>
      <c r="U259" s="380"/>
      <c r="V259" s="380"/>
      <c r="W259" s="403"/>
      <c r="X259" s="380"/>
      <c r="Y259" s="380"/>
      <c r="Z259" s="380"/>
      <c r="AA259" s="380"/>
      <c r="AB259" s="380"/>
      <c r="AC259" s="404"/>
      <c r="AD259" s="380"/>
      <c r="AE259" s="380"/>
      <c r="AF259" s="380"/>
      <c r="AG259" s="380"/>
      <c r="AH259" s="380"/>
      <c r="AI259" s="380"/>
      <c r="AJ259" s="380"/>
      <c r="AK259" s="403"/>
      <c r="AL259" s="380"/>
      <c r="AM259" s="380"/>
      <c r="AN259" s="380"/>
      <c r="AO259" s="380"/>
      <c r="AP259" s="380"/>
      <c r="AQ259" s="404"/>
      <c r="AR259" s="380"/>
      <c r="AS259" s="380"/>
      <c r="AT259" s="380"/>
      <c r="AU259" s="380"/>
      <c r="AV259" s="380"/>
      <c r="AW259" s="380"/>
      <c r="AX259" s="380"/>
      <c r="AY259" s="403"/>
      <c r="AZ259" s="380"/>
      <c r="BA259" s="380"/>
      <c r="BB259" s="380"/>
      <c r="BC259" s="380"/>
      <c r="BD259" s="380"/>
      <c r="BE259" s="404"/>
      <c r="BF259" s="380"/>
      <c r="BG259" s="380"/>
      <c r="BH259" s="380"/>
      <c r="BI259" s="380"/>
      <c r="BJ259" s="380"/>
      <c r="BK259" s="380"/>
      <c r="BL259" s="380"/>
      <c r="BM259" s="403"/>
      <c r="BS259" s="83"/>
      <c r="CA259" s="405"/>
      <c r="CG259" s="83"/>
      <c r="CO259" s="405"/>
      <c r="CU259" s="83"/>
      <c r="DC259" s="405"/>
      <c r="DI259" s="83"/>
      <c r="DQ259" s="405"/>
      <c r="DW259" s="83"/>
      <c r="EE259" s="405"/>
      <c r="EK259" s="83"/>
      <c r="ES259" s="405"/>
      <c r="EY259" s="83"/>
      <c r="FG259" s="405"/>
      <c r="FM259" s="83"/>
      <c r="FU259" s="405"/>
      <c r="GA259" s="83"/>
      <c r="GI259" s="405"/>
      <c r="GO259" s="83"/>
      <c r="GW259" s="405"/>
      <c r="HC259" s="83"/>
      <c r="HK259" s="405"/>
      <c r="HQ259" s="83"/>
      <c r="HY259" s="405"/>
      <c r="IE259" s="83"/>
      <c r="IM259" s="405"/>
      <c r="IS259" s="83"/>
      <c r="JA259" s="405"/>
      <c r="JG259" s="83"/>
      <c r="JO259" s="405"/>
      <c r="JU259" s="83"/>
      <c r="KC259" s="405"/>
      <c r="KI259" s="83"/>
      <c r="KQ259" s="405"/>
      <c r="KW259" s="83"/>
      <c r="LE259" s="405"/>
      <c r="LK259" s="83"/>
      <c r="LS259" s="405"/>
      <c r="LY259" s="83"/>
      <c r="MG259" s="405"/>
      <c r="MM259" s="83"/>
      <c r="MU259" s="405"/>
      <c r="NA259" s="83"/>
    </row>
    <row r="260">
      <c r="A260" s="483"/>
      <c r="B260" s="380"/>
      <c r="C260" s="380"/>
      <c r="D260" s="380"/>
      <c r="E260" s="380"/>
      <c r="F260" s="380"/>
      <c r="G260" s="380"/>
      <c r="H260" s="380"/>
      <c r="I260" s="403"/>
      <c r="J260" s="380"/>
      <c r="K260" s="380"/>
      <c r="L260" s="380"/>
      <c r="M260" s="380"/>
      <c r="N260" s="380"/>
      <c r="O260" s="404"/>
      <c r="P260" s="380"/>
      <c r="Q260" s="380"/>
      <c r="R260" s="380"/>
      <c r="S260" s="380"/>
      <c r="T260" s="380"/>
      <c r="U260" s="380"/>
      <c r="V260" s="380"/>
      <c r="W260" s="403"/>
      <c r="X260" s="380"/>
      <c r="Y260" s="380"/>
      <c r="Z260" s="380"/>
      <c r="AA260" s="380"/>
      <c r="AB260" s="380"/>
      <c r="AC260" s="404"/>
      <c r="AD260" s="380"/>
      <c r="AE260" s="380"/>
      <c r="AF260" s="380"/>
      <c r="AG260" s="380"/>
      <c r="AH260" s="380"/>
      <c r="AI260" s="380"/>
      <c r="AJ260" s="380"/>
      <c r="AK260" s="403"/>
      <c r="AL260" s="380"/>
      <c r="AM260" s="380"/>
      <c r="AN260" s="380"/>
      <c r="AO260" s="380"/>
      <c r="AP260" s="380"/>
      <c r="AQ260" s="404"/>
      <c r="AR260" s="380"/>
      <c r="AS260" s="380"/>
      <c r="AT260" s="380"/>
      <c r="AU260" s="380"/>
      <c r="AV260" s="380"/>
      <c r="AW260" s="380"/>
      <c r="AX260" s="380"/>
      <c r="AY260" s="403"/>
      <c r="AZ260" s="380"/>
      <c r="BA260" s="380"/>
      <c r="BB260" s="380"/>
      <c r="BC260" s="380"/>
      <c r="BD260" s="380"/>
      <c r="BE260" s="404"/>
      <c r="BF260" s="380"/>
      <c r="BG260" s="380"/>
      <c r="BH260" s="380"/>
      <c r="BI260" s="380"/>
      <c r="BJ260" s="380"/>
      <c r="BK260" s="380"/>
      <c r="BL260" s="380"/>
      <c r="BM260" s="403"/>
      <c r="BS260" s="83"/>
      <c r="CA260" s="405"/>
      <c r="CG260" s="83"/>
      <c r="CO260" s="405"/>
      <c r="CU260" s="83"/>
      <c r="DC260" s="405"/>
      <c r="DI260" s="83"/>
      <c r="DQ260" s="405"/>
      <c r="DW260" s="83"/>
      <c r="EE260" s="405"/>
      <c r="EK260" s="83"/>
      <c r="ES260" s="405"/>
      <c r="EY260" s="83"/>
      <c r="FG260" s="405"/>
      <c r="FM260" s="83"/>
      <c r="FU260" s="405"/>
      <c r="GA260" s="83"/>
      <c r="GI260" s="405"/>
      <c r="GO260" s="83"/>
      <c r="GW260" s="405"/>
      <c r="HC260" s="83"/>
      <c r="HK260" s="405"/>
      <c r="HQ260" s="83"/>
      <c r="HY260" s="405"/>
      <c r="IE260" s="83"/>
      <c r="IM260" s="405"/>
      <c r="IS260" s="83"/>
      <c r="JA260" s="405"/>
      <c r="JG260" s="83"/>
      <c r="JO260" s="405"/>
      <c r="JU260" s="83"/>
      <c r="KC260" s="405"/>
      <c r="KI260" s="83"/>
      <c r="KQ260" s="405"/>
      <c r="KW260" s="83"/>
      <c r="LE260" s="405"/>
      <c r="LK260" s="83"/>
      <c r="LS260" s="405"/>
      <c r="LY260" s="83"/>
      <c r="MG260" s="405"/>
      <c r="MM260" s="83"/>
      <c r="MU260" s="405"/>
      <c r="NA260" s="83"/>
    </row>
    <row r="261">
      <c r="A261" s="483"/>
      <c r="B261" s="380"/>
      <c r="C261" s="380"/>
      <c r="D261" s="380"/>
      <c r="E261" s="380"/>
      <c r="F261" s="380"/>
      <c r="G261" s="380"/>
      <c r="H261" s="380"/>
      <c r="I261" s="403"/>
      <c r="J261" s="380"/>
      <c r="K261" s="380"/>
      <c r="L261" s="380"/>
      <c r="M261" s="380"/>
      <c r="N261" s="380"/>
      <c r="O261" s="404"/>
      <c r="P261" s="380"/>
      <c r="Q261" s="380"/>
      <c r="R261" s="380"/>
      <c r="S261" s="380"/>
      <c r="T261" s="380"/>
      <c r="U261" s="380"/>
      <c r="V261" s="380"/>
      <c r="W261" s="403"/>
      <c r="X261" s="380"/>
      <c r="Y261" s="380"/>
      <c r="Z261" s="380"/>
      <c r="AA261" s="380"/>
      <c r="AB261" s="380"/>
      <c r="AC261" s="404"/>
      <c r="AD261" s="380"/>
      <c r="AE261" s="380"/>
      <c r="AF261" s="380"/>
      <c r="AG261" s="380"/>
      <c r="AH261" s="380"/>
      <c r="AI261" s="380"/>
      <c r="AJ261" s="380"/>
      <c r="AK261" s="403"/>
      <c r="AL261" s="380"/>
      <c r="AM261" s="380"/>
      <c r="AN261" s="380"/>
      <c r="AO261" s="380"/>
      <c r="AP261" s="380"/>
      <c r="AQ261" s="404"/>
      <c r="AR261" s="380"/>
      <c r="AS261" s="380"/>
      <c r="AT261" s="380"/>
      <c r="AU261" s="380"/>
      <c r="AV261" s="380"/>
      <c r="AW261" s="380"/>
      <c r="AX261" s="380"/>
      <c r="AY261" s="403"/>
      <c r="AZ261" s="380"/>
      <c r="BA261" s="380"/>
      <c r="BB261" s="380"/>
      <c r="BC261" s="380"/>
      <c r="BD261" s="380"/>
      <c r="BE261" s="404"/>
      <c r="BF261" s="380"/>
      <c r="BG261" s="380"/>
      <c r="BH261" s="380"/>
      <c r="BI261" s="380"/>
      <c r="BJ261" s="380"/>
      <c r="BK261" s="380"/>
      <c r="BL261" s="380"/>
      <c r="BM261" s="403"/>
      <c r="BS261" s="83"/>
      <c r="CA261" s="405"/>
      <c r="CG261" s="83"/>
      <c r="CO261" s="405"/>
      <c r="CU261" s="83"/>
      <c r="DC261" s="405"/>
      <c r="DI261" s="83"/>
      <c r="DQ261" s="405"/>
      <c r="DW261" s="83"/>
      <c r="EE261" s="405"/>
      <c r="EK261" s="83"/>
      <c r="ES261" s="405"/>
      <c r="EY261" s="83"/>
      <c r="FG261" s="405"/>
      <c r="FM261" s="83"/>
      <c r="FU261" s="405"/>
      <c r="GA261" s="83"/>
      <c r="GI261" s="405"/>
      <c r="GO261" s="83"/>
      <c r="GW261" s="405"/>
      <c r="HC261" s="83"/>
      <c r="HK261" s="405"/>
      <c r="HQ261" s="83"/>
      <c r="HY261" s="405"/>
      <c r="IE261" s="83"/>
      <c r="IM261" s="405"/>
      <c r="IS261" s="83"/>
      <c r="JA261" s="405"/>
      <c r="JG261" s="83"/>
      <c r="JO261" s="405"/>
      <c r="JU261" s="83"/>
      <c r="KC261" s="405"/>
      <c r="KI261" s="83"/>
      <c r="KQ261" s="405"/>
      <c r="KW261" s="83"/>
      <c r="LE261" s="405"/>
      <c r="LK261" s="83"/>
      <c r="LS261" s="405"/>
      <c r="LY261" s="83"/>
      <c r="MG261" s="405"/>
      <c r="MM261" s="83"/>
      <c r="MU261" s="405"/>
      <c r="NA261" s="83"/>
    </row>
    <row r="262">
      <c r="A262" s="483"/>
      <c r="B262" s="380"/>
      <c r="C262" s="380"/>
      <c r="D262" s="380"/>
      <c r="E262" s="380"/>
      <c r="F262" s="380"/>
      <c r="G262" s="380"/>
      <c r="H262" s="380"/>
      <c r="I262" s="403"/>
      <c r="J262" s="380"/>
      <c r="K262" s="380"/>
      <c r="L262" s="380"/>
      <c r="M262" s="380"/>
      <c r="N262" s="380"/>
      <c r="O262" s="404"/>
      <c r="P262" s="380"/>
      <c r="Q262" s="380"/>
      <c r="R262" s="380"/>
      <c r="S262" s="380"/>
      <c r="T262" s="380"/>
      <c r="U262" s="380"/>
      <c r="V262" s="380"/>
      <c r="W262" s="403"/>
      <c r="X262" s="380"/>
      <c r="Y262" s="380"/>
      <c r="Z262" s="380"/>
      <c r="AA262" s="380"/>
      <c r="AB262" s="380"/>
      <c r="AC262" s="404"/>
      <c r="AD262" s="380"/>
      <c r="AE262" s="380"/>
      <c r="AF262" s="380"/>
      <c r="AG262" s="380"/>
      <c r="AH262" s="380"/>
      <c r="AI262" s="380"/>
      <c r="AJ262" s="380"/>
      <c r="AK262" s="403"/>
      <c r="AL262" s="380"/>
      <c r="AM262" s="380"/>
      <c r="AN262" s="380"/>
      <c r="AO262" s="380"/>
      <c r="AP262" s="380"/>
      <c r="AQ262" s="404"/>
      <c r="AR262" s="380"/>
      <c r="AS262" s="380"/>
      <c r="AT262" s="380"/>
      <c r="AU262" s="380"/>
      <c r="AV262" s="380"/>
      <c r="AW262" s="380"/>
      <c r="AX262" s="380"/>
      <c r="AY262" s="403"/>
      <c r="AZ262" s="380"/>
      <c r="BA262" s="380"/>
      <c r="BB262" s="380"/>
      <c r="BC262" s="380"/>
      <c r="BD262" s="380"/>
      <c r="BE262" s="404"/>
      <c r="BF262" s="380"/>
      <c r="BG262" s="380"/>
      <c r="BH262" s="380"/>
      <c r="BI262" s="380"/>
      <c r="BJ262" s="380"/>
      <c r="BK262" s="380"/>
      <c r="BL262" s="380"/>
      <c r="BM262" s="403"/>
      <c r="BS262" s="83"/>
      <c r="CA262" s="405"/>
      <c r="CG262" s="83"/>
      <c r="CO262" s="405"/>
      <c r="CU262" s="83"/>
      <c r="DC262" s="405"/>
      <c r="DI262" s="83"/>
      <c r="DQ262" s="405"/>
      <c r="DW262" s="83"/>
      <c r="EE262" s="405"/>
      <c r="EK262" s="83"/>
      <c r="ES262" s="405"/>
      <c r="EY262" s="83"/>
      <c r="FG262" s="405"/>
      <c r="FM262" s="83"/>
      <c r="FU262" s="405"/>
      <c r="GA262" s="83"/>
      <c r="GI262" s="405"/>
      <c r="GO262" s="83"/>
      <c r="GW262" s="405"/>
      <c r="HC262" s="83"/>
      <c r="HK262" s="405"/>
      <c r="HQ262" s="83"/>
      <c r="HY262" s="405"/>
      <c r="IE262" s="83"/>
      <c r="IM262" s="405"/>
      <c r="IS262" s="83"/>
      <c r="JA262" s="405"/>
      <c r="JG262" s="83"/>
      <c r="JO262" s="405"/>
      <c r="JU262" s="83"/>
      <c r="KC262" s="405"/>
      <c r="KI262" s="83"/>
      <c r="KQ262" s="405"/>
      <c r="KW262" s="83"/>
      <c r="LE262" s="405"/>
      <c r="LK262" s="83"/>
      <c r="LS262" s="405"/>
      <c r="LY262" s="83"/>
      <c r="MG262" s="405"/>
      <c r="MM262" s="83"/>
      <c r="MU262" s="405"/>
      <c r="NA262" s="83"/>
    </row>
    <row r="263">
      <c r="A263" s="483"/>
      <c r="B263" s="380"/>
      <c r="C263" s="380"/>
      <c r="D263" s="380"/>
      <c r="E263" s="380"/>
      <c r="F263" s="380"/>
      <c r="G263" s="380"/>
      <c r="H263" s="380"/>
      <c r="I263" s="403"/>
      <c r="J263" s="380"/>
      <c r="K263" s="380"/>
      <c r="L263" s="380"/>
      <c r="M263" s="380"/>
      <c r="N263" s="380"/>
      <c r="O263" s="404"/>
      <c r="P263" s="380"/>
      <c r="Q263" s="380"/>
      <c r="R263" s="380"/>
      <c r="S263" s="380"/>
      <c r="T263" s="380"/>
      <c r="U263" s="380"/>
      <c r="V263" s="380"/>
      <c r="W263" s="403"/>
      <c r="X263" s="380"/>
      <c r="Y263" s="380"/>
      <c r="Z263" s="380"/>
      <c r="AA263" s="380"/>
      <c r="AB263" s="380"/>
      <c r="AC263" s="404"/>
      <c r="AD263" s="380"/>
      <c r="AE263" s="380"/>
      <c r="AF263" s="380"/>
      <c r="AG263" s="380"/>
      <c r="AH263" s="380"/>
      <c r="AI263" s="380"/>
      <c r="AJ263" s="380"/>
      <c r="AK263" s="403"/>
      <c r="AL263" s="380"/>
      <c r="AM263" s="380"/>
      <c r="AN263" s="380"/>
      <c r="AO263" s="380"/>
      <c r="AP263" s="380"/>
      <c r="AQ263" s="404"/>
      <c r="AR263" s="380"/>
      <c r="AS263" s="380"/>
      <c r="AT263" s="380"/>
      <c r="AU263" s="380"/>
      <c r="AV263" s="380"/>
      <c r="AW263" s="380"/>
      <c r="AX263" s="380"/>
      <c r="AY263" s="403"/>
      <c r="AZ263" s="380"/>
      <c r="BA263" s="380"/>
      <c r="BB263" s="380"/>
      <c r="BC263" s="380"/>
      <c r="BD263" s="380"/>
      <c r="BE263" s="404"/>
      <c r="BF263" s="380"/>
      <c r="BG263" s="380"/>
      <c r="BH263" s="380"/>
      <c r="BI263" s="380"/>
      <c r="BJ263" s="380"/>
      <c r="BK263" s="380"/>
      <c r="BL263" s="380"/>
      <c r="BM263" s="403"/>
      <c r="BS263" s="83"/>
      <c r="CA263" s="405"/>
      <c r="CG263" s="83"/>
      <c r="CO263" s="405"/>
      <c r="CU263" s="83"/>
      <c r="DC263" s="405"/>
      <c r="DI263" s="83"/>
      <c r="DQ263" s="405"/>
      <c r="DW263" s="83"/>
      <c r="EE263" s="405"/>
      <c r="EK263" s="83"/>
      <c r="ES263" s="405"/>
      <c r="EY263" s="83"/>
      <c r="FG263" s="405"/>
      <c r="FM263" s="83"/>
      <c r="FU263" s="405"/>
      <c r="GA263" s="83"/>
      <c r="GI263" s="405"/>
      <c r="GO263" s="83"/>
      <c r="GW263" s="405"/>
      <c r="HC263" s="83"/>
      <c r="HK263" s="405"/>
      <c r="HQ263" s="83"/>
      <c r="HY263" s="405"/>
      <c r="IE263" s="83"/>
      <c r="IM263" s="405"/>
      <c r="IS263" s="83"/>
      <c r="JA263" s="405"/>
      <c r="JG263" s="83"/>
      <c r="JO263" s="405"/>
      <c r="JU263" s="83"/>
      <c r="KC263" s="405"/>
      <c r="KI263" s="83"/>
      <c r="KQ263" s="405"/>
      <c r="KW263" s="83"/>
      <c r="LE263" s="405"/>
      <c r="LK263" s="83"/>
      <c r="LS263" s="405"/>
      <c r="LY263" s="83"/>
      <c r="MG263" s="405"/>
      <c r="MM263" s="83"/>
      <c r="MU263" s="405"/>
      <c r="NA263" s="83"/>
    </row>
    <row r="264">
      <c r="A264" s="483"/>
      <c r="B264" s="380"/>
      <c r="C264" s="380"/>
      <c r="D264" s="380"/>
      <c r="E264" s="380"/>
      <c r="F264" s="380"/>
      <c r="G264" s="380"/>
      <c r="H264" s="380"/>
      <c r="I264" s="403"/>
      <c r="J264" s="380"/>
      <c r="K264" s="380"/>
      <c r="L264" s="380"/>
      <c r="M264" s="380"/>
      <c r="N264" s="380"/>
      <c r="O264" s="404"/>
      <c r="P264" s="380"/>
      <c r="Q264" s="380"/>
      <c r="R264" s="380"/>
      <c r="S264" s="380"/>
      <c r="T264" s="380"/>
      <c r="U264" s="380"/>
      <c r="V264" s="380"/>
      <c r="W264" s="403"/>
      <c r="X264" s="380"/>
      <c r="Y264" s="380"/>
      <c r="Z264" s="380"/>
      <c r="AA264" s="380"/>
      <c r="AB264" s="380"/>
      <c r="AC264" s="404"/>
      <c r="AD264" s="380"/>
      <c r="AE264" s="380"/>
      <c r="AF264" s="380"/>
      <c r="AG264" s="380"/>
      <c r="AH264" s="380"/>
      <c r="AI264" s="380"/>
      <c r="AJ264" s="380"/>
      <c r="AK264" s="403"/>
      <c r="AL264" s="380"/>
      <c r="AM264" s="380"/>
      <c r="AN264" s="380"/>
      <c r="AO264" s="380"/>
      <c r="AP264" s="380"/>
      <c r="AQ264" s="404"/>
      <c r="AR264" s="380"/>
      <c r="AS264" s="380"/>
      <c r="AT264" s="380"/>
      <c r="AU264" s="380"/>
      <c r="AV264" s="380"/>
      <c r="AW264" s="380"/>
      <c r="AX264" s="380"/>
      <c r="AY264" s="403"/>
      <c r="AZ264" s="380"/>
      <c r="BA264" s="380"/>
      <c r="BB264" s="380"/>
      <c r="BC264" s="380"/>
      <c r="BD264" s="380"/>
      <c r="BE264" s="404"/>
      <c r="BF264" s="380"/>
      <c r="BG264" s="380"/>
      <c r="BH264" s="380"/>
      <c r="BI264" s="380"/>
      <c r="BJ264" s="380"/>
      <c r="BK264" s="380"/>
      <c r="BL264" s="380"/>
      <c r="BM264" s="403"/>
      <c r="BS264" s="83"/>
      <c r="CA264" s="405"/>
      <c r="CG264" s="83"/>
      <c r="CO264" s="405"/>
      <c r="CU264" s="83"/>
      <c r="DC264" s="405"/>
      <c r="DI264" s="83"/>
      <c r="DQ264" s="405"/>
      <c r="DW264" s="83"/>
      <c r="EE264" s="405"/>
      <c r="EK264" s="83"/>
      <c r="ES264" s="405"/>
      <c r="EY264" s="83"/>
      <c r="FG264" s="405"/>
      <c r="FM264" s="83"/>
      <c r="FU264" s="405"/>
      <c r="GA264" s="83"/>
      <c r="GI264" s="405"/>
      <c r="GO264" s="83"/>
      <c r="GW264" s="405"/>
      <c r="HC264" s="83"/>
      <c r="HK264" s="405"/>
      <c r="HQ264" s="83"/>
      <c r="HY264" s="405"/>
      <c r="IE264" s="83"/>
      <c r="IM264" s="405"/>
      <c r="IS264" s="83"/>
      <c r="JA264" s="405"/>
      <c r="JG264" s="83"/>
      <c r="JO264" s="405"/>
      <c r="JU264" s="83"/>
      <c r="KC264" s="405"/>
      <c r="KI264" s="83"/>
      <c r="KQ264" s="405"/>
      <c r="KW264" s="83"/>
      <c r="LE264" s="405"/>
      <c r="LK264" s="83"/>
      <c r="LS264" s="405"/>
      <c r="LY264" s="83"/>
      <c r="MG264" s="405"/>
      <c r="MM264" s="83"/>
      <c r="MU264" s="405"/>
      <c r="NA264" s="83"/>
    </row>
    <row r="265">
      <c r="A265" s="483"/>
      <c r="B265" s="380"/>
      <c r="C265" s="380"/>
      <c r="D265" s="380"/>
      <c r="E265" s="380"/>
      <c r="F265" s="380"/>
      <c r="G265" s="380"/>
      <c r="H265" s="380"/>
      <c r="I265" s="403"/>
      <c r="J265" s="380"/>
      <c r="K265" s="380"/>
      <c r="L265" s="380"/>
      <c r="M265" s="380"/>
      <c r="N265" s="380"/>
      <c r="O265" s="404"/>
      <c r="P265" s="380"/>
      <c r="Q265" s="380"/>
      <c r="R265" s="380"/>
      <c r="S265" s="380"/>
      <c r="T265" s="380"/>
      <c r="U265" s="380"/>
      <c r="V265" s="380"/>
      <c r="W265" s="403"/>
      <c r="X265" s="380"/>
      <c r="Y265" s="380"/>
      <c r="Z265" s="380"/>
      <c r="AA265" s="380"/>
      <c r="AB265" s="380"/>
      <c r="AC265" s="404"/>
      <c r="AD265" s="380"/>
      <c r="AE265" s="380"/>
      <c r="AF265" s="380"/>
      <c r="AG265" s="380"/>
      <c r="AH265" s="380"/>
      <c r="AI265" s="380"/>
      <c r="AJ265" s="380"/>
      <c r="AK265" s="403"/>
      <c r="AL265" s="380"/>
      <c r="AM265" s="380"/>
      <c r="AN265" s="380"/>
      <c r="AO265" s="380"/>
      <c r="AP265" s="380"/>
      <c r="AQ265" s="404"/>
      <c r="AR265" s="380"/>
      <c r="AS265" s="380"/>
      <c r="AT265" s="380"/>
      <c r="AU265" s="380"/>
      <c r="AV265" s="380"/>
      <c r="AW265" s="380"/>
      <c r="AX265" s="380"/>
      <c r="AY265" s="403"/>
      <c r="AZ265" s="380"/>
      <c r="BA265" s="380"/>
      <c r="BB265" s="380"/>
      <c r="BC265" s="380"/>
      <c r="BD265" s="380"/>
      <c r="BE265" s="404"/>
      <c r="BF265" s="380"/>
      <c r="BG265" s="380"/>
      <c r="BH265" s="380"/>
      <c r="BI265" s="380"/>
      <c r="BJ265" s="380"/>
      <c r="BK265" s="380"/>
      <c r="BL265" s="380"/>
      <c r="BM265" s="403"/>
      <c r="BS265" s="83"/>
      <c r="CA265" s="405"/>
      <c r="CG265" s="83"/>
      <c r="CO265" s="405"/>
      <c r="CU265" s="83"/>
      <c r="DC265" s="405"/>
      <c r="DI265" s="83"/>
      <c r="DQ265" s="405"/>
      <c r="DW265" s="83"/>
      <c r="EE265" s="405"/>
      <c r="EK265" s="83"/>
      <c r="ES265" s="405"/>
      <c r="EY265" s="83"/>
      <c r="FG265" s="405"/>
      <c r="FM265" s="83"/>
      <c r="FU265" s="405"/>
      <c r="GA265" s="83"/>
      <c r="GI265" s="405"/>
      <c r="GO265" s="83"/>
      <c r="GW265" s="405"/>
      <c r="HC265" s="83"/>
      <c r="HK265" s="405"/>
      <c r="HQ265" s="83"/>
      <c r="HY265" s="405"/>
      <c r="IE265" s="83"/>
      <c r="IM265" s="405"/>
      <c r="IS265" s="83"/>
      <c r="JA265" s="405"/>
      <c r="JG265" s="83"/>
      <c r="JO265" s="405"/>
      <c r="JU265" s="83"/>
      <c r="KC265" s="405"/>
      <c r="KI265" s="83"/>
      <c r="KQ265" s="405"/>
      <c r="KW265" s="83"/>
      <c r="LE265" s="405"/>
      <c r="LK265" s="83"/>
      <c r="LS265" s="405"/>
      <c r="LY265" s="83"/>
      <c r="MG265" s="405"/>
      <c r="MM265" s="83"/>
      <c r="MU265" s="405"/>
      <c r="NA265" s="83"/>
    </row>
    <row r="266">
      <c r="A266" s="483"/>
      <c r="B266" s="380"/>
      <c r="C266" s="380"/>
      <c r="D266" s="380"/>
      <c r="E266" s="380"/>
      <c r="F266" s="380"/>
      <c r="G266" s="380"/>
      <c r="H266" s="380"/>
      <c r="I266" s="403"/>
      <c r="J266" s="380"/>
      <c r="K266" s="380"/>
      <c r="L266" s="380"/>
      <c r="M266" s="380"/>
      <c r="N266" s="380"/>
      <c r="O266" s="404"/>
      <c r="P266" s="380"/>
      <c r="Q266" s="380"/>
      <c r="R266" s="380"/>
      <c r="S266" s="380"/>
      <c r="T266" s="380"/>
      <c r="U266" s="380"/>
      <c r="V266" s="380"/>
      <c r="W266" s="403"/>
      <c r="X266" s="380"/>
      <c r="Y266" s="380"/>
      <c r="Z266" s="380"/>
      <c r="AA266" s="380"/>
      <c r="AB266" s="380"/>
      <c r="AC266" s="404"/>
      <c r="AD266" s="380"/>
      <c r="AE266" s="380"/>
      <c r="AF266" s="380"/>
      <c r="AG266" s="380"/>
      <c r="AH266" s="380"/>
      <c r="AI266" s="380"/>
      <c r="AJ266" s="380"/>
      <c r="AK266" s="403"/>
      <c r="AL266" s="380"/>
      <c r="AM266" s="380"/>
      <c r="AN266" s="380"/>
      <c r="AO266" s="380"/>
      <c r="AP266" s="380"/>
      <c r="AQ266" s="404"/>
      <c r="AR266" s="380"/>
      <c r="AS266" s="380"/>
      <c r="AT266" s="380"/>
      <c r="AU266" s="380"/>
      <c r="AV266" s="380"/>
      <c r="AW266" s="380"/>
      <c r="AX266" s="380"/>
      <c r="AY266" s="403"/>
      <c r="AZ266" s="380"/>
      <c r="BA266" s="380"/>
      <c r="BB266" s="380"/>
      <c r="BC266" s="380"/>
      <c r="BD266" s="380"/>
      <c r="BE266" s="404"/>
      <c r="BF266" s="380"/>
      <c r="BG266" s="380"/>
      <c r="BH266" s="380"/>
      <c r="BI266" s="380"/>
      <c r="BJ266" s="380"/>
      <c r="BK266" s="380"/>
      <c r="BL266" s="380"/>
      <c r="BM266" s="403"/>
      <c r="BS266" s="83"/>
      <c r="CA266" s="405"/>
      <c r="CG266" s="83"/>
      <c r="CO266" s="405"/>
      <c r="CU266" s="83"/>
      <c r="DC266" s="405"/>
      <c r="DI266" s="83"/>
      <c r="DQ266" s="405"/>
      <c r="DW266" s="83"/>
      <c r="EE266" s="405"/>
      <c r="EK266" s="83"/>
      <c r="ES266" s="405"/>
      <c r="EY266" s="83"/>
      <c r="FG266" s="405"/>
      <c r="FM266" s="83"/>
      <c r="FU266" s="405"/>
      <c r="GA266" s="83"/>
      <c r="GI266" s="405"/>
      <c r="GO266" s="83"/>
      <c r="GW266" s="405"/>
      <c r="HC266" s="83"/>
      <c r="HK266" s="405"/>
      <c r="HQ266" s="83"/>
      <c r="HY266" s="405"/>
      <c r="IE266" s="83"/>
      <c r="IM266" s="405"/>
      <c r="IS266" s="83"/>
      <c r="JA266" s="405"/>
      <c r="JG266" s="83"/>
      <c r="JO266" s="405"/>
      <c r="JU266" s="83"/>
      <c r="KC266" s="405"/>
      <c r="KI266" s="83"/>
      <c r="KQ266" s="405"/>
      <c r="KW266" s="83"/>
      <c r="LE266" s="405"/>
      <c r="LK266" s="83"/>
      <c r="LS266" s="405"/>
      <c r="LY266" s="83"/>
      <c r="MG266" s="405"/>
      <c r="MM266" s="83"/>
      <c r="MU266" s="405"/>
      <c r="NA266" s="83"/>
    </row>
    <row r="267">
      <c r="A267" s="483"/>
      <c r="B267" s="380"/>
      <c r="C267" s="380"/>
      <c r="D267" s="380"/>
      <c r="E267" s="380"/>
      <c r="F267" s="380"/>
      <c r="G267" s="380"/>
      <c r="H267" s="380"/>
      <c r="I267" s="403"/>
      <c r="J267" s="380"/>
      <c r="K267" s="380"/>
      <c r="L267" s="380"/>
      <c r="M267" s="380"/>
      <c r="N267" s="380"/>
      <c r="O267" s="404"/>
      <c r="P267" s="380"/>
      <c r="Q267" s="380"/>
      <c r="R267" s="380"/>
      <c r="S267" s="380"/>
      <c r="T267" s="380"/>
      <c r="U267" s="380"/>
      <c r="V267" s="380"/>
      <c r="W267" s="403"/>
      <c r="X267" s="380"/>
      <c r="Y267" s="380"/>
      <c r="Z267" s="380"/>
      <c r="AA267" s="380"/>
      <c r="AB267" s="380"/>
      <c r="AC267" s="404"/>
      <c r="AD267" s="380"/>
      <c r="AE267" s="380"/>
      <c r="AF267" s="380"/>
      <c r="AG267" s="380"/>
      <c r="AH267" s="380"/>
      <c r="AI267" s="380"/>
      <c r="AJ267" s="380"/>
      <c r="AK267" s="403"/>
      <c r="AL267" s="380"/>
      <c r="AM267" s="380"/>
      <c r="AN267" s="380"/>
      <c r="AO267" s="380"/>
      <c r="AP267" s="380"/>
      <c r="AQ267" s="404"/>
      <c r="AR267" s="380"/>
      <c r="AS267" s="380"/>
      <c r="AT267" s="380"/>
      <c r="AU267" s="380"/>
      <c r="AV267" s="380"/>
      <c r="AW267" s="380"/>
      <c r="AX267" s="380"/>
      <c r="AY267" s="403"/>
      <c r="AZ267" s="380"/>
      <c r="BA267" s="380"/>
      <c r="BB267" s="380"/>
      <c r="BC267" s="380"/>
      <c r="BD267" s="380"/>
      <c r="BE267" s="404"/>
      <c r="BF267" s="380"/>
      <c r="BG267" s="380"/>
      <c r="BH267" s="380"/>
      <c r="BI267" s="380"/>
      <c r="BJ267" s="380"/>
      <c r="BK267" s="380"/>
      <c r="BL267" s="380"/>
      <c r="BM267" s="403"/>
      <c r="BS267" s="83"/>
      <c r="CA267" s="405"/>
      <c r="CG267" s="83"/>
      <c r="CO267" s="405"/>
      <c r="CU267" s="83"/>
      <c r="DC267" s="405"/>
      <c r="DI267" s="83"/>
      <c r="DQ267" s="405"/>
      <c r="DW267" s="83"/>
      <c r="EE267" s="405"/>
      <c r="EK267" s="83"/>
      <c r="ES267" s="405"/>
      <c r="EY267" s="83"/>
      <c r="FG267" s="405"/>
      <c r="FM267" s="83"/>
      <c r="FU267" s="405"/>
      <c r="GA267" s="83"/>
      <c r="GI267" s="405"/>
      <c r="GO267" s="83"/>
      <c r="GW267" s="405"/>
      <c r="HC267" s="83"/>
      <c r="HK267" s="405"/>
      <c r="HQ267" s="83"/>
      <c r="HY267" s="405"/>
      <c r="IE267" s="83"/>
      <c r="IM267" s="405"/>
      <c r="IS267" s="83"/>
      <c r="JA267" s="405"/>
      <c r="JG267" s="83"/>
      <c r="JO267" s="405"/>
      <c r="JU267" s="83"/>
      <c r="KC267" s="405"/>
      <c r="KI267" s="83"/>
      <c r="KQ267" s="405"/>
      <c r="KW267" s="83"/>
      <c r="LE267" s="405"/>
      <c r="LK267" s="83"/>
      <c r="LS267" s="405"/>
      <c r="LY267" s="83"/>
      <c r="MG267" s="405"/>
      <c r="MM267" s="83"/>
      <c r="MU267" s="405"/>
      <c r="NA267" s="83"/>
    </row>
    <row r="268">
      <c r="A268" s="483"/>
      <c r="B268" s="380"/>
      <c r="C268" s="380"/>
      <c r="D268" s="380"/>
      <c r="E268" s="380"/>
      <c r="F268" s="380"/>
      <c r="G268" s="380"/>
      <c r="H268" s="380"/>
      <c r="I268" s="403"/>
      <c r="J268" s="380"/>
      <c r="K268" s="380"/>
      <c r="L268" s="380"/>
      <c r="M268" s="380"/>
      <c r="N268" s="380"/>
      <c r="O268" s="404"/>
      <c r="P268" s="380"/>
      <c r="Q268" s="380"/>
      <c r="R268" s="380"/>
      <c r="S268" s="380"/>
      <c r="T268" s="380"/>
      <c r="U268" s="380"/>
      <c r="V268" s="380"/>
      <c r="W268" s="403"/>
      <c r="X268" s="380"/>
      <c r="Y268" s="380"/>
      <c r="Z268" s="380"/>
      <c r="AA268" s="380"/>
      <c r="AB268" s="380"/>
      <c r="AC268" s="404"/>
      <c r="AD268" s="380"/>
      <c r="AE268" s="380"/>
      <c r="AF268" s="380"/>
      <c r="AG268" s="380"/>
      <c r="AH268" s="380"/>
      <c r="AI268" s="380"/>
      <c r="AJ268" s="380"/>
      <c r="AK268" s="403"/>
      <c r="AL268" s="380"/>
      <c r="AM268" s="380"/>
      <c r="AN268" s="380"/>
      <c r="AO268" s="380"/>
      <c r="AP268" s="380"/>
      <c r="AQ268" s="404"/>
      <c r="AR268" s="380"/>
      <c r="AS268" s="380"/>
      <c r="AT268" s="380"/>
      <c r="AU268" s="380"/>
      <c r="AV268" s="380"/>
      <c r="AW268" s="380"/>
      <c r="AX268" s="380"/>
      <c r="AY268" s="403"/>
      <c r="AZ268" s="380"/>
      <c r="BA268" s="380"/>
      <c r="BB268" s="380"/>
      <c r="BC268" s="380"/>
      <c r="BD268" s="380"/>
      <c r="BE268" s="404"/>
      <c r="BF268" s="380"/>
      <c r="BG268" s="380"/>
      <c r="BH268" s="380"/>
      <c r="BI268" s="380"/>
      <c r="BJ268" s="380"/>
      <c r="BK268" s="380"/>
      <c r="BL268" s="380"/>
      <c r="BM268" s="403"/>
      <c r="BS268" s="83"/>
      <c r="CA268" s="405"/>
      <c r="CG268" s="83"/>
      <c r="CO268" s="405"/>
      <c r="CU268" s="83"/>
      <c r="DC268" s="405"/>
      <c r="DI268" s="83"/>
      <c r="DQ268" s="405"/>
      <c r="DW268" s="83"/>
      <c r="EE268" s="405"/>
      <c r="EK268" s="83"/>
      <c r="ES268" s="405"/>
      <c r="EY268" s="83"/>
      <c r="FG268" s="405"/>
      <c r="FM268" s="83"/>
      <c r="FU268" s="405"/>
      <c r="GA268" s="83"/>
      <c r="GI268" s="405"/>
      <c r="GO268" s="83"/>
      <c r="GW268" s="405"/>
      <c r="HC268" s="83"/>
      <c r="HK268" s="405"/>
      <c r="HQ268" s="83"/>
      <c r="HY268" s="405"/>
      <c r="IE268" s="83"/>
      <c r="IM268" s="405"/>
      <c r="IS268" s="83"/>
      <c r="JA268" s="405"/>
      <c r="JG268" s="83"/>
      <c r="JO268" s="405"/>
      <c r="JU268" s="83"/>
      <c r="KC268" s="405"/>
      <c r="KI268" s="83"/>
      <c r="KQ268" s="405"/>
      <c r="KW268" s="83"/>
      <c r="LE268" s="405"/>
      <c r="LK268" s="83"/>
      <c r="LS268" s="405"/>
      <c r="LY268" s="83"/>
      <c r="MG268" s="405"/>
      <c r="MM268" s="83"/>
      <c r="MU268" s="405"/>
      <c r="NA268" s="83"/>
    </row>
    <row r="269">
      <c r="A269" s="483"/>
      <c r="B269" s="380"/>
      <c r="C269" s="380"/>
      <c r="D269" s="380"/>
      <c r="E269" s="380"/>
      <c r="F269" s="380"/>
      <c r="G269" s="380"/>
      <c r="H269" s="380"/>
      <c r="I269" s="403"/>
      <c r="J269" s="380"/>
      <c r="K269" s="380"/>
      <c r="L269" s="380"/>
      <c r="M269" s="380"/>
      <c r="N269" s="380"/>
      <c r="O269" s="404"/>
      <c r="P269" s="380"/>
      <c r="Q269" s="380"/>
      <c r="R269" s="380"/>
      <c r="S269" s="380"/>
      <c r="T269" s="380"/>
      <c r="U269" s="380"/>
      <c r="V269" s="380"/>
      <c r="W269" s="403"/>
      <c r="X269" s="380"/>
      <c r="Y269" s="380"/>
      <c r="Z269" s="380"/>
      <c r="AA269" s="380"/>
      <c r="AB269" s="380"/>
      <c r="AC269" s="404"/>
      <c r="AD269" s="380"/>
      <c r="AE269" s="380"/>
      <c r="AF269" s="380"/>
      <c r="AG269" s="380"/>
      <c r="AH269" s="380"/>
      <c r="AI269" s="380"/>
      <c r="AJ269" s="380"/>
      <c r="AK269" s="403"/>
      <c r="AL269" s="380"/>
      <c r="AM269" s="380"/>
      <c r="AN269" s="380"/>
      <c r="AO269" s="380"/>
      <c r="AP269" s="380"/>
      <c r="AQ269" s="404"/>
      <c r="AR269" s="380"/>
      <c r="AS269" s="380"/>
      <c r="AT269" s="380"/>
      <c r="AU269" s="380"/>
      <c r="AV269" s="380"/>
      <c r="AW269" s="380"/>
      <c r="AX269" s="380"/>
      <c r="AY269" s="403"/>
      <c r="AZ269" s="380"/>
      <c r="BA269" s="380"/>
      <c r="BB269" s="380"/>
      <c r="BC269" s="380"/>
      <c r="BD269" s="380"/>
      <c r="BE269" s="404"/>
      <c r="BF269" s="380"/>
      <c r="BG269" s="380"/>
      <c r="BH269" s="380"/>
      <c r="BI269" s="380"/>
      <c r="BJ269" s="380"/>
      <c r="BK269" s="380"/>
      <c r="BL269" s="380"/>
      <c r="BM269" s="403"/>
      <c r="BS269" s="83"/>
      <c r="CA269" s="405"/>
      <c r="CG269" s="83"/>
      <c r="CO269" s="405"/>
      <c r="CU269" s="83"/>
      <c r="DC269" s="405"/>
      <c r="DI269" s="83"/>
      <c r="DQ269" s="405"/>
      <c r="DW269" s="83"/>
      <c r="EE269" s="405"/>
      <c r="EK269" s="83"/>
      <c r="ES269" s="405"/>
      <c r="EY269" s="83"/>
      <c r="FG269" s="405"/>
      <c r="FM269" s="83"/>
      <c r="FU269" s="405"/>
      <c r="GA269" s="83"/>
      <c r="GI269" s="405"/>
      <c r="GO269" s="83"/>
      <c r="GW269" s="405"/>
      <c r="HC269" s="83"/>
      <c r="HK269" s="405"/>
      <c r="HQ269" s="83"/>
      <c r="HY269" s="405"/>
      <c r="IE269" s="83"/>
      <c r="IM269" s="405"/>
      <c r="IS269" s="83"/>
      <c r="JA269" s="405"/>
      <c r="JG269" s="83"/>
      <c r="JO269" s="405"/>
      <c r="JU269" s="83"/>
      <c r="KC269" s="405"/>
      <c r="KI269" s="83"/>
      <c r="KQ269" s="405"/>
      <c r="KW269" s="83"/>
      <c r="LE269" s="405"/>
      <c r="LK269" s="83"/>
      <c r="LS269" s="405"/>
      <c r="LY269" s="83"/>
      <c r="MG269" s="405"/>
      <c r="MM269" s="83"/>
      <c r="MU269" s="405"/>
      <c r="NA269" s="83"/>
    </row>
    <row r="270">
      <c r="A270" s="483"/>
      <c r="B270" s="380"/>
      <c r="C270" s="380"/>
      <c r="D270" s="380"/>
      <c r="E270" s="380"/>
      <c r="F270" s="380"/>
      <c r="G270" s="380"/>
      <c r="H270" s="380"/>
      <c r="I270" s="403"/>
      <c r="J270" s="380"/>
      <c r="K270" s="380"/>
      <c r="L270" s="380"/>
      <c r="M270" s="380"/>
      <c r="N270" s="380"/>
      <c r="O270" s="404"/>
      <c r="P270" s="380"/>
      <c r="Q270" s="380"/>
      <c r="R270" s="380"/>
      <c r="S270" s="380"/>
      <c r="T270" s="380"/>
      <c r="U270" s="380"/>
      <c r="V270" s="380"/>
      <c r="W270" s="403"/>
      <c r="X270" s="380"/>
      <c r="Y270" s="380"/>
      <c r="Z270" s="380"/>
      <c r="AA270" s="380"/>
      <c r="AB270" s="380"/>
      <c r="AC270" s="404"/>
      <c r="AD270" s="380"/>
      <c r="AE270" s="380"/>
      <c r="AF270" s="380"/>
      <c r="AG270" s="380"/>
      <c r="AH270" s="380"/>
      <c r="AI270" s="380"/>
      <c r="AJ270" s="380"/>
      <c r="AK270" s="403"/>
      <c r="AL270" s="380"/>
      <c r="AM270" s="380"/>
      <c r="AN270" s="380"/>
      <c r="AO270" s="380"/>
      <c r="AP270" s="380"/>
      <c r="AQ270" s="404"/>
      <c r="AR270" s="380"/>
      <c r="AS270" s="380"/>
      <c r="AT270" s="380"/>
      <c r="AU270" s="380"/>
      <c r="AV270" s="380"/>
      <c r="AW270" s="380"/>
      <c r="AX270" s="380"/>
      <c r="AY270" s="403"/>
      <c r="AZ270" s="380"/>
      <c r="BA270" s="380"/>
      <c r="BB270" s="380"/>
      <c r="BC270" s="380"/>
      <c r="BD270" s="380"/>
      <c r="BE270" s="404"/>
      <c r="BF270" s="380"/>
      <c r="BG270" s="380"/>
      <c r="BH270" s="380"/>
      <c r="BI270" s="380"/>
      <c r="BJ270" s="380"/>
      <c r="BK270" s="380"/>
      <c r="BL270" s="380"/>
      <c r="BM270" s="403"/>
      <c r="BS270" s="83"/>
      <c r="CA270" s="405"/>
      <c r="CG270" s="83"/>
      <c r="CO270" s="405"/>
      <c r="CU270" s="83"/>
      <c r="DC270" s="405"/>
      <c r="DI270" s="83"/>
      <c r="DQ270" s="405"/>
      <c r="DW270" s="83"/>
      <c r="EE270" s="405"/>
      <c r="EK270" s="83"/>
      <c r="ES270" s="405"/>
      <c r="EY270" s="83"/>
      <c r="FG270" s="405"/>
      <c r="FM270" s="83"/>
      <c r="FU270" s="405"/>
      <c r="GA270" s="83"/>
      <c r="GI270" s="405"/>
      <c r="GO270" s="83"/>
      <c r="GW270" s="405"/>
      <c r="HC270" s="83"/>
      <c r="HK270" s="405"/>
      <c r="HQ270" s="83"/>
      <c r="HY270" s="405"/>
      <c r="IE270" s="83"/>
      <c r="IM270" s="405"/>
      <c r="IS270" s="83"/>
      <c r="JA270" s="405"/>
      <c r="JG270" s="83"/>
      <c r="JO270" s="405"/>
      <c r="JU270" s="83"/>
      <c r="KC270" s="405"/>
      <c r="KI270" s="83"/>
      <c r="KQ270" s="405"/>
      <c r="KW270" s="83"/>
      <c r="LE270" s="405"/>
      <c r="LK270" s="83"/>
      <c r="LS270" s="405"/>
      <c r="LY270" s="83"/>
      <c r="MG270" s="405"/>
      <c r="MM270" s="83"/>
      <c r="MU270" s="405"/>
      <c r="NA270" s="83"/>
    </row>
    <row r="271">
      <c r="A271" s="483"/>
      <c r="B271" s="380"/>
      <c r="C271" s="380"/>
      <c r="D271" s="380"/>
      <c r="E271" s="380"/>
      <c r="F271" s="380"/>
      <c r="G271" s="380"/>
      <c r="H271" s="380"/>
      <c r="I271" s="403"/>
      <c r="J271" s="380"/>
      <c r="K271" s="380"/>
      <c r="L271" s="380"/>
      <c r="M271" s="380"/>
      <c r="N271" s="380"/>
      <c r="O271" s="404"/>
      <c r="P271" s="380"/>
      <c r="Q271" s="380"/>
      <c r="R271" s="380"/>
      <c r="S271" s="380"/>
      <c r="T271" s="380"/>
      <c r="U271" s="380"/>
      <c r="V271" s="380"/>
      <c r="W271" s="403"/>
      <c r="X271" s="380"/>
      <c r="Y271" s="380"/>
      <c r="Z271" s="380"/>
      <c r="AA271" s="380"/>
      <c r="AB271" s="380"/>
      <c r="AC271" s="404"/>
      <c r="AD271" s="380"/>
      <c r="AE271" s="380"/>
      <c r="AF271" s="380"/>
      <c r="AG271" s="380"/>
      <c r="AH271" s="380"/>
      <c r="AI271" s="380"/>
      <c r="AJ271" s="380"/>
      <c r="AK271" s="403"/>
      <c r="AL271" s="380"/>
      <c r="AM271" s="380"/>
      <c r="AN271" s="380"/>
      <c r="AO271" s="380"/>
      <c r="AP271" s="380"/>
      <c r="AQ271" s="404"/>
      <c r="AR271" s="380"/>
      <c r="AS271" s="380"/>
      <c r="AT271" s="380"/>
      <c r="AU271" s="380"/>
      <c r="AV271" s="380"/>
      <c r="AW271" s="380"/>
      <c r="AX271" s="380"/>
      <c r="AY271" s="403"/>
      <c r="AZ271" s="380"/>
      <c r="BA271" s="380"/>
      <c r="BB271" s="380"/>
      <c r="BC271" s="380"/>
      <c r="BD271" s="380"/>
      <c r="BE271" s="404"/>
      <c r="BF271" s="380"/>
      <c r="BG271" s="380"/>
      <c r="BH271" s="380"/>
      <c r="BI271" s="380"/>
      <c r="BJ271" s="380"/>
      <c r="BK271" s="380"/>
      <c r="BL271" s="380"/>
      <c r="BM271" s="403"/>
      <c r="BS271" s="83"/>
      <c r="CA271" s="405"/>
      <c r="CG271" s="83"/>
      <c r="CO271" s="405"/>
      <c r="CU271" s="83"/>
      <c r="DC271" s="405"/>
      <c r="DI271" s="83"/>
      <c r="DQ271" s="405"/>
      <c r="DW271" s="83"/>
      <c r="EE271" s="405"/>
      <c r="EK271" s="83"/>
      <c r="ES271" s="405"/>
      <c r="EY271" s="83"/>
      <c r="FG271" s="405"/>
      <c r="FM271" s="83"/>
      <c r="FU271" s="405"/>
      <c r="GA271" s="83"/>
      <c r="GI271" s="405"/>
      <c r="GO271" s="83"/>
      <c r="GW271" s="405"/>
      <c r="HC271" s="83"/>
      <c r="HK271" s="405"/>
      <c r="HQ271" s="83"/>
      <c r="HY271" s="405"/>
      <c r="IE271" s="83"/>
      <c r="IM271" s="405"/>
      <c r="IS271" s="83"/>
      <c r="JA271" s="405"/>
      <c r="JG271" s="83"/>
      <c r="JO271" s="405"/>
      <c r="JU271" s="83"/>
      <c r="KC271" s="405"/>
      <c r="KI271" s="83"/>
      <c r="KQ271" s="405"/>
      <c r="KW271" s="83"/>
      <c r="LE271" s="405"/>
      <c r="LK271" s="83"/>
      <c r="LS271" s="405"/>
      <c r="LY271" s="83"/>
      <c r="MG271" s="405"/>
      <c r="MM271" s="83"/>
      <c r="MU271" s="405"/>
      <c r="NA271" s="83"/>
    </row>
    <row r="272">
      <c r="A272" s="483"/>
      <c r="B272" s="380"/>
      <c r="C272" s="380"/>
      <c r="D272" s="380"/>
      <c r="E272" s="380"/>
      <c r="F272" s="380"/>
      <c r="G272" s="380"/>
      <c r="H272" s="380"/>
      <c r="I272" s="403"/>
      <c r="J272" s="380"/>
      <c r="K272" s="380"/>
      <c r="L272" s="380"/>
      <c r="M272" s="380"/>
      <c r="N272" s="380"/>
      <c r="O272" s="404"/>
      <c r="P272" s="380"/>
      <c r="Q272" s="380"/>
      <c r="R272" s="380"/>
      <c r="S272" s="380"/>
      <c r="T272" s="380"/>
      <c r="U272" s="380"/>
      <c r="V272" s="380"/>
      <c r="W272" s="403"/>
      <c r="X272" s="380"/>
      <c r="Y272" s="380"/>
      <c r="Z272" s="380"/>
      <c r="AA272" s="380"/>
      <c r="AB272" s="380"/>
      <c r="AC272" s="404"/>
      <c r="AD272" s="380"/>
      <c r="AE272" s="380"/>
      <c r="AF272" s="380"/>
      <c r="AG272" s="380"/>
      <c r="AH272" s="380"/>
      <c r="AI272" s="380"/>
      <c r="AJ272" s="380"/>
      <c r="AK272" s="403"/>
      <c r="AL272" s="380"/>
      <c r="AM272" s="380"/>
      <c r="AN272" s="380"/>
      <c r="AO272" s="380"/>
      <c r="AP272" s="380"/>
      <c r="AQ272" s="404"/>
      <c r="AR272" s="380"/>
      <c r="AS272" s="380"/>
      <c r="AT272" s="380"/>
      <c r="AU272" s="380"/>
      <c r="AV272" s="380"/>
      <c r="AW272" s="380"/>
      <c r="AX272" s="380"/>
      <c r="AY272" s="403"/>
      <c r="AZ272" s="380"/>
      <c r="BA272" s="380"/>
      <c r="BB272" s="380"/>
      <c r="BC272" s="380"/>
      <c r="BD272" s="380"/>
      <c r="BE272" s="404"/>
      <c r="BF272" s="380"/>
      <c r="BG272" s="380"/>
      <c r="BH272" s="380"/>
      <c r="BI272" s="380"/>
      <c r="BJ272" s="380"/>
      <c r="BK272" s="380"/>
      <c r="BL272" s="380"/>
      <c r="BM272" s="403"/>
      <c r="BS272" s="83"/>
      <c r="CA272" s="405"/>
      <c r="CG272" s="83"/>
      <c r="CO272" s="405"/>
      <c r="CU272" s="83"/>
      <c r="DC272" s="405"/>
      <c r="DI272" s="83"/>
      <c r="DQ272" s="405"/>
      <c r="DW272" s="83"/>
      <c r="EE272" s="405"/>
      <c r="EK272" s="83"/>
      <c r="ES272" s="405"/>
      <c r="EY272" s="83"/>
      <c r="FG272" s="405"/>
      <c r="FM272" s="83"/>
      <c r="FU272" s="405"/>
      <c r="GA272" s="83"/>
      <c r="GI272" s="405"/>
      <c r="GO272" s="83"/>
      <c r="GW272" s="405"/>
      <c r="HC272" s="83"/>
      <c r="HK272" s="405"/>
      <c r="HQ272" s="83"/>
      <c r="HY272" s="405"/>
      <c r="IE272" s="83"/>
      <c r="IM272" s="405"/>
      <c r="IS272" s="83"/>
      <c r="JA272" s="405"/>
      <c r="JG272" s="83"/>
      <c r="JO272" s="405"/>
      <c r="JU272" s="83"/>
      <c r="KC272" s="405"/>
      <c r="KI272" s="83"/>
      <c r="KQ272" s="405"/>
      <c r="KW272" s="83"/>
      <c r="LE272" s="405"/>
      <c r="LK272" s="83"/>
      <c r="LS272" s="405"/>
      <c r="LY272" s="83"/>
      <c r="MG272" s="405"/>
      <c r="MM272" s="83"/>
      <c r="MU272" s="405"/>
      <c r="NA272" s="83"/>
    </row>
    <row r="273">
      <c r="A273" s="483"/>
      <c r="B273" s="380"/>
      <c r="C273" s="380"/>
      <c r="D273" s="380"/>
      <c r="E273" s="380"/>
      <c r="F273" s="380"/>
      <c r="G273" s="380"/>
      <c r="H273" s="380"/>
      <c r="I273" s="403"/>
      <c r="J273" s="380"/>
      <c r="K273" s="380"/>
      <c r="L273" s="380"/>
      <c r="M273" s="380"/>
      <c r="N273" s="380"/>
      <c r="O273" s="404"/>
      <c r="P273" s="380"/>
      <c r="Q273" s="380"/>
      <c r="R273" s="380"/>
      <c r="S273" s="380"/>
      <c r="T273" s="380"/>
      <c r="U273" s="380"/>
      <c r="V273" s="380"/>
      <c r="W273" s="403"/>
      <c r="X273" s="380"/>
      <c r="Y273" s="380"/>
      <c r="Z273" s="380"/>
      <c r="AA273" s="380"/>
      <c r="AB273" s="380"/>
      <c r="AC273" s="404"/>
      <c r="AD273" s="380"/>
      <c r="AE273" s="380"/>
      <c r="AF273" s="380"/>
      <c r="AG273" s="380"/>
      <c r="AH273" s="380"/>
      <c r="AI273" s="380"/>
      <c r="AJ273" s="380"/>
      <c r="AK273" s="403"/>
      <c r="AL273" s="380"/>
      <c r="AM273" s="380"/>
      <c r="AN273" s="380"/>
      <c r="AO273" s="380"/>
      <c r="AP273" s="380"/>
      <c r="AQ273" s="404"/>
      <c r="AR273" s="380"/>
      <c r="AS273" s="380"/>
      <c r="AT273" s="380"/>
      <c r="AU273" s="380"/>
      <c r="AV273" s="380"/>
      <c r="AW273" s="380"/>
      <c r="AX273" s="380"/>
      <c r="AY273" s="403"/>
      <c r="AZ273" s="380"/>
      <c r="BA273" s="380"/>
      <c r="BB273" s="380"/>
      <c r="BC273" s="380"/>
      <c r="BD273" s="380"/>
      <c r="BE273" s="404"/>
      <c r="BF273" s="380"/>
      <c r="BG273" s="380"/>
      <c r="BH273" s="380"/>
      <c r="BI273" s="380"/>
      <c r="BJ273" s="380"/>
      <c r="BK273" s="380"/>
      <c r="BL273" s="380"/>
      <c r="BM273" s="403"/>
      <c r="BS273" s="83"/>
      <c r="CA273" s="405"/>
      <c r="CG273" s="83"/>
      <c r="CO273" s="405"/>
      <c r="CU273" s="83"/>
      <c r="DC273" s="405"/>
      <c r="DI273" s="83"/>
      <c r="DQ273" s="405"/>
      <c r="DW273" s="83"/>
      <c r="EE273" s="405"/>
      <c r="EK273" s="83"/>
      <c r="ES273" s="405"/>
      <c r="EY273" s="83"/>
      <c r="FG273" s="405"/>
      <c r="FM273" s="83"/>
      <c r="FU273" s="405"/>
      <c r="GA273" s="83"/>
      <c r="GI273" s="405"/>
      <c r="GO273" s="83"/>
      <c r="GW273" s="405"/>
      <c r="HC273" s="83"/>
      <c r="HK273" s="405"/>
      <c r="HQ273" s="83"/>
      <c r="HY273" s="405"/>
      <c r="IE273" s="83"/>
      <c r="IM273" s="405"/>
      <c r="IS273" s="83"/>
      <c r="JA273" s="405"/>
      <c r="JG273" s="83"/>
      <c r="JO273" s="405"/>
      <c r="JU273" s="83"/>
      <c r="KC273" s="405"/>
      <c r="KI273" s="83"/>
      <c r="KQ273" s="405"/>
      <c r="KW273" s="83"/>
      <c r="LE273" s="405"/>
      <c r="LK273" s="83"/>
      <c r="LS273" s="405"/>
      <c r="LY273" s="83"/>
      <c r="MG273" s="405"/>
      <c r="MM273" s="83"/>
      <c r="MU273" s="405"/>
      <c r="NA273" s="83"/>
    </row>
    <row r="274">
      <c r="A274" s="483"/>
      <c r="B274" s="380"/>
      <c r="C274" s="380"/>
      <c r="D274" s="380"/>
      <c r="E274" s="380"/>
      <c r="F274" s="380"/>
      <c r="G274" s="380"/>
      <c r="H274" s="380"/>
      <c r="I274" s="403"/>
      <c r="J274" s="380"/>
      <c r="K274" s="380"/>
      <c r="L274" s="380"/>
      <c r="M274" s="380"/>
      <c r="N274" s="380"/>
      <c r="O274" s="404"/>
      <c r="P274" s="380"/>
      <c r="Q274" s="380"/>
      <c r="R274" s="380"/>
      <c r="S274" s="380"/>
      <c r="T274" s="380"/>
      <c r="U274" s="380"/>
      <c r="V274" s="380"/>
      <c r="W274" s="403"/>
      <c r="X274" s="380"/>
      <c r="Y274" s="380"/>
      <c r="Z274" s="380"/>
      <c r="AA274" s="380"/>
      <c r="AB274" s="380"/>
      <c r="AC274" s="404"/>
      <c r="AD274" s="380"/>
      <c r="AE274" s="380"/>
      <c r="AF274" s="380"/>
      <c r="AG274" s="380"/>
      <c r="AH274" s="380"/>
      <c r="AI274" s="380"/>
      <c r="AJ274" s="380"/>
      <c r="AK274" s="403"/>
      <c r="AL274" s="380"/>
      <c r="AM274" s="380"/>
      <c r="AN274" s="380"/>
      <c r="AO274" s="380"/>
      <c r="AP274" s="380"/>
      <c r="AQ274" s="404"/>
      <c r="AR274" s="380"/>
      <c r="AS274" s="380"/>
      <c r="AT274" s="380"/>
      <c r="AU274" s="380"/>
      <c r="AV274" s="380"/>
      <c r="AW274" s="380"/>
      <c r="AX274" s="380"/>
      <c r="AY274" s="403"/>
      <c r="AZ274" s="380"/>
      <c r="BA274" s="380"/>
      <c r="BB274" s="380"/>
      <c r="BC274" s="380"/>
      <c r="BD274" s="380"/>
      <c r="BE274" s="404"/>
      <c r="BF274" s="380"/>
      <c r="BG274" s="380"/>
      <c r="BH274" s="380"/>
      <c r="BI274" s="380"/>
      <c r="BJ274" s="380"/>
      <c r="BK274" s="380"/>
      <c r="BL274" s="380"/>
      <c r="BM274" s="403"/>
      <c r="BS274" s="83"/>
      <c r="CA274" s="405"/>
      <c r="CG274" s="83"/>
      <c r="CO274" s="405"/>
      <c r="CU274" s="83"/>
      <c r="DC274" s="405"/>
      <c r="DI274" s="83"/>
      <c r="DQ274" s="405"/>
      <c r="DW274" s="83"/>
      <c r="EE274" s="405"/>
      <c r="EK274" s="83"/>
      <c r="ES274" s="405"/>
      <c r="EY274" s="83"/>
      <c r="FG274" s="405"/>
      <c r="FM274" s="83"/>
      <c r="FU274" s="405"/>
      <c r="GA274" s="83"/>
      <c r="GI274" s="405"/>
      <c r="GO274" s="83"/>
      <c r="GW274" s="405"/>
      <c r="HC274" s="83"/>
      <c r="HK274" s="405"/>
      <c r="HQ274" s="83"/>
      <c r="HY274" s="405"/>
      <c r="IE274" s="83"/>
      <c r="IM274" s="405"/>
      <c r="IS274" s="83"/>
      <c r="JA274" s="405"/>
      <c r="JG274" s="83"/>
      <c r="JO274" s="405"/>
      <c r="JU274" s="83"/>
      <c r="KC274" s="405"/>
      <c r="KI274" s="83"/>
      <c r="KQ274" s="405"/>
      <c r="KW274" s="83"/>
      <c r="LE274" s="405"/>
      <c r="LK274" s="83"/>
      <c r="LS274" s="405"/>
      <c r="LY274" s="83"/>
      <c r="MG274" s="405"/>
      <c r="MM274" s="83"/>
      <c r="MU274" s="405"/>
      <c r="NA274" s="83"/>
    </row>
    <row r="275">
      <c r="A275" s="483"/>
      <c r="B275" s="380"/>
      <c r="C275" s="380"/>
      <c r="D275" s="380"/>
      <c r="E275" s="380"/>
      <c r="F275" s="380"/>
      <c r="G275" s="380"/>
      <c r="H275" s="380"/>
      <c r="I275" s="403"/>
      <c r="J275" s="380"/>
      <c r="K275" s="380"/>
      <c r="L275" s="380"/>
      <c r="M275" s="380"/>
      <c r="N275" s="380"/>
      <c r="O275" s="404"/>
      <c r="P275" s="380"/>
      <c r="Q275" s="380"/>
      <c r="R275" s="380"/>
      <c r="S275" s="380"/>
      <c r="T275" s="380"/>
      <c r="U275" s="380"/>
      <c r="V275" s="380"/>
      <c r="W275" s="403"/>
      <c r="X275" s="380"/>
      <c r="Y275" s="380"/>
      <c r="Z275" s="380"/>
      <c r="AA275" s="380"/>
      <c r="AB275" s="380"/>
      <c r="AC275" s="404"/>
      <c r="AD275" s="380"/>
      <c r="AE275" s="380"/>
      <c r="AF275" s="380"/>
      <c r="AG275" s="380"/>
      <c r="AH275" s="380"/>
      <c r="AI275" s="380"/>
      <c r="AJ275" s="380"/>
      <c r="AK275" s="403"/>
      <c r="AL275" s="380"/>
      <c r="AM275" s="380"/>
      <c r="AN275" s="380"/>
      <c r="AO275" s="380"/>
      <c r="AP275" s="380"/>
      <c r="AQ275" s="404"/>
      <c r="AR275" s="380"/>
      <c r="AS275" s="380"/>
      <c r="AT275" s="380"/>
      <c r="AU275" s="380"/>
      <c r="AV275" s="380"/>
      <c r="AW275" s="380"/>
      <c r="AX275" s="380"/>
      <c r="AY275" s="403"/>
      <c r="AZ275" s="380"/>
      <c r="BA275" s="380"/>
      <c r="BB275" s="380"/>
      <c r="BC275" s="380"/>
      <c r="BD275" s="380"/>
      <c r="BE275" s="404"/>
      <c r="BF275" s="380"/>
      <c r="BG275" s="380"/>
      <c r="BH275" s="380"/>
      <c r="BI275" s="380"/>
      <c r="BJ275" s="380"/>
      <c r="BK275" s="380"/>
      <c r="BL275" s="380"/>
      <c r="BM275" s="403"/>
      <c r="BS275" s="83"/>
      <c r="CA275" s="405"/>
      <c r="CG275" s="83"/>
      <c r="CO275" s="405"/>
      <c r="CU275" s="83"/>
      <c r="DC275" s="405"/>
      <c r="DI275" s="83"/>
      <c r="DQ275" s="405"/>
      <c r="DW275" s="83"/>
      <c r="EE275" s="405"/>
      <c r="EK275" s="83"/>
      <c r="ES275" s="405"/>
      <c r="EY275" s="83"/>
      <c r="FG275" s="405"/>
      <c r="FM275" s="83"/>
      <c r="FU275" s="405"/>
      <c r="GA275" s="83"/>
      <c r="GI275" s="405"/>
      <c r="GO275" s="83"/>
      <c r="GW275" s="405"/>
      <c r="HC275" s="83"/>
      <c r="HK275" s="405"/>
      <c r="HQ275" s="83"/>
      <c r="HY275" s="405"/>
      <c r="IE275" s="83"/>
      <c r="IM275" s="405"/>
      <c r="IS275" s="83"/>
      <c r="JA275" s="405"/>
      <c r="JG275" s="83"/>
      <c r="JO275" s="405"/>
      <c r="JU275" s="83"/>
      <c r="KC275" s="405"/>
      <c r="KI275" s="83"/>
      <c r="KQ275" s="405"/>
      <c r="KW275" s="83"/>
      <c r="LE275" s="405"/>
      <c r="LK275" s="83"/>
      <c r="LS275" s="405"/>
      <c r="LY275" s="83"/>
      <c r="MG275" s="405"/>
      <c r="MM275" s="83"/>
      <c r="MU275" s="405"/>
      <c r="NA275" s="83"/>
    </row>
    <row r="276">
      <c r="A276" s="483"/>
      <c r="B276" s="380"/>
      <c r="C276" s="380"/>
      <c r="D276" s="380"/>
      <c r="E276" s="380"/>
      <c r="F276" s="380"/>
      <c r="G276" s="380"/>
      <c r="H276" s="380"/>
      <c r="I276" s="403"/>
      <c r="J276" s="380"/>
      <c r="K276" s="380"/>
      <c r="L276" s="380"/>
      <c r="M276" s="380"/>
      <c r="N276" s="380"/>
      <c r="O276" s="404"/>
      <c r="P276" s="380"/>
      <c r="Q276" s="380"/>
      <c r="R276" s="380"/>
      <c r="S276" s="380"/>
      <c r="T276" s="380"/>
      <c r="U276" s="380"/>
      <c r="V276" s="380"/>
      <c r="W276" s="403"/>
      <c r="X276" s="380"/>
      <c r="Y276" s="380"/>
      <c r="Z276" s="380"/>
      <c r="AA276" s="380"/>
      <c r="AB276" s="380"/>
      <c r="AC276" s="404"/>
      <c r="AD276" s="380"/>
      <c r="AE276" s="380"/>
      <c r="AF276" s="380"/>
      <c r="AG276" s="380"/>
      <c r="AH276" s="380"/>
      <c r="AI276" s="380"/>
      <c r="AJ276" s="380"/>
      <c r="AK276" s="403"/>
      <c r="AL276" s="380"/>
      <c r="AM276" s="380"/>
      <c r="AN276" s="380"/>
      <c r="AO276" s="380"/>
      <c r="AP276" s="380"/>
      <c r="AQ276" s="404"/>
      <c r="AR276" s="380"/>
      <c r="AS276" s="380"/>
      <c r="AT276" s="380"/>
      <c r="AU276" s="380"/>
      <c r="AV276" s="380"/>
      <c r="AW276" s="380"/>
      <c r="AX276" s="380"/>
      <c r="AY276" s="403"/>
      <c r="AZ276" s="380"/>
      <c r="BA276" s="380"/>
      <c r="BB276" s="380"/>
      <c r="BC276" s="380"/>
      <c r="BD276" s="380"/>
      <c r="BE276" s="404"/>
      <c r="BF276" s="380"/>
      <c r="BG276" s="380"/>
      <c r="BH276" s="380"/>
      <c r="BI276" s="380"/>
      <c r="BJ276" s="380"/>
      <c r="BK276" s="380"/>
      <c r="BL276" s="380"/>
      <c r="BM276" s="403"/>
      <c r="BS276" s="83"/>
      <c r="CA276" s="405"/>
      <c r="CG276" s="83"/>
      <c r="CO276" s="405"/>
      <c r="CU276" s="83"/>
      <c r="DC276" s="405"/>
      <c r="DI276" s="83"/>
      <c r="DQ276" s="405"/>
      <c r="DW276" s="83"/>
      <c r="EE276" s="405"/>
      <c r="EK276" s="83"/>
      <c r="ES276" s="405"/>
      <c r="EY276" s="83"/>
      <c r="FG276" s="405"/>
      <c r="FM276" s="83"/>
      <c r="FU276" s="405"/>
      <c r="GA276" s="83"/>
      <c r="GI276" s="405"/>
      <c r="GO276" s="83"/>
      <c r="GW276" s="405"/>
      <c r="HC276" s="83"/>
      <c r="HK276" s="405"/>
      <c r="HQ276" s="83"/>
      <c r="HY276" s="405"/>
      <c r="IE276" s="83"/>
      <c r="IM276" s="405"/>
      <c r="IS276" s="83"/>
      <c r="JA276" s="405"/>
      <c r="JG276" s="83"/>
      <c r="JO276" s="405"/>
      <c r="JU276" s="83"/>
      <c r="KC276" s="405"/>
      <c r="KI276" s="83"/>
      <c r="KQ276" s="405"/>
      <c r="KW276" s="83"/>
      <c r="LE276" s="405"/>
      <c r="LK276" s="83"/>
      <c r="LS276" s="405"/>
      <c r="LY276" s="83"/>
      <c r="MG276" s="405"/>
      <c r="MM276" s="83"/>
      <c r="MU276" s="405"/>
      <c r="NA276" s="83"/>
    </row>
    <row r="277">
      <c r="A277" s="483"/>
      <c r="B277" s="380"/>
      <c r="C277" s="380"/>
      <c r="D277" s="380"/>
      <c r="E277" s="380"/>
      <c r="F277" s="380"/>
      <c r="G277" s="380"/>
      <c r="H277" s="380"/>
      <c r="I277" s="403"/>
      <c r="J277" s="380"/>
      <c r="K277" s="380"/>
      <c r="L277" s="380"/>
      <c r="M277" s="380"/>
      <c r="N277" s="380"/>
      <c r="O277" s="404"/>
      <c r="P277" s="380"/>
      <c r="Q277" s="380"/>
      <c r="R277" s="380"/>
      <c r="S277" s="380"/>
      <c r="T277" s="380"/>
      <c r="U277" s="380"/>
      <c r="V277" s="380"/>
      <c r="W277" s="403"/>
      <c r="X277" s="380"/>
      <c r="Y277" s="380"/>
      <c r="Z277" s="380"/>
      <c r="AA277" s="380"/>
      <c r="AB277" s="380"/>
      <c r="AC277" s="404"/>
      <c r="AD277" s="380"/>
      <c r="AE277" s="380"/>
      <c r="AF277" s="380"/>
      <c r="AG277" s="380"/>
      <c r="AH277" s="380"/>
      <c r="AI277" s="380"/>
      <c r="AJ277" s="380"/>
      <c r="AK277" s="403"/>
      <c r="AL277" s="380"/>
      <c r="AM277" s="380"/>
      <c r="AN277" s="380"/>
      <c r="AO277" s="380"/>
      <c r="AP277" s="380"/>
      <c r="AQ277" s="404"/>
      <c r="AR277" s="380"/>
      <c r="AS277" s="380"/>
      <c r="AT277" s="380"/>
      <c r="AU277" s="380"/>
      <c r="AV277" s="380"/>
      <c r="AW277" s="380"/>
      <c r="AX277" s="380"/>
      <c r="AY277" s="403"/>
      <c r="AZ277" s="380"/>
      <c r="BA277" s="380"/>
      <c r="BB277" s="380"/>
      <c r="BC277" s="380"/>
      <c r="BD277" s="380"/>
      <c r="BE277" s="404"/>
      <c r="BF277" s="380"/>
      <c r="BG277" s="380"/>
      <c r="BH277" s="380"/>
      <c r="BI277" s="380"/>
      <c r="BJ277" s="380"/>
      <c r="BK277" s="380"/>
      <c r="BL277" s="380"/>
      <c r="BM277" s="403"/>
      <c r="BS277" s="83"/>
      <c r="CA277" s="405"/>
      <c r="CG277" s="83"/>
      <c r="CO277" s="405"/>
      <c r="CU277" s="83"/>
      <c r="DC277" s="405"/>
      <c r="DI277" s="83"/>
      <c r="DQ277" s="405"/>
      <c r="DW277" s="83"/>
      <c r="EE277" s="405"/>
      <c r="EK277" s="83"/>
      <c r="ES277" s="405"/>
      <c r="EY277" s="83"/>
      <c r="FG277" s="405"/>
      <c r="FM277" s="83"/>
      <c r="FU277" s="405"/>
      <c r="GA277" s="83"/>
      <c r="GI277" s="405"/>
      <c r="GO277" s="83"/>
      <c r="GW277" s="405"/>
      <c r="HC277" s="83"/>
      <c r="HK277" s="405"/>
      <c r="HQ277" s="83"/>
      <c r="HY277" s="405"/>
      <c r="IE277" s="83"/>
      <c r="IM277" s="405"/>
      <c r="IS277" s="83"/>
      <c r="JA277" s="405"/>
      <c r="JG277" s="83"/>
      <c r="JO277" s="405"/>
      <c r="JU277" s="83"/>
      <c r="KC277" s="405"/>
      <c r="KI277" s="83"/>
      <c r="KQ277" s="405"/>
      <c r="KW277" s="83"/>
      <c r="LE277" s="405"/>
      <c r="LK277" s="83"/>
      <c r="LS277" s="405"/>
      <c r="LY277" s="83"/>
      <c r="MG277" s="405"/>
      <c r="MM277" s="83"/>
      <c r="MU277" s="405"/>
      <c r="NA277" s="83"/>
    </row>
    <row r="278">
      <c r="A278" s="483"/>
      <c r="B278" s="380"/>
      <c r="C278" s="380"/>
      <c r="D278" s="380"/>
      <c r="E278" s="380"/>
      <c r="F278" s="380"/>
      <c r="G278" s="380"/>
      <c r="H278" s="380"/>
      <c r="I278" s="403"/>
      <c r="J278" s="380"/>
      <c r="K278" s="380"/>
      <c r="L278" s="380"/>
      <c r="M278" s="380"/>
      <c r="N278" s="380"/>
      <c r="O278" s="404"/>
      <c r="P278" s="380"/>
      <c r="Q278" s="380"/>
      <c r="R278" s="380"/>
      <c r="S278" s="380"/>
      <c r="T278" s="380"/>
      <c r="U278" s="380"/>
      <c r="V278" s="380"/>
      <c r="W278" s="403"/>
      <c r="X278" s="380"/>
      <c r="Y278" s="380"/>
      <c r="Z278" s="380"/>
      <c r="AA278" s="380"/>
      <c r="AB278" s="380"/>
      <c r="AC278" s="404"/>
      <c r="AD278" s="380"/>
      <c r="AE278" s="380"/>
      <c r="AF278" s="380"/>
      <c r="AG278" s="380"/>
      <c r="AH278" s="380"/>
      <c r="AI278" s="380"/>
      <c r="AJ278" s="380"/>
      <c r="AK278" s="403"/>
      <c r="AL278" s="380"/>
      <c r="AM278" s="380"/>
      <c r="AN278" s="380"/>
      <c r="AO278" s="380"/>
      <c r="AP278" s="380"/>
      <c r="AQ278" s="404"/>
      <c r="AR278" s="380"/>
      <c r="AS278" s="380"/>
      <c r="AT278" s="380"/>
      <c r="AU278" s="380"/>
      <c r="AV278" s="380"/>
      <c r="AW278" s="380"/>
      <c r="AX278" s="380"/>
      <c r="AY278" s="403"/>
      <c r="AZ278" s="380"/>
      <c r="BA278" s="380"/>
      <c r="BB278" s="380"/>
      <c r="BC278" s="380"/>
      <c r="BD278" s="380"/>
      <c r="BE278" s="404"/>
      <c r="BF278" s="380"/>
      <c r="BG278" s="380"/>
      <c r="BH278" s="380"/>
      <c r="BI278" s="380"/>
      <c r="BJ278" s="380"/>
      <c r="BK278" s="380"/>
      <c r="BL278" s="380"/>
      <c r="BM278" s="403"/>
      <c r="BS278" s="83"/>
      <c r="CA278" s="405"/>
      <c r="CG278" s="83"/>
      <c r="CO278" s="405"/>
      <c r="CU278" s="83"/>
      <c r="DC278" s="405"/>
      <c r="DI278" s="83"/>
      <c r="DQ278" s="405"/>
      <c r="DW278" s="83"/>
      <c r="EE278" s="405"/>
      <c r="EK278" s="83"/>
      <c r="ES278" s="405"/>
      <c r="EY278" s="83"/>
      <c r="FG278" s="405"/>
      <c r="FM278" s="83"/>
      <c r="FU278" s="405"/>
      <c r="GA278" s="83"/>
      <c r="GI278" s="405"/>
      <c r="GO278" s="83"/>
      <c r="GW278" s="405"/>
      <c r="HC278" s="83"/>
      <c r="HK278" s="405"/>
      <c r="HQ278" s="83"/>
      <c r="HY278" s="405"/>
      <c r="IE278" s="83"/>
      <c r="IM278" s="405"/>
      <c r="IS278" s="83"/>
      <c r="JA278" s="405"/>
      <c r="JG278" s="83"/>
      <c r="JO278" s="405"/>
      <c r="JU278" s="83"/>
      <c r="KC278" s="405"/>
      <c r="KI278" s="83"/>
      <c r="KQ278" s="405"/>
      <c r="KW278" s="83"/>
      <c r="LE278" s="405"/>
      <c r="LK278" s="83"/>
      <c r="LS278" s="405"/>
      <c r="LY278" s="83"/>
      <c r="MG278" s="405"/>
      <c r="MM278" s="83"/>
      <c r="MU278" s="405"/>
      <c r="NA278" s="83"/>
    </row>
    <row r="279">
      <c r="A279" s="483"/>
      <c r="B279" s="380"/>
      <c r="C279" s="380"/>
      <c r="D279" s="380"/>
      <c r="E279" s="380"/>
      <c r="F279" s="380"/>
      <c r="G279" s="380"/>
      <c r="H279" s="380"/>
      <c r="I279" s="403"/>
      <c r="J279" s="380"/>
      <c r="K279" s="380"/>
      <c r="L279" s="380"/>
      <c r="M279" s="380"/>
      <c r="N279" s="380"/>
      <c r="O279" s="404"/>
      <c r="P279" s="380"/>
      <c r="Q279" s="380"/>
      <c r="R279" s="380"/>
      <c r="S279" s="380"/>
      <c r="T279" s="380"/>
      <c r="U279" s="380"/>
      <c r="V279" s="380"/>
      <c r="W279" s="403"/>
      <c r="X279" s="380"/>
      <c r="Y279" s="380"/>
      <c r="Z279" s="380"/>
      <c r="AA279" s="380"/>
      <c r="AB279" s="380"/>
      <c r="AC279" s="404"/>
      <c r="AD279" s="380"/>
      <c r="AE279" s="380"/>
      <c r="AF279" s="380"/>
      <c r="AG279" s="380"/>
      <c r="AH279" s="380"/>
      <c r="AI279" s="380"/>
      <c r="AJ279" s="380"/>
      <c r="AK279" s="403"/>
      <c r="AL279" s="380"/>
      <c r="AM279" s="380"/>
      <c r="AN279" s="380"/>
      <c r="AO279" s="380"/>
      <c r="AP279" s="380"/>
      <c r="AQ279" s="404"/>
      <c r="AR279" s="380"/>
      <c r="AS279" s="380"/>
      <c r="AT279" s="380"/>
      <c r="AU279" s="380"/>
      <c r="AV279" s="380"/>
      <c r="AW279" s="380"/>
      <c r="AX279" s="380"/>
      <c r="AY279" s="403"/>
      <c r="AZ279" s="380"/>
      <c r="BA279" s="380"/>
      <c r="BB279" s="380"/>
      <c r="BC279" s="380"/>
      <c r="BD279" s="380"/>
      <c r="BE279" s="404"/>
      <c r="BF279" s="380"/>
      <c r="BG279" s="380"/>
      <c r="BH279" s="380"/>
      <c r="BI279" s="380"/>
      <c r="BJ279" s="380"/>
      <c r="BK279" s="380"/>
      <c r="BL279" s="380"/>
      <c r="BM279" s="403"/>
      <c r="BS279" s="83"/>
      <c r="CA279" s="405"/>
      <c r="CG279" s="83"/>
      <c r="CO279" s="405"/>
      <c r="CU279" s="83"/>
      <c r="DC279" s="405"/>
      <c r="DI279" s="83"/>
      <c r="DQ279" s="405"/>
      <c r="DW279" s="83"/>
      <c r="EE279" s="405"/>
      <c r="EK279" s="83"/>
      <c r="ES279" s="405"/>
      <c r="EY279" s="83"/>
      <c r="FG279" s="405"/>
      <c r="FM279" s="83"/>
      <c r="FU279" s="405"/>
      <c r="GA279" s="83"/>
      <c r="GI279" s="405"/>
      <c r="GO279" s="83"/>
      <c r="GW279" s="405"/>
      <c r="HC279" s="83"/>
      <c r="HK279" s="405"/>
      <c r="HQ279" s="83"/>
      <c r="HY279" s="405"/>
      <c r="IE279" s="83"/>
      <c r="IM279" s="405"/>
      <c r="IS279" s="83"/>
      <c r="JA279" s="405"/>
      <c r="JG279" s="83"/>
      <c r="JO279" s="405"/>
      <c r="JU279" s="83"/>
      <c r="KC279" s="405"/>
      <c r="KI279" s="83"/>
      <c r="KQ279" s="405"/>
      <c r="KW279" s="83"/>
      <c r="LE279" s="405"/>
      <c r="LK279" s="83"/>
      <c r="LS279" s="405"/>
      <c r="LY279" s="83"/>
      <c r="MG279" s="405"/>
      <c r="MM279" s="83"/>
      <c r="MU279" s="405"/>
      <c r="NA279" s="83"/>
    </row>
    <row r="280">
      <c r="A280" s="483"/>
      <c r="B280" s="380"/>
      <c r="C280" s="380"/>
      <c r="D280" s="380"/>
      <c r="E280" s="380"/>
      <c r="F280" s="380"/>
      <c r="G280" s="380"/>
      <c r="H280" s="380"/>
      <c r="I280" s="403"/>
      <c r="J280" s="380"/>
      <c r="K280" s="380"/>
      <c r="L280" s="380"/>
      <c r="M280" s="380"/>
      <c r="N280" s="380"/>
      <c r="O280" s="404"/>
      <c r="P280" s="380"/>
      <c r="Q280" s="380"/>
      <c r="R280" s="380"/>
      <c r="S280" s="380"/>
      <c r="T280" s="380"/>
      <c r="U280" s="380"/>
      <c r="V280" s="380"/>
      <c r="W280" s="403"/>
      <c r="X280" s="380"/>
      <c r="Y280" s="380"/>
      <c r="Z280" s="380"/>
      <c r="AA280" s="380"/>
      <c r="AB280" s="380"/>
      <c r="AC280" s="404"/>
      <c r="AD280" s="380"/>
      <c r="AE280" s="380"/>
      <c r="AF280" s="380"/>
      <c r="AG280" s="380"/>
      <c r="AH280" s="380"/>
      <c r="AI280" s="380"/>
      <c r="AJ280" s="380"/>
      <c r="AK280" s="403"/>
      <c r="AL280" s="380"/>
      <c r="AM280" s="380"/>
      <c r="AN280" s="380"/>
      <c r="AO280" s="380"/>
      <c r="AP280" s="380"/>
      <c r="AQ280" s="404"/>
      <c r="AR280" s="380"/>
      <c r="AS280" s="380"/>
      <c r="AT280" s="380"/>
      <c r="AU280" s="380"/>
      <c r="AV280" s="380"/>
      <c r="AW280" s="380"/>
      <c r="AX280" s="380"/>
      <c r="AY280" s="403"/>
      <c r="AZ280" s="380"/>
      <c r="BA280" s="380"/>
      <c r="BB280" s="380"/>
      <c r="BC280" s="380"/>
      <c r="BD280" s="380"/>
      <c r="BE280" s="404"/>
      <c r="BF280" s="380"/>
      <c r="BG280" s="380"/>
      <c r="BH280" s="380"/>
      <c r="BI280" s="380"/>
      <c r="BJ280" s="380"/>
      <c r="BK280" s="380"/>
      <c r="BL280" s="380"/>
      <c r="BM280" s="403"/>
      <c r="BS280" s="83"/>
      <c r="CA280" s="405"/>
      <c r="CG280" s="83"/>
      <c r="CO280" s="405"/>
      <c r="CU280" s="83"/>
      <c r="DC280" s="405"/>
      <c r="DI280" s="83"/>
      <c r="DQ280" s="405"/>
      <c r="DW280" s="83"/>
      <c r="EE280" s="405"/>
      <c r="EK280" s="83"/>
      <c r="ES280" s="405"/>
      <c r="EY280" s="83"/>
      <c r="FG280" s="405"/>
      <c r="FM280" s="83"/>
      <c r="FU280" s="405"/>
      <c r="GA280" s="83"/>
      <c r="GI280" s="405"/>
      <c r="GO280" s="83"/>
      <c r="GW280" s="405"/>
      <c r="HC280" s="83"/>
      <c r="HK280" s="405"/>
      <c r="HQ280" s="83"/>
      <c r="HY280" s="405"/>
      <c r="IE280" s="83"/>
      <c r="IM280" s="405"/>
      <c r="IS280" s="83"/>
      <c r="JA280" s="405"/>
      <c r="JG280" s="83"/>
      <c r="JO280" s="405"/>
      <c r="JU280" s="83"/>
      <c r="KC280" s="405"/>
      <c r="KI280" s="83"/>
      <c r="KQ280" s="405"/>
      <c r="KW280" s="83"/>
      <c r="LE280" s="405"/>
      <c r="LK280" s="83"/>
      <c r="LS280" s="405"/>
      <c r="LY280" s="83"/>
      <c r="MG280" s="405"/>
      <c r="MM280" s="83"/>
      <c r="MU280" s="405"/>
      <c r="NA280" s="83"/>
    </row>
    <row r="281">
      <c r="A281" s="483"/>
      <c r="B281" s="380"/>
      <c r="C281" s="380"/>
      <c r="D281" s="380"/>
      <c r="E281" s="380"/>
      <c r="F281" s="380"/>
      <c r="G281" s="380"/>
      <c r="H281" s="380"/>
      <c r="I281" s="403"/>
      <c r="J281" s="380"/>
      <c r="K281" s="380"/>
      <c r="L281" s="380"/>
      <c r="M281" s="380"/>
      <c r="N281" s="380"/>
      <c r="O281" s="404"/>
      <c r="P281" s="380"/>
      <c r="Q281" s="380"/>
      <c r="R281" s="380"/>
      <c r="S281" s="380"/>
      <c r="T281" s="380"/>
      <c r="U281" s="380"/>
      <c r="V281" s="380"/>
      <c r="W281" s="403"/>
      <c r="X281" s="380"/>
      <c r="Y281" s="380"/>
      <c r="Z281" s="380"/>
      <c r="AA281" s="380"/>
      <c r="AB281" s="380"/>
      <c r="AC281" s="404"/>
      <c r="AD281" s="380"/>
      <c r="AE281" s="380"/>
      <c r="AF281" s="380"/>
      <c r="AG281" s="380"/>
      <c r="AH281" s="380"/>
      <c r="AI281" s="380"/>
      <c r="AJ281" s="380"/>
      <c r="AK281" s="403"/>
      <c r="AL281" s="380"/>
      <c r="AM281" s="380"/>
      <c r="AN281" s="380"/>
      <c r="AO281" s="380"/>
      <c r="AP281" s="380"/>
      <c r="AQ281" s="404"/>
      <c r="AR281" s="380"/>
      <c r="AS281" s="380"/>
      <c r="AT281" s="380"/>
      <c r="AU281" s="380"/>
      <c r="AV281" s="380"/>
      <c r="AW281" s="380"/>
      <c r="AX281" s="380"/>
      <c r="AY281" s="403"/>
      <c r="AZ281" s="380"/>
      <c r="BA281" s="380"/>
      <c r="BB281" s="380"/>
      <c r="BC281" s="380"/>
      <c r="BD281" s="380"/>
      <c r="BE281" s="404"/>
      <c r="BF281" s="380"/>
      <c r="BG281" s="380"/>
      <c r="BH281" s="380"/>
      <c r="BI281" s="380"/>
      <c r="BJ281" s="380"/>
      <c r="BK281" s="380"/>
      <c r="BL281" s="380"/>
      <c r="BM281" s="403"/>
      <c r="BS281" s="83"/>
      <c r="CA281" s="405"/>
      <c r="CG281" s="83"/>
      <c r="CO281" s="405"/>
      <c r="CU281" s="83"/>
      <c r="DC281" s="405"/>
      <c r="DI281" s="83"/>
      <c r="DQ281" s="405"/>
      <c r="DW281" s="83"/>
      <c r="EE281" s="405"/>
      <c r="EK281" s="83"/>
      <c r="ES281" s="405"/>
      <c r="EY281" s="83"/>
      <c r="FG281" s="405"/>
      <c r="FM281" s="83"/>
      <c r="FU281" s="405"/>
      <c r="GA281" s="83"/>
      <c r="GI281" s="405"/>
      <c r="GO281" s="83"/>
      <c r="GW281" s="405"/>
      <c r="HC281" s="83"/>
      <c r="HK281" s="405"/>
      <c r="HQ281" s="83"/>
      <c r="HY281" s="405"/>
      <c r="IE281" s="83"/>
      <c r="IM281" s="405"/>
      <c r="IS281" s="83"/>
      <c r="JA281" s="405"/>
      <c r="JG281" s="83"/>
      <c r="JO281" s="405"/>
      <c r="JU281" s="83"/>
      <c r="KC281" s="405"/>
      <c r="KI281" s="83"/>
      <c r="KQ281" s="405"/>
      <c r="KW281" s="83"/>
      <c r="LE281" s="405"/>
      <c r="LK281" s="83"/>
      <c r="LS281" s="405"/>
      <c r="LY281" s="83"/>
      <c r="MG281" s="405"/>
      <c r="MM281" s="83"/>
      <c r="MU281" s="405"/>
      <c r="NA281" s="83"/>
    </row>
    <row r="282">
      <c r="A282" s="483"/>
      <c r="B282" s="380"/>
      <c r="C282" s="380"/>
      <c r="D282" s="380"/>
      <c r="E282" s="380"/>
      <c r="F282" s="380"/>
      <c r="G282" s="380"/>
      <c r="H282" s="380"/>
      <c r="I282" s="403"/>
      <c r="J282" s="380"/>
      <c r="K282" s="380"/>
      <c r="L282" s="380"/>
      <c r="M282" s="380"/>
      <c r="N282" s="380"/>
      <c r="O282" s="404"/>
      <c r="P282" s="380"/>
      <c r="Q282" s="380"/>
      <c r="R282" s="380"/>
      <c r="S282" s="380"/>
      <c r="T282" s="380"/>
      <c r="U282" s="380"/>
      <c r="V282" s="380"/>
      <c r="W282" s="403"/>
      <c r="X282" s="380"/>
      <c r="Y282" s="380"/>
      <c r="Z282" s="380"/>
      <c r="AA282" s="380"/>
      <c r="AB282" s="380"/>
      <c r="AC282" s="404"/>
      <c r="AD282" s="380"/>
      <c r="AE282" s="380"/>
      <c r="AF282" s="380"/>
      <c r="AG282" s="380"/>
      <c r="AH282" s="380"/>
      <c r="AI282" s="380"/>
      <c r="AJ282" s="380"/>
      <c r="AK282" s="403"/>
      <c r="AL282" s="380"/>
      <c r="AM282" s="380"/>
      <c r="AN282" s="380"/>
      <c r="AO282" s="380"/>
      <c r="AP282" s="380"/>
      <c r="AQ282" s="404"/>
      <c r="AR282" s="380"/>
      <c r="AS282" s="380"/>
      <c r="AT282" s="380"/>
      <c r="AU282" s="380"/>
      <c r="AV282" s="380"/>
      <c r="AW282" s="380"/>
      <c r="AX282" s="380"/>
      <c r="AY282" s="403"/>
      <c r="AZ282" s="380"/>
      <c r="BA282" s="380"/>
      <c r="BB282" s="380"/>
      <c r="BC282" s="380"/>
      <c r="BD282" s="380"/>
      <c r="BE282" s="404"/>
      <c r="BF282" s="380"/>
      <c r="BG282" s="380"/>
      <c r="BH282" s="380"/>
      <c r="BI282" s="380"/>
      <c r="BJ282" s="380"/>
      <c r="BK282" s="380"/>
      <c r="BL282" s="380"/>
      <c r="BM282" s="403"/>
      <c r="BS282" s="83"/>
      <c r="CA282" s="405"/>
      <c r="CG282" s="83"/>
      <c r="CO282" s="405"/>
      <c r="CU282" s="83"/>
      <c r="DC282" s="405"/>
      <c r="DI282" s="83"/>
      <c r="DQ282" s="405"/>
      <c r="DW282" s="83"/>
      <c r="EE282" s="405"/>
      <c r="EK282" s="83"/>
      <c r="ES282" s="405"/>
      <c r="EY282" s="83"/>
      <c r="FG282" s="405"/>
      <c r="FM282" s="83"/>
      <c r="FU282" s="405"/>
      <c r="GA282" s="83"/>
      <c r="GI282" s="405"/>
      <c r="GO282" s="83"/>
      <c r="GW282" s="405"/>
      <c r="HC282" s="83"/>
      <c r="HK282" s="405"/>
      <c r="HQ282" s="83"/>
      <c r="HY282" s="405"/>
      <c r="IE282" s="83"/>
      <c r="IM282" s="405"/>
      <c r="IS282" s="83"/>
      <c r="JA282" s="405"/>
      <c r="JG282" s="83"/>
      <c r="JO282" s="405"/>
      <c r="JU282" s="83"/>
      <c r="KC282" s="405"/>
      <c r="KI282" s="83"/>
      <c r="KQ282" s="405"/>
      <c r="KW282" s="83"/>
      <c r="LE282" s="405"/>
      <c r="LK282" s="83"/>
      <c r="LS282" s="405"/>
      <c r="LY282" s="83"/>
      <c r="MG282" s="405"/>
      <c r="MM282" s="83"/>
      <c r="MU282" s="405"/>
      <c r="NA282" s="83"/>
    </row>
    <row r="283">
      <c r="A283" s="483"/>
      <c r="B283" s="380"/>
      <c r="C283" s="380"/>
      <c r="D283" s="380"/>
      <c r="E283" s="380"/>
      <c r="F283" s="380"/>
      <c r="G283" s="380"/>
      <c r="H283" s="380"/>
      <c r="I283" s="403"/>
      <c r="J283" s="380"/>
      <c r="K283" s="380"/>
      <c r="L283" s="380"/>
      <c r="M283" s="380"/>
      <c r="N283" s="380"/>
      <c r="O283" s="404"/>
      <c r="P283" s="380"/>
      <c r="Q283" s="380"/>
      <c r="R283" s="380"/>
      <c r="S283" s="380"/>
      <c r="T283" s="380"/>
      <c r="U283" s="380"/>
      <c r="V283" s="380"/>
      <c r="W283" s="403"/>
      <c r="X283" s="380"/>
      <c r="Y283" s="380"/>
      <c r="Z283" s="380"/>
      <c r="AA283" s="380"/>
      <c r="AB283" s="380"/>
      <c r="AC283" s="404"/>
      <c r="AD283" s="380"/>
      <c r="AE283" s="380"/>
      <c r="AF283" s="380"/>
      <c r="AG283" s="380"/>
      <c r="AH283" s="380"/>
      <c r="AI283" s="380"/>
      <c r="AJ283" s="380"/>
      <c r="AK283" s="403"/>
      <c r="AL283" s="380"/>
      <c r="AM283" s="380"/>
      <c r="AN283" s="380"/>
      <c r="AO283" s="380"/>
      <c r="AP283" s="380"/>
      <c r="AQ283" s="404"/>
      <c r="AR283" s="380"/>
      <c r="AS283" s="380"/>
      <c r="AT283" s="380"/>
      <c r="AU283" s="380"/>
      <c r="AV283" s="380"/>
      <c r="AW283" s="380"/>
      <c r="AX283" s="380"/>
      <c r="AY283" s="403"/>
      <c r="AZ283" s="380"/>
      <c r="BA283" s="380"/>
      <c r="BB283" s="380"/>
      <c r="BC283" s="380"/>
      <c r="BD283" s="380"/>
      <c r="BE283" s="404"/>
      <c r="BF283" s="380"/>
      <c r="BG283" s="380"/>
      <c r="BH283" s="380"/>
      <c r="BI283" s="380"/>
      <c r="BJ283" s="380"/>
      <c r="BK283" s="380"/>
      <c r="BL283" s="380"/>
      <c r="BM283" s="403"/>
      <c r="BS283" s="83"/>
      <c r="CA283" s="405"/>
      <c r="CG283" s="83"/>
      <c r="CO283" s="405"/>
      <c r="CU283" s="83"/>
      <c r="DC283" s="405"/>
      <c r="DI283" s="83"/>
      <c r="DQ283" s="405"/>
      <c r="DW283" s="83"/>
      <c r="EE283" s="405"/>
      <c r="EK283" s="83"/>
      <c r="ES283" s="405"/>
      <c r="EY283" s="83"/>
      <c r="FG283" s="405"/>
      <c r="FM283" s="83"/>
      <c r="FU283" s="405"/>
      <c r="GA283" s="83"/>
      <c r="GI283" s="405"/>
      <c r="GO283" s="83"/>
      <c r="GW283" s="405"/>
      <c r="HC283" s="83"/>
      <c r="HK283" s="405"/>
      <c r="HQ283" s="83"/>
      <c r="HY283" s="405"/>
      <c r="IE283" s="83"/>
      <c r="IM283" s="405"/>
      <c r="IS283" s="83"/>
      <c r="JA283" s="405"/>
      <c r="JG283" s="83"/>
      <c r="JO283" s="405"/>
      <c r="JU283" s="83"/>
      <c r="KC283" s="405"/>
      <c r="KI283" s="83"/>
      <c r="KQ283" s="405"/>
      <c r="KW283" s="83"/>
      <c r="LE283" s="405"/>
      <c r="LK283" s="83"/>
      <c r="LS283" s="405"/>
      <c r="LY283" s="83"/>
      <c r="MG283" s="405"/>
      <c r="MM283" s="83"/>
      <c r="MU283" s="405"/>
      <c r="NA283" s="83"/>
    </row>
    <row r="284">
      <c r="A284" s="483"/>
      <c r="B284" s="380"/>
      <c r="C284" s="380"/>
      <c r="D284" s="380"/>
      <c r="E284" s="380"/>
      <c r="F284" s="380"/>
      <c r="G284" s="380"/>
      <c r="H284" s="380"/>
      <c r="I284" s="403"/>
      <c r="J284" s="380"/>
      <c r="K284" s="380"/>
      <c r="L284" s="380"/>
      <c r="M284" s="380"/>
      <c r="N284" s="380"/>
      <c r="O284" s="404"/>
      <c r="P284" s="380"/>
      <c r="Q284" s="380"/>
      <c r="R284" s="380"/>
      <c r="S284" s="380"/>
      <c r="T284" s="380"/>
      <c r="U284" s="380"/>
      <c r="V284" s="380"/>
      <c r="W284" s="403"/>
      <c r="X284" s="380"/>
      <c r="Y284" s="380"/>
      <c r="Z284" s="380"/>
      <c r="AA284" s="380"/>
      <c r="AB284" s="380"/>
      <c r="AC284" s="404"/>
      <c r="AD284" s="380"/>
      <c r="AE284" s="380"/>
      <c r="AF284" s="380"/>
      <c r="AG284" s="380"/>
      <c r="AH284" s="380"/>
      <c r="AI284" s="380"/>
      <c r="AJ284" s="380"/>
      <c r="AK284" s="403"/>
      <c r="AL284" s="380"/>
      <c r="AM284" s="380"/>
      <c r="AN284" s="380"/>
      <c r="AO284" s="380"/>
      <c r="AP284" s="380"/>
      <c r="AQ284" s="404"/>
      <c r="AR284" s="380"/>
      <c r="AS284" s="380"/>
      <c r="AT284" s="380"/>
      <c r="AU284" s="380"/>
      <c r="AV284" s="380"/>
      <c r="AW284" s="380"/>
      <c r="AX284" s="380"/>
      <c r="AY284" s="403"/>
      <c r="AZ284" s="380"/>
      <c r="BA284" s="380"/>
      <c r="BB284" s="380"/>
      <c r="BC284" s="380"/>
      <c r="BD284" s="380"/>
      <c r="BE284" s="404"/>
      <c r="BF284" s="380"/>
      <c r="BG284" s="380"/>
      <c r="BH284" s="380"/>
      <c r="BI284" s="380"/>
      <c r="BJ284" s="380"/>
      <c r="BK284" s="380"/>
      <c r="BL284" s="380"/>
      <c r="BM284" s="403"/>
      <c r="BS284" s="83"/>
      <c r="CA284" s="405"/>
      <c r="CG284" s="83"/>
      <c r="CO284" s="405"/>
      <c r="CU284" s="83"/>
      <c r="DC284" s="405"/>
      <c r="DI284" s="83"/>
      <c r="DQ284" s="405"/>
      <c r="DW284" s="83"/>
      <c r="EE284" s="405"/>
      <c r="EK284" s="83"/>
      <c r="ES284" s="405"/>
      <c r="EY284" s="83"/>
      <c r="FG284" s="405"/>
      <c r="FM284" s="83"/>
      <c r="FU284" s="405"/>
      <c r="GA284" s="83"/>
      <c r="GI284" s="405"/>
      <c r="GO284" s="83"/>
      <c r="GW284" s="405"/>
      <c r="HC284" s="83"/>
      <c r="HK284" s="405"/>
      <c r="HQ284" s="83"/>
      <c r="HY284" s="405"/>
      <c r="IE284" s="83"/>
      <c r="IM284" s="405"/>
      <c r="IS284" s="83"/>
      <c r="JA284" s="405"/>
      <c r="JG284" s="83"/>
      <c r="JO284" s="405"/>
      <c r="JU284" s="83"/>
      <c r="KC284" s="405"/>
      <c r="KI284" s="83"/>
      <c r="KQ284" s="405"/>
      <c r="KW284" s="83"/>
      <c r="LE284" s="405"/>
      <c r="LK284" s="83"/>
      <c r="LS284" s="405"/>
      <c r="LY284" s="83"/>
      <c r="MG284" s="405"/>
      <c r="MM284" s="83"/>
      <c r="MU284" s="405"/>
      <c r="NA284" s="83"/>
    </row>
    <row r="285">
      <c r="A285" s="483"/>
      <c r="B285" s="380"/>
      <c r="C285" s="380"/>
      <c r="D285" s="380"/>
      <c r="E285" s="380"/>
      <c r="F285" s="380"/>
      <c r="G285" s="380"/>
      <c r="H285" s="380"/>
      <c r="I285" s="403"/>
      <c r="J285" s="380"/>
      <c r="K285" s="380"/>
      <c r="L285" s="380"/>
      <c r="M285" s="380"/>
      <c r="N285" s="380"/>
      <c r="O285" s="404"/>
      <c r="P285" s="380"/>
      <c r="Q285" s="380"/>
      <c r="R285" s="380"/>
      <c r="S285" s="380"/>
      <c r="T285" s="380"/>
      <c r="U285" s="380"/>
      <c r="V285" s="380"/>
      <c r="W285" s="403"/>
      <c r="X285" s="380"/>
      <c r="Y285" s="380"/>
      <c r="Z285" s="380"/>
      <c r="AA285" s="380"/>
      <c r="AB285" s="380"/>
      <c r="AC285" s="404"/>
      <c r="AD285" s="380"/>
      <c r="AE285" s="380"/>
      <c r="AF285" s="380"/>
      <c r="AG285" s="380"/>
      <c r="AH285" s="380"/>
      <c r="AI285" s="380"/>
      <c r="AJ285" s="380"/>
      <c r="AK285" s="403"/>
      <c r="AL285" s="380"/>
      <c r="AM285" s="380"/>
      <c r="AN285" s="380"/>
      <c r="AO285" s="380"/>
      <c r="AP285" s="380"/>
      <c r="AQ285" s="404"/>
      <c r="AR285" s="380"/>
      <c r="AS285" s="380"/>
      <c r="AT285" s="380"/>
      <c r="AU285" s="380"/>
      <c r="AV285" s="380"/>
      <c r="AW285" s="380"/>
      <c r="AX285" s="380"/>
      <c r="AY285" s="403"/>
      <c r="AZ285" s="380"/>
      <c r="BA285" s="380"/>
      <c r="BB285" s="380"/>
      <c r="BC285" s="380"/>
      <c r="BD285" s="380"/>
      <c r="BE285" s="404"/>
      <c r="BF285" s="380"/>
      <c r="BG285" s="380"/>
      <c r="BH285" s="380"/>
      <c r="BI285" s="380"/>
      <c r="BJ285" s="380"/>
      <c r="BK285" s="380"/>
      <c r="BL285" s="380"/>
      <c r="BM285" s="403"/>
      <c r="BS285" s="83"/>
      <c r="CA285" s="405"/>
      <c r="CG285" s="83"/>
      <c r="CO285" s="405"/>
      <c r="CU285" s="83"/>
      <c r="DC285" s="405"/>
      <c r="DI285" s="83"/>
      <c r="DQ285" s="405"/>
      <c r="DW285" s="83"/>
      <c r="EE285" s="405"/>
      <c r="EK285" s="83"/>
      <c r="ES285" s="405"/>
      <c r="EY285" s="83"/>
      <c r="FG285" s="405"/>
      <c r="FM285" s="83"/>
      <c r="FU285" s="405"/>
      <c r="GA285" s="83"/>
      <c r="GI285" s="405"/>
      <c r="GO285" s="83"/>
      <c r="GW285" s="405"/>
      <c r="HC285" s="83"/>
      <c r="HK285" s="405"/>
      <c r="HQ285" s="83"/>
      <c r="HY285" s="405"/>
      <c r="IE285" s="83"/>
      <c r="IM285" s="405"/>
      <c r="IS285" s="83"/>
      <c r="JA285" s="405"/>
      <c r="JG285" s="83"/>
      <c r="JO285" s="405"/>
      <c r="JU285" s="83"/>
      <c r="KC285" s="405"/>
      <c r="KI285" s="83"/>
      <c r="KQ285" s="405"/>
      <c r="KW285" s="83"/>
      <c r="LE285" s="405"/>
      <c r="LK285" s="83"/>
      <c r="LS285" s="405"/>
      <c r="LY285" s="83"/>
      <c r="MG285" s="405"/>
      <c r="MM285" s="83"/>
      <c r="MU285" s="405"/>
      <c r="NA285" s="83"/>
    </row>
    <row r="286">
      <c r="A286" s="483"/>
      <c r="B286" s="380"/>
      <c r="C286" s="380"/>
      <c r="D286" s="380"/>
      <c r="E286" s="380"/>
      <c r="F286" s="380"/>
      <c r="G286" s="380"/>
      <c r="H286" s="380"/>
      <c r="I286" s="403"/>
      <c r="J286" s="380"/>
      <c r="K286" s="380"/>
      <c r="L286" s="380"/>
      <c r="M286" s="380"/>
      <c r="N286" s="380"/>
      <c r="O286" s="404"/>
      <c r="P286" s="380"/>
      <c r="Q286" s="380"/>
      <c r="R286" s="380"/>
      <c r="S286" s="380"/>
      <c r="T286" s="380"/>
      <c r="U286" s="380"/>
      <c r="V286" s="380"/>
      <c r="W286" s="403"/>
      <c r="X286" s="380"/>
      <c r="Y286" s="380"/>
      <c r="Z286" s="380"/>
      <c r="AA286" s="380"/>
      <c r="AB286" s="380"/>
      <c r="AC286" s="404"/>
      <c r="AD286" s="380"/>
      <c r="AE286" s="380"/>
      <c r="AF286" s="380"/>
      <c r="AG286" s="380"/>
      <c r="AH286" s="380"/>
      <c r="AI286" s="380"/>
      <c r="AJ286" s="380"/>
      <c r="AK286" s="403"/>
      <c r="AL286" s="380"/>
      <c r="AM286" s="380"/>
      <c r="AN286" s="380"/>
      <c r="AO286" s="380"/>
      <c r="AP286" s="380"/>
      <c r="AQ286" s="404"/>
      <c r="AR286" s="380"/>
      <c r="AS286" s="380"/>
      <c r="AT286" s="380"/>
      <c r="AU286" s="380"/>
      <c r="AV286" s="380"/>
      <c r="AW286" s="380"/>
      <c r="AX286" s="380"/>
      <c r="AY286" s="403"/>
      <c r="AZ286" s="380"/>
      <c r="BA286" s="380"/>
      <c r="BB286" s="380"/>
      <c r="BC286" s="380"/>
      <c r="BD286" s="380"/>
      <c r="BE286" s="404"/>
      <c r="BF286" s="380"/>
      <c r="BG286" s="380"/>
      <c r="BH286" s="380"/>
      <c r="BI286" s="380"/>
      <c r="BJ286" s="380"/>
      <c r="BK286" s="380"/>
      <c r="BL286" s="380"/>
      <c r="BM286" s="403"/>
      <c r="BS286" s="83"/>
      <c r="CA286" s="405"/>
      <c r="CG286" s="83"/>
      <c r="CO286" s="405"/>
      <c r="CU286" s="83"/>
      <c r="DC286" s="405"/>
      <c r="DI286" s="83"/>
      <c r="DQ286" s="405"/>
      <c r="DW286" s="83"/>
      <c r="EE286" s="405"/>
      <c r="EK286" s="83"/>
      <c r="ES286" s="405"/>
      <c r="EY286" s="83"/>
      <c r="FG286" s="405"/>
      <c r="FM286" s="83"/>
      <c r="FU286" s="405"/>
      <c r="GA286" s="83"/>
      <c r="GI286" s="405"/>
      <c r="GO286" s="83"/>
      <c r="GW286" s="405"/>
      <c r="HC286" s="83"/>
      <c r="HK286" s="405"/>
      <c r="HQ286" s="83"/>
      <c r="HY286" s="405"/>
      <c r="IE286" s="83"/>
      <c r="IM286" s="405"/>
      <c r="IS286" s="83"/>
      <c r="JA286" s="405"/>
      <c r="JG286" s="83"/>
      <c r="JO286" s="405"/>
      <c r="JU286" s="83"/>
      <c r="KC286" s="405"/>
      <c r="KI286" s="83"/>
      <c r="KQ286" s="405"/>
      <c r="KW286" s="83"/>
      <c r="LE286" s="405"/>
      <c r="LK286" s="83"/>
      <c r="LS286" s="405"/>
      <c r="LY286" s="83"/>
      <c r="MG286" s="405"/>
      <c r="MM286" s="83"/>
      <c r="MU286" s="405"/>
      <c r="NA286" s="83"/>
    </row>
    <row r="287">
      <c r="A287" s="483"/>
      <c r="B287" s="380"/>
      <c r="C287" s="380"/>
      <c r="D287" s="380"/>
      <c r="E287" s="380"/>
      <c r="F287" s="380"/>
      <c r="G287" s="380"/>
      <c r="H287" s="380"/>
      <c r="I287" s="403"/>
      <c r="J287" s="380"/>
      <c r="K287" s="380"/>
      <c r="L287" s="380"/>
      <c r="M287" s="380"/>
      <c r="N287" s="380"/>
      <c r="O287" s="404"/>
      <c r="P287" s="380"/>
      <c r="Q287" s="380"/>
      <c r="R287" s="380"/>
      <c r="S287" s="380"/>
      <c r="T287" s="380"/>
      <c r="U287" s="380"/>
      <c r="V287" s="380"/>
      <c r="W287" s="403"/>
      <c r="X287" s="380"/>
      <c r="Y287" s="380"/>
      <c r="Z287" s="380"/>
      <c r="AA287" s="380"/>
      <c r="AB287" s="380"/>
      <c r="AC287" s="404"/>
      <c r="AD287" s="380"/>
      <c r="AE287" s="380"/>
      <c r="AF287" s="380"/>
      <c r="AG287" s="380"/>
      <c r="AH287" s="380"/>
      <c r="AI287" s="380"/>
      <c r="AJ287" s="380"/>
      <c r="AK287" s="403"/>
      <c r="AL287" s="380"/>
      <c r="AM287" s="380"/>
      <c r="AN287" s="380"/>
      <c r="AO287" s="380"/>
      <c r="AP287" s="380"/>
      <c r="AQ287" s="404"/>
      <c r="AR287" s="380"/>
      <c r="AS287" s="380"/>
      <c r="AT287" s="380"/>
      <c r="AU287" s="380"/>
      <c r="AV287" s="380"/>
      <c r="AW287" s="380"/>
      <c r="AX287" s="380"/>
      <c r="AY287" s="403"/>
      <c r="AZ287" s="380"/>
      <c r="BA287" s="380"/>
      <c r="BB287" s="380"/>
      <c r="BC287" s="380"/>
      <c r="BD287" s="380"/>
      <c r="BE287" s="404"/>
      <c r="BF287" s="380"/>
      <c r="BG287" s="380"/>
      <c r="BH287" s="380"/>
      <c r="BI287" s="380"/>
      <c r="BJ287" s="380"/>
      <c r="BK287" s="380"/>
      <c r="BL287" s="380"/>
      <c r="BM287" s="403"/>
      <c r="BS287" s="83"/>
      <c r="CA287" s="405"/>
      <c r="CG287" s="83"/>
      <c r="CO287" s="405"/>
      <c r="CU287" s="83"/>
      <c r="DC287" s="405"/>
      <c r="DI287" s="83"/>
      <c r="DQ287" s="405"/>
      <c r="DW287" s="83"/>
      <c r="EE287" s="405"/>
      <c r="EK287" s="83"/>
      <c r="ES287" s="405"/>
      <c r="EY287" s="83"/>
      <c r="FG287" s="405"/>
      <c r="FM287" s="83"/>
      <c r="FU287" s="405"/>
      <c r="GA287" s="83"/>
      <c r="GI287" s="405"/>
      <c r="GO287" s="83"/>
      <c r="GW287" s="405"/>
      <c r="HC287" s="83"/>
      <c r="HK287" s="405"/>
      <c r="HQ287" s="83"/>
      <c r="HY287" s="405"/>
      <c r="IE287" s="83"/>
      <c r="IM287" s="405"/>
      <c r="IS287" s="83"/>
      <c r="JA287" s="405"/>
      <c r="JG287" s="83"/>
      <c r="JO287" s="405"/>
      <c r="JU287" s="83"/>
      <c r="KC287" s="405"/>
      <c r="KI287" s="83"/>
      <c r="KQ287" s="405"/>
      <c r="KW287" s="83"/>
      <c r="LE287" s="405"/>
      <c r="LK287" s="83"/>
      <c r="LS287" s="405"/>
      <c r="LY287" s="83"/>
      <c r="MG287" s="405"/>
      <c r="MM287" s="83"/>
      <c r="MU287" s="405"/>
      <c r="NA287" s="83"/>
    </row>
    <row r="288">
      <c r="A288" s="483"/>
      <c r="B288" s="380"/>
      <c r="C288" s="380"/>
      <c r="D288" s="380"/>
      <c r="E288" s="380"/>
      <c r="F288" s="380"/>
      <c r="G288" s="380"/>
      <c r="H288" s="380"/>
      <c r="I288" s="403"/>
      <c r="J288" s="380"/>
      <c r="K288" s="380"/>
      <c r="L288" s="380"/>
      <c r="M288" s="380"/>
      <c r="N288" s="380"/>
      <c r="O288" s="404"/>
      <c r="P288" s="380"/>
      <c r="Q288" s="380"/>
      <c r="R288" s="380"/>
      <c r="S288" s="380"/>
      <c r="T288" s="380"/>
      <c r="U288" s="380"/>
      <c r="V288" s="380"/>
      <c r="W288" s="403"/>
      <c r="X288" s="380"/>
      <c r="Y288" s="380"/>
      <c r="Z288" s="380"/>
      <c r="AA288" s="380"/>
      <c r="AB288" s="380"/>
      <c r="AC288" s="404"/>
      <c r="AD288" s="380"/>
      <c r="AE288" s="380"/>
      <c r="AF288" s="380"/>
      <c r="AG288" s="380"/>
      <c r="AH288" s="380"/>
      <c r="AI288" s="380"/>
      <c r="AJ288" s="380"/>
      <c r="AK288" s="403"/>
      <c r="AL288" s="380"/>
      <c r="AM288" s="380"/>
      <c r="AN288" s="380"/>
      <c r="AO288" s="380"/>
      <c r="AP288" s="380"/>
      <c r="AQ288" s="404"/>
      <c r="AR288" s="380"/>
      <c r="AS288" s="380"/>
      <c r="AT288" s="380"/>
      <c r="AU288" s="380"/>
      <c r="AV288" s="380"/>
      <c r="AW288" s="380"/>
      <c r="AX288" s="380"/>
      <c r="AY288" s="403"/>
      <c r="AZ288" s="380"/>
      <c r="BA288" s="380"/>
      <c r="BB288" s="380"/>
      <c r="BC288" s="380"/>
      <c r="BD288" s="380"/>
      <c r="BE288" s="404"/>
      <c r="BF288" s="380"/>
      <c r="BG288" s="380"/>
      <c r="BH288" s="380"/>
      <c r="BI288" s="380"/>
      <c r="BJ288" s="380"/>
      <c r="BK288" s="380"/>
      <c r="BL288" s="380"/>
      <c r="BM288" s="403"/>
      <c r="BS288" s="83"/>
      <c r="CA288" s="405"/>
      <c r="CG288" s="83"/>
      <c r="CO288" s="405"/>
      <c r="CU288" s="83"/>
      <c r="DC288" s="405"/>
      <c r="DI288" s="83"/>
      <c r="DQ288" s="405"/>
      <c r="DW288" s="83"/>
      <c r="EE288" s="405"/>
      <c r="EK288" s="83"/>
      <c r="ES288" s="405"/>
      <c r="EY288" s="83"/>
      <c r="FG288" s="405"/>
      <c r="FM288" s="83"/>
      <c r="FU288" s="405"/>
      <c r="GA288" s="83"/>
      <c r="GI288" s="405"/>
      <c r="GO288" s="83"/>
      <c r="GW288" s="405"/>
      <c r="HC288" s="83"/>
      <c r="HK288" s="405"/>
      <c r="HQ288" s="83"/>
      <c r="HY288" s="405"/>
      <c r="IE288" s="83"/>
      <c r="IM288" s="405"/>
      <c r="IS288" s="83"/>
      <c r="JA288" s="405"/>
      <c r="JG288" s="83"/>
      <c r="JO288" s="405"/>
      <c r="JU288" s="83"/>
      <c r="KC288" s="405"/>
      <c r="KI288" s="83"/>
      <c r="KQ288" s="405"/>
      <c r="KW288" s="83"/>
      <c r="LE288" s="405"/>
      <c r="LK288" s="83"/>
      <c r="LS288" s="405"/>
      <c r="LY288" s="83"/>
      <c r="MG288" s="405"/>
      <c r="MM288" s="83"/>
      <c r="MU288" s="405"/>
      <c r="NA288" s="83"/>
    </row>
    <row r="289">
      <c r="A289" s="483"/>
      <c r="B289" s="380"/>
      <c r="C289" s="380"/>
      <c r="D289" s="380"/>
      <c r="E289" s="380"/>
      <c r="F289" s="380"/>
      <c r="G289" s="380"/>
      <c r="H289" s="380"/>
      <c r="I289" s="403"/>
      <c r="J289" s="380"/>
      <c r="K289" s="380"/>
      <c r="L289" s="380"/>
      <c r="M289" s="380"/>
      <c r="N289" s="380"/>
      <c r="O289" s="404"/>
      <c r="P289" s="380"/>
      <c r="Q289" s="380"/>
      <c r="R289" s="380"/>
      <c r="S289" s="380"/>
      <c r="T289" s="380"/>
      <c r="U289" s="380"/>
      <c r="V289" s="380"/>
      <c r="W289" s="403"/>
      <c r="X289" s="380"/>
      <c r="Y289" s="380"/>
      <c r="Z289" s="380"/>
      <c r="AA289" s="380"/>
      <c r="AB289" s="380"/>
      <c r="AC289" s="404"/>
      <c r="AD289" s="380"/>
      <c r="AE289" s="380"/>
      <c r="AF289" s="380"/>
      <c r="AG289" s="380"/>
      <c r="AH289" s="380"/>
      <c r="AI289" s="380"/>
      <c r="AJ289" s="380"/>
      <c r="AK289" s="403"/>
      <c r="AL289" s="380"/>
      <c r="AM289" s="380"/>
      <c r="AN289" s="380"/>
      <c r="AO289" s="380"/>
      <c r="AP289" s="380"/>
      <c r="AQ289" s="404"/>
      <c r="AR289" s="380"/>
      <c r="AS289" s="380"/>
      <c r="AT289" s="380"/>
      <c r="AU289" s="380"/>
      <c r="AV289" s="380"/>
      <c r="AW289" s="380"/>
      <c r="AX289" s="380"/>
      <c r="AY289" s="403"/>
      <c r="AZ289" s="380"/>
      <c r="BA289" s="380"/>
      <c r="BB289" s="380"/>
      <c r="BC289" s="380"/>
      <c r="BD289" s="380"/>
      <c r="BE289" s="404"/>
      <c r="BF289" s="380"/>
      <c r="BG289" s="380"/>
      <c r="BH289" s="380"/>
      <c r="BI289" s="380"/>
      <c r="BJ289" s="380"/>
      <c r="BK289" s="380"/>
      <c r="BL289" s="380"/>
      <c r="BM289" s="403"/>
      <c r="BS289" s="83"/>
      <c r="CA289" s="405"/>
      <c r="CG289" s="83"/>
      <c r="CO289" s="405"/>
      <c r="CU289" s="83"/>
      <c r="DC289" s="405"/>
      <c r="DI289" s="83"/>
      <c r="DQ289" s="405"/>
      <c r="DW289" s="83"/>
      <c r="EE289" s="405"/>
      <c r="EK289" s="83"/>
      <c r="ES289" s="405"/>
      <c r="EY289" s="83"/>
      <c r="FG289" s="405"/>
      <c r="FM289" s="83"/>
      <c r="FU289" s="405"/>
      <c r="GA289" s="83"/>
      <c r="GI289" s="405"/>
      <c r="GO289" s="83"/>
      <c r="GW289" s="405"/>
      <c r="HC289" s="83"/>
      <c r="HK289" s="405"/>
      <c r="HQ289" s="83"/>
      <c r="HY289" s="405"/>
      <c r="IE289" s="83"/>
      <c r="IM289" s="405"/>
      <c r="IS289" s="83"/>
      <c r="JA289" s="405"/>
      <c r="JG289" s="83"/>
      <c r="JO289" s="405"/>
      <c r="JU289" s="83"/>
      <c r="KC289" s="405"/>
      <c r="KI289" s="83"/>
      <c r="KQ289" s="405"/>
      <c r="KW289" s="83"/>
      <c r="LE289" s="405"/>
      <c r="LK289" s="83"/>
      <c r="LS289" s="405"/>
      <c r="LY289" s="83"/>
      <c r="MG289" s="405"/>
      <c r="MM289" s="83"/>
      <c r="MU289" s="405"/>
      <c r="NA289" s="83"/>
    </row>
    <row r="290">
      <c r="A290" s="483"/>
      <c r="B290" s="380"/>
      <c r="C290" s="380"/>
      <c r="D290" s="380"/>
      <c r="E290" s="380"/>
      <c r="F290" s="380"/>
      <c r="G290" s="380"/>
      <c r="H290" s="380"/>
      <c r="I290" s="403"/>
      <c r="J290" s="380"/>
      <c r="K290" s="380"/>
      <c r="L290" s="380"/>
      <c r="M290" s="380"/>
      <c r="N290" s="380"/>
      <c r="O290" s="404"/>
      <c r="P290" s="380"/>
      <c r="Q290" s="380"/>
      <c r="R290" s="380"/>
      <c r="S290" s="380"/>
      <c r="T290" s="380"/>
      <c r="U290" s="380"/>
      <c r="V290" s="380"/>
      <c r="W290" s="403"/>
      <c r="X290" s="380"/>
      <c r="Y290" s="380"/>
      <c r="Z290" s="380"/>
      <c r="AA290" s="380"/>
      <c r="AB290" s="380"/>
      <c r="AC290" s="404"/>
      <c r="AD290" s="380"/>
      <c r="AE290" s="380"/>
      <c r="AF290" s="380"/>
      <c r="AG290" s="380"/>
      <c r="AH290" s="380"/>
      <c r="AI290" s="380"/>
      <c r="AJ290" s="380"/>
      <c r="AK290" s="403"/>
      <c r="AL290" s="380"/>
      <c r="AM290" s="380"/>
      <c r="AN290" s="380"/>
      <c r="AO290" s="380"/>
      <c r="AP290" s="380"/>
      <c r="AQ290" s="404"/>
      <c r="AR290" s="380"/>
      <c r="AS290" s="380"/>
      <c r="AT290" s="380"/>
      <c r="AU290" s="380"/>
      <c r="AV290" s="380"/>
      <c r="AW290" s="380"/>
      <c r="AX290" s="380"/>
      <c r="AY290" s="403"/>
      <c r="AZ290" s="380"/>
      <c r="BA290" s="380"/>
      <c r="BB290" s="380"/>
      <c r="BC290" s="380"/>
      <c r="BD290" s="380"/>
      <c r="BE290" s="404"/>
      <c r="BF290" s="380"/>
      <c r="BG290" s="380"/>
      <c r="BH290" s="380"/>
      <c r="BI290" s="380"/>
      <c r="BJ290" s="380"/>
      <c r="BK290" s="380"/>
      <c r="BL290" s="380"/>
      <c r="BM290" s="403"/>
      <c r="BS290" s="83"/>
      <c r="CA290" s="405"/>
      <c r="CG290" s="83"/>
      <c r="CO290" s="405"/>
      <c r="CU290" s="83"/>
      <c r="DC290" s="405"/>
      <c r="DI290" s="83"/>
      <c r="DQ290" s="405"/>
      <c r="DW290" s="83"/>
      <c r="EE290" s="405"/>
      <c r="EK290" s="83"/>
      <c r="ES290" s="405"/>
      <c r="EY290" s="83"/>
      <c r="FG290" s="405"/>
      <c r="FM290" s="83"/>
      <c r="FU290" s="405"/>
      <c r="GA290" s="83"/>
      <c r="GI290" s="405"/>
      <c r="GO290" s="83"/>
      <c r="GW290" s="405"/>
      <c r="HC290" s="83"/>
      <c r="HK290" s="405"/>
      <c r="HQ290" s="83"/>
      <c r="HY290" s="405"/>
      <c r="IE290" s="83"/>
      <c r="IM290" s="405"/>
      <c r="IS290" s="83"/>
      <c r="JA290" s="405"/>
      <c r="JG290" s="83"/>
      <c r="JO290" s="405"/>
      <c r="JU290" s="83"/>
      <c r="KC290" s="405"/>
      <c r="KI290" s="83"/>
      <c r="KQ290" s="405"/>
      <c r="KW290" s="83"/>
      <c r="LE290" s="405"/>
      <c r="LK290" s="83"/>
      <c r="LS290" s="405"/>
      <c r="LY290" s="83"/>
      <c r="MG290" s="405"/>
      <c r="MM290" s="83"/>
      <c r="MU290" s="405"/>
      <c r="NA290" s="83"/>
    </row>
    <row r="291">
      <c r="A291" s="483"/>
      <c r="B291" s="380"/>
      <c r="C291" s="380"/>
      <c r="D291" s="380"/>
      <c r="E291" s="380"/>
      <c r="F291" s="380"/>
      <c r="G291" s="380"/>
      <c r="H291" s="380"/>
      <c r="I291" s="403"/>
      <c r="J291" s="380"/>
      <c r="K291" s="380"/>
      <c r="L291" s="380"/>
      <c r="M291" s="380"/>
      <c r="N291" s="380"/>
      <c r="O291" s="404"/>
      <c r="P291" s="380"/>
      <c r="Q291" s="380"/>
      <c r="R291" s="380"/>
      <c r="S291" s="380"/>
      <c r="T291" s="380"/>
      <c r="U291" s="380"/>
      <c r="V291" s="380"/>
      <c r="W291" s="403"/>
      <c r="X291" s="380"/>
      <c r="Y291" s="380"/>
      <c r="Z291" s="380"/>
      <c r="AA291" s="380"/>
      <c r="AB291" s="380"/>
      <c r="AC291" s="404"/>
      <c r="AD291" s="380"/>
      <c r="AE291" s="380"/>
      <c r="AF291" s="380"/>
      <c r="AG291" s="380"/>
      <c r="AH291" s="380"/>
      <c r="AI291" s="380"/>
      <c r="AJ291" s="380"/>
      <c r="AK291" s="403"/>
      <c r="AL291" s="380"/>
      <c r="AM291" s="380"/>
      <c r="AN291" s="380"/>
      <c r="AO291" s="380"/>
      <c r="AP291" s="380"/>
      <c r="AQ291" s="404"/>
      <c r="AR291" s="380"/>
      <c r="AS291" s="380"/>
      <c r="AT291" s="380"/>
      <c r="AU291" s="380"/>
      <c r="AV291" s="380"/>
      <c r="AW291" s="380"/>
      <c r="AX291" s="380"/>
      <c r="AY291" s="403"/>
      <c r="AZ291" s="380"/>
      <c r="BA291" s="380"/>
      <c r="BB291" s="380"/>
      <c r="BC291" s="380"/>
      <c r="BD291" s="380"/>
      <c r="BE291" s="404"/>
      <c r="BF291" s="380"/>
      <c r="BG291" s="380"/>
      <c r="BH291" s="380"/>
      <c r="BI291" s="380"/>
      <c r="BJ291" s="380"/>
      <c r="BK291" s="380"/>
      <c r="BL291" s="380"/>
      <c r="BM291" s="403"/>
      <c r="BS291" s="83"/>
      <c r="CA291" s="405"/>
      <c r="CG291" s="83"/>
      <c r="CO291" s="405"/>
      <c r="CU291" s="83"/>
      <c r="DC291" s="405"/>
      <c r="DI291" s="83"/>
      <c r="DQ291" s="405"/>
      <c r="DW291" s="83"/>
      <c r="EE291" s="405"/>
      <c r="EK291" s="83"/>
      <c r="ES291" s="405"/>
      <c r="EY291" s="83"/>
      <c r="FG291" s="405"/>
      <c r="FM291" s="83"/>
      <c r="FU291" s="405"/>
      <c r="GA291" s="83"/>
      <c r="GI291" s="405"/>
      <c r="GO291" s="83"/>
      <c r="GW291" s="405"/>
      <c r="HC291" s="83"/>
      <c r="HK291" s="405"/>
      <c r="HQ291" s="83"/>
      <c r="HY291" s="405"/>
      <c r="IE291" s="83"/>
      <c r="IM291" s="405"/>
      <c r="IS291" s="83"/>
      <c r="JA291" s="405"/>
      <c r="JG291" s="83"/>
      <c r="JO291" s="405"/>
      <c r="JU291" s="83"/>
      <c r="KC291" s="405"/>
      <c r="KI291" s="83"/>
      <c r="KQ291" s="405"/>
      <c r="KW291" s="83"/>
      <c r="LE291" s="405"/>
      <c r="LK291" s="83"/>
      <c r="LS291" s="405"/>
      <c r="LY291" s="83"/>
      <c r="MG291" s="405"/>
      <c r="MM291" s="83"/>
      <c r="MU291" s="405"/>
      <c r="NA291" s="83"/>
    </row>
    <row r="292">
      <c r="A292" s="483"/>
      <c r="B292" s="380"/>
      <c r="C292" s="380"/>
      <c r="D292" s="380"/>
      <c r="E292" s="380"/>
      <c r="F292" s="380"/>
      <c r="G292" s="380"/>
      <c r="H292" s="380"/>
      <c r="I292" s="403"/>
      <c r="J292" s="380"/>
      <c r="K292" s="380"/>
      <c r="L292" s="380"/>
      <c r="M292" s="380"/>
      <c r="N292" s="380"/>
      <c r="O292" s="404"/>
      <c r="P292" s="380"/>
      <c r="Q292" s="380"/>
      <c r="R292" s="380"/>
      <c r="S292" s="380"/>
      <c r="T292" s="380"/>
      <c r="U292" s="380"/>
      <c r="V292" s="380"/>
      <c r="W292" s="403"/>
      <c r="X292" s="380"/>
      <c r="Y292" s="380"/>
      <c r="Z292" s="380"/>
      <c r="AA292" s="380"/>
      <c r="AB292" s="380"/>
      <c r="AC292" s="404"/>
      <c r="AD292" s="380"/>
      <c r="AE292" s="380"/>
      <c r="AF292" s="380"/>
      <c r="AG292" s="380"/>
      <c r="AH292" s="380"/>
      <c r="AI292" s="380"/>
      <c r="AJ292" s="380"/>
      <c r="AK292" s="403"/>
      <c r="AL292" s="380"/>
      <c r="AM292" s="380"/>
      <c r="AN292" s="380"/>
      <c r="AO292" s="380"/>
      <c r="AP292" s="380"/>
      <c r="AQ292" s="404"/>
      <c r="AR292" s="380"/>
      <c r="AS292" s="380"/>
      <c r="AT292" s="380"/>
      <c r="AU292" s="380"/>
      <c r="AV292" s="380"/>
      <c r="AW292" s="380"/>
      <c r="AX292" s="380"/>
      <c r="AY292" s="403"/>
      <c r="AZ292" s="380"/>
      <c r="BA292" s="380"/>
      <c r="BB292" s="380"/>
      <c r="BC292" s="380"/>
      <c r="BD292" s="380"/>
      <c r="BE292" s="404"/>
      <c r="BF292" s="380"/>
      <c r="BG292" s="380"/>
      <c r="BH292" s="380"/>
      <c r="BI292" s="380"/>
      <c r="BJ292" s="380"/>
      <c r="BK292" s="380"/>
      <c r="BL292" s="380"/>
      <c r="BM292" s="403"/>
      <c r="BS292" s="83"/>
      <c r="CA292" s="405"/>
      <c r="CG292" s="83"/>
      <c r="CO292" s="405"/>
      <c r="CU292" s="83"/>
      <c r="DC292" s="405"/>
      <c r="DI292" s="83"/>
      <c r="DQ292" s="405"/>
      <c r="DW292" s="83"/>
      <c r="EE292" s="405"/>
      <c r="EK292" s="83"/>
      <c r="ES292" s="405"/>
      <c r="EY292" s="83"/>
      <c r="FG292" s="405"/>
      <c r="FM292" s="83"/>
      <c r="FU292" s="405"/>
      <c r="GA292" s="83"/>
      <c r="GI292" s="405"/>
      <c r="GO292" s="83"/>
      <c r="GW292" s="405"/>
      <c r="HC292" s="83"/>
      <c r="HK292" s="405"/>
      <c r="HQ292" s="83"/>
      <c r="HY292" s="405"/>
      <c r="IE292" s="83"/>
      <c r="IM292" s="405"/>
      <c r="IS292" s="83"/>
      <c r="JA292" s="405"/>
      <c r="JG292" s="83"/>
      <c r="JO292" s="405"/>
      <c r="JU292" s="83"/>
      <c r="KC292" s="405"/>
      <c r="KI292" s="83"/>
      <c r="KQ292" s="405"/>
      <c r="KW292" s="83"/>
      <c r="LE292" s="405"/>
      <c r="LK292" s="83"/>
      <c r="LS292" s="405"/>
      <c r="LY292" s="83"/>
      <c r="MG292" s="405"/>
      <c r="MM292" s="83"/>
      <c r="MU292" s="405"/>
      <c r="NA292" s="83"/>
    </row>
    <row r="293">
      <c r="A293" s="483"/>
      <c r="B293" s="380"/>
      <c r="C293" s="380"/>
      <c r="D293" s="380"/>
      <c r="E293" s="380"/>
      <c r="F293" s="380"/>
      <c r="G293" s="380"/>
      <c r="H293" s="380"/>
      <c r="I293" s="403"/>
      <c r="J293" s="380"/>
      <c r="K293" s="380"/>
      <c r="L293" s="380"/>
      <c r="M293" s="380"/>
      <c r="N293" s="380"/>
      <c r="O293" s="404"/>
      <c r="P293" s="380"/>
      <c r="Q293" s="380"/>
      <c r="R293" s="380"/>
      <c r="S293" s="380"/>
      <c r="T293" s="380"/>
      <c r="U293" s="380"/>
      <c r="V293" s="380"/>
      <c r="W293" s="403"/>
      <c r="X293" s="380"/>
      <c r="Y293" s="380"/>
      <c r="Z293" s="380"/>
      <c r="AA293" s="380"/>
      <c r="AB293" s="380"/>
      <c r="AC293" s="404"/>
      <c r="AD293" s="380"/>
      <c r="AE293" s="380"/>
      <c r="AF293" s="380"/>
      <c r="AG293" s="380"/>
      <c r="AH293" s="380"/>
      <c r="AI293" s="380"/>
      <c r="AJ293" s="380"/>
      <c r="AK293" s="403"/>
      <c r="AL293" s="380"/>
      <c r="AM293" s="380"/>
      <c r="AN293" s="380"/>
      <c r="AO293" s="380"/>
      <c r="AP293" s="380"/>
      <c r="AQ293" s="404"/>
      <c r="AR293" s="380"/>
      <c r="AS293" s="380"/>
      <c r="AT293" s="380"/>
      <c r="AU293" s="380"/>
      <c r="AV293" s="380"/>
      <c r="AW293" s="380"/>
      <c r="AX293" s="380"/>
      <c r="AY293" s="403"/>
      <c r="AZ293" s="380"/>
      <c r="BA293" s="380"/>
      <c r="BB293" s="380"/>
      <c r="BC293" s="380"/>
      <c r="BD293" s="380"/>
      <c r="BE293" s="404"/>
      <c r="BF293" s="380"/>
      <c r="BG293" s="380"/>
      <c r="BH293" s="380"/>
      <c r="BI293" s="380"/>
      <c r="BJ293" s="380"/>
      <c r="BK293" s="380"/>
      <c r="BL293" s="380"/>
      <c r="BM293" s="403"/>
      <c r="BS293" s="83"/>
      <c r="CA293" s="405"/>
      <c r="CG293" s="83"/>
      <c r="CO293" s="405"/>
      <c r="CU293" s="83"/>
      <c r="DC293" s="405"/>
      <c r="DI293" s="83"/>
      <c r="DQ293" s="405"/>
      <c r="DW293" s="83"/>
      <c r="EE293" s="405"/>
      <c r="EK293" s="83"/>
      <c r="ES293" s="405"/>
      <c r="EY293" s="83"/>
      <c r="FG293" s="405"/>
      <c r="FM293" s="83"/>
      <c r="FU293" s="405"/>
      <c r="GA293" s="83"/>
      <c r="GI293" s="405"/>
      <c r="GO293" s="83"/>
      <c r="GW293" s="405"/>
      <c r="HC293" s="83"/>
      <c r="HK293" s="405"/>
      <c r="HQ293" s="83"/>
      <c r="HY293" s="405"/>
      <c r="IE293" s="83"/>
      <c r="IM293" s="405"/>
      <c r="IS293" s="83"/>
      <c r="JA293" s="405"/>
      <c r="JG293" s="83"/>
      <c r="JO293" s="405"/>
      <c r="JU293" s="83"/>
      <c r="KC293" s="405"/>
      <c r="KI293" s="83"/>
      <c r="KQ293" s="405"/>
      <c r="KW293" s="83"/>
      <c r="LE293" s="405"/>
      <c r="LK293" s="83"/>
      <c r="LS293" s="405"/>
      <c r="LY293" s="83"/>
      <c r="MG293" s="405"/>
      <c r="MM293" s="83"/>
      <c r="MU293" s="405"/>
      <c r="NA293" s="83"/>
    </row>
    <row r="294">
      <c r="A294" s="483"/>
      <c r="B294" s="380"/>
      <c r="C294" s="380"/>
      <c r="D294" s="380"/>
      <c r="E294" s="380"/>
      <c r="F294" s="380"/>
      <c r="G294" s="380"/>
      <c r="H294" s="380"/>
      <c r="I294" s="403"/>
      <c r="J294" s="380"/>
      <c r="K294" s="380"/>
      <c r="L294" s="380"/>
      <c r="M294" s="380"/>
      <c r="N294" s="380"/>
      <c r="O294" s="404"/>
      <c r="P294" s="380"/>
      <c r="Q294" s="380"/>
      <c r="R294" s="380"/>
      <c r="S294" s="380"/>
      <c r="T294" s="380"/>
      <c r="U294" s="380"/>
      <c r="V294" s="380"/>
      <c r="W294" s="403"/>
      <c r="X294" s="380"/>
      <c r="Y294" s="380"/>
      <c r="Z294" s="380"/>
      <c r="AA294" s="380"/>
      <c r="AB294" s="380"/>
      <c r="AC294" s="404"/>
      <c r="AD294" s="380"/>
      <c r="AE294" s="380"/>
      <c r="AF294" s="380"/>
      <c r="AG294" s="380"/>
      <c r="AH294" s="380"/>
      <c r="AI294" s="380"/>
      <c r="AJ294" s="380"/>
      <c r="AK294" s="403"/>
      <c r="AL294" s="380"/>
      <c r="AM294" s="380"/>
      <c r="AN294" s="380"/>
      <c r="AO294" s="380"/>
      <c r="AP294" s="380"/>
      <c r="AQ294" s="404"/>
      <c r="AR294" s="380"/>
      <c r="AS294" s="380"/>
      <c r="AT294" s="380"/>
      <c r="AU294" s="380"/>
      <c r="AV294" s="380"/>
      <c r="AW294" s="380"/>
      <c r="AX294" s="380"/>
      <c r="AY294" s="403"/>
      <c r="AZ294" s="380"/>
      <c r="BA294" s="380"/>
      <c r="BB294" s="380"/>
      <c r="BC294" s="380"/>
      <c r="BD294" s="380"/>
      <c r="BE294" s="404"/>
      <c r="BF294" s="380"/>
      <c r="BG294" s="380"/>
      <c r="BH294" s="380"/>
      <c r="BI294" s="380"/>
      <c r="BJ294" s="380"/>
      <c r="BK294" s="380"/>
      <c r="BL294" s="380"/>
      <c r="BM294" s="403"/>
      <c r="BS294" s="83"/>
      <c r="CA294" s="405"/>
      <c r="CG294" s="83"/>
      <c r="CO294" s="405"/>
      <c r="CU294" s="83"/>
      <c r="DC294" s="405"/>
      <c r="DI294" s="83"/>
      <c r="DQ294" s="405"/>
      <c r="DW294" s="83"/>
      <c r="EE294" s="405"/>
      <c r="EK294" s="83"/>
      <c r="ES294" s="405"/>
      <c r="EY294" s="83"/>
      <c r="FG294" s="405"/>
      <c r="FM294" s="83"/>
      <c r="FU294" s="405"/>
      <c r="GA294" s="83"/>
      <c r="GI294" s="405"/>
      <c r="GO294" s="83"/>
      <c r="GW294" s="405"/>
      <c r="HC294" s="83"/>
      <c r="HK294" s="405"/>
      <c r="HQ294" s="83"/>
      <c r="HY294" s="405"/>
      <c r="IE294" s="83"/>
      <c r="IM294" s="405"/>
      <c r="IS294" s="83"/>
      <c r="JA294" s="405"/>
      <c r="JG294" s="83"/>
      <c r="JO294" s="405"/>
      <c r="JU294" s="83"/>
      <c r="KC294" s="405"/>
      <c r="KI294" s="83"/>
      <c r="KQ294" s="405"/>
      <c r="KW294" s="83"/>
      <c r="LE294" s="405"/>
      <c r="LK294" s="83"/>
      <c r="LS294" s="405"/>
      <c r="LY294" s="83"/>
      <c r="MG294" s="405"/>
      <c r="MM294" s="83"/>
      <c r="MU294" s="405"/>
      <c r="NA294" s="83"/>
    </row>
    <row r="295">
      <c r="A295" s="483"/>
      <c r="B295" s="380"/>
      <c r="C295" s="380"/>
      <c r="D295" s="380"/>
      <c r="E295" s="380"/>
      <c r="F295" s="380"/>
      <c r="G295" s="380"/>
      <c r="H295" s="380"/>
      <c r="I295" s="403"/>
      <c r="J295" s="380"/>
      <c r="K295" s="380"/>
      <c r="L295" s="380"/>
      <c r="M295" s="380"/>
      <c r="N295" s="380"/>
      <c r="O295" s="404"/>
      <c r="P295" s="380"/>
      <c r="Q295" s="380"/>
      <c r="R295" s="380"/>
      <c r="S295" s="380"/>
      <c r="T295" s="380"/>
      <c r="U295" s="380"/>
      <c r="V295" s="380"/>
      <c r="W295" s="403"/>
      <c r="X295" s="380"/>
      <c r="Y295" s="380"/>
      <c r="Z295" s="380"/>
      <c r="AA295" s="380"/>
      <c r="AB295" s="380"/>
      <c r="AC295" s="404"/>
      <c r="AD295" s="380"/>
      <c r="AE295" s="380"/>
      <c r="AF295" s="380"/>
      <c r="AG295" s="380"/>
      <c r="AH295" s="380"/>
      <c r="AI295" s="380"/>
      <c r="AJ295" s="380"/>
      <c r="AK295" s="403"/>
      <c r="AL295" s="380"/>
      <c r="AM295" s="380"/>
      <c r="AN295" s="380"/>
      <c r="AO295" s="380"/>
      <c r="AP295" s="380"/>
      <c r="AQ295" s="404"/>
      <c r="AR295" s="380"/>
      <c r="AS295" s="380"/>
      <c r="AT295" s="380"/>
      <c r="AU295" s="380"/>
      <c r="AV295" s="380"/>
      <c r="AW295" s="380"/>
      <c r="AX295" s="380"/>
      <c r="AY295" s="403"/>
      <c r="AZ295" s="380"/>
      <c r="BA295" s="380"/>
      <c r="BB295" s="380"/>
      <c r="BC295" s="380"/>
      <c r="BD295" s="380"/>
      <c r="BE295" s="404"/>
      <c r="BF295" s="380"/>
      <c r="BG295" s="380"/>
      <c r="BH295" s="380"/>
      <c r="BI295" s="380"/>
      <c r="BJ295" s="380"/>
      <c r="BK295" s="380"/>
      <c r="BL295" s="380"/>
      <c r="BM295" s="403"/>
      <c r="BS295" s="83"/>
      <c r="CA295" s="405"/>
      <c r="CG295" s="83"/>
      <c r="CO295" s="405"/>
      <c r="CU295" s="83"/>
      <c r="DC295" s="405"/>
      <c r="DI295" s="83"/>
      <c r="DQ295" s="405"/>
      <c r="DW295" s="83"/>
      <c r="EE295" s="405"/>
      <c r="EK295" s="83"/>
      <c r="ES295" s="405"/>
      <c r="EY295" s="83"/>
      <c r="FG295" s="405"/>
      <c r="FM295" s="83"/>
      <c r="FU295" s="405"/>
      <c r="GA295" s="83"/>
      <c r="GI295" s="405"/>
      <c r="GO295" s="83"/>
      <c r="GW295" s="405"/>
      <c r="HC295" s="83"/>
      <c r="HK295" s="405"/>
      <c r="HQ295" s="83"/>
      <c r="HY295" s="405"/>
      <c r="IE295" s="83"/>
      <c r="IM295" s="405"/>
      <c r="IS295" s="83"/>
      <c r="JA295" s="405"/>
      <c r="JG295" s="83"/>
      <c r="JO295" s="405"/>
      <c r="JU295" s="83"/>
      <c r="KC295" s="405"/>
      <c r="KI295" s="83"/>
      <c r="KQ295" s="405"/>
      <c r="KW295" s="83"/>
      <c r="LE295" s="405"/>
      <c r="LK295" s="83"/>
      <c r="LS295" s="405"/>
      <c r="LY295" s="83"/>
      <c r="MG295" s="405"/>
      <c r="MM295" s="83"/>
      <c r="MU295" s="405"/>
      <c r="NA295" s="83"/>
    </row>
    <row r="296">
      <c r="A296" s="483"/>
      <c r="B296" s="380"/>
      <c r="C296" s="380"/>
      <c r="D296" s="380"/>
      <c r="E296" s="380"/>
      <c r="F296" s="380"/>
      <c r="G296" s="380"/>
      <c r="H296" s="380"/>
      <c r="I296" s="403"/>
      <c r="J296" s="380"/>
      <c r="K296" s="380"/>
      <c r="L296" s="380"/>
      <c r="M296" s="380"/>
      <c r="N296" s="380"/>
      <c r="O296" s="404"/>
      <c r="P296" s="380"/>
      <c r="Q296" s="380"/>
      <c r="R296" s="380"/>
      <c r="S296" s="380"/>
      <c r="T296" s="380"/>
      <c r="U296" s="380"/>
      <c r="V296" s="380"/>
      <c r="W296" s="403"/>
      <c r="X296" s="380"/>
      <c r="Y296" s="380"/>
      <c r="Z296" s="380"/>
      <c r="AA296" s="380"/>
      <c r="AB296" s="380"/>
      <c r="AC296" s="404"/>
      <c r="AD296" s="380"/>
      <c r="AE296" s="380"/>
      <c r="AF296" s="380"/>
      <c r="AG296" s="380"/>
      <c r="AH296" s="380"/>
      <c r="AI296" s="380"/>
      <c r="AJ296" s="380"/>
      <c r="AK296" s="403"/>
      <c r="AL296" s="380"/>
      <c r="AM296" s="380"/>
      <c r="AN296" s="380"/>
      <c r="AO296" s="380"/>
      <c r="AP296" s="380"/>
      <c r="AQ296" s="404"/>
      <c r="AR296" s="380"/>
      <c r="AS296" s="380"/>
      <c r="AT296" s="380"/>
      <c r="AU296" s="380"/>
      <c r="AV296" s="380"/>
      <c r="AW296" s="380"/>
      <c r="AX296" s="380"/>
      <c r="AY296" s="403"/>
      <c r="AZ296" s="380"/>
      <c r="BA296" s="380"/>
      <c r="BB296" s="380"/>
      <c r="BC296" s="380"/>
      <c r="BD296" s="380"/>
      <c r="BE296" s="404"/>
      <c r="BF296" s="380"/>
      <c r="BG296" s="380"/>
      <c r="BH296" s="380"/>
      <c r="BI296" s="380"/>
      <c r="BJ296" s="380"/>
      <c r="BK296" s="380"/>
      <c r="BL296" s="380"/>
      <c r="BM296" s="403"/>
      <c r="BS296" s="83"/>
      <c r="CA296" s="405"/>
      <c r="CG296" s="83"/>
      <c r="CO296" s="405"/>
      <c r="CU296" s="83"/>
      <c r="DC296" s="405"/>
      <c r="DI296" s="83"/>
      <c r="DQ296" s="405"/>
      <c r="DW296" s="83"/>
      <c r="EE296" s="405"/>
      <c r="EK296" s="83"/>
      <c r="ES296" s="405"/>
      <c r="EY296" s="83"/>
      <c r="FG296" s="405"/>
      <c r="FM296" s="83"/>
      <c r="FU296" s="405"/>
      <c r="GA296" s="83"/>
      <c r="GI296" s="405"/>
      <c r="GO296" s="83"/>
      <c r="GW296" s="405"/>
      <c r="HC296" s="83"/>
      <c r="HK296" s="405"/>
      <c r="HQ296" s="83"/>
      <c r="HY296" s="405"/>
      <c r="IE296" s="83"/>
      <c r="IM296" s="405"/>
      <c r="IS296" s="83"/>
      <c r="JA296" s="405"/>
      <c r="JG296" s="83"/>
      <c r="JO296" s="405"/>
      <c r="JU296" s="83"/>
      <c r="KC296" s="405"/>
      <c r="KI296" s="83"/>
      <c r="KQ296" s="405"/>
      <c r="KW296" s="83"/>
      <c r="LE296" s="405"/>
      <c r="LK296" s="83"/>
      <c r="LS296" s="405"/>
      <c r="LY296" s="83"/>
      <c r="MG296" s="405"/>
      <c r="MM296" s="83"/>
      <c r="MU296" s="405"/>
      <c r="NA296" s="83"/>
    </row>
    <row r="297">
      <c r="A297" s="483"/>
      <c r="B297" s="380"/>
      <c r="C297" s="380"/>
      <c r="D297" s="380"/>
      <c r="E297" s="380"/>
      <c r="F297" s="380"/>
      <c r="G297" s="380"/>
      <c r="H297" s="380"/>
      <c r="I297" s="403"/>
      <c r="J297" s="380"/>
      <c r="K297" s="380"/>
      <c r="L297" s="380"/>
      <c r="M297" s="380"/>
      <c r="N297" s="380"/>
      <c r="O297" s="404"/>
      <c r="P297" s="380"/>
      <c r="Q297" s="380"/>
      <c r="R297" s="380"/>
      <c r="S297" s="380"/>
      <c r="T297" s="380"/>
      <c r="U297" s="380"/>
      <c r="V297" s="380"/>
      <c r="W297" s="403"/>
      <c r="X297" s="380"/>
      <c r="Y297" s="380"/>
      <c r="Z297" s="380"/>
      <c r="AA297" s="380"/>
      <c r="AB297" s="380"/>
      <c r="AC297" s="404"/>
      <c r="AD297" s="380"/>
      <c r="AE297" s="380"/>
      <c r="AF297" s="380"/>
      <c r="AG297" s="380"/>
      <c r="AH297" s="380"/>
      <c r="AI297" s="380"/>
      <c r="AJ297" s="380"/>
      <c r="AK297" s="403"/>
      <c r="AL297" s="380"/>
      <c r="AM297" s="380"/>
      <c r="AN297" s="380"/>
      <c r="AO297" s="380"/>
      <c r="AP297" s="380"/>
      <c r="AQ297" s="404"/>
      <c r="AR297" s="380"/>
      <c r="AS297" s="380"/>
      <c r="AT297" s="380"/>
      <c r="AU297" s="380"/>
      <c r="AV297" s="380"/>
      <c r="AW297" s="380"/>
      <c r="AX297" s="380"/>
      <c r="AY297" s="403"/>
      <c r="AZ297" s="380"/>
      <c r="BA297" s="380"/>
      <c r="BB297" s="380"/>
      <c r="BC297" s="380"/>
      <c r="BD297" s="380"/>
      <c r="BE297" s="404"/>
      <c r="BF297" s="380"/>
      <c r="BG297" s="380"/>
      <c r="BH297" s="380"/>
      <c r="BI297" s="380"/>
      <c r="BJ297" s="380"/>
      <c r="BK297" s="380"/>
      <c r="BL297" s="380"/>
      <c r="BM297" s="403"/>
      <c r="BS297" s="83"/>
      <c r="CA297" s="405"/>
      <c r="CG297" s="83"/>
      <c r="CO297" s="405"/>
      <c r="CU297" s="83"/>
      <c r="DC297" s="405"/>
      <c r="DI297" s="83"/>
      <c r="DQ297" s="405"/>
      <c r="DW297" s="83"/>
      <c r="EE297" s="405"/>
      <c r="EK297" s="83"/>
      <c r="ES297" s="405"/>
      <c r="EY297" s="83"/>
      <c r="FG297" s="405"/>
      <c r="FM297" s="83"/>
      <c r="FU297" s="405"/>
      <c r="GA297" s="83"/>
      <c r="GI297" s="405"/>
      <c r="GO297" s="83"/>
      <c r="GW297" s="405"/>
      <c r="HC297" s="83"/>
      <c r="HK297" s="405"/>
      <c r="HQ297" s="83"/>
      <c r="HY297" s="405"/>
      <c r="IE297" s="83"/>
      <c r="IM297" s="405"/>
      <c r="IS297" s="83"/>
      <c r="JA297" s="405"/>
      <c r="JG297" s="83"/>
      <c r="JO297" s="405"/>
      <c r="JU297" s="83"/>
      <c r="KC297" s="405"/>
      <c r="KI297" s="83"/>
      <c r="KQ297" s="405"/>
      <c r="KW297" s="83"/>
      <c r="LE297" s="405"/>
      <c r="LK297" s="83"/>
      <c r="LS297" s="405"/>
      <c r="LY297" s="83"/>
      <c r="MG297" s="405"/>
      <c r="MM297" s="83"/>
      <c r="MU297" s="405"/>
      <c r="NA297" s="83"/>
    </row>
    <row r="298">
      <c r="A298" s="483"/>
      <c r="B298" s="380"/>
      <c r="C298" s="380"/>
      <c r="D298" s="380"/>
      <c r="E298" s="380"/>
      <c r="F298" s="380"/>
      <c r="G298" s="380"/>
      <c r="H298" s="380"/>
      <c r="I298" s="403"/>
      <c r="J298" s="380"/>
      <c r="K298" s="380"/>
      <c r="L298" s="380"/>
      <c r="M298" s="380"/>
      <c r="N298" s="380"/>
      <c r="O298" s="404"/>
      <c r="P298" s="380"/>
      <c r="Q298" s="380"/>
      <c r="R298" s="380"/>
      <c r="S298" s="380"/>
      <c r="T298" s="380"/>
      <c r="U298" s="380"/>
      <c r="V298" s="380"/>
      <c r="W298" s="403"/>
      <c r="X298" s="380"/>
      <c r="Y298" s="380"/>
      <c r="Z298" s="380"/>
      <c r="AA298" s="380"/>
      <c r="AB298" s="380"/>
      <c r="AC298" s="404"/>
      <c r="AD298" s="380"/>
      <c r="AE298" s="380"/>
      <c r="AF298" s="380"/>
      <c r="AG298" s="380"/>
      <c r="AH298" s="380"/>
      <c r="AI298" s="380"/>
      <c r="AJ298" s="380"/>
      <c r="AK298" s="403"/>
      <c r="AL298" s="380"/>
      <c r="AM298" s="380"/>
      <c r="AN298" s="380"/>
      <c r="AO298" s="380"/>
      <c r="AP298" s="380"/>
      <c r="AQ298" s="404"/>
      <c r="AR298" s="380"/>
      <c r="AS298" s="380"/>
      <c r="AT298" s="380"/>
      <c r="AU298" s="380"/>
      <c r="AV298" s="380"/>
      <c r="AW298" s="380"/>
      <c r="AX298" s="380"/>
      <c r="AY298" s="403"/>
      <c r="AZ298" s="380"/>
      <c r="BA298" s="380"/>
      <c r="BB298" s="380"/>
      <c r="BC298" s="380"/>
      <c r="BD298" s="380"/>
      <c r="BE298" s="404"/>
      <c r="BF298" s="380"/>
      <c r="BG298" s="380"/>
      <c r="BH298" s="380"/>
      <c r="BI298" s="380"/>
      <c r="BJ298" s="380"/>
      <c r="BK298" s="380"/>
      <c r="BL298" s="380"/>
      <c r="BM298" s="403"/>
      <c r="BS298" s="83"/>
      <c r="CA298" s="405"/>
      <c r="CG298" s="83"/>
      <c r="CO298" s="405"/>
      <c r="CU298" s="83"/>
      <c r="DC298" s="405"/>
      <c r="DI298" s="83"/>
      <c r="DQ298" s="405"/>
      <c r="DW298" s="83"/>
      <c r="EE298" s="405"/>
      <c r="EK298" s="83"/>
      <c r="ES298" s="405"/>
      <c r="EY298" s="83"/>
      <c r="FG298" s="405"/>
      <c r="FM298" s="83"/>
      <c r="FU298" s="405"/>
      <c r="GA298" s="83"/>
      <c r="GI298" s="405"/>
      <c r="GO298" s="83"/>
      <c r="GW298" s="405"/>
      <c r="HC298" s="83"/>
      <c r="HK298" s="405"/>
      <c r="HQ298" s="83"/>
      <c r="HY298" s="405"/>
      <c r="IE298" s="83"/>
      <c r="IM298" s="405"/>
      <c r="IS298" s="83"/>
      <c r="JA298" s="405"/>
      <c r="JG298" s="83"/>
      <c r="JO298" s="405"/>
      <c r="JU298" s="83"/>
      <c r="KC298" s="405"/>
      <c r="KI298" s="83"/>
      <c r="KQ298" s="405"/>
      <c r="KW298" s="83"/>
      <c r="LE298" s="405"/>
      <c r="LK298" s="83"/>
      <c r="LS298" s="405"/>
      <c r="LY298" s="83"/>
      <c r="MG298" s="405"/>
      <c r="MM298" s="83"/>
      <c r="MU298" s="405"/>
      <c r="NA298" s="83"/>
    </row>
    <row r="299">
      <c r="A299" s="483"/>
      <c r="B299" s="380"/>
      <c r="C299" s="380"/>
      <c r="D299" s="380"/>
      <c r="E299" s="380"/>
      <c r="F299" s="380"/>
      <c r="G299" s="380"/>
      <c r="H299" s="380"/>
      <c r="I299" s="403"/>
      <c r="J299" s="380"/>
      <c r="K299" s="380"/>
      <c r="L299" s="380"/>
      <c r="M299" s="380"/>
      <c r="N299" s="380"/>
      <c r="O299" s="404"/>
      <c r="P299" s="380"/>
      <c r="Q299" s="380"/>
      <c r="R299" s="380"/>
      <c r="S299" s="380"/>
      <c r="T299" s="380"/>
      <c r="U299" s="380"/>
      <c r="V299" s="380"/>
      <c r="W299" s="403"/>
      <c r="X299" s="380"/>
      <c r="Y299" s="380"/>
      <c r="Z299" s="380"/>
      <c r="AA299" s="380"/>
      <c r="AB299" s="380"/>
      <c r="AC299" s="404"/>
      <c r="AD299" s="380"/>
      <c r="AE299" s="380"/>
      <c r="AF299" s="380"/>
      <c r="AG299" s="380"/>
      <c r="AH299" s="380"/>
      <c r="AI299" s="380"/>
      <c r="AJ299" s="380"/>
      <c r="AK299" s="403"/>
      <c r="AL299" s="380"/>
      <c r="AM299" s="380"/>
      <c r="AN299" s="380"/>
      <c r="AO299" s="380"/>
      <c r="AP299" s="380"/>
      <c r="AQ299" s="404"/>
      <c r="AR299" s="380"/>
      <c r="AS299" s="380"/>
      <c r="AT299" s="380"/>
      <c r="AU299" s="380"/>
      <c r="AV299" s="380"/>
      <c r="AW299" s="380"/>
      <c r="AX299" s="380"/>
      <c r="AY299" s="403"/>
      <c r="AZ299" s="380"/>
      <c r="BA299" s="380"/>
      <c r="BB299" s="380"/>
      <c r="BC299" s="380"/>
      <c r="BD299" s="380"/>
      <c r="BE299" s="404"/>
      <c r="BF299" s="380"/>
      <c r="BG299" s="380"/>
      <c r="BH299" s="380"/>
      <c r="BI299" s="380"/>
      <c r="BJ299" s="380"/>
      <c r="BK299" s="380"/>
      <c r="BL299" s="380"/>
      <c r="BM299" s="403"/>
      <c r="BS299" s="83"/>
      <c r="CA299" s="405"/>
      <c r="CG299" s="83"/>
      <c r="CO299" s="405"/>
      <c r="CU299" s="83"/>
      <c r="DC299" s="405"/>
      <c r="DI299" s="83"/>
      <c r="DQ299" s="405"/>
      <c r="DW299" s="83"/>
      <c r="EE299" s="405"/>
      <c r="EK299" s="83"/>
      <c r="ES299" s="405"/>
      <c r="EY299" s="83"/>
      <c r="FG299" s="405"/>
      <c r="FM299" s="83"/>
      <c r="FU299" s="405"/>
      <c r="GA299" s="83"/>
      <c r="GI299" s="405"/>
      <c r="GO299" s="83"/>
      <c r="GW299" s="405"/>
      <c r="HC299" s="83"/>
      <c r="HK299" s="405"/>
      <c r="HQ299" s="83"/>
      <c r="HY299" s="405"/>
      <c r="IE299" s="83"/>
      <c r="IM299" s="405"/>
      <c r="IS299" s="83"/>
      <c r="JA299" s="405"/>
      <c r="JG299" s="83"/>
      <c r="JO299" s="405"/>
      <c r="JU299" s="83"/>
      <c r="KC299" s="405"/>
      <c r="KI299" s="83"/>
      <c r="KQ299" s="405"/>
      <c r="KW299" s="83"/>
      <c r="LE299" s="405"/>
      <c r="LK299" s="83"/>
      <c r="LS299" s="405"/>
      <c r="LY299" s="83"/>
      <c r="MG299" s="405"/>
      <c r="MM299" s="83"/>
      <c r="MU299" s="405"/>
      <c r="NA299" s="83"/>
    </row>
    <row r="300">
      <c r="A300" s="483"/>
      <c r="B300" s="380"/>
      <c r="C300" s="380"/>
      <c r="D300" s="380"/>
      <c r="E300" s="380"/>
      <c r="F300" s="380"/>
      <c r="G300" s="380"/>
      <c r="H300" s="380"/>
      <c r="I300" s="403"/>
      <c r="J300" s="380"/>
      <c r="K300" s="380"/>
      <c r="L300" s="380"/>
      <c r="M300" s="380"/>
      <c r="N300" s="380"/>
      <c r="O300" s="404"/>
      <c r="P300" s="380"/>
      <c r="Q300" s="380"/>
      <c r="R300" s="380"/>
      <c r="S300" s="380"/>
      <c r="T300" s="380"/>
      <c r="U300" s="380"/>
      <c r="V300" s="380"/>
      <c r="W300" s="403"/>
      <c r="X300" s="380"/>
      <c r="Y300" s="380"/>
      <c r="Z300" s="380"/>
      <c r="AA300" s="380"/>
      <c r="AB300" s="380"/>
      <c r="AC300" s="404"/>
      <c r="AD300" s="380"/>
      <c r="AE300" s="380"/>
      <c r="AF300" s="380"/>
      <c r="AG300" s="380"/>
      <c r="AH300" s="380"/>
      <c r="AI300" s="380"/>
      <c r="AJ300" s="380"/>
      <c r="AK300" s="403"/>
      <c r="AL300" s="380"/>
      <c r="AM300" s="380"/>
      <c r="AN300" s="380"/>
      <c r="AO300" s="380"/>
      <c r="AP300" s="380"/>
      <c r="AQ300" s="404"/>
      <c r="AR300" s="380"/>
      <c r="AS300" s="380"/>
      <c r="AT300" s="380"/>
      <c r="AU300" s="380"/>
      <c r="AV300" s="380"/>
      <c r="AW300" s="380"/>
      <c r="AX300" s="380"/>
      <c r="AY300" s="403"/>
      <c r="AZ300" s="380"/>
      <c r="BA300" s="380"/>
      <c r="BB300" s="380"/>
      <c r="BC300" s="380"/>
      <c r="BD300" s="380"/>
      <c r="BE300" s="404"/>
      <c r="BF300" s="380"/>
      <c r="BG300" s="380"/>
      <c r="BH300" s="380"/>
      <c r="BI300" s="380"/>
      <c r="BJ300" s="380"/>
      <c r="BK300" s="380"/>
      <c r="BL300" s="380"/>
      <c r="BM300" s="403"/>
      <c r="BS300" s="83"/>
      <c r="CA300" s="405"/>
      <c r="CG300" s="83"/>
      <c r="CO300" s="405"/>
      <c r="CU300" s="83"/>
      <c r="DC300" s="405"/>
      <c r="DI300" s="83"/>
      <c r="DQ300" s="405"/>
      <c r="DW300" s="83"/>
      <c r="EE300" s="405"/>
      <c r="EK300" s="83"/>
      <c r="ES300" s="405"/>
      <c r="EY300" s="83"/>
      <c r="FG300" s="405"/>
      <c r="FM300" s="83"/>
      <c r="FU300" s="405"/>
      <c r="GA300" s="83"/>
      <c r="GI300" s="405"/>
      <c r="GO300" s="83"/>
      <c r="GW300" s="405"/>
      <c r="HC300" s="83"/>
      <c r="HK300" s="405"/>
      <c r="HQ300" s="83"/>
      <c r="HY300" s="405"/>
      <c r="IE300" s="83"/>
      <c r="IM300" s="405"/>
      <c r="IS300" s="83"/>
      <c r="JA300" s="405"/>
      <c r="JG300" s="83"/>
      <c r="JO300" s="405"/>
      <c r="JU300" s="83"/>
      <c r="KC300" s="405"/>
      <c r="KI300" s="83"/>
      <c r="KQ300" s="405"/>
      <c r="KW300" s="83"/>
      <c r="LE300" s="405"/>
      <c r="LK300" s="83"/>
      <c r="LS300" s="405"/>
      <c r="LY300" s="83"/>
      <c r="MG300" s="405"/>
      <c r="MM300" s="83"/>
      <c r="MU300" s="405"/>
      <c r="NA300" s="83"/>
    </row>
    <row r="301">
      <c r="A301" s="483"/>
      <c r="B301" s="380"/>
      <c r="C301" s="380"/>
      <c r="D301" s="380"/>
      <c r="E301" s="380"/>
      <c r="F301" s="380"/>
      <c r="G301" s="380"/>
      <c r="H301" s="380"/>
      <c r="I301" s="403"/>
      <c r="J301" s="380"/>
      <c r="K301" s="380"/>
      <c r="L301" s="380"/>
      <c r="M301" s="380"/>
      <c r="N301" s="380"/>
      <c r="O301" s="404"/>
      <c r="P301" s="380"/>
      <c r="Q301" s="380"/>
      <c r="R301" s="380"/>
      <c r="S301" s="380"/>
      <c r="T301" s="380"/>
      <c r="U301" s="380"/>
      <c r="V301" s="380"/>
      <c r="W301" s="403"/>
      <c r="X301" s="380"/>
      <c r="Y301" s="380"/>
      <c r="Z301" s="380"/>
      <c r="AA301" s="380"/>
      <c r="AB301" s="380"/>
      <c r="AC301" s="404"/>
      <c r="AD301" s="380"/>
      <c r="AE301" s="380"/>
      <c r="AF301" s="380"/>
      <c r="AG301" s="380"/>
      <c r="AH301" s="380"/>
      <c r="AI301" s="380"/>
      <c r="AJ301" s="380"/>
      <c r="AK301" s="403"/>
      <c r="AL301" s="380"/>
      <c r="AM301" s="380"/>
      <c r="AN301" s="380"/>
      <c r="AO301" s="380"/>
      <c r="AP301" s="380"/>
      <c r="AQ301" s="404"/>
      <c r="AR301" s="380"/>
      <c r="AS301" s="380"/>
      <c r="AT301" s="380"/>
      <c r="AU301" s="380"/>
      <c r="AV301" s="380"/>
      <c r="AW301" s="380"/>
      <c r="AX301" s="380"/>
      <c r="AY301" s="403"/>
      <c r="AZ301" s="380"/>
      <c r="BA301" s="380"/>
      <c r="BB301" s="380"/>
      <c r="BC301" s="380"/>
      <c r="BD301" s="380"/>
      <c r="BE301" s="404"/>
      <c r="BF301" s="380"/>
      <c r="BG301" s="380"/>
      <c r="BH301" s="380"/>
      <c r="BI301" s="380"/>
      <c r="BJ301" s="380"/>
      <c r="BK301" s="380"/>
      <c r="BL301" s="380"/>
      <c r="BM301" s="403"/>
      <c r="BS301" s="83"/>
      <c r="CA301" s="405"/>
      <c r="CG301" s="83"/>
      <c r="CO301" s="405"/>
      <c r="CU301" s="83"/>
      <c r="DC301" s="405"/>
      <c r="DI301" s="83"/>
      <c r="DQ301" s="405"/>
      <c r="DW301" s="83"/>
      <c r="EE301" s="405"/>
      <c r="EK301" s="83"/>
      <c r="ES301" s="405"/>
      <c r="EY301" s="83"/>
      <c r="FG301" s="405"/>
      <c r="FM301" s="83"/>
      <c r="FU301" s="405"/>
      <c r="GA301" s="83"/>
      <c r="GI301" s="405"/>
      <c r="GO301" s="83"/>
      <c r="GW301" s="405"/>
      <c r="HC301" s="83"/>
      <c r="HK301" s="405"/>
      <c r="HQ301" s="83"/>
      <c r="HY301" s="405"/>
      <c r="IE301" s="83"/>
      <c r="IM301" s="405"/>
      <c r="IS301" s="83"/>
      <c r="JA301" s="405"/>
      <c r="JG301" s="83"/>
      <c r="JO301" s="405"/>
      <c r="JU301" s="83"/>
      <c r="KC301" s="405"/>
      <c r="KI301" s="83"/>
      <c r="KQ301" s="405"/>
      <c r="KW301" s="83"/>
      <c r="LE301" s="405"/>
      <c r="LK301" s="83"/>
      <c r="LS301" s="405"/>
      <c r="LY301" s="83"/>
      <c r="MG301" s="405"/>
      <c r="MM301" s="83"/>
      <c r="MU301" s="405"/>
      <c r="NA301" s="83"/>
    </row>
    <row r="302">
      <c r="A302" s="483"/>
      <c r="B302" s="380"/>
      <c r="C302" s="380"/>
      <c r="D302" s="380"/>
      <c r="E302" s="380"/>
      <c r="F302" s="380"/>
      <c r="G302" s="380"/>
      <c r="H302" s="380"/>
      <c r="I302" s="403"/>
      <c r="J302" s="380"/>
      <c r="K302" s="380"/>
      <c r="L302" s="380"/>
      <c r="M302" s="380"/>
      <c r="N302" s="380"/>
      <c r="O302" s="404"/>
      <c r="P302" s="380"/>
      <c r="Q302" s="380"/>
      <c r="R302" s="380"/>
      <c r="S302" s="380"/>
      <c r="T302" s="380"/>
      <c r="U302" s="380"/>
      <c r="V302" s="380"/>
      <c r="W302" s="403"/>
      <c r="X302" s="380"/>
      <c r="Y302" s="380"/>
      <c r="Z302" s="380"/>
      <c r="AA302" s="380"/>
      <c r="AB302" s="380"/>
      <c r="AC302" s="404"/>
      <c r="AD302" s="380"/>
      <c r="AE302" s="380"/>
      <c r="AF302" s="380"/>
      <c r="AG302" s="380"/>
      <c r="AH302" s="380"/>
      <c r="AI302" s="380"/>
      <c r="AJ302" s="380"/>
      <c r="AK302" s="403"/>
      <c r="AL302" s="380"/>
      <c r="AM302" s="380"/>
      <c r="AN302" s="380"/>
      <c r="AO302" s="380"/>
      <c r="AP302" s="380"/>
      <c r="AQ302" s="404"/>
      <c r="AR302" s="380"/>
      <c r="AS302" s="380"/>
      <c r="AT302" s="380"/>
      <c r="AU302" s="380"/>
      <c r="AV302" s="380"/>
      <c r="AW302" s="380"/>
      <c r="AX302" s="380"/>
      <c r="AY302" s="403"/>
      <c r="AZ302" s="380"/>
      <c r="BA302" s="380"/>
      <c r="BB302" s="380"/>
      <c r="BC302" s="380"/>
      <c r="BD302" s="380"/>
      <c r="BE302" s="404"/>
      <c r="BF302" s="380"/>
      <c r="BG302" s="380"/>
      <c r="BH302" s="380"/>
      <c r="BI302" s="380"/>
      <c r="BJ302" s="380"/>
      <c r="BK302" s="380"/>
      <c r="BL302" s="380"/>
      <c r="BM302" s="403"/>
      <c r="BS302" s="83"/>
      <c r="CA302" s="405"/>
      <c r="CG302" s="83"/>
      <c r="CO302" s="405"/>
      <c r="CU302" s="83"/>
      <c r="DC302" s="405"/>
      <c r="DI302" s="83"/>
      <c r="DQ302" s="405"/>
      <c r="DW302" s="83"/>
      <c r="EE302" s="405"/>
      <c r="EK302" s="83"/>
      <c r="ES302" s="405"/>
      <c r="EY302" s="83"/>
      <c r="FG302" s="405"/>
      <c r="FM302" s="83"/>
      <c r="FU302" s="405"/>
      <c r="GA302" s="83"/>
      <c r="GI302" s="405"/>
      <c r="GO302" s="83"/>
      <c r="GW302" s="405"/>
      <c r="HC302" s="83"/>
      <c r="HK302" s="405"/>
      <c r="HQ302" s="83"/>
      <c r="HY302" s="405"/>
      <c r="IE302" s="83"/>
      <c r="IM302" s="405"/>
      <c r="IS302" s="83"/>
      <c r="JA302" s="405"/>
      <c r="JG302" s="83"/>
      <c r="JO302" s="405"/>
      <c r="JU302" s="83"/>
      <c r="KC302" s="405"/>
      <c r="KI302" s="83"/>
      <c r="KQ302" s="405"/>
      <c r="KW302" s="83"/>
      <c r="LE302" s="405"/>
      <c r="LK302" s="83"/>
      <c r="LS302" s="405"/>
      <c r="LY302" s="83"/>
      <c r="MG302" s="405"/>
      <c r="MM302" s="83"/>
      <c r="MU302" s="405"/>
      <c r="NA302" s="83"/>
    </row>
    <row r="303">
      <c r="A303" s="483"/>
      <c r="B303" s="380"/>
      <c r="C303" s="380"/>
      <c r="D303" s="380"/>
      <c r="E303" s="380"/>
      <c r="F303" s="380"/>
      <c r="G303" s="380"/>
      <c r="H303" s="380"/>
      <c r="I303" s="403"/>
      <c r="J303" s="380"/>
      <c r="K303" s="380"/>
      <c r="L303" s="380"/>
      <c r="M303" s="380"/>
      <c r="N303" s="380"/>
      <c r="O303" s="404"/>
      <c r="P303" s="380"/>
      <c r="Q303" s="380"/>
      <c r="R303" s="380"/>
      <c r="S303" s="380"/>
      <c r="T303" s="380"/>
      <c r="U303" s="380"/>
      <c r="V303" s="380"/>
      <c r="W303" s="403"/>
      <c r="X303" s="380"/>
      <c r="Y303" s="380"/>
      <c r="Z303" s="380"/>
      <c r="AA303" s="380"/>
      <c r="AB303" s="380"/>
      <c r="AC303" s="404"/>
      <c r="AD303" s="380"/>
      <c r="AE303" s="380"/>
      <c r="AF303" s="380"/>
      <c r="AG303" s="380"/>
      <c r="AH303" s="380"/>
      <c r="AI303" s="380"/>
      <c r="AJ303" s="380"/>
      <c r="AK303" s="403"/>
      <c r="AL303" s="380"/>
      <c r="AM303" s="380"/>
      <c r="AN303" s="380"/>
      <c r="AO303" s="380"/>
      <c r="AP303" s="380"/>
      <c r="AQ303" s="404"/>
      <c r="AR303" s="380"/>
      <c r="AS303" s="380"/>
      <c r="AT303" s="380"/>
      <c r="AU303" s="380"/>
      <c r="AV303" s="380"/>
      <c r="AW303" s="380"/>
      <c r="AX303" s="380"/>
      <c r="AY303" s="403"/>
      <c r="AZ303" s="380"/>
      <c r="BA303" s="380"/>
      <c r="BB303" s="380"/>
      <c r="BC303" s="380"/>
      <c r="BD303" s="380"/>
      <c r="BE303" s="404"/>
      <c r="BF303" s="380"/>
      <c r="BG303" s="380"/>
      <c r="BH303" s="380"/>
      <c r="BI303" s="380"/>
      <c r="BJ303" s="380"/>
      <c r="BK303" s="380"/>
      <c r="BL303" s="380"/>
      <c r="BM303" s="403"/>
      <c r="BS303" s="83"/>
      <c r="CA303" s="405"/>
      <c r="CG303" s="83"/>
      <c r="CO303" s="405"/>
      <c r="CU303" s="83"/>
      <c r="DC303" s="405"/>
      <c r="DI303" s="83"/>
      <c r="DQ303" s="405"/>
      <c r="DW303" s="83"/>
      <c r="EE303" s="405"/>
      <c r="EK303" s="83"/>
      <c r="ES303" s="405"/>
      <c r="EY303" s="83"/>
      <c r="FG303" s="405"/>
      <c r="FM303" s="83"/>
      <c r="FU303" s="405"/>
      <c r="GA303" s="83"/>
      <c r="GI303" s="405"/>
      <c r="GO303" s="83"/>
      <c r="GW303" s="405"/>
      <c r="HC303" s="83"/>
      <c r="HK303" s="405"/>
      <c r="HQ303" s="83"/>
      <c r="HY303" s="405"/>
      <c r="IE303" s="83"/>
      <c r="IM303" s="405"/>
      <c r="IS303" s="83"/>
      <c r="JA303" s="405"/>
      <c r="JG303" s="83"/>
      <c r="JO303" s="405"/>
      <c r="JU303" s="83"/>
      <c r="KC303" s="405"/>
      <c r="KI303" s="83"/>
      <c r="KQ303" s="405"/>
      <c r="KW303" s="83"/>
      <c r="LE303" s="405"/>
      <c r="LK303" s="83"/>
      <c r="LS303" s="405"/>
      <c r="LY303" s="83"/>
      <c r="MG303" s="405"/>
      <c r="MM303" s="83"/>
      <c r="MU303" s="405"/>
      <c r="NA303" s="83"/>
    </row>
    <row r="304">
      <c r="A304" s="483"/>
      <c r="B304" s="380"/>
      <c r="C304" s="380"/>
      <c r="D304" s="380"/>
      <c r="E304" s="380"/>
      <c r="F304" s="380"/>
      <c r="G304" s="380"/>
      <c r="H304" s="380"/>
      <c r="I304" s="403"/>
      <c r="J304" s="380"/>
      <c r="K304" s="380"/>
      <c r="L304" s="380"/>
      <c r="M304" s="380"/>
      <c r="N304" s="380"/>
      <c r="O304" s="404"/>
      <c r="P304" s="380"/>
      <c r="Q304" s="380"/>
      <c r="R304" s="380"/>
      <c r="S304" s="380"/>
      <c r="T304" s="380"/>
      <c r="U304" s="380"/>
      <c r="V304" s="380"/>
      <c r="W304" s="403"/>
      <c r="X304" s="380"/>
      <c r="Y304" s="380"/>
      <c r="Z304" s="380"/>
      <c r="AA304" s="380"/>
      <c r="AB304" s="380"/>
      <c r="AC304" s="404"/>
      <c r="AD304" s="380"/>
      <c r="AE304" s="380"/>
      <c r="AF304" s="380"/>
      <c r="AG304" s="380"/>
      <c r="AH304" s="380"/>
      <c r="AI304" s="380"/>
      <c r="AJ304" s="380"/>
      <c r="AK304" s="403"/>
      <c r="AL304" s="380"/>
      <c r="AM304" s="380"/>
      <c r="AN304" s="380"/>
      <c r="AO304" s="380"/>
      <c r="AP304" s="380"/>
      <c r="AQ304" s="404"/>
      <c r="AR304" s="380"/>
      <c r="AS304" s="380"/>
      <c r="AT304" s="380"/>
      <c r="AU304" s="380"/>
      <c r="AV304" s="380"/>
      <c r="AW304" s="380"/>
      <c r="AX304" s="380"/>
      <c r="AY304" s="403"/>
      <c r="AZ304" s="380"/>
      <c r="BA304" s="380"/>
      <c r="BB304" s="380"/>
      <c r="BC304" s="380"/>
      <c r="BD304" s="380"/>
      <c r="BE304" s="404"/>
      <c r="BF304" s="380"/>
      <c r="BG304" s="380"/>
      <c r="BH304" s="380"/>
      <c r="BI304" s="380"/>
      <c r="BJ304" s="380"/>
      <c r="BK304" s="380"/>
      <c r="BL304" s="380"/>
      <c r="BM304" s="403"/>
      <c r="BS304" s="83"/>
      <c r="CA304" s="405"/>
      <c r="CG304" s="83"/>
      <c r="CO304" s="405"/>
      <c r="CU304" s="83"/>
      <c r="DC304" s="405"/>
      <c r="DI304" s="83"/>
      <c r="DQ304" s="405"/>
      <c r="DW304" s="83"/>
      <c r="EE304" s="405"/>
      <c r="EK304" s="83"/>
      <c r="ES304" s="405"/>
      <c r="EY304" s="83"/>
      <c r="FG304" s="405"/>
      <c r="FM304" s="83"/>
      <c r="FU304" s="405"/>
      <c r="GA304" s="83"/>
      <c r="GI304" s="405"/>
      <c r="GO304" s="83"/>
      <c r="GW304" s="405"/>
      <c r="HC304" s="83"/>
      <c r="HK304" s="405"/>
      <c r="HQ304" s="83"/>
      <c r="HY304" s="405"/>
      <c r="IE304" s="83"/>
      <c r="IM304" s="405"/>
      <c r="IS304" s="83"/>
      <c r="JA304" s="405"/>
      <c r="JG304" s="83"/>
      <c r="JO304" s="405"/>
      <c r="JU304" s="83"/>
      <c r="KC304" s="405"/>
      <c r="KI304" s="83"/>
      <c r="KQ304" s="405"/>
      <c r="KW304" s="83"/>
      <c r="LE304" s="405"/>
      <c r="LK304" s="83"/>
      <c r="LS304" s="405"/>
      <c r="LY304" s="83"/>
      <c r="MG304" s="405"/>
      <c r="MM304" s="83"/>
      <c r="MU304" s="405"/>
      <c r="NA304" s="83"/>
    </row>
    <row r="305">
      <c r="A305" s="483"/>
      <c r="B305" s="380"/>
      <c r="C305" s="380"/>
      <c r="D305" s="380"/>
      <c r="E305" s="380"/>
      <c r="F305" s="380"/>
      <c r="G305" s="380"/>
      <c r="H305" s="380"/>
      <c r="I305" s="403"/>
      <c r="J305" s="380"/>
      <c r="K305" s="380"/>
      <c r="L305" s="380"/>
      <c r="M305" s="380"/>
      <c r="N305" s="380"/>
      <c r="O305" s="404"/>
      <c r="P305" s="380"/>
      <c r="Q305" s="380"/>
      <c r="R305" s="380"/>
      <c r="S305" s="380"/>
      <c r="T305" s="380"/>
      <c r="U305" s="380"/>
      <c r="V305" s="380"/>
      <c r="W305" s="403"/>
      <c r="X305" s="380"/>
      <c r="Y305" s="380"/>
      <c r="Z305" s="380"/>
      <c r="AA305" s="380"/>
      <c r="AB305" s="380"/>
      <c r="AC305" s="404"/>
      <c r="AD305" s="380"/>
      <c r="AE305" s="380"/>
      <c r="AF305" s="380"/>
      <c r="AG305" s="380"/>
      <c r="AH305" s="380"/>
      <c r="AI305" s="380"/>
      <c r="AJ305" s="380"/>
      <c r="AK305" s="403"/>
      <c r="AL305" s="380"/>
      <c r="AM305" s="380"/>
      <c r="AN305" s="380"/>
      <c r="AO305" s="380"/>
      <c r="AP305" s="380"/>
      <c r="AQ305" s="404"/>
      <c r="AR305" s="380"/>
      <c r="AS305" s="380"/>
      <c r="AT305" s="380"/>
      <c r="AU305" s="380"/>
      <c r="AV305" s="380"/>
      <c r="AW305" s="380"/>
      <c r="AX305" s="380"/>
      <c r="AY305" s="403"/>
      <c r="AZ305" s="380"/>
      <c r="BA305" s="380"/>
      <c r="BB305" s="380"/>
      <c r="BC305" s="380"/>
      <c r="BD305" s="380"/>
      <c r="BE305" s="404"/>
      <c r="BF305" s="380"/>
      <c r="BG305" s="380"/>
      <c r="BH305" s="380"/>
      <c r="BI305" s="380"/>
      <c r="BJ305" s="380"/>
      <c r="BK305" s="380"/>
      <c r="BL305" s="380"/>
      <c r="BM305" s="403"/>
      <c r="BS305" s="83"/>
      <c r="CA305" s="405"/>
      <c r="CG305" s="83"/>
      <c r="CO305" s="405"/>
      <c r="CU305" s="83"/>
      <c r="DC305" s="405"/>
      <c r="DI305" s="83"/>
      <c r="DQ305" s="405"/>
      <c r="DW305" s="83"/>
      <c r="EE305" s="405"/>
      <c r="EK305" s="83"/>
      <c r="ES305" s="405"/>
      <c r="EY305" s="83"/>
      <c r="FG305" s="405"/>
      <c r="FM305" s="83"/>
      <c r="FU305" s="405"/>
      <c r="GA305" s="83"/>
      <c r="GI305" s="405"/>
      <c r="GO305" s="83"/>
      <c r="GW305" s="405"/>
      <c r="HC305" s="83"/>
      <c r="HK305" s="405"/>
      <c r="HQ305" s="83"/>
      <c r="HY305" s="405"/>
      <c r="IE305" s="83"/>
      <c r="IM305" s="405"/>
      <c r="IS305" s="83"/>
      <c r="JA305" s="405"/>
      <c r="JG305" s="83"/>
      <c r="JO305" s="405"/>
      <c r="JU305" s="83"/>
      <c r="KC305" s="405"/>
      <c r="KI305" s="83"/>
      <c r="KQ305" s="405"/>
      <c r="KW305" s="83"/>
      <c r="LE305" s="405"/>
      <c r="LK305" s="83"/>
      <c r="LS305" s="405"/>
      <c r="LY305" s="83"/>
      <c r="MG305" s="405"/>
      <c r="MM305" s="83"/>
      <c r="MU305" s="405"/>
      <c r="NA305" s="83"/>
    </row>
    <row r="306">
      <c r="A306" s="483"/>
      <c r="B306" s="380"/>
      <c r="C306" s="380"/>
      <c r="D306" s="380"/>
      <c r="E306" s="380"/>
      <c r="F306" s="380"/>
      <c r="G306" s="380"/>
      <c r="H306" s="380"/>
      <c r="I306" s="403"/>
      <c r="J306" s="380"/>
      <c r="K306" s="380"/>
      <c r="L306" s="380"/>
      <c r="M306" s="380"/>
      <c r="N306" s="380"/>
      <c r="O306" s="404"/>
      <c r="P306" s="380"/>
      <c r="Q306" s="380"/>
      <c r="R306" s="380"/>
      <c r="S306" s="380"/>
      <c r="T306" s="380"/>
      <c r="U306" s="380"/>
      <c r="V306" s="380"/>
      <c r="W306" s="403"/>
      <c r="X306" s="380"/>
      <c r="Y306" s="380"/>
      <c r="Z306" s="380"/>
      <c r="AA306" s="380"/>
      <c r="AB306" s="380"/>
      <c r="AC306" s="404"/>
      <c r="AD306" s="380"/>
      <c r="AE306" s="380"/>
      <c r="AF306" s="380"/>
      <c r="AG306" s="380"/>
      <c r="AH306" s="380"/>
      <c r="AI306" s="380"/>
      <c r="AJ306" s="380"/>
      <c r="AK306" s="403"/>
      <c r="AL306" s="380"/>
      <c r="AM306" s="380"/>
      <c r="AN306" s="380"/>
      <c r="AO306" s="380"/>
      <c r="AP306" s="380"/>
      <c r="AQ306" s="404"/>
      <c r="AR306" s="380"/>
      <c r="AS306" s="380"/>
      <c r="AT306" s="380"/>
      <c r="AU306" s="380"/>
      <c r="AV306" s="380"/>
      <c r="AW306" s="380"/>
      <c r="AX306" s="380"/>
      <c r="AY306" s="403"/>
      <c r="AZ306" s="380"/>
      <c r="BA306" s="380"/>
      <c r="BB306" s="380"/>
      <c r="BC306" s="380"/>
      <c r="BD306" s="380"/>
      <c r="BE306" s="404"/>
      <c r="BF306" s="380"/>
      <c r="BG306" s="380"/>
      <c r="BH306" s="380"/>
      <c r="BI306" s="380"/>
      <c r="BJ306" s="380"/>
      <c r="BK306" s="380"/>
      <c r="BL306" s="380"/>
      <c r="BM306" s="403"/>
      <c r="BS306" s="83"/>
      <c r="CA306" s="405"/>
      <c r="CG306" s="83"/>
      <c r="CO306" s="405"/>
      <c r="CU306" s="83"/>
      <c r="DC306" s="405"/>
      <c r="DI306" s="83"/>
      <c r="DQ306" s="405"/>
      <c r="DW306" s="83"/>
      <c r="EE306" s="405"/>
      <c r="EK306" s="83"/>
      <c r="ES306" s="405"/>
      <c r="EY306" s="83"/>
      <c r="FG306" s="405"/>
      <c r="FM306" s="83"/>
      <c r="FU306" s="405"/>
      <c r="GA306" s="83"/>
      <c r="GI306" s="405"/>
      <c r="GO306" s="83"/>
      <c r="GW306" s="405"/>
      <c r="HC306" s="83"/>
      <c r="HK306" s="405"/>
      <c r="HQ306" s="83"/>
      <c r="HY306" s="405"/>
      <c r="IE306" s="83"/>
      <c r="IM306" s="405"/>
      <c r="IS306" s="83"/>
      <c r="JA306" s="405"/>
      <c r="JG306" s="83"/>
      <c r="JO306" s="405"/>
      <c r="JU306" s="83"/>
      <c r="KC306" s="405"/>
      <c r="KI306" s="83"/>
      <c r="KQ306" s="405"/>
      <c r="KW306" s="83"/>
      <c r="LE306" s="405"/>
      <c r="LK306" s="83"/>
      <c r="LS306" s="405"/>
      <c r="LY306" s="83"/>
      <c r="MG306" s="405"/>
      <c r="MM306" s="83"/>
      <c r="MU306" s="405"/>
      <c r="NA306" s="83"/>
    </row>
    <row r="307">
      <c r="A307" s="483"/>
      <c r="B307" s="380"/>
      <c r="C307" s="380"/>
      <c r="D307" s="380"/>
      <c r="E307" s="380"/>
      <c r="F307" s="380"/>
      <c r="G307" s="380"/>
      <c r="H307" s="380"/>
      <c r="I307" s="403"/>
      <c r="J307" s="380"/>
      <c r="K307" s="380"/>
      <c r="L307" s="380"/>
      <c r="M307" s="380"/>
      <c r="N307" s="380"/>
      <c r="O307" s="404"/>
      <c r="P307" s="380"/>
      <c r="Q307" s="380"/>
      <c r="R307" s="380"/>
      <c r="S307" s="380"/>
      <c r="T307" s="380"/>
      <c r="U307" s="380"/>
      <c r="V307" s="380"/>
      <c r="W307" s="403"/>
      <c r="X307" s="380"/>
      <c r="Y307" s="380"/>
      <c r="Z307" s="380"/>
      <c r="AA307" s="380"/>
      <c r="AB307" s="380"/>
      <c r="AC307" s="404"/>
      <c r="AD307" s="380"/>
      <c r="AE307" s="380"/>
      <c r="AF307" s="380"/>
      <c r="AG307" s="380"/>
      <c r="AH307" s="380"/>
      <c r="AI307" s="380"/>
      <c r="AJ307" s="380"/>
      <c r="AK307" s="403"/>
      <c r="AL307" s="380"/>
      <c r="AM307" s="380"/>
      <c r="AN307" s="380"/>
      <c r="AO307" s="380"/>
      <c r="AP307" s="380"/>
      <c r="AQ307" s="404"/>
      <c r="AR307" s="380"/>
      <c r="AS307" s="380"/>
      <c r="AT307" s="380"/>
      <c r="AU307" s="380"/>
      <c r="AV307" s="380"/>
      <c r="AW307" s="380"/>
      <c r="AX307" s="380"/>
      <c r="AY307" s="403"/>
      <c r="AZ307" s="380"/>
      <c r="BA307" s="380"/>
      <c r="BB307" s="380"/>
      <c r="BC307" s="380"/>
      <c r="BD307" s="380"/>
      <c r="BE307" s="404"/>
      <c r="BF307" s="380"/>
      <c r="BG307" s="380"/>
      <c r="BH307" s="380"/>
      <c r="BI307" s="380"/>
      <c r="BJ307" s="380"/>
      <c r="BK307" s="380"/>
      <c r="BL307" s="380"/>
      <c r="BM307" s="403"/>
      <c r="BS307" s="83"/>
      <c r="CA307" s="405"/>
      <c r="CG307" s="83"/>
      <c r="CO307" s="405"/>
      <c r="CU307" s="83"/>
      <c r="DC307" s="405"/>
      <c r="DI307" s="83"/>
      <c r="DQ307" s="405"/>
      <c r="DW307" s="83"/>
      <c r="EE307" s="405"/>
      <c r="EK307" s="83"/>
      <c r="ES307" s="405"/>
      <c r="EY307" s="83"/>
      <c r="FG307" s="405"/>
      <c r="FM307" s="83"/>
      <c r="FU307" s="405"/>
      <c r="GA307" s="83"/>
      <c r="GI307" s="405"/>
      <c r="GO307" s="83"/>
      <c r="GW307" s="405"/>
      <c r="HC307" s="83"/>
      <c r="HK307" s="405"/>
      <c r="HQ307" s="83"/>
      <c r="HY307" s="405"/>
      <c r="IE307" s="83"/>
      <c r="IM307" s="405"/>
      <c r="IS307" s="83"/>
      <c r="JA307" s="405"/>
      <c r="JG307" s="83"/>
      <c r="JO307" s="405"/>
      <c r="JU307" s="83"/>
      <c r="KC307" s="405"/>
      <c r="KI307" s="83"/>
      <c r="KQ307" s="405"/>
      <c r="KW307" s="83"/>
      <c r="LE307" s="405"/>
      <c r="LK307" s="83"/>
      <c r="LS307" s="405"/>
      <c r="LY307" s="83"/>
      <c r="MG307" s="405"/>
      <c r="MM307" s="83"/>
      <c r="MU307" s="405"/>
      <c r="NA307" s="83"/>
    </row>
    <row r="308">
      <c r="A308" s="483"/>
      <c r="B308" s="380"/>
      <c r="C308" s="380"/>
      <c r="D308" s="380"/>
      <c r="E308" s="380"/>
      <c r="F308" s="380"/>
      <c r="G308" s="380"/>
      <c r="H308" s="380"/>
      <c r="I308" s="403"/>
      <c r="J308" s="380"/>
      <c r="K308" s="380"/>
      <c r="L308" s="380"/>
      <c r="M308" s="380"/>
      <c r="N308" s="380"/>
      <c r="O308" s="404"/>
      <c r="P308" s="380"/>
      <c r="Q308" s="380"/>
      <c r="R308" s="380"/>
      <c r="S308" s="380"/>
      <c r="T308" s="380"/>
      <c r="U308" s="380"/>
      <c r="V308" s="380"/>
      <c r="W308" s="403"/>
      <c r="X308" s="380"/>
      <c r="Y308" s="380"/>
      <c r="Z308" s="380"/>
      <c r="AA308" s="380"/>
      <c r="AB308" s="380"/>
      <c r="AC308" s="404"/>
      <c r="AD308" s="380"/>
      <c r="AE308" s="380"/>
      <c r="AF308" s="380"/>
      <c r="AG308" s="380"/>
      <c r="AH308" s="380"/>
      <c r="AI308" s="380"/>
      <c r="AJ308" s="380"/>
      <c r="AK308" s="403"/>
      <c r="AL308" s="380"/>
      <c r="AM308" s="380"/>
      <c r="AN308" s="380"/>
      <c r="AO308" s="380"/>
      <c r="AP308" s="380"/>
      <c r="AQ308" s="404"/>
      <c r="AR308" s="380"/>
      <c r="AS308" s="380"/>
      <c r="AT308" s="380"/>
      <c r="AU308" s="380"/>
      <c r="AV308" s="380"/>
      <c r="AW308" s="380"/>
      <c r="AX308" s="380"/>
      <c r="AY308" s="403"/>
      <c r="AZ308" s="380"/>
      <c r="BA308" s="380"/>
      <c r="BB308" s="380"/>
      <c r="BC308" s="380"/>
      <c r="BD308" s="380"/>
      <c r="BE308" s="404"/>
      <c r="BF308" s="380"/>
      <c r="BG308" s="380"/>
      <c r="BH308" s="380"/>
      <c r="BI308" s="380"/>
      <c r="BJ308" s="380"/>
      <c r="BK308" s="380"/>
      <c r="BL308" s="380"/>
      <c r="BM308" s="403"/>
      <c r="BS308" s="83"/>
      <c r="CA308" s="405"/>
      <c r="CG308" s="83"/>
      <c r="CO308" s="405"/>
      <c r="CU308" s="83"/>
      <c r="DC308" s="405"/>
      <c r="DI308" s="83"/>
      <c r="DQ308" s="405"/>
      <c r="DW308" s="83"/>
      <c r="EE308" s="405"/>
      <c r="EK308" s="83"/>
      <c r="ES308" s="405"/>
      <c r="EY308" s="83"/>
      <c r="FG308" s="405"/>
      <c r="FM308" s="83"/>
      <c r="FU308" s="405"/>
      <c r="GA308" s="83"/>
      <c r="GI308" s="405"/>
      <c r="GO308" s="83"/>
      <c r="GW308" s="405"/>
      <c r="HC308" s="83"/>
      <c r="HK308" s="405"/>
      <c r="HQ308" s="83"/>
      <c r="HY308" s="405"/>
      <c r="IE308" s="83"/>
      <c r="IM308" s="405"/>
      <c r="IS308" s="83"/>
      <c r="JA308" s="405"/>
      <c r="JG308" s="83"/>
      <c r="JO308" s="405"/>
      <c r="JU308" s="83"/>
      <c r="KC308" s="405"/>
      <c r="KI308" s="83"/>
      <c r="KQ308" s="405"/>
      <c r="KW308" s="83"/>
      <c r="LE308" s="405"/>
      <c r="LK308" s="83"/>
      <c r="LS308" s="405"/>
      <c r="LY308" s="83"/>
      <c r="MG308" s="405"/>
      <c r="MM308" s="83"/>
      <c r="MU308" s="405"/>
      <c r="NA308" s="83"/>
    </row>
    <row r="309">
      <c r="A309" s="483"/>
      <c r="B309" s="380"/>
      <c r="C309" s="380"/>
      <c r="D309" s="380"/>
      <c r="E309" s="380"/>
      <c r="F309" s="380"/>
      <c r="G309" s="380"/>
      <c r="H309" s="380"/>
      <c r="I309" s="403"/>
      <c r="J309" s="380"/>
      <c r="K309" s="380"/>
      <c r="L309" s="380"/>
      <c r="M309" s="380"/>
      <c r="N309" s="380"/>
      <c r="O309" s="404"/>
      <c r="P309" s="380"/>
      <c r="Q309" s="380"/>
      <c r="R309" s="380"/>
      <c r="S309" s="380"/>
      <c r="T309" s="380"/>
      <c r="U309" s="380"/>
      <c r="V309" s="380"/>
      <c r="W309" s="403"/>
      <c r="X309" s="380"/>
      <c r="Y309" s="380"/>
      <c r="Z309" s="380"/>
      <c r="AA309" s="380"/>
      <c r="AB309" s="380"/>
      <c r="AC309" s="404"/>
      <c r="AD309" s="380"/>
      <c r="AE309" s="380"/>
      <c r="AF309" s="380"/>
      <c r="AG309" s="380"/>
      <c r="AH309" s="380"/>
      <c r="AI309" s="380"/>
      <c r="AJ309" s="380"/>
      <c r="AK309" s="403"/>
      <c r="AL309" s="380"/>
      <c r="AM309" s="380"/>
      <c r="AN309" s="380"/>
      <c r="AO309" s="380"/>
      <c r="AP309" s="380"/>
      <c r="AQ309" s="404"/>
      <c r="AR309" s="380"/>
      <c r="AS309" s="380"/>
      <c r="AT309" s="380"/>
      <c r="AU309" s="380"/>
      <c r="AV309" s="380"/>
      <c r="AW309" s="380"/>
      <c r="AX309" s="380"/>
      <c r="AY309" s="403"/>
      <c r="AZ309" s="380"/>
      <c r="BA309" s="380"/>
      <c r="BB309" s="380"/>
      <c r="BC309" s="380"/>
      <c r="BD309" s="380"/>
      <c r="BE309" s="404"/>
      <c r="BF309" s="380"/>
      <c r="BG309" s="380"/>
      <c r="BH309" s="380"/>
      <c r="BI309" s="380"/>
      <c r="BJ309" s="380"/>
      <c r="BK309" s="380"/>
      <c r="BL309" s="380"/>
      <c r="BM309" s="403"/>
      <c r="BS309" s="83"/>
      <c r="CA309" s="405"/>
      <c r="CG309" s="83"/>
      <c r="CO309" s="405"/>
      <c r="CU309" s="83"/>
      <c r="DC309" s="405"/>
      <c r="DI309" s="83"/>
      <c r="DQ309" s="405"/>
      <c r="DW309" s="83"/>
      <c r="EE309" s="405"/>
      <c r="EK309" s="83"/>
      <c r="ES309" s="405"/>
      <c r="EY309" s="83"/>
      <c r="FG309" s="405"/>
      <c r="FM309" s="83"/>
      <c r="FU309" s="405"/>
      <c r="GA309" s="83"/>
      <c r="GI309" s="405"/>
      <c r="GO309" s="83"/>
      <c r="GW309" s="405"/>
      <c r="HC309" s="83"/>
      <c r="HK309" s="405"/>
      <c r="HQ309" s="83"/>
      <c r="HY309" s="405"/>
      <c r="IE309" s="83"/>
      <c r="IM309" s="405"/>
      <c r="IS309" s="83"/>
      <c r="JA309" s="405"/>
      <c r="JG309" s="83"/>
      <c r="JO309" s="405"/>
      <c r="JU309" s="83"/>
      <c r="KC309" s="405"/>
      <c r="KI309" s="83"/>
      <c r="KQ309" s="405"/>
      <c r="KW309" s="83"/>
      <c r="LE309" s="405"/>
      <c r="LK309" s="83"/>
      <c r="LS309" s="405"/>
      <c r="LY309" s="83"/>
      <c r="MG309" s="405"/>
      <c r="MM309" s="83"/>
      <c r="MU309" s="405"/>
      <c r="NA309" s="83"/>
    </row>
    <row r="310">
      <c r="A310" s="483"/>
      <c r="B310" s="380"/>
      <c r="C310" s="380"/>
      <c r="D310" s="380"/>
      <c r="E310" s="380"/>
      <c r="F310" s="380"/>
      <c r="G310" s="380"/>
      <c r="H310" s="380"/>
      <c r="I310" s="403"/>
      <c r="J310" s="380"/>
      <c r="K310" s="380"/>
      <c r="L310" s="380"/>
      <c r="M310" s="380"/>
      <c r="N310" s="380"/>
      <c r="O310" s="404"/>
      <c r="P310" s="380"/>
      <c r="Q310" s="380"/>
      <c r="R310" s="380"/>
      <c r="S310" s="380"/>
      <c r="T310" s="380"/>
      <c r="U310" s="380"/>
      <c r="V310" s="380"/>
      <c r="W310" s="403"/>
      <c r="X310" s="380"/>
      <c r="Y310" s="380"/>
      <c r="Z310" s="380"/>
      <c r="AA310" s="380"/>
      <c r="AB310" s="380"/>
      <c r="AC310" s="404"/>
      <c r="AD310" s="380"/>
      <c r="AE310" s="380"/>
      <c r="AF310" s="380"/>
      <c r="AG310" s="380"/>
      <c r="AH310" s="380"/>
      <c r="AI310" s="380"/>
      <c r="AJ310" s="380"/>
      <c r="AK310" s="403"/>
      <c r="AL310" s="380"/>
      <c r="AM310" s="380"/>
      <c r="AN310" s="380"/>
      <c r="AO310" s="380"/>
      <c r="AP310" s="380"/>
      <c r="AQ310" s="404"/>
      <c r="AR310" s="380"/>
      <c r="AS310" s="380"/>
      <c r="AT310" s="380"/>
      <c r="AU310" s="380"/>
      <c r="AV310" s="380"/>
      <c r="AW310" s="380"/>
      <c r="AX310" s="380"/>
      <c r="AY310" s="403"/>
      <c r="AZ310" s="380"/>
      <c r="BA310" s="380"/>
      <c r="BB310" s="380"/>
      <c r="BC310" s="380"/>
      <c r="BD310" s="380"/>
      <c r="BE310" s="404"/>
      <c r="BF310" s="380"/>
      <c r="BG310" s="380"/>
      <c r="BH310" s="380"/>
      <c r="BI310" s="380"/>
      <c r="BJ310" s="380"/>
      <c r="BK310" s="380"/>
      <c r="BL310" s="380"/>
      <c r="BM310" s="403"/>
      <c r="BS310" s="83"/>
      <c r="CA310" s="405"/>
      <c r="CG310" s="83"/>
      <c r="CO310" s="405"/>
      <c r="CU310" s="83"/>
      <c r="DC310" s="405"/>
      <c r="DI310" s="83"/>
      <c r="DQ310" s="405"/>
      <c r="DW310" s="83"/>
      <c r="EE310" s="405"/>
      <c r="EK310" s="83"/>
      <c r="ES310" s="405"/>
      <c r="EY310" s="83"/>
      <c r="FG310" s="405"/>
      <c r="FM310" s="83"/>
      <c r="FU310" s="405"/>
      <c r="GA310" s="83"/>
      <c r="GI310" s="405"/>
      <c r="GO310" s="83"/>
      <c r="GW310" s="405"/>
      <c r="HC310" s="83"/>
      <c r="HK310" s="405"/>
      <c r="HQ310" s="83"/>
      <c r="HY310" s="405"/>
      <c r="IE310" s="83"/>
      <c r="IM310" s="405"/>
      <c r="IS310" s="83"/>
      <c r="JA310" s="405"/>
      <c r="JG310" s="83"/>
      <c r="JO310" s="405"/>
      <c r="JU310" s="83"/>
      <c r="KC310" s="405"/>
      <c r="KI310" s="83"/>
      <c r="KQ310" s="405"/>
      <c r="KW310" s="83"/>
      <c r="LE310" s="405"/>
      <c r="LK310" s="83"/>
      <c r="LS310" s="405"/>
      <c r="LY310" s="83"/>
      <c r="MG310" s="405"/>
      <c r="MM310" s="83"/>
      <c r="MU310" s="405"/>
      <c r="NA310" s="83"/>
    </row>
    <row r="311">
      <c r="A311" s="483"/>
      <c r="B311" s="380"/>
      <c r="C311" s="380"/>
      <c r="D311" s="380"/>
      <c r="E311" s="380"/>
      <c r="F311" s="380"/>
      <c r="G311" s="380"/>
      <c r="H311" s="380"/>
      <c r="I311" s="403"/>
      <c r="J311" s="380"/>
      <c r="K311" s="380"/>
      <c r="L311" s="380"/>
      <c r="M311" s="380"/>
      <c r="N311" s="380"/>
      <c r="O311" s="404"/>
      <c r="P311" s="380"/>
      <c r="Q311" s="380"/>
      <c r="R311" s="380"/>
      <c r="S311" s="380"/>
      <c r="T311" s="380"/>
      <c r="U311" s="380"/>
      <c r="V311" s="380"/>
      <c r="W311" s="403"/>
      <c r="X311" s="380"/>
      <c r="Y311" s="380"/>
      <c r="Z311" s="380"/>
      <c r="AA311" s="380"/>
      <c r="AB311" s="380"/>
      <c r="AC311" s="404"/>
      <c r="AD311" s="380"/>
      <c r="AE311" s="380"/>
      <c r="AF311" s="380"/>
      <c r="AG311" s="380"/>
      <c r="AH311" s="380"/>
      <c r="AI311" s="380"/>
      <c r="AJ311" s="380"/>
      <c r="AK311" s="403"/>
      <c r="AL311" s="380"/>
      <c r="AM311" s="380"/>
      <c r="AN311" s="380"/>
      <c r="AO311" s="380"/>
      <c r="AP311" s="380"/>
      <c r="AQ311" s="404"/>
      <c r="AR311" s="380"/>
      <c r="AS311" s="380"/>
      <c r="AT311" s="380"/>
      <c r="AU311" s="380"/>
      <c r="AV311" s="380"/>
      <c r="AW311" s="380"/>
      <c r="AX311" s="380"/>
      <c r="AY311" s="403"/>
      <c r="AZ311" s="380"/>
      <c r="BA311" s="380"/>
      <c r="BB311" s="380"/>
      <c r="BC311" s="380"/>
      <c r="BD311" s="380"/>
      <c r="BE311" s="404"/>
      <c r="BF311" s="380"/>
      <c r="BG311" s="380"/>
      <c r="BH311" s="380"/>
      <c r="BI311" s="380"/>
      <c r="BJ311" s="380"/>
      <c r="BK311" s="380"/>
      <c r="BL311" s="380"/>
      <c r="BM311" s="403"/>
      <c r="BS311" s="83"/>
      <c r="CA311" s="405"/>
      <c r="CG311" s="83"/>
      <c r="CO311" s="405"/>
      <c r="CU311" s="83"/>
      <c r="DC311" s="405"/>
      <c r="DI311" s="83"/>
      <c r="DQ311" s="405"/>
      <c r="DW311" s="83"/>
      <c r="EE311" s="405"/>
      <c r="EK311" s="83"/>
      <c r="ES311" s="405"/>
      <c r="EY311" s="83"/>
      <c r="FG311" s="405"/>
      <c r="FM311" s="83"/>
      <c r="FU311" s="405"/>
      <c r="GA311" s="83"/>
      <c r="GI311" s="405"/>
      <c r="GO311" s="83"/>
      <c r="GW311" s="405"/>
      <c r="HC311" s="83"/>
      <c r="HK311" s="405"/>
      <c r="HQ311" s="83"/>
      <c r="HY311" s="405"/>
      <c r="IE311" s="83"/>
      <c r="IM311" s="405"/>
      <c r="IS311" s="83"/>
      <c r="JA311" s="405"/>
      <c r="JG311" s="83"/>
      <c r="JO311" s="405"/>
      <c r="JU311" s="83"/>
      <c r="KC311" s="405"/>
      <c r="KI311" s="83"/>
      <c r="KQ311" s="405"/>
      <c r="KW311" s="83"/>
      <c r="LE311" s="405"/>
      <c r="LK311" s="83"/>
      <c r="LS311" s="405"/>
      <c r="LY311" s="83"/>
      <c r="MG311" s="405"/>
      <c r="MM311" s="83"/>
      <c r="MU311" s="405"/>
      <c r="NA311" s="83"/>
    </row>
    <row r="312">
      <c r="A312" s="483"/>
      <c r="B312" s="380"/>
      <c r="C312" s="380"/>
      <c r="D312" s="380"/>
      <c r="E312" s="380"/>
      <c r="F312" s="380"/>
      <c r="G312" s="380"/>
      <c r="H312" s="380"/>
      <c r="I312" s="403"/>
      <c r="J312" s="380"/>
      <c r="K312" s="380"/>
      <c r="L312" s="380"/>
      <c r="M312" s="380"/>
      <c r="N312" s="380"/>
      <c r="O312" s="404"/>
      <c r="P312" s="380"/>
      <c r="Q312" s="380"/>
      <c r="R312" s="380"/>
      <c r="S312" s="380"/>
      <c r="T312" s="380"/>
      <c r="U312" s="380"/>
      <c r="V312" s="380"/>
      <c r="W312" s="403"/>
      <c r="X312" s="380"/>
      <c r="Y312" s="380"/>
      <c r="Z312" s="380"/>
      <c r="AA312" s="380"/>
      <c r="AB312" s="380"/>
      <c r="AC312" s="404"/>
      <c r="AD312" s="380"/>
      <c r="AE312" s="380"/>
      <c r="AF312" s="380"/>
      <c r="AG312" s="380"/>
      <c r="AH312" s="380"/>
      <c r="AI312" s="380"/>
      <c r="AJ312" s="380"/>
      <c r="AK312" s="403"/>
      <c r="AL312" s="380"/>
      <c r="AM312" s="380"/>
      <c r="AN312" s="380"/>
      <c r="AO312" s="380"/>
      <c r="AP312" s="380"/>
      <c r="AQ312" s="404"/>
      <c r="AR312" s="380"/>
      <c r="AS312" s="380"/>
      <c r="AT312" s="380"/>
      <c r="AU312" s="380"/>
      <c r="AV312" s="380"/>
      <c r="AW312" s="380"/>
      <c r="AX312" s="380"/>
      <c r="AY312" s="403"/>
      <c r="AZ312" s="380"/>
      <c r="BA312" s="380"/>
      <c r="BB312" s="380"/>
      <c r="BC312" s="380"/>
      <c r="BD312" s="380"/>
      <c r="BE312" s="404"/>
      <c r="BF312" s="380"/>
      <c r="BG312" s="380"/>
      <c r="BH312" s="380"/>
      <c r="BI312" s="380"/>
      <c r="BJ312" s="380"/>
      <c r="BK312" s="380"/>
      <c r="BL312" s="380"/>
      <c r="BM312" s="403"/>
      <c r="BS312" s="83"/>
      <c r="CA312" s="405"/>
      <c r="CG312" s="83"/>
      <c r="CO312" s="405"/>
      <c r="CU312" s="83"/>
      <c r="DC312" s="405"/>
      <c r="DI312" s="83"/>
      <c r="DQ312" s="405"/>
      <c r="DW312" s="83"/>
      <c r="EE312" s="405"/>
      <c r="EK312" s="83"/>
      <c r="ES312" s="405"/>
      <c r="EY312" s="83"/>
      <c r="FG312" s="405"/>
      <c r="FM312" s="83"/>
      <c r="FU312" s="405"/>
      <c r="GA312" s="83"/>
      <c r="GI312" s="405"/>
      <c r="GO312" s="83"/>
      <c r="GW312" s="405"/>
      <c r="HC312" s="83"/>
      <c r="HK312" s="405"/>
      <c r="HQ312" s="83"/>
      <c r="HY312" s="405"/>
      <c r="IE312" s="83"/>
      <c r="IM312" s="405"/>
      <c r="IS312" s="83"/>
      <c r="JA312" s="405"/>
      <c r="JG312" s="83"/>
      <c r="JO312" s="405"/>
      <c r="JU312" s="83"/>
      <c r="KC312" s="405"/>
      <c r="KI312" s="83"/>
      <c r="KQ312" s="405"/>
      <c r="KW312" s="83"/>
      <c r="LE312" s="405"/>
      <c r="LK312" s="83"/>
      <c r="LS312" s="405"/>
      <c r="LY312" s="83"/>
      <c r="MG312" s="405"/>
      <c r="MM312" s="83"/>
      <c r="MU312" s="405"/>
      <c r="NA312" s="83"/>
    </row>
    <row r="313">
      <c r="A313" s="483"/>
      <c r="B313" s="380"/>
      <c r="C313" s="380"/>
      <c r="D313" s="380"/>
      <c r="E313" s="380"/>
      <c r="F313" s="380"/>
      <c r="G313" s="380"/>
      <c r="H313" s="380"/>
      <c r="I313" s="403"/>
      <c r="J313" s="380"/>
      <c r="K313" s="380"/>
      <c r="L313" s="380"/>
      <c r="M313" s="380"/>
      <c r="N313" s="380"/>
      <c r="O313" s="404"/>
      <c r="P313" s="380"/>
      <c r="Q313" s="380"/>
      <c r="R313" s="380"/>
      <c r="S313" s="380"/>
      <c r="T313" s="380"/>
      <c r="U313" s="380"/>
      <c r="V313" s="380"/>
      <c r="W313" s="403"/>
      <c r="X313" s="380"/>
      <c r="Y313" s="380"/>
      <c r="Z313" s="380"/>
      <c r="AA313" s="380"/>
      <c r="AB313" s="380"/>
      <c r="AC313" s="404"/>
      <c r="AD313" s="380"/>
      <c r="AE313" s="380"/>
      <c r="AF313" s="380"/>
      <c r="AG313" s="380"/>
      <c r="AH313" s="380"/>
      <c r="AI313" s="380"/>
      <c r="AJ313" s="380"/>
      <c r="AK313" s="403"/>
      <c r="AL313" s="380"/>
      <c r="AM313" s="380"/>
      <c r="AN313" s="380"/>
      <c r="AO313" s="380"/>
      <c r="AP313" s="380"/>
      <c r="AQ313" s="404"/>
      <c r="AR313" s="380"/>
      <c r="AS313" s="380"/>
      <c r="AT313" s="380"/>
      <c r="AU313" s="380"/>
      <c r="AV313" s="380"/>
      <c r="AW313" s="380"/>
      <c r="AX313" s="380"/>
      <c r="AY313" s="403"/>
      <c r="AZ313" s="380"/>
      <c r="BA313" s="380"/>
      <c r="BB313" s="380"/>
      <c r="BC313" s="380"/>
      <c r="BD313" s="380"/>
      <c r="BE313" s="404"/>
      <c r="BF313" s="380"/>
      <c r="BG313" s="380"/>
      <c r="BH313" s="380"/>
      <c r="BI313" s="380"/>
      <c r="BJ313" s="380"/>
      <c r="BK313" s="380"/>
      <c r="BL313" s="380"/>
      <c r="BM313" s="403"/>
      <c r="BS313" s="83"/>
      <c r="CA313" s="405"/>
      <c r="CG313" s="83"/>
      <c r="CO313" s="405"/>
      <c r="CU313" s="83"/>
      <c r="DC313" s="405"/>
      <c r="DI313" s="83"/>
      <c r="DQ313" s="405"/>
      <c r="DW313" s="83"/>
      <c r="EE313" s="405"/>
      <c r="EK313" s="83"/>
      <c r="ES313" s="405"/>
      <c r="EY313" s="83"/>
      <c r="FG313" s="405"/>
      <c r="FM313" s="83"/>
      <c r="FU313" s="405"/>
      <c r="GA313" s="83"/>
      <c r="GI313" s="405"/>
      <c r="GO313" s="83"/>
      <c r="GW313" s="405"/>
      <c r="HC313" s="83"/>
      <c r="HK313" s="405"/>
      <c r="HQ313" s="83"/>
      <c r="HY313" s="405"/>
      <c r="IE313" s="83"/>
      <c r="IM313" s="405"/>
      <c r="IS313" s="83"/>
      <c r="JA313" s="405"/>
      <c r="JG313" s="83"/>
      <c r="JO313" s="405"/>
      <c r="JU313" s="83"/>
      <c r="KC313" s="405"/>
      <c r="KI313" s="83"/>
      <c r="KQ313" s="405"/>
      <c r="KW313" s="83"/>
      <c r="LE313" s="405"/>
      <c r="LK313" s="83"/>
      <c r="LS313" s="405"/>
      <c r="LY313" s="83"/>
      <c r="MG313" s="405"/>
      <c r="MM313" s="83"/>
      <c r="MU313" s="405"/>
      <c r="NA313" s="83"/>
    </row>
    <row r="314">
      <c r="A314" s="483"/>
      <c r="B314" s="380"/>
      <c r="C314" s="380"/>
      <c r="D314" s="380"/>
      <c r="E314" s="380"/>
      <c r="F314" s="380"/>
      <c r="G314" s="380"/>
      <c r="H314" s="380"/>
      <c r="I314" s="403"/>
      <c r="J314" s="380"/>
      <c r="K314" s="380"/>
      <c r="L314" s="380"/>
      <c r="M314" s="380"/>
      <c r="N314" s="380"/>
      <c r="O314" s="404"/>
      <c r="P314" s="380"/>
      <c r="Q314" s="380"/>
      <c r="R314" s="380"/>
      <c r="S314" s="380"/>
      <c r="T314" s="380"/>
      <c r="U314" s="380"/>
      <c r="V314" s="380"/>
      <c r="W314" s="403"/>
      <c r="X314" s="380"/>
      <c r="Y314" s="380"/>
      <c r="Z314" s="380"/>
      <c r="AA314" s="380"/>
      <c r="AB314" s="380"/>
      <c r="AC314" s="404"/>
      <c r="AD314" s="380"/>
      <c r="AE314" s="380"/>
      <c r="AF314" s="380"/>
      <c r="AG314" s="380"/>
      <c r="AH314" s="380"/>
      <c r="AI314" s="380"/>
      <c r="AJ314" s="380"/>
      <c r="AK314" s="403"/>
      <c r="AL314" s="380"/>
      <c r="AM314" s="380"/>
      <c r="AN314" s="380"/>
      <c r="AO314" s="380"/>
      <c r="AP314" s="380"/>
      <c r="AQ314" s="404"/>
      <c r="AR314" s="380"/>
      <c r="AS314" s="380"/>
      <c r="AT314" s="380"/>
      <c r="AU314" s="380"/>
      <c r="AV314" s="380"/>
      <c r="AW314" s="380"/>
      <c r="AX314" s="380"/>
      <c r="AY314" s="403"/>
      <c r="AZ314" s="380"/>
      <c r="BA314" s="380"/>
      <c r="BB314" s="380"/>
      <c r="BC314" s="380"/>
      <c r="BD314" s="380"/>
      <c r="BE314" s="404"/>
      <c r="BF314" s="380"/>
      <c r="BG314" s="380"/>
      <c r="BH314" s="380"/>
      <c r="BI314" s="380"/>
      <c r="BJ314" s="380"/>
      <c r="BK314" s="380"/>
      <c r="BL314" s="380"/>
      <c r="BM314" s="403"/>
      <c r="BS314" s="83"/>
      <c r="CA314" s="405"/>
      <c r="CG314" s="83"/>
      <c r="CO314" s="405"/>
      <c r="CU314" s="83"/>
      <c r="DC314" s="405"/>
      <c r="DI314" s="83"/>
      <c r="DQ314" s="405"/>
      <c r="DW314" s="83"/>
      <c r="EE314" s="405"/>
      <c r="EK314" s="83"/>
      <c r="ES314" s="405"/>
      <c r="EY314" s="83"/>
      <c r="FG314" s="405"/>
      <c r="FM314" s="83"/>
      <c r="FU314" s="405"/>
      <c r="GA314" s="83"/>
      <c r="GI314" s="405"/>
      <c r="GO314" s="83"/>
      <c r="GW314" s="405"/>
      <c r="HC314" s="83"/>
      <c r="HK314" s="405"/>
      <c r="HQ314" s="83"/>
      <c r="HY314" s="405"/>
      <c r="IE314" s="83"/>
      <c r="IM314" s="405"/>
      <c r="IS314" s="83"/>
      <c r="JA314" s="405"/>
      <c r="JG314" s="83"/>
      <c r="JO314" s="405"/>
      <c r="JU314" s="83"/>
      <c r="KC314" s="405"/>
      <c r="KI314" s="83"/>
      <c r="KQ314" s="405"/>
      <c r="KW314" s="83"/>
      <c r="LE314" s="405"/>
      <c r="LK314" s="83"/>
      <c r="LS314" s="405"/>
      <c r="LY314" s="83"/>
      <c r="MG314" s="405"/>
      <c r="MM314" s="83"/>
      <c r="MU314" s="405"/>
      <c r="NA314" s="83"/>
    </row>
    <row r="315">
      <c r="A315" s="483"/>
      <c r="B315" s="380"/>
      <c r="C315" s="380"/>
      <c r="D315" s="380"/>
      <c r="E315" s="380"/>
      <c r="F315" s="380"/>
      <c r="G315" s="380"/>
      <c r="H315" s="380"/>
      <c r="I315" s="403"/>
      <c r="J315" s="380"/>
      <c r="K315" s="380"/>
      <c r="L315" s="380"/>
      <c r="M315" s="380"/>
      <c r="N315" s="380"/>
      <c r="O315" s="404"/>
      <c r="P315" s="380"/>
      <c r="Q315" s="380"/>
      <c r="R315" s="380"/>
      <c r="S315" s="380"/>
      <c r="T315" s="380"/>
      <c r="U315" s="380"/>
      <c r="V315" s="380"/>
      <c r="W315" s="403"/>
      <c r="X315" s="380"/>
      <c r="Y315" s="380"/>
      <c r="Z315" s="380"/>
      <c r="AA315" s="380"/>
      <c r="AB315" s="380"/>
      <c r="AC315" s="404"/>
      <c r="AD315" s="380"/>
      <c r="AE315" s="380"/>
      <c r="AF315" s="380"/>
      <c r="AG315" s="380"/>
      <c r="AH315" s="380"/>
      <c r="AI315" s="380"/>
      <c r="AJ315" s="380"/>
      <c r="AK315" s="403"/>
      <c r="AL315" s="380"/>
      <c r="AM315" s="380"/>
      <c r="AN315" s="380"/>
      <c r="AO315" s="380"/>
      <c r="AP315" s="380"/>
      <c r="AQ315" s="404"/>
      <c r="AR315" s="380"/>
      <c r="AS315" s="380"/>
      <c r="AT315" s="380"/>
      <c r="AU315" s="380"/>
      <c r="AV315" s="380"/>
      <c r="AW315" s="380"/>
      <c r="AX315" s="380"/>
      <c r="AY315" s="403"/>
      <c r="AZ315" s="380"/>
      <c r="BA315" s="380"/>
      <c r="BB315" s="380"/>
      <c r="BC315" s="380"/>
      <c r="BD315" s="380"/>
      <c r="BE315" s="404"/>
      <c r="BF315" s="380"/>
      <c r="BG315" s="380"/>
      <c r="BH315" s="380"/>
      <c r="BI315" s="380"/>
      <c r="BJ315" s="380"/>
      <c r="BK315" s="380"/>
      <c r="BL315" s="380"/>
      <c r="BM315" s="403"/>
      <c r="BS315" s="83"/>
      <c r="CA315" s="405"/>
      <c r="CG315" s="83"/>
      <c r="CO315" s="405"/>
      <c r="CU315" s="83"/>
      <c r="DC315" s="405"/>
      <c r="DI315" s="83"/>
      <c r="DQ315" s="405"/>
      <c r="DW315" s="83"/>
      <c r="EE315" s="405"/>
      <c r="EK315" s="83"/>
      <c r="ES315" s="405"/>
      <c r="EY315" s="83"/>
      <c r="FG315" s="405"/>
      <c r="FM315" s="83"/>
      <c r="FU315" s="405"/>
      <c r="GA315" s="83"/>
      <c r="GI315" s="405"/>
      <c r="GO315" s="83"/>
      <c r="GW315" s="405"/>
      <c r="HC315" s="83"/>
      <c r="HK315" s="405"/>
      <c r="HQ315" s="83"/>
      <c r="HY315" s="405"/>
      <c r="IE315" s="83"/>
      <c r="IM315" s="405"/>
      <c r="IS315" s="83"/>
      <c r="JA315" s="405"/>
      <c r="JG315" s="83"/>
      <c r="JO315" s="405"/>
      <c r="JU315" s="83"/>
      <c r="KC315" s="405"/>
      <c r="KI315" s="83"/>
      <c r="KQ315" s="405"/>
      <c r="KW315" s="83"/>
      <c r="LE315" s="405"/>
      <c r="LK315" s="83"/>
      <c r="LS315" s="405"/>
      <c r="LY315" s="83"/>
      <c r="MG315" s="405"/>
      <c r="MM315" s="83"/>
      <c r="MU315" s="405"/>
      <c r="NA315" s="83"/>
    </row>
    <row r="316">
      <c r="A316" s="483"/>
      <c r="B316" s="380"/>
      <c r="C316" s="380"/>
      <c r="D316" s="380"/>
      <c r="E316" s="380"/>
      <c r="F316" s="380"/>
      <c r="G316" s="380"/>
      <c r="H316" s="380"/>
      <c r="I316" s="403"/>
      <c r="J316" s="380"/>
      <c r="K316" s="380"/>
      <c r="L316" s="380"/>
      <c r="M316" s="380"/>
      <c r="N316" s="380"/>
      <c r="O316" s="404"/>
      <c r="P316" s="380"/>
      <c r="Q316" s="380"/>
      <c r="R316" s="380"/>
      <c r="S316" s="380"/>
      <c r="T316" s="380"/>
      <c r="U316" s="380"/>
      <c r="V316" s="380"/>
      <c r="W316" s="403"/>
      <c r="X316" s="380"/>
      <c r="Y316" s="380"/>
      <c r="Z316" s="380"/>
      <c r="AA316" s="380"/>
      <c r="AB316" s="380"/>
      <c r="AC316" s="404"/>
      <c r="AD316" s="380"/>
      <c r="AE316" s="380"/>
      <c r="AF316" s="380"/>
      <c r="AG316" s="380"/>
      <c r="AH316" s="380"/>
      <c r="AI316" s="380"/>
      <c r="AJ316" s="380"/>
      <c r="AK316" s="403"/>
      <c r="AL316" s="380"/>
      <c r="AM316" s="380"/>
      <c r="AN316" s="380"/>
      <c r="AO316" s="380"/>
      <c r="AP316" s="380"/>
      <c r="AQ316" s="404"/>
      <c r="AR316" s="380"/>
      <c r="AS316" s="380"/>
      <c r="AT316" s="380"/>
      <c r="AU316" s="380"/>
      <c r="AV316" s="380"/>
      <c r="AW316" s="380"/>
      <c r="AX316" s="380"/>
      <c r="AY316" s="403"/>
      <c r="AZ316" s="380"/>
      <c r="BA316" s="380"/>
      <c r="BB316" s="380"/>
      <c r="BC316" s="380"/>
      <c r="BD316" s="380"/>
      <c r="BE316" s="404"/>
      <c r="BF316" s="380"/>
      <c r="BG316" s="380"/>
      <c r="BH316" s="380"/>
      <c r="BI316" s="380"/>
      <c r="BJ316" s="380"/>
      <c r="BK316" s="380"/>
      <c r="BL316" s="380"/>
      <c r="BM316" s="403"/>
      <c r="BS316" s="83"/>
      <c r="CA316" s="405"/>
      <c r="CG316" s="83"/>
      <c r="CO316" s="405"/>
      <c r="CU316" s="83"/>
      <c r="DC316" s="405"/>
      <c r="DI316" s="83"/>
      <c r="DQ316" s="405"/>
      <c r="DW316" s="83"/>
      <c r="EE316" s="405"/>
      <c r="EK316" s="83"/>
      <c r="ES316" s="405"/>
      <c r="EY316" s="83"/>
      <c r="FG316" s="405"/>
      <c r="FM316" s="83"/>
      <c r="FU316" s="405"/>
      <c r="GA316" s="83"/>
      <c r="GI316" s="405"/>
      <c r="GO316" s="83"/>
      <c r="GW316" s="405"/>
      <c r="HC316" s="83"/>
      <c r="HK316" s="405"/>
      <c r="HQ316" s="83"/>
      <c r="HY316" s="405"/>
      <c r="IE316" s="83"/>
      <c r="IM316" s="405"/>
      <c r="IS316" s="83"/>
      <c r="JA316" s="405"/>
      <c r="JG316" s="83"/>
      <c r="JO316" s="405"/>
      <c r="JU316" s="83"/>
      <c r="KC316" s="405"/>
      <c r="KI316" s="83"/>
      <c r="KQ316" s="405"/>
      <c r="KW316" s="83"/>
      <c r="LE316" s="405"/>
      <c r="LK316" s="83"/>
      <c r="LS316" s="405"/>
      <c r="LY316" s="83"/>
      <c r="MG316" s="405"/>
      <c r="MM316" s="83"/>
      <c r="MU316" s="405"/>
      <c r="NA316" s="83"/>
    </row>
    <row r="317">
      <c r="A317" s="483"/>
      <c r="B317" s="380"/>
      <c r="C317" s="380"/>
      <c r="D317" s="380"/>
      <c r="E317" s="380"/>
      <c r="F317" s="380"/>
      <c r="G317" s="380"/>
      <c r="H317" s="380"/>
      <c r="I317" s="403"/>
      <c r="J317" s="380"/>
      <c r="K317" s="380"/>
      <c r="L317" s="380"/>
      <c r="M317" s="380"/>
      <c r="N317" s="380"/>
      <c r="O317" s="404"/>
      <c r="P317" s="380"/>
      <c r="Q317" s="380"/>
      <c r="R317" s="380"/>
      <c r="S317" s="380"/>
      <c r="T317" s="380"/>
      <c r="U317" s="380"/>
      <c r="V317" s="380"/>
      <c r="W317" s="403"/>
      <c r="X317" s="380"/>
      <c r="Y317" s="380"/>
      <c r="Z317" s="380"/>
      <c r="AA317" s="380"/>
      <c r="AB317" s="380"/>
      <c r="AC317" s="404"/>
      <c r="AD317" s="380"/>
      <c r="AE317" s="380"/>
      <c r="AF317" s="380"/>
      <c r="AG317" s="380"/>
      <c r="AH317" s="380"/>
      <c r="AI317" s="380"/>
      <c r="AJ317" s="380"/>
      <c r="AK317" s="403"/>
      <c r="AL317" s="380"/>
      <c r="AM317" s="380"/>
      <c r="AN317" s="380"/>
      <c r="AO317" s="380"/>
      <c r="AP317" s="380"/>
      <c r="AQ317" s="404"/>
      <c r="AR317" s="380"/>
      <c r="AS317" s="380"/>
      <c r="AT317" s="380"/>
      <c r="AU317" s="380"/>
      <c r="AV317" s="380"/>
      <c r="AW317" s="380"/>
      <c r="AX317" s="380"/>
      <c r="AY317" s="403"/>
      <c r="AZ317" s="380"/>
      <c r="BA317" s="380"/>
      <c r="BB317" s="380"/>
      <c r="BC317" s="380"/>
      <c r="BD317" s="380"/>
      <c r="BE317" s="404"/>
      <c r="BF317" s="380"/>
      <c r="BG317" s="380"/>
      <c r="BH317" s="380"/>
      <c r="BI317" s="380"/>
      <c r="BJ317" s="380"/>
      <c r="BK317" s="380"/>
      <c r="BL317" s="380"/>
      <c r="BM317" s="403"/>
      <c r="BS317" s="83"/>
      <c r="CA317" s="405"/>
      <c r="CG317" s="83"/>
      <c r="CO317" s="405"/>
      <c r="CU317" s="83"/>
      <c r="DC317" s="405"/>
      <c r="DI317" s="83"/>
      <c r="DQ317" s="405"/>
      <c r="DW317" s="83"/>
      <c r="EE317" s="405"/>
      <c r="EK317" s="83"/>
      <c r="ES317" s="405"/>
      <c r="EY317" s="83"/>
      <c r="FG317" s="405"/>
      <c r="FM317" s="83"/>
      <c r="FU317" s="405"/>
      <c r="GA317" s="83"/>
      <c r="GI317" s="405"/>
      <c r="GO317" s="83"/>
      <c r="GW317" s="405"/>
      <c r="HC317" s="83"/>
      <c r="HK317" s="405"/>
      <c r="HQ317" s="83"/>
      <c r="HY317" s="405"/>
      <c r="IE317" s="83"/>
      <c r="IM317" s="405"/>
      <c r="IS317" s="83"/>
      <c r="JA317" s="405"/>
      <c r="JG317" s="83"/>
      <c r="JO317" s="405"/>
      <c r="JU317" s="83"/>
      <c r="KC317" s="405"/>
      <c r="KI317" s="83"/>
      <c r="KQ317" s="405"/>
      <c r="KW317" s="83"/>
      <c r="LE317" s="405"/>
      <c r="LK317" s="83"/>
      <c r="LS317" s="405"/>
      <c r="LY317" s="83"/>
      <c r="MG317" s="405"/>
      <c r="MM317" s="83"/>
      <c r="MU317" s="405"/>
      <c r="NA317" s="83"/>
    </row>
    <row r="318">
      <c r="A318" s="483"/>
      <c r="B318" s="380"/>
      <c r="C318" s="380"/>
      <c r="D318" s="380"/>
      <c r="E318" s="380"/>
      <c r="F318" s="380"/>
      <c r="G318" s="380"/>
      <c r="H318" s="380"/>
      <c r="I318" s="403"/>
      <c r="J318" s="380"/>
      <c r="K318" s="380"/>
      <c r="L318" s="380"/>
      <c r="M318" s="380"/>
      <c r="N318" s="380"/>
      <c r="O318" s="404"/>
      <c r="P318" s="380"/>
      <c r="Q318" s="380"/>
      <c r="R318" s="380"/>
      <c r="S318" s="380"/>
      <c r="T318" s="380"/>
      <c r="U318" s="380"/>
      <c r="V318" s="380"/>
      <c r="W318" s="403"/>
      <c r="X318" s="380"/>
      <c r="Y318" s="380"/>
      <c r="Z318" s="380"/>
      <c r="AA318" s="380"/>
      <c r="AB318" s="380"/>
      <c r="AC318" s="404"/>
      <c r="AD318" s="380"/>
      <c r="AE318" s="380"/>
      <c r="AF318" s="380"/>
      <c r="AG318" s="380"/>
      <c r="AH318" s="380"/>
      <c r="AI318" s="380"/>
      <c r="AJ318" s="380"/>
      <c r="AK318" s="403"/>
      <c r="AL318" s="380"/>
      <c r="AM318" s="380"/>
      <c r="AN318" s="380"/>
      <c r="AO318" s="380"/>
      <c r="AP318" s="380"/>
      <c r="AQ318" s="404"/>
      <c r="AR318" s="380"/>
      <c r="AS318" s="380"/>
      <c r="AT318" s="380"/>
      <c r="AU318" s="380"/>
      <c r="AV318" s="380"/>
      <c r="AW318" s="380"/>
      <c r="AX318" s="380"/>
      <c r="AY318" s="403"/>
      <c r="AZ318" s="380"/>
      <c r="BA318" s="380"/>
      <c r="BB318" s="380"/>
      <c r="BC318" s="380"/>
      <c r="BD318" s="380"/>
      <c r="BE318" s="404"/>
      <c r="BF318" s="380"/>
      <c r="BG318" s="380"/>
      <c r="BH318" s="380"/>
      <c r="BI318" s="380"/>
      <c r="BJ318" s="380"/>
      <c r="BK318" s="380"/>
      <c r="BL318" s="380"/>
      <c r="BM318" s="403"/>
      <c r="BS318" s="83"/>
      <c r="CA318" s="405"/>
      <c r="CG318" s="83"/>
      <c r="CO318" s="405"/>
      <c r="CU318" s="83"/>
      <c r="DC318" s="405"/>
      <c r="DI318" s="83"/>
      <c r="DQ318" s="405"/>
      <c r="DW318" s="83"/>
      <c r="EE318" s="405"/>
      <c r="EK318" s="83"/>
      <c r="ES318" s="405"/>
      <c r="EY318" s="83"/>
      <c r="FG318" s="405"/>
      <c r="FM318" s="83"/>
      <c r="FU318" s="405"/>
      <c r="GA318" s="83"/>
      <c r="GI318" s="405"/>
      <c r="GO318" s="83"/>
      <c r="GW318" s="405"/>
      <c r="HC318" s="83"/>
      <c r="HK318" s="405"/>
      <c r="HQ318" s="83"/>
      <c r="HY318" s="405"/>
      <c r="IE318" s="83"/>
      <c r="IM318" s="405"/>
      <c r="IS318" s="83"/>
      <c r="JA318" s="405"/>
      <c r="JG318" s="83"/>
      <c r="JO318" s="405"/>
      <c r="JU318" s="83"/>
      <c r="KC318" s="405"/>
      <c r="KI318" s="83"/>
      <c r="KQ318" s="405"/>
      <c r="KW318" s="83"/>
      <c r="LE318" s="405"/>
      <c r="LK318" s="83"/>
      <c r="LS318" s="405"/>
      <c r="LY318" s="83"/>
      <c r="MG318" s="405"/>
      <c r="MM318" s="83"/>
      <c r="MU318" s="405"/>
      <c r="NA318" s="83"/>
    </row>
    <row r="319">
      <c r="A319" s="483"/>
      <c r="B319" s="380"/>
      <c r="C319" s="380"/>
      <c r="D319" s="380"/>
      <c r="E319" s="380"/>
      <c r="F319" s="380"/>
      <c r="G319" s="380"/>
      <c r="H319" s="380"/>
      <c r="I319" s="403"/>
      <c r="J319" s="380"/>
      <c r="K319" s="380"/>
      <c r="L319" s="380"/>
      <c r="M319" s="380"/>
      <c r="N319" s="380"/>
      <c r="O319" s="404"/>
      <c r="P319" s="380"/>
      <c r="Q319" s="380"/>
      <c r="R319" s="380"/>
      <c r="S319" s="380"/>
      <c r="T319" s="380"/>
      <c r="U319" s="380"/>
      <c r="V319" s="380"/>
      <c r="W319" s="403"/>
      <c r="X319" s="380"/>
      <c r="Y319" s="380"/>
      <c r="Z319" s="380"/>
      <c r="AA319" s="380"/>
      <c r="AB319" s="380"/>
      <c r="AC319" s="404"/>
      <c r="AD319" s="380"/>
      <c r="AE319" s="380"/>
      <c r="AF319" s="380"/>
      <c r="AG319" s="380"/>
      <c r="AH319" s="380"/>
      <c r="AI319" s="380"/>
      <c r="AJ319" s="380"/>
      <c r="AK319" s="403"/>
      <c r="AL319" s="380"/>
      <c r="AM319" s="380"/>
      <c r="AN319" s="380"/>
      <c r="AO319" s="380"/>
      <c r="AP319" s="380"/>
      <c r="AQ319" s="404"/>
      <c r="AR319" s="380"/>
      <c r="AS319" s="380"/>
      <c r="AT319" s="380"/>
      <c r="AU319" s="380"/>
      <c r="AV319" s="380"/>
      <c r="AW319" s="380"/>
      <c r="AX319" s="380"/>
      <c r="AY319" s="403"/>
      <c r="AZ319" s="380"/>
      <c r="BA319" s="380"/>
      <c r="BB319" s="380"/>
      <c r="BC319" s="380"/>
      <c r="BD319" s="380"/>
      <c r="BE319" s="404"/>
      <c r="BF319" s="380"/>
      <c r="BG319" s="380"/>
      <c r="BH319" s="380"/>
      <c r="BI319" s="380"/>
      <c r="BJ319" s="380"/>
      <c r="BK319" s="380"/>
      <c r="BL319" s="380"/>
      <c r="BM319" s="403"/>
      <c r="BS319" s="83"/>
      <c r="CA319" s="405"/>
      <c r="CG319" s="83"/>
      <c r="CO319" s="405"/>
      <c r="CU319" s="83"/>
      <c r="DC319" s="405"/>
      <c r="DI319" s="83"/>
      <c r="DQ319" s="405"/>
      <c r="DW319" s="83"/>
      <c r="EE319" s="405"/>
      <c r="EK319" s="83"/>
      <c r="ES319" s="405"/>
      <c r="EY319" s="83"/>
      <c r="FG319" s="405"/>
      <c r="FM319" s="83"/>
      <c r="FU319" s="405"/>
      <c r="GA319" s="83"/>
      <c r="GI319" s="405"/>
      <c r="GO319" s="83"/>
      <c r="GW319" s="405"/>
      <c r="HC319" s="83"/>
      <c r="HK319" s="405"/>
      <c r="HQ319" s="83"/>
      <c r="HY319" s="405"/>
      <c r="IE319" s="83"/>
      <c r="IM319" s="405"/>
      <c r="IS319" s="83"/>
      <c r="JA319" s="405"/>
      <c r="JG319" s="83"/>
      <c r="JO319" s="405"/>
      <c r="JU319" s="83"/>
      <c r="KC319" s="405"/>
      <c r="KI319" s="83"/>
      <c r="KQ319" s="405"/>
      <c r="KW319" s="83"/>
      <c r="LE319" s="405"/>
      <c r="LK319" s="83"/>
      <c r="LS319" s="405"/>
      <c r="LY319" s="83"/>
      <c r="MG319" s="405"/>
      <c r="MM319" s="83"/>
      <c r="MU319" s="405"/>
      <c r="NA319" s="83"/>
    </row>
    <row r="320">
      <c r="A320" s="483"/>
      <c r="B320" s="380"/>
      <c r="C320" s="380"/>
      <c r="D320" s="380"/>
      <c r="E320" s="380"/>
      <c r="F320" s="380"/>
      <c r="G320" s="380"/>
      <c r="H320" s="380"/>
      <c r="I320" s="403"/>
      <c r="J320" s="380"/>
      <c r="K320" s="380"/>
      <c r="L320" s="380"/>
      <c r="M320" s="380"/>
      <c r="N320" s="380"/>
      <c r="O320" s="404"/>
      <c r="P320" s="380"/>
      <c r="Q320" s="380"/>
      <c r="R320" s="380"/>
      <c r="S320" s="380"/>
      <c r="T320" s="380"/>
      <c r="U320" s="380"/>
      <c r="V320" s="380"/>
      <c r="W320" s="403"/>
      <c r="X320" s="380"/>
      <c r="Y320" s="380"/>
      <c r="Z320" s="380"/>
      <c r="AA320" s="380"/>
      <c r="AB320" s="380"/>
      <c r="AC320" s="404"/>
      <c r="AD320" s="380"/>
      <c r="AE320" s="380"/>
      <c r="AF320" s="380"/>
      <c r="AG320" s="380"/>
      <c r="AH320" s="380"/>
      <c r="AI320" s="380"/>
      <c r="AJ320" s="380"/>
      <c r="AK320" s="403"/>
      <c r="AL320" s="380"/>
      <c r="AM320" s="380"/>
      <c r="AN320" s="380"/>
      <c r="AO320" s="380"/>
      <c r="AP320" s="380"/>
      <c r="AQ320" s="404"/>
      <c r="AR320" s="380"/>
      <c r="AS320" s="380"/>
      <c r="AT320" s="380"/>
      <c r="AU320" s="380"/>
      <c r="AV320" s="380"/>
      <c r="AW320" s="380"/>
      <c r="AX320" s="380"/>
      <c r="AY320" s="403"/>
      <c r="AZ320" s="380"/>
      <c r="BA320" s="380"/>
      <c r="BB320" s="380"/>
      <c r="BC320" s="380"/>
      <c r="BD320" s="380"/>
      <c r="BE320" s="404"/>
      <c r="BF320" s="380"/>
      <c r="BG320" s="380"/>
      <c r="BH320" s="380"/>
      <c r="BI320" s="380"/>
      <c r="BJ320" s="380"/>
      <c r="BK320" s="380"/>
      <c r="BL320" s="380"/>
      <c r="BM320" s="403"/>
      <c r="BS320" s="83"/>
      <c r="CA320" s="405"/>
      <c r="CG320" s="83"/>
      <c r="CO320" s="405"/>
      <c r="CU320" s="83"/>
      <c r="DC320" s="405"/>
      <c r="DI320" s="83"/>
      <c r="DQ320" s="405"/>
      <c r="DW320" s="83"/>
      <c r="EE320" s="405"/>
      <c r="EK320" s="83"/>
      <c r="ES320" s="405"/>
      <c r="EY320" s="83"/>
      <c r="FG320" s="405"/>
      <c r="FM320" s="83"/>
      <c r="FU320" s="405"/>
      <c r="GA320" s="83"/>
      <c r="GI320" s="405"/>
      <c r="GO320" s="83"/>
      <c r="GW320" s="405"/>
      <c r="HC320" s="83"/>
      <c r="HK320" s="405"/>
      <c r="HQ320" s="83"/>
      <c r="HY320" s="405"/>
      <c r="IE320" s="83"/>
      <c r="IM320" s="405"/>
      <c r="IS320" s="83"/>
      <c r="JA320" s="405"/>
      <c r="JG320" s="83"/>
      <c r="JO320" s="405"/>
      <c r="JU320" s="83"/>
      <c r="KC320" s="405"/>
      <c r="KI320" s="83"/>
      <c r="KQ320" s="405"/>
      <c r="KW320" s="83"/>
      <c r="LE320" s="405"/>
      <c r="LK320" s="83"/>
      <c r="LS320" s="405"/>
      <c r="LY320" s="83"/>
      <c r="MG320" s="405"/>
      <c r="MM320" s="83"/>
      <c r="MU320" s="405"/>
      <c r="NA320" s="83"/>
    </row>
    <row r="321">
      <c r="A321" s="483"/>
      <c r="B321" s="380"/>
      <c r="C321" s="380"/>
      <c r="D321" s="380"/>
      <c r="E321" s="380"/>
      <c r="F321" s="380"/>
      <c r="G321" s="380"/>
      <c r="H321" s="380"/>
      <c r="I321" s="403"/>
      <c r="J321" s="380"/>
      <c r="K321" s="380"/>
      <c r="L321" s="380"/>
      <c r="M321" s="380"/>
      <c r="N321" s="380"/>
      <c r="O321" s="404"/>
      <c r="P321" s="380"/>
      <c r="Q321" s="380"/>
      <c r="R321" s="380"/>
      <c r="S321" s="380"/>
      <c r="T321" s="380"/>
      <c r="U321" s="380"/>
      <c r="V321" s="380"/>
      <c r="W321" s="403"/>
      <c r="X321" s="380"/>
      <c r="Y321" s="380"/>
      <c r="Z321" s="380"/>
      <c r="AA321" s="380"/>
      <c r="AB321" s="380"/>
      <c r="AC321" s="404"/>
      <c r="AD321" s="380"/>
      <c r="AE321" s="380"/>
      <c r="AF321" s="380"/>
      <c r="AG321" s="380"/>
      <c r="AH321" s="380"/>
      <c r="AI321" s="380"/>
      <c r="AJ321" s="380"/>
      <c r="AK321" s="403"/>
      <c r="AL321" s="380"/>
      <c r="AM321" s="380"/>
      <c r="AN321" s="380"/>
      <c r="AO321" s="380"/>
      <c r="AP321" s="380"/>
      <c r="AQ321" s="404"/>
      <c r="AR321" s="380"/>
      <c r="AS321" s="380"/>
      <c r="AT321" s="380"/>
      <c r="AU321" s="380"/>
      <c r="AV321" s="380"/>
      <c r="AW321" s="380"/>
      <c r="AX321" s="380"/>
      <c r="AY321" s="403"/>
      <c r="AZ321" s="380"/>
      <c r="BA321" s="380"/>
      <c r="BB321" s="380"/>
      <c r="BC321" s="380"/>
      <c r="BD321" s="380"/>
      <c r="BE321" s="404"/>
      <c r="BF321" s="380"/>
      <c r="BG321" s="380"/>
      <c r="BH321" s="380"/>
      <c r="BI321" s="380"/>
      <c r="BJ321" s="380"/>
      <c r="BK321" s="380"/>
      <c r="BL321" s="380"/>
      <c r="BM321" s="403"/>
      <c r="BS321" s="83"/>
      <c r="CA321" s="405"/>
      <c r="CG321" s="83"/>
      <c r="CO321" s="405"/>
      <c r="CU321" s="83"/>
      <c r="DC321" s="405"/>
      <c r="DI321" s="83"/>
      <c r="DQ321" s="405"/>
      <c r="DW321" s="83"/>
      <c r="EE321" s="405"/>
      <c r="EK321" s="83"/>
      <c r="ES321" s="405"/>
      <c r="EY321" s="83"/>
      <c r="FG321" s="405"/>
      <c r="FM321" s="83"/>
      <c r="FU321" s="405"/>
      <c r="GA321" s="83"/>
      <c r="GI321" s="405"/>
      <c r="GO321" s="83"/>
      <c r="GW321" s="405"/>
      <c r="HC321" s="83"/>
      <c r="HK321" s="405"/>
      <c r="HQ321" s="83"/>
      <c r="HY321" s="405"/>
      <c r="IE321" s="83"/>
      <c r="IM321" s="405"/>
      <c r="IS321" s="83"/>
      <c r="JA321" s="405"/>
      <c r="JG321" s="83"/>
      <c r="JO321" s="405"/>
      <c r="JU321" s="83"/>
      <c r="KC321" s="405"/>
      <c r="KI321" s="83"/>
      <c r="KQ321" s="405"/>
      <c r="KW321" s="83"/>
      <c r="LE321" s="405"/>
      <c r="LK321" s="83"/>
      <c r="LS321" s="405"/>
      <c r="LY321" s="83"/>
      <c r="MG321" s="405"/>
      <c r="MM321" s="83"/>
      <c r="MU321" s="405"/>
      <c r="NA321" s="83"/>
    </row>
    <row r="322">
      <c r="A322" s="483"/>
      <c r="B322" s="380"/>
      <c r="C322" s="380"/>
      <c r="D322" s="380"/>
      <c r="E322" s="380"/>
      <c r="F322" s="380"/>
      <c r="G322" s="380"/>
      <c r="H322" s="380"/>
      <c r="I322" s="403"/>
      <c r="J322" s="380"/>
      <c r="K322" s="380"/>
      <c r="L322" s="380"/>
      <c r="M322" s="380"/>
      <c r="N322" s="380"/>
      <c r="O322" s="404"/>
      <c r="P322" s="380"/>
      <c r="Q322" s="380"/>
      <c r="R322" s="380"/>
      <c r="S322" s="380"/>
      <c r="T322" s="380"/>
      <c r="U322" s="380"/>
      <c r="V322" s="380"/>
      <c r="W322" s="403"/>
      <c r="X322" s="380"/>
      <c r="Y322" s="380"/>
      <c r="Z322" s="380"/>
      <c r="AA322" s="380"/>
      <c r="AB322" s="380"/>
      <c r="AC322" s="404"/>
      <c r="AD322" s="380"/>
      <c r="AE322" s="380"/>
      <c r="AF322" s="380"/>
      <c r="AG322" s="380"/>
      <c r="AH322" s="380"/>
      <c r="AI322" s="380"/>
      <c r="AJ322" s="380"/>
      <c r="AK322" s="403"/>
      <c r="AL322" s="380"/>
      <c r="AM322" s="380"/>
      <c r="AN322" s="380"/>
      <c r="AO322" s="380"/>
      <c r="AP322" s="380"/>
      <c r="AQ322" s="404"/>
      <c r="AR322" s="380"/>
      <c r="AS322" s="380"/>
      <c r="AT322" s="380"/>
      <c r="AU322" s="380"/>
      <c r="AV322" s="380"/>
      <c r="AW322" s="380"/>
      <c r="AX322" s="380"/>
      <c r="AY322" s="403"/>
      <c r="AZ322" s="380"/>
      <c r="BA322" s="380"/>
      <c r="BB322" s="380"/>
      <c r="BC322" s="380"/>
      <c r="BD322" s="380"/>
      <c r="BE322" s="404"/>
      <c r="BF322" s="380"/>
      <c r="BG322" s="380"/>
      <c r="BH322" s="380"/>
      <c r="BI322" s="380"/>
      <c r="BJ322" s="380"/>
      <c r="BK322" s="380"/>
      <c r="BL322" s="380"/>
      <c r="BM322" s="403"/>
      <c r="BS322" s="83"/>
      <c r="CA322" s="405"/>
      <c r="CG322" s="83"/>
      <c r="CO322" s="405"/>
      <c r="CU322" s="83"/>
      <c r="DC322" s="405"/>
      <c r="DI322" s="83"/>
      <c r="DQ322" s="405"/>
      <c r="DW322" s="83"/>
      <c r="EE322" s="405"/>
      <c r="EK322" s="83"/>
      <c r="ES322" s="405"/>
      <c r="EY322" s="83"/>
      <c r="FG322" s="405"/>
      <c r="FM322" s="83"/>
      <c r="FU322" s="405"/>
      <c r="GA322" s="83"/>
      <c r="GI322" s="405"/>
      <c r="GO322" s="83"/>
      <c r="GW322" s="405"/>
      <c r="HC322" s="83"/>
      <c r="HK322" s="405"/>
      <c r="HQ322" s="83"/>
      <c r="HY322" s="405"/>
      <c r="IE322" s="83"/>
      <c r="IM322" s="405"/>
      <c r="IS322" s="83"/>
      <c r="JA322" s="405"/>
      <c r="JG322" s="83"/>
      <c r="JO322" s="405"/>
      <c r="JU322" s="83"/>
      <c r="KC322" s="405"/>
      <c r="KI322" s="83"/>
      <c r="KQ322" s="405"/>
      <c r="KW322" s="83"/>
      <c r="LE322" s="405"/>
      <c r="LK322" s="83"/>
      <c r="LS322" s="405"/>
      <c r="LY322" s="83"/>
      <c r="MG322" s="405"/>
      <c r="MM322" s="83"/>
      <c r="MU322" s="405"/>
      <c r="NA322" s="83"/>
    </row>
    <row r="323">
      <c r="A323" s="483"/>
      <c r="B323" s="380"/>
      <c r="C323" s="380"/>
      <c r="D323" s="380"/>
      <c r="E323" s="380"/>
      <c r="F323" s="380"/>
      <c r="G323" s="380"/>
      <c r="H323" s="380"/>
      <c r="I323" s="403"/>
      <c r="J323" s="380"/>
      <c r="K323" s="380"/>
      <c r="L323" s="380"/>
      <c r="M323" s="380"/>
      <c r="N323" s="380"/>
      <c r="O323" s="404"/>
      <c r="P323" s="380"/>
      <c r="Q323" s="380"/>
      <c r="R323" s="380"/>
      <c r="S323" s="380"/>
      <c r="T323" s="380"/>
      <c r="U323" s="380"/>
      <c r="V323" s="380"/>
      <c r="W323" s="403"/>
      <c r="X323" s="380"/>
      <c r="Y323" s="380"/>
      <c r="Z323" s="380"/>
      <c r="AA323" s="380"/>
      <c r="AB323" s="380"/>
      <c r="AC323" s="404"/>
      <c r="AD323" s="380"/>
      <c r="AE323" s="380"/>
      <c r="AF323" s="380"/>
      <c r="AG323" s="380"/>
      <c r="AH323" s="380"/>
      <c r="AI323" s="380"/>
      <c r="AJ323" s="380"/>
      <c r="AK323" s="403"/>
      <c r="AL323" s="380"/>
      <c r="AM323" s="380"/>
      <c r="AN323" s="380"/>
      <c r="AO323" s="380"/>
      <c r="AP323" s="380"/>
      <c r="AQ323" s="404"/>
      <c r="AR323" s="380"/>
      <c r="AS323" s="380"/>
      <c r="AT323" s="380"/>
      <c r="AU323" s="380"/>
      <c r="AV323" s="380"/>
      <c r="AW323" s="380"/>
      <c r="AX323" s="380"/>
      <c r="AY323" s="403"/>
      <c r="AZ323" s="380"/>
      <c r="BA323" s="380"/>
      <c r="BB323" s="380"/>
      <c r="BC323" s="380"/>
      <c r="BD323" s="380"/>
      <c r="BE323" s="404"/>
      <c r="BF323" s="380"/>
      <c r="BG323" s="380"/>
      <c r="BH323" s="380"/>
      <c r="BI323" s="380"/>
      <c r="BJ323" s="380"/>
      <c r="BK323" s="380"/>
      <c r="BL323" s="380"/>
      <c r="BM323" s="403"/>
      <c r="BS323" s="83"/>
      <c r="CA323" s="405"/>
      <c r="CG323" s="83"/>
      <c r="CO323" s="405"/>
      <c r="CU323" s="83"/>
      <c r="DC323" s="405"/>
      <c r="DI323" s="83"/>
      <c r="DQ323" s="405"/>
      <c r="DW323" s="83"/>
      <c r="EE323" s="405"/>
      <c r="EK323" s="83"/>
      <c r="ES323" s="405"/>
      <c r="EY323" s="83"/>
      <c r="FG323" s="405"/>
      <c r="FM323" s="83"/>
      <c r="FU323" s="405"/>
      <c r="GA323" s="83"/>
      <c r="GI323" s="405"/>
      <c r="GO323" s="83"/>
      <c r="GW323" s="405"/>
      <c r="HC323" s="83"/>
      <c r="HK323" s="405"/>
      <c r="HQ323" s="83"/>
      <c r="HY323" s="405"/>
      <c r="IE323" s="83"/>
      <c r="IM323" s="405"/>
      <c r="IS323" s="83"/>
      <c r="JA323" s="405"/>
      <c r="JG323" s="83"/>
      <c r="JO323" s="405"/>
      <c r="JU323" s="83"/>
      <c r="KC323" s="405"/>
      <c r="KI323" s="83"/>
      <c r="KQ323" s="405"/>
      <c r="KW323" s="83"/>
      <c r="LE323" s="405"/>
      <c r="LK323" s="83"/>
      <c r="LS323" s="405"/>
      <c r="LY323" s="83"/>
      <c r="MG323" s="405"/>
      <c r="MM323" s="83"/>
      <c r="MU323" s="405"/>
      <c r="NA323" s="83"/>
    </row>
    <row r="324">
      <c r="A324" s="483"/>
      <c r="B324" s="380"/>
      <c r="C324" s="380"/>
      <c r="D324" s="380"/>
      <c r="E324" s="380"/>
      <c r="F324" s="380"/>
      <c r="G324" s="380"/>
      <c r="H324" s="380"/>
      <c r="I324" s="403"/>
      <c r="J324" s="380"/>
      <c r="K324" s="380"/>
      <c r="L324" s="380"/>
      <c r="M324" s="380"/>
      <c r="N324" s="380"/>
      <c r="O324" s="404"/>
      <c r="P324" s="380"/>
      <c r="Q324" s="380"/>
      <c r="R324" s="380"/>
      <c r="S324" s="380"/>
      <c r="T324" s="380"/>
      <c r="U324" s="380"/>
      <c r="V324" s="380"/>
      <c r="W324" s="403"/>
      <c r="X324" s="380"/>
      <c r="Y324" s="380"/>
      <c r="Z324" s="380"/>
      <c r="AA324" s="380"/>
      <c r="AB324" s="380"/>
      <c r="AC324" s="404"/>
      <c r="AD324" s="380"/>
      <c r="AE324" s="380"/>
      <c r="AF324" s="380"/>
      <c r="AG324" s="380"/>
      <c r="AH324" s="380"/>
      <c r="AI324" s="380"/>
      <c r="AJ324" s="380"/>
      <c r="AK324" s="403"/>
      <c r="AL324" s="380"/>
      <c r="AM324" s="380"/>
      <c r="AN324" s="380"/>
      <c r="AO324" s="380"/>
      <c r="AP324" s="380"/>
      <c r="AQ324" s="404"/>
      <c r="AR324" s="380"/>
      <c r="AS324" s="380"/>
      <c r="AT324" s="380"/>
      <c r="AU324" s="380"/>
      <c r="AV324" s="380"/>
      <c r="AW324" s="380"/>
      <c r="AX324" s="380"/>
      <c r="AY324" s="403"/>
      <c r="AZ324" s="380"/>
      <c r="BA324" s="380"/>
      <c r="BB324" s="380"/>
      <c r="BC324" s="380"/>
      <c r="BD324" s="380"/>
      <c r="BE324" s="404"/>
      <c r="BF324" s="380"/>
      <c r="BG324" s="380"/>
      <c r="BH324" s="380"/>
      <c r="BI324" s="380"/>
      <c r="BJ324" s="380"/>
      <c r="BK324" s="380"/>
      <c r="BL324" s="380"/>
      <c r="BM324" s="403"/>
      <c r="BS324" s="83"/>
      <c r="CA324" s="405"/>
      <c r="CG324" s="83"/>
      <c r="CO324" s="405"/>
      <c r="CU324" s="83"/>
      <c r="DC324" s="405"/>
      <c r="DI324" s="83"/>
      <c r="DQ324" s="405"/>
      <c r="DW324" s="83"/>
      <c r="EE324" s="405"/>
      <c r="EK324" s="83"/>
      <c r="ES324" s="405"/>
      <c r="EY324" s="83"/>
      <c r="FG324" s="405"/>
      <c r="FM324" s="83"/>
      <c r="FU324" s="405"/>
      <c r="GA324" s="83"/>
      <c r="GI324" s="405"/>
      <c r="GO324" s="83"/>
      <c r="GW324" s="405"/>
      <c r="HC324" s="83"/>
      <c r="HK324" s="405"/>
      <c r="HQ324" s="83"/>
      <c r="HY324" s="405"/>
      <c r="IE324" s="83"/>
      <c r="IM324" s="405"/>
      <c r="IS324" s="83"/>
      <c r="JA324" s="405"/>
      <c r="JG324" s="83"/>
      <c r="JO324" s="405"/>
      <c r="JU324" s="83"/>
      <c r="KC324" s="405"/>
      <c r="KI324" s="83"/>
      <c r="KQ324" s="405"/>
      <c r="KW324" s="83"/>
      <c r="LE324" s="405"/>
      <c r="LK324" s="83"/>
      <c r="LS324" s="405"/>
      <c r="LY324" s="83"/>
      <c r="MG324" s="405"/>
      <c r="MM324" s="83"/>
      <c r="MU324" s="405"/>
      <c r="NA324" s="83"/>
    </row>
    <row r="325">
      <c r="A325" s="483"/>
      <c r="B325" s="380"/>
      <c r="C325" s="380"/>
      <c r="D325" s="380"/>
      <c r="E325" s="380"/>
      <c r="F325" s="380"/>
      <c r="G325" s="380"/>
      <c r="H325" s="380"/>
      <c r="I325" s="403"/>
      <c r="J325" s="380"/>
      <c r="K325" s="380"/>
      <c r="L325" s="380"/>
      <c r="M325" s="380"/>
      <c r="N325" s="380"/>
      <c r="O325" s="404"/>
      <c r="P325" s="380"/>
      <c r="Q325" s="380"/>
      <c r="R325" s="380"/>
      <c r="S325" s="380"/>
      <c r="T325" s="380"/>
      <c r="U325" s="380"/>
      <c r="V325" s="380"/>
      <c r="W325" s="403"/>
      <c r="X325" s="380"/>
      <c r="Y325" s="380"/>
      <c r="Z325" s="380"/>
      <c r="AA325" s="380"/>
      <c r="AB325" s="380"/>
      <c r="AC325" s="404"/>
      <c r="AD325" s="380"/>
      <c r="AE325" s="380"/>
      <c r="AF325" s="380"/>
      <c r="AG325" s="380"/>
      <c r="AH325" s="380"/>
      <c r="AI325" s="380"/>
      <c r="AJ325" s="380"/>
      <c r="AK325" s="403"/>
      <c r="AL325" s="380"/>
      <c r="AM325" s="380"/>
      <c r="AN325" s="380"/>
      <c r="AO325" s="380"/>
      <c r="AP325" s="380"/>
      <c r="AQ325" s="404"/>
      <c r="AR325" s="380"/>
      <c r="AS325" s="380"/>
      <c r="AT325" s="380"/>
      <c r="AU325" s="380"/>
      <c r="AV325" s="380"/>
      <c r="AW325" s="380"/>
      <c r="AX325" s="380"/>
      <c r="AY325" s="403"/>
      <c r="AZ325" s="380"/>
      <c r="BA325" s="380"/>
      <c r="BB325" s="380"/>
      <c r="BC325" s="380"/>
      <c r="BD325" s="380"/>
      <c r="BE325" s="404"/>
      <c r="BF325" s="380"/>
      <c r="BG325" s="380"/>
      <c r="BH325" s="380"/>
      <c r="BI325" s="380"/>
      <c r="BJ325" s="380"/>
      <c r="BK325" s="380"/>
      <c r="BL325" s="380"/>
      <c r="BM325" s="403"/>
      <c r="BS325" s="83"/>
      <c r="CA325" s="405"/>
      <c r="CG325" s="83"/>
      <c r="CO325" s="405"/>
      <c r="CU325" s="83"/>
      <c r="DC325" s="405"/>
      <c r="DI325" s="83"/>
      <c r="DQ325" s="405"/>
      <c r="DW325" s="83"/>
      <c r="EE325" s="405"/>
      <c r="EK325" s="83"/>
      <c r="ES325" s="405"/>
      <c r="EY325" s="83"/>
      <c r="FG325" s="405"/>
      <c r="FM325" s="83"/>
      <c r="FU325" s="405"/>
      <c r="GA325" s="83"/>
      <c r="GI325" s="405"/>
      <c r="GO325" s="83"/>
      <c r="GW325" s="405"/>
      <c r="HC325" s="83"/>
      <c r="HK325" s="405"/>
      <c r="HQ325" s="83"/>
      <c r="HY325" s="405"/>
      <c r="IE325" s="83"/>
      <c r="IM325" s="405"/>
      <c r="IS325" s="83"/>
      <c r="JA325" s="405"/>
      <c r="JG325" s="83"/>
      <c r="JO325" s="405"/>
      <c r="JU325" s="83"/>
      <c r="KC325" s="405"/>
      <c r="KI325" s="83"/>
      <c r="KQ325" s="405"/>
      <c r="KW325" s="83"/>
      <c r="LE325" s="405"/>
      <c r="LK325" s="83"/>
      <c r="LS325" s="405"/>
      <c r="LY325" s="83"/>
      <c r="MG325" s="405"/>
      <c r="MM325" s="83"/>
      <c r="MU325" s="405"/>
      <c r="NA325" s="83"/>
    </row>
    <row r="326">
      <c r="A326" s="483"/>
      <c r="B326" s="380"/>
      <c r="C326" s="380"/>
      <c r="D326" s="380"/>
      <c r="E326" s="380"/>
      <c r="F326" s="380"/>
      <c r="G326" s="380"/>
      <c r="H326" s="380"/>
      <c r="I326" s="403"/>
      <c r="J326" s="380"/>
      <c r="K326" s="380"/>
      <c r="L326" s="380"/>
      <c r="M326" s="380"/>
      <c r="N326" s="380"/>
      <c r="O326" s="404"/>
      <c r="P326" s="380"/>
      <c r="Q326" s="380"/>
      <c r="R326" s="380"/>
      <c r="S326" s="380"/>
      <c r="T326" s="380"/>
      <c r="U326" s="380"/>
      <c r="V326" s="380"/>
      <c r="W326" s="403"/>
      <c r="X326" s="380"/>
      <c r="Y326" s="380"/>
      <c r="Z326" s="380"/>
      <c r="AA326" s="380"/>
      <c r="AB326" s="380"/>
      <c r="AC326" s="404"/>
      <c r="AD326" s="380"/>
      <c r="AE326" s="380"/>
      <c r="AF326" s="380"/>
      <c r="AG326" s="380"/>
      <c r="AH326" s="380"/>
      <c r="AI326" s="380"/>
      <c r="AJ326" s="380"/>
      <c r="AK326" s="403"/>
      <c r="AL326" s="380"/>
      <c r="AM326" s="380"/>
      <c r="AN326" s="380"/>
      <c r="AO326" s="380"/>
      <c r="AP326" s="380"/>
      <c r="AQ326" s="404"/>
      <c r="AR326" s="380"/>
      <c r="AS326" s="380"/>
      <c r="AT326" s="380"/>
      <c r="AU326" s="380"/>
      <c r="AV326" s="380"/>
      <c r="AW326" s="380"/>
      <c r="AX326" s="380"/>
      <c r="AY326" s="403"/>
      <c r="AZ326" s="380"/>
      <c r="BA326" s="380"/>
      <c r="BB326" s="380"/>
      <c r="BC326" s="380"/>
      <c r="BD326" s="380"/>
      <c r="BE326" s="404"/>
      <c r="BF326" s="380"/>
      <c r="BG326" s="380"/>
      <c r="BH326" s="380"/>
      <c r="BI326" s="380"/>
      <c r="BJ326" s="380"/>
      <c r="BK326" s="380"/>
      <c r="BL326" s="380"/>
      <c r="BM326" s="403"/>
      <c r="BS326" s="83"/>
      <c r="CA326" s="405"/>
      <c r="CG326" s="83"/>
      <c r="CO326" s="405"/>
      <c r="CU326" s="83"/>
      <c r="DC326" s="405"/>
      <c r="DI326" s="83"/>
      <c r="DQ326" s="405"/>
      <c r="DW326" s="83"/>
      <c r="EE326" s="405"/>
      <c r="EK326" s="83"/>
      <c r="ES326" s="405"/>
      <c r="EY326" s="83"/>
      <c r="FG326" s="405"/>
      <c r="FM326" s="83"/>
      <c r="FU326" s="405"/>
      <c r="GA326" s="83"/>
      <c r="GI326" s="405"/>
      <c r="GO326" s="83"/>
      <c r="GW326" s="405"/>
      <c r="HC326" s="83"/>
      <c r="HK326" s="405"/>
      <c r="HQ326" s="83"/>
      <c r="HY326" s="405"/>
      <c r="IE326" s="83"/>
      <c r="IM326" s="405"/>
      <c r="IS326" s="83"/>
      <c r="JA326" s="405"/>
      <c r="JG326" s="83"/>
      <c r="JO326" s="405"/>
      <c r="JU326" s="83"/>
      <c r="KC326" s="405"/>
      <c r="KI326" s="83"/>
      <c r="KQ326" s="405"/>
      <c r="KW326" s="83"/>
      <c r="LE326" s="405"/>
      <c r="LK326" s="83"/>
      <c r="LS326" s="405"/>
      <c r="LY326" s="83"/>
      <c r="MG326" s="405"/>
      <c r="MM326" s="83"/>
      <c r="MU326" s="405"/>
      <c r="NA326" s="83"/>
    </row>
    <row r="327">
      <c r="A327" s="483"/>
      <c r="B327" s="380"/>
      <c r="C327" s="380"/>
      <c r="D327" s="380"/>
      <c r="E327" s="380"/>
      <c r="F327" s="380"/>
      <c r="G327" s="380"/>
      <c r="H327" s="380"/>
      <c r="I327" s="403"/>
      <c r="J327" s="380"/>
      <c r="K327" s="380"/>
      <c r="L327" s="380"/>
      <c r="M327" s="380"/>
      <c r="N327" s="380"/>
      <c r="O327" s="404"/>
      <c r="P327" s="380"/>
      <c r="Q327" s="380"/>
      <c r="R327" s="380"/>
      <c r="S327" s="380"/>
      <c r="T327" s="380"/>
      <c r="U327" s="380"/>
      <c r="V327" s="380"/>
      <c r="W327" s="403"/>
      <c r="X327" s="380"/>
      <c r="Y327" s="380"/>
      <c r="Z327" s="380"/>
      <c r="AA327" s="380"/>
      <c r="AB327" s="380"/>
      <c r="AC327" s="404"/>
      <c r="AD327" s="380"/>
      <c r="AE327" s="380"/>
      <c r="AF327" s="380"/>
      <c r="AG327" s="380"/>
      <c r="AH327" s="380"/>
      <c r="AI327" s="380"/>
      <c r="AJ327" s="380"/>
      <c r="AK327" s="403"/>
      <c r="AL327" s="380"/>
      <c r="AM327" s="380"/>
      <c r="AN327" s="380"/>
      <c r="AO327" s="380"/>
      <c r="AP327" s="380"/>
      <c r="AQ327" s="404"/>
      <c r="AR327" s="380"/>
      <c r="AS327" s="380"/>
      <c r="AT327" s="380"/>
      <c r="AU327" s="380"/>
      <c r="AV327" s="380"/>
      <c r="AW327" s="380"/>
      <c r="AX327" s="380"/>
      <c r="AY327" s="403"/>
      <c r="AZ327" s="380"/>
      <c r="BA327" s="380"/>
      <c r="BB327" s="380"/>
      <c r="BC327" s="380"/>
      <c r="BD327" s="380"/>
      <c r="BE327" s="404"/>
      <c r="BF327" s="380"/>
      <c r="BG327" s="380"/>
      <c r="BH327" s="380"/>
      <c r="BI327" s="380"/>
      <c r="BJ327" s="380"/>
      <c r="BK327" s="380"/>
      <c r="BL327" s="380"/>
      <c r="BM327" s="403"/>
      <c r="BS327" s="83"/>
      <c r="CA327" s="405"/>
      <c r="CG327" s="83"/>
      <c r="CO327" s="405"/>
      <c r="CU327" s="83"/>
      <c r="DC327" s="405"/>
      <c r="DI327" s="83"/>
      <c r="DQ327" s="405"/>
      <c r="DW327" s="83"/>
      <c r="EE327" s="405"/>
      <c r="EK327" s="83"/>
      <c r="ES327" s="405"/>
      <c r="EY327" s="83"/>
      <c r="FG327" s="405"/>
      <c r="FM327" s="83"/>
      <c r="FU327" s="405"/>
      <c r="GA327" s="83"/>
      <c r="GI327" s="405"/>
      <c r="GO327" s="83"/>
      <c r="GW327" s="405"/>
      <c r="HC327" s="83"/>
      <c r="HK327" s="405"/>
      <c r="HQ327" s="83"/>
      <c r="HY327" s="405"/>
      <c r="IE327" s="83"/>
      <c r="IM327" s="405"/>
      <c r="IS327" s="83"/>
      <c r="JA327" s="405"/>
      <c r="JG327" s="83"/>
      <c r="JO327" s="405"/>
      <c r="JU327" s="83"/>
      <c r="KC327" s="405"/>
      <c r="KI327" s="83"/>
      <c r="KQ327" s="405"/>
      <c r="KW327" s="83"/>
      <c r="LE327" s="405"/>
      <c r="LK327" s="83"/>
      <c r="LS327" s="405"/>
      <c r="LY327" s="83"/>
      <c r="MG327" s="405"/>
      <c r="MM327" s="83"/>
      <c r="MU327" s="405"/>
      <c r="NA327" s="83"/>
    </row>
    <row r="328">
      <c r="A328" s="483"/>
      <c r="B328" s="380"/>
      <c r="C328" s="380"/>
      <c r="D328" s="380"/>
      <c r="E328" s="380"/>
      <c r="F328" s="380"/>
      <c r="G328" s="380"/>
      <c r="H328" s="380"/>
      <c r="I328" s="403"/>
      <c r="J328" s="380"/>
      <c r="K328" s="380"/>
      <c r="L328" s="380"/>
      <c r="M328" s="380"/>
      <c r="N328" s="380"/>
      <c r="O328" s="404"/>
      <c r="P328" s="380"/>
      <c r="Q328" s="380"/>
      <c r="R328" s="380"/>
      <c r="S328" s="380"/>
      <c r="T328" s="380"/>
      <c r="U328" s="380"/>
      <c r="V328" s="380"/>
      <c r="W328" s="403"/>
      <c r="X328" s="380"/>
      <c r="Y328" s="380"/>
      <c r="Z328" s="380"/>
      <c r="AA328" s="380"/>
      <c r="AB328" s="380"/>
      <c r="AC328" s="404"/>
      <c r="AD328" s="380"/>
      <c r="AE328" s="380"/>
      <c r="AF328" s="380"/>
      <c r="AG328" s="380"/>
      <c r="AH328" s="380"/>
      <c r="AI328" s="380"/>
      <c r="AJ328" s="380"/>
      <c r="AK328" s="403"/>
      <c r="AL328" s="380"/>
      <c r="AM328" s="380"/>
      <c r="AN328" s="380"/>
      <c r="AO328" s="380"/>
      <c r="AP328" s="380"/>
      <c r="AQ328" s="404"/>
      <c r="AR328" s="380"/>
      <c r="AS328" s="380"/>
      <c r="AT328" s="380"/>
      <c r="AU328" s="380"/>
      <c r="AV328" s="380"/>
      <c r="AW328" s="380"/>
      <c r="AX328" s="380"/>
      <c r="AY328" s="403"/>
      <c r="AZ328" s="380"/>
      <c r="BA328" s="380"/>
      <c r="BB328" s="380"/>
      <c r="BC328" s="380"/>
      <c r="BD328" s="380"/>
      <c r="BE328" s="404"/>
      <c r="BF328" s="380"/>
      <c r="BG328" s="380"/>
      <c r="BH328" s="380"/>
      <c r="BI328" s="380"/>
      <c r="BJ328" s="380"/>
      <c r="BK328" s="380"/>
      <c r="BL328" s="380"/>
      <c r="BM328" s="403"/>
      <c r="BS328" s="83"/>
      <c r="CA328" s="405"/>
      <c r="CG328" s="83"/>
      <c r="CO328" s="405"/>
      <c r="CU328" s="83"/>
      <c r="DC328" s="405"/>
      <c r="DI328" s="83"/>
      <c r="DQ328" s="405"/>
      <c r="DW328" s="83"/>
      <c r="EE328" s="405"/>
      <c r="EK328" s="83"/>
      <c r="ES328" s="405"/>
      <c r="EY328" s="83"/>
      <c r="FG328" s="405"/>
      <c r="FM328" s="83"/>
      <c r="FU328" s="405"/>
      <c r="GA328" s="83"/>
      <c r="GI328" s="405"/>
      <c r="GO328" s="83"/>
      <c r="GW328" s="405"/>
      <c r="HC328" s="83"/>
      <c r="HK328" s="405"/>
      <c r="HQ328" s="83"/>
      <c r="HY328" s="405"/>
      <c r="IE328" s="83"/>
      <c r="IM328" s="405"/>
      <c r="IS328" s="83"/>
      <c r="JA328" s="405"/>
      <c r="JG328" s="83"/>
      <c r="JO328" s="405"/>
      <c r="JU328" s="83"/>
      <c r="KC328" s="405"/>
      <c r="KI328" s="83"/>
      <c r="KQ328" s="405"/>
      <c r="KW328" s="83"/>
      <c r="LE328" s="405"/>
      <c r="LK328" s="83"/>
      <c r="LS328" s="405"/>
      <c r="LY328" s="83"/>
      <c r="MG328" s="405"/>
      <c r="MM328" s="83"/>
      <c r="MU328" s="405"/>
      <c r="NA328" s="83"/>
    </row>
    <row r="329">
      <c r="A329" s="483"/>
      <c r="B329" s="380"/>
      <c r="C329" s="380"/>
      <c r="D329" s="380"/>
      <c r="E329" s="380"/>
      <c r="F329" s="380"/>
      <c r="G329" s="380"/>
      <c r="H329" s="380"/>
      <c r="I329" s="403"/>
      <c r="J329" s="380"/>
      <c r="K329" s="380"/>
      <c r="L329" s="380"/>
      <c r="M329" s="380"/>
      <c r="N329" s="380"/>
      <c r="O329" s="404"/>
      <c r="P329" s="380"/>
      <c r="Q329" s="380"/>
      <c r="R329" s="380"/>
      <c r="S329" s="380"/>
      <c r="T329" s="380"/>
      <c r="U329" s="380"/>
      <c r="V329" s="380"/>
      <c r="W329" s="403"/>
      <c r="X329" s="380"/>
      <c r="Y329" s="380"/>
      <c r="Z329" s="380"/>
      <c r="AA329" s="380"/>
      <c r="AB329" s="380"/>
      <c r="AC329" s="404"/>
      <c r="AD329" s="380"/>
      <c r="AE329" s="380"/>
      <c r="AF329" s="380"/>
      <c r="AG329" s="380"/>
      <c r="AH329" s="380"/>
      <c r="AI329" s="380"/>
      <c r="AJ329" s="380"/>
      <c r="AK329" s="403"/>
      <c r="AL329" s="380"/>
      <c r="AM329" s="380"/>
      <c r="AN329" s="380"/>
      <c r="AO329" s="380"/>
      <c r="AP329" s="380"/>
      <c r="AQ329" s="404"/>
      <c r="AR329" s="380"/>
      <c r="AS329" s="380"/>
      <c r="AT329" s="380"/>
      <c r="AU329" s="380"/>
      <c r="AV329" s="380"/>
      <c r="AW329" s="380"/>
      <c r="AX329" s="380"/>
      <c r="AY329" s="403"/>
      <c r="AZ329" s="380"/>
      <c r="BA329" s="380"/>
      <c r="BB329" s="380"/>
      <c r="BC329" s="380"/>
      <c r="BD329" s="380"/>
      <c r="BE329" s="404"/>
      <c r="BF329" s="380"/>
      <c r="BG329" s="380"/>
      <c r="BH329" s="380"/>
      <c r="BI329" s="380"/>
      <c r="BJ329" s="380"/>
      <c r="BK329" s="380"/>
      <c r="BL329" s="380"/>
      <c r="BM329" s="403"/>
      <c r="BS329" s="83"/>
      <c r="CA329" s="405"/>
      <c r="CG329" s="83"/>
      <c r="CO329" s="405"/>
      <c r="CU329" s="83"/>
      <c r="DC329" s="405"/>
      <c r="DI329" s="83"/>
      <c r="DQ329" s="405"/>
      <c r="DW329" s="83"/>
      <c r="EE329" s="405"/>
      <c r="EK329" s="83"/>
      <c r="ES329" s="405"/>
      <c r="EY329" s="83"/>
      <c r="FG329" s="405"/>
      <c r="FM329" s="83"/>
      <c r="FU329" s="405"/>
      <c r="GA329" s="83"/>
      <c r="GI329" s="405"/>
      <c r="GO329" s="83"/>
      <c r="GW329" s="405"/>
      <c r="HC329" s="83"/>
      <c r="HK329" s="405"/>
      <c r="HQ329" s="83"/>
      <c r="HY329" s="405"/>
      <c r="IE329" s="83"/>
      <c r="IM329" s="405"/>
      <c r="IS329" s="83"/>
      <c r="JA329" s="405"/>
      <c r="JG329" s="83"/>
      <c r="JO329" s="405"/>
      <c r="JU329" s="83"/>
      <c r="KC329" s="405"/>
      <c r="KI329" s="83"/>
      <c r="KQ329" s="405"/>
      <c r="KW329" s="83"/>
      <c r="LE329" s="405"/>
      <c r="LK329" s="83"/>
      <c r="LS329" s="405"/>
      <c r="LY329" s="83"/>
      <c r="MG329" s="405"/>
      <c r="MM329" s="83"/>
      <c r="MU329" s="405"/>
      <c r="NA329" s="83"/>
    </row>
    <row r="330">
      <c r="A330" s="483"/>
      <c r="B330" s="380"/>
      <c r="C330" s="380"/>
      <c r="D330" s="380"/>
      <c r="E330" s="380"/>
      <c r="F330" s="380"/>
      <c r="G330" s="380"/>
      <c r="H330" s="380"/>
      <c r="I330" s="403"/>
      <c r="J330" s="380"/>
      <c r="K330" s="380"/>
      <c r="L330" s="380"/>
      <c r="M330" s="380"/>
      <c r="N330" s="380"/>
      <c r="O330" s="404"/>
      <c r="P330" s="380"/>
      <c r="Q330" s="380"/>
      <c r="R330" s="380"/>
      <c r="S330" s="380"/>
      <c r="T330" s="380"/>
      <c r="U330" s="380"/>
      <c r="V330" s="380"/>
      <c r="W330" s="403"/>
      <c r="X330" s="380"/>
      <c r="Y330" s="380"/>
      <c r="Z330" s="380"/>
      <c r="AA330" s="380"/>
      <c r="AB330" s="380"/>
      <c r="AC330" s="404"/>
      <c r="AD330" s="380"/>
      <c r="AE330" s="380"/>
      <c r="AF330" s="380"/>
      <c r="AG330" s="380"/>
      <c r="AH330" s="380"/>
      <c r="AI330" s="380"/>
      <c r="AJ330" s="380"/>
      <c r="AK330" s="403"/>
      <c r="AL330" s="380"/>
      <c r="AM330" s="380"/>
      <c r="AN330" s="380"/>
      <c r="AO330" s="380"/>
      <c r="AP330" s="380"/>
      <c r="AQ330" s="404"/>
      <c r="AR330" s="380"/>
      <c r="AS330" s="380"/>
      <c r="AT330" s="380"/>
      <c r="AU330" s="380"/>
      <c r="AV330" s="380"/>
      <c r="AW330" s="380"/>
      <c r="AX330" s="380"/>
      <c r="AY330" s="403"/>
      <c r="AZ330" s="380"/>
      <c r="BA330" s="380"/>
      <c r="BB330" s="380"/>
      <c r="BC330" s="380"/>
      <c r="BD330" s="380"/>
      <c r="BE330" s="404"/>
      <c r="BF330" s="380"/>
      <c r="BG330" s="380"/>
      <c r="BH330" s="380"/>
      <c r="BI330" s="380"/>
      <c r="BJ330" s="380"/>
      <c r="BK330" s="380"/>
      <c r="BL330" s="380"/>
      <c r="BM330" s="403"/>
      <c r="BS330" s="83"/>
      <c r="CA330" s="405"/>
      <c r="CG330" s="83"/>
      <c r="CO330" s="405"/>
      <c r="CU330" s="83"/>
      <c r="DC330" s="405"/>
      <c r="DI330" s="83"/>
      <c r="DQ330" s="405"/>
      <c r="DW330" s="83"/>
      <c r="EE330" s="405"/>
      <c r="EK330" s="83"/>
      <c r="ES330" s="405"/>
      <c r="EY330" s="83"/>
      <c r="FG330" s="405"/>
      <c r="FM330" s="83"/>
      <c r="FU330" s="405"/>
      <c r="GA330" s="83"/>
      <c r="GI330" s="405"/>
      <c r="GO330" s="83"/>
      <c r="GW330" s="405"/>
      <c r="HC330" s="83"/>
      <c r="HK330" s="405"/>
      <c r="HQ330" s="83"/>
      <c r="HY330" s="405"/>
      <c r="IE330" s="83"/>
      <c r="IM330" s="405"/>
      <c r="IS330" s="83"/>
      <c r="JA330" s="405"/>
      <c r="JG330" s="83"/>
      <c r="JO330" s="405"/>
      <c r="JU330" s="83"/>
      <c r="KC330" s="405"/>
      <c r="KI330" s="83"/>
      <c r="KQ330" s="405"/>
      <c r="KW330" s="83"/>
      <c r="LE330" s="405"/>
      <c r="LK330" s="83"/>
      <c r="LS330" s="405"/>
      <c r="LY330" s="83"/>
      <c r="MG330" s="405"/>
      <c r="MM330" s="83"/>
      <c r="MU330" s="405"/>
      <c r="NA330" s="83"/>
    </row>
    <row r="331">
      <c r="A331" s="483"/>
      <c r="B331" s="380"/>
      <c r="C331" s="380"/>
      <c r="D331" s="380"/>
      <c r="E331" s="380"/>
      <c r="F331" s="380"/>
      <c r="G331" s="380"/>
      <c r="H331" s="380"/>
      <c r="I331" s="403"/>
      <c r="J331" s="380"/>
      <c r="K331" s="380"/>
      <c r="L331" s="380"/>
      <c r="M331" s="380"/>
      <c r="N331" s="380"/>
      <c r="O331" s="404"/>
      <c r="P331" s="380"/>
      <c r="Q331" s="380"/>
      <c r="R331" s="380"/>
      <c r="S331" s="380"/>
      <c r="T331" s="380"/>
      <c r="U331" s="380"/>
      <c r="V331" s="380"/>
      <c r="W331" s="403"/>
      <c r="X331" s="380"/>
      <c r="Y331" s="380"/>
      <c r="Z331" s="380"/>
      <c r="AA331" s="380"/>
      <c r="AB331" s="380"/>
      <c r="AC331" s="404"/>
      <c r="AD331" s="380"/>
      <c r="AE331" s="380"/>
      <c r="AF331" s="380"/>
      <c r="AG331" s="380"/>
      <c r="AH331" s="380"/>
      <c r="AI331" s="380"/>
      <c r="AJ331" s="380"/>
      <c r="AK331" s="403"/>
      <c r="AL331" s="380"/>
      <c r="AM331" s="380"/>
      <c r="AN331" s="380"/>
      <c r="AO331" s="380"/>
      <c r="AP331" s="380"/>
      <c r="AQ331" s="404"/>
      <c r="AR331" s="380"/>
      <c r="AS331" s="380"/>
      <c r="AT331" s="380"/>
      <c r="AU331" s="380"/>
      <c r="AV331" s="380"/>
      <c r="AW331" s="380"/>
      <c r="AX331" s="380"/>
      <c r="AY331" s="403"/>
      <c r="AZ331" s="380"/>
      <c r="BA331" s="380"/>
      <c r="BB331" s="380"/>
      <c r="BC331" s="380"/>
      <c r="BD331" s="380"/>
      <c r="BE331" s="404"/>
      <c r="BF331" s="380"/>
      <c r="BG331" s="380"/>
      <c r="BH331" s="380"/>
      <c r="BI331" s="380"/>
      <c r="BJ331" s="380"/>
      <c r="BK331" s="380"/>
      <c r="BL331" s="380"/>
      <c r="BM331" s="403"/>
      <c r="BS331" s="83"/>
      <c r="CA331" s="405"/>
      <c r="CG331" s="83"/>
      <c r="CO331" s="405"/>
      <c r="CU331" s="83"/>
      <c r="DC331" s="405"/>
      <c r="DI331" s="83"/>
      <c r="DQ331" s="405"/>
      <c r="DW331" s="83"/>
      <c r="EE331" s="405"/>
      <c r="EK331" s="83"/>
      <c r="ES331" s="405"/>
      <c r="EY331" s="83"/>
      <c r="FG331" s="405"/>
      <c r="FM331" s="83"/>
      <c r="FU331" s="405"/>
      <c r="GA331" s="83"/>
      <c r="GI331" s="405"/>
      <c r="GO331" s="83"/>
      <c r="GW331" s="405"/>
      <c r="HC331" s="83"/>
      <c r="HK331" s="405"/>
      <c r="HQ331" s="83"/>
      <c r="HY331" s="405"/>
      <c r="IE331" s="83"/>
      <c r="IM331" s="405"/>
      <c r="IS331" s="83"/>
      <c r="JA331" s="405"/>
      <c r="JG331" s="83"/>
      <c r="JO331" s="405"/>
      <c r="JU331" s="83"/>
      <c r="KC331" s="405"/>
      <c r="KI331" s="83"/>
      <c r="KQ331" s="405"/>
      <c r="KW331" s="83"/>
      <c r="LE331" s="405"/>
      <c r="LK331" s="83"/>
      <c r="LS331" s="405"/>
      <c r="LY331" s="83"/>
      <c r="MG331" s="405"/>
      <c r="MM331" s="83"/>
      <c r="MU331" s="405"/>
      <c r="NA331" s="83"/>
    </row>
    <row r="332">
      <c r="A332" s="483"/>
      <c r="B332" s="380"/>
      <c r="C332" s="380"/>
      <c r="D332" s="380"/>
      <c r="E332" s="380"/>
      <c r="F332" s="380"/>
      <c r="G332" s="380"/>
      <c r="H332" s="380"/>
      <c r="I332" s="403"/>
      <c r="J332" s="380"/>
      <c r="K332" s="380"/>
      <c r="L332" s="380"/>
      <c r="M332" s="380"/>
      <c r="N332" s="380"/>
      <c r="O332" s="404"/>
      <c r="P332" s="380"/>
      <c r="Q332" s="380"/>
      <c r="R332" s="380"/>
      <c r="S332" s="380"/>
      <c r="T332" s="380"/>
      <c r="U332" s="380"/>
      <c r="V332" s="380"/>
      <c r="W332" s="403"/>
      <c r="X332" s="380"/>
      <c r="Y332" s="380"/>
      <c r="Z332" s="380"/>
      <c r="AA332" s="380"/>
      <c r="AB332" s="380"/>
      <c r="AC332" s="404"/>
      <c r="AD332" s="380"/>
      <c r="AE332" s="380"/>
      <c r="AF332" s="380"/>
      <c r="AG332" s="380"/>
      <c r="AH332" s="380"/>
      <c r="AI332" s="380"/>
      <c r="AJ332" s="380"/>
      <c r="AK332" s="403"/>
      <c r="AL332" s="380"/>
      <c r="AM332" s="380"/>
      <c r="AN332" s="380"/>
      <c r="AO332" s="380"/>
      <c r="AP332" s="380"/>
      <c r="AQ332" s="404"/>
      <c r="AR332" s="380"/>
      <c r="AS332" s="380"/>
      <c r="AT332" s="380"/>
      <c r="AU332" s="380"/>
      <c r="AV332" s="380"/>
      <c r="AW332" s="380"/>
      <c r="AX332" s="380"/>
      <c r="AY332" s="403"/>
      <c r="AZ332" s="380"/>
      <c r="BA332" s="380"/>
      <c r="BB332" s="380"/>
      <c r="BC332" s="380"/>
      <c r="BD332" s="380"/>
      <c r="BE332" s="404"/>
      <c r="BF332" s="380"/>
      <c r="BG332" s="380"/>
      <c r="BH332" s="380"/>
      <c r="BI332" s="380"/>
      <c r="BJ332" s="380"/>
      <c r="BK332" s="380"/>
      <c r="BL332" s="380"/>
      <c r="BM332" s="403"/>
      <c r="BS332" s="83"/>
      <c r="CA332" s="405"/>
      <c r="CG332" s="83"/>
      <c r="CO332" s="405"/>
      <c r="CU332" s="83"/>
      <c r="DC332" s="405"/>
      <c r="DI332" s="83"/>
      <c r="DQ332" s="405"/>
      <c r="DW332" s="83"/>
      <c r="EE332" s="405"/>
      <c r="EK332" s="83"/>
      <c r="ES332" s="405"/>
      <c r="EY332" s="83"/>
      <c r="FG332" s="405"/>
      <c r="FM332" s="83"/>
      <c r="FU332" s="405"/>
      <c r="GA332" s="83"/>
      <c r="GI332" s="405"/>
      <c r="GO332" s="83"/>
      <c r="GW332" s="405"/>
      <c r="HC332" s="83"/>
      <c r="HK332" s="405"/>
      <c r="HQ332" s="83"/>
      <c r="HY332" s="405"/>
      <c r="IE332" s="83"/>
      <c r="IM332" s="405"/>
      <c r="IS332" s="83"/>
      <c r="JA332" s="405"/>
      <c r="JG332" s="83"/>
      <c r="JO332" s="405"/>
      <c r="JU332" s="83"/>
      <c r="KC332" s="405"/>
      <c r="KI332" s="83"/>
      <c r="KQ332" s="405"/>
      <c r="KW332" s="83"/>
      <c r="LE332" s="405"/>
      <c r="LK332" s="83"/>
      <c r="LS332" s="405"/>
      <c r="LY332" s="83"/>
      <c r="MG332" s="405"/>
      <c r="MM332" s="83"/>
      <c r="MU332" s="405"/>
      <c r="NA332" s="83"/>
    </row>
    <row r="333">
      <c r="A333" s="483"/>
      <c r="B333" s="380"/>
      <c r="C333" s="380"/>
      <c r="D333" s="380"/>
      <c r="E333" s="380"/>
      <c r="F333" s="380"/>
      <c r="G333" s="380"/>
      <c r="H333" s="380"/>
      <c r="I333" s="403"/>
      <c r="J333" s="380"/>
      <c r="K333" s="380"/>
      <c r="L333" s="380"/>
      <c r="M333" s="380"/>
      <c r="N333" s="380"/>
      <c r="O333" s="404"/>
      <c r="P333" s="380"/>
      <c r="Q333" s="380"/>
      <c r="R333" s="380"/>
      <c r="S333" s="380"/>
      <c r="T333" s="380"/>
      <c r="U333" s="380"/>
      <c r="V333" s="380"/>
      <c r="W333" s="403"/>
      <c r="X333" s="380"/>
      <c r="Y333" s="380"/>
      <c r="Z333" s="380"/>
      <c r="AA333" s="380"/>
      <c r="AB333" s="380"/>
      <c r="AC333" s="404"/>
      <c r="AD333" s="380"/>
      <c r="AE333" s="380"/>
      <c r="AF333" s="380"/>
      <c r="AG333" s="380"/>
      <c r="AH333" s="380"/>
      <c r="AI333" s="380"/>
      <c r="AJ333" s="380"/>
      <c r="AK333" s="403"/>
      <c r="AL333" s="380"/>
      <c r="AM333" s="380"/>
      <c r="AN333" s="380"/>
      <c r="AO333" s="380"/>
      <c r="AP333" s="380"/>
      <c r="AQ333" s="404"/>
      <c r="AR333" s="380"/>
      <c r="AS333" s="380"/>
      <c r="AT333" s="380"/>
      <c r="AU333" s="380"/>
      <c r="AV333" s="380"/>
      <c r="AW333" s="380"/>
      <c r="AX333" s="380"/>
      <c r="AY333" s="403"/>
      <c r="AZ333" s="380"/>
      <c r="BA333" s="380"/>
      <c r="BB333" s="380"/>
      <c r="BC333" s="380"/>
      <c r="BD333" s="380"/>
      <c r="BE333" s="404"/>
      <c r="BF333" s="380"/>
      <c r="BG333" s="380"/>
      <c r="BH333" s="380"/>
      <c r="BI333" s="380"/>
      <c r="BJ333" s="380"/>
      <c r="BK333" s="380"/>
      <c r="BL333" s="380"/>
      <c r="BM333" s="403"/>
      <c r="BS333" s="83"/>
      <c r="CA333" s="405"/>
      <c r="CG333" s="83"/>
      <c r="CO333" s="405"/>
      <c r="CU333" s="83"/>
      <c r="DC333" s="405"/>
      <c r="DI333" s="83"/>
      <c r="DQ333" s="405"/>
      <c r="DW333" s="83"/>
      <c r="EE333" s="405"/>
      <c r="EK333" s="83"/>
      <c r="ES333" s="405"/>
      <c r="EY333" s="83"/>
      <c r="FG333" s="405"/>
      <c r="FM333" s="83"/>
      <c r="FU333" s="405"/>
      <c r="GA333" s="83"/>
      <c r="GI333" s="405"/>
      <c r="GO333" s="83"/>
      <c r="GW333" s="405"/>
      <c r="HC333" s="83"/>
      <c r="HK333" s="405"/>
      <c r="HQ333" s="83"/>
      <c r="HY333" s="405"/>
      <c r="IE333" s="83"/>
      <c r="IM333" s="405"/>
      <c r="IS333" s="83"/>
      <c r="JA333" s="405"/>
      <c r="JG333" s="83"/>
      <c r="JO333" s="405"/>
      <c r="JU333" s="83"/>
      <c r="KC333" s="405"/>
      <c r="KI333" s="83"/>
      <c r="KQ333" s="405"/>
      <c r="KW333" s="83"/>
      <c r="LE333" s="405"/>
      <c r="LK333" s="83"/>
      <c r="LS333" s="405"/>
      <c r="LY333" s="83"/>
      <c r="MG333" s="405"/>
      <c r="MM333" s="83"/>
      <c r="MU333" s="405"/>
      <c r="NA333" s="83"/>
    </row>
    <row r="334">
      <c r="A334" s="483"/>
      <c r="B334" s="380"/>
      <c r="C334" s="380"/>
      <c r="D334" s="380"/>
      <c r="E334" s="380"/>
      <c r="F334" s="380"/>
      <c r="G334" s="380"/>
      <c r="H334" s="380"/>
      <c r="I334" s="403"/>
      <c r="J334" s="380"/>
      <c r="K334" s="380"/>
      <c r="L334" s="380"/>
      <c r="M334" s="380"/>
      <c r="N334" s="380"/>
      <c r="O334" s="404"/>
      <c r="P334" s="380"/>
      <c r="Q334" s="380"/>
      <c r="R334" s="380"/>
      <c r="S334" s="380"/>
      <c r="T334" s="380"/>
      <c r="U334" s="380"/>
      <c r="V334" s="380"/>
      <c r="W334" s="403"/>
      <c r="X334" s="380"/>
      <c r="Y334" s="380"/>
      <c r="Z334" s="380"/>
      <c r="AA334" s="380"/>
      <c r="AB334" s="380"/>
      <c r="AC334" s="404"/>
      <c r="AD334" s="380"/>
      <c r="AE334" s="380"/>
      <c r="AF334" s="380"/>
      <c r="AG334" s="380"/>
      <c r="AH334" s="380"/>
      <c r="AI334" s="380"/>
      <c r="AJ334" s="380"/>
      <c r="AK334" s="403"/>
      <c r="AL334" s="380"/>
      <c r="AM334" s="380"/>
      <c r="AN334" s="380"/>
      <c r="AO334" s="380"/>
      <c r="AP334" s="380"/>
      <c r="AQ334" s="404"/>
      <c r="AR334" s="380"/>
      <c r="AS334" s="380"/>
      <c r="AT334" s="380"/>
      <c r="AU334" s="380"/>
      <c r="AV334" s="380"/>
      <c r="AW334" s="380"/>
      <c r="AX334" s="380"/>
      <c r="AY334" s="403"/>
      <c r="AZ334" s="380"/>
      <c r="BA334" s="380"/>
      <c r="BB334" s="380"/>
      <c r="BC334" s="380"/>
      <c r="BD334" s="380"/>
      <c r="BE334" s="404"/>
      <c r="BF334" s="380"/>
      <c r="BG334" s="380"/>
      <c r="BH334" s="380"/>
      <c r="BI334" s="380"/>
      <c r="BJ334" s="380"/>
      <c r="BK334" s="380"/>
      <c r="BL334" s="380"/>
      <c r="BM334" s="403"/>
      <c r="BS334" s="83"/>
      <c r="CA334" s="405"/>
      <c r="CG334" s="83"/>
      <c r="CO334" s="405"/>
      <c r="CU334" s="83"/>
      <c r="DC334" s="405"/>
      <c r="DI334" s="83"/>
      <c r="DQ334" s="405"/>
      <c r="DW334" s="83"/>
      <c r="EE334" s="405"/>
      <c r="EK334" s="83"/>
      <c r="ES334" s="405"/>
      <c r="EY334" s="83"/>
      <c r="FG334" s="405"/>
      <c r="FM334" s="83"/>
      <c r="FU334" s="405"/>
      <c r="GA334" s="83"/>
      <c r="GI334" s="405"/>
      <c r="GO334" s="83"/>
      <c r="GW334" s="405"/>
      <c r="HC334" s="83"/>
      <c r="HK334" s="405"/>
      <c r="HQ334" s="83"/>
      <c r="HY334" s="405"/>
      <c r="IE334" s="83"/>
      <c r="IM334" s="405"/>
      <c r="IS334" s="83"/>
      <c r="JA334" s="405"/>
      <c r="JG334" s="83"/>
      <c r="JO334" s="405"/>
      <c r="JU334" s="83"/>
      <c r="KC334" s="405"/>
      <c r="KI334" s="83"/>
      <c r="KQ334" s="405"/>
      <c r="KW334" s="83"/>
      <c r="LE334" s="405"/>
      <c r="LK334" s="83"/>
      <c r="LS334" s="405"/>
      <c r="LY334" s="83"/>
      <c r="MG334" s="405"/>
      <c r="MM334" s="83"/>
      <c r="MU334" s="405"/>
      <c r="NA334" s="83"/>
    </row>
    <row r="335">
      <c r="A335" s="483"/>
      <c r="B335" s="380"/>
      <c r="C335" s="380"/>
      <c r="D335" s="380"/>
      <c r="E335" s="380"/>
      <c r="F335" s="380"/>
      <c r="G335" s="380"/>
      <c r="H335" s="380"/>
      <c r="I335" s="403"/>
      <c r="J335" s="380"/>
      <c r="K335" s="380"/>
      <c r="L335" s="380"/>
      <c r="M335" s="380"/>
      <c r="N335" s="380"/>
      <c r="O335" s="404"/>
      <c r="P335" s="380"/>
      <c r="Q335" s="380"/>
      <c r="R335" s="380"/>
      <c r="S335" s="380"/>
      <c r="T335" s="380"/>
      <c r="U335" s="380"/>
      <c r="V335" s="380"/>
      <c r="W335" s="403"/>
      <c r="X335" s="380"/>
      <c r="Y335" s="380"/>
      <c r="Z335" s="380"/>
      <c r="AA335" s="380"/>
      <c r="AB335" s="380"/>
      <c r="AC335" s="404"/>
      <c r="AD335" s="380"/>
      <c r="AE335" s="380"/>
      <c r="AF335" s="380"/>
      <c r="AG335" s="380"/>
      <c r="AH335" s="380"/>
      <c r="AI335" s="380"/>
      <c r="AJ335" s="380"/>
      <c r="AK335" s="403"/>
      <c r="AL335" s="380"/>
      <c r="AM335" s="380"/>
      <c r="AN335" s="380"/>
      <c r="AO335" s="380"/>
      <c r="AP335" s="380"/>
      <c r="AQ335" s="404"/>
      <c r="AR335" s="380"/>
      <c r="AS335" s="380"/>
      <c r="AT335" s="380"/>
      <c r="AU335" s="380"/>
      <c r="AV335" s="380"/>
      <c r="AW335" s="380"/>
      <c r="AX335" s="380"/>
      <c r="AY335" s="403"/>
      <c r="AZ335" s="380"/>
      <c r="BA335" s="380"/>
      <c r="BB335" s="380"/>
      <c r="BC335" s="380"/>
      <c r="BD335" s="380"/>
      <c r="BE335" s="404"/>
      <c r="BF335" s="380"/>
      <c r="BG335" s="380"/>
      <c r="BH335" s="380"/>
      <c r="BI335" s="380"/>
      <c r="BJ335" s="380"/>
      <c r="BK335" s="380"/>
      <c r="BL335" s="380"/>
      <c r="BM335" s="403"/>
      <c r="BS335" s="83"/>
      <c r="CA335" s="405"/>
      <c r="CG335" s="83"/>
      <c r="CO335" s="405"/>
      <c r="CU335" s="83"/>
      <c r="DC335" s="405"/>
      <c r="DI335" s="83"/>
      <c r="DQ335" s="405"/>
      <c r="DW335" s="83"/>
      <c r="EE335" s="405"/>
      <c r="EK335" s="83"/>
      <c r="ES335" s="405"/>
      <c r="EY335" s="83"/>
      <c r="FG335" s="405"/>
      <c r="FM335" s="83"/>
      <c r="FU335" s="405"/>
      <c r="GA335" s="83"/>
      <c r="GI335" s="405"/>
      <c r="GO335" s="83"/>
      <c r="GW335" s="405"/>
      <c r="HC335" s="83"/>
      <c r="HK335" s="405"/>
      <c r="HQ335" s="83"/>
      <c r="HY335" s="405"/>
      <c r="IE335" s="83"/>
      <c r="IM335" s="405"/>
      <c r="IS335" s="83"/>
      <c r="JA335" s="405"/>
      <c r="JG335" s="83"/>
      <c r="JO335" s="405"/>
      <c r="JU335" s="83"/>
      <c r="KC335" s="405"/>
      <c r="KI335" s="83"/>
      <c r="KQ335" s="405"/>
      <c r="KW335" s="83"/>
      <c r="LE335" s="405"/>
      <c r="LK335" s="83"/>
      <c r="LS335" s="405"/>
      <c r="LY335" s="83"/>
      <c r="MG335" s="405"/>
      <c r="MM335" s="83"/>
      <c r="MU335" s="405"/>
      <c r="NA335" s="83"/>
    </row>
    <row r="336">
      <c r="A336" s="483"/>
      <c r="B336" s="380"/>
      <c r="C336" s="380"/>
      <c r="D336" s="380"/>
      <c r="E336" s="380"/>
      <c r="F336" s="380"/>
      <c r="G336" s="380"/>
      <c r="H336" s="380"/>
      <c r="I336" s="403"/>
      <c r="J336" s="380"/>
      <c r="K336" s="380"/>
      <c r="L336" s="380"/>
      <c r="M336" s="380"/>
      <c r="N336" s="380"/>
      <c r="O336" s="404"/>
      <c r="P336" s="380"/>
      <c r="Q336" s="380"/>
      <c r="R336" s="380"/>
      <c r="S336" s="380"/>
      <c r="T336" s="380"/>
      <c r="U336" s="380"/>
      <c r="V336" s="380"/>
      <c r="W336" s="403"/>
      <c r="X336" s="380"/>
      <c r="Y336" s="380"/>
      <c r="Z336" s="380"/>
      <c r="AA336" s="380"/>
      <c r="AB336" s="380"/>
      <c r="AC336" s="404"/>
      <c r="AD336" s="380"/>
      <c r="AE336" s="380"/>
      <c r="AF336" s="380"/>
      <c r="AG336" s="380"/>
      <c r="AH336" s="380"/>
      <c r="AI336" s="380"/>
      <c r="AJ336" s="380"/>
      <c r="AK336" s="403"/>
      <c r="AL336" s="380"/>
      <c r="AM336" s="380"/>
      <c r="AN336" s="380"/>
      <c r="AO336" s="380"/>
      <c r="AP336" s="380"/>
      <c r="AQ336" s="404"/>
      <c r="AR336" s="380"/>
      <c r="AS336" s="380"/>
      <c r="AT336" s="380"/>
      <c r="AU336" s="380"/>
      <c r="AV336" s="380"/>
      <c r="AW336" s="380"/>
      <c r="AX336" s="380"/>
      <c r="AY336" s="403"/>
      <c r="AZ336" s="380"/>
      <c r="BA336" s="380"/>
      <c r="BB336" s="380"/>
      <c r="BC336" s="380"/>
      <c r="BD336" s="380"/>
      <c r="BE336" s="404"/>
      <c r="BF336" s="380"/>
      <c r="BG336" s="380"/>
      <c r="BH336" s="380"/>
      <c r="BI336" s="380"/>
      <c r="BJ336" s="380"/>
      <c r="BK336" s="380"/>
      <c r="BL336" s="380"/>
      <c r="BM336" s="403"/>
      <c r="BS336" s="83"/>
      <c r="CA336" s="405"/>
      <c r="CG336" s="83"/>
      <c r="CO336" s="405"/>
      <c r="CU336" s="83"/>
      <c r="DC336" s="405"/>
      <c r="DI336" s="83"/>
      <c r="DQ336" s="405"/>
      <c r="DW336" s="83"/>
      <c r="EE336" s="405"/>
      <c r="EK336" s="83"/>
      <c r="ES336" s="405"/>
      <c r="EY336" s="83"/>
      <c r="FG336" s="405"/>
      <c r="FM336" s="83"/>
      <c r="FU336" s="405"/>
      <c r="GA336" s="83"/>
      <c r="GI336" s="405"/>
      <c r="GO336" s="83"/>
      <c r="GW336" s="405"/>
      <c r="HC336" s="83"/>
      <c r="HK336" s="405"/>
      <c r="HQ336" s="83"/>
      <c r="HY336" s="405"/>
      <c r="IE336" s="83"/>
      <c r="IM336" s="405"/>
      <c r="IS336" s="83"/>
      <c r="JA336" s="405"/>
      <c r="JG336" s="83"/>
      <c r="JO336" s="405"/>
      <c r="JU336" s="83"/>
      <c r="KC336" s="405"/>
      <c r="KI336" s="83"/>
      <c r="KQ336" s="405"/>
      <c r="KW336" s="83"/>
      <c r="LE336" s="405"/>
      <c r="LK336" s="83"/>
      <c r="LS336" s="405"/>
      <c r="LY336" s="83"/>
      <c r="MG336" s="405"/>
      <c r="MM336" s="83"/>
      <c r="MU336" s="405"/>
      <c r="NA336" s="83"/>
    </row>
    <row r="337">
      <c r="A337" s="483"/>
      <c r="B337" s="380"/>
      <c r="C337" s="380"/>
      <c r="D337" s="380"/>
      <c r="E337" s="380"/>
      <c r="F337" s="380"/>
      <c r="G337" s="380"/>
      <c r="H337" s="380"/>
      <c r="I337" s="403"/>
      <c r="J337" s="380"/>
      <c r="K337" s="380"/>
      <c r="L337" s="380"/>
      <c r="M337" s="380"/>
      <c r="N337" s="380"/>
      <c r="O337" s="404"/>
      <c r="P337" s="380"/>
      <c r="Q337" s="380"/>
      <c r="R337" s="380"/>
      <c r="S337" s="380"/>
      <c r="T337" s="380"/>
      <c r="U337" s="380"/>
      <c r="V337" s="380"/>
      <c r="W337" s="403"/>
      <c r="X337" s="380"/>
      <c r="Y337" s="380"/>
      <c r="Z337" s="380"/>
      <c r="AA337" s="380"/>
      <c r="AB337" s="380"/>
      <c r="AC337" s="404"/>
      <c r="AD337" s="380"/>
      <c r="AE337" s="380"/>
      <c r="AF337" s="380"/>
      <c r="AG337" s="380"/>
      <c r="AH337" s="380"/>
      <c r="AI337" s="380"/>
      <c r="AJ337" s="380"/>
      <c r="AK337" s="403"/>
      <c r="AL337" s="380"/>
      <c r="AM337" s="380"/>
      <c r="AN337" s="380"/>
      <c r="AO337" s="380"/>
      <c r="AP337" s="380"/>
      <c r="AQ337" s="404"/>
      <c r="AR337" s="380"/>
      <c r="AS337" s="380"/>
      <c r="AT337" s="380"/>
      <c r="AU337" s="380"/>
      <c r="AV337" s="380"/>
      <c r="AW337" s="380"/>
      <c r="AX337" s="380"/>
      <c r="AY337" s="403"/>
      <c r="AZ337" s="380"/>
      <c r="BA337" s="380"/>
      <c r="BB337" s="380"/>
      <c r="BC337" s="380"/>
      <c r="BD337" s="380"/>
      <c r="BE337" s="404"/>
      <c r="BF337" s="380"/>
      <c r="BG337" s="380"/>
      <c r="BH337" s="380"/>
      <c r="BI337" s="380"/>
      <c r="BJ337" s="380"/>
      <c r="BK337" s="380"/>
      <c r="BL337" s="380"/>
      <c r="BM337" s="403"/>
      <c r="BS337" s="83"/>
      <c r="CA337" s="405"/>
      <c r="CG337" s="83"/>
      <c r="CO337" s="405"/>
      <c r="CU337" s="83"/>
      <c r="DC337" s="405"/>
      <c r="DI337" s="83"/>
      <c r="DQ337" s="405"/>
      <c r="DW337" s="83"/>
      <c r="EE337" s="405"/>
      <c r="EK337" s="83"/>
      <c r="ES337" s="405"/>
      <c r="EY337" s="83"/>
      <c r="FG337" s="405"/>
      <c r="FM337" s="83"/>
      <c r="FU337" s="405"/>
      <c r="GA337" s="83"/>
      <c r="GI337" s="405"/>
      <c r="GO337" s="83"/>
      <c r="GW337" s="405"/>
      <c r="HC337" s="83"/>
      <c r="HK337" s="405"/>
      <c r="HQ337" s="83"/>
      <c r="HY337" s="405"/>
      <c r="IE337" s="83"/>
      <c r="IM337" s="405"/>
      <c r="IS337" s="83"/>
      <c r="JA337" s="405"/>
      <c r="JG337" s="83"/>
      <c r="JO337" s="405"/>
      <c r="JU337" s="83"/>
      <c r="KC337" s="405"/>
      <c r="KI337" s="83"/>
      <c r="KQ337" s="405"/>
      <c r="KW337" s="83"/>
      <c r="LE337" s="405"/>
      <c r="LK337" s="83"/>
      <c r="LS337" s="405"/>
      <c r="LY337" s="83"/>
      <c r="MG337" s="405"/>
      <c r="MM337" s="83"/>
      <c r="MU337" s="405"/>
      <c r="NA337" s="83"/>
    </row>
    <row r="338">
      <c r="A338" s="483"/>
      <c r="B338" s="380"/>
      <c r="C338" s="380"/>
      <c r="D338" s="380"/>
      <c r="E338" s="380"/>
      <c r="F338" s="380"/>
      <c r="G338" s="380"/>
      <c r="H338" s="380"/>
      <c r="I338" s="403"/>
      <c r="J338" s="380"/>
      <c r="K338" s="380"/>
      <c r="L338" s="380"/>
      <c r="M338" s="380"/>
      <c r="N338" s="380"/>
      <c r="O338" s="404"/>
      <c r="P338" s="380"/>
      <c r="Q338" s="380"/>
      <c r="R338" s="380"/>
      <c r="S338" s="380"/>
      <c r="T338" s="380"/>
      <c r="U338" s="380"/>
      <c r="V338" s="380"/>
      <c r="W338" s="403"/>
      <c r="X338" s="380"/>
      <c r="Y338" s="380"/>
      <c r="Z338" s="380"/>
      <c r="AA338" s="380"/>
      <c r="AB338" s="380"/>
      <c r="AC338" s="404"/>
      <c r="AD338" s="380"/>
      <c r="AE338" s="380"/>
      <c r="AF338" s="380"/>
      <c r="AG338" s="380"/>
      <c r="AH338" s="380"/>
      <c r="AI338" s="380"/>
      <c r="AJ338" s="380"/>
      <c r="AK338" s="403"/>
      <c r="AL338" s="380"/>
      <c r="AM338" s="380"/>
      <c r="AN338" s="380"/>
      <c r="AO338" s="380"/>
      <c r="AP338" s="380"/>
      <c r="AQ338" s="404"/>
      <c r="AR338" s="380"/>
      <c r="AS338" s="380"/>
      <c r="AT338" s="380"/>
      <c r="AU338" s="380"/>
      <c r="AV338" s="380"/>
      <c r="AW338" s="380"/>
      <c r="AX338" s="380"/>
      <c r="AY338" s="403"/>
      <c r="AZ338" s="380"/>
      <c r="BA338" s="380"/>
      <c r="BB338" s="380"/>
      <c r="BC338" s="380"/>
      <c r="BD338" s="380"/>
      <c r="BE338" s="404"/>
      <c r="BF338" s="380"/>
      <c r="BG338" s="380"/>
      <c r="BH338" s="380"/>
      <c r="BI338" s="380"/>
      <c r="BJ338" s="380"/>
      <c r="BK338" s="380"/>
      <c r="BL338" s="380"/>
      <c r="BM338" s="403"/>
      <c r="BS338" s="83"/>
      <c r="CA338" s="405"/>
      <c r="CG338" s="83"/>
      <c r="CO338" s="405"/>
      <c r="CU338" s="83"/>
      <c r="DC338" s="405"/>
      <c r="DI338" s="83"/>
      <c r="DQ338" s="405"/>
      <c r="DW338" s="83"/>
      <c r="EE338" s="405"/>
      <c r="EK338" s="83"/>
      <c r="ES338" s="405"/>
      <c r="EY338" s="83"/>
      <c r="FG338" s="405"/>
      <c r="FM338" s="83"/>
      <c r="FU338" s="405"/>
      <c r="GA338" s="83"/>
      <c r="GI338" s="405"/>
      <c r="GO338" s="83"/>
      <c r="GW338" s="405"/>
      <c r="HC338" s="83"/>
      <c r="HK338" s="405"/>
      <c r="HQ338" s="83"/>
      <c r="HY338" s="405"/>
      <c r="IE338" s="83"/>
      <c r="IM338" s="405"/>
      <c r="IS338" s="83"/>
      <c r="JA338" s="405"/>
      <c r="JG338" s="83"/>
      <c r="JO338" s="405"/>
      <c r="JU338" s="83"/>
      <c r="KC338" s="405"/>
      <c r="KI338" s="83"/>
      <c r="KQ338" s="405"/>
      <c r="KW338" s="83"/>
      <c r="LE338" s="405"/>
      <c r="LK338" s="83"/>
      <c r="LS338" s="405"/>
      <c r="LY338" s="83"/>
      <c r="MG338" s="405"/>
      <c r="MM338" s="83"/>
      <c r="MU338" s="405"/>
      <c r="NA338" s="83"/>
    </row>
    <row r="339">
      <c r="A339" s="483"/>
      <c r="B339" s="380"/>
      <c r="C339" s="380"/>
      <c r="D339" s="380"/>
      <c r="E339" s="380"/>
      <c r="F339" s="380"/>
      <c r="G339" s="380"/>
      <c r="H339" s="380"/>
      <c r="I339" s="403"/>
      <c r="J339" s="380"/>
      <c r="K339" s="380"/>
      <c r="L339" s="380"/>
      <c r="M339" s="380"/>
      <c r="N339" s="380"/>
      <c r="O339" s="404"/>
      <c r="P339" s="380"/>
      <c r="Q339" s="380"/>
      <c r="R339" s="380"/>
      <c r="S339" s="380"/>
      <c r="T339" s="380"/>
      <c r="U339" s="380"/>
      <c r="V339" s="380"/>
      <c r="W339" s="403"/>
      <c r="X339" s="380"/>
      <c r="Y339" s="380"/>
      <c r="Z339" s="380"/>
      <c r="AA339" s="380"/>
      <c r="AB339" s="380"/>
      <c r="AC339" s="404"/>
      <c r="AD339" s="380"/>
      <c r="AE339" s="380"/>
      <c r="AF339" s="380"/>
      <c r="AG339" s="380"/>
      <c r="AH339" s="380"/>
      <c r="AI339" s="380"/>
      <c r="AJ339" s="380"/>
      <c r="AK339" s="403"/>
      <c r="AL339" s="380"/>
      <c r="AM339" s="380"/>
      <c r="AN339" s="380"/>
      <c r="AO339" s="380"/>
      <c r="AP339" s="380"/>
      <c r="AQ339" s="404"/>
      <c r="AR339" s="380"/>
      <c r="AS339" s="380"/>
      <c r="AT339" s="380"/>
      <c r="AU339" s="380"/>
      <c r="AV339" s="380"/>
      <c r="AW339" s="380"/>
      <c r="AX339" s="380"/>
      <c r="AY339" s="403"/>
      <c r="AZ339" s="380"/>
      <c r="BA339" s="380"/>
      <c r="BB339" s="380"/>
      <c r="BC339" s="380"/>
      <c r="BD339" s="380"/>
      <c r="BE339" s="404"/>
      <c r="BF339" s="380"/>
      <c r="BG339" s="380"/>
      <c r="BH339" s="380"/>
      <c r="BI339" s="380"/>
      <c r="BJ339" s="380"/>
      <c r="BK339" s="380"/>
      <c r="BL339" s="380"/>
      <c r="BM339" s="403"/>
      <c r="BS339" s="83"/>
      <c r="CA339" s="405"/>
      <c r="CG339" s="83"/>
      <c r="CO339" s="405"/>
      <c r="CU339" s="83"/>
      <c r="DC339" s="405"/>
      <c r="DI339" s="83"/>
      <c r="DQ339" s="405"/>
      <c r="DW339" s="83"/>
      <c r="EE339" s="405"/>
      <c r="EK339" s="83"/>
      <c r="ES339" s="405"/>
      <c r="EY339" s="83"/>
      <c r="FG339" s="405"/>
      <c r="FM339" s="83"/>
      <c r="FU339" s="405"/>
      <c r="GA339" s="83"/>
      <c r="GI339" s="405"/>
      <c r="GO339" s="83"/>
      <c r="GW339" s="405"/>
      <c r="HC339" s="83"/>
      <c r="HK339" s="405"/>
      <c r="HQ339" s="83"/>
      <c r="HY339" s="405"/>
      <c r="IE339" s="83"/>
      <c r="IM339" s="405"/>
      <c r="IS339" s="83"/>
      <c r="JA339" s="405"/>
      <c r="JG339" s="83"/>
      <c r="JO339" s="405"/>
      <c r="JU339" s="83"/>
      <c r="KC339" s="405"/>
      <c r="KI339" s="83"/>
      <c r="KQ339" s="405"/>
      <c r="KW339" s="83"/>
      <c r="LE339" s="405"/>
      <c r="LK339" s="83"/>
      <c r="LS339" s="405"/>
      <c r="LY339" s="83"/>
      <c r="MG339" s="405"/>
      <c r="MM339" s="83"/>
      <c r="MU339" s="405"/>
      <c r="NA339" s="83"/>
    </row>
    <row r="340">
      <c r="A340" s="483"/>
      <c r="B340" s="380"/>
      <c r="C340" s="380"/>
      <c r="D340" s="380"/>
      <c r="E340" s="380"/>
      <c r="F340" s="380"/>
      <c r="G340" s="380"/>
      <c r="H340" s="380"/>
      <c r="I340" s="403"/>
      <c r="J340" s="380"/>
      <c r="K340" s="380"/>
      <c r="L340" s="380"/>
      <c r="M340" s="380"/>
      <c r="N340" s="380"/>
      <c r="O340" s="404"/>
      <c r="P340" s="380"/>
      <c r="Q340" s="380"/>
      <c r="R340" s="380"/>
      <c r="S340" s="380"/>
      <c r="T340" s="380"/>
      <c r="U340" s="380"/>
      <c r="V340" s="380"/>
      <c r="W340" s="403"/>
      <c r="X340" s="380"/>
      <c r="Y340" s="380"/>
      <c r="Z340" s="380"/>
      <c r="AA340" s="380"/>
      <c r="AB340" s="380"/>
      <c r="AC340" s="404"/>
      <c r="AD340" s="380"/>
      <c r="AE340" s="380"/>
      <c r="AF340" s="380"/>
      <c r="AG340" s="380"/>
      <c r="AH340" s="380"/>
      <c r="AI340" s="380"/>
      <c r="AJ340" s="380"/>
      <c r="AK340" s="403"/>
      <c r="AL340" s="380"/>
      <c r="AM340" s="380"/>
      <c r="AN340" s="380"/>
      <c r="AO340" s="380"/>
      <c r="AP340" s="380"/>
      <c r="AQ340" s="404"/>
      <c r="AR340" s="380"/>
      <c r="AS340" s="380"/>
      <c r="AT340" s="380"/>
      <c r="AU340" s="380"/>
      <c r="AV340" s="380"/>
      <c r="AW340" s="380"/>
      <c r="AX340" s="380"/>
      <c r="AY340" s="403"/>
      <c r="AZ340" s="380"/>
      <c r="BA340" s="380"/>
      <c r="BB340" s="380"/>
      <c r="BC340" s="380"/>
      <c r="BD340" s="380"/>
      <c r="BE340" s="404"/>
      <c r="BF340" s="380"/>
      <c r="BG340" s="380"/>
      <c r="BH340" s="380"/>
      <c r="BI340" s="380"/>
      <c r="BJ340" s="380"/>
      <c r="BK340" s="380"/>
      <c r="BL340" s="380"/>
      <c r="BM340" s="403"/>
      <c r="BS340" s="83"/>
      <c r="CA340" s="405"/>
      <c r="CG340" s="83"/>
      <c r="CO340" s="405"/>
      <c r="CU340" s="83"/>
      <c r="DC340" s="405"/>
      <c r="DI340" s="83"/>
      <c r="DQ340" s="405"/>
      <c r="DW340" s="83"/>
      <c r="EE340" s="405"/>
      <c r="EK340" s="83"/>
      <c r="ES340" s="405"/>
      <c r="EY340" s="83"/>
      <c r="FG340" s="405"/>
      <c r="FM340" s="83"/>
      <c r="FU340" s="405"/>
      <c r="GA340" s="83"/>
      <c r="GI340" s="405"/>
      <c r="GO340" s="83"/>
      <c r="GW340" s="405"/>
      <c r="HC340" s="83"/>
      <c r="HK340" s="405"/>
      <c r="HQ340" s="83"/>
      <c r="HY340" s="405"/>
      <c r="IE340" s="83"/>
      <c r="IM340" s="405"/>
      <c r="IS340" s="83"/>
      <c r="JA340" s="405"/>
      <c r="JG340" s="83"/>
      <c r="JO340" s="405"/>
      <c r="JU340" s="83"/>
      <c r="KC340" s="405"/>
      <c r="KI340" s="83"/>
      <c r="KQ340" s="405"/>
      <c r="KW340" s="83"/>
      <c r="LE340" s="405"/>
      <c r="LK340" s="83"/>
      <c r="LS340" s="405"/>
      <c r="LY340" s="83"/>
      <c r="MG340" s="405"/>
      <c r="MM340" s="83"/>
      <c r="MU340" s="405"/>
      <c r="NA340" s="83"/>
    </row>
    <row r="341">
      <c r="A341" s="483"/>
      <c r="B341" s="380"/>
      <c r="C341" s="380"/>
      <c r="D341" s="380"/>
      <c r="E341" s="380"/>
      <c r="F341" s="380"/>
      <c r="G341" s="380"/>
      <c r="H341" s="380"/>
      <c r="I341" s="403"/>
      <c r="J341" s="380"/>
      <c r="K341" s="380"/>
      <c r="L341" s="380"/>
      <c r="M341" s="380"/>
      <c r="N341" s="380"/>
      <c r="O341" s="404"/>
      <c r="P341" s="380"/>
      <c r="Q341" s="380"/>
      <c r="R341" s="380"/>
      <c r="S341" s="380"/>
      <c r="T341" s="380"/>
      <c r="U341" s="380"/>
      <c r="V341" s="380"/>
      <c r="W341" s="403"/>
      <c r="X341" s="380"/>
      <c r="Y341" s="380"/>
      <c r="Z341" s="380"/>
      <c r="AA341" s="380"/>
      <c r="AB341" s="380"/>
      <c r="AC341" s="404"/>
      <c r="AD341" s="380"/>
      <c r="AE341" s="380"/>
      <c r="AF341" s="380"/>
      <c r="AG341" s="380"/>
      <c r="AH341" s="380"/>
      <c r="AI341" s="380"/>
      <c r="AJ341" s="380"/>
      <c r="AK341" s="403"/>
      <c r="AL341" s="380"/>
      <c r="AM341" s="380"/>
      <c r="AN341" s="380"/>
      <c r="AO341" s="380"/>
      <c r="AP341" s="380"/>
      <c r="AQ341" s="404"/>
      <c r="AR341" s="380"/>
      <c r="AS341" s="380"/>
      <c r="AT341" s="380"/>
      <c r="AU341" s="380"/>
      <c r="AV341" s="380"/>
      <c r="AW341" s="380"/>
      <c r="AX341" s="380"/>
      <c r="AY341" s="403"/>
      <c r="AZ341" s="380"/>
      <c r="BA341" s="380"/>
      <c r="BB341" s="380"/>
      <c r="BC341" s="380"/>
      <c r="BD341" s="380"/>
      <c r="BE341" s="404"/>
      <c r="BF341" s="380"/>
      <c r="BG341" s="380"/>
      <c r="BH341" s="380"/>
      <c r="BI341" s="380"/>
      <c r="BJ341" s="380"/>
      <c r="BK341" s="380"/>
      <c r="BL341" s="380"/>
      <c r="BM341" s="403"/>
      <c r="BS341" s="83"/>
      <c r="CA341" s="405"/>
      <c r="CG341" s="83"/>
      <c r="CO341" s="405"/>
      <c r="CU341" s="83"/>
      <c r="DC341" s="405"/>
      <c r="DI341" s="83"/>
      <c r="DQ341" s="405"/>
      <c r="DW341" s="83"/>
      <c r="EE341" s="405"/>
      <c r="EK341" s="83"/>
      <c r="ES341" s="405"/>
      <c r="EY341" s="83"/>
      <c r="FG341" s="405"/>
      <c r="FM341" s="83"/>
      <c r="FU341" s="405"/>
      <c r="GA341" s="83"/>
      <c r="GI341" s="405"/>
      <c r="GO341" s="83"/>
      <c r="GW341" s="405"/>
      <c r="HC341" s="83"/>
      <c r="HK341" s="405"/>
      <c r="HQ341" s="83"/>
      <c r="HY341" s="405"/>
      <c r="IE341" s="83"/>
      <c r="IM341" s="405"/>
      <c r="IS341" s="83"/>
      <c r="JA341" s="405"/>
      <c r="JG341" s="83"/>
      <c r="JO341" s="405"/>
      <c r="JU341" s="83"/>
      <c r="KC341" s="405"/>
      <c r="KI341" s="83"/>
      <c r="KQ341" s="405"/>
      <c r="KW341" s="83"/>
      <c r="LE341" s="405"/>
      <c r="LK341" s="83"/>
      <c r="LS341" s="405"/>
      <c r="LY341" s="83"/>
      <c r="MG341" s="405"/>
      <c r="MM341" s="83"/>
      <c r="MU341" s="405"/>
      <c r="NA341" s="83"/>
    </row>
    <row r="342">
      <c r="A342" s="483"/>
      <c r="B342" s="380"/>
      <c r="C342" s="380"/>
      <c r="D342" s="380"/>
      <c r="E342" s="380"/>
      <c r="F342" s="380"/>
      <c r="G342" s="380"/>
      <c r="H342" s="380"/>
      <c r="I342" s="403"/>
      <c r="J342" s="380"/>
      <c r="K342" s="380"/>
      <c r="L342" s="380"/>
      <c r="M342" s="380"/>
      <c r="N342" s="380"/>
      <c r="O342" s="404"/>
      <c r="P342" s="380"/>
      <c r="Q342" s="380"/>
      <c r="R342" s="380"/>
      <c r="S342" s="380"/>
      <c r="T342" s="380"/>
      <c r="U342" s="380"/>
      <c r="V342" s="380"/>
      <c r="W342" s="403"/>
      <c r="X342" s="380"/>
      <c r="Y342" s="380"/>
      <c r="Z342" s="380"/>
      <c r="AA342" s="380"/>
      <c r="AB342" s="380"/>
      <c r="AC342" s="404"/>
      <c r="AD342" s="380"/>
      <c r="AE342" s="380"/>
      <c r="AF342" s="380"/>
      <c r="AG342" s="380"/>
      <c r="AH342" s="380"/>
      <c r="AI342" s="380"/>
      <c r="AJ342" s="380"/>
      <c r="AK342" s="403"/>
      <c r="AL342" s="380"/>
      <c r="AM342" s="380"/>
      <c r="AN342" s="380"/>
      <c r="AO342" s="380"/>
      <c r="AP342" s="380"/>
      <c r="AQ342" s="404"/>
      <c r="AR342" s="380"/>
      <c r="AS342" s="380"/>
      <c r="AT342" s="380"/>
      <c r="AU342" s="380"/>
      <c r="AV342" s="380"/>
      <c r="AW342" s="380"/>
      <c r="AX342" s="380"/>
      <c r="AY342" s="403"/>
      <c r="AZ342" s="380"/>
      <c r="BA342" s="380"/>
      <c r="BB342" s="380"/>
      <c r="BC342" s="380"/>
      <c r="BD342" s="380"/>
      <c r="BE342" s="404"/>
      <c r="BF342" s="380"/>
      <c r="BG342" s="380"/>
      <c r="BH342" s="380"/>
      <c r="BI342" s="380"/>
      <c r="BJ342" s="380"/>
      <c r="BK342" s="380"/>
      <c r="BL342" s="380"/>
      <c r="BM342" s="403"/>
      <c r="BS342" s="83"/>
      <c r="CA342" s="405"/>
      <c r="CG342" s="83"/>
      <c r="CO342" s="405"/>
      <c r="CU342" s="83"/>
      <c r="DC342" s="405"/>
      <c r="DI342" s="83"/>
      <c r="DQ342" s="405"/>
      <c r="DW342" s="83"/>
      <c r="EE342" s="405"/>
      <c r="EK342" s="83"/>
      <c r="ES342" s="405"/>
      <c r="EY342" s="83"/>
      <c r="FG342" s="405"/>
      <c r="FM342" s="83"/>
      <c r="FU342" s="405"/>
      <c r="GA342" s="83"/>
      <c r="GI342" s="405"/>
      <c r="GO342" s="83"/>
      <c r="GW342" s="405"/>
      <c r="HC342" s="83"/>
      <c r="HK342" s="405"/>
      <c r="HQ342" s="83"/>
      <c r="HY342" s="405"/>
      <c r="IE342" s="83"/>
      <c r="IM342" s="405"/>
      <c r="IS342" s="83"/>
      <c r="JA342" s="405"/>
      <c r="JG342" s="83"/>
      <c r="JO342" s="405"/>
      <c r="JU342" s="83"/>
      <c r="KC342" s="405"/>
      <c r="KI342" s="83"/>
      <c r="KQ342" s="405"/>
      <c r="KW342" s="83"/>
      <c r="LE342" s="405"/>
      <c r="LK342" s="83"/>
      <c r="LS342" s="405"/>
      <c r="LY342" s="83"/>
      <c r="MG342" s="405"/>
      <c r="MM342" s="83"/>
      <c r="MU342" s="405"/>
      <c r="NA342" s="83"/>
    </row>
    <row r="343">
      <c r="A343" s="483"/>
      <c r="B343" s="380"/>
      <c r="C343" s="380"/>
      <c r="D343" s="380"/>
      <c r="E343" s="380"/>
      <c r="F343" s="380"/>
      <c r="G343" s="380"/>
      <c r="H343" s="380"/>
      <c r="I343" s="403"/>
      <c r="J343" s="380"/>
      <c r="K343" s="380"/>
      <c r="L343" s="380"/>
      <c r="M343" s="380"/>
      <c r="N343" s="380"/>
      <c r="O343" s="404"/>
      <c r="P343" s="380"/>
      <c r="Q343" s="380"/>
      <c r="R343" s="380"/>
      <c r="S343" s="380"/>
      <c r="T343" s="380"/>
      <c r="U343" s="380"/>
      <c r="V343" s="380"/>
      <c r="W343" s="403"/>
      <c r="X343" s="380"/>
      <c r="Y343" s="380"/>
      <c r="Z343" s="380"/>
      <c r="AA343" s="380"/>
      <c r="AB343" s="380"/>
      <c r="AC343" s="404"/>
      <c r="AD343" s="380"/>
      <c r="AE343" s="380"/>
      <c r="AF343" s="380"/>
      <c r="AG343" s="380"/>
      <c r="AH343" s="380"/>
      <c r="AI343" s="380"/>
      <c r="AJ343" s="380"/>
      <c r="AK343" s="403"/>
      <c r="AL343" s="380"/>
      <c r="AM343" s="380"/>
      <c r="AN343" s="380"/>
      <c r="AO343" s="380"/>
      <c r="AP343" s="380"/>
      <c r="AQ343" s="404"/>
      <c r="AR343" s="380"/>
      <c r="AS343" s="380"/>
      <c r="AT343" s="380"/>
      <c r="AU343" s="380"/>
      <c r="AV343" s="380"/>
      <c r="AW343" s="380"/>
      <c r="AX343" s="380"/>
      <c r="AY343" s="403"/>
      <c r="AZ343" s="380"/>
      <c r="BA343" s="380"/>
      <c r="BB343" s="380"/>
      <c r="BC343" s="380"/>
      <c r="BD343" s="380"/>
      <c r="BE343" s="404"/>
      <c r="BF343" s="380"/>
      <c r="BG343" s="380"/>
      <c r="BH343" s="380"/>
      <c r="BI343" s="380"/>
      <c r="BJ343" s="380"/>
      <c r="BK343" s="380"/>
      <c r="BL343" s="380"/>
      <c r="BM343" s="403"/>
      <c r="BS343" s="83"/>
      <c r="CA343" s="405"/>
      <c r="CG343" s="83"/>
      <c r="CO343" s="405"/>
      <c r="CU343" s="83"/>
      <c r="DC343" s="405"/>
      <c r="DI343" s="83"/>
      <c r="DQ343" s="405"/>
      <c r="DW343" s="83"/>
      <c r="EE343" s="405"/>
      <c r="EK343" s="83"/>
      <c r="ES343" s="405"/>
      <c r="EY343" s="83"/>
      <c r="FG343" s="405"/>
      <c r="FM343" s="83"/>
      <c r="FU343" s="405"/>
      <c r="GA343" s="83"/>
      <c r="GI343" s="405"/>
      <c r="GO343" s="83"/>
      <c r="GW343" s="405"/>
      <c r="HC343" s="83"/>
      <c r="HK343" s="405"/>
      <c r="HQ343" s="83"/>
      <c r="HY343" s="405"/>
      <c r="IE343" s="83"/>
      <c r="IM343" s="405"/>
      <c r="IS343" s="83"/>
      <c r="JA343" s="405"/>
      <c r="JG343" s="83"/>
      <c r="JO343" s="405"/>
      <c r="JU343" s="83"/>
      <c r="KC343" s="405"/>
      <c r="KI343" s="83"/>
      <c r="KQ343" s="405"/>
      <c r="KW343" s="83"/>
      <c r="LE343" s="405"/>
      <c r="LK343" s="83"/>
      <c r="LS343" s="405"/>
      <c r="LY343" s="83"/>
      <c r="MG343" s="405"/>
      <c r="MM343" s="83"/>
      <c r="MU343" s="405"/>
      <c r="NA343" s="83"/>
    </row>
    <row r="344">
      <c r="A344" s="483"/>
      <c r="B344" s="380"/>
      <c r="C344" s="380"/>
      <c r="D344" s="380"/>
      <c r="E344" s="380"/>
      <c r="F344" s="380"/>
      <c r="G344" s="380"/>
      <c r="H344" s="380"/>
      <c r="I344" s="403"/>
      <c r="J344" s="380"/>
      <c r="K344" s="380"/>
      <c r="L344" s="380"/>
      <c r="M344" s="380"/>
      <c r="N344" s="380"/>
      <c r="O344" s="404"/>
      <c r="P344" s="380"/>
      <c r="Q344" s="380"/>
      <c r="R344" s="380"/>
      <c r="S344" s="380"/>
      <c r="T344" s="380"/>
      <c r="U344" s="380"/>
      <c r="V344" s="380"/>
      <c r="W344" s="403"/>
      <c r="X344" s="380"/>
      <c r="Y344" s="380"/>
      <c r="Z344" s="380"/>
      <c r="AA344" s="380"/>
      <c r="AB344" s="380"/>
      <c r="AC344" s="404"/>
      <c r="AD344" s="380"/>
      <c r="AE344" s="380"/>
      <c r="AF344" s="380"/>
      <c r="AG344" s="380"/>
      <c r="AH344" s="380"/>
      <c r="AI344" s="380"/>
      <c r="AJ344" s="380"/>
      <c r="AK344" s="403"/>
      <c r="AL344" s="380"/>
      <c r="AM344" s="380"/>
      <c r="AN344" s="380"/>
      <c r="AO344" s="380"/>
      <c r="AP344" s="380"/>
      <c r="AQ344" s="404"/>
      <c r="AR344" s="380"/>
      <c r="AS344" s="380"/>
      <c r="AT344" s="380"/>
      <c r="AU344" s="380"/>
      <c r="AV344" s="380"/>
      <c r="AW344" s="380"/>
      <c r="AX344" s="380"/>
      <c r="AY344" s="403"/>
      <c r="AZ344" s="380"/>
      <c r="BA344" s="380"/>
      <c r="BB344" s="380"/>
      <c r="BC344" s="380"/>
      <c r="BD344" s="380"/>
      <c r="BE344" s="404"/>
      <c r="BF344" s="380"/>
      <c r="BG344" s="380"/>
      <c r="BH344" s="380"/>
      <c r="BI344" s="380"/>
      <c r="BJ344" s="380"/>
      <c r="BK344" s="380"/>
      <c r="BL344" s="380"/>
      <c r="BM344" s="403"/>
      <c r="BS344" s="83"/>
      <c r="CA344" s="405"/>
      <c r="CG344" s="83"/>
      <c r="CO344" s="405"/>
      <c r="CU344" s="83"/>
      <c r="DC344" s="405"/>
      <c r="DI344" s="83"/>
      <c r="DQ344" s="405"/>
      <c r="DW344" s="83"/>
      <c r="EE344" s="405"/>
      <c r="EK344" s="83"/>
      <c r="ES344" s="405"/>
      <c r="EY344" s="83"/>
      <c r="FG344" s="405"/>
      <c r="FM344" s="83"/>
      <c r="FU344" s="405"/>
      <c r="GA344" s="83"/>
      <c r="GI344" s="405"/>
      <c r="GO344" s="83"/>
      <c r="GW344" s="405"/>
      <c r="HC344" s="83"/>
      <c r="HK344" s="405"/>
      <c r="HQ344" s="83"/>
      <c r="HY344" s="405"/>
      <c r="IE344" s="83"/>
      <c r="IM344" s="405"/>
      <c r="IS344" s="83"/>
      <c r="JA344" s="405"/>
      <c r="JG344" s="83"/>
      <c r="JO344" s="405"/>
      <c r="JU344" s="83"/>
      <c r="KC344" s="405"/>
      <c r="KI344" s="83"/>
      <c r="KQ344" s="405"/>
      <c r="KW344" s="83"/>
      <c r="LE344" s="405"/>
      <c r="LK344" s="83"/>
      <c r="LS344" s="405"/>
      <c r="LY344" s="83"/>
      <c r="MG344" s="405"/>
      <c r="MM344" s="83"/>
      <c r="MU344" s="405"/>
      <c r="NA344" s="83"/>
    </row>
    <row r="345">
      <c r="A345" s="483"/>
      <c r="B345" s="380"/>
      <c r="C345" s="380"/>
      <c r="D345" s="380"/>
      <c r="E345" s="380"/>
      <c r="F345" s="380"/>
      <c r="G345" s="380"/>
      <c r="H345" s="380"/>
      <c r="I345" s="403"/>
      <c r="J345" s="380"/>
      <c r="K345" s="380"/>
      <c r="L345" s="380"/>
      <c r="M345" s="380"/>
      <c r="N345" s="380"/>
      <c r="O345" s="404"/>
      <c r="P345" s="380"/>
      <c r="Q345" s="380"/>
      <c r="R345" s="380"/>
      <c r="S345" s="380"/>
      <c r="T345" s="380"/>
      <c r="U345" s="380"/>
      <c r="V345" s="380"/>
      <c r="W345" s="403"/>
      <c r="X345" s="380"/>
      <c r="Y345" s="380"/>
      <c r="Z345" s="380"/>
      <c r="AA345" s="380"/>
      <c r="AB345" s="380"/>
      <c r="AC345" s="404"/>
      <c r="AD345" s="380"/>
      <c r="AE345" s="380"/>
      <c r="AF345" s="380"/>
      <c r="AG345" s="380"/>
      <c r="AH345" s="380"/>
      <c r="AI345" s="380"/>
      <c r="AJ345" s="380"/>
      <c r="AK345" s="403"/>
      <c r="AL345" s="380"/>
      <c r="AM345" s="380"/>
      <c r="AN345" s="380"/>
      <c r="AO345" s="380"/>
      <c r="AP345" s="380"/>
      <c r="AQ345" s="404"/>
      <c r="AR345" s="380"/>
      <c r="AS345" s="380"/>
      <c r="AT345" s="380"/>
      <c r="AU345" s="380"/>
      <c r="AV345" s="380"/>
      <c r="AW345" s="380"/>
      <c r="AX345" s="380"/>
      <c r="AY345" s="403"/>
      <c r="AZ345" s="380"/>
      <c r="BA345" s="380"/>
      <c r="BB345" s="380"/>
      <c r="BC345" s="380"/>
      <c r="BD345" s="380"/>
      <c r="BE345" s="404"/>
      <c r="BF345" s="380"/>
      <c r="BG345" s="380"/>
      <c r="BH345" s="380"/>
      <c r="BI345" s="380"/>
      <c r="BJ345" s="380"/>
      <c r="BK345" s="380"/>
      <c r="BL345" s="380"/>
      <c r="BM345" s="403"/>
      <c r="BS345" s="83"/>
      <c r="CA345" s="405"/>
      <c r="CG345" s="83"/>
      <c r="CO345" s="405"/>
      <c r="CU345" s="83"/>
      <c r="DC345" s="405"/>
      <c r="DI345" s="83"/>
      <c r="DQ345" s="405"/>
      <c r="DW345" s="83"/>
      <c r="EE345" s="405"/>
      <c r="EK345" s="83"/>
      <c r="ES345" s="405"/>
      <c r="EY345" s="83"/>
      <c r="FG345" s="405"/>
      <c r="FM345" s="83"/>
      <c r="FU345" s="405"/>
      <c r="GA345" s="83"/>
      <c r="GI345" s="405"/>
      <c r="GO345" s="83"/>
      <c r="GW345" s="405"/>
      <c r="HC345" s="83"/>
      <c r="HK345" s="405"/>
      <c r="HQ345" s="83"/>
      <c r="HY345" s="405"/>
      <c r="IE345" s="83"/>
      <c r="IM345" s="405"/>
      <c r="IS345" s="83"/>
      <c r="JA345" s="405"/>
      <c r="JG345" s="83"/>
      <c r="JO345" s="405"/>
      <c r="JU345" s="83"/>
      <c r="KC345" s="405"/>
      <c r="KI345" s="83"/>
      <c r="KQ345" s="405"/>
      <c r="KW345" s="83"/>
      <c r="LE345" s="405"/>
      <c r="LK345" s="83"/>
      <c r="LS345" s="405"/>
      <c r="LY345" s="83"/>
      <c r="MG345" s="405"/>
      <c r="MM345" s="83"/>
      <c r="MU345" s="405"/>
      <c r="NA345" s="83"/>
    </row>
    <row r="346">
      <c r="A346" s="483"/>
      <c r="B346" s="380"/>
      <c r="C346" s="380"/>
      <c r="D346" s="380"/>
      <c r="E346" s="380"/>
      <c r="F346" s="380"/>
      <c r="G346" s="380"/>
      <c r="H346" s="380"/>
      <c r="I346" s="403"/>
      <c r="J346" s="380"/>
      <c r="K346" s="380"/>
      <c r="L346" s="380"/>
      <c r="M346" s="380"/>
      <c r="N346" s="380"/>
      <c r="O346" s="404"/>
      <c r="P346" s="380"/>
      <c r="Q346" s="380"/>
      <c r="R346" s="380"/>
      <c r="S346" s="380"/>
      <c r="T346" s="380"/>
      <c r="U346" s="380"/>
      <c r="V346" s="380"/>
      <c r="W346" s="403"/>
      <c r="X346" s="380"/>
      <c r="Y346" s="380"/>
      <c r="Z346" s="380"/>
      <c r="AA346" s="380"/>
      <c r="AB346" s="380"/>
      <c r="AC346" s="404"/>
      <c r="AD346" s="380"/>
      <c r="AE346" s="380"/>
      <c r="AF346" s="380"/>
      <c r="AG346" s="380"/>
      <c r="AH346" s="380"/>
      <c r="AI346" s="380"/>
      <c r="AJ346" s="380"/>
      <c r="AK346" s="403"/>
      <c r="AL346" s="380"/>
      <c r="AM346" s="380"/>
      <c r="AN346" s="380"/>
      <c r="AO346" s="380"/>
      <c r="AP346" s="380"/>
      <c r="AQ346" s="404"/>
      <c r="AR346" s="380"/>
      <c r="AS346" s="380"/>
      <c r="AT346" s="380"/>
      <c r="AU346" s="380"/>
      <c r="AV346" s="380"/>
      <c r="AW346" s="380"/>
      <c r="AX346" s="380"/>
      <c r="AY346" s="403"/>
      <c r="AZ346" s="380"/>
      <c r="BA346" s="380"/>
      <c r="BB346" s="380"/>
      <c r="BC346" s="380"/>
      <c r="BD346" s="380"/>
      <c r="BE346" s="404"/>
      <c r="BF346" s="380"/>
      <c r="BG346" s="380"/>
      <c r="BH346" s="380"/>
      <c r="BI346" s="380"/>
      <c r="BJ346" s="380"/>
      <c r="BK346" s="380"/>
      <c r="BL346" s="380"/>
      <c r="BM346" s="403"/>
      <c r="BS346" s="83"/>
      <c r="CA346" s="405"/>
      <c r="CG346" s="83"/>
      <c r="CO346" s="405"/>
      <c r="CU346" s="83"/>
      <c r="DC346" s="405"/>
      <c r="DI346" s="83"/>
      <c r="DQ346" s="405"/>
      <c r="DW346" s="83"/>
      <c r="EE346" s="405"/>
      <c r="EK346" s="83"/>
      <c r="ES346" s="405"/>
      <c r="EY346" s="83"/>
      <c r="FG346" s="405"/>
      <c r="FM346" s="83"/>
      <c r="FU346" s="405"/>
      <c r="GA346" s="83"/>
      <c r="GI346" s="405"/>
      <c r="GO346" s="83"/>
      <c r="GW346" s="405"/>
      <c r="HC346" s="83"/>
      <c r="HK346" s="405"/>
      <c r="HQ346" s="83"/>
      <c r="HY346" s="405"/>
      <c r="IE346" s="83"/>
      <c r="IM346" s="405"/>
      <c r="IS346" s="83"/>
      <c r="JA346" s="405"/>
      <c r="JG346" s="83"/>
      <c r="JO346" s="405"/>
      <c r="JU346" s="83"/>
      <c r="KC346" s="405"/>
      <c r="KI346" s="83"/>
      <c r="KQ346" s="405"/>
      <c r="KW346" s="83"/>
      <c r="LE346" s="405"/>
      <c r="LK346" s="83"/>
      <c r="LS346" s="405"/>
      <c r="LY346" s="83"/>
      <c r="MG346" s="405"/>
      <c r="MM346" s="83"/>
      <c r="MU346" s="405"/>
      <c r="NA346" s="83"/>
    </row>
    <row r="347">
      <c r="A347" s="483"/>
      <c r="B347" s="380"/>
      <c r="C347" s="380"/>
      <c r="D347" s="380"/>
      <c r="E347" s="380"/>
      <c r="F347" s="380"/>
      <c r="G347" s="380"/>
      <c r="H347" s="380"/>
      <c r="I347" s="403"/>
      <c r="J347" s="380"/>
      <c r="K347" s="380"/>
      <c r="L347" s="380"/>
      <c r="M347" s="380"/>
      <c r="N347" s="380"/>
      <c r="O347" s="404"/>
      <c r="P347" s="380"/>
      <c r="Q347" s="380"/>
      <c r="R347" s="380"/>
      <c r="S347" s="380"/>
      <c r="T347" s="380"/>
      <c r="U347" s="380"/>
      <c r="V347" s="380"/>
      <c r="W347" s="403"/>
      <c r="X347" s="380"/>
      <c r="Y347" s="380"/>
      <c r="Z347" s="380"/>
      <c r="AA347" s="380"/>
      <c r="AB347" s="380"/>
      <c r="AC347" s="404"/>
      <c r="AD347" s="380"/>
      <c r="AE347" s="380"/>
      <c r="AF347" s="380"/>
      <c r="AG347" s="380"/>
      <c r="AH347" s="380"/>
      <c r="AI347" s="380"/>
      <c r="AJ347" s="380"/>
      <c r="AK347" s="403"/>
      <c r="AL347" s="380"/>
      <c r="AM347" s="380"/>
      <c r="AN347" s="380"/>
      <c r="AO347" s="380"/>
      <c r="AP347" s="380"/>
      <c r="AQ347" s="404"/>
      <c r="AR347" s="380"/>
      <c r="AS347" s="380"/>
      <c r="AT347" s="380"/>
      <c r="AU347" s="380"/>
      <c r="AV347" s="380"/>
      <c r="AW347" s="380"/>
      <c r="AX347" s="380"/>
      <c r="AY347" s="403"/>
      <c r="AZ347" s="380"/>
      <c r="BA347" s="380"/>
      <c r="BB347" s="380"/>
      <c r="BC347" s="380"/>
      <c r="BD347" s="380"/>
      <c r="BE347" s="404"/>
      <c r="BF347" s="380"/>
      <c r="BG347" s="380"/>
      <c r="BH347" s="380"/>
      <c r="BI347" s="380"/>
      <c r="BJ347" s="380"/>
      <c r="BK347" s="380"/>
      <c r="BL347" s="380"/>
      <c r="BM347" s="403"/>
      <c r="BS347" s="83"/>
      <c r="CA347" s="405"/>
      <c r="CG347" s="83"/>
      <c r="CO347" s="405"/>
      <c r="CU347" s="83"/>
      <c r="DC347" s="405"/>
      <c r="DI347" s="83"/>
      <c r="DQ347" s="405"/>
      <c r="DW347" s="83"/>
      <c r="EE347" s="405"/>
      <c r="EK347" s="83"/>
      <c r="ES347" s="405"/>
      <c r="EY347" s="83"/>
      <c r="FG347" s="405"/>
      <c r="FM347" s="83"/>
      <c r="FU347" s="405"/>
      <c r="GA347" s="83"/>
      <c r="GI347" s="405"/>
      <c r="GO347" s="83"/>
      <c r="GW347" s="405"/>
      <c r="HC347" s="83"/>
      <c r="HK347" s="405"/>
      <c r="HQ347" s="83"/>
      <c r="HY347" s="405"/>
      <c r="IE347" s="83"/>
      <c r="IM347" s="405"/>
      <c r="IS347" s="83"/>
      <c r="JA347" s="405"/>
      <c r="JG347" s="83"/>
      <c r="JO347" s="405"/>
      <c r="JU347" s="83"/>
      <c r="KC347" s="405"/>
      <c r="KI347" s="83"/>
      <c r="KQ347" s="405"/>
      <c r="KW347" s="83"/>
      <c r="LE347" s="405"/>
      <c r="LK347" s="83"/>
      <c r="LS347" s="405"/>
      <c r="LY347" s="83"/>
      <c r="MG347" s="405"/>
      <c r="MM347" s="83"/>
      <c r="MU347" s="405"/>
      <c r="NA347" s="83"/>
    </row>
    <row r="348">
      <c r="A348" s="483"/>
      <c r="B348" s="380"/>
      <c r="C348" s="380"/>
      <c r="D348" s="380"/>
      <c r="E348" s="380"/>
      <c r="F348" s="380"/>
      <c r="G348" s="380"/>
      <c r="H348" s="380"/>
      <c r="I348" s="403"/>
      <c r="J348" s="380"/>
      <c r="K348" s="380"/>
      <c r="L348" s="380"/>
      <c r="M348" s="380"/>
      <c r="N348" s="380"/>
      <c r="O348" s="404"/>
      <c r="P348" s="380"/>
      <c r="Q348" s="380"/>
      <c r="R348" s="380"/>
      <c r="S348" s="380"/>
      <c r="T348" s="380"/>
      <c r="U348" s="380"/>
      <c r="V348" s="380"/>
      <c r="W348" s="403"/>
      <c r="X348" s="380"/>
      <c r="Y348" s="380"/>
      <c r="Z348" s="380"/>
      <c r="AA348" s="380"/>
      <c r="AB348" s="380"/>
      <c r="AC348" s="404"/>
      <c r="AD348" s="380"/>
      <c r="AE348" s="380"/>
      <c r="AF348" s="380"/>
      <c r="AG348" s="380"/>
      <c r="AH348" s="380"/>
      <c r="AI348" s="380"/>
      <c r="AJ348" s="380"/>
      <c r="AK348" s="403"/>
      <c r="AL348" s="380"/>
      <c r="AM348" s="380"/>
      <c r="AN348" s="380"/>
      <c r="AO348" s="380"/>
      <c r="AP348" s="380"/>
      <c r="AQ348" s="404"/>
      <c r="AR348" s="380"/>
      <c r="AS348" s="380"/>
      <c r="AT348" s="380"/>
      <c r="AU348" s="380"/>
      <c r="AV348" s="380"/>
      <c r="AW348" s="380"/>
      <c r="AX348" s="380"/>
      <c r="AY348" s="403"/>
      <c r="AZ348" s="380"/>
      <c r="BA348" s="380"/>
      <c r="BB348" s="380"/>
      <c r="BC348" s="380"/>
      <c r="BD348" s="380"/>
      <c r="BE348" s="404"/>
      <c r="BF348" s="380"/>
      <c r="BG348" s="380"/>
      <c r="BH348" s="380"/>
      <c r="BI348" s="380"/>
      <c r="BJ348" s="380"/>
      <c r="BK348" s="380"/>
      <c r="BL348" s="380"/>
      <c r="BM348" s="403"/>
      <c r="BS348" s="83"/>
      <c r="CA348" s="405"/>
      <c r="CG348" s="83"/>
      <c r="CO348" s="405"/>
      <c r="CU348" s="83"/>
      <c r="DC348" s="405"/>
      <c r="DI348" s="83"/>
      <c r="DQ348" s="405"/>
      <c r="DW348" s="83"/>
      <c r="EE348" s="405"/>
      <c r="EK348" s="83"/>
      <c r="ES348" s="405"/>
      <c r="EY348" s="83"/>
      <c r="FG348" s="405"/>
      <c r="FM348" s="83"/>
      <c r="FU348" s="405"/>
      <c r="GA348" s="83"/>
      <c r="GI348" s="405"/>
      <c r="GO348" s="83"/>
      <c r="GW348" s="405"/>
      <c r="HC348" s="83"/>
      <c r="HK348" s="405"/>
      <c r="HQ348" s="83"/>
      <c r="HY348" s="405"/>
      <c r="IE348" s="83"/>
      <c r="IM348" s="405"/>
      <c r="IS348" s="83"/>
      <c r="JA348" s="405"/>
      <c r="JG348" s="83"/>
      <c r="JO348" s="405"/>
      <c r="JU348" s="83"/>
      <c r="KC348" s="405"/>
      <c r="KI348" s="83"/>
      <c r="KQ348" s="405"/>
      <c r="KW348" s="83"/>
      <c r="LE348" s="405"/>
      <c r="LK348" s="83"/>
      <c r="LS348" s="405"/>
      <c r="LY348" s="83"/>
      <c r="MG348" s="405"/>
      <c r="MM348" s="83"/>
      <c r="MU348" s="405"/>
      <c r="NA348" s="83"/>
    </row>
    <row r="349">
      <c r="A349" s="483"/>
      <c r="B349" s="380"/>
      <c r="C349" s="380"/>
      <c r="D349" s="380"/>
      <c r="E349" s="380"/>
      <c r="F349" s="380"/>
      <c r="G349" s="380"/>
      <c r="H349" s="380"/>
      <c r="I349" s="403"/>
      <c r="J349" s="380"/>
      <c r="K349" s="380"/>
      <c r="L349" s="380"/>
      <c r="M349" s="380"/>
      <c r="N349" s="380"/>
      <c r="O349" s="404"/>
      <c r="P349" s="380"/>
      <c r="Q349" s="380"/>
      <c r="R349" s="380"/>
      <c r="S349" s="380"/>
      <c r="T349" s="380"/>
      <c r="U349" s="380"/>
      <c r="V349" s="380"/>
      <c r="W349" s="403"/>
      <c r="X349" s="380"/>
      <c r="Y349" s="380"/>
      <c r="Z349" s="380"/>
      <c r="AA349" s="380"/>
      <c r="AB349" s="380"/>
      <c r="AC349" s="404"/>
      <c r="AD349" s="380"/>
      <c r="AE349" s="380"/>
      <c r="AF349" s="380"/>
      <c r="AG349" s="380"/>
      <c r="AH349" s="380"/>
      <c r="AI349" s="380"/>
      <c r="AJ349" s="380"/>
      <c r="AK349" s="403"/>
      <c r="AL349" s="380"/>
      <c r="AM349" s="380"/>
      <c r="AN349" s="380"/>
      <c r="AO349" s="380"/>
      <c r="AP349" s="380"/>
      <c r="AQ349" s="404"/>
      <c r="AR349" s="380"/>
      <c r="AS349" s="380"/>
      <c r="AT349" s="380"/>
      <c r="AU349" s="380"/>
      <c r="AV349" s="380"/>
      <c r="AW349" s="380"/>
      <c r="AX349" s="380"/>
      <c r="AY349" s="403"/>
      <c r="AZ349" s="380"/>
      <c r="BA349" s="380"/>
      <c r="BB349" s="380"/>
      <c r="BC349" s="380"/>
      <c r="BD349" s="380"/>
      <c r="BE349" s="404"/>
      <c r="BF349" s="380"/>
      <c r="BG349" s="380"/>
      <c r="BH349" s="380"/>
      <c r="BI349" s="380"/>
      <c r="BJ349" s="380"/>
      <c r="BK349" s="380"/>
      <c r="BL349" s="380"/>
      <c r="BM349" s="403"/>
      <c r="BS349" s="83"/>
      <c r="CA349" s="405"/>
      <c r="CG349" s="83"/>
      <c r="CO349" s="405"/>
      <c r="CU349" s="83"/>
      <c r="DC349" s="405"/>
      <c r="DI349" s="83"/>
      <c r="DQ349" s="405"/>
      <c r="DW349" s="83"/>
      <c r="EE349" s="405"/>
      <c r="EK349" s="83"/>
      <c r="ES349" s="405"/>
      <c r="EY349" s="83"/>
      <c r="FG349" s="405"/>
      <c r="FM349" s="83"/>
      <c r="FU349" s="405"/>
      <c r="GA349" s="83"/>
      <c r="GI349" s="405"/>
      <c r="GO349" s="83"/>
      <c r="GW349" s="405"/>
      <c r="HC349" s="83"/>
      <c r="HK349" s="405"/>
      <c r="HQ349" s="83"/>
      <c r="HY349" s="405"/>
      <c r="IE349" s="83"/>
      <c r="IM349" s="405"/>
      <c r="IS349" s="83"/>
      <c r="JA349" s="405"/>
      <c r="JG349" s="83"/>
      <c r="JO349" s="405"/>
      <c r="JU349" s="83"/>
      <c r="KC349" s="405"/>
      <c r="KI349" s="83"/>
      <c r="KQ349" s="405"/>
      <c r="KW349" s="83"/>
      <c r="LE349" s="405"/>
      <c r="LK349" s="83"/>
      <c r="LS349" s="405"/>
      <c r="LY349" s="83"/>
      <c r="MG349" s="405"/>
      <c r="MM349" s="83"/>
      <c r="MU349" s="405"/>
      <c r="NA349" s="83"/>
    </row>
    <row r="350">
      <c r="A350" s="483"/>
      <c r="B350" s="380"/>
      <c r="C350" s="380"/>
      <c r="D350" s="380"/>
      <c r="E350" s="380"/>
      <c r="F350" s="380"/>
      <c r="G350" s="380"/>
      <c r="H350" s="380"/>
      <c r="I350" s="403"/>
      <c r="J350" s="380"/>
      <c r="K350" s="380"/>
      <c r="L350" s="380"/>
      <c r="M350" s="380"/>
      <c r="N350" s="380"/>
      <c r="O350" s="404"/>
      <c r="P350" s="380"/>
      <c r="Q350" s="380"/>
      <c r="R350" s="380"/>
      <c r="S350" s="380"/>
      <c r="T350" s="380"/>
      <c r="U350" s="380"/>
      <c r="V350" s="380"/>
      <c r="W350" s="403"/>
      <c r="X350" s="380"/>
      <c r="Y350" s="380"/>
      <c r="Z350" s="380"/>
      <c r="AA350" s="380"/>
      <c r="AB350" s="380"/>
      <c r="AC350" s="404"/>
      <c r="AD350" s="380"/>
      <c r="AE350" s="380"/>
      <c r="AF350" s="380"/>
      <c r="AG350" s="380"/>
      <c r="AH350" s="380"/>
      <c r="AI350" s="380"/>
      <c r="AJ350" s="380"/>
      <c r="AK350" s="403"/>
      <c r="AL350" s="380"/>
      <c r="AM350" s="380"/>
      <c r="AN350" s="380"/>
      <c r="AO350" s="380"/>
      <c r="AP350" s="380"/>
      <c r="AQ350" s="404"/>
      <c r="AR350" s="380"/>
      <c r="AS350" s="380"/>
      <c r="AT350" s="380"/>
      <c r="AU350" s="380"/>
      <c r="AV350" s="380"/>
      <c r="AW350" s="380"/>
      <c r="AX350" s="380"/>
      <c r="AY350" s="403"/>
      <c r="AZ350" s="380"/>
      <c r="BA350" s="380"/>
      <c r="BB350" s="380"/>
      <c r="BC350" s="380"/>
      <c r="BD350" s="380"/>
      <c r="BE350" s="404"/>
      <c r="BF350" s="380"/>
      <c r="BG350" s="380"/>
      <c r="BH350" s="380"/>
      <c r="BI350" s="380"/>
      <c r="BJ350" s="380"/>
      <c r="BK350" s="380"/>
      <c r="BL350" s="380"/>
      <c r="BM350" s="403"/>
      <c r="BS350" s="83"/>
      <c r="CA350" s="405"/>
      <c r="CG350" s="83"/>
      <c r="CO350" s="405"/>
      <c r="CU350" s="83"/>
      <c r="DC350" s="405"/>
      <c r="DI350" s="83"/>
      <c r="DQ350" s="405"/>
      <c r="DW350" s="83"/>
      <c r="EE350" s="405"/>
      <c r="EK350" s="83"/>
      <c r="ES350" s="405"/>
      <c r="EY350" s="83"/>
      <c r="FG350" s="405"/>
      <c r="FM350" s="83"/>
      <c r="FU350" s="405"/>
      <c r="GA350" s="83"/>
      <c r="GI350" s="405"/>
      <c r="GO350" s="83"/>
      <c r="GW350" s="405"/>
      <c r="HC350" s="83"/>
      <c r="HK350" s="405"/>
      <c r="HQ350" s="83"/>
      <c r="HY350" s="405"/>
      <c r="IE350" s="83"/>
      <c r="IM350" s="405"/>
      <c r="IS350" s="83"/>
      <c r="JA350" s="405"/>
      <c r="JG350" s="83"/>
      <c r="JO350" s="405"/>
      <c r="JU350" s="83"/>
      <c r="KC350" s="405"/>
      <c r="KI350" s="83"/>
      <c r="KQ350" s="405"/>
      <c r="KW350" s="83"/>
      <c r="LE350" s="405"/>
      <c r="LK350" s="83"/>
      <c r="LS350" s="405"/>
      <c r="LY350" s="83"/>
      <c r="MG350" s="405"/>
      <c r="MM350" s="83"/>
      <c r="MU350" s="405"/>
      <c r="NA350" s="83"/>
    </row>
    <row r="351">
      <c r="A351" s="483"/>
      <c r="B351" s="380"/>
      <c r="C351" s="380"/>
      <c r="D351" s="380"/>
      <c r="E351" s="380"/>
      <c r="F351" s="380"/>
      <c r="G351" s="380"/>
      <c r="H351" s="380"/>
      <c r="I351" s="403"/>
      <c r="J351" s="380"/>
      <c r="K351" s="380"/>
      <c r="L351" s="380"/>
      <c r="M351" s="380"/>
      <c r="N351" s="380"/>
      <c r="O351" s="404"/>
      <c r="P351" s="380"/>
      <c r="Q351" s="380"/>
      <c r="R351" s="380"/>
      <c r="S351" s="380"/>
      <c r="T351" s="380"/>
      <c r="U351" s="380"/>
      <c r="V351" s="380"/>
      <c r="W351" s="403"/>
      <c r="X351" s="380"/>
      <c r="Y351" s="380"/>
      <c r="Z351" s="380"/>
      <c r="AA351" s="380"/>
      <c r="AB351" s="380"/>
      <c r="AC351" s="404"/>
      <c r="AD351" s="380"/>
      <c r="AE351" s="380"/>
      <c r="AF351" s="380"/>
      <c r="AG351" s="380"/>
      <c r="AH351" s="380"/>
      <c r="AI351" s="380"/>
      <c r="AJ351" s="380"/>
      <c r="AK351" s="403"/>
      <c r="AL351" s="380"/>
      <c r="AM351" s="380"/>
      <c r="AN351" s="380"/>
      <c r="AO351" s="380"/>
      <c r="AP351" s="380"/>
      <c r="AQ351" s="404"/>
      <c r="AR351" s="380"/>
      <c r="AS351" s="380"/>
      <c r="AT351" s="380"/>
      <c r="AU351" s="380"/>
      <c r="AV351" s="380"/>
      <c r="AW351" s="380"/>
      <c r="AX351" s="380"/>
      <c r="AY351" s="403"/>
      <c r="AZ351" s="380"/>
      <c r="BA351" s="380"/>
      <c r="BB351" s="380"/>
      <c r="BC351" s="380"/>
      <c r="BD351" s="380"/>
      <c r="BE351" s="404"/>
      <c r="BF351" s="380"/>
      <c r="BG351" s="380"/>
      <c r="BH351" s="380"/>
      <c r="BI351" s="380"/>
      <c r="BJ351" s="380"/>
      <c r="BK351" s="380"/>
      <c r="BL351" s="380"/>
      <c r="BM351" s="403"/>
      <c r="BS351" s="83"/>
      <c r="CA351" s="405"/>
      <c r="CG351" s="83"/>
      <c r="CO351" s="405"/>
      <c r="CU351" s="83"/>
      <c r="DC351" s="405"/>
      <c r="DI351" s="83"/>
      <c r="DQ351" s="405"/>
      <c r="DW351" s="83"/>
      <c r="EE351" s="405"/>
      <c r="EK351" s="83"/>
      <c r="ES351" s="405"/>
      <c r="EY351" s="83"/>
      <c r="FG351" s="405"/>
      <c r="FM351" s="83"/>
      <c r="FU351" s="405"/>
      <c r="GA351" s="83"/>
      <c r="GI351" s="405"/>
      <c r="GO351" s="83"/>
      <c r="GW351" s="405"/>
      <c r="HC351" s="83"/>
      <c r="HK351" s="405"/>
      <c r="HQ351" s="83"/>
      <c r="HY351" s="405"/>
      <c r="IE351" s="83"/>
      <c r="IM351" s="405"/>
      <c r="IS351" s="83"/>
      <c r="JA351" s="405"/>
      <c r="JG351" s="83"/>
      <c r="JO351" s="405"/>
      <c r="JU351" s="83"/>
      <c r="KC351" s="405"/>
      <c r="KI351" s="83"/>
      <c r="KQ351" s="405"/>
      <c r="KW351" s="83"/>
      <c r="LE351" s="405"/>
      <c r="LK351" s="83"/>
      <c r="LS351" s="405"/>
      <c r="LY351" s="83"/>
      <c r="MG351" s="405"/>
      <c r="MM351" s="83"/>
      <c r="MU351" s="405"/>
      <c r="NA351" s="83"/>
    </row>
    <row r="352">
      <c r="A352" s="483"/>
      <c r="B352" s="380"/>
      <c r="C352" s="380"/>
      <c r="D352" s="380"/>
      <c r="E352" s="380"/>
      <c r="F352" s="380"/>
      <c r="G352" s="380"/>
      <c r="H352" s="380"/>
      <c r="I352" s="403"/>
      <c r="J352" s="380"/>
      <c r="K352" s="380"/>
      <c r="L352" s="380"/>
      <c r="M352" s="380"/>
      <c r="N352" s="380"/>
      <c r="O352" s="404"/>
      <c r="P352" s="380"/>
      <c r="Q352" s="380"/>
      <c r="R352" s="380"/>
      <c r="S352" s="380"/>
      <c r="T352" s="380"/>
      <c r="U352" s="380"/>
      <c r="V352" s="380"/>
      <c r="W352" s="403"/>
      <c r="X352" s="380"/>
      <c r="Y352" s="380"/>
      <c r="Z352" s="380"/>
      <c r="AA352" s="380"/>
      <c r="AB352" s="380"/>
      <c r="AC352" s="404"/>
      <c r="AD352" s="380"/>
      <c r="AE352" s="380"/>
      <c r="AF352" s="380"/>
      <c r="AG352" s="380"/>
      <c r="AH352" s="380"/>
      <c r="AI352" s="380"/>
      <c r="AJ352" s="380"/>
      <c r="AK352" s="403"/>
      <c r="AL352" s="380"/>
      <c r="AM352" s="380"/>
      <c r="AN352" s="380"/>
      <c r="AO352" s="380"/>
      <c r="AP352" s="380"/>
      <c r="AQ352" s="404"/>
      <c r="AR352" s="380"/>
      <c r="AS352" s="380"/>
      <c r="AT352" s="380"/>
      <c r="AU352" s="380"/>
      <c r="AV352" s="380"/>
      <c r="AW352" s="380"/>
      <c r="AX352" s="380"/>
      <c r="AY352" s="403"/>
      <c r="AZ352" s="380"/>
      <c r="BA352" s="380"/>
      <c r="BB352" s="380"/>
      <c r="BC352" s="380"/>
      <c r="BD352" s="380"/>
      <c r="BE352" s="404"/>
      <c r="BF352" s="380"/>
      <c r="BG352" s="380"/>
      <c r="BH352" s="380"/>
      <c r="BI352" s="380"/>
      <c r="BJ352" s="380"/>
      <c r="BK352" s="380"/>
      <c r="BL352" s="380"/>
      <c r="BM352" s="403"/>
      <c r="BS352" s="83"/>
      <c r="CA352" s="405"/>
      <c r="CG352" s="83"/>
      <c r="CO352" s="405"/>
      <c r="CU352" s="83"/>
      <c r="DC352" s="405"/>
      <c r="DI352" s="83"/>
      <c r="DQ352" s="405"/>
      <c r="DW352" s="83"/>
      <c r="EE352" s="405"/>
      <c r="EK352" s="83"/>
      <c r="ES352" s="405"/>
      <c r="EY352" s="83"/>
      <c r="FG352" s="405"/>
      <c r="FM352" s="83"/>
      <c r="FU352" s="405"/>
      <c r="GA352" s="83"/>
      <c r="GI352" s="405"/>
      <c r="GO352" s="83"/>
      <c r="GW352" s="405"/>
      <c r="HC352" s="83"/>
      <c r="HK352" s="405"/>
      <c r="HQ352" s="83"/>
      <c r="HY352" s="405"/>
      <c r="IE352" s="83"/>
      <c r="IM352" s="405"/>
      <c r="IS352" s="83"/>
      <c r="JA352" s="405"/>
      <c r="JG352" s="83"/>
      <c r="JO352" s="405"/>
      <c r="JU352" s="83"/>
      <c r="KC352" s="405"/>
      <c r="KI352" s="83"/>
      <c r="KQ352" s="405"/>
      <c r="KW352" s="83"/>
      <c r="LE352" s="405"/>
      <c r="LK352" s="83"/>
      <c r="LS352" s="405"/>
      <c r="LY352" s="83"/>
      <c r="MG352" s="405"/>
      <c r="MM352" s="83"/>
      <c r="MU352" s="405"/>
      <c r="NA352" s="83"/>
    </row>
    <row r="353">
      <c r="A353" s="483"/>
      <c r="B353" s="380"/>
      <c r="C353" s="380"/>
      <c r="D353" s="380"/>
      <c r="E353" s="380"/>
      <c r="F353" s="380"/>
      <c r="G353" s="380"/>
      <c r="H353" s="380"/>
      <c r="I353" s="403"/>
      <c r="J353" s="380"/>
      <c r="K353" s="380"/>
      <c r="L353" s="380"/>
      <c r="M353" s="380"/>
      <c r="N353" s="380"/>
      <c r="O353" s="404"/>
      <c r="P353" s="380"/>
      <c r="Q353" s="380"/>
      <c r="R353" s="380"/>
      <c r="S353" s="380"/>
      <c r="T353" s="380"/>
      <c r="U353" s="380"/>
      <c r="V353" s="380"/>
      <c r="W353" s="403"/>
      <c r="X353" s="380"/>
      <c r="Y353" s="380"/>
      <c r="Z353" s="380"/>
      <c r="AA353" s="380"/>
      <c r="AB353" s="380"/>
      <c r="AC353" s="404"/>
      <c r="AD353" s="380"/>
      <c r="AE353" s="380"/>
      <c r="AF353" s="380"/>
      <c r="AG353" s="380"/>
      <c r="AH353" s="380"/>
      <c r="AI353" s="380"/>
      <c r="AJ353" s="380"/>
      <c r="AK353" s="403"/>
      <c r="AL353" s="380"/>
      <c r="AM353" s="380"/>
      <c r="AN353" s="380"/>
      <c r="AO353" s="380"/>
      <c r="AP353" s="380"/>
      <c r="AQ353" s="404"/>
      <c r="AR353" s="380"/>
      <c r="AS353" s="380"/>
      <c r="AT353" s="380"/>
      <c r="AU353" s="380"/>
      <c r="AV353" s="380"/>
      <c r="AW353" s="380"/>
      <c r="AX353" s="380"/>
      <c r="AY353" s="403"/>
      <c r="AZ353" s="380"/>
      <c r="BA353" s="380"/>
      <c r="BB353" s="380"/>
      <c r="BC353" s="380"/>
      <c r="BD353" s="380"/>
      <c r="BE353" s="404"/>
      <c r="BF353" s="380"/>
      <c r="BG353" s="380"/>
      <c r="BH353" s="380"/>
      <c r="BI353" s="380"/>
      <c r="BJ353" s="380"/>
      <c r="BK353" s="380"/>
      <c r="BL353" s="380"/>
      <c r="BM353" s="403"/>
      <c r="BS353" s="83"/>
      <c r="CA353" s="405"/>
      <c r="CG353" s="83"/>
      <c r="CO353" s="405"/>
      <c r="CU353" s="83"/>
      <c r="DC353" s="405"/>
      <c r="DI353" s="83"/>
      <c r="DQ353" s="405"/>
      <c r="DW353" s="83"/>
      <c r="EE353" s="405"/>
      <c r="EK353" s="83"/>
      <c r="ES353" s="405"/>
      <c r="EY353" s="83"/>
      <c r="FG353" s="405"/>
      <c r="FM353" s="83"/>
      <c r="FU353" s="405"/>
      <c r="GA353" s="83"/>
      <c r="GI353" s="405"/>
      <c r="GO353" s="83"/>
      <c r="GW353" s="405"/>
      <c r="HC353" s="83"/>
      <c r="HK353" s="405"/>
      <c r="HQ353" s="83"/>
      <c r="HY353" s="405"/>
      <c r="IE353" s="83"/>
      <c r="IM353" s="405"/>
      <c r="IS353" s="83"/>
      <c r="JA353" s="405"/>
      <c r="JG353" s="83"/>
      <c r="JO353" s="405"/>
      <c r="JU353" s="83"/>
      <c r="KC353" s="405"/>
      <c r="KI353" s="83"/>
      <c r="KQ353" s="405"/>
      <c r="KW353" s="83"/>
      <c r="LE353" s="405"/>
      <c r="LK353" s="83"/>
      <c r="LS353" s="405"/>
      <c r="LY353" s="83"/>
      <c r="MG353" s="405"/>
      <c r="MM353" s="83"/>
      <c r="MU353" s="405"/>
      <c r="NA353" s="83"/>
    </row>
    <row r="354">
      <c r="A354" s="483"/>
      <c r="B354" s="380"/>
      <c r="C354" s="380"/>
      <c r="D354" s="380"/>
      <c r="E354" s="380"/>
      <c r="F354" s="380"/>
      <c r="G354" s="380"/>
      <c r="H354" s="380"/>
      <c r="I354" s="403"/>
      <c r="J354" s="380"/>
      <c r="K354" s="380"/>
      <c r="L354" s="380"/>
      <c r="M354" s="380"/>
      <c r="N354" s="380"/>
      <c r="O354" s="404"/>
      <c r="P354" s="380"/>
      <c r="Q354" s="380"/>
      <c r="R354" s="380"/>
      <c r="S354" s="380"/>
      <c r="T354" s="380"/>
      <c r="U354" s="380"/>
      <c r="V354" s="380"/>
      <c r="W354" s="403"/>
      <c r="X354" s="380"/>
      <c r="Y354" s="380"/>
      <c r="Z354" s="380"/>
      <c r="AA354" s="380"/>
      <c r="AB354" s="380"/>
      <c r="AC354" s="404"/>
      <c r="AD354" s="380"/>
      <c r="AE354" s="380"/>
      <c r="AF354" s="380"/>
      <c r="AG354" s="380"/>
      <c r="AH354" s="380"/>
      <c r="AI354" s="380"/>
      <c r="AJ354" s="380"/>
      <c r="AK354" s="403"/>
      <c r="AL354" s="380"/>
      <c r="AM354" s="380"/>
      <c r="AN354" s="380"/>
      <c r="AO354" s="380"/>
      <c r="AP354" s="380"/>
      <c r="AQ354" s="404"/>
      <c r="AR354" s="380"/>
      <c r="AS354" s="380"/>
      <c r="AT354" s="380"/>
      <c r="AU354" s="380"/>
      <c r="AV354" s="380"/>
      <c r="AW354" s="380"/>
      <c r="AX354" s="380"/>
      <c r="AY354" s="403"/>
      <c r="AZ354" s="380"/>
      <c r="BA354" s="380"/>
      <c r="BB354" s="380"/>
      <c r="BC354" s="380"/>
      <c r="BD354" s="380"/>
      <c r="BE354" s="404"/>
      <c r="BF354" s="380"/>
      <c r="BG354" s="380"/>
      <c r="BH354" s="380"/>
      <c r="BI354" s="380"/>
      <c r="BJ354" s="380"/>
      <c r="BK354" s="380"/>
      <c r="BL354" s="380"/>
      <c r="BM354" s="403"/>
      <c r="BS354" s="83"/>
      <c r="CA354" s="405"/>
      <c r="CG354" s="83"/>
      <c r="CO354" s="405"/>
      <c r="CU354" s="83"/>
      <c r="DC354" s="405"/>
      <c r="DI354" s="83"/>
      <c r="DQ354" s="405"/>
      <c r="DW354" s="83"/>
      <c r="EE354" s="405"/>
      <c r="EK354" s="83"/>
      <c r="ES354" s="405"/>
      <c r="EY354" s="83"/>
      <c r="FG354" s="405"/>
      <c r="FM354" s="83"/>
      <c r="FU354" s="405"/>
      <c r="GA354" s="83"/>
      <c r="GI354" s="405"/>
      <c r="GO354" s="83"/>
      <c r="GW354" s="405"/>
      <c r="HC354" s="83"/>
      <c r="HK354" s="405"/>
      <c r="HQ354" s="83"/>
      <c r="HY354" s="405"/>
      <c r="IE354" s="83"/>
      <c r="IM354" s="405"/>
      <c r="IS354" s="83"/>
      <c r="JA354" s="405"/>
      <c r="JG354" s="83"/>
      <c r="JO354" s="405"/>
      <c r="JU354" s="83"/>
      <c r="KC354" s="405"/>
      <c r="KI354" s="83"/>
      <c r="KQ354" s="405"/>
      <c r="KW354" s="83"/>
      <c r="LE354" s="405"/>
      <c r="LK354" s="83"/>
      <c r="LS354" s="405"/>
      <c r="LY354" s="83"/>
      <c r="MG354" s="405"/>
      <c r="MM354" s="83"/>
      <c r="MU354" s="405"/>
      <c r="NA354" s="83"/>
    </row>
    <row r="355">
      <c r="A355" s="483"/>
      <c r="B355" s="380"/>
      <c r="C355" s="380"/>
      <c r="D355" s="380"/>
      <c r="E355" s="380"/>
      <c r="F355" s="380"/>
      <c r="G355" s="380"/>
      <c r="H355" s="380"/>
      <c r="I355" s="403"/>
      <c r="J355" s="380"/>
      <c r="K355" s="380"/>
      <c r="L355" s="380"/>
      <c r="M355" s="380"/>
      <c r="N355" s="380"/>
      <c r="O355" s="404"/>
      <c r="P355" s="380"/>
      <c r="Q355" s="380"/>
      <c r="R355" s="380"/>
      <c r="S355" s="380"/>
      <c r="T355" s="380"/>
      <c r="U355" s="380"/>
      <c r="V355" s="380"/>
      <c r="W355" s="403"/>
      <c r="X355" s="380"/>
      <c r="Y355" s="380"/>
      <c r="Z355" s="380"/>
      <c r="AA355" s="380"/>
      <c r="AB355" s="380"/>
      <c r="AC355" s="404"/>
      <c r="AD355" s="380"/>
      <c r="AE355" s="380"/>
      <c r="AF355" s="380"/>
      <c r="AG355" s="380"/>
      <c r="AH355" s="380"/>
      <c r="AI355" s="380"/>
      <c r="AJ355" s="380"/>
      <c r="AK355" s="403"/>
      <c r="AL355" s="380"/>
      <c r="AM355" s="380"/>
      <c r="AN355" s="380"/>
      <c r="AO355" s="380"/>
      <c r="AP355" s="380"/>
      <c r="AQ355" s="404"/>
      <c r="AR355" s="380"/>
      <c r="AS355" s="380"/>
      <c r="AT355" s="380"/>
      <c r="AU355" s="380"/>
      <c r="AV355" s="380"/>
      <c r="AW355" s="380"/>
      <c r="AX355" s="380"/>
      <c r="AY355" s="403"/>
      <c r="AZ355" s="380"/>
      <c r="BA355" s="380"/>
      <c r="BB355" s="380"/>
      <c r="BC355" s="380"/>
      <c r="BD355" s="380"/>
      <c r="BE355" s="404"/>
      <c r="BF355" s="380"/>
      <c r="BG355" s="380"/>
      <c r="BH355" s="380"/>
      <c r="BI355" s="380"/>
      <c r="BJ355" s="380"/>
      <c r="BK355" s="380"/>
      <c r="BL355" s="380"/>
      <c r="BM355" s="403"/>
      <c r="BS355" s="83"/>
      <c r="CA355" s="405"/>
      <c r="CG355" s="83"/>
      <c r="CO355" s="405"/>
      <c r="CU355" s="83"/>
      <c r="DC355" s="405"/>
      <c r="DI355" s="83"/>
      <c r="DQ355" s="405"/>
      <c r="DW355" s="83"/>
      <c r="EE355" s="405"/>
      <c r="EK355" s="83"/>
      <c r="ES355" s="405"/>
      <c r="EY355" s="83"/>
      <c r="FG355" s="405"/>
      <c r="FM355" s="83"/>
      <c r="FU355" s="405"/>
      <c r="GA355" s="83"/>
      <c r="GI355" s="405"/>
      <c r="GO355" s="83"/>
      <c r="GW355" s="405"/>
      <c r="HC355" s="83"/>
      <c r="HK355" s="405"/>
      <c r="HQ355" s="83"/>
      <c r="HY355" s="405"/>
      <c r="IE355" s="83"/>
      <c r="IM355" s="405"/>
      <c r="IS355" s="83"/>
      <c r="JA355" s="405"/>
      <c r="JG355" s="83"/>
      <c r="JO355" s="405"/>
      <c r="JU355" s="83"/>
      <c r="KC355" s="405"/>
      <c r="KI355" s="83"/>
      <c r="KQ355" s="405"/>
      <c r="KW355" s="83"/>
      <c r="LE355" s="405"/>
      <c r="LK355" s="83"/>
      <c r="LS355" s="405"/>
      <c r="LY355" s="83"/>
      <c r="MG355" s="405"/>
      <c r="MM355" s="83"/>
      <c r="MU355" s="405"/>
      <c r="NA355" s="83"/>
    </row>
    <row r="356">
      <c r="A356" s="483"/>
      <c r="B356" s="380"/>
      <c r="C356" s="380"/>
      <c r="D356" s="380"/>
      <c r="E356" s="380"/>
      <c r="F356" s="380"/>
      <c r="G356" s="380"/>
      <c r="H356" s="380"/>
      <c r="I356" s="403"/>
      <c r="J356" s="380"/>
      <c r="K356" s="380"/>
      <c r="L356" s="380"/>
      <c r="M356" s="380"/>
      <c r="N356" s="380"/>
      <c r="O356" s="404"/>
      <c r="P356" s="380"/>
      <c r="Q356" s="380"/>
      <c r="R356" s="380"/>
      <c r="S356" s="380"/>
      <c r="T356" s="380"/>
      <c r="U356" s="380"/>
      <c r="V356" s="380"/>
      <c r="W356" s="403"/>
      <c r="X356" s="380"/>
      <c r="Y356" s="380"/>
      <c r="Z356" s="380"/>
      <c r="AA356" s="380"/>
      <c r="AB356" s="380"/>
      <c r="AC356" s="404"/>
      <c r="AD356" s="380"/>
      <c r="AE356" s="380"/>
      <c r="AF356" s="380"/>
      <c r="AG356" s="380"/>
      <c r="AH356" s="380"/>
      <c r="AI356" s="380"/>
      <c r="AJ356" s="380"/>
      <c r="AK356" s="403"/>
      <c r="AL356" s="380"/>
      <c r="AM356" s="380"/>
      <c r="AN356" s="380"/>
      <c r="AO356" s="380"/>
      <c r="AP356" s="380"/>
      <c r="AQ356" s="404"/>
      <c r="AR356" s="380"/>
      <c r="AS356" s="380"/>
      <c r="AT356" s="380"/>
      <c r="AU356" s="380"/>
      <c r="AV356" s="380"/>
      <c r="AW356" s="380"/>
      <c r="AX356" s="380"/>
      <c r="AY356" s="403"/>
      <c r="AZ356" s="380"/>
      <c r="BA356" s="380"/>
      <c r="BB356" s="380"/>
      <c r="BC356" s="380"/>
      <c r="BD356" s="380"/>
      <c r="BE356" s="404"/>
      <c r="BF356" s="380"/>
      <c r="BG356" s="380"/>
      <c r="BH356" s="380"/>
      <c r="BI356" s="380"/>
      <c r="BJ356" s="380"/>
      <c r="BK356" s="380"/>
      <c r="BL356" s="380"/>
      <c r="BM356" s="403"/>
      <c r="BS356" s="83"/>
      <c r="CA356" s="405"/>
      <c r="CG356" s="83"/>
      <c r="CO356" s="405"/>
      <c r="CU356" s="83"/>
      <c r="DC356" s="405"/>
      <c r="DI356" s="83"/>
      <c r="DQ356" s="405"/>
      <c r="DW356" s="83"/>
      <c r="EE356" s="405"/>
      <c r="EK356" s="83"/>
      <c r="ES356" s="405"/>
      <c r="EY356" s="83"/>
      <c r="FG356" s="405"/>
      <c r="FM356" s="83"/>
      <c r="FU356" s="405"/>
      <c r="GA356" s="83"/>
      <c r="GI356" s="405"/>
      <c r="GO356" s="83"/>
      <c r="GW356" s="405"/>
      <c r="HC356" s="83"/>
      <c r="HK356" s="405"/>
      <c r="HQ356" s="83"/>
      <c r="HY356" s="405"/>
      <c r="IE356" s="83"/>
      <c r="IM356" s="405"/>
      <c r="IS356" s="83"/>
      <c r="JA356" s="405"/>
      <c r="JG356" s="83"/>
      <c r="JO356" s="405"/>
      <c r="JU356" s="83"/>
      <c r="KC356" s="405"/>
      <c r="KI356" s="83"/>
      <c r="KQ356" s="405"/>
      <c r="KW356" s="83"/>
      <c r="LE356" s="405"/>
      <c r="LK356" s="83"/>
      <c r="LS356" s="405"/>
      <c r="LY356" s="83"/>
      <c r="MG356" s="405"/>
      <c r="MM356" s="83"/>
      <c r="MU356" s="405"/>
      <c r="NA356" s="83"/>
    </row>
    <row r="357">
      <c r="A357" s="483"/>
      <c r="B357" s="380"/>
      <c r="C357" s="380"/>
      <c r="D357" s="380"/>
      <c r="E357" s="380"/>
      <c r="F357" s="380"/>
      <c r="G357" s="380"/>
      <c r="H357" s="380"/>
      <c r="I357" s="403"/>
      <c r="J357" s="380"/>
      <c r="K357" s="380"/>
      <c r="L357" s="380"/>
      <c r="M357" s="380"/>
      <c r="N357" s="380"/>
      <c r="O357" s="404"/>
      <c r="P357" s="380"/>
      <c r="Q357" s="380"/>
      <c r="R357" s="380"/>
      <c r="S357" s="380"/>
      <c r="T357" s="380"/>
      <c r="U357" s="380"/>
      <c r="V357" s="380"/>
      <c r="W357" s="403"/>
      <c r="X357" s="380"/>
      <c r="Y357" s="380"/>
      <c r="Z357" s="380"/>
      <c r="AA357" s="380"/>
      <c r="AB357" s="380"/>
      <c r="AC357" s="404"/>
      <c r="AD357" s="380"/>
      <c r="AE357" s="380"/>
      <c r="AF357" s="380"/>
      <c r="AG357" s="380"/>
      <c r="AH357" s="380"/>
      <c r="AI357" s="380"/>
      <c r="AJ357" s="380"/>
      <c r="AK357" s="403"/>
      <c r="AL357" s="380"/>
      <c r="AM357" s="380"/>
      <c r="AN357" s="380"/>
      <c r="AO357" s="380"/>
      <c r="AP357" s="380"/>
      <c r="AQ357" s="404"/>
      <c r="AR357" s="380"/>
      <c r="AS357" s="380"/>
      <c r="AT357" s="380"/>
      <c r="AU357" s="380"/>
      <c r="AV357" s="380"/>
      <c r="AW357" s="380"/>
      <c r="AX357" s="380"/>
      <c r="AY357" s="403"/>
      <c r="AZ357" s="380"/>
      <c r="BA357" s="380"/>
      <c r="BB357" s="380"/>
      <c r="BC357" s="380"/>
      <c r="BD357" s="380"/>
      <c r="BE357" s="404"/>
      <c r="BF357" s="380"/>
      <c r="BG357" s="380"/>
      <c r="BH357" s="380"/>
      <c r="BI357" s="380"/>
      <c r="BJ357" s="380"/>
      <c r="BK357" s="380"/>
      <c r="BL357" s="380"/>
      <c r="BM357" s="403"/>
      <c r="BS357" s="83"/>
      <c r="CA357" s="405"/>
      <c r="CG357" s="83"/>
      <c r="CO357" s="405"/>
      <c r="CU357" s="83"/>
      <c r="DC357" s="405"/>
      <c r="DI357" s="83"/>
      <c r="DQ357" s="405"/>
      <c r="DW357" s="83"/>
      <c r="EE357" s="405"/>
      <c r="EK357" s="83"/>
      <c r="ES357" s="405"/>
      <c r="EY357" s="83"/>
      <c r="FG357" s="405"/>
      <c r="FM357" s="83"/>
      <c r="FU357" s="405"/>
      <c r="GA357" s="83"/>
      <c r="GI357" s="405"/>
      <c r="GO357" s="83"/>
      <c r="GW357" s="405"/>
      <c r="HC357" s="83"/>
      <c r="HK357" s="405"/>
      <c r="HQ357" s="83"/>
      <c r="HY357" s="405"/>
      <c r="IE357" s="83"/>
      <c r="IM357" s="405"/>
      <c r="IS357" s="83"/>
      <c r="JA357" s="405"/>
      <c r="JG357" s="83"/>
      <c r="JO357" s="405"/>
      <c r="JU357" s="83"/>
      <c r="KC357" s="405"/>
      <c r="KI357" s="83"/>
      <c r="KQ357" s="405"/>
      <c r="KW357" s="83"/>
      <c r="LE357" s="405"/>
      <c r="LK357" s="83"/>
      <c r="LS357" s="405"/>
      <c r="LY357" s="83"/>
      <c r="MG357" s="405"/>
      <c r="MM357" s="83"/>
      <c r="MU357" s="405"/>
      <c r="NA357" s="83"/>
    </row>
    <row r="358">
      <c r="A358" s="483"/>
      <c r="B358" s="380"/>
      <c r="C358" s="380"/>
      <c r="D358" s="380"/>
      <c r="E358" s="380"/>
      <c r="F358" s="380"/>
      <c r="G358" s="380"/>
      <c r="H358" s="380"/>
      <c r="I358" s="403"/>
      <c r="J358" s="380"/>
      <c r="K358" s="380"/>
      <c r="L358" s="380"/>
      <c r="M358" s="380"/>
      <c r="N358" s="380"/>
      <c r="O358" s="404"/>
      <c r="P358" s="380"/>
      <c r="Q358" s="380"/>
      <c r="R358" s="380"/>
      <c r="S358" s="380"/>
      <c r="T358" s="380"/>
      <c r="U358" s="380"/>
      <c r="V358" s="380"/>
      <c r="W358" s="403"/>
      <c r="X358" s="380"/>
      <c r="Y358" s="380"/>
      <c r="Z358" s="380"/>
      <c r="AA358" s="380"/>
      <c r="AB358" s="380"/>
      <c r="AC358" s="404"/>
      <c r="AD358" s="380"/>
      <c r="AE358" s="380"/>
      <c r="AF358" s="380"/>
      <c r="AG358" s="380"/>
      <c r="AH358" s="380"/>
      <c r="AI358" s="380"/>
      <c r="AJ358" s="380"/>
      <c r="AK358" s="403"/>
      <c r="AL358" s="380"/>
      <c r="AM358" s="380"/>
      <c r="AN358" s="380"/>
      <c r="AO358" s="380"/>
      <c r="AP358" s="380"/>
      <c r="AQ358" s="404"/>
      <c r="AR358" s="380"/>
      <c r="AS358" s="380"/>
      <c r="AT358" s="380"/>
      <c r="AU358" s="380"/>
      <c r="AV358" s="380"/>
      <c r="AW358" s="380"/>
      <c r="AX358" s="380"/>
      <c r="AY358" s="403"/>
      <c r="AZ358" s="380"/>
      <c r="BA358" s="380"/>
      <c r="BB358" s="380"/>
      <c r="BC358" s="380"/>
      <c r="BD358" s="380"/>
      <c r="BE358" s="404"/>
      <c r="BF358" s="380"/>
      <c r="BG358" s="380"/>
      <c r="BH358" s="380"/>
      <c r="BI358" s="380"/>
      <c r="BJ358" s="380"/>
      <c r="BK358" s="380"/>
      <c r="BL358" s="380"/>
      <c r="BM358" s="403"/>
      <c r="BS358" s="83"/>
      <c r="CA358" s="405"/>
      <c r="CG358" s="83"/>
      <c r="CO358" s="405"/>
      <c r="CU358" s="83"/>
      <c r="DC358" s="405"/>
      <c r="DI358" s="83"/>
      <c r="DQ358" s="405"/>
      <c r="DW358" s="83"/>
      <c r="EE358" s="405"/>
      <c r="EK358" s="83"/>
      <c r="ES358" s="405"/>
      <c r="EY358" s="83"/>
      <c r="FG358" s="405"/>
      <c r="FM358" s="83"/>
      <c r="FU358" s="405"/>
      <c r="GA358" s="83"/>
      <c r="GI358" s="405"/>
      <c r="GO358" s="83"/>
      <c r="GW358" s="405"/>
      <c r="HC358" s="83"/>
      <c r="HK358" s="405"/>
      <c r="HQ358" s="83"/>
      <c r="HY358" s="405"/>
      <c r="IE358" s="83"/>
      <c r="IM358" s="405"/>
      <c r="IS358" s="83"/>
      <c r="JA358" s="405"/>
      <c r="JG358" s="83"/>
      <c r="JO358" s="405"/>
      <c r="JU358" s="83"/>
      <c r="KC358" s="405"/>
      <c r="KI358" s="83"/>
      <c r="KQ358" s="405"/>
      <c r="KW358" s="83"/>
      <c r="LE358" s="405"/>
      <c r="LK358" s="83"/>
      <c r="LS358" s="405"/>
      <c r="LY358" s="83"/>
      <c r="MG358" s="405"/>
      <c r="MM358" s="83"/>
      <c r="MU358" s="405"/>
      <c r="NA358" s="83"/>
    </row>
    <row r="359">
      <c r="A359" s="483"/>
      <c r="B359" s="380"/>
      <c r="C359" s="380"/>
      <c r="D359" s="380"/>
      <c r="E359" s="380"/>
      <c r="F359" s="380"/>
      <c r="G359" s="380"/>
      <c r="H359" s="380"/>
      <c r="I359" s="403"/>
      <c r="J359" s="380"/>
      <c r="K359" s="380"/>
      <c r="L359" s="380"/>
      <c r="M359" s="380"/>
      <c r="N359" s="380"/>
      <c r="O359" s="404"/>
      <c r="P359" s="380"/>
      <c r="Q359" s="380"/>
      <c r="R359" s="380"/>
      <c r="S359" s="380"/>
      <c r="T359" s="380"/>
      <c r="U359" s="380"/>
      <c r="V359" s="380"/>
      <c r="W359" s="403"/>
      <c r="X359" s="380"/>
      <c r="Y359" s="380"/>
      <c r="Z359" s="380"/>
      <c r="AA359" s="380"/>
      <c r="AB359" s="380"/>
      <c r="AC359" s="404"/>
      <c r="AD359" s="380"/>
      <c r="AE359" s="380"/>
      <c r="AF359" s="380"/>
      <c r="AG359" s="380"/>
      <c r="AH359" s="380"/>
      <c r="AI359" s="380"/>
      <c r="AJ359" s="380"/>
      <c r="AK359" s="403"/>
      <c r="AL359" s="380"/>
      <c r="AM359" s="380"/>
      <c r="AN359" s="380"/>
      <c r="AO359" s="380"/>
      <c r="AP359" s="380"/>
      <c r="AQ359" s="404"/>
      <c r="AR359" s="380"/>
      <c r="AS359" s="380"/>
      <c r="AT359" s="380"/>
      <c r="AU359" s="380"/>
      <c r="AV359" s="380"/>
      <c r="AW359" s="380"/>
      <c r="AX359" s="380"/>
      <c r="AY359" s="403"/>
      <c r="AZ359" s="380"/>
      <c r="BA359" s="380"/>
      <c r="BB359" s="380"/>
      <c r="BC359" s="380"/>
      <c r="BD359" s="380"/>
      <c r="BE359" s="404"/>
      <c r="BF359" s="380"/>
      <c r="BG359" s="380"/>
      <c r="BH359" s="380"/>
      <c r="BI359" s="380"/>
      <c r="BJ359" s="380"/>
      <c r="BK359" s="380"/>
      <c r="BL359" s="380"/>
      <c r="BM359" s="403"/>
      <c r="BS359" s="83"/>
      <c r="CA359" s="405"/>
      <c r="CG359" s="83"/>
      <c r="CO359" s="405"/>
      <c r="CU359" s="83"/>
      <c r="DC359" s="405"/>
      <c r="DI359" s="83"/>
      <c r="DQ359" s="405"/>
      <c r="DW359" s="83"/>
      <c r="EE359" s="405"/>
      <c r="EK359" s="83"/>
      <c r="ES359" s="405"/>
      <c r="EY359" s="83"/>
      <c r="FG359" s="405"/>
      <c r="FM359" s="83"/>
      <c r="FU359" s="405"/>
      <c r="GA359" s="83"/>
      <c r="GI359" s="405"/>
      <c r="GO359" s="83"/>
      <c r="GW359" s="405"/>
      <c r="HC359" s="83"/>
      <c r="HK359" s="405"/>
      <c r="HQ359" s="83"/>
      <c r="HY359" s="405"/>
      <c r="IE359" s="83"/>
      <c r="IM359" s="405"/>
      <c r="IS359" s="83"/>
      <c r="JA359" s="405"/>
      <c r="JG359" s="83"/>
      <c r="JO359" s="405"/>
      <c r="JU359" s="83"/>
      <c r="KC359" s="405"/>
      <c r="KI359" s="83"/>
      <c r="KQ359" s="405"/>
      <c r="KW359" s="83"/>
      <c r="LE359" s="405"/>
      <c r="LK359" s="83"/>
      <c r="LS359" s="405"/>
      <c r="LY359" s="83"/>
      <c r="MG359" s="405"/>
      <c r="MM359" s="83"/>
      <c r="MU359" s="405"/>
      <c r="NA359" s="83"/>
    </row>
    <row r="360">
      <c r="A360" s="483"/>
      <c r="B360" s="380"/>
      <c r="C360" s="380"/>
      <c r="D360" s="380"/>
      <c r="E360" s="380"/>
      <c r="F360" s="380"/>
      <c r="G360" s="380"/>
      <c r="H360" s="380"/>
      <c r="I360" s="403"/>
      <c r="J360" s="380"/>
      <c r="K360" s="380"/>
      <c r="L360" s="380"/>
      <c r="M360" s="380"/>
      <c r="N360" s="380"/>
      <c r="O360" s="404"/>
      <c r="P360" s="380"/>
      <c r="Q360" s="380"/>
      <c r="R360" s="380"/>
      <c r="S360" s="380"/>
      <c r="T360" s="380"/>
      <c r="U360" s="380"/>
      <c r="V360" s="380"/>
      <c r="W360" s="403"/>
      <c r="X360" s="380"/>
      <c r="Y360" s="380"/>
      <c r="Z360" s="380"/>
      <c r="AA360" s="380"/>
      <c r="AB360" s="380"/>
      <c r="AC360" s="404"/>
      <c r="AD360" s="380"/>
      <c r="AE360" s="380"/>
      <c r="AF360" s="380"/>
      <c r="AG360" s="380"/>
      <c r="AH360" s="380"/>
      <c r="AI360" s="380"/>
      <c r="AJ360" s="380"/>
      <c r="AK360" s="403"/>
      <c r="AL360" s="380"/>
      <c r="AM360" s="380"/>
      <c r="AN360" s="380"/>
      <c r="AO360" s="380"/>
      <c r="AP360" s="380"/>
      <c r="AQ360" s="404"/>
      <c r="AR360" s="380"/>
      <c r="AS360" s="380"/>
      <c r="AT360" s="380"/>
      <c r="AU360" s="380"/>
      <c r="AV360" s="380"/>
      <c r="AW360" s="380"/>
      <c r="AX360" s="380"/>
      <c r="AY360" s="403"/>
      <c r="AZ360" s="380"/>
      <c r="BA360" s="380"/>
      <c r="BB360" s="380"/>
      <c r="BC360" s="380"/>
      <c r="BD360" s="380"/>
      <c r="BE360" s="404"/>
      <c r="BF360" s="380"/>
      <c r="BG360" s="380"/>
      <c r="BH360" s="380"/>
      <c r="BI360" s="380"/>
      <c r="BJ360" s="380"/>
      <c r="BK360" s="380"/>
      <c r="BL360" s="380"/>
      <c r="BM360" s="403"/>
      <c r="BS360" s="83"/>
      <c r="CA360" s="405"/>
      <c r="CG360" s="83"/>
      <c r="CO360" s="405"/>
      <c r="CU360" s="83"/>
      <c r="DC360" s="405"/>
      <c r="DI360" s="83"/>
      <c r="DQ360" s="405"/>
      <c r="DW360" s="83"/>
      <c r="EE360" s="405"/>
      <c r="EK360" s="83"/>
      <c r="ES360" s="405"/>
      <c r="EY360" s="83"/>
      <c r="FG360" s="405"/>
      <c r="FM360" s="83"/>
      <c r="FU360" s="405"/>
      <c r="GA360" s="83"/>
      <c r="GI360" s="405"/>
      <c r="GO360" s="83"/>
      <c r="GW360" s="405"/>
      <c r="HC360" s="83"/>
      <c r="HK360" s="405"/>
      <c r="HQ360" s="83"/>
      <c r="HY360" s="405"/>
      <c r="IE360" s="83"/>
      <c r="IM360" s="405"/>
      <c r="IS360" s="83"/>
      <c r="JA360" s="405"/>
      <c r="JG360" s="83"/>
      <c r="JO360" s="405"/>
      <c r="JU360" s="83"/>
      <c r="KC360" s="405"/>
      <c r="KI360" s="83"/>
      <c r="KQ360" s="405"/>
      <c r="KW360" s="83"/>
      <c r="LE360" s="405"/>
      <c r="LK360" s="83"/>
      <c r="LS360" s="405"/>
      <c r="LY360" s="83"/>
      <c r="MG360" s="405"/>
      <c r="MM360" s="83"/>
      <c r="MU360" s="405"/>
      <c r="NA360" s="83"/>
    </row>
    <row r="361">
      <c r="A361" s="483"/>
      <c r="B361" s="380"/>
      <c r="C361" s="380"/>
      <c r="D361" s="380"/>
      <c r="E361" s="380"/>
      <c r="F361" s="380"/>
      <c r="G361" s="380"/>
      <c r="H361" s="380"/>
      <c r="I361" s="403"/>
      <c r="J361" s="380"/>
      <c r="K361" s="380"/>
      <c r="L361" s="380"/>
      <c r="M361" s="380"/>
      <c r="N361" s="380"/>
      <c r="O361" s="404"/>
      <c r="P361" s="380"/>
      <c r="Q361" s="380"/>
      <c r="R361" s="380"/>
      <c r="S361" s="380"/>
      <c r="T361" s="380"/>
      <c r="U361" s="380"/>
      <c r="V361" s="380"/>
      <c r="W361" s="403"/>
      <c r="X361" s="380"/>
      <c r="Y361" s="380"/>
      <c r="Z361" s="380"/>
      <c r="AA361" s="380"/>
      <c r="AB361" s="380"/>
      <c r="AC361" s="404"/>
      <c r="AD361" s="380"/>
      <c r="AE361" s="380"/>
      <c r="AF361" s="380"/>
      <c r="AG361" s="380"/>
      <c r="AH361" s="380"/>
      <c r="AI361" s="380"/>
      <c r="AJ361" s="380"/>
      <c r="AK361" s="403"/>
      <c r="AL361" s="380"/>
      <c r="AM361" s="380"/>
      <c r="AN361" s="380"/>
      <c r="AO361" s="380"/>
      <c r="AP361" s="380"/>
      <c r="AQ361" s="404"/>
      <c r="AR361" s="380"/>
      <c r="AS361" s="380"/>
      <c r="AT361" s="380"/>
      <c r="AU361" s="380"/>
      <c r="AV361" s="380"/>
      <c r="AW361" s="380"/>
      <c r="AX361" s="380"/>
      <c r="AY361" s="403"/>
      <c r="AZ361" s="380"/>
      <c r="BA361" s="380"/>
      <c r="BB361" s="380"/>
      <c r="BC361" s="380"/>
      <c r="BD361" s="380"/>
      <c r="BE361" s="404"/>
      <c r="BF361" s="380"/>
      <c r="BG361" s="380"/>
      <c r="BH361" s="380"/>
      <c r="BI361" s="380"/>
      <c r="BJ361" s="380"/>
      <c r="BK361" s="380"/>
      <c r="BL361" s="380"/>
      <c r="BM361" s="403"/>
      <c r="BS361" s="83"/>
      <c r="CA361" s="405"/>
      <c r="CG361" s="83"/>
      <c r="CO361" s="405"/>
      <c r="CU361" s="83"/>
      <c r="DC361" s="405"/>
      <c r="DI361" s="83"/>
      <c r="DQ361" s="405"/>
      <c r="DW361" s="83"/>
      <c r="EE361" s="405"/>
      <c r="EK361" s="83"/>
      <c r="ES361" s="405"/>
      <c r="EY361" s="83"/>
      <c r="FG361" s="405"/>
      <c r="FM361" s="83"/>
      <c r="FU361" s="405"/>
      <c r="GA361" s="83"/>
      <c r="GI361" s="405"/>
      <c r="GO361" s="83"/>
      <c r="GW361" s="405"/>
      <c r="HC361" s="83"/>
      <c r="HK361" s="405"/>
      <c r="HQ361" s="83"/>
      <c r="HY361" s="405"/>
      <c r="IE361" s="83"/>
      <c r="IM361" s="405"/>
      <c r="IS361" s="83"/>
      <c r="JA361" s="405"/>
      <c r="JG361" s="83"/>
      <c r="JO361" s="405"/>
      <c r="JU361" s="83"/>
      <c r="KC361" s="405"/>
      <c r="KI361" s="83"/>
      <c r="KQ361" s="405"/>
      <c r="KW361" s="83"/>
      <c r="LE361" s="405"/>
      <c r="LK361" s="83"/>
      <c r="LS361" s="405"/>
      <c r="LY361" s="83"/>
      <c r="MG361" s="405"/>
      <c r="MM361" s="83"/>
      <c r="MU361" s="405"/>
      <c r="NA361" s="83"/>
    </row>
    <row r="362">
      <c r="A362" s="483"/>
      <c r="B362" s="380"/>
      <c r="C362" s="380"/>
      <c r="D362" s="380"/>
      <c r="E362" s="380"/>
      <c r="F362" s="380"/>
      <c r="G362" s="380"/>
      <c r="H362" s="380"/>
      <c r="I362" s="403"/>
      <c r="J362" s="380"/>
      <c r="K362" s="380"/>
      <c r="L362" s="380"/>
      <c r="M362" s="380"/>
      <c r="N362" s="380"/>
      <c r="O362" s="404"/>
      <c r="P362" s="380"/>
      <c r="Q362" s="380"/>
      <c r="R362" s="380"/>
      <c r="S362" s="380"/>
      <c r="T362" s="380"/>
      <c r="U362" s="380"/>
      <c r="V362" s="380"/>
      <c r="W362" s="403"/>
      <c r="X362" s="380"/>
      <c r="Y362" s="380"/>
      <c r="Z362" s="380"/>
      <c r="AA362" s="380"/>
      <c r="AB362" s="380"/>
      <c r="AC362" s="404"/>
      <c r="AD362" s="380"/>
      <c r="AE362" s="380"/>
      <c r="AF362" s="380"/>
      <c r="AG362" s="380"/>
      <c r="AH362" s="380"/>
      <c r="AI362" s="380"/>
      <c r="AJ362" s="380"/>
      <c r="AK362" s="403"/>
      <c r="AL362" s="380"/>
      <c r="AM362" s="380"/>
      <c r="AN362" s="380"/>
      <c r="AO362" s="380"/>
      <c r="AP362" s="380"/>
      <c r="AQ362" s="404"/>
      <c r="AR362" s="380"/>
      <c r="AS362" s="380"/>
      <c r="AT362" s="380"/>
      <c r="AU362" s="380"/>
      <c r="AV362" s="380"/>
      <c r="AW362" s="380"/>
      <c r="AX362" s="380"/>
      <c r="AY362" s="403"/>
      <c r="AZ362" s="380"/>
      <c r="BA362" s="380"/>
      <c r="BB362" s="380"/>
      <c r="BC362" s="380"/>
      <c r="BD362" s="380"/>
      <c r="BE362" s="404"/>
      <c r="BF362" s="380"/>
      <c r="BG362" s="380"/>
      <c r="BH362" s="380"/>
      <c r="BI362" s="380"/>
      <c r="BJ362" s="380"/>
      <c r="BK362" s="380"/>
      <c r="BL362" s="380"/>
      <c r="BM362" s="403"/>
      <c r="BS362" s="83"/>
      <c r="CA362" s="405"/>
      <c r="CG362" s="83"/>
      <c r="CO362" s="405"/>
      <c r="CU362" s="83"/>
      <c r="DC362" s="405"/>
      <c r="DI362" s="83"/>
      <c r="DQ362" s="405"/>
      <c r="DW362" s="83"/>
      <c r="EE362" s="405"/>
      <c r="EK362" s="83"/>
      <c r="ES362" s="405"/>
      <c r="EY362" s="83"/>
      <c r="FG362" s="405"/>
      <c r="FM362" s="83"/>
      <c r="FU362" s="405"/>
      <c r="GA362" s="83"/>
      <c r="GI362" s="405"/>
      <c r="GO362" s="83"/>
      <c r="GW362" s="405"/>
      <c r="HC362" s="83"/>
      <c r="HK362" s="405"/>
      <c r="HQ362" s="83"/>
      <c r="HY362" s="405"/>
      <c r="IE362" s="83"/>
      <c r="IM362" s="405"/>
      <c r="IS362" s="83"/>
      <c r="JA362" s="405"/>
      <c r="JG362" s="83"/>
      <c r="JO362" s="405"/>
      <c r="JU362" s="83"/>
      <c r="KC362" s="405"/>
      <c r="KI362" s="83"/>
      <c r="KQ362" s="405"/>
      <c r="KW362" s="83"/>
      <c r="LE362" s="405"/>
      <c r="LK362" s="83"/>
      <c r="LS362" s="405"/>
      <c r="LY362" s="83"/>
      <c r="MG362" s="405"/>
      <c r="MM362" s="83"/>
      <c r="MU362" s="405"/>
      <c r="NA362" s="83"/>
    </row>
    <row r="363">
      <c r="A363" s="483"/>
      <c r="B363" s="380"/>
      <c r="C363" s="380"/>
      <c r="D363" s="380"/>
      <c r="E363" s="380"/>
      <c r="F363" s="380"/>
      <c r="G363" s="380"/>
      <c r="H363" s="380"/>
      <c r="I363" s="403"/>
      <c r="J363" s="380"/>
      <c r="K363" s="380"/>
      <c r="L363" s="380"/>
      <c r="M363" s="380"/>
      <c r="N363" s="380"/>
      <c r="O363" s="404"/>
      <c r="P363" s="380"/>
      <c r="Q363" s="380"/>
      <c r="R363" s="380"/>
      <c r="S363" s="380"/>
      <c r="T363" s="380"/>
      <c r="U363" s="380"/>
      <c r="V363" s="380"/>
      <c r="W363" s="403"/>
      <c r="X363" s="380"/>
      <c r="Y363" s="380"/>
      <c r="Z363" s="380"/>
      <c r="AA363" s="380"/>
      <c r="AB363" s="380"/>
      <c r="AC363" s="404"/>
      <c r="AD363" s="380"/>
      <c r="AE363" s="380"/>
      <c r="AF363" s="380"/>
      <c r="AG363" s="380"/>
      <c r="AH363" s="380"/>
      <c r="AI363" s="380"/>
      <c r="AJ363" s="380"/>
      <c r="AK363" s="403"/>
      <c r="AL363" s="380"/>
      <c r="AM363" s="380"/>
      <c r="AN363" s="380"/>
      <c r="AO363" s="380"/>
      <c r="AP363" s="380"/>
      <c r="AQ363" s="404"/>
      <c r="AR363" s="380"/>
      <c r="AS363" s="380"/>
      <c r="AT363" s="380"/>
      <c r="AU363" s="380"/>
      <c r="AV363" s="380"/>
      <c r="AW363" s="380"/>
      <c r="AX363" s="380"/>
      <c r="AY363" s="403"/>
      <c r="AZ363" s="380"/>
      <c r="BA363" s="380"/>
      <c r="BB363" s="380"/>
      <c r="BC363" s="380"/>
      <c r="BD363" s="380"/>
      <c r="BE363" s="404"/>
      <c r="BF363" s="380"/>
      <c r="BG363" s="380"/>
      <c r="BH363" s="380"/>
      <c r="BI363" s="380"/>
      <c r="BJ363" s="380"/>
      <c r="BK363" s="380"/>
      <c r="BL363" s="380"/>
      <c r="BM363" s="403"/>
      <c r="BS363" s="83"/>
      <c r="CA363" s="405"/>
      <c r="CG363" s="83"/>
      <c r="CO363" s="405"/>
      <c r="CU363" s="83"/>
      <c r="DC363" s="405"/>
      <c r="DI363" s="83"/>
      <c r="DQ363" s="405"/>
      <c r="DW363" s="83"/>
      <c r="EE363" s="405"/>
      <c r="EK363" s="83"/>
      <c r="ES363" s="405"/>
      <c r="EY363" s="83"/>
      <c r="FG363" s="405"/>
      <c r="FM363" s="83"/>
      <c r="FU363" s="405"/>
      <c r="GA363" s="83"/>
      <c r="GI363" s="405"/>
      <c r="GO363" s="83"/>
      <c r="GW363" s="405"/>
      <c r="HC363" s="83"/>
      <c r="HK363" s="405"/>
      <c r="HQ363" s="83"/>
      <c r="HY363" s="405"/>
      <c r="IE363" s="83"/>
      <c r="IM363" s="405"/>
      <c r="IS363" s="83"/>
      <c r="JA363" s="405"/>
      <c r="JG363" s="83"/>
      <c r="JO363" s="405"/>
      <c r="JU363" s="83"/>
      <c r="KC363" s="405"/>
      <c r="KI363" s="83"/>
      <c r="KQ363" s="405"/>
      <c r="KW363" s="83"/>
      <c r="LE363" s="405"/>
      <c r="LK363" s="83"/>
      <c r="LS363" s="405"/>
      <c r="LY363" s="83"/>
      <c r="MG363" s="405"/>
      <c r="MM363" s="83"/>
      <c r="MU363" s="405"/>
      <c r="NA363" s="83"/>
    </row>
    <row r="364">
      <c r="A364" s="483"/>
      <c r="B364" s="380"/>
      <c r="C364" s="380"/>
      <c r="D364" s="380"/>
      <c r="E364" s="380"/>
      <c r="F364" s="380"/>
      <c r="G364" s="380"/>
      <c r="H364" s="380"/>
      <c r="I364" s="403"/>
      <c r="J364" s="380"/>
      <c r="K364" s="380"/>
      <c r="L364" s="380"/>
      <c r="M364" s="380"/>
      <c r="N364" s="380"/>
      <c r="O364" s="404"/>
      <c r="P364" s="380"/>
      <c r="Q364" s="380"/>
      <c r="R364" s="380"/>
      <c r="S364" s="380"/>
      <c r="T364" s="380"/>
      <c r="U364" s="380"/>
      <c r="V364" s="380"/>
      <c r="W364" s="403"/>
      <c r="X364" s="380"/>
      <c r="Y364" s="380"/>
      <c r="Z364" s="380"/>
      <c r="AA364" s="380"/>
      <c r="AB364" s="380"/>
      <c r="AC364" s="404"/>
      <c r="AD364" s="380"/>
      <c r="AE364" s="380"/>
      <c r="AF364" s="380"/>
      <c r="AG364" s="380"/>
      <c r="AH364" s="380"/>
      <c r="AI364" s="380"/>
      <c r="AJ364" s="380"/>
      <c r="AK364" s="403"/>
      <c r="AL364" s="380"/>
      <c r="AM364" s="380"/>
      <c r="AN364" s="380"/>
      <c r="AO364" s="380"/>
      <c r="AP364" s="380"/>
      <c r="AQ364" s="404"/>
      <c r="AR364" s="380"/>
      <c r="AS364" s="380"/>
      <c r="AT364" s="380"/>
      <c r="AU364" s="380"/>
      <c r="AV364" s="380"/>
      <c r="AW364" s="380"/>
      <c r="AX364" s="380"/>
      <c r="AY364" s="403"/>
      <c r="AZ364" s="380"/>
      <c r="BA364" s="380"/>
      <c r="BB364" s="380"/>
      <c r="BC364" s="380"/>
      <c r="BD364" s="380"/>
      <c r="BE364" s="404"/>
      <c r="BF364" s="380"/>
      <c r="BG364" s="380"/>
      <c r="BH364" s="380"/>
      <c r="BI364" s="380"/>
      <c r="BJ364" s="380"/>
      <c r="BK364" s="380"/>
      <c r="BL364" s="380"/>
      <c r="BM364" s="403"/>
      <c r="BS364" s="83"/>
      <c r="CA364" s="405"/>
      <c r="CG364" s="83"/>
      <c r="CO364" s="405"/>
      <c r="CU364" s="83"/>
      <c r="DC364" s="405"/>
      <c r="DI364" s="83"/>
      <c r="DQ364" s="405"/>
      <c r="DW364" s="83"/>
      <c r="EE364" s="405"/>
      <c r="EK364" s="83"/>
      <c r="ES364" s="405"/>
      <c r="EY364" s="83"/>
      <c r="FG364" s="405"/>
      <c r="FM364" s="83"/>
      <c r="FU364" s="405"/>
      <c r="GA364" s="83"/>
      <c r="GI364" s="405"/>
      <c r="GO364" s="83"/>
      <c r="GW364" s="405"/>
      <c r="HC364" s="83"/>
      <c r="HK364" s="405"/>
      <c r="HQ364" s="83"/>
      <c r="HY364" s="405"/>
      <c r="IE364" s="83"/>
      <c r="IM364" s="405"/>
      <c r="IS364" s="83"/>
      <c r="JA364" s="405"/>
      <c r="JG364" s="83"/>
      <c r="JO364" s="405"/>
      <c r="JU364" s="83"/>
      <c r="KC364" s="405"/>
      <c r="KI364" s="83"/>
      <c r="KQ364" s="405"/>
      <c r="KW364" s="83"/>
      <c r="LE364" s="405"/>
      <c r="LK364" s="83"/>
      <c r="LS364" s="405"/>
      <c r="LY364" s="83"/>
      <c r="MG364" s="405"/>
      <c r="MM364" s="83"/>
      <c r="MU364" s="405"/>
      <c r="NA364" s="83"/>
    </row>
    <row r="365">
      <c r="A365" s="483"/>
      <c r="B365" s="380"/>
      <c r="C365" s="380"/>
      <c r="D365" s="380"/>
      <c r="E365" s="380"/>
      <c r="F365" s="380"/>
      <c r="G365" s="380"/>
      <c r="H365" s="380"/>
      <c r="I365" s="403"/>
      <c r="J365" s="380"/>
      <c r="K365" s="380"/>
      <c r="L365" s="380"/>
      <c r="M365" s="380"/>
      <c r="N365" s="380"/>
      <c r="O365" s="404"/>
      <c r="P365" s="380"/>
      <c r="Q365" s="380"/>
      <c r="R365" s="380"/>
      <c r="S365" s="380"/>
      <c r="T365" s="380"/>
      <c r="U365" s="380"/>
      <c r="V365" s="380"/>
      <c r="W365" s="403"/>
      <c r="X365" s="380"/>
      <c r="Y365" s="380"/>
      <c r="Z365" s="380"/>
      <c r="AA365" s="380"/>
      <c r="AB365" s="380"/>
      <c r="AC365" s="404"/>
      <c r="AD365" s="380"/>
      <c r="AE365" s="380"/>
      <c r="AF365" s="380"/>
      <c r="AG365" s="380"/>
      <c r="AH365" s="380"/>
      <c r="AI365" s="380"/>
      <c r="AJ365" s="380"/>
      <c r="AK365" s="403"/>
      <c r="AL365" s="380"/>
      <c r="AM365" s="380"/>
      <c r="AN365" s="380"/>
      <c r="AO365" s="380"/>
      <c r="AP365" s="380"/>
      <c r="AQ365" s="404"/>
      <c r="AR365" s="380"/>
      <c r="AS365" s="380"/>
      <c r="AT365" s="380"/>
      <c r="AU365" s="380"/>
      <c r="AV365" s="380"/>
      <c r="AW365" s="380"/>
      <c r="AX365" s="380"/>
      <c r="AY365" s="403"/>
      <c r="AZ365" s="380"/>
      <c r="BA365" s="380"/>
      <c r="BB365" s="380"/>
      <c r="BC365" s="380"/>
      <c r="BD365" s="380"/>
      <c r="BE365" s="404"/>
      <c r="BF365" s="380"/>
      <c r="BG365" s="380"/>
      <c r="BH365" s="380"/>
      <c r="BI365" s="380"/>
      <c r="BJ365" s="380"/>
      <c r="BK365" s="380"/>
      <c r="BL365" s="380"/>
      <c r="BM365" s="403"/>
      <c r="BS365" s="83"/>
      <c r="CA365" s="405"/>
      <c r="CG365" s="83"/>
      <c r="CO365" s="405"/>
      <c r="CU365" s="83"/>
      <c r="DC365" s="405"/>
      <c r="DI365" s="83"/>
      <c r="DQ365" s="405"/>
      <c r="DW365" s="83"/>
      <c r="EE365" s="405"/>
      <c r="EK365" s="83"/>
      <c r="ES365" s="405"/>
      <c r="EY365" s="83"/>
      <c r="FG365" s="405"/>
      <c r="FM365" s="83"/>
      <c r="FU365" s="405"/>
      <c r="GA365" s="83"/>
      <c r="GI365" s="405"/>
      <c r="GO365" s="83"/>
      <c r="GW365" s="405"/>
      <c r="HC365" s="83"/>
      <c r="HK365" s="405"/>
      <c r="HQ365" s="83"/>
      <c r="HY365" s="405"/>
      <c r="IE365" s="83"/>
      <c r="IM365" s="405"/>
      <c r="IS365" s="83"/>
      <c r="JA365" s="405"/>
      <c r="JG365" s="83"/>
      <c r="JO365" s="405"/>
      <c r="JU365" s="83"/>
      <c r="KC365" s="405"/>
      <c r="KI365" s="83"/>
      <c r="KQ365" s="405"/>
      <c r="KW365" s="83"/>
      <c r="LE365" s="405"/>
      <c r="LK365" s="83"/>
      <c r="LS365" s="405"/>
      <c r="LY365" s="83"/>
      <c r="MG365" s="405"/>
      <c r="MM365" s="83"/>
      <c r="MU365" s="405"/>
      <c r="NA365" s="83"/>
    </row>
    <row r="366">
      <c r="A366" s="483"/>
      <c r="B366" s="380"/>
      <c r="C366" s="380"/>
      <c r="D366" s="380"/>
      <c r="E366" s="380"/>
      <c r="F366" s="380"/>
      <c r="G366" s="380"/>
      <c r="H366" s="380"/>
      <c r="I366" s="403"/>
      <c r="J366" s="380"/>
      <c r="K366" s="380"/>
      <c r="L366" s="380"/>
      <c r="M366" s="380"/>
      <c r="N366" s="380"/>
      <c r="O366" s="404"/>
      <c r="P366" s="380"/>
      <c r="Q366" s="380"/>
      <c r="R366" s="380"/>
      <c r="S366" s="380"/>
      <c r="T366" s="380"/>
      <c r="U366" s="380"/>
      <c r="V366" s="380"/>
      <c r="W366" s="403"/>
      <c r="X366" s="380"/>
      <c r="Y366" s="380"/>
      <c r="Z366" s="380"/>
      <c r="AA366" s="380"/>
      <c r="AB366" s="380"/>
      <c r="AC366" s="404"/>
      <c r="AD366" s="380"/>
      <c r="AE366" s="380"/>
      <c r="AF366" s="380"/>
      <c r="AG366" s="380"/>
      <c r="AH366" s="380"/>
      <c r="AI366" s="380"/>
      <c r="AJ366" s="380"/>
      <c r="AK366" s="403"/>
      <c r="AL366" s="380"/>
      <c r="AM366" s="380"/>
      <c r="AN366" s="380"/>
      <c r="AO366" s="380"/>
      <c r="AP366" s="380"/>
      <c r="AQ366" s="404"/>
      <c r="AR366" s="380"/>
      <c r="AS366" s="380"/>
      <c r="AT366" s="380"/>
      <c r="AU366" s="380"/>
      <c r="AV366" s="380"/>
      <c r="AW366" s="380"/>
      <c r="AX366" s="380"/>
      <c r="AY366" s="403"/>
      <c r="AZ366" s="380"/>
      <c r="BA366" s="380"/>
      <c r="BB366" s="380"/>
      <c r="BC366" s="380"/>
      <c r="BD366" s="380"/>
      <c r="BE366" s="404"/>
      <c r="BF366" s="380"/>
      <c r="BG366" s="380"/>
      <c r="BH366" s="380"/>
      <c r="BI366" s="380"/>
      <c r="BJ366" s="380"/>
      <c r="BK366" s="380"/>
      <c r="BL366" s="380"/>
      <c r="BM366" s="403"/>
      <c r="BS366" s="83"/>
      <c r="CA366" s="405"/>
      <c r="CG366" s="83"/>
      <c r="CO366" s="405"/>
      <c r="CU366" s="83"/>
      <c r="DC366" s="405"/>
      <c r="DI366" s="83"/>
      <c r="DQ366" s="405"/>
      <c r="DW366" s="83"/>
      <c r="EE366" s="405"/>
      <c r="EK366" s="83"/>
      <c r="ES366" s="405"/>
      <c r="EY366" s="83"/>
      <c r="FG366" s="405"/>
      <c r="FM366" s="83"/>
      <c r="FU366" s="405"/>
      <c r="GA366" s="83"/>
      <c r="GI366" s="405"/>
      <c r="GO366" s="83"/>
      <c r="GW366" s="405"/>
      <c r="HC366" s="83"/>
      <c r="HK366" s="405"/>
      <c r="HQ366" s="83"/>
      <c r="HY366" s="405"/>
      <c r="IE366" s="83"/>
      <c r="IM366" s="405"/>
      <c r="IS366" s="83"/>
      <c r="JA366" s="405"/>
      <c r="JG366" s="83"/>
      <c r="JO366" s="405"/>
      <c r="JU366" s="83"/>
      <c r="KC366" s="405"/>
      <c r="KI366" s="83"/>
      <c r="KQ366" s="405"/>
      <c r="KW366" s="83"/>
      <c r="LE366" s="405"/>
      <c r="LK366" s="83"/>
      <c r="LS366" s="405"/>
      <c r="LY366" s="83"/>
      <c r="MG366" s="405"/>
      <c r="MM366" s="83"/>
      <c r="MU366" s="405"/>
      <c r="NA366" s="83"/>
    </row>
    <row r="367">
      <c r="A367" s="483"/>
      <c r="B367" s="380"/>
      <c r="C367" s="380"/>
      <c r="D367" s="380"/>
      <c r="E367" s="380"/>
      <c r="F367" s="380"/>
      <c r="G367" s="380"/>
      <c r="H367" s="380"/>
      <c r="I367" s="403"/>
      <c r="J367" s="380"/>
      <c r="K367" s="380"/>
      <c r="L367" s="380"/>
      <c r="M367" s="380"/>
      <c r="N367" s="380"/>
      <c r="O367" s="404"/>
      <c r="P367" s="380"/>
      <c r="Q367" s="380"/>
      <c r="R367" s="380"/>
      <c r="S367" s="380"/>
      <c r="T367" s="380"/>
      <c r="U367" s="380"/>
      <c r="V367" s="380"/>
      <c r="W367" s="403"/>
      <c r="X367" s="380"/>
      <c r="Y367" s="380"/>
      <c r="Z367" s="380"/>
      <c r="AA367" s="380"/>
      <c r="AB367" s="380"/>
      <c r="AC367" s="404"/>
      <c r="AD367" s="380"/>
      <c r="AE367" s="380"/>
      <c r="AF367" s="380"/>
      <c r="AG367" s="380"/>
      <c r="AH367" s="380"/>
      <c r="AI367" s="380"/>
      <c r="AJ367" s="380"/>
      <c r="AK367" s="403"/>
      <c r="AL367" s="380"/>
      <c r="AM367" s="380"/>
      <c r="AN367" s="380"/>
      <c r="AO367" s="380"/>
      <c r="AP367" s="380"/>
      <c r="AQ367" s="404"/>
      <c r="AR367" s="380"/>
      <c r="AS367" s="380"/>
      <c r="AT367" s="380"/>
      <c r="AU367" s="380"/>
      <c r="AV367" s="380"/>
      <c r="AW367" s="380"/>
      <c r="AX367" s="380"/>
      <c r="AY367" s="403"/>
      <c r="AZ367" s="380"/>
      <c r="BA367" s="380"/>
      <c r="BB367" s="380"/>
      <c r="BC367" s="380"/>
      <c r="BD367" s="380"/>
      <c r="BE367" s="404"/>
      <c r="BF367" s="380"/>
      <c r="BG367" s="380"/>
      <c r="BH367" s="380"/>
      <c r="BI367" s="380"/>
      <c r="BJ367" s="380"/>
      <c r="BK367" s="380"/>
      <c r="BL367" s="380"/>
      <c r="BM367" s="403"/>
      <c r="BS367" s="83"/>
      <c r="CA367" s="405"/>
      <c r="CG367" s="83"/>
      <c r="CO367" s="405"/>
      <c r="CU367" s="83"/>
      <c r="DC367" s="405"/>
      <c r="DI367" s="83"/>
      <c r="DQ367" s="405"/>
      <c r="DW367" s="83"/>
      <c r="EE367" s="405"/>
      <c r="EK367" s="83"/>
      <c r="ES367" s="405"/>
      <c r="EY367" s="83"/>
      <c r="FG367" s="405"/>
      <c r="FM367" s="83"/>
      <c r="FU367" s="405"/>
      <c r="GA367" s="83"/>
      <c r="GI367" s="405"/>
      <c r="GO367" s="83"/>
      <c r="GW367" s="405"/>
      <c r="HC367" s="83"/>
      <c r="HK367" s="405"/>
      <c r="HQ367" s="83"/>
      <c r="HY367" s="405"/>
      <c r="IE367" s="83"/>
      <c r="IM367" s="405"/>
      <c r="IS367" s="83"/>
      <c r="JA367" s="405"/>
      <c r="JG367" s="83"/>
      <c r="JO367" s="405"/>
      <c r="JU367" s="83"/>
      <c r="KC367" s="405"/>
      <c r="KI367" s="83"/>
      <c r="KQ367" s="405"/>
      <c r="KW367" s="83"/>
      <c r="LE367" s="405"/>
      <c r="LK367" s="83"/>
      <c r="LS367" s="405"/>
      <c r="LY367" s="83"/>
      <c r="MG367" s="405"/>
      <c r="MM367" s="83"/>
      <c r="MU367" s="405"/>
      <c r="NA367" s="83"/>
    </row>
    <row r="368">
      <c r="A368" s="483"/>
      <c r="B368" s="380"/>
      <c r="C368" s="380"/>
      <c r="D368" s="380"/>
      <c r="E368" s="380"/>
      <c r="F368" s="380"/>
      <c r="G368" s="380"/>
      <c r="H368" s="380"/>
      <c r="I368" s="403"/>
      <c r="J368" s="380"/>
      <c r="K368" s="380"/>
      <c r="L368" s="380"/>
      <c r="M368" s="380"/>
      <c r="N368" s="380"/>
      <c r="O368" s="404"/>
      <c r="P368" s="380"/>
      <c r="Q368" s="380"/>
      <c r="R368" s="380"/>
      <c r="S368" s="380"/>
      <c r="T368" s="380"/>
      <c r="U368" s="380"/>
      <c r="V368" s="380"/>
      <c r="W368" s="403"/>
      <c r="X368" s="380"/>
      <c r="Y368" s="380"/>
      <c r="Z368" s="380"/>
      <c r="AA368" s="380"/>
      <c r="AB368" s="380"/>
      <c r="AC368" s="404"/>
      <c r="AD368" s="380"/>
      <c r="AE368" s="380"/>
      <c r="AF368" s="380"/>
      <c r="AG368" s="380"/>
      <c r="AH368" s="380"/>
      <c r="AI368" s="380"/>
      <c r="AJ368" s="380"/>
      <c r="AK368" s="403"/>
      <c r="AL368" s="380"/>
      <c r="AM368" s="380"/>
      <c r="AN368" s="380"/>
      <c r="AO368" s="380"/>
      <c r="AP368" s="380"/>
      <c r="AQ368" s="404"/>
      <c r="AR368" s="380"/>
      <c r="AS368" s="380"/>
      <c r="AT368" s="380"/>
      <c r="AU368" s="380"/>
      <c r="AV368" s="380"/>
      <c r="AW368" s="380"/>
      <c r="AX368" s="380"/>
      <c r="AY368" s="403"/>
      <c r="AZ368" s="380"/>
      <c r="BA368" s="380"/>
      <c r="BB368" s="380"/>
      <c r="BC368" s="380"/>
      <c r="BD368" s="380"/>
      <c r="BE368" s="404"/>
      <c r="BF368" s="380"/>
      <c r="BG368" s="380"/>
      <c r="BH368" s="380"/>
      <c r="BI368" s="380"/>
      <c r="BJ368" s="380"/>
      <c r="BK368" s="380"/>
      <c r="BL368" s="380"/>
      <c r="BM368" s="403"/>
      <c r="BS368" s="83"/>
      <c r="CA368" s="405"/>
      <c r="CG368" s="83"/>
      <c r="CO368" s="405"/>
      <c r="CU368" s="83"/>
      <c r="DC368" s="405"/>
      <c r="DI368" s="83"/>
      <c r="DQ368" s="405"/>
      <c r="DW368" s="83"/>
      <c r="EE368" s="405"/>
      <c r="EK368" s="83"/>
      <c r="ES368" s="405"/>
      <c r="EY368" s="83"/>
      <c r="FG368" s="405"/>
      <c r="FM368" s="83"/>
      <c r="FU368" s="405"/>
      <c r="GA368" s="83"/>
      <c r="GI368" s="405"/>
      <c r="GO368" s="83"/>
      <c r="GW368" s="405"/>
      <c r="HC368" s="83"/>
      <c r="HK368" s="405"/>
      <c r="HQ368" s="83"/>
      <c r="HY368" s="405"/>
      <c r="IE368" s="83"/>
      <c r="IM368" s="405"/>
      <c r="IS368" s="83"/>
      <c r="JA368" s="405"/>
      <c r="JG368" s="83"/>
      <c r="JO368" s="405"/>
      <c r="JU368" s="83"/>
      <c r="KC368" s="405"/>
      <c r="KI368" s="83"/>
      <c r="KQ368" s="405"/>
      <c r="KW368" s="83"/>
      <c r="LE368" s="405"/>
      <c r="LK368" s="83"/>
      <c r="LS368" s="405"/>
      <c r="LY368" s="83"/>
      <c r="MG368" s="405"/>
      <c r="MM368" s="83"/>
      <c r="MU368" s="405"/>
      <c r="NA368" s="83"/>
    </row>
    <row r="369">
      <c r="A369" s="483"/>
      <c r="B369" s="380"/>
      <c r="C369" s="380"/>
      <c r="D369" s="380"/>
      <c r="E369" s="380"/>
      <c r="F369" s="380"/>
      <c r="G369" s="380"/>
      <c r="H369" s="380"/>
      <c r="I369" s="403"/>
      <c r="J369" s="380"/>
      <c r="K369" s="380"/>
      <c r="L369" s="380"/>
      <c r="M369" s="380"/>
      <c r="N369" s="380"/>
      <c r="O369" s="404"/>
      <c r="P369" s="380"/>
      <c r="Q369" s="380"/>
      <c r="R369" s="380"/>
      <c r="S369" s="380"/>
      <c r="T369" s="380"/>
      <c r="U369" s="380"/>
      <c r="V369" s="380"/>
      <c r="W369" s="403"/>
      <c r="X369" s="380"/>
      <c r="Y369" s="380"/>
      <c r="Z369" s="380"/>
      <c r="AA369" s="380"/>
      <c r="AB369" s="380"/>
      <c r="AC369" s="404"/>
      <c r="AD369" s="380"/>
      <c r="AE369" s="380"/>
      <c r="AF369" s="380"/>
      <c r="AG369" s="380"/>
      <c r="AH369" s="380"/>
      <c r="AI369" s="380"/>
      <c r="AJ369" s="380"/>
      <c r="AK369" s="403"/>
      <c r="AL369" s="380"/>
      <c r="AM369" s="380"/>
      <c r="AN369" s="380"/>
      <c r="AO369" s="380"/>
      <c r="AP369" s="380"/>
      <c r="AQ369" s="404"/>
      <c r="AR369" s="380"/>
      <c r="AS369" s="380"/>
      <c r="AT369" s="380"/>
      <c r="AU369" s="380"/>
      <c r="AV369" s="380"/>
      <c r="AW369" s="380"/>
      <c r="AX369" s="380"/>
      <c r="AY369" s="403"/>
      <c r="AZ369" s="380"/>
      <c r="BA369" s="380"/>
      <c r="BB369" s="380"/>
      <c r="BC369" s="380"/>
      <c r="BD369" s="380"/>
      <c r="BE369" s="404"/>
      <c r="BF369" s="380"/>
      <c r="BG369" s="380"/>
      <c r="BH369" s="380"/>
      <c r="BI369" s="380"/>
      <c r="BJ369" s="380"/>
      <c r="BK369" s="380"/>
      <c r="BL369" s="380"/>
      <c r="BM369" s="403"/>
      <c r="BS369" s="83"/>
      <c r="CA369" s="405"/>
      <c r="CG369" s="83"/>
      <c r="CO369" s="405"/>
      <c r="CU369" s="83"/>
      <c r="DC369" s="405"/>
      <c r="DI369" s="83"/>
      <c r="DQ369" s="405"/>
      <c r="DW369" s="83"/>
      <c r="EE369" s="405"/>
      <c r="EK369" s="83"/>
      <c r="ES369" s="405"/>
      <c r="EY369" s="83"/>
      <c r="FG369" s="405"/>
      <c r="FM369" s="83"/>
      <c r="FU369" s="405"/>
      <c r="GA369" s="83"/>
      <c r="GI369" s="405"/>
      <c r="GO369" s="83"/>
      <c r="GW369" s="405"/>
      <c r="HC369" s="83"/>
      <c r="HK369" s="405"/>
      <c r="HQ369" s="83"/>
      <c r="HY369" s="405"/>
      <c r="IE369" s="83"/>
      <c r="IM369" s="405"/>
      <c r="IS369" s="83"/>
      <c r="JA369" s="405"/>
      <c r="JG369" s="83"/>
      <c r="JO369" s="405"/>
      <c r="JU369" s="83"/>
      <c r="KC369" s="405"/>
      <c r="KI369" s="83"/>
      <c r="KQ369" s="405"/>
      <c r="KW369" s="83"/>
      <c r="LE369" s="405"/>
      <c r="LK369" s="83"/>
      <c r="LS369" s="405"/>
      <c r="LY369" s="83"/>
      <c r="MG369" s="405"/>
      <c r="MM369" s="83"/>
      <c r="MU369" s="405"/>
      <c r="NA369" s="83"/>
    </row>
    <row r="370">
      <c r="A370" s="483"/>
      <c r="B370" s="380"/>
      <c r="C370" s="380"/>
      <c r="D370" s="380"/>
      <c r="E370" s="380"/>
      <c r="F370" s="380"/>
      <c r="G370" s="380"/>
      <c r="H370" s="380"/>
      <c r="I370" s="403"/>
      <c r="J370" s="380"/>
      <c r="K370" s="380"/>
      <c r="L370" s="380"/>
      <c r="M370" s="380"/>
      <c r="N370" s="380"/>
      <c r="O370" s="404"/>
      <c r="P370" s="380"/>
      <c r="Q370" s="380"/>
      <c r="R370" s="380"/>
      <c r="S370" s="380"/>
      <c r="T370" s="380"/>
      <c r="U370" s="380"/>
      <c r="V370" s="380"/>
      <c r="W370" s="403"/>
      <c r="X370" s="380"/>
      <c r="Y370" s="380"/>
      <c r="Z370" s="380"/>
      <c r="AA370" s="380"/>
      <c r="AB370" s="380"/>
      <c r="AC370" s="404"/>
      <c r="AD370" s="380"/>
      <c r="AE370" s="380"/>
      <c r="AF370" s="380"/>
      <c r="AG370" s="380"/>
      <c r="AH370" s="380"/>
      <c r="AI370" s="380"/>
      <c r="AJ370" s="380"/>
      <c r="AK370" s="403"/>
      <c r="AL370" s="380"/>
      <c r="AM370" s="380"/>
      <c r="AN370" s="380"/>
      <c r="AO370" s="380"/>
      <c r="AP370" s="380"/>
      <c r="AQ370" s="404"/>
      <c r="AR370" s="380"/>
      <c r="AS370" s="380"/>
      <c r="AT370" s="380"/>
      <c r="AU370" s="380"/>
      <c r="AV370" s="380"/>
      <c r="AW370" s="380"/>
      <c r="AX370" s="380"/>
      <c r="AY370" s="403"/>
      <c r="AZ370" s="380"/>
      <c r="BA370" s="380"/>
      <c r="BB370" s="380"/>
      <c r="BC370" s="380"/>
      <c r="BD370" s="380"/>
      <c r="BE370" s="404"/>
      <c r="BF370" s="380"/>
      <c r="BG370" s="380"/>
      <c r="BH370" s="380"/>
      <c r="BI370" s="380"/>
      <c r="BJ370" s="380"/>
      <c r="BK370" s="380"/>
      <c r="BL370" s="380"/>
      <c r="BM370" s="403"/>
      <c r="BS370" s="83"/>
      <c r="CA370" s="405"/>
      <c r="CG370" s="83"/>
      <c r="CO370" s="405"/>
      <c r="CU370" s="83"/>
      <c r="DC370" s="405"/>
      <c r="DI370" s="83"/>
      <c r="DQ370" s="405"/>
      <c r="DW370" s="83"/>
      <c r="EE370" s="405"/>
      <c r="EK370" s="83"/>
      <c r="ES370" s="405"/>
      <c r="EY370" s="83"/>
      <c r="FG370" s="405"/>
      <c r="FM370" s="83"/>
      <c r="FU370" s="405"/>
      <c r="GA370" s="83"/>
      <c r="GI370" s="405"/>
      <c r="GO370" s="83"/>
      <c r="GW370" s="405"/>
      <c r="HC370" s="83"/>
      <c r="HK370" s="405"/>
      <c r="HQ370" s="83"/>
      <c r="HY370" s="405"/>
      <c r="IE370" s="83"/>
      <c r="IM370" s="405"/>
      <c r="IS370" s="83"/>
      <c r="JA370" s="405"/>
      <c r="JG370" s="83"/>
      <c r="JO370" s="405"/>
      <c r="JU370" s="83"/>
      <c r="KC370" s="405"/>
      <c r="KI370" s="83"/>
      <c r="KQ370" s="405"/>
      <c r="KW370" s="83"/>
      <c r="LE370" s="405"/>
      <c r="LK370" s="83"/>
      <c r="LS370" s="405"/>
      <c r="LY370" s="83"/>
      <c r="MG370" s="405"/>
      <c r="MM370" s="83"/>
      <c r="MU370" s="405"/>
      <c r="NA370" s="83"/>
    </row>
    <row r="371">
      <c r="A371" s="483"/>
      <c r="B371" s="380"/>
      <c r="C371" s="380"/>
      <c r="D371" s="380"/>
      <c r="E371" s="380"/>
      <c r="F371" s="380"/>
      <c r="G371" s="380"/>
      <c r="H371" s="380"/>
      <c r="I371" s="403"/>
      <c r="J371" s="380"/>
      <c r="K371" s="380"/>
      <c r="L371" s="380"/>
      <c r="M371" s="380"/>
      <c r="N371" s="380"/>
      <c r="O371" s="404"/>
      <c r="P371" s="380"/>
      <c r="Q371" s="380"/>
      <c r="R371" s="380"/>
      <c r="S371" s="380"/>
      <c r="T371" s="380"/>
      <c r="U371" s="380"/>
      <c r="V371" s="380"/>
      <c r="W371" s="403"/>
      <c r="X371" s="380"/>
      <c r="Y371" s="380"/>
      <c r="Z371" s="380"/>
      <c r="AA371" s="380"/>
      <c r="AB371" s="380"/>
      <c r="AC371" s="404"/>
      <c r="AD371" s="380"/>
      <c r="AE371" s="380"/>
      <c r="AF371" s="380"/>
      <c r="AG371" s="380"/>
      <c r="AH371" s="380"/>
      <c r="AI371" s="380"/>
      <c r="AJ371" s="380"/>
      <c r="AK371" s="403"/>
      <c r="AL371" s="380"/>
      <c r="AM371" s="380"/>
      <c r="AN371" s="380"/>
      <c r="AO371" s="380"/>
      <c r="AP371" s="380"/>
      <c r="AQ371" s="404"/>
      <c r="AR371" s="380"/>
      <c r="AS371" s="380"/>
      <c r="AT371" s="380"/>
      <c r="AU371" s="380"/>
      <c r="AV371" s="380"/>
      <c r="AW371" s="380"/>
      <c r="AX371" s="380"/>
      <c r="AY371" s="403"/>
      <c r="AZ371" s="380"/>
      <c r="BA371" s="380"/>
      <c r="BB371" s="380"/>
      <c r="BC371" s="380"/>
      <c r="BD371" s="380"/>
      <c r="BE371" s="404"/>
      <c r="BF371" s="380"/>
      <c r="BG371" s="380"/>
      <c r="BH371" s="380"/>
      <c r="BI371" s="380"/>
      <c r="BJ371" s="380"/>
      <c r="BK371" s="380"/>
      <c r="BL371" s="380"/>
      <c r="BM371" s="403"/>
      <c r="BS371" s="83"/>
      <c r="CA371" s="405"/>
      <c r="CG371" s="83"/>
      <c r="CO371" s="405"/>
      <c r="CU371" s="83"/>
      <c r="DC371" s="405"/>
      <c r="DI371" s="83"/>
      <c r="DQ371" s="405"/>
      <c r="DW371" s="83"/>
      <c r="EE371" s="405"/>
      <c r="EK371" s="83"/>
      <c r="ES371" s="405"/>
      <c r="EY371" s="83"/>
      <c r="FG371" s="405"/>
      <c r="FM371" s="83"/>
      <c r="FU371" s="405"/>
      <c r="GA371" s="83"/>
      <c r="GI371" s="405"/>
      <c r="GO371" s="83"/>
      <c r="GW371" s="405"/>
      <c r="HC371" s="83"/>
      <c r="HK371" s="405"/>
      <c r="HQ371" s="83"/>
      <c r="HY371" s="405"/>
      <c r="IE371" s="83"/>
      <c r="IM371" s="405"/>
      <c r="IS371" s="83"/>
      <c r="JA371" s="405"/>
      <c r="JG371" s="83"/>
      <c r="JO371" s="405"/>
      <c r="JU371" s="83"/>
      <c r="KC371" s="405"/>
      <c r="KI371" s="83"/>
      <c r="KQ371" s="405"/>
      <c r="KW371" s="83"/>
      <c r="LE371" s="405"/>
      <c r="LK371" s="83"/>
      <c r="LS371" s="405"/>
      <c r="LY371" s="83"/>
      <c r="MG371" s="405"/>
      <c r="MM371" s="83"/>
      <c r="MU371" s="405"/>
      <c r="NA371" s="83"/>
    </row>
    <row r="372">
      <c r="A372" s="483"/>
      <c r="B372" s="380"/>
      <c r="C372" s="380"/>
      <c r="D372" s="380"/>
      <c r="E372" s="380"/>
      <c r="F372" s="380"/>
      <c r="G372" s="380"/>
      <c r="H372" s="380"/>
      <c r="I372" s="403"/>
      <c r="J372" s="380"/>
      <c r="K372" s="380"/>
      <c r="L372" s="380"/>
      <c r="M372" s="380"/>
      <c r="N372" s="380"/>
      <c r="O372" s="404"/>
      <c r="P372" s="380"/>
      <c r="Q372" s="380"/>
      <c r="R372" s="380"/>
      <c r="S372" s="380"/>
      <c r="T372" s="380"/>
      <c r="U372" s="380"/>
      <c r="V372" s="380"/>
      <c r="W372" s="403"/>
      <c r="X372" s="380"/>
      <c r="Y372" s="380"/>
      <c r="Z372" s="380"/>
      <c r="AA372" s="380"/>
      <c r="AB372" s="380"/>
      <c r="AC372" s="404"/>
      <c r="AD372" s="380"/>
      <c r="AE372" s="380"/>
      <c r="AF372" s="380"/>
      <c r="AG372" s="380"/>
      <c r="AH372" s="380"/>
      <c r="AI372" s="380"/>
      <c r="AJ372" s="380"/>
      <c r="AK372" s="403"/>
      <c r="AL372" s="380"/>
      <c r="AM372" s="380"/>
      <c r="AN372" s="380"/>
      <c r="AO372" s="380"/>
      <c r="AP372" s="380"/>
      <c r="AQ372" s="404"/>
      <c r="AR372" s="380"/>
      <c r="AS372" s="380"/>
      <c r="AT372" s="380"/>
      <c r="AU372" s="380"/>
      <c r="AV372" s="380"/>
      <c r="AW372" s="380"/>
      <c r="AX372" s="380"/>
      <c r="AY372" s="403"/>
      <c r="AZ372" s="380"/>
      <c r="BA372" s="380"/>
      <c r="BB372" s="380"/>
      <c r="BC372" s="380"/>
      <c r="BD372" s="380"/>
      <c r="BE372" s="404"/>
      <c r="BF372" s="380"/>
      <c r="BG372" s="380"/>
      <c r="BH372" s="380"/>
      <c r="BI372" s="380"/>
      <c r="BJ372" s="380"/>
      <c r="BK372" s="380"/>
      <c r="BL372" s="380"/>
      <c r="BM372" s="403"/>
      <c r="BS372" s="83"/>
      <c r="CA372" s="405"/>
      <c r="CG372" s="83"/>
      <c r="CO372" s="405"/>
      <c r="CU372" s="83"/>
      <c r="DC372" s="405"/>
      <c r="DI372" s="83"/>
      <c r="DQ372" s="405"/>
      <c r="DW372" s="83"/>
      <c r="EE372" s="405"/>
      <c r="EK372" s="83"/>
      <c r="ES372" s="405"/>
      <c r="EY372" s="83"/>
      <c r="FG372" s="405"/>
      <c r="FM372" s="83"/>
      <c r="FU372" s="405"/>
      <c r="GA372" s="83"/>
      <c r="GI372" s="405"/>
      <c r="GO372" s="83"/>
      <c r="GW372" s="405"/>
      <c r="HC372" s="83"/>
      <c r="HK372" s="405"/>
      <c r="HQ372" s="83"/>
      <c r="HY372" s="405"/>
      <c r="IE372" s="83"/>
      <c r="IM372" s="405"/>
      <c r="IS372" s="83"/>
      <c r="JA372" s="405"/>
      <c r="JG372" s="83"/>
      <c r="JO372" s="405"/>
      <c r="JU372" s="83"/>
      <c r="KC372" s="405"/>
      <c r="KI372" s="83"/>
      <c r="KQ372" s="405"/>
      <c r="KW372" s="83"/>
      <c r="LE372" s="405"/>
      <c r="LK372" s="83"/>
      <c r="LS372" s="405"/>
      <c r="LY372" s="83"/>
      <c r="MG372" s="405"/>
      <c r="MM372" s="83"/>
      <c r="MU372" s="405"/>
      <c r="NA372" s="83"/>
    </row>
    <row r="373">
      <c r="A373" s="483"/>
      <c r="B373" s="380"/>
      <c r="C373" s="380"/>
      <c r="D373" s="380"/>
      <c r="E373" s="380"/>
      <c r="F373" s="380"/>
      <c r="G373" s="380"/>
      <c r="H373" s="380"/>
      <c r="I373" s="403"/>
      <c r="J373" s="380"/>
      <c r="K373" s="380"/>
      <c r="L373" s="380"/>
      <c r="M373" s="380"/>
      <c r="N373" s="380"/>
      <c r="O373" s="404"/>
      <c r="P373" s="380"/>
      <c r="Q373" s="380"/>
      <c r="R373" s="380"/>
      <c r="S373" s="380"/>
      <c r="T373" s="380"/>
      <c r="U373" s="380"/>
      <c r="V373" s="380"/>
      <c r="W373" s="403"/>
      <c r="X373" s="380"/>
      <c r="Y373" s="380"/>
      <c r="Z373" s="380"/>
      <c r="AA373" s="380"/>
      <c r="AB373" s="380"/>
      <c r="AC373" s="404"/>
      <c r="AD373" s="380"/>
      <c r="AE373" s="380"/>
      <c r="AF373" s="380"/>
      <c r="AG373" s="380"/>
      <c r="AH373" s="380"/>
      <c r="AI373" s="380"/>
      <c r="AJ373" s="380"/>
      <c r="AK373" s="403"/>
      <c r="AL373" s="380"/>
      <c r="AM373" s="380"/>
      <c r="AN373" s="380"/>
      <c r="AO373" s="380"/>
      <c r="AP373" s="380"/>
      <c r="AQ373" s="404"/>
      <c r="AR373" s="380"/>
      <c r="AS373" s="380"/>
      <c r="AT373" s="380"/>
      <c r="AU373" s="380"/>
      <c r="AV373" s="380"/>
      <c r="AW373" s="380"/>
      <c r="AX373" s="380"/>
      <c r="AY373" s="403"/>
      <c r="AZ373" s="380"/>
      <c r="BA373" s="380"/>
      <c r="BB373" s="380"/>
      <c r="BC373" s="380"/>
      <c r="BD373" s="380"/>
      <c r="BE373" s="404"/>
      <c r="BF373" s="380"/>
      <c r="BG373" s="380"/>
      <c r="BH373" s="380"/>
      <c r="BI373" s="380"/>
      <c r="BJ373" s="380"/>
      <c r="BK373" s="380"/>
      <c r="BL373" s="380"/>
      <c r="BM373" s="403"/>
      <c r="BS373" s="83"/>
      <c r="CA373" s="405"/>
      <c r="CG373" s="83"/>
      <c r="CO373" s="405"/>
      <c r="CU373" s="83"/>
      <c r="DC373" s="405"/>
      <c r="DI373" s="83"/>
      <c r="DQ373" s="405"/>
      <c r="DW373" s="83"/>
      <c r="EE373" s="405"/>
      <c r="EK373" s="83"/>
      <c r="ES373" s="405"/>
      <c r="EY373" s="83"/>
      <c r="FG373" s="405"/>
      <c r="FM373" s="83"/>
      <c r="FU373" s="405"/>
      <c r="GA373" s="83"/>
      <c r="GI373" s="405"/>
      <c r="GO373" s="83"/>
      <c r="GW373" s="405"/>
      <c r="HC373" s="83"/>
      <c r="HK373" s="405"/>
      <c r="HQ373" s="83"/>
      <c r="HY373" s="405"/>
      <c r="IE373" s="83"/>
      <c r="IM373" s="405"/>
      <c r="IS373" s="83"/>
      <c r="JA373" s="405"/>
      <c r="JG373" s="83"/>
      <c r="JO373" s="405"/>
      <c r="JU373" s="83"/>
      <c r="KC373" s="405"/>
      <c r="KI373" s="83"/>
      <c r="KQ373" s="405"/>
      <c r="KW373" s="83"/>
      <c r="LE373" s="405"/>
      <c r="LK373" s="83"/>
      <c r="LS373" s="405"/>
      <c r="LY373" s="83"/>
      <c r="MG373" s="405"/>
      <c r="MM373" s="83"/>
      <c r="MU373" s="405"/>
      <c r="NA373" s="83"/>
    </row>
    <row r="374">
      <c r="A374" s="483"/>
      <c r="B374" s="380"/>
      <c r="C374" s="380"/>
      <c r="D374" s="380"/>
      <c r="E374" s="380"/>
      <c r="F374" s="380"/>
      <c r="G374" s="380"/>
      <c r="H374" s="380"/>
      <c r="I374" s="403"/>
      <c r="J374" s="380"/>
      <c r="K374" s="380"/>
      <c r="L374" s="380"/>
      <c r="M374" s="380"/>
      <c r="N374" s="380"/>
      <c r="O374" s="404"/>
      <c r="P374" s="380"/>
      <c r="Q374" s="380"/>
      <c r="R374" s="380"/>
      <c r="S374" s="380"/>
      <c r="T374" s="380"/>
      <c r="U374" s="380"/>
      <c r="V374" s="380"/>
      <c r="W374" s="403"/>
      <c r="X374" s="380"/>
      <c r="Y374" s="380"/>
      <c r="Z374" s="380"/>
      <c r="AA374" s="380"/>
      <c r="AB374" s="380"/>
      <c r="AC374" s="404"/>
      <c r="AD374" s="380"/>
      <c r="AE374" s="380"/>
      <c r="AF374" s="380"/>
      <c r="AG374" s="380"/>
      <c r="AH374" s="380"/>
      <c r="AI374" s="380"/>
      <c r="AJ374" s="380"/>
      <c r="AK374" s="403"/>
      <c r="AL374" s="380"/>
      <c r="AM374" s="380"/>
      <c r="AN374" s="380"/>
      <c r="AO374" s="380"/>
      <c r="AP374" s="380"/>
      <c r="AQ374" s="404"/>
      <c r="AR374" s="380"/>
      <c r="AS374" s="380"/>
      <c r="AT374" s="380"/>
      <c r="AU374" s="380"/>
      <c r="AV374" s="380"/>
      <c r="AW374" s="380"/>
      <c r="AX374" s="380"/>
      <c r="AY374" s="403"/>
      <c r="AZ374" s="380"/>
      <c r="BA374" s="380"/>
      <c r="BB374" s="380"/>
      <c r="BC374" s="380"/>
      <c r="BD374" s="380"/>
      <c r="BE374" s="404"/>
      <c r="BF374" s="380"/>
      <c r="BG374" s="380"/>
      <c r="BH374" s="380"/>
      <c r="BI374" s="380"/>
      <c r="BJ374" s="380"/>
      <c r="BK374" s="380"/>
      <c r="BL374" s="380"/>
      <c r="BM374" s="403"/>
      <c r="BS374" s="83"/>
      <c r="CA374" s="405"/>
      <c r="CG374" s="83"/>
      <c r="CO374" s="405"/>
      <c r="CU374" s="83"/>
      <c r="DC374" s="405"/>
      <c r="DI374" s="83"/>
      <c r="DQ374" s="405"/>
      <c r="DW374" s="83"/>
      <c r="EE374" s="405"/>
      <c r="EK374" s="83"/>
      <c r="ES374" s="405"/>
      <c r="EY374" s="83"/>
      <c r="FG374" s="405"/>
      <c r="FM374" s="83"/>
      <c r="FU374" s="405"/>
      <c r="GA374" s="83"/>
      <c r="GI374" s="405"/>
      <c r="GO374" s="83"/>
      <c r="GW374" s="405"/>
      <c r="HC374" s="83"/>
      <c r="HK374" s="405"/>
      <c r="HQ374" s="83"/>
      <c r="HY374" s="405"/>
      <c r="IE374" s="83"/>
      <c r="IM374" s="405"/>
      <c r="IS374" s="83"/>
      <c r="JA374" s="405"/>
      <c r="JG374" s="83"/>
      <c r="JO374" s="405"/>
      <c r="JU374" s="83"/>
      <c r="KC374" s="405"/>
      <c r="KI374" s="83"/>
      <c r="KQ374" s="405"/>
      <c r="KW374" s="83"/>
      <c r="LE374" s="405"/>
      <c r="LK374" s="83"/>
      <c r="LS374" s="405"/>
      <c r="LY374" s="83"/>
      <c r="MG374" s="405"/>
      <c r="MM374" s="83"/>
      <c r="MU374" s="405"/>
      <c r="NA374" s="83"/>
    </row>
    <row r="375">
      <c r="A375" s="483"/>
      <c r="B375" s="380"/>
      <c r="C375" s="380"/>
      <c r="D375" s="380"/>
      <c r="E375" s="380"/>
      <c r="F375" s="380"/>
      <c r="G375" s="380"/>
      <c r="H375" s="380"/>
      <c r="I375" s="403"/>
      <c r="J375" s="380"/>
      <c r="K375" s="380"/>
      <c r="L375" s="380"/>
      <c r="M375" s="380"/>
      <c r="N375" s="380"/>
      <c r="O375" s="404"/>
      <c r="P375" s="380"/>
      <c r="Q375" s="380"/>
      <c r="R375" s="380"/>
      <c r="S375" s="380"/>
      <c r="T375" s="380"/>
      <c r="U375" s="380"/>
      <c r="V375" s="380"/>
      <c r="W375" s="403"/>
      <c r="X375" s="380"/>
      <c r="Y375" s="380"/>
      <c r="Z375" s="380"/>
      <c r="AA375" s="380"/>
      <c r="AB375" s="380"/>
      <c r="AC375" s="404"/>
      <c r="AD375" s="380"/>
      <c r="AE375" s="380"/>
      <c r="AF375" s="380"/>
      <c r="AG375" s="380"/>
      <c r="AH375" s="380"/>
      <c r="AI375" s="380"/>
      <c r="AJ375" s="380"/>
      <c r="AK375" s="403"/>
      <c r="AL375" s="380"/>
      <c r="AM375" s="380"/>
      <c r="AN375" s="380"/>
      <c r="AO375" s="380"/>
      <c r="AP375" s="380"/>
      <c r="AQ375" s="404"/>
      <c r="AR375" s="380"/>
      <c r="AS375" s="380"/>
      <c r="AT375" s="380"/>
      <c r="AU375" s="380"/>
      <c r="AV375" s="380"/>
      <c r="AW375" s="380"/>
      <c r="AX375" s="380"/>
      <c r="AY375" s="403"/>
      <c r="AZ375" s="380"/>
      <c r="BA375" s="380"/>
      <c r="BB375" s="380"/>
      <c r="BC375" s="380"/>
      <c r="BD375" s="380"/>
      <c r="BE375" s="404"/>
      <c r="BF375" s="380"/>
      <c r="BG375" s="380"/>
      <c r="BH375" s="380"/>
      <c r="BI375" s="380"/>
      <c r="BJ375" s="380"/>
      <c r="BK375" s="380"/>
      <c r="BL375" s="380"/>
      <c r="BM375" s="403"/>
      <c r="BS375" s="83"/>
      <c r="CA375" s="405"/>
      <c r="CG375" s="83"/>
      <c r="CO375" s="405"/>
      <c r="CU375" s="83"/>
      <c r="DC375" s="405"/>
      <c r="DI375" s="83"/>
      <c r="DQ375" s="405"/>
      <c r="DW375" s="83"/>
      <c r="EE375" s="405"/>
      <c r="EK375" s="83"/>
      <c r="ES375" s="405"/>
      <c r="EY375" s="83"/>
      <c r="FG375" s="405"/>
      <c r="FM375" s="83"/>
      <c r="FU375" s="405"/>
      <c r="GA375" s="83"/>
      <c r="GI375" s="405"/>
      <c r="GO375" s="83"/>
      <c r="GW375" s="405"/>
      <c r="HC375" s="83"/>
      <c r="HK375" s="405"/>
      <c r="HQ375" s="83"/>
      <c r="HY375" s="405"/>
      <c r="IE375" s="83"/>
      <c r="IM375" s="405"/>
      <c r="IS375" s="83"/>
      <c r="JA375" s="405"/>
      <c r="JG375" s="83"/>
      <c r="JO375" s="405"/>
      <c r="JU375" s="83"/>
      <c r="KC375" s="405"/>
      <c r="KI375" s="83"/>
      <c r="KQ375" s="405"/>
      <c r="KW375" s="83"/>
      <c r="LE375" s="405"/>
      <c r="LK375" s="83"/>
      <c r="LS375" s="405"/>
      <c r="LY375" s="83"/>
      <c r="MG375" s="405"/>
      <c r="MM375" s="83"/>
      <c r="MU375" s="405"/>
      <c r="NA375" s="83"/>
    </row>
    <row r="376">
      <c r="A376" s="483"/>
      <c r="B376" s="380"/>
      <c r="C376" s="380"/>
      <c r="D376" s="380"/>
      <c r="E376" s="380"/>
      <c r="F376" s="380"/>
      <c r="G376" s="380"/>
      <c r="H376" s="380"/>
      <c r="I376" s="403"/>
      <c r="J376" s="380"/>
      <c r="K376" s="380"/>
      <c r="L376" s="380"/>
      <c r="M376" s="380"/>
      <c r="N376" s="380"/>
      <c r="O376" s="404"/>
      <c r="P376" s="380"/>
      <c r="Q376" s="380"/>
      <c r="R376" s="380"/>
      <c r="S376" s="380"/>
      <c r="T376" s="380"/>
      <c r="U376" s="380"/>
      <c r="V376" s="380"/>
      <c r="W376" s="403"/>
      <c r="X376" s="380"/>
      <c r="Y376" s="380"/>
      <c r="Z376" s="380"/>
      <c r="AA376" s="380"/>
      <c r="AB376" s="380"/>
      <c r="AC376" s="404"/>
      <c r="AD376" s="380"/>
      <c r="AE376" s="380"/>
      <c r="AF376" s="380"/>
      <c r="AG376" s="380"/>
      <c r="AH376" s="380"/>
      <c r="AI376" s="380"/>
      <c r="AJ376" s="380"/>
      <c r="AK376" s="403"/>
      <c r="AL376" s="380"/>
      <c r="AM376" s="380"/>
      <c r="AN376" s="380"/>
      <c r="AO376" s="380"/>
      <c r="AP376" s="380"/>
      <c r="AQ376" s="404"/>
      <c r="AR376" s="380"/>
      <c r="AS376" s="380"/>
      <c r="AT376" s="380"/>
      <c r="AU376" s="380"/>
      <c r="AV376" s="380"/>
      <c r="AW376" s="380"/>
      <c r="AX376" s="380"/>
      <c r="AY376" s="403"/>
      <c r="AZ376" s="380"/>
      <c r="BA376" s="380"/>
      <c r="BB376" s="380"/>
      <c r="BC376" s="380"/>
      <c r="BD376" s="380"/>
      <c r="BE376" s="404"/>
      <c r="BF376" s="380"/>
      <c r="BG376" s="380"/>
      <c r="BH376" s="380"/>
      <c r="BI376" s="380"/>
      <c r="BJ376" s="380"/>
      <c r="BK376" s="380"/>
      <c r="BL376" s="380"/>
      <c r="BM376" s="403"/>
      <c r="BS376" s="83"/>
      <c r="CA376" s="405"/>
      <c r="CG376" s="83"/>
      <c r="CO376" s="405"/>
      <c r="CU376" s="83"/>
      <c r="DC376" s="405"/>
      <c r="DI376" s="83"/>
      <c r="DQ376" s="405"/>
      <c r="DW376" s="83"/>
      <c r="EE376" s="405"/>
      <c r="EK376" s="83"/>
      <c r="ES376" s="405"/>
      <c r="EY376" s="83"/>
      <c r="FG376" s="405"/>
      <c r="FM376" s="83"/>
      <c r="FU376" s="405"/>
      <c r="GA376" s="83"/>
      <c r="GI376" s="405"/>
      <c r="GO376" s="83"/>
      <c r="GW376" s="405"/>
      <c r="HC376" s="83"/>
      <c r="HK376" s="405"/>
      <c r="HQ376" s="83"/>
      <c r="HY376" s="405"/>
      <c r="IE376" s="83"/>
      <c r="IM376" s="405"/>
      <c r="IS376" s="83"/>
      <c r="JA376" s="405"/>
      <c r="JG376" s="83"/>
      <c r="JO376" s="405"/>
      <c r="JU376" s="83"/>
      <c r="KC376" s="405"/>
      <c r="KI376" s="83"/>
      <c r="KQ376" s="405"/>
      <c r="KW376" s="83"/>
      <c r="LE376" s="405"/>
      <c r="LK376" s="83"/>
      <c r="LS376" s="405"/>
      <c r="LY376" s="83"/>
      <c r="MG376" s="405"/>
      <c r="MM376" s="83"/>
      <c r="MU376" s="405"/>
      <c r="NA376" s="83"/>
    </row>
    <row r="377">
      <c r="A377" s="483"/>
      <c r="B377" s="380"/>
      <c r="C377" s="380"/>
      <c r="D377" s="380"/>
      <c r="E377" s="380"/>
      <c r="F377" s="380"/>
      <c r="G377" s="380"/>
      <c r="H377" s="380"/>
      <c r="I377" s="403"/>
      <c r="J377" s="380"/>
      <c r="K377" s="380"/>
      <c r="L377" s="380"/>
      <c r="M377" s="380"/>
      <c r="N377" s="380"/>
      <c r="O377" s="404"/>
      <c r="P377" s="380"/>
      <c r="Q377" s="380"/>
      <c r="R377" s="380"/>
      <c r="S377" s="380"/>
      <c r="T377" s="380"/>
      <c r="U377" s="380"/>
      <c r="V377" s="380"/>
      <c r="W377" s="403"/>
      <c r="X377" s="380"/>
      <c r="Y377" s="380"/>
      <c r="Z377" s="380"/>
      <c r="AA377" s="380"/>
      <c r="AB377" s="380"/>
      <c r="AC377" s="404"/>
      <c r="AD377" s="380"/>
      <c r="AE377" s="380"/>
      <c r="AF377" s="380"/>
      <c r="AG377" s="380"/>
      <c r="AH377" s="380"/>
      <c r="AI377" s="380"/>
      <c r="AJ377" s="380"/>
      <c r="AK377" s="403"/>
      <c r="AL377" s="380"/>
      <c r="AM377" s="380"/>
      <c r="AN377" s="380"/>
      <c r="AO377" s="380"/>
      <c r="AP377" s="380"/>
      <c r="AQ377" s="404"/>
      <c r="AR377" s="380"/>
      <c r="AS377" s="380"/>
      <c r="AT377" s="380"/>
      <c r="AU377" s="380"/>
      <c r="AV377" s="380"/>
      <c r="AW377" s="380"/>
      <c r="AX377" s="380"/>
      <c r="AY377" s="403"/>
      <c r="AZ377" s="380"/>
      <c r="BA377" s="380"/>
      <c r="BB377" s="380"/>
      <c r="BC377" s="380"/>
      <c r="BD377" s="380"/>
      <c r="BE377" s="404"/>
      <c r="BF377" s="380"/>
      <c r="BG377" s="380"/>
      <c r="BH377" s="380"/>
      <c r="BI377" s="380"/>
      <c r="BJ377" s="380"/>
      <c r="BK377" s="380"/>
      <c r="BL377" s="380"/>
      <c r="BM377" s="403"/>
      <c r="BS377" s="83"/>
      <c r="CA377" s="405"/>
      <c r="CG377" s="83"/>
      <c r="CO377" s="405"/>
      <c r="CU377" s="83"/>
      <c r="DC377" s="405"/>
      <c r="DI377" s="83"/>
      <c r="DQ377" s="405"/>
      <c r="DW377" s="83"/>
      <c r="EE377" s="405"/>
      <c r="EK377" s="83"/>
      <c r="ES377" s="405"/>
      <c r="EY377" s="83"/>
      <c r="FG377" s="405"/>
      <c r="FM377" s="83"/>
      <c r="FU377" s="405"/>
      <c r="GA377" s="83"/>
      <c r="GI377" s="405"/>
      <c r="GO377" s="83"/>
      <c r="GW377" s="405"/>
      <c r="HC377" s="83"/>
      <c r="HK377" s="405"/>
      <c r="HQ377" s="83"/>
      <c r="HY377" s="405"/>
      <c r="IE377" s="83"/>
      <c r="IM377" s="405"/>
      <c r="IS377" s="83"/>
      <c r="JA377" s="405"/>
      <c r="JG377" s="83"/>
      <c r="JO377" s="405"/>
      <c r="JU377" s="83"/>
      <c r="KC377" s="405"/>
      <c r="KI377" s="83"/>
      <c r="KQ377" s="405"/>
      <c r="KW377" s="83"/>
      <c r="LE377" s="405"/>
      <c r="LK377" s="83"/>
      <c r="LS377" s="405"/>
      <c r="LY377" s="83"/>
      <c r="MG377" s="405"/>
      <c r="MM377" s="83"/>
      <c r="MU377" s="405"/>
      <c r="NA377" s="83"/>
    </row>
    <row r="378">
      <c r="A378" s="483"/>
      <c r="B378" s="380"/>
      <c r="C378" s="380"/>
      <c r="D378" s="380"/>
      <c r="E378" s="380"/>
      <c r="F378" s="380"/>
      <c r="G378" s="380"/>
      <c r="H378" s="380"/>
      <c r="I378" s="403"/>
      <c r="J378" s="380"/>
      <c r="K378" s="380"/>
      <c r="L378" s="380"/>
      <c r="M378" s="380"/>
      <c r="N378" s="380"/>
      <c r="O378" s="404"/>
      <c r="P378" s="380"/>
      <c r="Q378" s="380"/>
      <c r="R378" s="380"/>
      <c r="S378" s="380"/>
      <c r="T378" s="380"/>
      <c r="U378" s="380"/>
      <c r="V378" s="380"/>
      <c r="W378" s="403"/>
      <c r="X378" s="380"/>
      <c r="Y378" s="380"/>
      <c r="Z378" s="380"/>
      <c r="AA378" s="380"/>
      <c r="AB378" s="380"/>
      <c r="AC378" s="404"/>
      <c r="AD378" s="380"/>
      <c r="AE378" s="380"/>
      <c r="AF378" s="380"/>
      <c r="AG378" s="380"/>
      <c r="AH378" s="380"/>
      <c r="AI378" s="380"/>
      <c r="AJ378" s="380"/>
      <c r="AK378" s="403"/>
      <c r="AL378" s="380"/>
      <c r="AM378" s="380"/>
      <c r="AN378" s="380"/>
      <c r="AO378" s="380"/>
      <c r="AP378" s="380"/>
      <c r="AQ378" s="404"/>
      <c r="AR378" s="380"/>
      <c r="AS378" s="380"/>
      <c r="AT378" s="380"/>
      <c r="AU378" s="380"/>
      <c r="AV378" s="380"/>
      <c r="AW378" s="380"/>
      <c r="AX378" s="380"/>
      <c r="AY378" s="403"/>
      <c r="AZ378" s="380"/>
      <c r="BA378" s="380"/>
      <c r="BB378" s="380"/>
      <c r="BC378" s="380"/>
      <c r="BD378" s="380"/>
      <c r="BE378" s="404"/>
      <c r="BF378" s="380"/>
      <c r="BG378" s="380"/>
      <c r="BH378" s="380"/>
      <c r="BI378" s="380"/>
      <c r="BJ378" s="380"/>
      <c r="BK378" s="380"/>
      <c r="BL378" s="380"/>
      <c r="BM378" s="403"/>
      <c r="BS378" s="83"/>
      <c r="CA378" s="405"/>
      <c r="CG378" s="83"/>
      <c r="CO378" s="405"/>
      <c r="CU378" s="83"/>
      <c r="DC378" s="405"/>
      <c r="DI378" s="83"/>
      <c r="DQ378" s="405"/>
      <c r="DW378" s="83"/>
      <c r="EE378" s="405"/>
      <c r="EK378" s="83"/>
      <c r="ES378" s="405"/>
      <c r="EY378" s="83"/>
      <c r="FG378" s="405"/>
      <c r="FM378" s="83"/>
      <c r="FU378" s="405"/>
      <c r="GA378" s="83"/>
      <c r="GI378" s="405"/>
      <c r="GO378" s="83"/>
      <c r="GW378" s="405"/>
      <c r="HC378" s="83"/>
      <c r="HK378" s="405"/>
      <c r="HQ378" s="83"/>
      <c r="HY378" s="405"/>
      <c r="IE378" s="83"/>
      <c r="IM378" s="405"/>
      <c r="IS378" s="83"/>
      <c r="JA378" s="405"/>
      <c r="JG378" s="83"/>
      <c r="JO378" s="405"/>
      <c r="JU378" s="83"/>
      <c r="KC378" s="405"/>
      <c r="KI378" s="83"/>
      <c r="KQ378" s="405"/>
      <c r="KW378" s="83"/>
      <c r="LE378" s="405"/>
      <c r="LK378" s="83"/>
      <c r="LS378" s="405"/>
      <c r="LY378" s="83"/>
      <c r="MG378" s="405"/>
      <c r="MM378" s="83"/>
      <c r="MU378" s="405"/>
      <c r="NA378" s="83"/>
    </row>
    <row r="379">
      <c r="A379" s="483"/>
      <c r="B379" s="380"/>
      <c r="C379" s="380"/>
      <c r="D379" s="380"/>
      <c r="E379" s="380"/>
      <c r="F379" s="380"/>
      <c r="G379" s="380"/>
      <c r="H379" s="380"/>
      <c r="I379" s="403"/>
      <c r="J379" s="380"/>
      <c r="K379" s="380"/>
      <c r="L379" s="380"/>
      <c r="M379" s="380"/>
      <c r="N379" s="380"/>
      <c r="O379" s="404"/>
      <c r="P379" s="380"/>
      <c r="Q379" s="380"/>
      <c r="R379" s="380"/>
      <c r="S379" s="380"/>
      <c r="T379" s="380"/>
      <c r="U379" s="380"/>
      <c r="V379" s="380"/>
      <c r="W379" s="403"/>
      <c r="X379" s="380"/>
      <c r="Y379" s="380"/>
      <c r="Z379" s="380"/>
      <c r="AA379" s="380"/>
      <c r="AB379" s="380"/>
      <c r="AC379" s="404"/>
      <c r="AD379" s="380"/>
      <c r="AE379" s="380"/>
      <c r="AF379" s="380"/>
      <c r="AG379" s="380"/>
      <c r="AH379" s="380"/>
      <c r="AI379" s="380"/>
      <c r="AJ379" s="380"/>
      <c r="AK379" s="403"/>
      <c r="AL379" s="380"/>
      <c r="AM379" s="380"/>
      <c r="AN379" s="380"/>
      <c r="AO379" s="380"/>
      <c r="AP379" s="380"/>
      <c r="AQ379" s="404"/>
      <c r="AR379" s="380"/>
      <c r="AS379" s="380"/>
      <c r="AT379" s="380"/>
      <c r="AU379" s="380"/>
      <c r="AV379" s="380"/>
      <c r="AW379" s="380"/>
      <c r="AX379" s="380"/>
      <c r="AY379" s="403"/>
      <c r="AZ379" s="380"/>
      <c r="BA379" s="380"/>
      <c r="BB379" s="380"/>
      <c r="BC379" s="380"/>
      <c r="BD379" s="380"/>
      <c r="BE379" s="404"/>
      <c r="BF379" s="380"/>
      <c r="BG379" s="380"/>
      <c r="BH379" s="380"/>
      <c r="BI379" s="380"/>
      <c r="BJ379" s="380"/>
      <c r="BK379" s="380"/>
      <c r="BL379" s="380"/>
      <c r="BM379" s="403"/>
      <c r="BS379" s="83"/>
      <c r="CA379" s="405"/>
      <c r="CG379" s="83"/>
      <c r="CO379" s="405"/>
      <c r="CU379" s="83"/>
      <c r="DC379" s="405"/>
      <c r="DI379" s="83"/>
      <c r="DQ379" s="405"/>
      <c r="DW379" s="83"/>
      <c r="EE379" s="405"/>
      <c r="EK379" s="83"/>
      <c r="ES379" s="405"/>
      <c r="EY379" s="83"/>
      <c r="FG379" s="405"/>
      <c r="FM379" s="83"/>
      <c r="FU379" s="405"/>
      <c r="GA379" s="83"/>
      <c r="GI379" s="405"/>
      <c r="GO379" s="83"/>
      <c r="GW379" s="405"/>
      <c r="HC379" s="83"/>
      <c r="HK379" s="405"/>
      <c r="HQ379" s="83"/>
      <c r="HY379" s="405"/>
      <c r="IE379" s="83"/>
      <c r="IM379" s="405"/>
      <c r="IS379" s="83"/>
      <c r="JA379" s="405"/>
      <c r="JG379" s="83"/>
      <c r="JO379" s="405"/>
      <c r="JU379" s="83"/>
      <c r="KC379" s="405"/>
      <c r="KI379" s="83"/>
      <c r="KQ379" s="405"/>
      <c r="KW379" s="83"/>
      <c r="LE379" s="405"/>
      <c r="LK379" s="83"/>
      <c r="LS379" s="405"/>
      <c r="LY379" s="83"/>
      <c r="MG379" s="405"/>
      <c r="MM379" s="83"/>
      <c r="MU379" s="405"/>
      <c r="NA379" s="83"/>
    </row>
    <row r="380">
      <c r="A380" s="483"/>
      <c r="B380" s="380"/>
      <c r="C380" s="380"/>
      <c r="D380" s="380"/>
      <c r="E380" s="380"/>
      <c r="F380" s="380"/>
      <c r="G380" s="380"/>
      <c r="H380" s="380"/>
      <c r="I380" s="403"/>
      <c r="J380" s="380"/>
      <c r="K380" s="380"/>
      <c r="L380" s="380"/>
      <c r="M380" s="380"/>
      <c r="N380" s="380"/>
      <c r="O380" s="404"/>
      <c r="P380" s="380"/>
      <c r="Q380" s="380"/>
      <c r="R380" s="380"/>
      <c r="S380" s="380"/>
      <c r="T380" s="380"/>
      <c r="U380" s="380"/>
      <c r="V380" s="380"/>
      <c r="W380" s="403"/>
      <c r="X380" s="380"/>
      <c r="Y380" s="380"/>
      <c r="Z380" s="380"/>
      <c r="AA380" s="380"/>
      <c r="AB380" s="380"/>
      <c r="AC380" s="404"/>
      <c r="AD380" s="380"/>
      <c r="AE380" s="380"/>
      <c r="AF380" s="380"/>
      <c r="AG380" s="380"/>
      <c r="AH380" s="380"/>
      <c r="AI380" s="380"/>
      <c r="AJ380" s="380"/>
      <c r="AK380" s="403"/>
      <c r="AL380" s="380"/>
      <c r="AM380" s="380"/>
      <c r="AN380" s="380"/>
      <c r="AO380" s="380"/>
      <c r="AP380" s="380"/>
      <c r="AQ380" s="404"/>
      <c r="AR380" s="380"/>
      <c r="AS380" s="380"/>
      <c r="AT380" s="380"/>
      <c r="AU380" s="380"/>
      <c r="AV380" s="380"/>
      <c r="AW380" s="380"/>
      <c r="AX380" s="380"/>
      <c r="AY380" s="403"/>
      <c r="AZ380" s="380"/>
      <c r="BA380" s="380"/>
      <c r="BB380" s="380"/>
      <c r="BC380" s="380"/>
      <c r="BD380" s="380"/>
      <c r="BE380" s="404"/>
      <c r="BF380" s="380"/>
      <c r="BG380" s="380"/>
      <c r="BH380" s="380"/>
      <c r="BI380" s="380"/>
      <c r="BJ380" s="380"/>
      <c r="BK380" s="380"/>
      <c r="BL380" s="380"/>
      <c r="BM380" s="403"/>
      <c r="BS380" s="83"/>
      <c r="CA380" s="405"/>
      <c r="CG380" s="83"/>
      <c r="CO380" s="405"/>
      <c r="CU380" s="83"/>
      <c r="DC380" s="405"/>
      <c r="DI380" s="83"/>
      <c r="DQ380" s="405"/>
      <c r="DW380" s="83"/>
      <c r="EE380" s="405"/>
      <c r="EK380" s="83"/>
      <c r="ES380" s="405"/>
      <c r="EY380" s="83"/>
      <c r="FG380" s="405"/>
      <c r="FM380" s="83"/>
      <c r="FU380" s="405"/>
      <c r="GA380" s="83"/>
      <c r="GI380" s="405"/>
      <c r="GO380" s="83"/>
      <c r="GW380" s="405"/>
      <c r="HC380" s="83"/>
      <c r="HK380" s="405"/>
      <c r="HQ380" s="83"/>
      <c r="HY380" s="405"/>
      <c r="IE380" s="83"/>
      <c r="IM380" s="405"/>
      <c r="IS380" s="83"/>
      <c r="JA380" s="405"/>
      <c r="JG380" s="83"/>
      <c r="JO380" s="405"/>
      <c r="JU380" s="83"/>
      <c r="KC380" s="405"/>
      <c r="KI380" s="83"/>
      <c r="KQ380" s="405"/>
      <c r="KW380" s="83"/>
      <c r="LE380" s="405"/>
      <c r="LK380" s="83"/>
      <c r="LS380" s="405"/>
      <c r="LY380" s="83"/>
      <c r="MG380" s="405"/>
      <c r="MM380" s="83"/>
      <c r="MU380" s="405"/>
      <c r="NA380" s="83"/>
    </row>
    <row r="381">
      <c r="A381" s="483"/>
      <c r="B381" s="380"/>
      <c r="C381" s="380"/>
      <c r="D381" s="380"/>
      <c r="E381" s="380"/>
      <c r="F381" s="380"/>
      <c r="G381" s="380"/>
      <c r="H381" s="380"/>
      <c r="I381" s="403"/>
      <c r="J381" s="380"/>
      <c r="K381" s="380"/>
      <c r="L381" s="380"/>
      <c r="M381" s="380"/>
      <c r="N381" s="380"/>
      <c r="O381" s="404"/>
      <c r="P381" s="380"/>
      <c r="Q381" s="380"/>
      <c r="R381" s="380"/>
      <c r="S381" s="380"/>
      <c r="T381" s="380"/>
      <c r="U381" s="380"/>
      <c r="V381" s="380"/>
      <c r="W381" s="403"/>
      <c r="X381" s="380"/>
      <c r="Y381" s="380"/>
      <c r="Z381" s="380"/>
      <c r="AA381" s="380"/>
      <c r="AB381" s="380"/>
      <c r="AC381" s="404"/>
      <c r="AD381" s="380"/>
      <c r="AE381" s="380"/>
      <c r="AF381" s="380"/>
      <c r="AG381" s="380"/>
      <c r="AH381" s="380"/>
      <c r="AI381" s="380"/>
      <c r="AJ381" s="380"/>
      <c r="AK381" s="403"/>
      <c r="AL381" s="380"/>
      <c r="AM381" s="380"/>
      <c r="AN381" s="380"/>
      <c r="AO381" s="380"/>
      <c r="AP381" s="380"/>
      <c r="AQ381" s="404"/>
      <c r="AR381" s="380"/>
      <c r="AS381" s="380"/>
      <c r="AT381" s="380"/>
      <c r="AU381" s="380"/>
      <c r="AV381" s="380"/>
      <c r="AW381" s="380"/>
      <c r="AX381" s="380"/>
      <c r="AY381" s="403"/>
      <c r="AZ381" s="380"/>
      <c r="BA381" s="380"/>
      <c r="BB381" s="380"/>
      <c r="BC381" s="380"/>
      <c r="BD381" s="380"/>
      <c r="BE381" s="404"/>
      <c r="BF381" s="380"/>
      <c r="BG381" s="380"/>
      <c r="BH381" s="380"/>
      <c r="BI381" s="380"/>
      <c r="BJ381" s="380"/>
      <c r="BK381" s="380"/>
      <c r="BL381" s="380"/>
      <c r="BM381" s="403"/>
      <c r="BS381" s="83"/>
      <c r="CA381" s="405"/>
      <c r="CG381" s="83"/>
      <c r="CO381" s="405"/>
      <c r="CU381" s="83"/>
      <c r="DC381" s="405"/>
      <c r="DI381" s="83"/>
      <c r="DQ381" s="405"/>
      <c r="DW381" s="83"/>
      <c r="EE381" s="405"/>
      <c r="EK381" s="83"/>
      <c r="ES381" s="405"/>
      <c r="EY381" s="83"/>
      <c r="FG381" s="405"/>
      <c r="FM381" s="83"/>
      <c r="FU381" s="405"/>
      <c r="GA381" s="83"/>
      <c r="GI381" s="405"/>
      <c r="GO381" s="83"/>
      <c r="GW381" s="405"/>
      <c r="HC381" s="83"/>
      <c r="HK381" s="405"/>
      <c r="HQ381" s="83"/>
      <c r="HY381" s="405"/>
      <c r="IE381" s="83"/>
      <c r="IM381" s="405"/>
      <c r="IS381" s="83"/>
      <c r="JA381" s="405"/>
      <c r="JG381" s="83"/>
      <c r="JO381" s="405"/>
      <c r="JU381" s="83"/>
      <c r="KC381" s="405"/>
      <c r="KI381" s="83"/>
      <c r="KQ381" s="405"/>
      <c r="KW381" s="83"/>
      <c r="LE381" s="405"/>
      <c r="LK381" s="83"/>
      <c r="LS381" s="405"/>
      <c r="LY381" s="83"/>
      <c r="MG381" s="405"/>
      <c r="MM381" s="83"/>
      <c r="MU381" s="405"/>
      <c r="NA381" s="83"/>
    </row>
    <row r="382">
      <c r="A382" s="483"/>
      <c r="B382" s="380"/>
      <c r="C382" s="380"/>
      <c r="D382" s="380"/>
      <c r="E382" s="380"/>
      <c r="F382" s="380"/>
      <c r="G382" s="380"/>
      <c r="H382" s="380"/>
      <c r="I382" s="403"/>
      <c r="J382" s="380"/>
      <c r="K382" s="380"/>
      <c r="L382" s="380"/>
      <c r="M382" s="380"/>
      <c r="N382" s="380"/>
      <c r="O382" s="404"/>
      <c r="P382" s="380"/>
      <c r="Q382" s="380"/>
      <c r="R382" s="380"/>
      <c r="S382" s="380"/>
      <c r="T382" s="380"/>
      <c r="U382" s="380"/>
      <c r="V382" s="380"/>
      <c r="W382" s="403"/>
      <c r="X382" s="380"/>
      <c r="Y382" s="380"/>
      <c r="Z382" s="380"/>
      <c r="AA382" s="380"/>
      <c r="AB382" s="380"/>
      <c r="AC382" s="404"/>
      <c r="AD382" s="380"/>
      <c r="AE382" s="380"/>
      <c r="AF382" s="380"/>
      <c r="AG382" s="380"/>
      <c r="AH382" s="380"/>
      <c r="AI382" s="380"/>
      <c r="AJ382" s="380"/>
      <c r="AK382" s="403"/>
      <c r="AL382" s="380"/>
      <c r="AM382" s="380"/>
      <c r="AN382" s="380"/>
      <c r="AO382" s="380"/>
      <c r="AP382" s="380"/>
      <c r="AQ382" s="404"/>
      <c r="AR382" s="380"/>
      <c r="AS382" s="380"/>
      <c r="AT382" s="380"/>
      <c r="AU382" s="380"/>
      <c r="AV382" s="380"/>
      <c r="AW382" s="380"/>
      <c r="AX382" s="380"/>
      <c r="AY382" s="403"/>
      <c r="AZ382" s="380"/>
      <c r="BA382" s="380"/>
      <c r="BB382" s="380"/>
      <c r="BC382" s="380"/>
      <c r="BD382" s="380"/>
      <c r="BE382" s="404"/>
      <c r="BF382" s="380"/>
      <c r="BG382" s="380"/>
      <c r="BH382" s="380"/>
      <c r="BI382" s="380"/>
      <c r="BJ382" s="380"/>
      <c r="BK382" s="380"/>
      <c r="BL382" s="380"/>
      <c r="BM382" s="403"/>
      <c r="BS382" s="83"/>
      <c r="CA382" s="405"/>
      <c r="CG382" s="83"/>
      <c r="CO382" s="405"/>
      <c r="CU382" s="83"/>
      <c r="DC382" s="405"/>
      <c r="DI382" s="83"/>
      <c r="DQ382" s="405"/>
      <c r="DW382" s="83"/>
      <c r="EE382" s="405"/>
      <c r="EK382" s="83"/>
      <c r="ES382" s="405"/>
      <c r="EY382" s="83"/>
      <c r="FG382" s="405"/>
      <c r="FM382" s="83"/>
      <c r="FU382" s="405"/>
      <c r="GA382" s="83"/>
      <c r="GI382" s="405"/>
      <c r="GO382" s="83"/>
      <c r="GW382" s="405"/>
      <c r="HC382" s="83"/>
      <c r="HK382" s="405"/>
      <c r="HQ382" s="83"/>
      <c r="HY382" s="405"/>
      <c r="IE382" s="83"/>
      <c r="IM382" s="405"/>
      <c r="IS382" s="83"/>
      <c r="JA382" s="405"/>
      <c r="JG382" s="83"/>
      <c r="JO382" s="405"/>
      <c r="JU382" s="83"/>
      <c r="KC382" s="405"/>
      <c r="KI382" s="83"/>
      <c r="KQ382" s="405"/>
      <c r="KW382" s="83"/>
      <c r="LE382" s="405"/>
      <c r="LK382" s="83"/>
      <c r="LS382" s="405"/>
      <c r="LY382" s="83"/>
      <c r="MG382" s="405"/>
      <c r="MM382" s="83"/>
      <c r="MU382" s="405"/>
      <c r="NA382" s="83"/>
    </row>
    <row r="383">
      <c r="A383" s="483"/>
      <c r="B383" s="380"/>
      <c r="C383" s="380"/>
      <c r="D383" s="380"/>
      <c r="E383" s="380"/>
      <c r="F383" s="380"/>
      <c r="G383" s="380"/>
      <c r="H383" s="380"/>
      <c r="I383" s="403"/>
      <c r="J383" s="380"/>
      <c r="K383" s="380"/>
      <c r="L383" s="380"/>
      <c r="M383" s="380"/>
      <c r="N383" s="380"/>
      <c r="O383" s="404"/>
      <c r="P383" s="380"/>
      <c r="Q383" s="380"/>
      <c r="R383" s="380"/>
      <c r="S383" s="380"/>
      <c r="T383" s="380"/>
      <c r="U383" s="380"/>
      <c r="V383" s="380"/>
      <c r="W383" s="403"/>
      <c r="X383" s="380"/>
      <c r="Y383" s="380"/>
      <c r="Z383" s="380"/>
      <c r="AA383" s="380"/>
      <c r="AB383" s="380"/>
      <c r="AC383" s="404"/>
      <c r="AD383" s="380"/>
      <c r="AE383" s="380"/>
      <c r="AF383" s="380"/>
      <c r="AG383" s="380"/>
      <c r="AH383" s="380"/>
      <c r="AI383" s="380"/>
      <c r="AJ383" s="380"/>
      <c r="AK383" s="403"/>
      <c r="AL383" s="380"/>
      <c r="AM383" s="380"/>
      <c r="AN383" s="380"/>
      <c r="AO383" s="380"/>
      <c r="AP383" s="380"/>
      <c r="AQ383" s="404"/>
      <c r="AR383" s="380"/>
      <c r="AS383" s="380"/>
      <c r="AT383" s="380"/>
      <c r="AU383" s="380"/>
      <c r="AV383" s="380"/>
      <c r="AW383" s="380"/>
      <c r="AX383" s="380"/>
      <c r="AY383" s="403"/>
      <c r="AZ383" s="380"/>
      <c r="BA383" s="380"/>
      <c r="BB383" s="380"/>
      <c r="BC383" s="380"/>
      <c r="BD383" s="380"/>
      <c r="BE383" s="404"/>
      <c r="BF383" s="380"/>
      <c r="BG383" s="380"/>
      <c r="BH383" s="380"/>
      <c r="BI383" s="380"/>
      <c r="BJ383" s="380"/>
      <c r="BK383" s="380"/>
      <c r="BL383" s="380"/>
      <c r="BM383" s="403"/>
      <c r="BS383" s="83"/>
      <c r="CA383" s="405"/>
      <c r="CG383" s="83"/>
      <c r="CO383" s="405"/>
      <c r="CU383" s="83"/>
      <c r="DC383" s="405"/>
      <c r="DI383" s="83"/>
      <c r="DQ383" s="405"/>
      <c r="DW383" s="83"/>
      <c r="EE383" s="405"/>
      <c r="EK383" s="83"/>
      <c r="ES383" s="405"/>
      <c r="EY383" s="83"/>
      <c r="FG383" s="405"/>
      <c r="FM383" s="83"/>
      <c r="FU383" s="405"/>
      <c r="GA383" s="83"/>
      <c r="GI383" s="405"/>
      <c r="GO383" s="83"/>
      <c r="GW383" s="405"/>
      <c r="HC383" s="83"/>
      <c r="HK383" s="405"/>
      <c r="HQ383" s="83"/>
      <c r="HY383" s="405"/>
      <c r="IE383" s="83"/>
      <c r="IM383" s="405"/>
      <c r="IS383" s="83"/>
      <c r="JA383" s="405"/>
      <c r="JG383" s="83"/>
      <c r="JO383" s="405"/>
      <c r="JU383" s="83"/>
      <c r="KC383" s="405"/>
      <c r="KI383" s="83"/>
      <c r="KQ383" s="405"/>
      <c r="KW383" s="83"/>
      <c r="LE383" s="405"/>
      <c r="LK383" s="83"/>
      <c r="LS383" s="405"/>
      <c r="LY383" s="83"/>
      <c r="MG383" s="405"/>
      <c r="MM383" s="83"/>
      <c r="MU383" s="405"/>
      <c r="NA383" s="83"/>
    </row>
    <row r="384">
      <c r="A384" s="483"/>
      <c r="B384" s="380"/>
      <c r="C384" s="380"/>
      <c r="D384" s="380"/>
      <c r="E384" s="380"/>
      <c r="F384" s="380"/>
      <c r="G384" s="380"/>
      <c r="H384" s="380"/>
      <c r="I384" s="403"/>
      <c r="J384" s="380"/>
      <c r="K384" s="380"/>
      <c r="L384" s="380"/>
      <c r="M384" s="380"/>
      <c r="N384" s="380"/>
      <c r="O384" s="404"/>
      <c r="P384" s="380"/>
      <c r="Q384" s="380"/>
      <c r="R384" s="380"/>
      <c r="S384" s="380"/>
      <c r="T384" s="380"/>
      <c r="U384" s="380"/>
      <c r="V384" s="380"/>
      <c r="W384" s="403"/>
      <c r="X384" s="380"/>
      <c r="Y384" s="380"/>
      <c r="Z384" s="380"/>
      <c r="AA384" s="380"/>
      <c r="AB384" s="380"/>
      <c r="AC384" s="404"/>
      <c r="AD384" s="380"/>
      <c r="AE384" s="380"/>
      <c r="AF384" s="380"/>
      <c r="AG384" s="380"/>
      <c r="AH384" s="380"/>
      <c r="AI384" s="380"/>
      <c r="AJ384" s="380"/>
      <c r="AK384" s="403"/>
      <c r="AL384" s="380"/>
      <c r="AM384" s="380"/>
      <c r="AN384" s="380"/>
      <c r="AO384" s="380"/>
      <c r="AP384" s="380"/>
      <c r="AQ384" s="404"/>
      <c r="AR384" s="380"/>
      <c r="AS384" s="380"/>
      <c r="AT384" s="380"/>
      <c r="AU384" s="380"/>
      <c r="AV384" s="380"/>
      <c r="AW384" s="380"/>
      <c r="AX384" s="380"/>
      <c r="AY384" s="403"/>
      <c r="AZ384" s="380"/>
      <c r="BA384" s="380"/>
      <c r="BB384" s="380"/>
      <c r="BC384" s="380"/>
      <c r="BD384" s="380"/>
      <c r="BE384" s="404"/>
      <c r="BF384" s="380"/>
      <c r="BG384" s="380"/>
      <c r="BH384" s="380"/>
      <c r="BI384" s="380"/>
      <c r="BJ384" s="380"/>
      <c r="BK384" s="380"/>
      <c r="BL384" s="380"/>
      <c r="BM384" s="403"/>
      <c r="BS384" s="83"/>
      <c r="CA384" s="405"/>
      <c r="CG384" s="83"/>
      <c r="CO384" s="405"/>
      <c r="CU384" s="83"/>
      <c r="DC384" s="405"/>
      <c r="DI384" s="83"/>
      <c r="DQ384" s="405"/>
      <c r="DW384" s="83"/>
      <c r="EE384" s="405"/>
      <c r="EK384" s="83"/>
      <c r="ES384" s="405"/>
      <c r="EY384" s="83"/>
      <c r="FG384" s="405"/>
      <c r="FM384" s="83"/>
      <c r="FU384" s="405"/>
      <c r="GA384" s="83"/>
      <c r="GI384" s="405"/>
      <c r="GO384" s="83"/>
      <c r="GW384" s="405"/>
      <c r="HC384" s="83"/>
      <c r="HK384" s="405"/>
      <c r="HQ384" s="83"/>
      <c r="HY384" s="405"/>
      <c r="IE384" s="83"/>
      <c r="IM384" s="405"/>
      <c r="IS384" s="83"/>
      <c r="JA384" s="405"/>
      <c r="JG384" s="83"/>
      <c r="JO384" s="405"/>
      <c r="JU384" s="83"/>
      <c r="KC384" s="405"/>
      <c r="KI384" s="83"/>
      <c r="KQ384" s="405"/>
      <c r="KW384" s="83"/>
      <c r="LE384" s="405"/>
      <c r="LK384" s="83"/>
      <c r="LS384" s="405"/>
      <c r="LY384" s="83"/>
      <c r="MG384" s="405"/>
      <c r="MM384" s="83"/>
      <c r="MU384" s="405"/>
      <c r="NA384" s="83"/>
    </row>
    <row r="385">
      <c r="A385" s="483"/>
      <c r="B385" s="380"/>
      <c r="C385" s="380"/>
      <c r="D385" s="380"/>
      <c r="E385" s="380"/>
      <c r="F385" s="380"/>
      <c r="G385" s="380"/>
      <c r="H385" s="380"/>
      <c r="I385" s="403"/>
      <c r="J385" s="380"/>
      <c r="K385" s="380"/>
      <c r="L385" s="380"/>
      <c r="M385" s="380"/>
      <c r="N385" s="380"/>
      <c r="O385" s="404"/>
      <c r="P385" s="380"/>
      <c r="Q385" s="380"/>
      <c r="R385" s="380"/>
      <c r="S385" s="380"/>
      <c r="T385" s="380"/>
      <c r="U385" s="380"/>
      <c r="V385" s="380"/>
      <c r="W385" s="403"/>
      <c r="X385" s="380"/>
      <c r="Y385" s="380"/>
      <c r="Z385" s="380"/>
      <c r="AA385" s="380"/>
      <c r="AB385" s="380"/>
      <c r="AC385" s="404"/>
      <c r="AD385" s="380"/>
      <c r="AE385" s="380"/>
      <c r="AF385" s="380"/>
      <c r="AG385" s="380"/>
      <c r="AH385" s="380"/>
      <c r="AI385" s="380"/>
      <c r="AJ385" s="380"/>
      <c r="AK385" s="403"/>
      <c r="AL385" s="380"/>
      <c r="AM385" s="380"/>
      <c r="AN385" s="380"/>
      <c r="AO385" s="380"/>
      <c r="AP385" s="380"/>
      <c r="AQ385" s="404"/>
      <c r="AR385" s="380"/>
      <c r="AS385" s="380"/>
      <c r="AT385" s="380"/>
      <c r="AU385" s="380"/>
      <c r="AV385" s="380"/>
      <c r="AW385" s="380"/>
      <c r="AX385" s="380"/>
      <c r="AY385" s="403"/>
      <c r="AZ385" s="380"/>
      <c r="BA385" s="380"/>
      <c r="BB385" s="380"/>
      <c r="BC385" s="380"/>
      <c r="BD385" s="380"/>
      <c r="BE385" s="404"/>
      <c r="BF385" s="380"/>
      <c r="BG385" s="380"/>
      <c r="BH385" s="380"/>
      <c r="BI385" s="380"/>
      <c r="BJ385" s="380"/>
      <c r="BK385" s="380"/>
      <c r="BL385" s="380"/>
      <c r="BM385" s="403"/>
      <c r="BS385" s="83"/>
      <c r="CA385" s="405"/>
      <c r="CG385" s="83"/>
      <c r="CO385" s="405"/>
      <c r="CU385" s="83"/>
      <c r="DC385" s="405"/>
      <c r="DI385" s="83"/>
      <c r="DQ385" s="405"/>
      <c r="DW385" s="83"/>
      <c r="EE385" s="405"/>
      <c r="EK385" s="83"/>
      <c r="ES385" s="405"/>
      <c r="EY385" s="83"/>
      <c r="FG385" s="405"/>
      <c r="FM385" s="83"/>
      <c r="FU385" s="405"/>
      <c r="GA385" s="83"/>
      <c r="GI385" s="405"/>
      <c r="GO385" s="83"/>
      <c r="GW385" s="405"/>
      <c r="HC385" s="83"/>
      <c r="HK385" s="405"/>
      <c r="HQ385" s="83"/>
      <c r="HY385" s="405"/>
      <c r="IE385" s="83"/>
      <c r="IM385" s="405"/>
      <c r="IS385" s="83"/>
      <c r="JA385" s="405"/>
      <c r="JG385" s="83"/>
      <c r="JO385" s="405"/>
      <c r="JU385" s="83"/>
      <c r="KC385" s="405"/>
      <c r="KI385" s="83"/>
      <c r="KQ385" s="405"/>
      <c r="KW385" s="83"/>
      <c r="LE385" s="405"/>
      <c r="LK385" s="83"/>
      <c r="LS385" s="405"/>
      <c r="LY385" s="83"/>
      <c r="MG385" s="405"/>
      <c r="MM385" s="83"/>
      <c r="MU385" s="405"/>
      <c r="NA385" s="83"/>
    </row>
    <row r="386">
      <c r="A386" s="483"/>
      <c r="B386" s="380"/>
      <c r="C386" s="380"/>
      <c r="D386" s="380"/>
      <c r="E386" s="380"/>
      <c r="F386" s="380"/>
      <c r="G386" s="380"/>
      <c r="H386" s="380"/>
      <c r="I386" s="403"/>
      <c r="J386" s="380"/>
      <c r="K386" s="380"/>
      <c r="L386" s="380"/>
      <c r="M386" s="380"/>
      <c r="N386" s="380"/>
      <c r="O386" s="404"/>
      <c r="P386" s="380"/>
      <c r="Q386" s="380"/>
      <c r="R386" s="380"/>
      <c r="S386" s="380"/>
      <c r="T386" s="380"/>
      <c r="U386" s="380"/>
      <c r="V386" s="380"/>
      <c r="W386" s="403"/>
      <c r="X386" s="380"/>
      <c r="Y386" s="380"/>
      <c r="Z386" s="380"/>
      <c r="AA386" s="380"/>
      <c r="AB386" s="380"/>
      <c r="AC386" s="404"/>
      <c r="AD386" s="380"/>
      <c r="AE386" s="380"/>
      <c r="AF386" s="380"/>
      <c r="AG386" s="380"/>
      <c r="AH386" s="380"/>
      <c r="AI386" s="380"/>
      <c r="AJ386" s="380"/>
      <c r="AK386" s="403"/>
      <c r="AL386" s="380"/>
      <c r="AM386" s="380"/>
      <c r="AN386" s="380"/>
      <c r="AO386" s="380"/>
      <c r="AP386" s="380"/>
      <c r="AQ386" s="404"/>
      <c r="AR386" s="380"/>
      <c r="AS386" s="380"/>
      <c r="AT386" s="380"/>
      <c r="AU386" s="380"/>
      <c r="AV386" s="380"/>
      <c r="AW386" s="380"/>
      <c r="AX386" s="380"/>
      <c r="AY386" s="403"/>
      <c r="AZ386" s="380"/>
      <c r="BA386" s="380"/>
      <c r="BB386" s="380"/>
      <c r="BC386" s="380"/>
      <c r="BD386" s="380"/>
      <c r="BE386" s="404"/>
      <c r="BF386" s="380"/>
      <c r="BG386" s="380"/>
      <c r="BH386" s="380"/>
      <c r="BI386" s="380"/>
      <c r="BJ386" s="380"/>
      <c r="BK386" s="380"/>
      <c r="BL386" s="380"/>
      <c r="BM386" s="403"/>
      <c r="BS386" s="83"/>
      <c r="CA386" s="405"/>
      <c r="CG386" s="83"/>
      <c r="CO386" s="405"/>
      <c r="CU386" s="83"/>
      <c r="DC386" s="405"/>
      <c r="DI386" s="83"/>
      <c r="DQ386" s="405"/>
      <c r="DW386" s="83"/>
      <c r="EE386" s="405"/>
      <c r="EK386" s="83"/>
      <c r="ES386" s="405"/>
      <c r="EY386" s="83"/>
      <c r="FG386" s="405"/>
      <c r="FM386" s="83"/>
      <c r="FU386" s="405"/>
      <c r="GA386" s="83"/>
      <c r="GI386" s="405"/>
      <c r="GO386" s="83"/>
      <c r="GW386" s="405"/>
      <c r="HC386" s="83"/>
      <c r="HK386" s="405"/>
      <c r="HQ386" s="83"/>
      <c r="HY386" s="405"/>
      <c r="IE386" s="83"/>
      <c r="IM386" s="405"/>
      <c r="IS386" s="83"/>
      <c r="JA386" s="405"/>
      <c r="JG386" s="83"/>
      <c r="JO386" s="405"/>
      <c r="JU386" s="83"/>
      <c r="KC386" s="405"/>
      <c r="KI386" s="83"/>
      <c r="KQ386" s="405"/>
      <c r="KW386" s="83"/>
      <c r="LE386" s="405"/>
      <c r="LK386" s="83"/>
      <c r="LS386" s="405"/>
      <c r="LY386" s="83"/>
      <c r="MG386" s="405"/>
      <c r="MM386" s="83"/>
      <c r="MU386" s="405"/>
      <c r="NA386" s="83"/>
    </row>
    <row r="387">
      <c r="A387" s="483"/>
      <c r="B387" s="380"/>
      <c r="C387" s="380"/>
      <c r="D387" s="380"/>
      <c r="E387" s="380"/>
      <c r="F387" s="380"/>
      <c r="G387" s="380"/>
      <c r="H387" s="380"/>
      <c r="I387" s="403"/>
      <c r="J387" s="380"/>
      <c r="K387" s="380"/>
      <c r="L387" s="380"/>
      <c r="M387" s="380"/>
      <c r="N387" s="380"/>
      <c r="O387" s="404"/>
      <c r="P387" s="380"/>
      <c r="Q387" s="380"/>
      <c r="R387" s="380"/>
      <c r="S387" s="380"/>
      <c r="T387" s="380"/>
      <c r="U387" s="380"/>
      <c r="V387" s="380"/>
      <c r="W387" s="403"/>
      <c r="X387" s="380"/>
      <c r="Y387" s="380"/>
      <c r="Z387" s="380"/>
      <c r="AA387" s="380"/>
      <c r="AB387" s="380"/>
      <c r="AC387" s="404"/>
      <c r="AD387" s="380"/>
      <c r="AE387" s="380"/>
      <c r="AF387" s="380"/>
      <c r="AG387" s="380"/>
      <c r="AH387" s="380"/>
      <c r="AI387" s="380"/>
      <c r="AJ387" s="380"/>
      <c r="AK387" s="403"/>
      <c r="AL387" s="380"/>
      <c r="AM387" s="380"/>
      <c r="AN387" s="380"/>
      <c r="AO387" s="380"/>
      <c r="AP387" s="380"/>
      <c r="AQ387" s="404"/>
      <c r="AR387" s="380"/>
      <c r="AS387" s="380"/>
      <c r="AT387" s="380"/>
      <c r="AU387" s="380"/>
      <c r="AV387" s="380"/>
      <c r="AW387" s="380"/>
      <c r="AX387" s="380"/>
      <c r="AY387" s="403"/>
      <c r="AZ387" s="380"/>
      <c r="BA387" s="380"/>
      <c r="BB387" s="380"/>
      <c r="BC387" s="380"/>
      <c r="BD387" s="380"/>
      <c r="BE387" s="404"/>
      <c r="BF387" s="380"/>
      <c r="BG387" s="380"/>
      <c r="BH387" s="380"/>
      <c r="BI387" s="380"/>
      <c r="BJ387" s="380"/>
      <c r="BK387" s="380"/>
      <c r="BL387" s="380"/>
      <c r="BM387" s="403"/>
      <c r="BS387" s="83"/>
      <c r="CA387" s="405"/>
      <c r="CG387" s="83"/>
      <c r="CO387" s="405"/>
      <c r="CU387" s="83"/>
      <c r="DC387" s="405"/>
      <c r="DI387" s="83"/>
      <c r="DQ387" s="405"/>
      <c r="DW387" s="83"/>
      <c r="EE387" s="405"/>
      <c r="EK387" s="83"/>
      <c r="ES387" s="405"/>
      <c r="EY387" s="83"/>
      <c r="FG387" s="405"/>
      <c r="FM387" s="83"/>
      <c r="FU387" s="405"/>
      <c r="GA387" s="83"/>
      <c r="GI387" s="405"/>
      <c r="GO387" s="83"/>
      <c r="GW387" s="405"/>
      <c r="HC387" s="83"/>
      <c r="HK387" s="405"/>
      <c r="HQ387" s="83"/>
      <c r="HY387" s="405"/>
      <c r="IE387" s="83"/>
      <c r="IM387" s="405"/>
      <c r="IS387" s="83"/>
      <c r="JA387" s="405"/>
      <c r="JG387" s="83"/>
      <c r="JO387" s="405"/>
      <c r="JU387" s="83"/>
      <c r="KC387" s="405"/>
      <c r="KI387" s="83"/>
      <c r="KQ387" s="405"/>
      <c r="KW387" s="83"/>
      <c r="LE387" s="405"/>
      <c r="LK387" s="83"/>
      <c r="LS387" s="405"/>
      <c r="LY387" s="83"/>
      <c r="MG387" s="405"/>
      <c r="MM387" s="83"/>
      <c r="MU387" s="405"/>
      <c r="NA387" s="83"/>
    </row>
    <row r="388">
      <c r="A388" s="483"/>
      <c r="B388" s="380"/>
      <c r="C388" s="380"/>
      <c r="D388" s="380"/>
      <c r="E388" s="380"/>
      <c r="F388" s="380"/>
      <c r="G388" s="380"/>
      <c r="H388" s="380"/>
      <c r="I388" s="403"/>
      <c r="J388" s="380"/>
      <c r="K388" s="380"/>
      <c r="L388" s="380"/>
      <c r="M388" s="380"/>
      <c r="N388" s="380"/>
      <c r="O388" s="404"/>
      <c r="P388" s="380"/>
      <c r="Q388" s="380"/>
      <c r="R388" s="380"/>
      <c r="S388" s="380"/>
      <c r="T388" s="380"/>
      <c r="U388" s="380"/>
      <c r="V388" s="380"/>
      <c r="W388" s="403"/>
      <c r="X388" s="380"/>
      <c r="Y388" s="380"/>
      <c r="Z388" s="380"/>
      <c r="AA388" s="380"/>
      <c r="AB388" s="380"/>
      <c r="AC388" s="404"/>
      <c r="AD388" s="380"/>
      <c r="AE388" s="380"/>
      <c r="AF388" s="380"/>
      <c r="AG388" s="380"/>
      <c r="AH388" s="380"/>
      <c r="AI388" s="380"/>
      <c r="AJ388" s="380"/>
      <c r="AK388" s="403"/>
      <c r="AL388" s="380"/>
      <c r="AM388" s="380"/>
      <c r="AN388" s="380"/>
      <c r="AO388" s="380"/>
      <c r="AP388" s="380"/>
      <c r="AQ388" s="404"/>
      <c r="AR388" s="380"/>
      <c r="AS388" s="380"/>
      <c r="AT388" s="380"/>
      <c r="AU388" s="380"/>
      <c r="AV388" s="380"/>
      <c r="AW388" s="380"/>
      <c r="AX388" s="380"/>
      <c r="AY388" s="403"/>
      <c r="AZ388" s="380"/>
      <c r="BA388" s="380"/>
      <c r="BB388" s="380"/>
      <c r="BC388" s="380"/>
      <c r="BD388" s="380"/>
      <c r="BE388" s="404"/>
      <c r="BF388" s="380"/>
      <c r="BG388" s="380"/>
      <c r="BH388" s="380"/>
      <c r="BI388" s="380"/>
      <c r="BJ388" s="380"/>
      <c r="BK388" s="380"/>
      <c r="BL388" s="380"/>
      <c r="BM388" s="403"/>
      <c r="BS388" s="83"/>
      <c r="CA388" s="405"/>
      <c r="CG388" s="83"/>
      <c r="CO388" s="405"/>
      <c r="CU388" s="83"/>
      <c r="DC388" s="405"/>
      <c r="DI388" s="83"/>
      <c r="DQ388" s="405"/>
      <c r="DW388" s="83"/>
      <c r="EE388" s="405"/>
      <c r="EK388" s="83"/>
      <c r="ES388" s="405"/>
      <c r="EY388" s="83"/>
      <c r="FG388" s="405"/>
      <c r="FM388" s="83"/>
      <c r="FU388" s="405"/>
      <c r="GA388" s="83"/>
      <c r="GI388" s="405"/>
      <c r="GO388" s="83"/>
      <c r="GW388" s="405"/>
      <c r="HC388" s="83"/>
      <c r="HK388" s="405"/>
      <c r="HQ388" s="83"/>
      <c r="HY388" s="405"/>
      <c r="IE388" s="83"/>
      <c r="IM388" s="405"/>
      <c r="IS388" s="83"/>
      <c r="JA388" s="405"/>
      <c r="JG388" s="83"/>
      <c r="JO388" s="405"/>
      <c r="JU388" s="83"/>
      <c r="KC388" s="405"/>
      <c r="KI388" s="83"/>
      <c r="KQ388" s="405"/>
      <c r="KW388" s="83"/>
      <c r="LE388" s="405"/>
      <c r="LK388" s="83"/>
      <c r="LS388" s="405"/>
      <c r="LY388" s="83"/>
      <c r="MG388" s="405"/>
      <c r="MM388" s="83"/>
      <c r="MU388" s="405"/>
      <c r="NA388" s="83"/>
    </row>
    <row r="389">
      <c r="A389" s="483"/>
      <c r="B389" s="380"/>
      <c r="C389" s="380"/>
      <c r="D389" s="380"/>
      <c r="E389" s="380"/>
      <c r="F389" s="380"/>
      <c r="G389" s="380"/>
      <c r="H389" s="380"/>
      <c r="I389" s="403"/>
      <c r="J389" s="380"/>
      <c r="K389" s="380"/>
      <c r="L389" s="380"/>
      <c r="M389" s="380"/>
      <c r="N389" s="380"/>
      <c r="O389" s="404"/>
      <c r="P389" s="380"/>
      <c r="Q389" s="380"/>
      <c r="R389" s="380"/>
      <c r="S389" s="380"/>
      <c r="T389" s="380"/>
      <c r="U389" s="380"/>
      <c r="V389" s="380"/>
      <c r="W389" s="403"/>
      <c r="X389" s="380"/>
      <c r="Y389" s="380"/>
      <c r="Z389" s="380"/>
      <c r="AA389" s="380"/>
      <c r="AB389" s="380"/>
      <c r="AC389" s="404"/>
      <c r="AD389" s="380"/>
      <c r="AE389" s="380"/>
      <c r="AF389" s="380"/>
      <c r="AG389" s="380"/>
      <c r="AH389" s="380"/>
      <c r="AI389" s="380"/>
      <c r="AJ389" s="380"/>
      <c r="AK389" s="403"/>
      <c r="AL389" s="380"/>
      <c r="AM389" s="380"/>
      <c r="AN389" s="380"/>
      <c r="AO389" s="380"/>
      <c r="AP389" s="380"/>
      <c r="AQ389" s="404"/>
      <c r="AR389" s="380"/>
      <c r="AS389" s="380"/>
      <c r="AT389" s="380"/>
      <c r="AU389" s="380"/>
      <c r="AV389" s="380"/>
      <c r="AW389" s="380"/>
      <c r="AX389" s="380"/>
      <c r="AY389" s="403"/>
      <c r="AZ389" s="380"/>
      <c r="BA389" s="380"/>
      <c r="BB389" s="380"/>
      <c r="BC389" s="380"/>
      <c r="BD389" s="380"/>
      <c r="BE389" s="404"/>
      <c r="BF389" s="380"/>
      <c r="BG389" s="380"/>
      <c r="BH389" s="380"/>
      <c r="BI389" s="380"/>
      <c r="BJ389" s="380"/>
      <c r="BK389" s="380"/>
      <c r="BL389" s="380"/>
      <c r="BM389" s="403"/>
      <c r="BS389" s="83"/>
      <c r="CA389" s="405"/>
      <c r="CG389" s="83"/>
      <c r="CO389" s="405"/>
      <c r="CU389" s="83"/>
      <c r="DC389" s="405"/>
      <c r="DI389" s="83"/>
      <c r="DQ389" s="405"/>
      <c r="DW389" s="83"/>
      <c r="EE389" s="405"/>
      <c r="EK389" s="83"/>
      <c r="ES389" s="405"/>
      <c r="EY389" s="83"/>
      <c r="FG389" s="405"/>
      <c r="FM389" s="83"/>
      <c r="FU389" s="405"/>
      <c r="GA389" s="83"/>
      <c r="GI389" s="405"/>
      <c r="GO389" s="83"/>
      <c r="GW389" s="405"/>
      <c r="HC389" s="83"/>
      <c r="HK389" s="405"/>
      <c r="HQ389" s="83"/>
      <c r="HY389" s="405"/>
      <c r="IE389" s="83"/>
      <c r="IM389" s="405"/>
      <c r="IS389" s="83"/>
      <c r="JA389" s="405"/>
      <c r="JG389" s="83"/>
      <c r="JO389" s="405"/>
      <c r="JU389" s="83"/>
      <c r="KC389" s="405"/>
      <c r="KI389" s="83"/>
      <c r="KQ389" s="405"/>
      <c r="KW389" s="83"/>
      <c r="LE389" s="405"/>
      <c r="LK389" s="83"/>
      <c r="LS389" s="405"/>
      <c r="LY389" s="83"/>
      <c r="MG389" s="405"/>
      <c r="MM389" s="83"/>
      <c r="MU389" s="405"/>
      <c r="NA389" s="83"/>
    </row>
    <row r="390">
      <c r="A390" s="483"/>
      <c r="B390" s="380"/>
      <c r="C390" s="380"/>
      <c r="D390" s="380"/>
      <c r="E390" s="380"/>
      <c r="F390" s="380"/>
      <c r="G390" s="380"/>
      <c r="H390" s="380"/>
      <c r="I390" s="403"/>
      <c r="J390" s="380"/>
      <c r="K390" s="380"/>
      <c r="L390" s="380"/>
      <c r="M390" s="380"/>
      <c r="N390" s="380"/>
      <c r="O390" s="404"/>
      <c r="P390" s="380"/>
      <c r="Q390" s="380"/>
      <c r="R390" s="380"/>
      <c r="S390" s="380"/>
      <c r="T390" s="380"/>
      <c r="U390" s="380"/>
      <c r="V390" s="380"/>
      <c r="W390" s="403"/>
      <c r="X390" s="380"/>
      <c r="Y390" s="380"/>
      <c r="Z390" s="380"/>
      <c r="AA390" s="380"/>
      <c r="AB390" s="380"/>
      <c r="AC390" s="404"/>
      <c r="AD390" s="380"/>
      <c r="AE390" s="380"/>
      <c r="AF390" s="380"/>
      <c r="AG390" s="380"/>
      <c r="AH390" s="380"/>
      <c r="AI390" s="380"/>
      <c r="AJ390" s="380"/>
      <c r="AK390" s="403"/>
      <c r="AL390" s="380"/>
      <c r="AM390" s="380"/>
      <c r="AN390" s="380"/>
      <c r="AO390" s="380"/>
      <c r="AP390" s="380"/>
      <c r="AQ390" s="404"/>
      <c r="AR390" s="380"/>
      <c r="AS390" s="380"/>
      <c r="AT390" s="380"/>
      <c r="AU390" s="380"/>
      <c r="AV390" s="380"/>
      <c r="AW390" s="380"/>
      <c r="AX390" s="380"/>
      <c r="AY390" s="403"/>
      <c r="AZ390" s="380"/>
      <c r="BA390" s="380"/>
      <c r="BB390" s="380"/>
      <c r="BC390" s="380"/>
      <c r="BD390" s="380"/>
      <c r="BE390" s="404"/>
      <c r="BF390" s="380"/>
      <c r="BG390" s="380"/>
      <c r="BH390" s="380"/>
      <c r="BI390" s="380"/>
      <c r="BJ390" s="380"/>
      <c r="BK390" s="380"/>
      <c r="BL390" s="380"/>
      <c r="BM390" s="403"/>
      <c r="BS390" s="83"/>
      <c r="CA390" s="405"/>
      <c r="CG390" s="83"/>
      <c r="CO390" s="405"/>
      <c r="CU390" s="83"/>
      <c r="DC390" s="405"/>
      <c r="DI390" s="83"/>
      <c r="DQ390" s="405"/>
      <c r="DW390" s="83"/>
      <c r="EE390" s="405"/>
      <c r="EK390" s="83"/>
      <c r="ES390" s="405"/>
      <c r="EY390" s="83"/>
      <c r="FG390" s="405"/>
      <c r="FM390" s="83"/>
      <c r="FU390" s="405"/>
      <c r="GA390" s="83"/>
      <c r="GI390" s="405"/>
      <c r="GO390" s="83"/>
      <c r="GW390" s="405"/>
      <c r="HC390" s="83"/>
      <c r="HK390" s="405"/>
      <c r="HQ390" s="83"/>
      <c r="HY390" s="405"/>
      <c r="IE390" s="83"/>
      <c r="IM390" s="405"/>
      <c r="IS390" s="83"/>
      <c r="JA390" s="405"/>
      <c r="JG390" s="83"/>
      <c r="JO390" s="405"/>
      <c r="JU390" s="83"/>
      <c r="KC390" s="405"/>
      <c r="KI390" s="83"/>
      <c r="KQ390" s="405"/>
      <c r="KW390" s="83"/>
      <c r="LE390" s="405"/>
      <c r="LK390" s="83"/>
      <c r="LS390" s="405"/>
      <c r="LY390" s="83"/>
      <c r="MG390" s="405"/>
      <c r="MM390" s="83"/>
      <c r="MU390" s="405"/>
      <c r="NA390" s="83"/>
    </row>
    <row r="391">
      <c r="A391" s="483"/>
      <c r="B391" s="380"/>
      <c r="C391" s="380"/>
      <c r="D391" s="380"/>
      <c r="E391" s="380"/>
      <c r="F391" s="380"/>
      <c r="G391" s="380"/>
      <c r="H391" s="380"/>
      <c r="I391" s="403"/>
      <c r="J391" s="380"/>
      <c r="K391" s="380"/>
      <c r="L391" s="380"/>
      <c r="M391" s="380"/>
      <c r="N391" s="380"/>
      <c r="O391" s="404"/>
      <c r="P391" s="380"/>
      <c r="Q391" s="380"/>
      <c r="R391" s="380"/>
      <c r="S391" s="380"/>
      <c r="T391" s="380"/>
      <c r="U391" s="380"/>
      <c r="V391" s="380"/>
      <c r="W391" s="403"/>
      <c r="X391" s="380"/>
      <c r="Y391" s="380"/>
      <c r="Z391" s="380"/>
      <c r="AA391" s="380"/>
      <c r="AB391" s="380"/>
      <c r="AC391" s="404"/>
      <c r="AD391" s="380"/>
      <c r="AE391" s="380"/>
      <c r="AF391" s="380"/>
      <c r="AG391" s="380"/>
      <c r="AH391" s="380"/>
      <c r="AI391" s="380"/>
      <c r="AJ391" s="380"/>
      <c r="AK391" s="403"/>
      <c r="AL391" s="380"/>
      <c r="AM391" s="380"/>
      <c r="AN391" s="380"/>
      <c r="AO391" s="380"/>
      <c r="AP391" s="380"/>
      <c r="AQ391" s="404"/>
      <c r="AR391" s="380"/>
      <c r="AS391" s="380"/>
      <c r="AT391" s="380"/>
      <c r="AU391" s="380"/>
      <c r="AV391" s="380"/>
      <c r="AW391" s="380"/>
      <c r="AX391" s="380"/>
      <c r="AY391" s="403"/>
      <c r="AZ391" s="380"/>
      <c r="BA391" s="380"/>
      <c r="BB391" s="380"/>
      <c r="BC391" s="380"/>
      <c r="BD391" s="380"/>
      <c r="BE391" s="404"/>
      <c r="BF391" s="380"/>
      <c r="BG391" s="380"/>
      <c r="BH391" s="380"/>
      <c r="BI391" s="380"/>
      <c r="BJ391" s="380"/>
      <c r="BK391" s="380"/>
      <c r="BL391" s="380"/>
      <c r="BM391" s="403"/>
      <c r="BS391" s="83"/>
      <c r="CA391" s="405"/>
      <c r="CG391" s="83"/>
      <c r="CO391" s="405"/>
      <c r="CU391" s="83"/>
      <c r="DC391" s="405"/>
      <c r="DI391" s="83"/>
      <c r="DQ391" s="405"/>
      <c r="DW391" s="83"/>
      <c r="EE391" s="405"/>
      <c r="EK391" s="83"/>
      <c r="ES391" s="405"/>
      <c r="EY391" s="83"/>
      <c r="FG391" s="405"/>
      <c r="FM391" s="83"/>
      <c r="FU391" s="405"/>
      <c r="GA391" s="83"/>
      <c r="GI391" s="405"/>
      <c r="GO391" s="83"/>
      <c r="GW391" s="405"/>
      <c r="HC391" s="83"/>
      <c r="HK391" s="405"/>
      <c r="HQ391" s="83"/>
      <c r="HY391" s="405"/>
      <c r="IE391" s="83"/>
      <c r="IM391" s="405"/>
      <c r="IS391" s="83"/>
      <c r="JA391" s="405"/>
      <c r="JG391" s="83"/>
      <c r="JO391" s="405"/>
      <c r="JU391" s="83"/>
      <c r="KC391" s="405"/>
      <c r="KI391" s="83"/>
      <c r="KQ391" s="405"/>
      <c r="KW391" s="83"/>
      <c r="LE391" s="405"/>
      <c r="LK391" s="83"/>
      <c r="LS391" s="405"/>
      <c r="LY391" s="83"/>
      <c r="MG391" s="405"/>
      <c r="MM391" s="83"/>
      <c r="MU391" s="405"/>
      <c r="NA391" s="83"/>
    </row>
    <row r="392">
      <c r="A392" s="483"/>
      <c r="B392" s="380"/>
      <c r="C392" s="380"/>
      <c r="D392" s="380"/>
      <c r="E392" s="380"/>
      <c r="F392" s="380"/>
      <c r="G392" s="380"/>
      <c r="H392" s="380"/>
      <c r="I392" s="403"/>
      <c r="J392" s="380"/>
      <c r="K392" s="380"/>
      <c r="L392" s="380"/>
      <c r="M392" s="380"/>
      <c r="N392" s="380"/>
      <c r="O392" s="404"/>
      <c r="P392" s="380"/>
      <c r="Q392" s="380"/>
      <c r="R392" s="380"/>
      <c r="S392" s="380"/>
      <c r="T392" s="380"/>
      <c r="U392" s="380"/>
      <c r="V392" s="380"/>
      <c r="W392" s="403"/>
      <c r="X392" s="380"/>
      <c r="Y392" s="380"/>
      <c r="Z392" s="380"/>
      <c r="AA392" s="380"/>
      <c r="AB392" s="380"/>
      <c r="AC392" s="404"/>
      <c r="AD392" s="380"/>
      <c r="AE392" s="380"/>
      <c r="AF392" s="380"/>
      <c r="AG392" s="380"/>
      <c r="AH392" s="380"/>
      <c r="AI392" s="380"/>
      <c r="AJ392" s="380"/>
      <c r="AK392" s="403"/>
      <c r="AL392" s="380"/>
      <c r="AM392" s="380"/>
      <c r="AN392" s="380"/>
      <c r="AO392" s="380"/>
      <c r="AP392" s="380"/>
      <c r="AQ392" s="404"/>
      <c r="AR392" s="380"/>
      <c r="AS392" s="380"/>
      <c r="AT392" s="380"/>
      <c r="AU392" s="380"/>
      <c r="AV392" s="380"/>
      <c r="AW392" s="380"/>
      <c r="AX392" s="380"/>
      <c r="AY392" s="403"/>
      <c r="AZ392" s="380"/>
      <c r="BA392" s="380"/>
      <c r="BB392" s="380"/>
      <c r="BC392" s="380"/>
      <c r="BD392" s="380"/>
      <c r="BE392" s="404"/>
      <c r="BF392" s="380"/>
      <c r="BG392" s="380"/>
      <c r="BH392" s="380"/>
      <c r="BI392" s="380"/>
      <c r="BJ392" s="380"/>
      <c r="BK392" s="380"/>
      <c r="BL392" s="380"/>
      <c r="BM392" s="403"/>
      <c r="BS392" s="83"/>
      <c r="CA392" s="405"/>
      <c r="CG392" s="83"/>
      <c r="CO392" s="405"/>
      <c r="CU392" s="83"/>
      <c r="DC392" s="405"/>
      <c r="DI392" s="83"/>
      <c r="DQ392" s="405"/>
      <c r="DW392" s="83"/>
      <c r="EE392" s="405"/>
      <c r="EK392" s="83"/>
      <c r="ES392" s="405"/>
      <c r="EY392" s="83"/>
      <c r="FG392" s="405"/>
      <c r="FM392" s="83"/>
      <c r="FU392" s="405"/>
      <c r="GA392" s="83"/>
      <c r="GI392" s="405"/>
      <c r="GO392" s="83"/>
      <c r="GW392" s="405"/>
      <c r="HC392" s="83"/>
      <c r="HK392" s="405"/>
      <c r="HQ392" s="83"/>
      <c r="HY392" s="405"/>
      <c r="IE392" s="83"/>
      <c r="IM392" s="405"/>
      <c r="IS392" s="83"/>
      <c r="JA392" s="405"/>
      <c r="JG392" s="83"/>
      <c r="JO392" s="405"/>
      <c r="JU392" s="83"/>
      <c r="KC392" s="405"/>
      <c r="KI392" s="83"/>
      <c r="KQ392" s="405"/>
      <c r="KW392" s="83"/>
      <c r="LE392" s="405"/>
      <c r="LK392" s="83"/>
      <c r="LS392" s="405"/>
      <c r="LY392" s="83"/>
      <c r="MG392" s="405"/>
      <c r="MM392" s="83"/>
      <c r="MU392" s="405"/>
      <c r="NA392" s="83"/>
    </row>
    <row r="393">
      <c r="A393" s="483"/>
      <c r="B393" s="380"/>
      <c r="C393" s="380"/>
      <c r="D393" s="380"/>
      <c r="E393" s="380"/>
      <c r="F393" s="380"/>
      <c r="G393" s="380"/>
      <c r="H393" s="380"/>
      <c r="I393" s="403"/>
      <c r="J393" s="380"/>
      <c r="K393" s="380"/>
      <c r="L393" s="380"/>
      <c r="M393" s="380"/>
      <c r="N393" s="380"/>
      <c r="O393" s="404"/>
      <c r="P393" s="380"/>
      <c r="Q393" s="380"/>
      <c r="R393" s="380"/>
      <c r="S393" s="380"/>
      <c r="T393" s="380"/>
      <c r="U393" s="380"/>
      <c r="V393" s="380"/>
      <c r="W393" s="403"/>
      <c r="X393" s="380"/>
      <c r="Y393" s="380"/>
      <c r="Z393" s="380"/>
      <c r="AA393" s="380"/>
      <c r="AB393" s="380"/>
      <c r="AC393" s="404"/>
      <c r="AD393" s="380"/>
      <c r="AE393" s="380"/>
      <c r="AF393" s="380"/>
      <c r="AG393" s="380"/>
      <c r="AH393" s="380"/>
      <c r="AI393" s="380"/>
      <c r="AJ393" s="380"/>
      <c r="AK393" s="403"/>
      <c r="AL393" s="380"/>
      <c r="AM393" s="380"/>
      <c r="AN393" s="380"/>
      <c r="AO393" s="380"/>
      <c r="AP393" s="380"/>
      <c r="AQ393" s="404"/>
      <c r="AR393" s="380"/>
      <c r="AS393" s="380"/>
      <c r="AT393" s="380"/>
      <c r="AU393" s="380"/>
      <c r="AV393" s="380"/>
      <c r="AW393" s="380"/>
      <c r="AX393" s="380"/>
      <c r="AY393" s="403"/>
      <c r="AZ393" s="380"/>
      <c r="BA393" s="380"/>
      <c r="BB393" s="380"/>
      <c r="BC393" s="380"/>
      <c r="BD393" s="380"/>
      <c r="BE393" s="404"/>
      <c r="BF393" s="380"/>
      <c r="BG393" s="380"/>
      <c r="BH393" s="380"/>
      <c r="BI393" s="380"/>
      <c r="BJ393" s="380"/>
      <c r="BK393" s="380"/>
      <c r="BL393" s="380"/>
      <c r="BM393" s="403"/>
      <c r="BS393" s="83"/>
      <c r="CA393" s="405"/>
      <c r="CG393" s="83"/>
      <c r="CO393" s="405"/>
      <c r="CU393" s="83"/>
      <c r="DC393" s="405"/>
      <c r="DI393" s="83"/>
      <c r="DQ393" s="405"/>
      <c r="DW393" s="83"/>
      <c r="EE393" s="405"/>
      <c r="EK393" s="83"/>
      <c r="ES393" s="405"/>
      <c r="EY393" s="83"/>
      <c r="FG393" s="405"/>
      <c r="FM393" s="83"/>
      <c r="FU393" s="405"/>
      <c r="GA393" s="83"/>
      <c r="GI393" s="405"/>
      <c r="GO393" s="83"/>
      <c r="GW393" s="405"/>
      <c r="HC393" s="83"/>
      <c r="HK393" s="405"/>
      <c r="HQ393" s="83"/>
      <c r="HY393" s="405"/>
      <c r="IE393" s="83"/>
      <c r="IM393" s="405"/>
      <c r="IS393" s="83"/>
      <c r="JA393" s="405"/>
      <c r="JG393" s="83"/>
      <c r="JO393" s="405"/>
      <c r="JU393" s="83"/>
      <c r="KC393" s="405"/>
      <c r="KI393" s="83"/>
      <c r="KQ393" s="405"/>
      <c r="KW393" s="83"/>
      <c r="LE393" s="405"/>
      <c r="LK393" s="83"/>
      <c r="LS393" s="405"/>
      <c r="LY393" s="83"/>
      <c r="MG393" s="405"/>
      <c r="MM393" s="83"/>
      <c r="MU393" s="405"/>
      <c r="NA393" s="83"/>
    </row>
    <row r="394">
      <c r="A394" s="483"/>
      <c r="B394" s="380"/>
      <c r="C394" s="380"/>
      <c r="D394" s="380"/>
      <c r="E394" s="380"/>
      <c r="F394" s="380"/>
      <c r="G394" s="380"/>
      <c r="H394" s="380"/>
      <c r="I394" s="403"/>
      <c r="J394" s="380"/>
      <c r="K394" s="380"/>
      <c r="L394" s="380"/>
      <c r="M394" s="380"/>
      <c r="N394" s="380"/>
      <c r="O394" s="404"/>
      <c r="P394" s="380"/>
      <c r="Q394" s="380"/>
      <c r="R394" s="380"/>
      <c r="S394" s="380"/>
      <c r="T394" s="380"/>
      <c r="U394" s="380"/>
      <c r="V394" s="380"/>
      <c r="W394" s="403"/>
      <c r="X394" s="380"/>
      <c r="Y394" s="380"/>
      <c r="Z394" s="380"/>
      <c r="AA394" s="380"/>
      <c r="AB394" s="380"/>
      <c r="AC394" s="404"/>
      <c r="AD394" s="380"/>
      <c r="AE394" s="380"/>
      <c r="AF394" s="380"/>
      <c r="AG394" s="380"/>
      <c r="AH394" s="380"/>
      <c r="AI394" s="380"/>
      <c r="AJ394" s="380"/>
      <c r="AK394" s="403"/>
      <c r="AL394" s="380"/>
      <c r="AM394" s="380"/>
      <c r="AN394" s="380"/>
      <c r="AO394" s="380"/>
      <c r="AP394" s="380"/>
      <c r="AQ394" s="404"/>
      <c r="AR394" s="380"/>
      <c r="AS394" s="380"/>
      <c r="AT394" s="380"/>
      <c r="AU394" s="380"/>
      <c r="AV394" s="380"/>
      <c r="AW394" s="380"/>
      <c r="AX394" s="380"/>
      <c r="AY394" s="403"/>
      <c r="AZ394" s="380"/>
      <c r="BA394" s="380"/>
      <c r="BB394" s="380"/>
      <c r="BC394" s="380"/>
      <c r="BD394" s="380"/>
      <c r="BE394" s="404"/>
      <c r="BF394" s="380"/>
      <c r="BG394" s="380"/>
      <c r="BH394" s="380"/>
      <c r="BI394" s="380"/>
      <c r="BJ394" s="380"/>
      <c r="BK394" s="380"/>
      <c r="BL394" s="380"/>
      <c r="BM394" s="403"/>
      <c r="BS394" s="83"/>
      <c r="CA394" s="405"/>
      <c r="CG394" s="83"/>
      <c r="CO394" s="405"/>
      <c r="CU394" s="83"/>
      <c r="DC394" s="405"/>
      <c r="DI394" s="83"/>
      <c r="DQ394" s="405"/>
      <c r="DW394" s="83"/>
      <c r="EE394" s="405"/>
      <c r="EK394" s="83"/>
      <c r="ES394" s="405"/>
      <c r="EY394" s="83"/>
      <c r="FG394" s="405"/>
      <c r="FM394" s="83"/>
      <c r="FU394" s="405"/>
      <c r="GA394" s="83"/>
      <c r="GI394" s="405"/>
      <c r="GO394" s="83"/>
      <c r="GW394" s="405"/>
      <c r="HC394" s="83"/>
      <c r="HK394" s="405"/>
      <c r="HQ394" s="83"/>
      <c r="HY394" s="405"/>
      <c r="IE394" s="83"/>
      <c r="IM394" s="405"/>
      <c r="IS394" s="83"/>
      <c r="JA394" s="405"/>
      <c r="JG394" s="83"/>
      <c r="JO394" s="405"/>
      <c r="JU394" s="83"/>
      <c r="KC394" s="405"/>
      <c r="KI394" s="83"/>
      <c r="KQ394" s="405"/>
      <c r="KW394" s="83"/>
      <c r="LE394" s="405"/>
      <c r="LK394" s="83"/>
      <c r="LS394" s="405"/>
      <c r="LY394" s="83"/>
      <c r="MG394" s="405"/>
      <c r="MM394" s="83"/>
      <c r="MU394" s="405"/>
      <c r="NA394" s="83"/>
    </row>
    <row r="395">
      <c r="A395" s="483"/>
      <c r="B395" s="380"/>
      <c r="C395" s="380"/>
      <c r="D395" s="380"/>
      <c r="E395" s="380"/>
      <c r="F395" s="380"/>
      <c r="G395" s="380"/>
      <c r="H395" s="380"/>
      <c r="I395" s="403"/>
      <c r="J395" s="380"/>
      <c r="K395" s="380"/>
      <c r="L395" s="380"/>
      <c r="M395" s="380"/>
      <c r="N395" s="380"/>
      <c r="O395" s="404"/>
      <c r="P395" s="380"/>
      <c r="Q395" s="380"/>
      <c r="R395" s="380"/>
      <c r="S395" s="380"/>
      <c r="T395" s="380"/>
      <c r="U395" s="380"/>
      <c r="V395" s="380"/>
      <c r="W395" s="403"/>
      <c r="X395" s="380"/>
      <c r="Y395" s="380"/>
      <c r="Z395" s="380"/>
      <c r="AA395" s="380"/>
      <c r="AB395" s="380"/>
      <c r="AC395" s="404"/>
      <c r="AD395" s="380"/>
      <c r="AE395" s="380"/>
      <c r="AF395" s="380"/>
      <c r="AG395" s="380"/>
      <c r="AH395" s="380"/>
      <c r="AI395" s="380"/>
      <c r="AJ395" s="380"/>
      <c r="AK395" s="403"/>
      <c r="AL395" s="380"/>
      <c r="AM395" s="380"/>
      <c r="AN395" s="380"/>
      <c r="AO395" s="380"/>
      <c r="AP395" s="380"/>
      <c r="AQ395" s="404"/>
      <c r="AR395" s="380"/>
      <c r="AS395" s="380"/>
      <c r="AT395" s="380"/>
      <c r="AU395" s="380"/>
      <c r="AV395" s="380"/>
      <c r="AW395" s="380"/>
      <c r="AX395" s="380"/>
      <c r="AY395" s="403"/>
      <c r="AZ395" s="380"/>
      <c r="BA395" s="380"/>
      <c r="BB395" s="380"/>
      <c r="BC395" s="380"/>
      <c r="BD395" s="380"/>
      <c r="BE395" s="404"/>
      <c r="BF395" s="380"/>
      <c r="BG395" s="380"/>
      <c r="BH395" s="380"/>
      <c r="BI395" s="380"/>
      <c r="BJ395" s="380"/>
      <c r="BK395" s="380"/>
      <c r="BL395" s="380"/>
      <c r="BM395" s="403"/>
      <c r="BS395" s="83"/>
      <c r="CA395" s="405"/>
      <c r="CG395" s="83"/>
      <c r="CO395" s="405"/>
      <c r="CU395" s="83"/>
      <c r="DC395" s="405"/>
      <c r="DI395" s="83"/>
      <c r="DQ395" s="405"/>
      <c r="DW395" s="83"/>
      <c r="EE395" s="405"/>
      <c r="EK395" s="83"/>
      <c r="ES395" s="405"/>
      <c r="EY395" s="83"/>
      <c r="FG395" s="405"/>
      <c r="FM395" s="83"/>
      <c r="FU395" s="405"/>
      <c r="GA395" s="83"/>
      <c r="GI395" s="405"/>
      <c r="GO395" s="83"/>
      <c r="GW395" s="405"/>
      <c r="HC395" s="83"/>
      <c r="HK395" s="405"/>
      <c r="HQ395" s="83"/>
      <c r="HY395" s="405"/>
      <c r="IE395" s="83"/>
      <c r="IM395" s="405"/>
      <c r="IS395" s="83"/>
      <c r="JA395" s="405"/>
      <c r="JG395" s="83"/>
      <c r="JO395" s="405"/>
      <c r="JU395" s="83"/>
      <c r="KC395" s="405"/>
      <c r="KI395" s="83"/>
      <c r="KQ395" s="405"/>
      <c r="KW395" s="83"/>
      <c r="LE395" s="405"/>
      <c r="LK395" s="83"/>
      <c r="LS395" s="405"/>
      <c r="LY395" s="83"/>
      <c r="MG395" s="405"/>
      <c r="MM395" s="83"/>
      <c r="MU395" s="405"/>
      <c r="NA395" s="83"/>
    </row>
    <row r="396">
      <c r="A396" s="483"/>
      <c r="B396" s="380"/>
      <c r="C396" s="380"/>
      <c r="D396" s="380"/>
      <c r="E396" s="380"/>
      <c r="F396" s="380"/>
      <c r="G396" s="380"/>
      <c r="H396" s="380"/>
      <c r="I396" s="403"/>
      <c r="J396" s="380"/>
      <c r="K396" s="380"/>
      <c r="L396" s="380"/>
      <c r="M396" s="380"/>
      <c r="N396" s="380"/>
      <c r="O396" s="404"/>
      <c r="P396" s="380"/>
      <c r="Q396" s="380"/>
      <c r="R396" s="380"/>
      <c r="S396" s="380"/>
      <c r="T396" s="380"/>
      <c r="U396" s="380"/>
      <c r="V396" s="380"/>
      <c r="W396" s="403"/>
      <c r="X396" s="380"/>
      <c r="Y396" s="380"/>
      <c r="Z396" s="380"/>
      <c r="AA396" s="380"/>
      <c r="AB396" s="380"/>
      <c r="AC396" s="404"/>
      <c r="AD396" s="380"/>
      <c r="AE396" s="380"/>
      <c r="AF396" s="380"/>
      <c r="AG396" s="380"/>
      <c r="AH396" s="380"/>
      <c r="AI396" s="380"/>
      <c r="AJ396" s="380"/>
      <c r="AK396" s="403"/>
      <c r="AL396" s="380"/>
      <c r="AM396" s="380"/>
      <c r="AN396" s="380"/>
      <c r="AO396" s="380"/>
      <c r="AP396" s="380"/>
      <c r="AQ396" s="404"/>
      <c r="AR396" s="380"/>
      <c r="AS396" s="380"/>
      <c r="AT396" s="380"/>
      <c r="AU396" s="380"/>
      <c r="AV396" s="380"/>
      <c r="AW396" s="380"/>
      <c r="AX396" s="380"/>
      <c r="AY396" s="403"/>
      <c r="AZ396" s="380"/>
      <c r="BA396" s="380"/>
      <c r="BB396" s="380"/>
      <c r="BC396" s="380"/>
      <c r="BD396" s="380"/>
      <c r="BE396" s="404"/>
      <c r="BF396" s="380"/>
      <c r="BG396" s="380"/>
      <c r="BH396" s="380"/>
      <c r="BI396" s="380"/>
      <c r="BJ396" s="380"/>
      <c r="BK396" s="380"/>
      <c r="BL396" s="380"/>
      <c r="BM396" s="403"/>
      <c r="BS396" s="83"/>
      <c r="CA396" s="405"/>
      <c r="CG396" s="83"/>
      <c r="CO396" s="405"/>
      <c r="CU396" s="83"/>
      <c r="DC396" s="405"/>
      <c r="DI396" s="83"/>
      <c r="DQ396" s="405"/>
      <c r="DW396" s="83"/>
      <c r="EE396" s="405"/>
      <c r="EK396" s="83"/>
      <c r="ES396" s="405"/>
      <c r="EY396" s="83"/>
      <c r="FG396" s="405"/>
      <c r="FM396" s="83"/>
      <c r="FU396" s="405"/>
      <c r="GA396" s="83"/>
      <c r="GI396" s="405"/>
      <c r="GO396" s="83"/>
      <c r="GW396" s="405"/>
      <c r="HC396" s="83"/>
      <c r="HK396" s="405"/>
      <c r="HQ396" s="83"/>
      <c r="HY396" s="405"/>
      <c r="IE396" s="83"/>
      <c r="IM396" s="405"/>
      <c r="IS396" s="83"/>
      <c r="JA396" s="405"/>
      <c r="JG396" s="83"/>
      <c r="JO396" s="405"/>
      <c r="JU396" s="83"/>
      <c r="KC396" s="405"/>
      <c r="KI396" s="83"/>
      <c r="KQ396" s="405"/>
      <c r="KW396" s="83"/>
      <c r="LE396" s="405"/>
      <c r="LK396" s="83"/>
      <c r="LS396" s="405"/>
      <c r="LY396" s="83"/>
      <c r="MG396" s="405"/>
      <c r="MM396" s="83"/>
      <c r="MU396" s="405"/>
      <c r="NA396" s="83"/>
    </row>
    <row r="397">
      <c r="A397" s="483"/>
      <c r="B397" s="380"/>
      <c r="C397" s="380"/>
      <c r="D397" s="380"/>
      <c r="E397" s="380"/>
      <c r="F397" s="380"/>
      <c r="G397" s="380"/>
      <c r="H397" s="380"/>
      <c r="I397" s="403"/>
      <c r="J397" s="380"/>
      <c r="K397" s="380"/>
      <c r="L397" s="380"/>
      <c r="M397" s="380"/>
      <c r="N397" s="380"/>
      <c r="O397" s="404"/>
      <c r="P397" s="380"/>
      <c r="Q397" s="380"/>
      <c r="R397" s="380"/>
      <c r="S397" s="380"/>
      <c r="T397" s="380"/>
      <c r="U397" s="380"/>
      <c r="V397" s="380"/>
      <c r="W397" s="403"/>
      <c r="X397" s="380"/>
      <c r="Y397" s="380"/>
      <c r="Z397" s="380"/>
      <c r="AA397" s="380"/>
      <c r="AB397" s="380"/>
      <c r="AC397" s="404"/>
      <c r="AD397" s="380"/>
      <c r="AE397" s="380"/>
      <c r="AF397" s="380"/>
      <c r="AG397" s="380"/>
      <c r="AH397" s="380"/>
      <c r="AI397" s="380"/>
      <c r="AJ397" s="380"/>
      <c r="AK397" s="403"/>
      <c r="AL397" s="380"/>
      <c r="AM397" s="380"/>
      <c r="AN397" s="380"/>
      <c r="AO397" s="380"/>
      <c r="AP397" s="380"/>
      <c r="AQ397" s="404"/>
      <c r="AR397" s="380"/>
      <c r="AS397" s="380"/>
      <c r="AT397" s="380"/>
      <c r="AU397" s="380"/>
      <c r="AV397" s="380"/>
      <c r="AW397" s="380"/>
      <c r="AX397" s="380"/>
      <c r="AY397" s="403"/>
      <c r="AZ397" s="380"/>
      <c r="BA397" s="380"/>
      <c r="BB397" s="380"/>
      <c r="BC397" s="380"/>
      <c r="BD397" s="380"/>
      <c r="BE397" s="404"/>
      <c r="BF397" s="380"/>
      <c r="BG397" s="380"/>
      <c r="BH397" s="380"/>
      <c r="BI397" s="380"/>
      <c r="BJ397" s="380"/>
      <c r="BK397" s="380"/>
      <c r="BL397" s="380"/>
      <c r="BM397" s="403"/>
      <c r="BS397" s="83"/>
      <c r="CA397" s="405"/>
      <c r="CG397" s="83"/>
      <c r="CO397" s="405"/>
      <c r="CU397" s="83"/>
      <c r="DC397" s="405"/>
      <c r="DI397" s="83"/>
      <c r="DQ397" s="405"/>
      <c r="DW397" s="83"/>
      <c r="EE397" s="405"/>
      <c r="EK397" s="83"/>
      <c r="ES397" s="405"/>
      <c r="EY397" s="83"/>
      <c r="FG397" s="405"/>
      <c r="FM397" s="83"/>
      <c r="FU397" s="405"/>
      <c r="GA397" s="83"/>
      <c r="GI397" s="405"/>
      <c r="GO397" s="83"/>
      <c r="GW397" s="405"/>
      <c r="HC397" s="83"/>
      <c r="HK397" s="405"/>
      <c r="HQ397" s="83"/>
      <c r="HY397" s="405"/>
      <c r="IE397" s="83"/>
      <c r="IM397" s="405"/>
      <c r="IS397" s="83"/>
      <c r="JA397" s="405"/>
      <c r="JG397" s="83"/>
      <c r="JO397" s="405"/>
      <c r="JU397" s="83"/>
      <c r="KC397" s="405"/>
      <c r="KI397" s="83"/>
      <c r="KQ397" s="405"/>
      <c r="KW397" s="83"/>
      <c r="LE397" s="405"/>
      <c r="LK397" s="83"/>
      <c r="LS397" s="405"/>
      <c r="LY397" s="83"/>
      <c r="MG397" s="405"/>
      <c r="MM397" s="83"/>
      <c r="MU397" s="405"/>
      <c r="NA397" s="83"/>
    </row>
    <row r="398">
      <c r="A398" s="483"/>
      <c r="B398" s="380"/>
      <c r="C398" s="380"/>
      <c r="D398" s="380"/>
      <c r="E398" s="380"/>
      <c r="F398" s="380"/>
      <c r="G398" s="380"/>
      <c r="H398" s="380"/>
      <c r="I398" s="403"/>
      <c r="J398" s="380"/>
      <c r="K398" s="380"/>
      <c r="L398" s="380"/>
      <c r="M398" s="380"/>
      <c r="N398" s="380"/>
      <c r="O398" s="404"/>
      <c r="P398" s="380"/>
      <c r="Q398" s="380"/>
      <c r="R398" s="380"/>
      <c r="S398" s="380"/>
      <c r="T398" s="380"/>
      <c r="U398" s="380"/>
      <c r="V398" s="380"/>
      <c r="W398" s="403"/>
      <c r="X398" s="380"/>
      <c r="Y398" s="380"/>
      <c r="Z398" s="380"/>
      <c r="AA398" s="380"/>
      <c r="AB398" s="380"/>
      <c r="AC398" s="404"/>
      <c r="AD398" s="380"/>
      <c r="AE398" s="380"/>
      <c r="AF398" s="380"/>
      <c r="AG398" s="380"/>
      <c r="AH398" s="380"/>
      <c r="AI398" s="380"/>
      <c r="AJ398" s="380"/>
      <c r="AK398" s="403"/>
      <c r="AL398" s="380"/>
      <c r="AM398" s="380"/>
      <c r="AN398" s="380"/>
      <c r="AO398" s="380"/>
      <c r="AP398" s="380"/>
      <c r="AQ398" s="404"/>
      <c r="AR398" s="380"/>
      <c r="AS398" s="380"/>
      <c r="AT398" s="380"/>
      <c r="AU398" s="380"/>
      <c r="AV398" s="380"/>
      <c r="AW398" s="380"/>
      <c r="AX398" s="380"/>
      <c r="AY398" s="403"/>
      <c r="AZ398" s="380"/>
      <c r="BA398" s="380"/>
      <c r="BB398" s="380"/>
      <c r="BC398" s="380"/>
      <c r="BD398" s="380"/>
      <c r="BE398" s="404"/>
      <c r="BF398" s="380"/>
      <c r="BG398" s="380"/>
      <c r="BH398" s="380"/>
      <c r="BI398" s="380"/>
      <c r="BJ398" s="380"/>
      <c r="BK398" s="380"/>
      <c r="BL398" s="380"/>
      <c r="BM398" s="403"/>
      <c r="BS398" s="83"/>
      <c r="CA398" s="405"/>
      <c r="CG398" s="83"/>
      <c r="CO398" s="405"/>
      <c r="CU398" s="83"/>
      <c r="DC398" s="405"/>
      <c r="DI398" s="83"/>
      <c r="DQ398" s="405"/>
      <c r="DW398" s="83"/>
      <c r="EE398" s="405"/>
      <c r="EK398" s="83"/>
      <c r="ES398" s="405"/>
      <c r="EY398" s="83"/>
      <c r="FG398" s="405"/>
      <c r="FM398" s="83"/>
      <c r="FU398" s="405"/>
      <c r="GA398" s="83"/>
      <c r="GI398" s="405"/>
      <c r="GO398" s="83"/>
      <c r="GW398" s="405"/>
      <c r="HC398" s="83"/>
      <c r="HK398" s="405"/>
      <c r="HQ398" s="83"/>
      <c r="HY398" s="405"/>
      <c r="IE398" s="83"/>
      <c r="IM398" s="405"/>
      <c r="IS398" s="83"/>
      <c r="JA398" s="405"/>
      <c r="JG398" s="83"/>
      <c r="JO398" s="405"/>
      <c r="JU398" s="83"/>
      <c r="KC398" s="405"/>
      <c r="KI398" s="83"/>
      <c r="KQ398" s="405"/>
      <c r="KW398" s="83"/>
      <c r="LE398" s="405"/>
      <c r="LK398" s="83"/>
      <c r="LS398" s="405"/>
      <c r="LY398" s="83"/>
      <c r="MG398" s="405"/>
      <c r="MM398" s="83"/>
      <c r="MU398" s="405"/>
      <c r="NA398" s="83"/>
    </row>
    <row r="399">
      <c r="A399" s="483"/>
      <c r="B399" s="380"/>
      <c r="C399" s="380"/>
      <c r="D399" s="380"/>
      <c r="E399" s="380"/>
      <c r="F399" s="380"/>
      <c r="G399" s="380"/>
      <c r="H399" s="380"/>
      <c r="I399" s="403"/>
      <c r="J399" s="380"/>
      <c r="K399" s="380"/>
      <c r="L399" s="380"/>
      <c r="M399" s="380"/>
      <c r="N399" s="380"/>
      <c r="O399" s="404"/>
      <c r="P399" s="380"/>
      <c r="Q399" s="380"/>
      <c r="R399" s="380"/>
      <c r="S399" s="380"/>
      <c r="T399" s="380"/>
      <c r="U399" s="380"/>
      <c r="V399" s="380"/>
      <c r="W399" s="403"/>
      <c r="X399" s="380"/>
      <c r="Y399" s="380"/>
      <c r="Z399" s="380"/>
      <c r="AA399" s="380"/>
      <c r="AB399" s="380"/>
      <c r="AC399" s="404"/>
      <c r="AD399" s="380"/>
      <c r="AE399" s="380"/>
      <c r="AF399" s="380"/>
      <c r="AG399" s="380"/>
      <c r="AH399" s="380"/>
      <c r="AI399" s="380"/>
      <c r="AJ399" s="380"/>
      <c r="AK399" s="403"/>
      <c r="AL399" s="380"/>
      <c r="AM399" s="380"/>
      <c r="AN399" s="380"/>
      <c r="AO399" s="380"/>
      <c r="AP399" s="380"/>
      <c r="AQ399" s="404"/>
      <c r="AR399" s="380"/>
      <c r="AS399" s="380"/>
      <c r="AT399" s="380"/>
      <c r="AU399" s="380"/>
      <c r="AV399" s="380"/>
      <c r="AW399" s="380"/>
      <c r="AX399" s="380"/>
      <c r="AY399" s="403"/>
      <c r="AZ399" s="380"/>
      <c r="BA399" s="380"/>
      <c r="BB399" s="380"/>
      <c r="BC399" s="380"/>
      <c r="BD399" s="380"/>
      <c r="BE399" s="404"/>
      <c r="BF399" s="380"/>
      <c r="BG399" s="380"/>
      <c r="BH399" s="380"/>
      <c r="BI399" s="380"/>
      <c r="BJ399" s="380"/>
      <c r="BK399" s="380"/>
      <c r="BL399" s="380"/>
      <c r="BM399" s="403"/>
      <c r="BS399" s="83"/>
      <c r="CA399" s="405"/>
      <c r="CG399" s="83"/>
      <c r="CO399" s="405"/>
      <c r="CU399" s="83"/>
      <c r="DC399" s="405"/>
      <c r="DI399" s="83"/>
      <c r="DQ399" s="405"/>
      <c r="DW399" s="83"/>
      <c r="EE399" s="405"/>
      <c r="EK399" s="83"/>
      <c r="ES399" s="405"/>
      <c r="EY399" s="83"/>
      <c r="FG399" s="405"/>
      <c r="FM399" s="83"/>
      <c r="FU399" s="405"/>
      <c r="GA399" s="83"/>
      <c r="GI399" s="405"/>
      <c r="GO399" s="83"/>
      <c r="GW399" s="405"/>
      <c r="HC399" s="83"/>
      <c r="HK399" s="405"/>
      <c r="HQ399" s="83"/>
      <c r="HY399" s="405"/>
      <c r="IE399" s="83"/>
      <c r="IM399" s="405"/>
      <c r="IS399" s="83"/>
      <c r="JA399" s="405"/>
      <c r="JG399" s="83"/>
      <c r="JO399" s="405"/>
      <c r="JU399" s="83"/>
      <c r="KC399" s="405"/>
      <c r="KI399" s="83"/>
      <c r="KQ399" s="405"/>
      <c r="KW399" s="83"/>
      <c r="LE399" s="405"/>
      <c r="LK399" s="83"/>
      <c r="LS399" s="405"/>
      <c r="LY399" s="83"/>
      <c r="MG399" s="405"/>
      <c r="MM399" s="83"/>
      <c r="MU399" s="405"/>
      <c r="NA399" s="83"/>
    </row>
    <row r="400">
      <c r="A400" s="483"/>
      <c r="B400" s="380"/>
      <c r="C400" s="380"/>
      <c r="D400" s="380"/>
      <c r="E400" s="380"/>
      <c r="F400" s="380"/>
      <c r="G400" s="380"/>
      <c r="H400" s="380"/>
      <c r="I400" s="403"/>
      <c r="J400" s="380"/>
      <c r="K400" s="380"/>
      <c r="L400" s="380"/>
      <c r="M400" s="380"/>
      <c r="N400" s="380"/>
      <c r="O400" s="404"/>
      <c r="P400" s="380"/>
      <c r="Q400" s="380"/>
      <c r="R400" s="380"/>
      <c r="S400" s="380"/>
      <c r="T400" s="380"/>
      <c r="U400" s="380"/>
      <c r="V400" s="380"/>
      <c r="W400" s="403"/>
      <c r="X400" s="380"/>
      <c r="Y400" s="380"/>
      <c r="Z400" s="380"/>
      <c r="AA400" s="380"/>
      <c r="AB400" s="380"/>
      <c r="AC400" s="404"/>
      <c r="AD400" s="380"/>
      <c r="AE400" s="380"/>
      <c r="AF400" s="380"/>
      <c r="AG400" s="380"/>
      <c r="AH400" s="380"/>
      <c r="AI400" s="380"/>
      <c r="AJ400" s="380"/>
      <c r="AK400" s="403"/>
      <c r="AL400" s="380"/>
      <c r="AM400" s="380"/>
      <c r="AN400" s="380"/>
      <c r="AO400" s="380"/>
      <c r="AP400" s="380"/>
      <c r="AQ400" s="404"/>
      <c r="AR400" s="380"/>
      <c r="AS400" s="380"/>
      <c r="AT400" s="380"/>
      <c r="AU400" s="380"/>
      <c r="AV400" s="380"/>
      <c r="AW400" s="380"/>
      <c r="AX400" s="380"/>
      <c r="AY400" s="403"/>
      <c r="AZ400" s="380"/>
      <c r="BA400" s="380"/>
      <c r="BB400" s="380"/>
      <c r="BC400" s="380"/>
      <c r="BD400" s="380"/>
      <c r="BE400" s="404"/>
      <c r="BF400" s="380"/>
      <c r="BG400" s="380"/>
      <c r="BH400" s="380"/>
      <c r="BI400" s="380"/>
      <c r="BJ400" s="380"/>
      <c r="BK400" s="380"/>
      <c r="BL400" s="380"/>
      <c r="BM400" s="403"/>
      <c r="BS400" s="83"/>
      <c r="CA400" s="405"/>
      <c r="CG400" s="83"/>
      <c r="CO400" s="405"/>
      <c r="CU400" s="83"/>
      <c r="DC400" s="405"/>
      <c r="DI400" s="83"/>
      <c r="DQ400" s="405"/>
      <c r="DW400" s="83"/>
      <c r="EE400" s="405"/>
      <c r="EK400" s="83"/>
      <c r="ES400" s="405"/>
      <c r="EY400" s="83"/>
      <c r="FG400" s="405"/>
      <c r="FM400" s="83"/>
      <c r="FU400" s="405"/>
      <c r="GA400" s="83"/>
      <c r="GI400" s="405"/>
      <c r="GO400" s="83"/>
      <c r="GW400" s="405"/>
      <c r="HC400" s="83"/>
      <c r="HK400" s="405"/>
      <c r="HQ400" s="83"/>
      <c r="HY400" s="405"/>
      <c r="IE400" s="83"/>
      <c r="IM400" s="405"/>
      <c r="IS400" s="83"/>
      <c r="JA400" s="405"/>
      <c r="JG400" s="83"/>
      <c r="JO400" s="405"/>
      <c r="JU400" s="83"/>
      <c r="KC400" s="405"/>
      <c r="KI400" s="83"/>
      <c r="KQ400" s="405"/>
      <c r="KW400" s="83"/>
      <c r="LE400" s="405"/>
      <c r="LK400" s="83"/>
      <c r="LS400" s="405"/>
      <c r="LY400" s="83"/>
      <c r="MG400" s="405"/>
      <c r="MM400" s="83"/>
      <c r="MU400" s="405"/>
      <c r="NA400" s="83"/>
    </row>
    <row r="401">
      <c r="A401" s="483"/>
      <c r="B401" s="380"/>
      <c r="C401" s="380"/>
      <c r="D401" s="380"/>
      <c r="E401" s="380"/>
      <c r="F401" s="380"/>
      <c r="G401" s="380"/>
      <c r="H401" s="380"/>
      <c r="I401" s="403"/>
      <c r="J401" s="380"/>
      <c r="K401" s="380"/>
      <c r="L401" s="380"/>
      <c r="M401" s="380"/>
      <c r="N401" s="380"/>
      <c r="O401" s="404"/>
      <c r="P401" s="380"/>
      <c r="Q401" s="380"/>
      <c r="R401" s="380"/>
      <c r="S401" s="380"/>
      <c r="T401" s="380"/>
      <c r="U401" s="380"/>
      <c r="V401" s="380"/>
      <c r="W401" s="403"/>
      <c r="X401" s="380"/>
      <c r="Y401" s="380"/>
      <c r="Z401" s="380"/>
      <c r="AA401" s="380"/>
      <c r="AB401" s="380"/>
      <c r="AC401" s="404"/>
      <c r="AD401" s="380"/>
      <c r="AE401" s="380"/>
      <c r="AF401" s="380"/>
      <c r="AG401" s="380"/>
      <c r="AH401" s="380"/>
      <c r="AI401" s="380"/>
      <c r="AJ401" s="380"/>
      <c r="AK401" s="403"/>
      <c r="AL401" s="380"/>
      <c r="AM401" s="380"/>
      <c r="AN401" s="380"/>
      <c r="AO401" s="380"/>
      <c r="AP401" s="380"/>
      <c r="AQ401" s="404"/>
      <c r="AR401" s="380"/>
      <c r="AS401" s="380"/>
      <c r="AT401" s="380"/>
      <c r="AU401" s="380"/>
      <c r="AV401" s="380"/>
      <c r="AW401" s="380"/>
      <c r="AX401" s="380"/>
      <c r="AY401" s="403"/>
      <c r="AZ401" s="380"/>
      <c r="BA401" s="380"/>
      <c r="BB401" s="380"/>
      <c r="BC401" s="380"/>
      <c r="BD401" s="380"/>
      <c r="BE401" s="404"/>
      <c r="BF401" s="380"/>
      <c r="BG401" s="380"/>
      <c r="BH401" s="380"/>
      <c r="BI401" s="380"/>
      <c r="BJ401" s="380"/>
      <c r="BK401" s="380"/>
      <c r="BL401" s="380"/>
      <c r="BM401" s="403"/>
      <c r="BS401" s="83"/>
      <c r="CA401" s="405"/>
      <c r="CG401" s="83"/>
      <c r="CO401" s="405"/>
      <c r="CU401" s="83"/>
      <c r="DC401" s="405"/>
      <c r="DI401" s="83"/>
      <c r="DQ401" s="405"/>
      <c r="DW401" s="83"/>
      <c r="EE401" s="405"/>
      <c r="EK401" s="83"/>
      <c r="ES401" s="405"/>
      <c r="EY401" s="83"/>
      <c r="FG401" s="405"/>
      <c r="FM401" s="83"/>
      <c r="FU401" s="405"/>
      <c r="GA401" s="83"/>
      <c r="GI401" s="405"/>
      <c r="GO401" s="83"/>
      <c r="GW401" s="405"/>
      <c r="HC401" s="83"/>
      <c r="HK401" s="405"/>
      <c r="HQ401" s="83"/>
      <c r="HY401" s="405"/>
      <c r="IE401" s="83"/>
      <c r="IM401" s="405"/>
      <c r="IS401" s="83"/>
      <c r="JA401" s="405"/>
      <c r="JG401" s="83"/>
      <c r="JO401" s="405"/>
      <c r="JU401" s="83"/>
      <c r="KC401" s="405"/>
      <c r="KI401" s="83"/>
      <c r="KQ401" s="405"/>
      <c r="KW401" s="83"/>
      <c r="LE401" s="405"/>
      <c r="LK401" s="83"/>
      <c r="LS401" s="405"/>
      <c r="LY401" s="83"/>
      <c r="MG401" s="405"/>
      <c r="MM401" s="83"/>
      <c r="MU401" s="405"/>
      <c r="NA401" s="83"/>
    </row>
    <row r="402">
      <c r="A402" s="483"/>
      <c r="B402" s="380"/>
      <c r="C402" s="380"/>
      <c r="D402" s="380"/>
      <c r="E402" s="380"/>
      <c r="F402" s="380"/>
      <c r="G402" s="380"/>
      <c r="H402" s="380"/>
      <c r="I402" s="403"/>
      <c r="J402" s="380"/>
      <c r="K402" s="380"/>
      <c r="L402" s="380"/>
      <c r="M402" s="380"/>
      <c r="N402" s="380"/>
      <c r="O402" s="404"/>
      <c r="P402" s="380"/>
      <c r="Q402" s="380"/>
      <c r="R402" s="380"/>
      <c r="S402" s="380"/>
      <c r="T402" s="380"/>
      <c r="U402" s="380"/>
      <c r="V402" s="380"/>
      <c r="W402" s="403"/>
      <c r="X402" s="380"/>
      <c r="Y402" s="380"/>
      <c r="Z402" s="380"/>
      <c r="AA402" s="380"/>
      <c r="AB402" s="380"/>
      <c r="AC402" s="404"/>
      <c r="AD402" s="380"/>
      <c r="AE402" s="380"/>
      <c r="AF402" s="380"/>
      <c r="AG402" s="380"/>
      <c r="AH402" s="380"/>
      <c r="AI402" s="380"/>
      <c r="AJ402" s="380"/>
      <c r="AK402" s="403"/>
      <c r="AL402" s="380"/>
      <c r="AM402" s="380"/>
      <c r="AN402" s="380"/>
      <c r="AO402" s="380"/>
      <c r="AP402" s="380"/>
      <c r="AQ402" s="404"/>
      <c r="AR402" s="380"/>
      <c r="AS402" s="380"/>
      <c r="AT402" s="380"/>
      <c r="AU402" s="380"/>
      <c r="AV402" s="380"/>
      <c r="AW402" s="380"/>
      <c r="AX402" s="380"/>
      <c r="AY402" s="403"/>
      <c r="AZ402" s="380"/>
      <c r="BA402" s="380"/>
      <c r="BB402" s="380"/>
      <c r="BC402" s="380"/>
      <c r="BD402" s="380"/>
      <c r="BE402" s="404"/>
      <c r="BF402" s="380"/>
      <c r="BG402" s="380"/>
      <c r="BH402" s="380"/>
      <c r="BI402" s="380"/>
      <c r="BJ402" s="380"/>
      <c r="BK402" s="380"/>
      <c r="BL402" s="380"/>
      <c r="BM402" s="403"/>
      <c r="BS402" s="83"/>
      <c r="CA402" s="405"/>
      <c r="CG402" s="83"/>
      <c r="CO402" s="405"/>
      <c r="CU402" s="83"/>
      <c r="DC402" s="405"/>
      <c r="DI402" s="83"/>
      <c r="DQ402" s="405"/>
      <c r="DW402" s="83"/>
      <c r="EE402" s="405"/>
      <c r="EK402" s="83"/>
      <c r="ES402" s="405"/>
      <c r="EY402" s="83"/>
      <c r="FG402" s="405"/>
      <c r="FM402" s="83"/>
      <c r="FU402" s="405"/>
      <c r="GA402" s="83"/>
      <c r="GI402" s="405"/>
      <c r="GO402" s="83"/>
      <c r="GW402" s="405"/>
      <c r="HC402" s="83"/>
      <c r="HK402" s="405"/>
      <c r="HQ402" s="83"/>
      <c r="HY402" s="405"/>
      <c r="IE402" s="83"/>
      <c r="IM402" s="405"/>
      <c r="IS402" s="83"/>
      <c r="JA402" s="405"/>
      <c r="JG402" s="83"/>
      <c r="JO402" s="405"/>
      <c r="JU402" s="83"/>
      <c r="KC402" s="405"/>
      <c r="KI402" s="83"/>
      <c r="KQ402" s="405"/>
      <c r="KW402" s="83"/>
      <c r="LE402" s="405"/>
      <c r="LK402" s="83"/>
      <c r="LS402" s="405"/>
      <c r="LY402" s="83"/>
      <c r="MG402" s="405"/>
      <c r="MM402" s="83"/>
      <c r="MU402" s="405"/>
      <c r="NA402" s="83"/>
    </row>
    <row r="403">
      <c r="A403" s="483"/>
      <c r="B403" s="380"/>
      <c r="C403" s="380"/>
      <c r="D403" s="380"/>
      <c r="E403" s="380"/>
      <c r="F403" s="380"/>
      <c r="G403" s="380"/>
      <c r="H403" s="380"/>
      <c r="I403" s="403"/>
      <c r="J403" s="380"/>
      <c r="K403" s="380"/>
      <c r="L403" s="380"/>
      <c r="M403" s="380"/>
      <c r="N403" s="380"/>
      <c r="O403" s="404"/>
      <c r="P403" s="380"/>
      <c r="Q403" s="380"/>
      <c r="R403" s="380"/>
      <c r="S403" s="380"/>
      <c r="T403" s="380"/>
      <c r="U403" s="380"/>
      <c r="V403" s="380"/>
      <c r="W403" s="403"/>
      <c r="X403" s="380"/>
      <c r="Y403" s="380"/>
      <c r="Z403" s="380"/>
      <c r="AA403" s="380"/>
      <c r="AB403" s="380"/>
      <c r="AC403" s="404"/>
      <c r="AD403" s="380"/>
      <c r="AE403" s="380"/>
      <c r="AF403" s="380"/>
      <c r="AG403" s="380"/>
      <c r="AH403" s="380"/>
      <c r="AI403" s="380"/>
      <c r="AJ403" s="380"/>
      <c r="AK403" s="403"/>
      <c r="AL403" s="380"/>
      <c r="AM403" s="380"/>
      <c r="AN403" s="380"/>
      <c r="AO403" s="380"/>
      <c r="AP403" s="380"/>
      <c r="AQ403" s="404"/>
      <c r="AR403" s="380"/>
      <c r="AS403" s="380"/>
      <c r="AT403" s="380"/>
      <c r="AU403" s="380"/>
      <c r="AV403" s="380"/>
      <c r="AW403" s="380"/>
      <c r="AX403" s="380"/>
      <c r="AY403" s="403"/>
      <c r="AZ403" s="380"/>
      <c r="BA403" s="380"/>
      <c r="BB403" s="380"/>
      <c r="BC403" s="380"/>
      <c r="BD403" s="380"/>
      <c r="BE403" s="404"/>
      <c r="BF403" s="380"/>
      <c r="BG403" s="380"/>
      <c r="BH403" s="380"/>
      <c r="BI403" s="380"/>
      <c r="BJ403" s="380"/>
      <c r="BK403" s="380"/>
      <c r="BL403" s="380"/>
      <c r="BM403" s="403"/>
      <c r="BS403" s="83"/>
      <c r="CA403" s="405"/>
      <c r="CG403" s="83"/>
      <c r="CO403" s="405"/>
      <c r="CU403" s="83"/>
      <c r="DC403" s="405"/>
      <c r="DI403" s="83"/>
      <c r="DQ403" s="405"/>
      <c r="DW403" s="83"/>
      <c r="EE403" s="405"/>
      <c r="EK403" s="83"/>
      <c r="ES403" s="405"/>
      <c r="EY403" s="83"/>
      <c r="FG403" s="405"/>
      <c r="FM403" s="83"/>
      <c r="FU403" s="405"/>
      <c r="GA403" s="83"/>
      <c r="GI403" s="405"/>
      <c r="GO403" s="83"/>
      <c r="GW403" s="405"/>
      <c r="HC403" s="83"/>
      <c r="HK403" s="405"/>
      <c r="HQ403" s="83"/>
      <c r="HY403" s="405"/>
      <c r="IE403" s="83"/>
      <c r="IM403" s="405"/>
      <c r="IS403" s="83"/>
      <c r="JA403" s="405"/>
      <c r="JG403" s="83"/>
      <c r="JO403" s="405"/>
      <c r="JU403" s="83"/>
      <c r="KC403" s="405"/>
      <c r="KI403" s="83"/>
      <c r="KQ403" s="405"/>
      <c r="KW403" s="83"/>
      <c r="LE403" s="405"/>
      <c r="LK403" s="83"/>
      <c r="LS403" s="405"/>
      <c r="LY403" s="83"/>
      <c r="MG403" s="405"/>
      <c r="MM403" s="83"/>
      <c r="MU403" s="405"/>
      <c r="NA403" s="83"/>
    </row>
    <row r="404">
      <c r="A404" s="483"/>
      <c r="B404" s="380"/>
      <c r="C404" s="380"/>
      <c r="D404" s="380"/>
      <c r="E404" s="380"/>
      <c r="F404" s="380"/>
      <c r="G404" s="380"/>
      <c r="H404" s="380"/>
      <c r="I404" s="403"/>
      <c r="J404" s="380"/>
      <c r="K404" s="380"/>
      <c r="L404" s="380"/>
      <c r="M404" s="380"/>
      <c r="N404" s="380"/>
      <c r="O404" s="404"/>
      <c r="P404" s="380"/>
      <c r="Q404" s="380"/>
      <c r="R404" s="380"/>
      <c r="S404" s="380"/>
      <c r="T404" s="380"/>
      <c r="U404" s="380"/>
      <c r="V404" s="380"/>
      <c r="W404" s="403"/>
      <c r="X404" s="380"/>
      <c r="Y404" s="380"/>
      <c r="Z404" s="380"/>
      <c r="AA404" s="380"/>
      <c r="AB404" s="380"/>
      <c r="AC404" s="404"/>
      <c r="AD404" s="380"/>
      <c r="AE404" s="380"/>
      <c r="AF404" s="380"/>
      <c r="AG404" s="380"/>
      <c r="AH404" s="380"/>
      <c r="AI404" s="380"/>
      <c r="AJ404" s="380"/>
      <c r="AK404" s="403"/>
      <c r="AL404" s="380"/>
      <c r="AM404" s="380"/>
      <c r="AN404" s="380"/>
      <c r="AO404" s="380"/>
      <c r="AP404" s="380"/>
      <c r="AQ404" s="404"/>
      <c r="AR404" s="380"/>
      <c r="AS404" s="380"/>
      <c r="AT404" s="380"/>
      <c r="AU404" s="380"/>
      <c r="AV404" s="380"/>
      <c r="AW404" s="380"/>
      <c r="AX404" s="380"/>
      <c r="AY404" s="403"/>
      <c r="AZ404" s="380"/>
      <c r="BA404" s="380"/>
      <c r="BB404" s="380"/>
      <c r="BC404" s="380"/>
      <c r="BD404" s="380"/>
      <c r="BE404" s="404"/>
      <c r="BF404" s="380"/>
      <c r="BG404" s="380"/>
      <c r="BH404" s="380"/>
      <c r="BI404" s="380"/>
      <c r="BJ404" s="380"/>
      <c r="BK404" s="380"/>
      <c r="BL404" s="380"/>
      <c r="BM404" s="403"/>
      <c r="BS404" s="83"/>
      <c r="CA404" s="405"/>
      <c r="CG404" s="83"/>
      <c r="CO404" s="405"/>
      <c r="CU404" s="83"/>
      <c r="DC404" s="405"/>
      <c r="DI404" s="83"/>
      <c r="DQ404" s="405"/>
      <c r="DW404" s="83"/>
      <c r="EE404" s="405"/>
      <c r="EK404" s="83"/>
      <c r="ES404" s="405"/>
      <c r="EY404" s="83"/>
      <c r="FG404" s="405"/>
      <c r="FM404" s="83"/>
      <c r="FU404" s="405"/>
      <c r="GA404" s="83"/>
      <c r="GI404" s="405"/>
      <c r="GO404" s="83"/>
      <c r="GW404" s="405"/>
      <c r="HC404" s="83"/>
      <c r="HK404" s="405"/>
      <c r="HQ404" s="83"/>
      <c r="HY404" s="405"/>
      <c r="IE404" s="83"/>
      <c r="IM404" s="405"/>
      <c r="IS404" s="83"/>
      <c r="JA404" s="405"/>
      <c r="JG404" s="83"/>
      <c r="JO404" s="405"/>
      <c r="JU404" s="83"/>
      <c r="KC404" s="405"/>
      <c r="KI404" s="83"/>
      <c r="KQ404" s="405"/>
      <c r="KW404" s="83"/>
      <c r="LE404" s="405"/>
      <c r="LK404" s="83"/>
      <c r="LS404" s="405"/>
      <c r="LY404" s="83"/>
      <c r="MG404" s="405"/>
      <c r="MM404" s="83"/>
      <c r="MU404" s="405"/>
      <c r="NA404" s="83"/>
    </row>
    <row r="405">
      <c r="A405" s="483"/>
      <c r="B405" s="380"/>
      <c r="C405" s="380"/>
      <c r="D405" s="380"/>
      <c r="E405" s="380"/>
      <c r="F405" s="380"/>
      <c r="G405" s="380"/>
      <c r="H405" s="380"/>
      <c r="I405" s="403"/>
      <c r="J405" s="380"/>
      <c r="K405" s="380"/>
      <c r="L405" s="380"/>
      <c r="M405" s="380"/>
      <c r="N405" s="380"/>
      <c r="O405" s="404"/>
      <c r="P405" s="380"/>
      <c r="Q405" s="380"/>
      <c r="R405" s="380"/>
      <c r="S405" s="380"/>
      <c r="T405" s="380"/>
      <c r="U405" s="380"/>
      <c r="V405" s="380"/>
      <c r="W405" s="403"/>
      <c r="X405" s="380"/>
      <c r="Y405" s="380"/>
      <c r="Z405" s="380"/>
      <c r="AA405" s="380"/>
      <c r="AB405" s="380"/>
      <c r="AC405" s="404"/>
      <c r="AD405" s="380"/>
      <c r="AE405" s="380"/>
      <c r="AF405" s="380"/>
      <c r="AG405" s="380"/>
      <c r="AH405" s="380"/>
      <c r="AI405" s="380"/>
      <c r="AJ405" s="380"/>
      <c r="AK405" s="403"/>
      <c r="AL405" s="380"/>
      <c r="AM405" s="380"/>
      <c r="AN405" s="380"/>
      <c r="AO405" s="380"/>
      <c r="AP405" s="380"/>
      <c r="AQ405" s="404"/>
      <c r="AR405" s="380"/>
      <c r="AS405" s="380"/>
      <c r="AT405" s="380"/>
      <c r="AU405" s="380"/>
      <c r="AV405" s="380"/>
      <c r="AW405" s="380"/>
      <c r="AX405" s="380"/>
      <c r="AY405" s="403"/>
      <c r="AZ405" s="380"/>
      <c r="BA405" s="380"/>
      <c r="BB405" s="380"/>
      <c r="BC405" s="380"/>
      <c r="BD405" s="380"/>
      <c r="BE405" s="404"/>
      <c r="BF405" s="380"/>
      <c r="BG405" s="380"/>
      <c r="BH405" s="380"/>
      <c r="BI405" s="380"/>
      <c r="BJ405" s="380"/>
      <c r="BK405" s="380"/>
      <c r="BL405" s="380"/>
      <c r="BM405" s="403"/>
      <c r="BS405" s="83"/>
      <c r="CA405" s="405"/>
      <c r="CG405" s="83"/>
      <c r="CO405" s="405"/>
      <c r="CU405" s="83"/>
      <c r="DC405" s="405"/>
      <c r="DI405" s="83"/>
      <c r="DQ405" s="405"/>
      <c r="DW405" s="83"/>
      <c r="EE405" s="405"/>
      <c r="EK405" s="83"/>
      <c r="ES405" s="405"/>
      <c r="EY405" s="83"/>
      <c r="FG405" s="405"/>
      <c r="FM405" s="83"/>
      <c r="FU405" s="405"/>
      <c r="GA405" s="83"/>
      <c r="GI405" s="405"/>
      <c r="GO405" s="83"/>
      <c r="GW405" s="405"/>
      <c r="HC405" s="83"/>
      <c r="HK405" s="405"/>
      <c r="HQ405" s="83"/>
      <c r="HY405" s="405"/>
      <c r="IE405" s="83"/>
      <c r="IM405" s="405"/>
      <c r="IS405" s="83"/>
      <c r="JA405" s="405"/>
      <c r="JG405" s="83"/>
      <c r="JO405" s="405"/>
      <c r="JU405" s="83"/>
      <c r="KC405" s="405"/>
      <c r="KI405" s="83"/>
      <c r="KQ405" s="405"/>
      <c r="KW405" s="83"/>
      <c r="LE405" s="405"/>
      <c r="LK405" s="83"/>
      <c r="LS405" s="405"/>
      <c r="LY405" s="83"/>
      <c r="MG405" s="405"/>
      <c r="MM405" s="83"/>
      <c r="MU405" s="405"/>
      <c r="NA405" s="83"/>
    </row>
    <row r="406">
      <c r="A406" s="483"/>
      <c r="B406" s="380"/>
      <c r="C406" s="380"/>
      <c r="D406" s="380"/>
      <c r="E406" s="380"/>
      <c r="F406" s="380"/>
      <c r="G406" s="380"/>
      <c r="H406" s="380"/>
      <c r="I406" s="403"/>
      <c r="J406" s="380"/>
      <c r="K406" s="380"/>
      <c r="L406" s="380"/>
      <c r="M406" s="380"/>
      <c r="N406" s="380"/>
      <c r="O406" s="404"/>
      <c r="P406" s="380"/>
      <c r="Q406" s="380"/>
      <c r="R406" s="380"/>
      <c r="S406" s="380"/>
      <c r="T406" s="380"/>
      <c r="U406" s="380"/>
      <c r="V406" s="380"/>
      <c r="W406" s="403"/>
      <c r="X406" s="380"/>
      <c r="Y406" s="380"/>
      <c r="Z406" s="380"/>
      <c r="AA406" s="380"/>
      <c r="AB406" s="380"/>
      <c r="AC406" s="404"/>
      <c r="AD406" s="380"/>
      <c r="AE406" s="380"/>
      <c r="AF406" s="380"/>
      <c r="AG406" s="380"/>
      <c r="AH406" s="380"/>
      <c r="AI406" s="380"/>
      <c r="AJ406" s="380"/>
      <c r="AK406" s="403"/>
      <c r="AL406" s="380"/>
      <c r="AM406" s="380"/>
      <c r="AN406" s="380"/>
      <c r="AO406" s="380"/>
      <c r="AP406" s="380"/>
      <c r="AQ406" s="404"/>
      <c r="AR406" s="380"/>
      <c r="AS406" s="380"/>
      <c r="AT406" s="380"/>
      <c r="AU406" s="380"/>
      <c r="AV406" s="380"/>
      <c r="AW406" s="380"/>
      <c r="AX406" s="380"/>
      <c r="AY406" s="403"/>
      <c r="AZ406" s="380"/>
      <c r="BA406" s="380"/>
      <c r="BB406" s="380"/>
      <c r="BC406" s="380"/>
      <c r="BD406" s="380"/>
      <c r="BE406" s="404"/>
      <c r="BF406" s="380"/>
      <c r="BG406" s="380"/>
      <c r="BH406" s="380"/>
      <c r="BI406" s="380"/>
      <c r="BJ406" s="380"/>
      <c r="BK406" s="380"/>
      <c r="BL406" s="380"/>
      <c r="BM406" s="403"/>
      <c r="BS406" s="83"/>
      <c r="CA406" s="405"/>
      <c r="CG406" s="83"/>
      <c r="CO406" s="405"/>
      <c r="CU406" s="83"/>
      <c r="DC406" s="405"/>
      <c r="DI406" s="83"/>
      <c r="DQ406" s="405"/>
      <c r="DW406" s="83"/>
      <c r="EE406" s="405"/>
      <c r="EK406" s="83"/>
      <c r="ES406" s="405"/>
      <c r="EY406" s="83"/>
      <c r="FG406" s="405"/>
      <c r="FM406" s="83"/>
      <c r="FU406" s="405"/>
      <c r="GA406" s="83"/>
      <c r="GI406" s="405"/>
      <c r="GO406" s="83"/>
      <c r="GW406" s="405"/>
      <c r="HC406" s="83"/>
      <c r="HK406" s="405"/>
      <c r="HQ406" s="83"/>
      <c r="HY406" s="405"/>
      <c r="IE406" s="83"/>
      <c r="IM406" s="405"/>
      <c r="IS406" s="83"/>
      <c r="JA406" s="405"/>
      <c r="JG406" s="83"/>
      <c r="JO406" s="405"/>
      <c r="JU406" s="83"/>
      <c r="KC406" s="405"/>
      <c r="KI406" s="83"/>
      <c r="KQ406" s="405"/>
      <c r="KW406" s="83"/>
      <c r="LE406" s="405"/>
      <c r="LK406" s="83"/>
      <c r="LS406" s="405"/>
      <c r="LY406" s="83"/>
      <c r="MG406" s="405"/>
      <c r="MM406" s="83"/>
      <c r="MU406" s="405"/>
      <c r="NA406" s="83"/>
    </row>
    <row r="407">
      <c r="A407" s="483"/>
      <c r="B407" s="380"/>
      <c r="C407" s="380"/>
      <c r="D407" s="380"/>
      <c r="E407" s="380"/>
      <c r="F407" s="380"/>
      <c r="G407" s="380"/>
      <c r="H407" s="380"/>
      <c r="I407" s="403"/>
      <c r="J407" s="380"/>
      <c r="K407" s="380"/>
      <c r="L407" s="380"/>
      <c r="M407" s="380"/>
      <c r="N407" s="380"/>
      <c r="O407" s="404"/>
      <c r="P407" s="380"/>
      <c r="Q407" s="380"/>
      <c r="R407" s="380"/>
      <c r="S407" s="380"/>
      <c r="T407" s="380"/>
      <c r="U407" s="380"/>
      <c r="V407" s="380"/>
      <c r="W407" s="403"/>
      <c r="X407" s="380"/>
      <c r="Y407" s="380"/>
      <c r="Z407" s="380"/>
      <c r="AA407" s="380"/>
      <c r="AB407" s="380"/>
      <c r="AC407" s="404"/>
      <c r="AD407" s="380"/>
      <c r="AE407" s="380"/>
      <c r="AF407" s="380"/>
      <c r="AG407" s="380"/>
      <c r="AH407" s="380"/>
      <c r="AI407" s="380"/>
      <c r="AJ407" s="380"/>
      <c r="AK407" s="403"/>
      <c r="AL407" s="380"/>
      <c r="AM407" s="380"/>
      <c r="AN407" s="380"/>
      <c r="AO407" s="380"/>
      <c r="AP407" s="380"/>
      <c r="AQ407" s="404"/>
      <c r="AR407" s="380"/>
      <c r="AS407" s="380"/>
      <c r="AT407" s="380"/>
      <c r="AU407" s="380"/>
      <c r="AV407" s="380"/>
      <c r="AW407" s="380"/>
      <c r="AX407" s="380"/>
      <c r="AY407" s="403"/>
      <c r="AZ407" s="380"/>
      <c r="BA407" s="380"/>
      <c r="BB407" s="380"/>
      <c r="BC407" s="380"/>
      <c r="BD407" s="380"/>
      <c r="BE407" s="404"/>
      <c r="BF407" s="380"/>
      <c r="BG407" s="380"/>
      <c r="BH407" s="380"/>
      <c r="BI407" s="380"/>
      <c r="BJ407" s="380"/>
      <c r="BK407" s="380"/>
      <c r="BL407" s="380"/>
      <c r="BM407" s="403"/>
      <c r="BS407" s="83"/>
      <c r="CA407" s="405"/>
      <c r="CG407" s="83"/>
      <c r="CO407" s="405"/>
      <c r="CU407" s="83"/>
      <c r="DC407" s="405"/>
      <c r="DI407" s="83"/>
      <c r="DQ407" s="405"/>
      <c r="DW407" s="83"/>
      <c r="EE407" s="405"/>
      <c r="EK407" s="83"/>
      <c r="ES407" s="405"/>
      <c r="EY407" s="83"/>
      <c r="FG407" s="405"/>
      <c r="FM407" s="83"/>
      <c r="FU407" s="405"/>
      <c r="GA407" s="83"/>
      <c r="GI407" s="405"/>
      <c r="GO407" s="83"/>
      <c r="GW407" s="405"/>
      <c r="HC407" s="83"/>
      <c r="HK407" s="405"/>
      <c r="HQ407" s="83"/>
      <c r="HY407" s="405"/>
      <c r="IE407" s="83"/>
      <c r="IM407" s="405"/>
      <c r="IS407" s="83"/>
      <c r="JA407" s="405"/>
      <c r="JG407" s="83"/>
      <c r="JO407" s="405"/>
      <c r="JU407" s="83"/>
      <c r="KC407" s="405"/>
      <c r="KI407" s="83"/>
      <c r="KQ407" s="405"/>
      <c r="KW407" s="83"/>
      <c r="LE407" s="405"/>
      <c r="LK407" s="83"/>
      <c r="LS407" s="405"/>
      <c r="LY407" s="83"/>
      <c r="MG407" s="405"/>
      <c r="MM407" s="83"/>
      <c r="MU407" s="405"/>
      <c r="NA407" s="83"/>
    </row>
    <row r="408">
      <c r="A408" s="483"/>
      <c r="B408" s="380"/>
      <c r="C408" s="380"/>
      <c r="D408" s="380"/>
      <c r="E408" s="380"/>
      <c r="F408" s="380"/>
      <c r="G408" s="380"/>
      <c r="H408" s="380"/>
      <c r="I408" s="403"/>
      <c r="J408" s="380"/>
      <c r="K408" s="380"/>
      <c r="L408" s="380"/>
      <c r="M408" s="380"/>
      <c r="N408" s="380"/>
      <c r="O408" s="404"/>
      <c r="P408" s="380"/>
      <c r="Q408" s="380"/>
      <c r="R408" s="380"/>
      <c r="S408" s="380"/>
      <c r="T408" s="380"/>
      <c r="U408" s="380"/>
      <c r="V408" s="380"/>
      <c r="W408" s="403"/>
      <c r="X408" s="380"/>
      <c r="Y408" s="380"/>
      <c r="Z408" s="380"/>
      <c r="AA408" s="380"/>
      <c r="AB408" s="380"/>
      <c r="AC408" s="404"/>
      <c r="AD408" s="380"/>
      <c r="AE408" s="380"/>
      <c r="AF408" s="380"/>
      <c r="AG408" s="380"/>
      <c r="AH408" s="380"/>
      <c r="AI408" s="380"/>
      <c r="AJ408" s="380"/>
      <c r="AK408" s="403"/>
      <c r="AL408" s="380"/>
      <c r="AM408" s="380"/>
      <c r="AN408" s="380"/>
      <c r="AO408" s="380"/>
      <c r="AP408" s="380"/>
      <c r="AQ408" s="404"/>
      <c r="AR408" s="380"/>
      <c r="AS408" s="380"/>
      <c r="AT408" s="380"/>
      <c r="AU408" s="380"/>
      <c r="AV408" s="380"/>
      <c r="AW408" s="380"/>
      <c r="AX408" s="380"/>
      <c r="AY408" s="403"/>
      <c r="AZ408" s="380"/>
      <c r="BA408" s="380"/>
      <c r="BB408" s="380"/>
      <c r="BC408" s="380"/>
      <c r="BD408" s="380"/>
      <c r="BE408" s="404"/>
      <c r="BF408" s="380"/>
      <c r="BG408" s="380"/>
      <c r="BH408" s="380"/>
      <c r="BI408" s="380"/>
      <c r="BJ408" s="380"/>
      <c r="BK408" s="380"/>
      <c r="BL408" s="380"/>
      <c r="BM408" s="403"/>
      <c r="BS408" s="83"/>
      <c r="CA408" s="405"/>
      <c r="CG408" s="83"/>
      <c r="CO408" s="405"/>
      <c r="CU408" s="83"/>
      <c r="DC408" s="405"/>
      <c r="DI408" s="83"/>
      <c r="DQ408" s="405"/>
      <c r="DW408" s="83"/>
      <c r="EE408" s="405"/>
      <c r="EK408" s="83"/>
      <c r="ES408" s="405"/>
      <c r="EY408" s="83"/>
      <c r="FG408" s="405"/>
      <c r="FM408" s="83"/>
      <c r="FU408" s="405"/>
      <c r="GA408" s="83"/>
      <c r="GI408" s="405"/>
      <c r="GO408" s="83"/>
      <c r="GW408" s="405"/>
      <c r="HC408" s="83"/>
      <c r="HK408" s="405"/>
      <c r="HQ408" s="83"/>
      <c r="HY408" s="405"/>
      <c r="IE408" s="83"/>
      <c r="IM408" s="405"/>
      <c r="IS408" s="83"/>
      <c r="JA408" s="405"/>
      <c r="JG408" s="83"/>
      <c r="JO408" s="405"/>
      <c r="JU408" s="83"/>
      <c r="KC408" s="405"/>
      <c r="KI408" s="83"/>
      <c r="KQ408" s="405"/>
      <c r="KW408" s="83"/>
      <c r="LE408" s="405"/>
      <c r="LK408" s="83"/>
      <c r="LS408" s="405"/>
      <c r="LY408" s="83"/>
      <c r="MG408" s="405"/>
      <c r="MM408" s="83"/>
      <c r="MU408" s="405"/>
      <c r="NA408" s="83"/>
    </row>
    <row r="409">
      <c r="A409" s="483"/>
      <c r="B409" s="380"/>
      <c r="C409" s="380"/>
      <c r="D409" s="380"/>
      <c r="E409" s="380"/>
      <c r="F409" s="380"/>
      <c r="G409" s="380"/>
      <c r="H409" s="380"/>
      <c r="I409" s="403"/>
      <c r="J409" s="380"/>
      <c r="K409" s="380"/>
      <c r="L409" s="380"/>
      <c r="M409" s="380"/>
      <c r="N409" s="380"/>
      <c r="O409" s="404"/>
      <c r="P409" s="380"/>
      <c r="Q409" s="380"/>
      <c r="R409" s="380"/>
      <c r="S409" s="380"/>
      <c r="T409" s="380"/>
      <c r="U409" s="380"/>
      <c r="V409" s="380"/>
      <c r="W409" s="403"/>
      <c r="X409" s="380"/>
      <c r="Y409" s="380"/>
      <c r="Z409" s="380"/>
      <c r="AA409" s="380"/>
      <c r="AB409" s="380"/>
      <c r="AC409" s="404"/>
      <c r="AD409" s="380"/>
      <c r="AE409" s="380"/>
      <c r="AF409" s="380"/>
      <c r="AG409" s="380"/>
      <c r="AH409" s="380"/>
      <c r="AI409" s="380"/>
      <c r="AJ409" s="380"/>
      <c r="AK409" s="403"/>
      <c r="AL409" s="380"/>
      <c r="AM409" s="380"/>
      <c r="AN409" s="380"/>
      <c r="AO409" s="380"/>
      <c r="AP409" s="380"/>
      <c r="AQ409" s="404"/>
      <c r="AR409" s="380"/>
      <c r="AS409" s="380"/>
      <c r="AT409" s="380"/>
      <c r="AU409" s="380"/>
      <c r="AV409" s="380"/>
      <c r="AW409" s="380"/>
      <c r="AX409" s="380"/>
      <c r="AY409" s="403"/>
      <c r="AZ409" s="380"/>
      <c r="BA409" s="380"/>
      <c r="BB409" s="380"/>
      <c r="BC409" s="380"/>
      <c r="BD409" s="380"/>
      <c r="BE409" s="404"/>
      <c r="BF409" s="380"/>
      <c r="BG409" s="380"/>
      <c r="BH409" s="380"/>
      <c r="BI409" s="380"/>
      <c r="BJ409" s="380"/>
      <c r="BK409" s="380"/>
      <c r="BL409" s="380"/>
      <c r="BM409" s="403"/>
      <c r="BS409" s="83"/>
      <c r="CA409" s="405"/>
      <c r="CG409" s="83"/>
      <c r="CO409" s="405"/>
      <c r="CU409" s="83"/>
      <c r="DC409" s="405"/>
      <c r="DI409" s="83"/>
      <c r="DQ409" s="405"/>
      <c r="DW409" s="83"/>
      <c r="EE409" s="405"/>
      <c r="EK409" s="83"/>
      <c r="ES409" s="405"/>
      <c r="EY409" s="83"/>
      <c r="FG409" s="405"/>
      <c r="FM409" s="83"/>
      <c r="FU409" s="405"/>
      <c r="GA409" s="83"/>
      <c r="GI409" s="405"/>
      <c r="GO409" s="83"/>
      <c r="GW409" s="405"/>
      <c r="HC409" s="83"/>
      <c r="HK409" s="405"/>
      <c r="HQ409" s="83"/>
      <c r="HY409" s="405"/>
      <c r="IE409" s="83"/>
      <c r="IM409" s="405"/>
      <c r="IS409" s="83"/>
      <c r="JA409" s="405"/>
      <c r="JG409" s="83"/>
      <c r="JO409" s="405"/>
      <c r="JU409" s="83"/>
      <c r="KC409" s="405"/>
      <c r="KI409" s="83"/>
      <c r="KQ409" s="405"/>
      <c r="KW409" s="83"/>
      <c r="LE409" s="405"/>
      <c r="LK409" s="83"/>
      <c r="LS409" s="405"/>
      <c r="LY409" s="83"/>
      <c r="MG409" s="405"/>
      <c r="MM409" s="83"/>
      <c r="MU409" s="405"/>
      <c r="NA409" s="83"/>
    </row>
    <row r="410">
      <c r="A410" s="483"/>
      <c r="B410" s="380"/>
      <c r="C410" s="380"/>
      <c r="D410" s="380"/>
      <c r="E410" s="380"/>
      <c r="F410" s="380"/>
      <c r="G410" s="380"/>
      <c r="H410" s="380"/>
      <c r="I410" s="403"/>
      <c r="J410" s="380"/>
      <c r="K410" s="380"/>
      <c r="L410" s="380"/>
      <c r="M410" s="380"/>
      <c r="N410" s="380"/>
      <c r="O410" s="404"/>
      <c r="P410" s="380"/>
      <c r="Q410" s="380"/>
      <c r="R410" s="380"/>
      <c r="S410" s="380"/>
      <c r="T410" s="380"/>
      <c r="U410" s="380"/>
      <c r="V410" s="380"/>
      <c r="W410" s="403"/>
      <c r="X410" s="380"/>
      <c r="Y410" s="380"/>
      <c r="Z410" s="380"/>
      <c r="AA410" s="380"/>
      <c r="AB410" s="380"/>
      <c r="AC410" s="404"/>
      <c r="AD410" s="380"/>
      <c r="AE410" s="380"/>
      <c r="AF410" s="380"/>
      <c r="AG410" s="380"/>
      <c r="AH410" s="380"/>
      <c r="AI410" s="380"/>
      <c r="AJ410" s="380"/>
      <c r="AK410" s="403"/>
      <c r="AL410" s="380"/>
      <c r="AM410" s="380"/>
      <c r="AN410" s="380"/>
      <c r="AO410" s="380"/>
      <c r="AP410" s="380"/>
      <c r="AQ410" s="404"/>
      <c r="AR410" s="380"/>
      <c r="AS410" s="380"/>
      <c r="AT410" s="380"/>
      <c r="AU410" s="380"/>
      <c r="AV410" s="380"/>
      <c r="AW410" s="380"/>
      <c r="AX410" s="380"/>
      <c r="AY410" s="403"/>
      <c r="AZ410" s="380"/>
      <c r="BA410" s="380"/>
      <c r="BB410" s="380"/>
      <c r="BC410" s="380"/>
      <c r="BD410" s="380"/>
      <c r="BE410" s="404"/>
      <c r="BF410" s="380"/>
      <c r="BG410" s="380"/>
      <c r="BH410" s="380"/>
      <c r="BI410" s="380"/>
      <c r="BJ410" s="380"/>
      <c r="BK410" s="380"/>
      <c r="BL410" s="380"/>
      <c r="BM410" s="403"/>
      <c r="BS410" s="83"/>
      <c r="CA410" s="405"/>
      <c r="CG410" s="83"/>
      <c r="CO410" s="405"/>
      <c r="CU410" s="83"/>
      <c r="DC410" s="405"/>
      <c r="DI410" s="83"/>
      <c r="DQ410" s="405"/>
      <c r="DW410" s="83"/>
      <c r="EE410" s="405"/>
      <c r="EK410" s="83"/>
      <c r="ES410" s="405"/>
      <c r="EY410" s="83"/>
      <c r="FG410" s="405"/>
      <c r="FM410" s="83"/>
      <c r="FU410" s="405"/>
      <c r="GA410" s="83"/>
      <c r="GI410" s="405"/>
      <c r="GO410" s="83"/>
      <c r="GW410" s="405"/>
      <c r="HC410" s="83"/>
      <c r="HK410" s="405"/>
      <c r="HQ410" s="83"/>
      <c r="HY410" s="405"/>
      <c r="IE410" s="83"/>
      <c r="IM410" s="405"/>
      <c r="IS410" s="83"/>
      <c r="JA410" s="405"/>
      <c r="JG410" s="83"/>
      <c r="JO410" s="405"/>
      <c r="JU410" s="83"/>
      <c r="KC410" s="405"/>
      <c r="KI410" s="83"/>
      <c r="KQ410" s="405"/>
      <c r="KW410" s="83"/>
      <c r="LE410" s="405"/>
      <c r="LK410" s="83"/>
      <c r="LS410" s="405"/>
      <c r="LY410" s="83"/>
      <c r="MG410" s="405"/>
      <c r="MM410" s="83"/>
      <c r="MU410" s="405"/>
      <c r="NA410" s="83"/>
    </row>
    <row r="411">
      <c r="A411" s="483"/>
      <c r="B411" s="380"/>
      <c r="C411" s="380"/>
      <c r="D411" s="380"/>
      <c r="E411" s="380"/>
      <c r="F411" s="380"/>
      <c r="G411" s="380"/>
      <c r="H411" s="380"/>
      <c r="I411" s="403"/>
      <c r="J411" s="380"/>
      <c r="K411" s="380"/>
      <c r="L411" s="380"/>
      <c r="M411" s="380"/>
      <c r="N411" s="380"/>
      <c r="O411" s="404"/>
      <c r="P411" s="380"/>
      <c r="Q411" s="380"/>
      <c r="R411" s="380"/>
      <c r="S411" s="380"/>
      <c r="T411" s="380"/>
      <c r="U411" s="380"/>
      <c r="V411" s="380"/>
      <c r="W411" s="403"/>
      <c r="X411" s="380"/>
      <c r="Y411" s="380"/>
      <c r="Z411" s="380"/>
      <c r="AA411" s="380"/>
      <c r="AB411" s="380"/>
      <c r="AC411" s="404"/>
      <c r="AD411" s="380"/>
      <c r="AE411" s="380"/>
      <c r="AF411" s="380"/>
      <c r="AG411" s="380"/>
      <c r="AH411" s="380"/>
      <c r="AI411" s="380"/>
      <c r="AJ411" s="380"/>
      <c r="AK411" s="403"/>
      <c r="AL411" s="380"/>
      <c r="AM411" s="380"/>
      <c r="AN411" s="380"/>
      <c r="AO411" s="380"/>
      <c r="AP411" s="380"/>
      <c r="AQ411" s="404"/>
      <c r="AR411" s="380"/>
      <c r="AS411" s="380"/>
      <c r="AT411" s="380"/>
      <c r="AU411" s="380"/>
      <c r="AV411" s="380"/>
      <c r="AW411" s="380"/>
      <c r="AX411" s="380"/>
      <c r="AY411" s="403"/>
      <c r="AZ411" s="380"/>
      <c r="BA411" s="380"/>
      <c r="BB411" s="380"/>
      <c r="BC411" s="380"/>
      <c r="BD411" s="380"/>
      <c r="BE411" s="404"/>
      <c r="BF411" s="380"/>
      <c r="BG411" s="380"/>
      <c r="BH411" s="380"/>
      <c r="BI411" s="380"/>
      <c r="BJ411" s="380"/>
      <c r="BK411" s="380"/>
      <c r="BL411" s="380"/>
      <c r="BM411" s="403"/>
      <c r="BS411" s="83"/>
      <c r="CA411" s="405"/>
      <c r="CG411" s="83"/>
      <c r="CO411" s="405"/>
      <c r="CU411" s="83"/>
      <c r="DC411" s="405"/>
      <c r="DI411" s="83"/>
      <c r="DQ411" s="405"/>
      <c r="DW411" s="83"/>
      <c r="EE411" s="405"/>
      <c r="EK411" s="83"/>
      <c r="ES411" s="405"/>
      <c r="EY411" s="83"/>
      <c r="FG411" s="405"/>
      <c r="FM411" s="83"/>
      <c r="FU411" s="405"/>
      <c r="GA411" s="83"/>
      <c r="GI411" s="405"/>
      <c r="GO411" s="83"/>
      <c r="GW411" s="405"/>
      <c r="HC411" s="83"/>
      <c r="HK411" s="405"/>
      <c r="HQ411" s="83"/>
      <c r="HY411" s="405"/>
      <c r="IE411" s="83"/>
      <c r="IM411" s="405"/>
      <c r="IS411" s="83"/>
      <c r="JA411" s="405"/>
      <c r="JG411" s="83"/>
      <c r="JO411" s="405"/>
      <c r="JU411" s="83"/>
      <c r="KC411" s="405"/>
      <c r="KI411" s="83"/>
      <c r="KQ411" s="405"/>
      <c r="KW411" s="83"/>
      <c r="LE411" s="405"/>
      <c r="LK411" s="83"/>
      <c r="LS411" s="405"/>
      <c r="LY411" s="83"/>
      <c r="MG411" s="405"/>
      <c r="MM411" s="83"/>
      <c r="MU411" s="405"/>
      <c r="NA411" s="83"/>
    </row>
    <row r="412">
      <c r="A412" s="483"/>
      <c r="B412" s="380"/>
      <c r="C412" s="380"/>
      <c r="D412" s="380"/>
      <c r="E412" s="380"/>
      <c r="F412" s="380"/>
      <c r="G412" s="380"/>
      <c r="H412" s="380"/>
      <c r="I412" s="403"/>
      <c r="J412" s="380"/>
      <c r="K412" s="380"/>
      <c r="L412" s="380"/>
      <c r="M412" s="380"/>
      <c r="N412" s="380"/>
      <c r="O412" s="404"/>
      <c r="P412" s="380"/>
      <c r="Q412" s="380"/>
      <c r="R412" s="380"/>
      <c r="S412" s="380"/>
      <c r="T412" s="380"/>
      <c r="U412" s="380"/>
      <c r="V412" s="380"/>
      <c r="W412" s="403"/>
      <c r="X412" s="380"/>
      <c r="Y412" s="380"/>
      <c r="Z412" s="380"/>
      <c r="AA412" s="380"/>
      <c r="AB412" s="380"/>
      <c r="AC412" s="404"/>
      <c r="AD412" s="380"/>
      <c r="AE412" s="380"/>
      <c r="AF412" s="380"/>
      <c r="AG412" s="380"/>
      <c r="AH412" s="380"/>
      <c r="AI412" s="380"/>
      <c r="AJ412" s="380"/>
      <c r="AK412" s="403"/>
      <c r="AL412" s="380"/>
      <c r="AM412" s="380"/>
      <c r="AN412" s="380"/>
      <c r="AO412" s="380"/>
      <c r="AP412" s="380"/>
      <c r="AQ412" s="404"/>
      <c r="AR412" s="380"/>
      <c r="AS412" s="380"/>
      <c r="AT412" s="380"/>
      <c r="AU412" s="380"/>
      <c r="AV412" s="380"/>
      <c r="AW412" s="380"/>
      <c r="AX412" s="380"/>
      <c r="AY412" s="403"/>
      <c r="AZ412" s="380"/>
      <c r="BA412" s="380"/>
      <c r="BB412" s="380"/>
      <c r="BC412" s="380"/>
      <c r="BD412" s="380"/>
      <c r="BE412" s="404"/>
      <c r="BF412" s="380"/>
      <c r="BG412" s="380"/>
      <c r="BH412" s="380"/>
      <c r="BI412" s="380"/>
      <c r="BJ412" s="380"/>
      <c r="BK412" s="380"/>
      <c r="BL412" s="380"/>
      <c r="BM412" s="403"/>
      <c r="BS412" s="83"/>
      <c r="CA412" s="405"/>
      <c r="CG412" s="83"/>
      <c r="CO412" s="405"/>
      <c r="CU412" s="83"/>
      <c r="DC412" s="405"/>
      <c r="DI412" s="83"/>
      <c r="DQ412" s="405"/>
      <c r="DW412" s="83"/>
      <c r="EE412" s="405"/>
      <c r="EK412" s="83"/>
      <c r="ES412" s="405"/>
      <c r="EY412" s="83"/>
      <c r="FG412" s="405"/>
      <c r="FM412" s="83"/>
      <c r="FU412" s="405"/>
      <c r="GA412" s="83"/>
      <c r="GI412" s="405"/>
      <c r="GO412" s="83"/>
      <c r="GW412" s="405"/>
      <c r="HC412" s="83"/>
      <c r="HK412" s="405"/>
      <c r="HQ412" s="83"/>
      <c r="HY412" s="405"/>
      <c r="IE412" s="83"/>
      <c r="IM412" s="405"/>
      <c r="IS412" s="83"/>
      <c r="JA412" s="405"/>
      <c r="JG412" s="83"/>
      <c r="JO412" s="405"/>
      <c r="JU412" s="83"/>
      <c r="KC412" s="405"/>
      <c r="KI412" s="83"/>
      <c r="KQ412" s="405"/>
      <c r="KW412" s="83"/>
      <c r="LE412" s="405"/>
      <c r="LK412" s="83"/>
      <c r="LS412" s="405"/>
      <c r="LY412" s="83"/>
      <c r="MG412" s="405"/>
      <c r="MM412" s="83"/>
      <c r="MU412" s="405"/>
      <c r="NA412" s="83"/>
    </row>
    <row r="413">
      <c r="A413" s="483"/>
      <c r="B413" s="380"/>
      <c r="C413" s="380"/>
      <c r="D413" s="380"/>
      <c r="E413" s="380"/>
      <c r="F413" s="380"/>
      <c r="G413" s="380"/>
      <c r="H413" s="380"/>
      <c r="I413" s="403"/>
      <c r="J413" s="380"/>
      <c r="K413" s="380"/>
      <c r="L413" s="380"/>
      <c r="M413" s="380"/>
      <c r="N413" s="380"/>
      <c r="O413" s="404"/>
      <c r="P413" s="380"/>
      <c r="Q413" s="380"/>
      <c r="R413" s="380"/>
      <c r="S413" s="380"/>
      <c r="T413" s="380"/>
      <c r="U413" s="380"/>
      <c r="V413" s="380"/>
      <c r="W413" s="403"/>
      <c r="X413" s="380"/>
      <c r="Y413" s="380"/>
      <c r="Z413" s="380"/>
      <c r="AA413" s="380"/>
      <c r="AB413" s="380"/>
      <c r="AC413" s="404"/>
      <c r="AD413" s="380"/>
      <c r="AE413" s="380"/>
      <c r="AF413" s="380"/>
      <c r="AG413" s="380"/>
      <c r="AH413" s="380"/>
      <c r="AI413" s="380"/>
      <c r="AJ413" s="380"/>
      <c r="AK413" s="403"/>
      <c r="AL413" s="380"/>
      <c r="AM413" s="380"/>
      <c r="AN413" s="380"/>
      <c r="AO413" s="380"/>
      <c r="AP413" s="380"/>
      <c r="AQ413" s="404"/>
      <c r="AR413" s="380"/>
      <c r="AS413" s="380"/>
      <c r="AT413" s="380"/>
      <c r="AU413" s="380"/>
      <c r="AV413" s="380"/>
      <c r="AW413" s="380"/>
      <c r="AX413" s="380"/>
      <c r="AY413" s="403"/>
      <c r="AZ413" s="380"/>
      <c r="BA413" s="380"/>
      <c r="BB413" s="380"/>
      <c r="BC413" s="380"/>
      <c r="BD413" s="380"/>
      <c r="BE413" s="404"/>
      <c r="BF413" s="380"/>
      <c r="BG413" s="380"/>
      <c r="BH413" s="380"/>
      <c r="BI413" s="380"/>
      <c r="BJ413" s="380"/>
      <c r="BK413" s="380"/>
      <c r="BL413" s="380"/>
      <c r="BM413" s="403"/>
      <c r="BS413" s="83"/>
      <c r="CA413" s="405"/>
      <c r="CG413" s="83"/>
      <c r="CO413" s="405"/>
      <c r="CU413" s="83"/>
      <c r="DC413" s="405"/>
      <c r="DI413" s="83"/>
      <c r="DQ413" s="405"/>
      <c r="DW413" s="83"/>
      <c r="EE413" s="405"/>
      <c r="EK413" s="83"/>
      <c r="ES413" s="405"/>
      <c r="EY413" s="83"/>
      <c r="FG413" s="405"/>
      <c r="FM413" s="83"/>
      <c r="FU413" s="405"/>
      <c r="GA413" s="83"/>
      <c r="GI413" s="405"/>
      <c r="GO413" s="83"/>
      <c r="GW413" s="405"/>
      <c r="HC413" s="83"/>
      <c r="HK413" s="405"/>
      <c r="HQ413" s="83"/>
      <c r="HY413" s="405"/>
      <c r="IE413" s="83"/>
      <c r="IM413" s="405"/>
      <c r="IS413" s="83"/>
      <c r="JA413" s="405"/>
      <c r="JG413" s="83"/>
      <c r="JO413" s="405"/>
      <c r="JU413" s="83"/>
      <c r="KC413" s="405"/>
      <c r="KI413" s="83"/>
      <c r="KQ413" s="405"/>
      <c r="KW413" s="83"/>
      <c r="LE413" s="405"/>
      <c r="LK413" s="83"/>
      <c r="LS413" s="405"/>
      <c r="LY413" s="83"/>
      <c r="MG413" s="405"/>
      <c r="MM413" s="83"/>
      <c r="MU413" s="405"/>
      <c r="NA413" s="83"/>
    </row>
    <row r="414">
      <c r="A414" s="483"/>
      <c r="B414" s="380"/>
      <c r="C414" s="380"/>
      <c r="D414" s="380"/>
      <c r="E414" s="380"/>
      <c r="F414" s="380"/>
      <c r="G414" s="380"/>
      <c r="H414" s="380"/>
      <c r="I414" s="403"/>
      <c r="J414" s="380"/>
      <c r="K414" s="380"/>
      <c r="L414" s="380"/>
      <c r="M414" s="380"/>
      <c r="N414" s="380"/>
      <c r="O414" s="404"/>
      <c r="P414" s="380"/>
      <c r="Q414" s="380"/>
      <c r="R414" s="380"/>
      <c r="S414" s="380"/>
      <c r="T414" s="380"/>
      <c r="U414" s="380"/>
      <c r="V414" s="380"/>
      <c r="W414" s="403"/>
      <c r="X414" s="380"/>
      <c r="Y414" s="380"/>
      <c r="Z414" s="380"/>
      <c r="AA414" s="380"/>
      <c r="AB414" s="380"/>
      <c r="AC414" s="404"/>
      <c r="AD414" s="380"/>
      <c r="AE414" s="380"/>
      <c r="AF414" s="380"/>
      <c r="AG414" s="380"/>
      <c r="AH414" s="380"/>
      <c r="AI414" s="380"/>
      <c r="AJ414" s="380"/>
      <c r="AK414" s="403"/>
      <c r="AL414" s="380"/>
      <c r="AM414" s="380"/>
      <c r="AN414" s="380"/>
      <c r="AO414" s="380"/>
      <c r="AP414" s="380"/>
      <c r="AQ414" s="404"/>
      <c r="AR414" s="380"/>
      <c r="AS414" s="380"/>
      <c r="AT414" s="380"/>
      <c r="AU414" s="380"/>
      <c r="AV414" s="380"/>
      <c r="AW414" s="380"/>
      <c r="AX414" s="380"/>
      <c r="AY414" s="403"/>
      <c r="AZ414" s="380"/>
      <c r="BA414" s="380"/>
      <c r="BB414" s="380"/>
      <c r="BC414" s="380"/>
      <c r="BD414" s="380"/>
      <c r="BE414" s="404"/>
      <c r="BF414" s="380"/>
      <c r="BG414" s="380"/>
      <c r="BH414" s="380"/>
      <c r="BI414" s="380"/>
      <c r="BJ414" s="380"/>
      <c r="BK414" s="380"/>
      <c r="BL414" s="380"/>
      <c r="BM414" s="403"/>
      <c r="BS414" s="83"/>
      <c r="CA414" s="405"/>
      <c r="CG414" s="83"/>
      <c r="CO414" s="405"/>
      <c r="CU414" s="83"/>
      <c r="DC414" s="405"/>
      <c r="DI414" s="83"/>
      <c r="DQ414" s="405"/>
      <c r="DW414" s="83"/>
      <c r="EE414" s="405"/>
      <c r="EK414" s="83"/>
      <c r="ES414" s="405"/>
      <c r="EY414" s="83"/>
      <c r="FG414" s="405"/>
      <c r="FM414" s="83"/>
      <c r="FU414" s="405"/>
      <c r="GA414" s="83"/>
      <c r="GI414" s="405"/>
      <c r="GO414" s="83"/>
      <c r="GW414" s="405"/>
      <c r="HC414" s="83"/>
      <c r="HK414" s="405"/>
      <c r="HQ414" s="83"/>
      <c r="HY414" s="405"/>
      <c r="IE414" s="83"/>
      <c r="IM414" s="405"/>
      <c r="IS414" s="83"/>
      <c r="JA414" s="405"/>
      <c r="JG414" s="83"/>
      <c r="JO414" s="405"/>
      <c r="JU414" s="83"/>
      <c r="KC414" s="405"/>
      <c r="KI414" s="83"/>
      <c r="KQ414" s="405"/>
      <c r="KW414" s="83"/>
      <c r="LE414" s="405"/>
      <c r="LK414" s="83"/>
      <c r="LS414" s="405"/>
      <c r="LY414" s="83"/>
      <c r="MG414" s="405"/>
      <c r="MM414" s="83"/>
      <c r="MU414" s="405"/>
      <c r="NA414" s="83"/>
    </row>
    <row r="415">
      <c r="A415" s="483"/>
      <c r="B415" s="380"/>
      <c r="C415" s="380"/>
      <c r="D415" s="380"/>
      <c r="E415" s="380"/>
      <c r="F415" s="380"/>
      <c r="G415" s="380"/>
      <c r="H415" s="380"/>
      <c r="I415" s="403"/>
      <c r="J415" s="380"/>
      <c r="K415" s="380"/>
      <c r="L415" s="380"/>
      <c r="M415" s="380"/>
      <c r="N415" s="380"/>
      <c r="O415" s="404"/>
      <c r="P415" s="380"/>
      <c r="Q415" s="380"/>
      <c r="R415" s="380"/>
      <c r="S415" s="380"/>
      <c r="T415" s="380"/>
      <c r="U415" s="380"/>
      <c r="V415" s="380"/>
      <c r="W415" s="403"/>
      <c r="X415" s="380"/>
      <c r="Y415" s="380"/>
      <c r="Z415" s="380"/>
      <c r="AA415" s="380"/>
      <c r="AB415" s="380"/>
      <c r="AC415" s="404"/>
      <c r="AD415" s="380"/>
      <c r="AE415" s="380"/>
      <c r="AF415" s="380"/>
      <c r="AG415" s="380"/>
      <c r="AH415" s="380"/>
      <c r="AI415" s="380"/>
      <c r="AJ415" s="380"/>
      <c r="AK415" s="403"/>
      <c r="AL415" s="380"/>
      <c r="AM415" s="380"/>
      <c r="AN415" s="380"/>
      <c r="AO415" s="380"/>
      <c r="AP415" s="380"/>
      <c r="AQ415" s="404"/>
      <c r="AR415" s="380"/>
      <c r="AS415" s="380"/>
      <c r="AT415" s="380"/>
      <c r="AU415" s="380"/>
      <c r="AV415" s="380"/>
      <c r="AW415" s="380"/>
      <c r="AX415" s="380"/>
      <c r="AY415" s="403"/>
      <c r="AZ415" s="380"/>
      <c r="BA415" s="380"/>
      <c r="BB415" s="380"/>
      <c r="BC415" s="380"/>
      <c r="BD415" s="380"/>
      <c r="BE415" s="404"/>
      <c r="BF415" s="380"/>
      <c r="BG415" s="380"/>
      <c r="BH415" s="380"/>
      <c r="BI415" s="380"/>
      <c r="BJ415" s="380"/>
      <c r="BK415" s="380"/>
      <c r="BL415" s="380"/>
      <c r="BM415" s="403"/>
      <c r="BS415" s="83"/>
      <c r="CA415" s="405"/>
      <c r="CG415" s="83"/>
      <c r="CO415" s="405"/>
      <c r="CU415" s="83"/>
      <c r="DC415" s="405"/>
      <c r="DI415" s="83"/>
      <c r="DQ415" s="405"/>
      <c r="DW415" s="83"/>
      <c r="EE415" s="405"/>
      <c r="EK415" s="83"/>
      <c r="ES415" s="405"/>
      <c r="EY415" s="83"/>
      <c r="FG415" s="405"/>
      <c r="FM415" s="83"/>
      <c r="FU415" s="405"/>
      <c r="GA415" s="83"/>
      <c r="GI415" s="405"/>
      <c r="GO415" s="83"/>
      <c r="GW415" s="405"/>
      <c r="HC415" s="83"/>
      <c r="HK415" s="405"/>
      <c r="HQ415" s="83"/>
      <c r="HY415" s="405"/>
      <c r="IE415" s="83"/>
      <c r="IM415" s="405"/>
      <c r="IS415" s="83"/>
      <c r="JA415" s="405"/>
      <c r="JG415" s="83"/>
      <c r="JO415" s="405"/>
      <c r="JU415" s="83"/>
      <c r="KC415" s="405"/>
      <c r="KI415" s="83"/>
      <c r="KQ415" s="405"/>
      <c r="KW415" s="83"/>
      <c r="LE415" s="405"/>
      <c r="LK415" s="83"/>
      <c r="LS415" s="405"/>
      <c r="LY415" s="83"/>
      <c r="MG415" s="405"/>
      <c r="MM415" s="83"/>
      <c r="MU415" s="405"/>
      <c r="NA415" s="83"/>
    </row>
    <row r="416">
      <c r="A416" s="483"/>
      <c r="B416" s="380"/>
      <c r="C416" s="380"/>
      <c r="D416" s="380"/>
      <c r="E416" s="380"/>
      <c r="F416" s="380"/>
      <c r="G416" s="380"/>
      <c r="H416" s="380"/>
      <c r="I416" s="403"/>
      <c r="J416" s="380"/>
      <c r="K416" s="380"/>
      <c r="L416" s="380"/>
      <c r="M416" s="380"/>
      <c r="N416" s="380"/>
      <c r="O416" s="404"/>
      <c r="P416" s="380"/>
      <c r="Q416" s="380"/>
      <c r="R416" s="380"/>
      <c r="S416" s="380"/>
      <c r="T416" s="380"/>
      <c r="U416" s="380"/>
      <c r="V416" s="380"/>
      <c r="W416" s="403"/>
      <c r="X416" s="380"/>
      <c r="Y416" s="380"/>
      <c r="Z416" s="380"/>
      <c r="AA416" s="380"/>
      <c r="AB416" s="380"/>
      <c r="AC416" s="404"/>
      <c r="AD416" s="380"/>
      <c r="AE416" s="380"/>
      <c r="AF416" s="380"/>
      <c r="AG416" s="380"/>
      <c r="AH416" s="380"/>
      <c r="AI416" s="380"/>
      <c r="AJ416" s="380"/>
      <c r="AK416" s="403"/>
      <c r="AL416" s="380"/>
      <c r="AM416" s="380"/>
      <c r="AN416" s="380"/>
      <c r="AO416" s="380"/>
      <c r="AP416" s="380"/>
      <c r="AQ416" s="404"/>
      <c r="AR416" s="380"/>
      <c r="AS416" s="380"/>
      <c r="AT416" s="380"/>
      <c r="AU416" s="380"/>
      <c r="AV416" s="380"/>
      <c r="AW416" s="380"/>
      <c r="AX416" s="380"/>
      <c r="AY416" s="403"/>
      <c r="AZ416" s="380"/>
      <c r="BA416" s="380"/>
      <c r="BB416" s="380"/>
      <c r="BC416" s="380"/>
      <c r="BD416" s="380"/>
      <c r="BE416" s="404"/>
      <c r="BF416" s="380"/>
      <c r="BG416" s="380"/>
      <c r="BH416" s="380"/>
      <c r="BI416" s="380"/>
      <c r="BJ416" s="380"/>
      <c r="BK416" s="380"/>
      <c r="BL416" s="380"/>
      <c r="BM416" s="403"/>
      <c r="BS416" s="83"/>
      <c r="CA416" s="405"/>
      <c r="CG416" s="83"/>
      <c r="CO416" s="405"/>
      <c r="CU416" s="83"/>
      <c r="DC416" s="405"/>
      <c r="DI416" s="83"/>
      <c r="DQ416" s="405"/>
      <c r="DW416" s="83"/>
      <c r="EE416" s="405"/>
      <c r="EK416" s="83"/>
      <c r="ES416" s="405"/>
      <c r="EY416" s="83"/>
      <c r="FG416" s="405"/>
      <c r="FM416" s="83"/>
      <c r="FU416" s="405"/>
      <c r="GA416" s="83"/>
      <c r="GI416" s="405"/>
      <c r="GO416" s="83"/>
      <c r="GW416" s="405"/>
      <c r="HC416" s="83"/>
      <c r="HK416" s="405"/>
      <c r="HQ416" s="83"/>
      <c r="HY416" s="405"/>
      <c r="IE416" s="83"/>
      <c r="IM416" s="405"/>
      <c r="IS416" s="83"/>
      <c r="JA416" s="405"/>
      <c r="JG416" s="83"/>
      <c r="JO416" s="405"/>
      <c r="JU416" s="83"/>
      <c r="KC416" s="405"/>
      <c r="KI416" s="83"/>
      <c r="KQ416" s="405"/>
      <c r="KW416" s="83"/>
      <c r="LE416" s="405"/>
      <c r="LK416" s="83"/>
      <c r="LS416" s="405"/>
      <c r="LY416" s="83"/>
      <c r="MG416" s="405"/>
      <c r="MM416" s="83"/>
      <c r="MU416" s="405"/>
      <c r="NA416" s="83"/>
    </row>
    <row r="417">
      <c r="A417" s="483"/>
      <c r="B417" s="380"/>
      <c r="C417" s="380"/>
      <c r="D417" s="380"/>
      <c r="E417" s="380"/>
      <c r="F417" s="380"/>
      <c r="G417" s="380"/>
      <c r="H417" s="380"/>
      <c r="I417" s="403"/>
      <c r="J417" s="380"/>
      <c r="K417" s="380"/>
      <c r="L417" s="380"/>
      <c r="M417" s="380"/>
      <c r="N417" s="380"/>
      <c r="O417" s="404"/>
      <c r="P417" s="380"/>
      <c r="Q417" s="380"/>
      <c r="R417" s="380"/>
      <c r="S417" s="380"/>
      <c r="T417" s="380"/>
      <c r="U417" s="380"/>
      <c r="V417" s="380"/>
      <c r="W417" s="403"/>
      <c r="X417" s="380"/>
      <c r="Y417" s="380"/>
      <c r="Z417" s="380"/>
      <c r="AA417" s="380"/>
      <c r="AB417" s="380"/>
      <c r="AC417" s="404"/>
      <c r="AD417" s="380"/>
      <c r="AE417" s="380"/>
      <c r="AF417" s="380"/>
      <c r="AG417" s="380"/>
      <c r="AH417" s="380"/>
      <c r="AI417" s="380"/>
      <c r="AJ417" s="380"/>
      <c r="AK417" s="403"/>
      <c r="AL417" s="380"/>
      <c r="AM417" s="380"/>
      <c r="AN417" s="380"/>
      <c r="AO417" s="380"/>
      <c r="AP417" s="380"/>
      <c r="AQ417" s="404"/>
      <c r="AR417" s="380"/>
      <c r="AS417" s="380"/>
      <c r="AT417" s="380"/>
      <c r="AU417" s="380"/>
      <c r="AV417" s="380"/>
      <c r="AW417" s="380"/>
      <c r="AX417" s="380"/>
      <c r="AY417" s="403"/>
      <c r="AZ417" s="380"/>
      <c r="BA417" s="380"/>
      <c r="BB417" s="380"/>
      <c r="BC417" s="380"/>
      <c r="BD417" s="380"/>
      <c r="BE417" s="404"/>
      <c r="BF417" s="380"/>
      <c r="BG417" s="380"/>
      <c r="BH417" s="380"/>
      <c r="BI417" s="380"/>
      <c r="BJ417" s="380"/>
      <c r="BK417" s="380"/>
      <c r="BL417" s="380"/>
      <c r="BM417" s="403"/>
      <c r="BS417" s="83"/>
      <c r="CA417" s="405"/>
      <c r="CG417" s="83"/>
      <c r="CO417" s="405"/>
      <c r="CU417" s="83"/>
      <c r="DC417" s="405"/>
      <c r="DI417" s="83"/>
      <c r="DQ417" s="405"/>
      <c r="DW417" s="83"/>
      <c r="EE417" s="405"/>
      <c r="EK417" s="83"/>
      <c r="ES417" s="405"/>
      <c r="EY417" s="83"/>
      <c r="FG417" s="405"/>
      <c r="FM417" s="83"/>
      <c r="FU417" s="405"/>
      <c r="GA417" s="83"/>
      <c r="GI417" s="405"/>
      <c r="GO417" s="83"/>
      <c r="GW417" s="405"/>
      <c r="HC417" s="83"/>
      <c r="HK417" s="405"/>
      <c r="HQ417" s="83"/>
      <c r="HY417" s="405"/>
      <c r="IE417" s="83"/>
      <c r="IM417" s="405"/>
      <c r="IS417" s="83"/>
      <c r="JA417" s="405"/>
      <c r="JG417" s="83"/>
      <c r="JO417" s="405"/>
      <c r="JU417" s="83"/>
      <c r="KC417" s="405"/>
      <c r="KI417" s="83"/>
      <c r="KQ417" s="405"/>
      <c r="KW417" s="83"/>
      <c r="LE417" s="405"/>
      <c r="LK417" s="83"/>
      <c r="LS417" s="405"/>
      <c r="LY417" s="83"/>
      <c r="MG417" s="405"/>
      <c r="MM417" s="83"/>
      <c r="MU417" s="405"/>
      <c r="NA417" s="83"/>
    </row>
    <row r="418">
      <c r="A418" s="483"/>
      <c r="B418" s="380"/>
      <c r="C418" s="380"/>
      <c r="D418" s="380"/>
      <c r="E418" s="380"/>
      <c r="F418" s="380"/>
      <c r="G418" s="380"/>
      <c r="H418" s="380"/>
      <c r="I418" s="403"/>
      <c r="J418" s="380"/>
      <c r="K418" s="380"/>
      <c r="L418" s="380"/>
      <c r="M418" s="380"/>
      <c r="N418" s="380"/>
      <c r="O418" s="404"/>
      <c r="P418" s="380"/>
      <c r="Q418" s="380"/>
      <c r="R418" s="380"/>
      <c r="S418" s="380"/>
      <c r="T418" s="380"/>
      <c r="U418" s="380"/>
      <c r="V418" s="380"/>
      <c r="W418" s="403"/>
      <c r="X418" s="380"/>
      <c r="Y418" s="380"/>
      <c r="Z418" s="380"/>
      <c r="AA418" s="380"/>
      <c r="AB418" s="380"/>
      <c r="AC418" s="404"/>
      <c r="AD418" s="380"/>
      <c r="AE418" s="380"/>
      <c r="AF418" s="380"/>
      <c r="AG418" s="380"/>
      <c r="AH418" s="380"/>
      <c r="AI418" s="380"/>
      <c r="AJ418" s="380"/>
      <c r="AK418" s="403"/>
      <c r="AL418" s="380"/>
      <c r="AM418" s="380"/>
      <c r="AN418" s="380"/>
      <c r="AO418" s="380"/>
      <c r="AP418" s="380"/>
      <c r="AQ418" s="404"/>
      <c r="AR418" s="380"/>
      <c r="AS418" s="380"/>
      <c r="AT418" s="380"/>
      <c r="AU418" s="380"/>
      <c r="AV418" s="380"/>
      <c r="AW418" s="380"/>
      <c r="AX418" s="380"/>
      <c r="AY418" s="403"/>
      <c r="AZ418" s="380"/>
      <c r="BA418" s="380"/>
      <c r="BB418" s="380"/>
      <c r="BC418" s="380"/>
      <c r="BD418" s="380"/>
      <c r="BE418" s="404"/>
      <c r="BF418" s="380"/>
      <c r="BG418" s="380"/>
      <c r="BH418" s="380"/>
      <c r="BI418" s="380"/>
      <c r="BJ418" s="380"/>
      <c r="BK418" s="380"/>
      <c r="BL418" s="380"/>
      <c r="BM418" s="403"/>
      <c r="BS418" s="83"/>
      <c r="CA418" s="405"/>
      <c r="CG418" s="83"/>
      <c r="CO418" s="405"/>
      <c r="CU418" s="83"/>
      <c r="DC418" s="405"/>
      <c r="DI418" s="83"/>
      <c r="DQ418" s="405"/>
      <c r="DW418" s="83"/>
      <c r="EE418" s="405"/>
      <c r="EK418" s="83"/>
      <c r="ES418" s="405"/>
      <c r="EY418" s="83"/>
      <c r="FG418" s="405"/>
      <c r="FM418" s="83"/>
      <c r="FU418" s="405"/>
      <c r="GA418" s="83"/>
      <c r="GI418" s="405"/>
      <c r="GO418" s="83"/>
      <c r="GW418" s="405"/>
      <c r="HC418" s="83"/>
      <c r="HK418" s="405"/>
      <c r="HQ418" s="83"/>
      <c r="HY418" s="405"/>
      <c r="IE418" s="83"/>
      <c r="IM418" s="405"/>
      <c r="IS418" s="83"/>
      <c r="JA418" s="405"/>
      <c r="JG418" s="83"/>
      <c r="JO418" s="405"/>
      <c r="JU418" s="83"/>
      <c r="KC418" s="405"/>
      <c r="KI418" s="83"/>
      <c r="KQ418" s="405"/>
      <c r="KW418" s="83"/>
      <c r="LE418" s="405"/>
      <c r="LK418" s="83"/>
      <c r="LS418" s="405"/>
      <c r="LY418" s="83"/>
      <c r="MG418" s="405"/>
      <c r="MM418" s="83"/>
      <c r="MU418" s="405"/>
      <c r="NA418" s="83"/>
    </row>
    <row r="419">
      <c r="A419" s="483"/>
      <c r="B419" s="380"/>
      <c r="C419" s="380"/>
      <c r="D419" s="380"/>
      <c r="E419" s="380"/>
      <c r="F419" s="380"/>
      <c r="G419" s="380"/>
      <c r="H419" s="380"/>
      <c r="I419" s="403"/>
      <c r="J419" s="380"/>
      <c r="K419" s="380"/>
      <c r="L419" s="380"/>
      <c r="M419" s="380"/>
      <c r="N419" s="380"/>
      <c r="O419" s="404"/>
      <c r="P419" s="380"/>
      <c r="Q419" s="380"/>
      <c r="R419" s="380"/>
      <c r="S419" s="380"/>
      <c r="T419" s="380"/>
      <c r="U419" s="380"/>
      <c r="V419" s="380"/>
      <c r="W419" s="403"/>
      <c r="X419" s="380"/>
      <c r="Y419" s="380"/>
      <c r="Z419" s="380"/>
      <c r="AA419" s="380"/>
      <c r="AB419" s="380"/>
      <c r="AC419" s="404"/>
      <c r="AD419" s="380"/>
      <c r="AE419" s="380"/>
      <c r="AF419" s="380"/>
      <c r="AG419" s="380"/>
      <c r="AH419" s="380"/>
      <c r="AI419" s="380"/>
      <c r="AJ419" s="380"/>
      <c r="AK419" s="403"/>
      <c r="AL419" s="380"/>
      <c r="AM419" s="380"/>
      <c r="AN419" s="380"/>
      <c r="AO419" s="380"/>
      <c r="AP419" s="380"/>
      <c r="AQ419" s="404"/>
      <c r="AR419" s="380"/>
      <c r="AS419" s="380"/>
      <c r="AT419" s="380"/>
      <c r="AU419" s="380"/>
      <c r="AV419" s="380"/>
      <c r="AW419" s="380"/>
      <c r="AX419" s="380"/>
      <c r="AY419" s="403"/>
      <c r="AZ419" s="380"/>
      <c r="BA419" s="380"/>
      <c r="BB419" s="380"/>
      <c r="BC419" s="380"/>
      <c r="BD419" s="380"/>
      <c r="BE419" s="404"/>
      <c r="BF419" s="380"/>
      <c r="BG419" s="380"/>
      <c r="BH419" s="380"/>
      <c r="BI419" s="380"/>
      <c r="BJ419" s="380"/>
      <c r="BK419" s="380"/>
      <c r="BL419" s="380"/>
      <c r="BM419" s="403"/>
      <c r="BS419" s="83"/>
      <c r="CA419" s="405"/>
      <c r="CG419" s="83"/>
      <c r="CO419" s="405"/>
      <c r="CU419" s="83"/>
      <c r="DC419" s="405"/>
      <c r="DI419" s="83"/>
      <c r="DQ419" s="405"/>
      <c r="DW419" s="83"/>
      <c r="EE419" s="405"/>
      <c r="EK419" s="83"/>
      <c r="ES419" s="405"/>
      <c r="EY419" s="83"/>
      <c r="FG419" s="405"/>
      <c r="FM419" s="83"/>
      <c r="FU419" s="405"/>
      <c r="GA419" s="83"/>
      <c r="GI419" s="405"/>
      <c r="GO419" s="83"/>
      <c r="GW419" s="405"/>
      <c r="HC419" s="83"/>
      <c r="HK419" s="405"/>
      <c r="HQ419" s="83"/>
      <c r="HY419" s="405"/>
      <c r="IE419" s="83"/>
      <c r="IM419" s="405"/>
      <c r="IS419" s="83"/>
      <c r="JA419" s="405"/>
      <c r="JG419" s="83"/>
      <c r="JO419" s="405"/>
      <c r="JU419" s="83"/>
      <c r="KC419" s="405"/>
      <c r="KI419" s="83"/>
      <c r="KQ419" s="405"/>
      <c r="KW419" s="83"/>
      <c r="LE419" s="405"/>
      <c r="LK419" s="83"/>
      <c r="LS419" s="405"/>
      <c r="LY419" s="83"/>
      <c r="MG419" s="405"/>
      <c r="MM419" s="83"/>
      <c r="MU419" s="405"/>
      <c r="NA419" s="83"/>
    </row>
    <row r="420">
      <c r="A420" s="483"/>
      <c r="B420" s="380"/>
      <c r="C420" s="380"/>
      <c r="D420" s="380"/>
      <c r="E420" s="380"/>
      <c r="F420" s="380"/>
      <c r="G420" s="380"/>
      <c r="H420" s="380"/>
      <c r="I420" s="403"/>
      <c r="J420" s="380"/>
      <c r="K420" s="380"/>
      <c r="L420" s="380"/>
      <c r="M420" s="380"/>
      <c r="N420" s="380"/>
      <c r="O420" s="404"/>
      <c r="P420" s="380"/>
      <c r="Q420" s="380"/>
      <c r="R420" s="380"/>
      <c r="S420" s="380"/>
      <c r="T420" s="380"/>
      <c r="U420" s="380"/>
      <c r="V420" s="380"/>
      <c r="W420" s="403"/>
      <c r="X420" s="380"/>
      <c r="Y420" s="380"/>
      <c r="Z420" s="380"/>
      <c r="AA420" s="380"/>
      <c r="AB420" s="380"/>
      <c r="AC420" s="404"/>
      <c r="AD420" s="380"/>
      <c r="AE420" s="380"/>
      <c r="AF420" s="380"/>
      <c r="AG420" s="380"/>
      <c r="AH420" s="380"/>
      <c r="AI420" s="380"/>
      <c r="AJ420" s="380"/>
      <c r="AK420" s="403"/>
      <c r="AL420" s="380"/>
      <c r="AM420" s="380"/>
      <c r="AN420" s="380"/>
      <c r="AO420" s="380"/>
      <c r="AP420" s="380"/>
      <c r="AQ420" s="404"/>
      <c r="AR420" s="380"/>
      <c r="AS420" s="380"/>
      <c r="AT420" s="380"/>
      <c r="AU420" s="380"/>
      <c r="AV420" s="380"/>
      <c r="AW420" s="380"/>
      <c r="AX420" s="380"/>
      <c r="AY420" s="403"/>
      <c r="AZ420" s="380"/>
      <c r="BA420" s="380"/>
      <c r="BB420" s="380"/>
      <c r="BC420" s="380"/>
      <c r="BD420" s="380"/>
      <c r="BE420" s="404"/>
      <c r="BF420" s="380"/>
      <c r="BG420" s="380"/>
      <c r="BH420" s="380"/>
      <c r="BI420" s="380"/>
      <c r="BJ420" s="380"/>
      <c r="BK420" s="380"/>
      <c r="BL420" s="380"/>
      <c r="BM420" s="403"/>
      <c r="BS420" s="83"/>
      <c r="CA420" s="405"/>
      <c r="CG420" s="83"/>
      <c r="CO420" s="405"/>
      <c r="CU420" s="83"/>
      <c r="DC420" s="405"/>
      <c r="DI420" s="83"/>
      <c r="DQ420" s="405"/>
      <c r="DW420" s="83"/>
      <c r="EE420" s="405"/>
      <c r="EK420" s="83"/>
      <c r="ES420" s="405"/>
      <c r="EY420" s="83"/>
      <c r="FG420" s="405"/>
      <c r="FM420" s="83"/>
      <c r="FU420" s="405"/>
      <c r="GA420" s="83"/>
      <c r="GI420" s="405"/>
      <c r="GO420" s="83"/>
      <c r="GW420" s="405"/>
      <c r="HC420" s="83"/>
      <c r="HK420" s="405"/>
      <c r="HQ420" s="83"/>
      <c r="HY420" s="405"/>
      <c r="IE420" s="83"/>
      <c r="IM420" s="405"/>
      <c r="IS420" s="83"/>
      <c r="JA420" s="405"/>
      <c r="JG420" s="83"/>
      <c r="JO420" s="405"/>
      <c r="JU420" s="83"/>
      <c r="KC420" s="405"/>
      <c r="KI420" s="83"/>
      <c r="KQ420" s="405"/>
      <c r="KW420" s="83"/>
      <c r="LE420" s="405"/>
      <c r="LK420" s="83"/>
      <c r="LS420" s="405"/>
      <c r="LY420" s="83"/>
      <c r="MG420" s="405"/>
      <c r="MM420" s="83"/>
      <c r="MU420" s="405"/>
      <c r="NA420" s="83"/>
    </row>
    <row r="421">
      <c r="A421" s="483"/>
      <c r="B421" s="380"/>
      <c r="C421" s="380"/>
      <c r="D421" s="380"/>
      <c r="E421" s="380"/>
      <c r="F421" s="380"/>
      <c r="G421" s="380"/>
      <c r="H421" s="380"/>
      <c r="I421" s="403"/>
      <c r="J421" s="380"/>
      <c r="K421" s="380"/>
      <c r="L421" s="380"/>
      <c r="M421" s="380"/>
      <c r="N421" s="380"/>
      <c r="O421" s="404"/>
      <c r="P421" s="380"/>
      <c r="Q421" s="380"/>
      <c r="R421" s="380"/>
      <c r="S421" s="380"/>
      <c r="T421" s="380"/>
      <c r="U421" s="380"/>
      <c r="V421" s="380"/>
      <c r="W421" s="403"/>
      <c r="X421" s="380"/>
      <c r="Y421" s="380"/>
      <c r="Z421" s="380"/>
      <c r="AA421" s="380"/>
      <c r="AB421" s="380"/>
      <c r="AC421" s="404"/>
      <c r="AD421" s="380"/>
      <c r="AE421" s="380"/>
      <c r="AF421" s="380"/>
      <c r="AG421" s="380"/>
      <c r="AH421" s="380"/>
      <c r="AI421" s="380"/>
      <c r="AJ421" s="380"/>
      <c r="AK421" s="403"/>
      <c r="AL421" s="380"/>
      <c r="AM421" s="380"/>
      <c r="AN421" s="380"/>
      <c r="AO421" s="380"/>
      <c r="AP421" s="380"/>
      <c r="AQ421" s="404"/>
      <c r="AR421" s="380"/>
      <c r="AS421" s="380"/>
      <c r="AT421" s="380"/>
      <c r="AU421" s="380"/>
      <c r="AV421" s="380"/>
      <c r="AW421" s="380"/>
      <c r="AX421" s="380"/>
      <c r="AY421" s="403"/>
      <c r="AZ421" s="380"/>
      <c r="BA421" s="380"/>
      <c r="BB421" s="380"/>
      <c r="BC421" s="380"/>
      <c r="BD421" s="380"/>
      <c r="BE421" s="404"/>
      <c r="BF421" s="380"/>
      <c r="BG421" s="380"/>
      <c r="BH421" s="380"/>
      <c r="BI421" s="380"/>
      <c r="BJ421" s="380"/>
      <c r="BK421" s="380"/>
      <c r="BL421" s="380"/>
      <c r="BM421" s="403"/>
      <c r="BS421" s="83"/>
      <c r="CA421" s="405"/>
      <c r="CG421" s="83"/>
      <c r="CO421" s="405"/>
      <c r="CU421" s="83"/>
      <c r="DC421" s="405"/>
      <c r="DI421" s="83"/>
      <c r="DQ421" s="405"/>
      <c r="DW421" s="83"/>
      <c r="EE421" s="405"/>
      <c r="EK421" s="83"/>
      <c r="ES421" s="405"/>
      <c r="EY421" s="83"/>
      <c r="FG421" s="405"/>
      <c r="FM421" s="83"/>
      <c r="FU421" s="405"/>
      <c r="GA421" s="83"/>
      <c r="GI421" s="405"/>
      <c r="GO421" s="83"/>
      <c r="GW421" s="405"/>
      <c r="HC421" s="83"/>
      <c r="HK421" s="405"/>
      <c r="HQ421" s="83"/>
      <c r="HY421" s="405"/>
      <c r="IE421" s="83"/>
      <c r="IM421" s="405"/>
      <c r="IS421" s="83"/>
      <c r="JA421" s="405"/>
      <c r="JG421" s="83"/>
      <c r="JO421" s="405"/>
      <c r="JU421" s="83"/>
      <c r="KC421" s="405"/>
      <c r="KI421" s="83"/>
      <c r="KQ421" s="405"/>
      <c r="KW421" s="83"/>
      <c r="LE421" s="405"/>
      <c r="LK421" s="83"/>
      <c r="LS421" s="405"/>
      <c r="LY421" s="83"/>
      <c r="MG421" s="405"/>
      <c r="MM421" s="83"/>
      <c r="MU421" s="405"/>
      <c r="NA421" s="83"/>
    </row>
    <row r="422">
      <c r="A422" s="483"/>
      <c r="B422" s="380"/>
      <c r="C422" s="380"/>
      <c r="D422" s="380"/>
      <c r="E422" s="380"/>
      <c r="F422" s="380"/>
      <c r="G422" s="380"/>
      <c r="H422" s="380"/>
      <c r="I422" s="403"/>
      <c r="J422" s="380"/>
      <c r="K422" s="380"/>
      <c r="L422" s="380"/>
      <c r="M422" s="380"/>
      <c r="N422" s="380"/>
      <c r="O422" s="404"/>
      <c r="P422" s="380"/>
      <c r="Q422" s="380"/>
      <c r="R422" s="380"/>
      <c r="S422" s="380"/>
      <c r="T422" s="380"/>
      <c r="U422" s="380"/>
      <c r="V422" s="380"/>
      <c r="W422" s="403"/>
      <c r="X422" s="380"/>
      <c r="Y422" s="380"/>
      <c r="Z422" s="380"/>
      <c r="AA422" s="380"/>
      <c r="AB422" s="380"/>
      <c r="AC422" s="404"/>
      <c r="AD422" s="380"/>
      <c r="AE422" s="380"/>
      <c r="AF422" s="380"/>
      <c r="AG422" s="380"/>
      <c r="AH422" s="380"/>
      <c r="AI422" s="380"/>
      <c r="AJ422" s="380"/>
      <c r="AK422" s="403"/>
      <c r="AL422" s="380"/>
      <c r="AM422" s="380"/>
      <c r="AN422" s="380"/>
      <c r="AO422" s="380"/>
      <c r="AP422" s="380"/>
      <c r="AQ422" s="404"/>
      <c r="AR422" s="380"/>
      <c r="AS422" s="380"/>
      <c r="AT422" s="380"/>
      <c r="AU422" s="380"/>
      <c r="AV422" s="380"/>
      <c r="AW422" s="380"/>
      <c r="AX422" s="380"/>
      <c r="AY422" s="403"/>
      <c r="AZ422" s="380"/>
      <c r="BA422" s="380"/>
      <c r="BB422" s="380"/>
      <c r="BC422" s="380"/>
      <c r="BD422" s="380"/>
      <c r="BE422" s="404"/>
      <c r="BF422" s="380"/>
      <c r="BG422" s="380"/>
      <c r="BH422" s="380"/>
      <c r="BI422" s="380"/>
      <c r="BJ422" s="380"/>
      <c r="BK422" s="380"/>
      <c r="BL422" s="380"/>
      <c r="BM422" s="403"/>
      <c r="BS422" s="83"/>
      <c r="CA422" s="405"/>
      <c r="CG422" s="83"/>
      <c r="CO422" s="405"/>
      <c r="CU422" s="83"/>
      <c r="DC422" s="405"/>
      <c r="DI422" s="83"/>
      <c r="DQ422" s="405"/>
      <c r="DW422" s="83"/>
      <c r="EE422" s="405"/>
      <c r="EK422" s="83"/>
      <c r="ES422" s="405"/>
      <c r="EY422" s="83"/>
      <c r="FG422" s="405"/>
      <c r="FM422" s="83"/>
      <c r="FU422" s="405"/>
      <c r="GA422" s="83"/>
      <c r="GI422" s="405"/>
      <c r="GO422" s="83"/>
      <c r="GW422" s="405"/>
      <c r="HC422" s="83"/>
      <c r="HK422" s="405"/>
      <c r="HQ422" s="83"/>
      <c r="HY422" s="405"/>
      <c r="IE422" s="83"/>
      <c r="IM422" s="405"/>
      <c r="IS422" s="83"/>
      <c r="JA422" s="405"/>
      <c r="JG422" s="83"/>
      <c r="JO422" s="405"/>
      <c r="JU422" s="83"/>
      <c r="KC422" s="405"/>
      <c r="KI422" s="83"/>
      <c r="KQ422" s="405"/>
      <c r="KW422" s="83"/>
      <c r="LE422" s="405"/>
      <c r="LK422" s="83"/>
      <c r="LS422" s="405"/>
      <c r="LY422" s="83"/>
      <c r="MG422" s="405"/>
      <c r="MM422" s="83"/>
      <c r="MU422" s="405"/>
      <c r="NA422" s="83"/>
    </row>
    <row r="423">
      <c r="A423" s="483"/>
      <c r="B423" s="380"/>
      <c r="C423" s="380"/>
      <c r="D423" s="380"/>
      <c r="E423" s="380"/>
      <c r="F423" s="380"/>
      <c r="G423" s="380"/>
      <c r="H423" s="380"/>
      <c r="I423" s="403"/>
      <c r="J423" s="380"/>
      <c r="K423" s="380"/>
      <c r="L423" s="380"/>
      <c r="M423" s="380"/>
      <c r="N423" s="380"/>
      <c r="O423" s="404"/>
      <c r="P423" s="380"/>
      <c r="Q423" s="380"/>
      <c r="R423" s="380"/>
      <c r="S423" s="380"/>
      <c r="T423" s="380"/>
      <c r="U423" s="380"/>
      <c r="V423" s="380"/>
      <c r="W423" s="403"/>
      <c r="X423" s="380"/>
      <c r="Y423" s="380"/>
      <c r="Z423" s="380"/>
      <c r="AA423" s="380"/>
      <c r="AB423" s="380"/>
      <c r="AC423" s="404"/>
      <c r="AD423" s="380"/>
      <c r="AE423" s="380"/>
      <c r="AF423" s="380"/>
      <c r="AG423" s="380"/>
      <c r="AH423" s="380"/>
      <c r="AI423" s="380"/>
      <c r="AJ423" s="380"/>
      <c r="AK423" s="403"/>
      <c r="AL423" s="380"/>
      <c r="AM423" s="380"/>
      <c r="AN423" s="380"/>
      <c r="AO423" s="380"/>
      <c r="AP423" s="380"/>
      <c r="AQ423" s="404"/>
      <c r="AR423" s="380"/>
      <c r="AS423" s="380"/>
      <c r="AT423" s="380"/>
      <c r="AU423" s="380"/>
      <c r="AV423" s="380"/>
      <c r="AW423" s="380"/>
      <c r="AX423" s="380"/>
      <c r="AY423" s="403"/>
      <c r="AZ423" s="380"/>
      <c r="BA423" s="380"/>
      <c r="BB423" s="380"/>
      <c r="BC423" s="380"/>
      <c r="BD423" s="380"/>
      <c r="BE423" s="404"/>
      <c r="BF423" s="380"/>
      <c r="BG423" s="380"/>
      <c r="BH423" s="380"/>
      <c r="BI423" s="380"/>
      <c r="BJ423" s="380"/>
      <c r="BK423" s="380"/>
      <c r="BL423" s="380"/>
      <c r="BM423" s="403"/>
      <c r="BS423" s="83"/>
      <c r="CA423" s="405"/>
      <c r="CG423" s="83"/>
      <c r="CO423" s="405"/>
      <c r="CU423" s="83"/>
      <c r="DC423" s="405"/>
      <c r="DI423" s="83"/>
      <c r="DQ423" s="405"/>
      <c r="DW423" s="83"/>
      <c r="EE423" s="405"/>
      <c r="EK423" s="83"/>
      <c r="ES423" s="405"/>
      <c r="EY423" s="83"/>
      <c r="FG423" s="405"/>
      <c r="FM423" s="83"/>
      <c r="FU423" s="405"/>
      <c r="GA423" s="83"/>
      <c r="GI423" s="405"/>
      <c r="GO423" s="83"/>
      <c r="GW423" s="405"/>
      <c r="HC423" s="83"/>
      <c r="HK423" s="405"/>
      <c r="HQ423" s="83"/>
      <c r="HY423" s="405"/>
      <c r="IE423" s="83"/>
      <c r="IM423" s="405"/>
      <c r="IS423" s="83"/>
      <c r="JA423" s="405"/>
      <c r="JG423" s="83"/>
      <c r="JO423" s="405"/>
      <c r="JU423" s="83"/>
      <c r="KC423" s="405"/>
      <c r="KI423" s="83"/>
      <c r="KQ423" s="405"/>
      <c r="KW423" s="83"/>
      <c r="LE423" s="405"/>
      <c r="LK423" s="83"/>
      <c r="LS423" s="405"/>
      <c r="LY423" s="83"/>
      <c r="MG423" s="405"/>
      <c r="MM423" s="83"/>
      <c r="MU423" s="405"/>
      <c r="NA423" s="83"/>
    </row>
    <row r="424">
      <c r="A424" s="483"/>
      <c r="B424" s="380"/>
      <c r="C424" s="380"/>
      <c r="D424" s="380"/>
      <c r="E424" s="380"/>
      <c r="F424" s="380"/>
      <c r="G424" s="380"/>
      <c r="H424" s="380"/>
      <c r="I424" s="403"/>
      <c r="J424" s="380"/>
      <c r="K424" s="380"/>
      <c r="L424" s="380"/>
      <c r="M424" s="380"/>
      <c r="N424" s="380"/>
      <c r="O424" s="404"/>
      <c r="P424" s="380"/>
      <c r="Q424" s="380"/>
      <c r="R424" s="380"/>
      <c r="S424" s="380"/>
      <c r="T424" s="380"/>
      <c r="U424" s="380"/>
      <c r="V424" s="380"/>
      <c r="W424" s="403"/>
      <c r="X424" s="380"/>
      <c r="Y424" s="380"/>
      <c r="Z424" s="380"/>
      <c r="AA424" s="380"/>
      <c r="AB424" s="380"/>
      <c r="AC424" s="404"/>
      <c r="AD424" s="380"/>
      <c r="AE424" s="380"/>
      <c r="AF424" s="380"/>
      <c r="AG424" s="380"/>
      <c r="AH424" s="380"/>
      <c r="AI424" s="380"/>
      <c r="AJ424" s="380"/>
      <c r="AK424" s="403"/>
      <c r="AL424" s="380"/>
      <c r="AM424" s="380"/>
      <c r="AN424" s="380"/>
      <c r="AO424" s="380"/>
      <c r="AP424" s="380"/>
      <c r="AQ424" s="404"/>
      <c r="AR424" s="380"/>
      <c r="AS424" s="380"/>
      <c r="AT424" s="380"/>
      <c r="AU424" s="380"/>
      <c r="AV424" s="380"/>
      <c r="AW424" s="380"/>
      <c r="AX424" s="380"/>
      <c r="AY424" s="403"/>
      <c r="AZ424" s="380"/>
      <c r="BA424" s="380"/>
      <c r="BB424" s="380"/>
      <c r="BC424" s="380"/>
      <c r="BD424" s="380"/>
      <c r="BE424" s="404"/>
      <c r="BF424" s="380"/>
      <c r="BG424" s="380"/>
      <c r="BH424" s="380"/>
      <c r="BI424" s="380"/>
      <c r="BJ424" s="380"/>
      <c r="BK424" s="380"/>
      <c r="BL424" s="380"/>
      <c r="BM424" s="403"/>
      <c r="BS424" s="83"/>
      <c r="CA424" s="405"/>
      <c r="CG424" s="83"/>
      <c r="CO424" s="405"/>
      <c r="CU424" s="83"/>
      <c r="DC424" s="405"/>
      <c r="DI424" s="83"/>
      <c r="DQ424" s="405"/>
      <c r="DW424" s="83"/>
      <c r="EE424" s="405"/>
      <c r="EK424" s="83"/>
      <c r="ES424" s="405"/>
      <c r="EY424" s="83"/>
      <c r="FG424" s="405"/>
      <c r="FM424" s="83"/>
      <c r="FU424" s="405"/>
      <c r="GA424" s="83"/>
      <c r="GI424" s="405"/>
      <c r="GO424" s="83"/>
      <c r="GW424" s="405"/>
      <c r="HC424" s="83"/>
      <c r="HK424" s="405"/>
      <c r="HQ424" s="83"/>
      <c r="HY424" s="405"/>
      <c r="IE424" s="83"/>
      <c r="IM424" s="405"/>
      <c r="IS424" s="83"/>
      <c r="JA424" s="405"/>
      <c r="JG424" s="83"/>
      <c r="JO424" s="405"/>
      <c r="JU424" s="83"/>
      <c r="KC424" s="405"/>
      <c r="KI424" s="83"/>
      <c r="KQ424" s="405"/>
      <c r="KW424" s="83"/>
      <c r="LE424" s="405"/>
      <c r="LK424" s="83"/>
      <c r="LS424" s="405"/>
      <c r="LY424" s="83"/>
      <c r="MG424" s="405"/>
      <c r="MM424" s="83"/>
      <c r="MU424" s="405"/>
      <c r="NA424" s="83"/>
    </row>
    <row r="425">
      <c r="A425" s="483"/>
      <c r="B425" s="380"/>
      <c r="C425" s="380"/>
      <c r="D425" s="380"/>
      <c r="E425" s="380"/>
      <c r="F425" s="380"/>
      <c r="G425" s="380"/>
      <c r="H425" s="380"/>
      <c r="I425" s="403"/>
      <c r="J425" s="380"/>
      <c r="K425" s="380"/>
      <c r="L425" s="380"/>
      <c r="M425" s="380"/>
      <c r="N425" s="380"/>
      <c r="O425" s="404"/>
      <c r="P425" s="380"/>
      <c r="Q425" s="380"/>
      <c r="R425" s="380"/>
      <c r="S425" s="380"/>
      <c r="T425" s="380"/>
      <c r="U425" s="380"/>
      <c r="V425" s="380"/>
      <c r="W425" s="403"/>
      <c r="X425" s="380"/>
      <c r="Y425" s="380"/>
      <c r="Z425" s="380"/>
      <c r="AA425" s="380"/>
      <c r="AB425" s="380"/>
      <c r="AC425" s="404"/>
      <c r="AD425" s="380"/>
      <c r="AE425" s="380"/>
      <c r="AF425" s="380"/>
      <c r="AG425" s="380"/>
      <c r="AH425" s="380"/>
      <c r="AI425" s="380"/>
      <c r="AJ425" s="380"/>
      <c r="AK425" s="403"/>
      <c r="AL425" s="380"/>
      <c r="AM425" s="380"/>
      <c r="AN425" s="380"/>
      <c r="AO425" s="380"/>
      <c r="AP425" s="380"/>
      <c r="AQ425" s="404"/>
      <c r="AR425" s="380"/>
      <c r="AS425" s="380"/>
      <c r="AT425" s="380"/>
      <c r="AU425" s="380"/>
      <c r="AV425" s="380"/>
      <c r="AW425" s="380"/>
      <c r="AX425" s="380"/>
      <c r="AY425" s="403"/>
      <c r="AZ425" s="380"/>
      <c r="BA425" s="380"/>
      <c r="BB425" s="380"/>
      <c r="BC425" s="380"/>
      <c r="BD425" s="380"/>
      <c r="BE425" s="404"/>
      <c r="BF425" s="380"/>
      <c r="BG425" s="380"/>
      <c r="BH425" s="380"/>
      <c r="BI425" s="380"/>
      <c r="BJ425" s="380"/>
      <c r="BK425" s="380"/>
      <c r="BL425" s="380"/>
      <c r="BM425" s="403"/>
      <c r="BS425" s="83"/>
      <c r="CA425" s="405"/>
      <c r="CG425" s="83"/>
      <c r="CO425" s="405"/>
      <c r="CU425" s="83"/>
      <c r="DC425" s="405"/>
      <c r="DI425" s="83"/>
      <c r="DQ425" s="405"/>
      <c r="DW425" s="83"/>
      <c r="EE425" s="405"/>
      <c r="EK425" s="83"/>
      <c r="ES425" s="405"/>
      <c r="EY425" s="83"/>
      <c r="FG425" s="405"/>
      <c r="FM425" s="83"/>
      <c r="FU425" s="405"/>
      <c r="GA425" s="83"/>
      <c r="GI425" s="405"/>
      <c r="GO425" s="83"/>
      <c r="GW425" s="405"/>
      <c r="HC425" s="83"/>
      <c r="HK425" s="405"/>
      <c r="HQ425" s="83"/>
      <c r="HY425" s="405"/>
      <c r="IE425" s="83"/>
      <c r="IM425" s="405"/>
      <c r="IS425" s="83"/>
      <c r="JA425" s="405"/>
      <c r="JG425" s="83"/>
      <c r="JO425" s="405"/>
      <c r="JU425" s="83"/>
      <c r="KC425" s="405"/>
      <c r="KI425" s="83"/>
      <c r="KQ425" s="405"/>
      <c r="KW425" s="83"/>
      <c r="LE425" s="405"/>
      <c r="LK425" s="83"/>
      <c r="LS425" s="405"/>
      <c r="LY425" s="83"/>
      <c r="MG425" s="405"/>
      <c r="MM425" s="83"/>
      <c r="MU425" s="405"/>
      <c r="NA425" s="83"/>
    </row>
    <row r="426">
      <c r="A426" s="483"/>
      <c r="B426" s="380"/>
      <c r="C426" s="380"/>
      <c r="D426" s="380"/>
      <c r="E426" s="380"/>
      <c r="F426" s="380"/>
      <c r="G426" s="380"/>
      <c r="H426" s="380"/>
      <c r="I426" s="403"/>
      <c r="J426" s="380"/>
      <c r="K426" s="380"/>
      <c r="L426" s="380"/>
      <c r="M426" s="380"/>
      <c r="N426" s="380"/>
      <c r="O426" s="404"/>
      <c r="P426" s="380"/>
      <c r="Q426" s="380"/>
      <c r="R426" s="380"/>
      <c r="S426" s="380"/>
      <c r="T426" s="380"/>
      <c r="U426" s="380"/>
      <c r="V426" s="380"/>
      <c r="W426" s="403"/>
      <c r="X426" s="380"/>
      <c r="Y426" s="380"/>
      <c r="Z426" s="380"/>
      <c r="AA426" s="380"/>
      <c r="AB426" s="380"/>
      <c r="AC426" s="404"/>
      <c r="AD426" s="380"/>
      <c r="AE426" s="380"/>
      <c r="AF426" s="380"/>
      <c r="AG426" s="380"/>
      <c r="AH426" s="380"/>
      <c r="AI426" s="380"/>
      <c r="AJ426" s="380"/>
      <c r="AK426" s="403"/>
      <c r="AL426" s="380"/>
      <c r="AM426" s="380"/>
      <c r="AN426" s="380"/>
      <c r="AO426" s="380"/>
      <c r="AP426" s="380"/>
      <c r="AQ426" s="404"/>
      <c r="AR426" s="380"/>
      <c r="AS426" s="380"/>
      <c r="AT426" s="380"/>
      <c r="AU426" s="380"/>
      <c r="AV426" s="380"/>
      <c r="AW426" s="380"/>
      <c r="AX426" s="380"/>
      <c r="AY426" s="403"/>
      <c r="AZ426" s="380"/>
      <c r="BA426" s="380"/>
      <c r="BB426" s="380"/>
      <c r="BC426" s="380"/>
      <c r="BD426" s="380"/>
      <c r="BE426" s="404"/>
      <c r="BF426" s="380"/>
      <c r="BG426" s="380"/>
      <c r="BH426" s="380"/>
      <c r="BI426" s="380"/>
      <c r="BJ426" s="380"/>
      <c r="BK426" s="380"/>
      <c r="BL426" s="380"/>
      <c r="BM426" s="403"/>
      <c r="BS426" s="83"/>
      <c r="CA426" s="405"/>
      <c r="CG426" s="83"/>
      <c r="CO426" s="405"/>
      <c r="CU426" s="83"/>
      <c r="DC426" s="405"/>
      <c r="DI426" s="83"/>
      <c r="DQ426" s="405"/>
      <c r="DW426" s="83"/>
      <c r="EE426" s="405"/>
      <c r="EK426" s="83"/>
      <c r="ES426" s="405"/>
      <c r="EY426" s="83"/>
      <c r="FG426" s="405"/>
      <c r="FM426" s="83"/>
      <c r="FU426" s="405"/>
      <c r="GA426" s="83"/>
      <c r="GI426" s="405"/>
      <c r="GO426" s="83"/>
      <c r="GW426" s="405"/>
      <c r="HC426" s="83"/>
      <c r="HK426" s="405"/>
      <c r="HQ426" s="83"/>
      <c r="HY426" s="405"/>
      <c r="IE426" s="83"/>
      <c r="IM426" s="405"/>
      <c r="IS426" s="83"/>
      <c r="JA426" s="405"/>
      <c r="JG426" s="83"/>
      <c r="JO426" s="405"/>
      <c r="JU426" s="83"/>
      <c r="KC426" s="405"/>
      <c r="KI426" s="83"/>
      <c r="KQ426" s="405"/>
      <c r="KW426" s="83"/>
      <c r="LE426" s="405"/>
      <c r="LK426" s="83"/>
      <c r="LS426" s="405"/>
      <c r="LY426" s="83"/>
      <c r="MG426" s="405"/>
      <c r="MM426" s="83"/>
      <c r="MU426" s="405"/>
      <c r="NA426" s="83"/>
    </row>
    <row r="427">
      <c r="A427" s="483"/>
      <c r="B427" s="380"/>
      <c r="C427" s="380"/>
      <c r="D427" s="380"/>
      <c r="E427" s="380"/>
      <c r="F427" s="380"/>
      <c r="G427" s="380"/>
      <c r="H427" s="380"/>
      <c r="I427" s="403"/>
      <c r="J427" s="380"/>
      <c r="K427" s="380"/>
      <c r="L427" s="380"/>
      <c r="M427" s="380"/>
      <c r="N427" s="380"/>
      <c r="O427" s="404"/>
      <c r="P427" s="380"/>
      <c r="Q427" s="380"/>
      <c r="R427" s="380"/>
      <c r="S427" s="380"/>
      <c r="T427" s="380"/>
      <c r="U427" s="380"/>
      <c r="V427" s="380"/>
      <c r="W427" s="403"/>
      <c r="X427" s="380"/>
      <c r="Y427" s="380"/>
      <c r="Z427" s="380"/>
      <c r="AA427" s="380"/>
      <c r="AB427" s="380"/>
      <c r="AC427" s="404"/>
      <c r="AD427" s="380"/>
      <c r="AE427" s="380"/>
      <c r="AF427" s="380"/>
      <c r="AG427" s="380"/>
      <c r="AH427" s="380"/>
      <c r="AI427" s="380"/>
      <c r="AJ427" s="380"/>
      <c r="AK427" s="403"/>
      <c r="AL427" s="380"/>
      <c r="AM427" s="380"/>
      <c r="AN427" s="380"/>
      <c r="AO427" s="380"/>
      <c r="AP427" s="380"/>
      <c r="AQ427" s="404"/>
      <c r="AR427" s="380"/>
      <c r="AS427" s="380"/>
      <c r="AT427" s="380"/>
      <c r="AU427" s="380"/>
      <c r="AV427" s="380"/>
      <c r="AW427" s="380"/>
      <c r="AX427" s="380"/>
      <c r="AY427" s="403"/>
      <c r="AZ427" s="380"/>
      <c r="BA427" s="380"/>
      <c r="BB427" s="380"/>
      <c r="BC427" s="380"/>
      <c r="BD427" s="380"/>
      <c r="BE427" s="404"/>
      <c r="BF427" s="380"/>
      <c r="BG427" s="380"/>
      <c r="BH427" s="380"/>
      <c r="BI427" s="380"/>
      <c r="BJ427" s="380"/>
      <c r="BK427" s="380"/>
      <c r="BL427" s="380"/>
      <c r="BM427" s="403"/>
      <c r="BS427" s="83"/>
      <c r="CA427" s="405"/>
      <c r="CG427" s="83"/>
      <c r="CO427" s="405"/>
      <c r="CU427" s="83"/>
      <c r="DC427" s="405"/>
      <c r="DI427" s="83"/>
      <c r="DQ427" s="405"/>
      <c r="DW427" s="83"/>
      <c r="EE427" s="405"/>
      <c r="EK427" s="83"/>
      <c r="ES427" s="405"/>
      <c r="EY427" s="83"/>
      <c r="FG427" s="405"/>
      <c r="FM427" s="83"/>
      <c r="FU427" s="405"/>
      <c r="GA427" s="83"/>
      <c r="GI427" s="405"/>
      <c r="GO427" s="83"/>
      <c r="GW427" s="405"/>
      <c r="HC427" s="83"/>
      <c r="HK427" s="405"/>
      <c r="HQ427" s="83"/>
      <c r="HY427" s="405"/>
      <c r="IE427" s="83"/>
      <c r="IM427" s="405"/>
      <c r="IS427" s="83"/>
      <c r="JA427" s="405"/>
      <c r="JG427" s="83"/>
      <c r="JO427" s="405"/>
      <c r="JU427" s="83"/>
      <c r="KC427" s="405"/>
      <c r="KI427" s="83"/>
      <c r="KQ427" s="405"/>
      <c r="KW427" s="83"/>
      <c r="LE427" s="405"/>
      <c r="LK427" s="83"/>
      <c r="LS427" s="405"/>
      <c r="LY427" s="83"/>
      <c r="MG427" s="405"/>
      <c r="MM427" s="83"/>
      <c r="MU427" s="405"/>
      <c r="NA427" s="83"/>
    </row>
    <row r="428">
      <c r="A428" s="483"/>
      <c r="B428" s="380"/>
      <c r="C428" s="380"/>
      <c r="D428" s="380"/>
      <c r="E428" s="380"/>
      <c r="F428" s="380"/>
      <c r="G428" s="380"/>
      <c r="H428" s="380"/>
      <c r="I428" s="403"/>
      <c r="J428" s="380"/>
      <c r="K428" s="380"/>
      <c r="L428" s="380"/>
      <c r="M428" s="380"/>
      <c r="N428" s="380"/>
      <c r="O428" s="404"/>
      <c r="P428" s="380"/>
      <c r="Q428" s="380"/>
      <c r="R428" s="380"/>
      <c r="S428" s="380"/>
      <c r="T428" s="380"/>
      <c r="U428" s="380"/>
      <c r="V428" s="380"/>
      <c r="W428" s="403"/>
      <c r="X428" s="380"/>
      <c r="Y428" s="380"/>
      <c r="Z428" s="380"/>
      <c r="AA428" s="380"/>
      <c r="AB428" s="380"/>
      <c r="AC428" s="404"/>
      <c r="AD428" s="380"/>
      <c r="AE428" s="380"/>
      <c r="AF428" s="380"/>
      <c r="AG428" s="380"/>
      <c r="AH428" s="380"/>
      <c r="AI428" s="380"/>
      <c r="AJ428" s="380"/>
      <c r="AK428" s="403"/>
      <c r="AL428" s="380"/>
      <c r="AM428" s="380"/>
      <c r="AN428" s="380"/>
      <c r="AO428" s="380"/>
      <c r="AP428" s="380"/>
      <c r="AQ428" s="404"/>
      <c r="AR428" s="380"/>
      <c r="AS428" s="380"/>
      <c r="AT428" s="380"/>
      <c r="AU428" s="380"/>
      <c r="AV428" s="380"/>
      <c r="AW428" s="380"/>
      <c r="AX428" s="380"/>
      <c r="AY428" s="403"/>
      <c r="AZ428" s="380"/>
      <c r="BA428" s="380"/>
      <c r="BB428" s="380"/>
      <c r="BC428" s="380"/>
      <c r="BD428" s="380"/>
      <c r="BE428" s="404"/>
      <c r="BF428" s="380"/>
      <c r="BG428" s="380"/>
      <c r="BH428" s="380"/>
      <c r="BI428" s="380"/>
      <c r="BJ428" s="380"/>
      <c r="BK428" s="380"/>
      <c r="BL428" s="380"/>
      <c r="BM428" s="403"/>
      <c r="BS428" s="83"/>
      <c r="CA428" s="405"/>
      <c r="CG428" s="83"/>
      <c r="CO428" s="405"/>
      <c r="CU428" s="83"/>
      <c r="DC428" s="405"/>
      <c r="DI428" s="83"/>
      <c r="DQ428" s="405"/>
      <c r="DW428" s="83"/>
      <c r="EE428" s="405"/>
      <c r="EK428" s="83"/>
      <c r="ES428" s="405"/>
      <c r="EY428" s="83"/>
      <c r="FG428" s="405"/>
      <c r="FM428" s="83"/>
      <c r="FU428" s="405"/>
      <c r="GA428" s="83"/>
      <c r="GI428" s="405"/>
      <c r="GO428" s="83"/>
      <c r="GW428" s="405"/>
      <c r="HC428" s="83"/>
      <c r="HK428" s="405"/>
      <c r="HQ428" s="83"/>
      <c r="HY428" s="405"/>
      <c r="IE428" s="83"/>
      <c r="IM428" s="405"/>
      <c r="IS428" s="83"/>
      <c r="JA428" s="405"/>
      <c r="JG428" s="83"/>
      <c r="JO428" s="405"/>
      <c r="JU428" s="83"/>
      <c r="KC428" s="405"/>
      <c r="KI428" s="83"/>
      <c r="KQ428" s="405"/>
      <c r="KW428" s="83"/>
      <c r="LE428" s="405"/>
      <c r="LK428" s="83"/>
      <c r="LS428" s="405"/>
      <c r="LY428" s="83"/>
      <c r="MG428" s="405"/>
      <c r="MM428" s="83"/>
      <c r="MU428" s="405"/>
      <c r="NA428" s="83"/>
    </row>
    <row r="429">
      <c r="A429" s="483"/>
      <c r="B429" s="380"/>
      <c r="C429" s="380"/>
      <c r="D429" s="380"/>
      <c r="E429" s="380"/>
      <c r="F429" s="380"/>
      <c r="G429" s="380"/>
      <c r="H429" s="380"/>
      <c r="I429" s="403"/>
      <c r="J429" s="380"/>
      <c r="K429" s="380"/>
      <c r="L429" s="380"/>
      <c r="M429" s="380"/>
      <c r="N429" s="380"/>
      <c r="O429" s="404"/>
      <c r="P429" s="380"/>
      <c r="Q429" s="380"/>
      <c r="R429" s="380"/>
      <c r="S429" s="380"/>
      <c r="T429" s="380"/>
      <c r="U429" s="380"/>
      <c r="V429" s="380"/>
      <c r="W429" s="403"/>
      <c r="X429" s="380"/>
      <c r="Y429" s="380"/>
      <c r="Z429" s="380"/>
      <c r="AA429" s="380"/>
      <c r="AB429" s="380"/>
      <c r="AC429" s="404"/>
      <c r="AD429" s="380"/>
      <c r="AE429" s="380"/>
      <c r="AF429" s="380"/>
      <c r="AG429" s="380"/>
      <c r="AH429" s="380"/>
      <c r="AI429" s="380"/>
      <c r="AJ429" s="380"/>
      <c r="AK429" s="403"/>
      <c r="AL429" s="380"/>
      <c r="AM429" s="380"/>
      <c r="AN429" s="380"/>
      <c r="AO429" s="380"/>
      <c r="AP429" s="380"/>
      <c r="AQ429" s="404"/>
      <c r="AR429" s="380"/>
      <c r="AS429" s="380"/>
      <c r="AT429" s="380"/>
      <c r="AU429" s="380"/>
      <c r="AV429" s="380"/>
      <c r="AW429" s="380"/>
      <c r="AX429" s="380"/>
      <c r="AY429" s="403"/>
      <c r="AZ429" s="380"/>
      <c r="BA429" s="380"/>
      <c r="BB429" s="380"/>
      <c r="BC429" s="380"/>
      <c r="BD429" s="380"/>
      <c r="BE429" s="404"/>
      <c r="BF429" s="380"/>
      <c r="BG429" s="380"/>
      <c r="BH429" s="380"/>
      <c r="BI429" s="380"/>
      <c r="BJ429" s="380"/>
      <c r="BK429" s="380"/>
      <c r="BL429" s="380"/>
      <c r="BM429" s="403"/>
      <c r="BS429" s="83"/>
      <c r="CA429" s="405"/>
      <c r="CG429" s="83"/>
      <c r="CO429" s="405"/>
      <c r="CU429" s="83"/>
      <c r="DC429" s="405"/>
      <c r="DI429" s="83"/>
      <c r="DQ429" s="405"/>
      <c r="DW429" s="83"/>
      <c r="EE429" s="405"/>
      <c r="EK429" s="83"/>
      <c r="ES429" s="405"/>
      <c r="EY429" s="83"/>
      <c r="FG429" s="405"/>
      <c r="FM429" s="83"/>
      <c r="FU429" s="405"/>
      <c r="GA429" s="83"/>
      <c r="GI429" s="405"/>
      <c r="GO429" s="83"/>
      <c r="GW429" s="405"/>
      <c r="HC429" s="83"/>
      <c r="HK429" s="405"/>
      <c r="HQ429" s="83"/>
      <c r="HY429" s="405"/>
      <c r="IE429" s="83"/>
      <c r="IM429" s="405"/>
      <c r="IS429" s="83"/>
      <c r="JA429" s="405"/>
      <c r="JG429" s="83"/>
      <c r="JO429" s="405"/>
      <c r="JU429" s="83"/>
      <c r="KC429" s="405"/>
      <c r="KI429" s="83"/>
      <c r="KQ429" s="405"/>
      <c r="KW429" s="83"/>
      <c r="LE429" s="405"/>
      <c r="LK429" s="83"/>
      <c r="LS429" s="405"/>
      <c r="LY429" s="83"/>
      <c r="MG429" s="405"/>
      <c r="MM429" s="83"/>
      <c r="MU429" s="405"/>
      <c r="NA429" s="83"/>
    </row>
    <row r="430">
      <c r="A430" s="483"/>
      <c r="B430" s="380"/>
      <c r="C430" s="380"/>
      <c r="D430" s="380"/>
      <c r="E430" s="380"/>
      <c r="F430" s="380"/>
      <c r="G430" s="380"/>
      <c r="H430" s="380"/>
      <c r="I430" s="403"/>
      <c r="J430" s="380"/>
      <c r="K430" s="380"/>
      <c r="L430" s="380"/>
      <c r="M430" s="380"/>
      <c r="N430" s="380"/>
      <c r="O430" s="404"/>
      <c r="P430" s="380"/>
      <c r="Q430" s="380"/>
      <c r="R430" s="380"/>
      <c r="S430" s="380"/>
      <c r="T430" s="380"/>
      <c r="U430" s="380"/>
      <c r="V430" s="380"/>
      <c r="W430" s="403"/>
      <c r="X430" s="380"/>
      <c r="Y430" s="380"/>
      <c r="Z430" s="380"/>
      <c r="AA430" s="380"/>
      <c r="AB430" s="380"/>
      <c r="AC430" s="404"/>
      <c r="AD430" s="380"/>
      <c r="AE430" s="380"/>
      <c r="AF430" s="380"/>
      <c r="AG430" s="380"/>
      <c r="AH430" s="380"/>
      <c r="AI430" s="380"/>
      <c r="AJ430" s="380"/>
      <c r="AK430" s="403"/>
      <c r="AL430" s="380"/>
      <c r="AM430" s="380"/>
      <c r="AN430" s="380"/>
      <c r="AO430" s="380"/>
      <c r="AP430" s="380"/>
      <c r="AQ430" s="404"/>
      <c r="AR430" s="380"/>
      <c r="AS430" s="380"/>
      <c r="AT430" s="380"/>
      <c r="AU430" s="380"/>
      <c r="AV430" s="380"/>
      <c r="AW430" s="380"/>
      <c r="AX430" s="380"/>
      <c r="AY430" s="403"/>
      <c r="AZ430" s="380"/>
      <c r="BA430" s="380"/>
      <c r="BB430" s="380"/>
      <c r="BC430" s="380"/>
      <c r="BD430" s="380"/>
      <c r="BE430" s="404"/>
      <c r="BF430" s="380"/>
      <c r="BG430" s="380"/>
      <c r="BH430" s="380"/>
      <c r="BI430" s="380"/>
      <c r="BJ430" s="380"/>
      <c r="BK430" s="380"/>
      <c r="BL430" s="380"/>
      <c r="BM430" s="403"/>
      <c r="BS430" s="83"/>
      <c r="CA430" s="405"/>
      <c r="CG430" s="83"/>
      <c r="CO430" s="405"/>
      <c r="CU430" s="83"/>
      <c r="DC430" s="405"/>
      <c r="DI430" s="83"/>
      <c r="DQ430" s="405"/>
      <c r="DW430" s="83"/>
      <c r="EE430" s="405"/>
      <c r="EK430" s="83"/>
      <c r="ES430" s="405"/>
      <c r="EY430" s="83"/>
      <c r="FG430" s="405"/>
      <c r="FM430" s="83"/>
      <c r="FU430" s="405"/>
      <c r="GA430" s="83"/>
      <c r="GI430" s="405"/>
      <c r="GO430" s="83"/>
      <c r="GW430" s="405"/>
      <c r="HC430" s="83"/>
      <c r="HK430" s="405"/>
      <c r="HQ430" s="83"/>
      <c r="HY430" s="405"/>
      <c r="IE430" s="83"/>
      <c r="IM430" s="405"/>
      <c r="IS430" s="83"/>
      <c r="JA430" s="405"/>
      <c r="JG430" s="83"/>
      <c r="JO430" s="405"/>
      <c r="JU430" s="83"/>
      <c r="KC430" s="405"/>
      <c r="KI430" s="83"/>
      <c r="KQ430" s="405"/>
      <c r="KW430" s="83"/>
      <c r="LE430" s="405"/>
      <c r="LK430" s="83"/>
      <c r="LS430" s="405"/>
      <c r="LY430" s="83"/>
      <c r="MG430" s="405"/>
      <c r="MM430" s="83"/>
      <c r="MU430" s="405"/>
      <c r="NA430" s="83"/>
    </row>
    <row r="431">
      <c r="A431" s="483"/>
      <c r="B431" s="380"/>
      <c r="C431" s="380"/>
      <c r="D431" s="380"/>
      <c r="E431" s="380"/>
      <c r="F431" s="380"/>
      <c r="G431" s="380"/>
      <c r="H431" s="380"/>
      <c r="I431" s="403"/>
      <c r="J431" s="380"/>
      <c r="K431" s="380"/>
      <c r="L431" s="380"/>
      <c r="M431" s="380"/>
      <c r="N431" s="380"/>
      <c r="O431" s="404"/>
      <c r="P431" s="380"/>
      <c r="Q431" s="380"/>
      <c r="R431" s="380"/>
      <c r="S431" s="380"/>
      <c r="T431" s="380"/>
      <c r="U431" s="380"/>
      <c r="V431" s="380"/>
      <c r="W431" s="403"/>
      <c r="X431" s="380"/>
      <c r="Y431" s="380"/>
      <c r="Z431" s="380"/>
      <c r="AA431" s="380"/>
      <c r="AB431" s="380"/>
      <c r="AC431" s="404"/>
      <c r="AD431" s="380"/>
      <c r="AE431" s="380"/>
      <c r="AF431" s="380"/>
      <c r="AG431" s="380"/>
      <c r="AH431" s="380"/>
      <c r="AI431" s="380"/>
      <c r="AJ431" s="380"/>
      <c r="AK431" s="403"/>
      <c r="AL431" s="380"/>
      <c r="AM431" s="380"/>
      <c r="AN431" s="380"/>
      <c r="AO431" s="380"/>
      <c r="AP431" s="380"/>
      <c r="AQ431" s="404"/>
      <c r="AR431" s="380"/>
      <c r="AS431" s="380"/>
      <c r="AT431" s="380"/>
      <c r="AU431" s="380"/>
      <c r="AV431" s="380"/>
      <c r="AW431" s="380"/>
      <c r="AX431" s="380"/>
      <c r="AY431" s="403"/>
      <c r="AZ431" s="380"/>
      <c r="BA431" s="380"/>
      <c r="BB431" s="380"/>
      <c r="BC431" s="380"/>
      <c r="BD431" s="380"/>
      <c r="BE431" s="404"/>
      <c r="BF431" s="380"/>
      <c r="BG431" s="380"/>
      <c r="BH431" s="380"/>
      <c r="BI431" s="380"/>
      <c r="BJ431" s="380"/>
      <c r="BK431" s="380"/>
      <c r="BL431" s="380"/>
      <c r="BM431" s="403"/>
      <c r="BS431" s="83"/>
      <c r="CA431" s="405"/>
      <c r="CG431" s="83"/>
      <c r="CO431" s="405"/>
      <c r="CU431" s="83"/>
      <c r="DC431" s="405"/>
      <c r="DI431" s="83"/>
      <c r="DQ431" s="405"/>
      <c r="DW431" s="83"/>
      <c r="EE431" s="405"/>
      <c r="EK431" s="83"/>
      <c r="ES431" s="405"/>
      <c r="EY431" s="83"/>
      <c r="FG431" s="405"/>
      <c r="FM431" s="83"/>
      <c r="FU431" s="405"/>
      <c r="GA431" s="83"/>
      <c r="GI431" s="405"/>
      <c r="GO431" s="83"/>
      <c r="GW431" s="405"/>
      <c r="HC431" s="83"/>
      <c r="HK431" s="405"/>
      <c r="HQ431" s="83"/>
      <c r="HY431" s="405"/>
      <c r="IE431" s="83"/>
      <c r="IM431" s="405"/>
      <c r="IS431" s="83"/>
      <c r="JA431" s="405"/>
      <c r="JG431" s="83"/>
      <c r="JO431" s="405"/>
      <c r="JU431" s="83"/>
      <c r="KC431" s="405"/>
      <c r="KI431" s="83"/>
      <c r="KQ431" s="405"/>
      <c r="KW431" s="83"/>
      <c r="LE431" s="405"/>
      <c r="LK431" s="83"/>
      <c r="LS431" s="405"/>
      <c r="LY431" s="83"/>
      <c r="MG431" s="405"/>
      <c r="MM431" s="83"/>
      <c r="MU431" s="405"/>
      <c r="NA431" s="83"/>
    </row>
    <row r="432">
      <c r="A432" s="483"/>
      <c r="B432" s="380"/>
      <c r="C432" s="380"/>
      <c r="D432" s="380"/>
      <c r="E432" s="380"/>
      <c r="F432" s="380"/>
      <c r="G432" s="380"/>
      <c r="H432" s="380"/>
      <c r="I432" s="403"/>
      <c r="J432" s="380"/>
      <c r="K432" s="380"/>
      <c r="L432" s="380"/>
      <c r="M432" s="380"/>
      <c r="N432" s="380"/>
      <c r="O432" s="404"/>
      <c r="P432" s="380"/>
      <c r="Q432" s="380"/>
      <c r="R432" s="380"/>
      <c r="S432" s="380"/>
      <c r="T432" s="380"/>
      <c r="U432" s="380"/>
      <c r="V432" s="380"/>
      <c r="W432" s="403"/>
      <c r="X432" s="380"/>
      <c r="Y432" s="380"/>
      <c r="Z432" s="380"/>
      <c r="AA432" s="380"/>
      <c r="AB432" s="380"/>
      <c r="AC432" s="404"/>
      <c r="AD432" s="380"/>
      <c r="AE432" s="380"/>
      <c r="AF432" s="380"/>
      <c r="AG432" s="380"/>
      <c r="AH432" s="380"/>
      <c r="AI432" s="380"/>
      <c r="AJ432" s="380"/>
      <c r="AK432" s="403"/>
      <c r="AL432" s="380"/>
      <c r="AM432" s="380"/>
      <c r="AN432" s="380"/>
      <c r="AO432" s="380"/>
      <c r="AP432" s="380"/>
      <c r="AQ432" s="404"/>
      <c r="AR432" s="380"/>
      <c r="AS432" s="380"/>
      <c r="AT432" s="380"/>
      <c r="AU432" s="380"/>
      <c r="AV432" s="380"/>
      <c r="AW432" s="380"/>
      <c r="AX432" s="380"/>
      <c r="AY432" s="403"/>
      <c r="AZ432" s="380"/>
      <c r="BA432" s="380"/>
      <c r="BB432" s="380"/>
      <c r="BC432" s="380"/>
      <c r="BD432" s="380"/>
      <c r="BE432" s="404"/>
      <c r="BF432" s="380"/>
      <c r="BG432" s="380"/>
      <c r="BH432" s="380"/>
      <c r="BI432" s="380"/>
      <c r="BJ432" s="380"/>
      <c r="BK432" s="380"/>
      <c r="BL432" s="380"/>
      <c r="BM432" s="403"/>
      <c r="BS432" s="83"/>
      <c r="CA432" s="405"/>
      <c r="CG432" s="83"/>
      <c r="CO432" s="405"/>
      <c r="CU432" s="83"/>
      <c r="DC432" s="405"/>
      <c r="DI432" s="83"/>
      <c r="DQ432" s="405"/>
      <c r="DW432" s="83"/>
      <c r="EE432" s="405"/>
      <c r="EK432" s="83"/>
      <c r="ES432" s="405"/>
      <c r="EY432" s="83"/>
      <c r="FG432" s="405"/>
      <c r="FM432" s="83"/>
      <c r="FU432" s="405"/>
      <c r="GA432" s="83"/>
      <c r="GI432" s="405"/>
      <c r="GO432" s="83"/>
      <c r="GW432" s="405"/>
      <c r="HC432" s="83"/>
      <c r="HK432" s="405"/>
      <c r="HQ432" s="83"/>
      <c r="HY432" s="405"/>
      <c r="IE432" s="83"/>
      <c r="IM432" s="405"/>
      <c r="IS432" s="83"/>
      <c r="JA432" s="405"/>
      <c r="JG432" s="83"/>
      <c r="JO432" s="405"/>
      <c r="JU432" s="83"/>
      <c r="KC432" s="405"/>
      <c r="KI432" s="83"/>
      <c r="KQ432" s="405"/>
      <c r="KW432" s="83"/>
      <c r="LE432" s="405"/>
      <c r="LK432" s="83"/>
      <c r="LS432" s="405"/>
      <c r="LY432" s="83"/>
      <c r="MG432" s="405"/>
      <c r="MM432" s="83"/>
      <c r="MU432" s="405"/>
      <c r="NA432" s="83"/>
    </row>
    <row r="433">
      <c r="A433" s="483"/>
      <c r="B433" s="380"/>
      <c r="C433" s="380"/>
      <c r="D433" s="380"/>
      <c r="E433" s="380"/>
      <c r="F433" s="380"/>
      <c r="G433" s="380"/>
      <c r="H433" s="380"/>
      <c r="I433" s="403"/>
      <c r="J433" s="380"/>
      <c r="K433" s="380"/>
      <c r="L433" s="380"/>
      <c r="M433" s="380"/>
      <c r="N433" s="380"/>
      <c r="O433" s="404"/>
      <c r="P433" s="380"/>
      <c r="Q433" s="380"/>
      <c r="R433" s="380"/>
      <c r="S433" s="380"/>
      <c r="T433" s="380"/>
      <c r="U433" s="380"/>
      <c r="V433" s="380"/>
      <c r="W433" s="403"/>
      <c r="X433" s="380"/>
      <c r="Y433" s="380"/>
      <c r="Z433" s="380"/>
      <c r="AA433" s="380"/>
      <c r="AB433" s="380"/>
      <c r="AC433" s="404"/>
      <c r="AD433" s="380"/>
      <c r="AE433" s="380"/>
      <c r="AF433" s="380"/>
      <c r="AG433" s="380"/>
      <c r="AH433" s="380"/>
      <c r="AI433" s="380"/>
      <c r="AJ433" s="380"/>
      <c r="AK433" s="403"/>
      <c r="AL433" s="380"/>
      <c r="AM433" s="380"/>
      <c r="AN433" s="380"/>
      <c r="AO433" s="380"/>
      <c r="AP433" s="380"/>
      <c r="AQ433" s="404"/>
      <c r="AR433" s="380"/>
      <c r="AS433" s="380"/>
      <c r="AT433" s="380"/>
      <c r="AU433" s="380"/>
      <c r="AV433" s="380"/>
      <c r="AW433" s="380"/>
      <c r="AX433" s="380"/>
      <c r="AY433" s="403"/>
      <c r="AZ433" s="380"/>
      <c r="BA433" s="380"/>
      <c r="BB433" s="380"/>
      <c r="BC433" s="380"/>
      <c r="BD433" s="380"/>
      <c r="BE433" s="404"/>
      <c r="BF433" s="380"/>
      <c r="BG433" s="380"/>
      <c r="BH433" s="380"/>
      <c r="BI433" s="380"/>
      <c r="BJ433" s="380"/>
      <c r="BK433" s="380"/>
      <c r="BL433" s="380"/>
      <c r="BM433" s="403"/>
      <c r="BS433" s="83"/>
      <c r="CA433" s="405"/>
      <c r="CG433" s="83"/>
      <c r="CO433" s="405"/>
      <c r="CU433" s="83"/>
      <c r="DC433" s="405"/>
      <c r="DI433" s="83"/>
      <c r="DQ433" s="405"/>
      <c r="DW433" s="83"/>
      <c r="EE433" s="405"/>
      <c r="EK433" s="83"/>
      <c r="ES433" s="405"/>
      <c r="EY433" s="83"/>
      <c r="FG433" s="405"/>
      <c r="FM433" s="83"/>
      <c r="FU433" s="405"/>
      <c r="GA433" s="83"/>
      <c r="GI433" s="405"/>
      <c r="GO433" s="83"/>
      <c r="GW433" s="405"/>
      <c r="HC433" s="83"/>
      <c r="HK433" s="405"/>
      <c r="HQ433" s="83"/>
      <c r="HY433" s="405"/>
      <c r="IE433" s="83"/>
      <c r="IM433" s="405"/>
      <c r="IS433" s="83"/>
      <c r="JA433" s="405"/>
      <c r="JG433" s="83"/>
      <c r="JO433" s="405"/>
      <c r="JU433" s="83"/>
      <c r="KC433" s="405"/>
      <c r="KI433" s="83"/>
      <c r="KQ433" s="405"/>
      <c r="KW433" s="83"/>
      <c r="LE433" s="405"/>
      <c r="LK433" s="83"/>
      <c r="LS433" s="405"/>
      <c r="LY433" s="83"/>
      <c r="MG433" s="405"/>
      <c r="MM433" s="83"/>
      <c r="MU433" s="405"/>
      <c r="NA433" s="83"/>
    </row>
    <row r="434">
      <c r="A434" s="483"/>
      <c r="B434" s="380"/>
      <c r="C434" s="380"/>
      <c r="D434" s="380"/>
      <c r="E434" s="380"/>
      <c r="F434" s="380"/>
      <c r="G434" s="380"/>
      <c r="H434" s="380"/>
      <c r="I434" s="403"/>
      <c r="J434" s="380"/>
      <c r="K434" s="380"/>
      <c r="L434" s="380"/>
      <c r="M434" s="380"/>
      <c r="N434" s="380"/>
      <c r="O434" s="404"/>
      <c r="P434" s="380"/>
      <c r="Q434" s="380"/>
      <c r="R434" s="380"/>
      <c r="S434" s="380"/>
      <c r="T434" s="380"/>
      <c r="U434" s="380"/>
      <c r="V434" s="380"/>
      <c r="W434" s="403"/>
      <c r="X434" s="380"/>
      <c r="Y434" s="380"/>
      <c r="Z434" s="380"/>
      <c r="AA434" s="380"/>
      <c r="AB434" s="380"/>
      <c r="AC434" s="404"/>
      <c r="AD434" s="380"/>
      <c r="AE434" s="380"/>
      <c r="AF434" s="380"/>
      <c r="AG434" s="380"/>
      <c r="AH434" s="380"/>
      <c r="AI434" s="380"/>
      <c r="AJ434" s="380"/>
      <c r="AK434" s="403"/>
      <c r="AL434" s="380"/>
      <c r="AM434" s="380"/>
      <c r="AN434" s="380"/>
      <c r="AO434" s="380"/>
      <c r="AP434" s="380"/>
      <c r="AQ434" s="404"/>
      <c r="AR434" s="380"/>
      <c r="AS434" s="380"/>
      <c r="AT434" s="380"/>
      <c r="AU434" s="380"/>
      <c r="AV434" s="380"/>
      <c r="AW434" s="380"/>
      <c r="AX434" s="380"/>
      <c r="AY434" s="403"/>
      <c r="AZ434" s="380"/>
      <c r="BA434" s="380"/>
      <c r="BB434" s="380"/>
      <c r="BC434" s="380"/>
      <c r="BD434" s="380"/>
      <c r="BE434" s="404"/>
      <c r="BF434" s="380"/>
      <c r="BG434" s="380"/>
      <c r="BH434" s="380"/>
      <c r="BI434" s="380"/>
      <c r="BJ434" s="380"/>
      <c r="BK434" s="380"/>
      <c r="BL434" s="380"/>
      <c r="BM434" s="403"/>
      <c r="BS434" s="83"/>
      <c r="CA434" s="405"/>
      <c r="CG434" s="83"/>
      <c r="CO434" s="405"/>
      <c r="CU434" s="83"/>
      <c r="DC434" s="405"/>
      <c r="DI434" s="83"/>
      <c r="DQ434" s="405"/>
      <c r="DW434" s="83"/>
      <c r="EE434" s="405"/>
      <c r="EK434" s="83"/>
      <c r="ES434" s="405"/>
      <c r="EY434" s="83"/>
      <c r="FG434" s="405"/>
      <c r="FM434" s="83"/>
      <c r="FU434" s="405"/>
      <c r="GA434" s="83"/>
      <c r="GI434" s="405"/>
      <c r="GO434" s="83"/>
      <c r="GW434" s="405"/>
      <c r="HC434" s="83"/>
      <c r="HK434" s="405"/>
      <c r="HQ434" s="83"/>
      <c r="HY434" s="405"/>
      <c r="IE434" s="83"/>
      <c r="IM434" s="405"/>
      <c r="IS434" s="83"/>
      <c r="JA434" s="405"/>
      <c r="JG434" s="83"/>
      <c r="JO434" s="405"/>
      <c r="JU434" s="83"/>
      <c r="KC434" s="405"/>
      <c r="KI434" s="83"/>
      <c r="KQ434" s="405"/>
      <c r="KW434" s="83"/>
      <c r="LE434" s="405"/>
      <c r="LK434" s="83"/>
      <c r="LS434" s="405"/>
      <c r="LY434" s="83"/>
      <c r="MG434" s="405"/>
      <c r="MM434" s="83"/>
      <c r="MU434" s="405"/>
      <c r="NA434" s="83"/>
    </row>
    <row r="435">
      <c r="A435" s="483"/>
      <c r="B435" s="380"/>
      <c r="C435" s="380"/>
      <c r="D435" s="380"/>
      <c r="E435" s="380"/>
      <c r="F435" s="380"/>
      <c r="G435" s="380"/>
      <c r="H435" s="380"/>
      <c r="I435" s="403"/>
      <c r="J435" s="380"/>
      <c r="K435" s="380"/>
      <c r="L435" s="380"/>
      <c r="M435" s="380"/>
      <c r="N435" s="380"/>
      <c r="O435" s="404"/>
      <c r="P435" s="380"/>
      <c r="Q435" s="380"/>
      <c r="R435" s="380"/>
      <c r="S435" s="380"/>
      <c r="T435" s="380"/>
      <c r="U435" s="380"/>
      <c r="V435" s="380"/>
      <c r="W435" s="403"/>
      <c r="X435" s="380"/>
      <c r="Y435" s="380"/>
      <c r="Z435" s="380"/>
      <c r="AA435" s="380"/>
      <c r="AB435" s="380"/>
      <c r="AC435" s="404"/>
      <c r="AD435" s="380"/>
      <c r="AE435" s="380"/>
      <c r="AF435" s="380"/>
      <c r="AG435" s="380"/>
      <c r="AH435" s="380"/>
      <c r="AI435" s="380"/>
      <c r="AJ435" s="380"/>
      <c r="AK435" s="403"/>
      <c r="AL435" s="380"/>
      <c r="AM435" s="380"/>
      <c r="AN435" s="380"/>
      <c r="AO435" s="380"/>
      <c r="AP435" s="380"/>
      <c r="AQ435" s="404"/>
      <c r="AR435" s="380"/>
      <c r="AS435" s="380"/>
      <c r="AT435" s="380"/>
      <c r="AU435" s="380"/>
      <c r="AV435" s="380"/>
      <c r="AW435" s="380"/>
      <c r="AX435" s="380"/>
      <c r="AY435" s="403"/>
      <c r="AZ435" s="380"/>
      <c r="BA435" s="380"/>
      <c r="BB435" s="380"/>
      <c r="BC435" s="380"/>
      <c r="BD435" s="380"/>
      <c r="BE435" s="404"/>
      <c r="BF435" s="380"/>
      <c r="BG435" s="380"/>
      <c r="BH435" s="380"/>
      <c r="BI435" s="380"/>
      <c r="BJ435" s="380"/>
      <c r="BK435" s="380"/>
      <c r="BL435" s="380"/>
      <c r="BM435" s="403"/>
      <c r="BS435" s="83"/>
      <c r="CA435" s="405"/>
      <c r="CG435" s="83"/>
      <c r="CO435" s="405"/>
      <c r="CU435" s="83"/>
      <c r="DC435" s="405"/>
      <c r="DI435" s="83"/>
      <c r="DQ435" s="405"/>
      <c r="DW435" s="83"/>
      <c r="EE435" s="405"/>
      <c r="EK435" s="83"/>
      <c r="ES435" s="405"/>
      <c r="EY435" s="83"/>
      <c r="FG435" s="405"/>
      <c r="FM435" s="83"/>
      <c r="FU435" s="405"/>
      <c r="GA435" s="83"/>
      <c r="GI435" s="405"/>
      <c r="GO435" s="83"/>
      <c r="GW435" s="405"/>
      <c r="HC435" s="83"/>
      <c r="HK435" s="405"/>
      <c r="HQ435" s="83"/>
      <c r="HY435" s="405"/>
      <c r="IE435" s="83"/>
      <c r="IM435" s="405"/>
      <c r="IS435" s="83"/>
      <c r="JA435" s="405"/>
      <c r="JG435" s="83"/>
      <c r="JO435" s="405"/>
      <c r="JU435" s="83"/>
      <c r="KC435" s="405"/>
      <c r="KI435" s="83"/>
      <c r="KQ435" s="405"/>
      <c r="KW435" s="83"/>
      <c r="LE435" s="405"/>
      <c r="LK435" s="83"/>
      <c r="LS435" s="405"/>
      <c r="LY435" s="83"/>
      <c r="MG435" s="405"/>
      <c r="MM435" s="83"/>
      <c r="MU435" s="405"/>
      <c r="NA435" s="83"/>
    </row>
    <row r="436">
      <c r="A436" s="483"/>
      <c r="B436" s="380"/>
      <c r="C436" s="380"/>
      <c r="D436" s="380"/>
      <c r="E436" s="380"/>
      <c r="F436" s="380"/>
      <c r="G436" s="380"/>
      <c r="H436" s="380"/>
      <c r="I436" s="403"/>
      <c r="J436" s="380"/>
      <c r="K436" s="380"/>
      <c r="L436" s="380"/>
      <c r="M436" s="380"/>
      <c r="N436" s="380"/>
      <c r="O436" s="404"/>
      <c r="P436" s="380"/>
      <c r="Q436" s="380"/>
      <c r="R436" s="380"/>
      <c r="S436" s="380"/>
      <c r="T436" s="380"/>
      <c r="U436" s="380"/>
      <c r="V436" s="380"/>
      <c r="W436" s="403"/>
      <c r="X436" s="380"/>
      <c r="Y436" s="380"/>
      <c r="Z436" s="380"/>
      <c r="AA436" s="380"/>
      <c r="AB436" s="380"/>
      <c r="AC436" s="404"/>
      <c r="AD436" s="380"/>
      <c r="AE436" s="380"/>
      <c r="AF436" s="380"/>
      <c r="AG436" s="380"/>
      <c r="AH436" s="380"/>
      <c r="AI436" s="380"/>
      <c r="AJ436" s="380"/>
      <c r="AK436" s="403"/>
      <c r="AL436" s="380"/>
      <c r="AM436" s="380"/>
      <c r="AN436" s="380"/>
      <c r="AO436" s="380"/>
      <c r="AP436" s="380"/>
      <c r="AQ436" s="404"/>
      <c r="AR436" s="380"/>
      <c r="AS436" s="380"/>
      <c r="AT436" s="380"/>
      <c r="AU436" s="380"/>
      <c r="AV436" s="380"/>
      <c r="AW436" s="380"/>
      <c r="AX436" s="380"/>
      <c r="AY436" s="403"/>
      <c r="AZ436" s="380"/>
      <c r="BA436" s="380"/>
      <c r="BB436" s="380"/>
      <c r="BC436" s="380"/>
      <c r="BD436" s="380"/>
      <c r="BE436" s="404"/>
      <c r="BF436" s="380"/>
      <c r="BG436" s="380"/>
      <c r="BH436" s="380"/>
      <c r="BI436" s="380"/>
      <c r="BJ436" s="380"/>
      <c r="BK436" s="380"/>
      <c r="BL436" s="380"/>
      <c r="BM436" s="403"/>
      <c r="BS436" s="83"/>
      <c r="CA436" s="405"/>
      <c r="CG436" s="83"/>
      <c r="CO436" s="405"/>
      <c r="CU436" s="83"/>
      <c r="DC436" s="405"/>
      <c r="DI436" s="83"/>
      <c r="DQ436" s="405"/>
      <c r="DW436" s="83"/>
      <c r="EE436" s="405"/>
      <c r="EK436" s="83"/>
      <c r="ES436" s="405"/>
      <c r="EY436" s="83"/>
      <c r="FG436" s="405"/>
      <c r="FM436" s="83"/>
      <c r="FU436" s="405"/>
      <c r="GA436" s="83"/>
      <c r="GI436" s="405"/>
      <c r="GO436" s="83"/>
      <c r="GW436" s="405"/>
      <c r="HC436" s="83"/>
      <c r="HK436" s="405"/>
      <c r="HQ436" s="83"/>
      <c r="HY436" s="405"/>
      <c r="IE436" s="83"/>
      <c r="IM436" s="405"/>
      <c r="IS436" s="83"/>
      <c r="JA436" s="405"/>
      <c r="JG436" s="83"/>
      <c r="JO436" s="405"/>
      <c r="JU436" s="83"/>
      <c r="KC436" s="405"/>
      <c r="KI436" s="83"/>
      <c r="KQ436" s="405"/>
      <c r="KW436" s="83"/>
      <c r="LE436" s="405"/>
      <c r="LK436" s="83"/>
      <c r="LS436" s="405"/>
      <c r="LY436" s="83"/>
      <c r="MG436" s="405"/>
      <c r="MM436" s="83"/>
      <c r="MU436" s="405"/>
      <c r="NA436" s="83"/>
    </row>
    <row r="437">
      <c r="A437" s="483"/>
      <c r="B437" s="380"/>
      <c r="C437" s="380"/>
      <c r="D437" s="380"/>
      <c r="E437" s="380"/>
      <c r="F437" s="380"/>
      <c r="G437" s="380"/>
      <c r="H437" s="380"/>
      <c r="I437" s="403"/>
      <c r="J437" s="380"/>
      <c r="K437" s="380"/>
      <c r="L437" s="380"/>
      <c r="M437" s="380"/>
      <c r="N437" s="380"/>
      <c r="O437" s="404"/>
      <c r="P437" s="380"/>
      <c r="Q437" s="380"/>
      <c r="R437" s="380"/>
      <c r="S437" s="380"/>
      <c r="T437" s="380"/>
      <c r="U437" s="380"/>
      <c r="V437" s="380"/>
      <c r="W437" s="403"/>
      <c r="X437" s="380"/>
      <c r="Y437" s="380"/>
      <c r="Z437" s="380"/>
      <c r="AA437" s="380"/>
      <c r="AB437" s="380"/>
      <c r="AC437" s="404"/>
      <c r="AD437" s="380"/>
      <c r="AE437" s="380"/>
      <c r="AF437" s="380"/>
      <c r="AG437" s="380"/>
      <c r="AH437" s="380"/>
      <c r="AI437" s="380"/>
      <c r="AJ437" s="380"/>
      <c r="AK437" s="403"/>
      <c r="AL437" s="380"/>
      <c r="AM437" s="380"/>
      <c r="AN437" s="380"/>
      <c r="AO437" s="380"/>
      <c r="AP437" s="380"/>
      <c r="AQ437" s="404"/>
      <c r="AR437" s="380"/>
      <c r="AS437" s="380"/>
      <c r="AT437" s="380"/>
      <c r="AU437" s="380"/>
      <c r="AV437" s="380"/>
      <c r="AW437" s="380"/>
      <c r="AX437" s="380"/>
      <c r="AY437" s="403"/>
      <c r="AZ437" s="380"/>
      <c r="BA437" s="380"/>
      <c r="BB437" s="380"/>
      <c r="BC437" s="380"/>
      <c r="BD437" s="380"/>
      <c r="BE437" s="404"/>
      <c r="BF437" s="380"/>
      <c r="BG437" s="380"/>
      <c r="BH437" s="380"/>
      <c r="BI437" s="380"/>
      <c r="BJ437" s="380"/>
      <c r="BK437" s="380"/>
      <c r="BL437" s="380"/>
      <c r="BM437" s="403"/>
      <c r="BS437" s="83"/>
      <c r="CA437" s="405"/>
      <c r="CG437" s="83"/>
      <c r="CO437" s="405"/>
      <c r="CU437" s="83"/>
      <c r="DC437" s="405"/>
      <c r="DI437" s="83"/>
      <c r="DQ437" s="405"/>
      <c r="DW437" s="83"/>
      <c r="EE437" s="405"/>
      <c r="EK437" s="83"/>
      <c r="ES437" s="405"/>
      <c r="EY437" s="83"/>
      <c r="FG437" s="405"/>
      <c r="FM437" s="83"/>
      <c r="FU437" s="405"/>
      <c r="GA437" s="83"/>
      <c r="GI437" s="405"/>
      <c r="GO437" s="83"/>
      <c r="GW437" s="405"/>
      <c r="HC437" s="83"/>
      <c r="HK437" s="405"/>
      <c r="HQ437" s="83"/>
      <c r="HY437" s="405"/>
      <c r="IE437" s="83"/>
      <c r="IM437" s="405"/>
      <c r="IS437" s="83"/>
      <c r="JA437" s="405"/>
      <c r="JG437" s="83"/>
      <c r="JO437" s="405"/>
      <c r="JU437" s="83"/>
      <c r="KC437" s="405"/>
      <c r="KI437" s="83"/>
      <c r="KQ437" s="405"/>
      <c r="KW437" s="83"/>
      <c r="LE437" s="405"/>
      <c r="LK437" s="83"/>
      <c r="LS437" s="405"/>
      <c r="LY437" s="83"/>
      <c r="MG437" s="405"/>
      <c r="MM437" s="83"/>
      <c r="MU437" s="405"/>
      <c r="NA437" s="83"/>
    </row>
    <row r="438">
      <c r="A438" s="483"/>
      <c r="B438" s="380"/>
      <c r="C438" s="380"/>
      <c r="D438" s="380"/>
      <c r="E438" s="380"/>
      <c r="F438" s="380"/>
      <c r="G438" s="380"/>
      <c r="H438" s="380"/>
      <c r="I438" s="403"/>
      <c r="J438" s="380"/>
      <c r="K438" s="380"/>
      <c r="L438" s="380"/>
      <c r="M438" s="380"/>
      <c r="N438" s="380"/>
      <c r="O438" s="404"/>
      <c r="P438" s="380"/>
      <c r="Q438" s="380"/>
      <c r="R438" s="380"/>
      <c r="S438" s="380"/>
      <c r="T438" s="380"/>
      <c r="U438" s="380"/>
      <c r="V438" s="380"/>
      <c r="W438" s="403"/>
      <c r="X438" s="380"/>
      <c r="Y438" s="380"/>
      <c r="Z438" s="380"/>
      <c r="AA438" s="380"/>
      <c r="AB438" s="380"/>
      <c r="AC438" s="404"/>
      <c r="AD438" s="380"/>
      <c r="AE438" s="380"/>
      <c r="AF438" s="380"/>
      <c r="AG438" s="380"/>
      <c r="AH438" s="380"/>
      <c r="AI438" s="380"/>
      <c r="AJ438" s="380"/>
      <c r="AK438" s="403"/>
      <c r="AL438" s="380"/>
      <c r="AM438" s="380"/>
      <c r="AN438" s="380"/>
      <c r="AO438" s="380"/>
      <c r="AP438" s="380"/>
      <c r="AQ438" s="404"/>
      <c r="AR438" s="380"/>
      <c r="AS438" s="380"/>
      <c r="AT438" s="380"/>
      <c r="AU438" s="380"/>
      <c r="AV438" s="380"/>
      <c r="AW438" s="380"/>
      <c r="AX438" s="380"/>
      <c r="AY438" s="403"/>
      <c r="AZ438" s="380"/>
      <c r="BA4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405"/>
      <c r="DW438" s="83"/>
      <c r="EE438" s="405"/>
      <c r="EK438" s="83"/>
      <c r="ES438" s="405"/>
      <c r="EY438" s="83"/>
      <c r="FG438" s="405"/>
      <c r="FM438" s="83"/>
      <c r="FU438" s="405"/>
      <c r="GA438" s="83"/>
      <c r="GI438" s="405"/>
      <c r="GO438" s="83"/>
      <c r="GW438" s="405"/>
      <c r="HC438" s="83"/>
      <c r="HK438" s="405"/>
      <c r="HQ438" s="83"/>
      <c r="HY438" s="405"/>
      <c r="IE438" s="83"/>
      <c r="IM438" s="405"/>
      <c r="IS438" s="83"/>
      <c r="JA438" s="405"/>
      <c r="JG438" s="83"/>
      <c r="JO438" s="405"/>
      <c r="JU438" s="83"/>
      <c r="KC438" s="405"/>
      <c r="KI438" s="83"/>
      <c r="KQ438" s="405"/>
      <c r="KW438" s="83"/>
      <c r="LE438" s="405"/>
      <c r="LK438" s="83"/>
      <c r="LS438" s="405"/>
      <c r="LY438" s="83"/>
      <c r="MG438" s="405"/>
      <c r="MM438" s="83"/>
      <c r="MU438" s="405"/>
      <c r="NA438" s="83"/>
    </row>
    <row r="439">
      <c r="A439" s="483"/>
      <c r="B439" s="380"/>
      <c r="C439" s="380"/>
      <c r="D439" s="380"/>
      <c r="E439" s="380"/>
      <c r="F439" s="380"/>
      <c r="G439" s="380"/>
      <c r="H439" s="380"/>
      <c r="I439" s="403"/>
      <c r="J439" s="380"/>
      <c r="K439" s="380"/>
      <c r="L439" s="380"/>
      <c r="M439" s="380"/>
      <c r="N439" s="380"/>
      <c r="O439" s="404"/>
      <c r="P439" s="380"/>
      <c r="Q439" s="380"/>
      <c r="R439" s="380"/>
      <c r="S439" s="380"/>
      <c r="T439" s="380"/>
      <c r="U439" s="380"/>
      <c r="V439" s="380"/>
      <c r="W439" s="403"/>
      <c r="X439" s="380"/>
      <c r="Y439" s="380"/>
      <c r="Z439" s="380"/>
      <c r="AA439" s="380"/>
      <c r="AB439" s="380"/>
      <c r="AC439" s="404"/>
      <c r="AD439" s="380"/>
      <c r="AE439" s="380"/>
      <c r="AF439" s="380"/>
      <c r="AG439" s="380"/>
      <c r="AH439" s="380"/>
      <c r="AI439" s="380"/>
      <c r="AJ439" s="380"/>
      <c r="AK439" s="403"/>
      <c r="AL439" s="380"/>
      <c r="AM439" s="380"/>
      <c r="AN439" s="380"/>
      <c r="AO439" s="380"/>
      <c r="AP439" s="380"/>
      <c r="AQ439" s="404"/>
      <c r="AR439" s="380"/>
      <c r="AS439" s="380"/>
      <c r="AT439" s="380"/>
      <c r="AU439" s="380"/>
      <c r="AV439" s="380"/>
      <c r="AW439" s="380"/>
      <c r="AX439" s="380"/>
      <c r="AY439" s="403"/>
      <c r="AZ439" s="380"/>
      <c r="BA439" s="380"/>
      <c r="BB439" s="380"/>
      <c r="BC439" s="380"/>
      <c r="BD439" s="380"/>
      <c r="BE439" s="404"/>
      <c r="BF439" s="380"/>
      <c r="BG439" s="380"/>
      <c r="BH439" s="380"/>
      <c r="BI439" s="380"/>
      <c r="BJ439" s="380"/>
      <c r="BK439" s="380"/>
      <c r="BL439" s="380"/>
      <c r="BM439" s="403"/>
      <c r="BS439" s="83"/>
      <c r="CA439" s="405"/>
      <c r="CG439" s="83"/>
      <c r="CO439" s="405"/>
      <c r="CU439" s="83"/>
      <c r="DC439" s="405"/>
      <c r="DI439" s="83"/>
      <c r="DQ439" s="405"/>
      <c r="DW439" s="83"/>
      <c r="EE439" s="405"/>
      <c r="EK439" s="83"/>
      <c r="ES439" s="405"/>
      <c r="EY439" s="83"/>
      <c r="FG439" s="405"/>
      <c r="FM439" s="83"/>
      <c r="FU439" s="405"/>
      <c r="GA439" s="83"/>
      <c r="GI439" s="405"/>
      <c r="GO439" s="83"/>
      <c r="GW439" s="405"/>
      <c r="HC439" s="83"/>
      <c r="HK439" s="405"/>
      <c r="HQ439" s="83"/>
      <c r="HY439" s="405"/>
      <c r="IE439" s="83"/>
      <c r="IM439" s="405"/>
      <c r="IS439" s="83"/>
      <c r="JA439" s="405"/>
      <c r="JG439" s="83"/>
      <c r="JO439" s="405"/>
      <c r="JU439" s="83"/>
      <c r="KC439" s="405"/>
      <c r="KI439" s="83"/>
      <c r="KQ439" s="405"/>
      <c r="KW439" s="83"/>
      <c r="LE439" s="405"/>
      <c r="LK439" s="83"/>
      <c r="LS439" s="405"/>
      <c r="LY439" s="83"/>
      <c r="MG439" s="405"/>
      <c r="MM439" s="83"/>
      <c r="MU439" s="405"/>
      <c r="NA439" s="83"/>
    </row>
    <row r="440">
      <c r="A440" s="483"/>
      <c r="B440" s="380"/>
      <c r="C440" s="380"/>
      <c r="D440" s="380"/>
      <c r="E440" s="380"/>
      <c r="F440" s="380"/>
      <c r="G440" s="380"/>
      <c r="H440" s="380"/>
      <c r="I440" s="403"/>
      <c r="J440" s="380"/>
      <c r="K440" s="380"/>
      <c r="L440" s="380"/>
      <c r="M440" s="380"/>
      <c r="N440" s="380"/>
      <c r="O440" s="404"/>
      <c r="P440" s="380"/>
      <c r="Q440" s="380"/>
      <c r="R440" s="380"/>
      <c r="S440" s="380"/>
      <c r="T440" s="380"/>
      <c r="U440" s="380"/>
      <c r="V440" s="380"/>
      <c r="W440" s="403"/>
      <c r="X440" s="380"/>
      <c r="Y440" s="380"/>
      <c r="Z440" s="380"/>
      <c r="AA440" s="380"/>
      <c r="AB440" s="380"/>
      <c r="AC440" s="404"/>
      <c r="AD440" s="380"/>
      <c r="AE440" s="380"/>
      <c r="AF440" s="380"/>
      <c r="AG440" s="380"/>
      <c r="AH440" s="380"/>
      <c r="AI440" s="380"/>
      <c r="AJ440" s="380"/>
      <c r="AK440" s="403"/>
      <c r="AL440" s="380"/>
      <c r="AM440" s="380"/>
      <c r="AN440" s="380"/>
      <c r="AO440" s="380"/>
      <c r="AP440" s="380"/>
      <c r="AQ440" s="404"/>
      <c r="AR440" s="380"/>
      <c r="AS440" s="380"/>
      <c r="AT440" s="380"/>
      <c r="AU440" s="380"/>
      <c r="AV440" s="380"/>
      <c r="AW440" s="380"/>
      <c r="AX440" s="380"/>
      <c r="AY440" s="403"/>
      <c r="AZ440" s="380"/>
      <c r="BA440" s="380"/>
      <c r="BB440" s="380"/>
      <c r="BC440" s="380"/>
      <c r="BD440" s="380"/>
      <c r="BE440" s="404"/>
      <c r="BF440" s="380"/>
      <c r="BG440" s="380"/>
      <c r="BH440" s="380"/>
      <c r="BI440" s="380"/>
      <c r="BJ440" s="380"/>
      <c r="BK440" s="380"/>
      <c r="BL440" s="380"/>
      <c r="BM440" s="403"/>
      <c r="BS440" s="83"/>
      <c r="CA440" s="405"/>
      <c r="CG440" s="83"/>
      <c r="CO440" s="405"/>
      <c r="CU440" s="83"/>
      <c r="DC440" s="405"/>
      <c r="DI440" s="83"/>
      <c r="DQ440" s="405"/>
      <c r="DW440" s="83"/>
      <c r="EE440" s="405"/>
      <c r="EK440" s="83"/>
      <c r="ES440" s="405"/>
      <c r="EY440" s="83"/>
      <c r="FG440" s="405"/>
      <c r="FM440" s="83"/>
      <c r="FU440" s="405"/>
      <c r="GA440" s="83"/>
      <c r="GI440" s="405"/>
      <c r="GO440" s="83"/>
      <c r="GW440" s="405"/>
      <c r="HC440" s="83"/>
      <c r="HK440" s="405"/>
      <c r="HQ440" s="83"/>
      <c r="HY440" s="405"/>
      <c r="IE440" s="83"/>
      <c r="IM440" s="405"/>
      <c r="IS440" s="83"/>
      <c r="JA440" s="405"/>
      <c r="JG440" s="83"/>
      <c r="JO440" s="405"/>
      <c r="JU440" s="83"/>
      <c r="KC440" s="405"/>
      <c r="KI440" s="83"/>
      <c r="KQ440" s="405"/>
      <c r="KW440" s="83"/>
      <c r="LE440" s="405"/>
      <c r="LK440" s="83"/>
      <c r="LS440" s="405"/>
      <c r="LY440" s="83"/>
      <c r="MG440" s="405"/>
      <c r="MM440" s="83"/>
      <c r="MU440" s="405"/>
      <c r="NA440" s="83"/>
    </row>
    <row r="441">
      <c r="A441" s="483"/>
      <c r="B441" s="380"/>
      <c r="C441" s="380"/>
      <c r="D441" s="380"/>
      <c r="E441" s="380"/>
      <c r="F441" s="380"/>
      <c r="G441" s="380"/>
      <c r="H441" s="380"/>
      <c r="I441" s="403"/>
      <c r="J441" s="380"/>
      <c r="K441" s="380"/>
      <c r="L441" s="380"/>
      <c r="M441" s="380"/>
      <c r="N441" s="380"/>
      <c r="O441" s="404"/>
      <c r="P441" s="380"/>
      <c r="Q441" s="380"/>
      <c r="R441" s="380"/>
      <c r="S441" s="380"/>
      <c r="T441" s="380"/>
      <c r="U441" s="380"/>
      <c r="V441" s="380"/>
      <c r="W441" s="403"/>
      <c r="X441" s="380"/>
      <c r="Y441" s="380"/>
      <c r="Z441" s="380"/>
      <c r="AA441" s="380"/>
      <c r="AB441" s="380"/>
      <c r="AC441" s="404"/>
      <c r="AD441" s="380"/>
      <c r="AE441" s="380"/>
      <c r="AF441" s="380"/>
      <c r="AG441" s="380"/>
      <c r="AH441" s="380"/>
      <c r="AI441" s="380"/>
      <c r="AJ441" s="380"/>
      <c r="AK441" s="403"/>
      <c r="AL441" s="380"/>
      <c r="AM441" s="380"/>
      <c r="AN441" s="380"/>
      <c r="AO441" s="380"/>
      <c r="AP441" s="380"/>
      <c r="AQ441" s="404"/>
      <c r="AR441" s="380"/>
      <c r="AS441" s="380"/>
      <c r="AT441" s="380"/>
      <c r="AU441" s="380"/>
      <c r="AV441" s="380"/>
      <c r="AW441" s="380"/>
      <c r="AX441" s="380"/>
      <c r="AY441" s="403"/>
      <c r="AZ441" s="380"/>
      <c r="BA441" s="380"/>
      <c r="BB441" s="380"/>
      <c r="BC441" s="380"/>
      <c r="BD441" s="380"/>
      <c r="BE441" s="404"/>
      <c r="BF441" s="380"/>
      <c r="BG441" s="380"/>
      <c r="BH441" s="380"/>
      <c r="BI441" s="380"/>
      <c r="BJ441" s="380"/>
      <c r="BK441" s="380"/>
      <c r="BL441" s="380"/>
      <c r="BM441" s="403"/>
      <c r="BS441" s="83"/>
      <c r="CA441" s="405"/>
      <c r="CG441" s="83"/>
      <c r="CO441" s="405"/>
      <c r="CU441" s="83"/>
      <c r="DC441" s="405"/>
      <c r="DI441" s="83"/>
      <c r="DQ441" s="405"/>
      <c r="DW441" s="83"/>
      <c r="EE441" s="405"/>
      <c r="EK441" s="83"/>
      <c r="ES441" s="405"/>
      <c r="EY441" s="83"/>
      <c r="FG441" s="405"/>
      <c r="FM441" s="83"/>
      <c r="FU441" s="405"/>
      <c r="GA441" s="83"/>
      <c r="GI441" s="405"/>
      <c r="GO441" s="83"/>
      <c r="GW441" s="405"/>
      <c r="HC441" s="83"/>
      <c r="HK441" s="405"/>
      <c r="HQ441" s="83"/>
      <c r="HY441" s="405"/>
      <c r="IE441" s="83"/>
      <c r="IM441" s="405"/>
      <c r="IS441" s="83"/>
      <c r="JA441" s="405"/>
      <c r="JG441" s="83"/>
      <c r="JO441" s="405"/>
      <c r="JU441" s="83"/>
      <c r="KC441" s="405"/>
      <c r="KI441" s="83"/>
      <c r="KQ441" s="405"/>
      <c r="KW441" s="83"/>
      <c r="LE441" s="405"/>
      <c r="LK441" s="83"/>
      <c r="LS441" s="405"/>
      <c r="LY441" s="83"/>
      <c r="MG441" s="405"/>
      <c r="MM441" s="83"/>
      <c r="MU441" s="405"/>
      <c r="NA441" s="83"/>
    </row>
    <row r="442">
      <c r="A442" s="483"/>
      <c r="B442" s="380"/>
      <c r="C442" s="380"/>
      <c r="D442" s="380"/>
      <c r="E442" s="380"/>
      <c r="F442" s="380"/>
      <c r="G442" s="380"/>
      <c r="H442" s="380"/>
      <c r="I442" s="403"/>
      <c r="J442" s="380"/>
      <c r="K442" s="380"/>
      <c r="L442" s="380"/>
      <c r="M442" s="380"/>
      <c r="N442" s="380"/>
      <c r="O442" s="404"/>
      <c r="P442" s="380"/>
      <c r="Q442" s="380"/>
      <c r="R442" s="380"/>
      <c r="S442" s="380"/>
      <c r="T442" s="380"/>
      <c r="U442" s="380"/>
      <c r="V442" s="380"/>
      <c r="W442" s="403"/>
      <c r="X442" s="380"/>
      <c r="Y442" s="380"/>
      <c r="Z442" s="380"/>
      <c r="AA442" s="380"/>
      <c r="AB442" s="380"/>
      <c r="AC442" s="404"/>
      <c r="AD442" s="380"/>
      <c r="AE442" s="380"/>
      <c r="AF442" s="380"/>
      <c r="AG442" s="380"/>
      <c r="AH442" s="380"/>
      <c r="AI442" s="380"/>
      <c r="AJ442" s="380"/>
      <c r="AK442" s="403"/>
      <c r="AL442" s="380"/>
      <c r="AM442" s="380"/>
      <c r="AN442" s="380"/>
      <c r="AO442" s="380"/>
      <c r="AP442" s="380"/>
      <c r="AQ442" s="404"/>
      <c r="AR442" s="380"/>
      <c r="AS442" s="380"/>
      <c r="AT442" s="380"/>
      <c r="AU442" s="380"/>
      <c r="AV442" s="380"/>
      <c r="AW442" s="380"/>
      <c r="AX442" s="380"/>
      <c r="AY442" s="403"/>
      <c r="AZ442" s="380"/>
      <c r="BA442" s="380"/>
      <c r="BB442" s="380"/>
      <c r="BC442" s="380"/>
      <c r="BD442" s="380"/>
      <c r="BE442" s="404"/>
      <c r="BF442" s="380"/>
      <c r="BG442" s="380"/>
      <c r="BH442" s="380"/>
      <c r="BI442" s="380"/>
      <c r="BJ442" s="380"/>
      <c r="BK442" s="380"/>
      <c r="BL442" s="380"/>
      <c r="BM442" s="403"/>
      <c r="BS442" s="83"/>
      <c r="CA442" s="405"/>
      <c r="CG442" s="83"/>
      <c r="CO442" s="405"/>
      <c r="CU442" s="83"/>
      <c r="DC442" s="405"/>
      <c r="DI442" s="83"/>
      <c r="DQ442" s="405"/>
      <c r="DW442" s="83"/>
      <c r="EE442" s="405"/>
      <c r="EK442" s="83"/>
      <c r="ES442" s="405"/>
      <c r="EY442" s="83"/>
      <c r="FG442" s="405"/>
      <c r="FM442" s="83"/>
      <c r="FU442" s="405"/>
      <c r="GA442" s="83"/>
      <c r="GI442" s="405"/>
      <c r="GO442" s="83"/>
      <c r="GW442" s="405"/>
      <c r="HC442" s="83"/>
      <c r="HK442" s="405"/>
      <c r="HQ442" s="83"/>
      <c r="HY442" s="405"/>
      <c r="IE442" s="83"/>
      <c r="IM442" s="405"/>
      <c r="IS442" s="83"/>
      <c r="JA442" s="405"/>
      <c r="JG442" s="83"/>
      <c r="JO442" s="405"/>
      <c r="JU442" s="83"/>
      <c r="KC442" s="405"/>
      <c r="KI442" s="83"/>
      <c r="KQ442" s="405"/>
      <c r="KW442" s="83"/>
      <c r="LE442" s="405"/>
      <c r="LK442" s="83"/>
      <c r="LS442" s="405"/>
      <c r="LY442" s="83"/>
      <c r="MG442" s="405"/>
      <c r="MM442" s="83"/>
      <c r="MU442" s="405"/>
      <c r="NA442" s="83"/>
    </row>
    <row r="443">
      <c r="A443" s="483"/>
      <c r="B443" s="380"/>
      <c r="C443" s="380"/>
      <c r="D443" s="380"/>
      <c r="E443" s="380"/>
      <c r="F443" s="380"/>
      <c r="G443" s="380"/>
      <c r="H443" s="380"/>
      <c r="I443" s="403"/>
      <c r="J443" s="380"/>
      <c r="K443" s="380"/>
      <c r="L443" s="380"/>
      <c r="M443" s="380"/>
      <c r="N443" s="380"/>
      <c r="O443" s="404"/>
      <c r="P443" s="380"/>
      <c r="Q443" s="380"/>
      <c r="R443" s="380"/>
      <c r="S443" s="380"/>
      <c r="T443" s="380"/>
      <c r="U443" s="380"/>
      <c r="V443" s="380"/>
      <c r="W443" s="403"/>
      <c r="X443" s="380"/>
      <c r="Y443" s="380"/>
      <c r="Z443" s="380"/>
      <c r="AA443" s="380"/>
      <c r="AB443" s="380"/>
      <c r="AC443" s="404"/>
      <c r="AD443" s="380"/>
      <c r="AE443" s="380"/>
      <c r="AF443" s="380"/>
      <c r="AG443" s="380"/>
      <c r="AH443" s="380"/>
      <c r="AI443" s="380"/>
      <c r="AJ443" s="380"/>
      <c r="AK443" s="403"/>
      <c r="AL443" s="380"/>
      <c r="AM443" s="380"/>
      <c r="AN443" s="380"/>
      <c r="AO443" s="380"/>
      <c r="AP443" s="380"/>
      <c r="AQ443" s="404"/>
      <c r="AR443" s="380"/>
      <c r="AS443" s="380"/>
      <c r="AT443" s="380"/>
      <c r="AU443" s="380"/>
      <c r="AV443" s="380"/>
      <c r="AW443" s="380"/>
      <c r="AX443" s="380"/>
      <c r="AY443" s="403"/>
      <c r="AZ443" s="380"/>
      <c r="BA443" s="380"/>
      <c r="BB443" s="380"/>
      <c r="BC443" s="380"/>
      <c r="BD443" s="380"/>
      <c r="BE443" s="404"/>
      <c r="BF443" s="380"/>
      <c r="BG443" s="380"/>
      <c r="BH443" s="380"/>
      <c r="BI443" s="380"/>
      <c r="BJ443" s="380"/>
      <c r="BK443" s="380"/>
      <c r="BL443" s="380"/>
      <c r="BM443" s="403"/>
      <c r="BS443" s="83"/>
      <c r="CA443" s="405"/>
      <c r="CG443" s="83"/>
      <c r="CO443" s="405"/>
      <c r="CU443" s="83"/>
      <c r="DC443" s="405"/>
      <c r="DI443" s="83"/>
      <c r="DQ443" s="405"/>
      <c r="DW443" s="83"/>
      <c r="EE443" s="405"/>
      <c r="EK443" s="83"/>
      <c r="ES443" s="405"/>
      <c r="EY443" s="83"/>
      <c r="FG443" s="405"/>
      <c r="FM443" s="83"/>
      <c r="FU443" s="405"/>
      <c r="GA443" s="83"/>
      <c r="GI443" s="405"/>
      <c r="GO443" s="83"/>
      <c r="GW443" s="405"/>
      <c r="HC443" s="83"/>
      <c r="HK443" s="405"/>
      <c r="HQ443" s="83"/>
      <c r="HY443" s="405"/>
      <c r="IE443" s="83"/>
      <c r="IM443" s="405"/>
      <c r="IS443" s="83"/>
      <c r="JA443" s="405"/>
      <c r="JG443" s="83"/>
      <c r="JO443" s="405"/>
      <c r="JU443" s="83"/>
      <c r="KC443" s="405"/>
      <c r="KI443" s="83"/>
      <c r="KQ443" s="405"/>
      <c r="KW443" s="83"/>
      <c r="LE443" s="405"/>
      <c r="LK443" s="83"/>
      <c r="LS443" s="405"/>
      <c r="LY443" s="83"/>
      <c r="MG443" s="405"/>
      <c r="MM443" s="83"/>
      <c r="MU443" s="405"/>
      <c r="NA443" s="83"/>
    </row>
    <row r="444">
      <c r="A444" s="483"/>
      <c r="B444" s="380"/>
      <c r="C444" s="380"/>
      <c r="D444" s="380"/>
      <c r="E444" s="380"/>
      <c r="F444" s="380"/>
      <c r="G444" s="380"/>
      <c r="H444" s="380"/>
      <c r="I444" s="403"/>
      <c r="J444" s="380"/>
      <c r="K444" s="380"/>
      <c r="L444" s="380"/>
      <c r="M444" s="380"/>
      <c r="N444" s="380"/>
      <c r="O444" s="404"/>
      <c r="P444" s="380"/>
      <c r="Q444" s="380"/>
      <c r="R444" s="380"/>
      <c r="S444" s="380"/>
      <c r="T444" s="380"/>
      <c r="U444" s="380"/>
      <c r="V444" s="380"/>
      <c r="W444" s="403"/>
      <c r="X444" s="380"/>
      <c r="Y444" s="380"/>
      <c r="Z444" s="380"/>
      <c r="AA444" s="380"/>
      <c r="AB444" s="380"/>
      <c r="AC444" s="404"/>
      <c r="AD444" s="380"/>
      <c r="AE444" s="380"/>
      <c r="AF444" s="380"/>
      <c r="AG444" s="380"/>
      <c r="AH444" s="380"/>
      <c r="AI444" s="380"/>
      <c r="AJ444" s="380"/>
      <c r="AK444" s="403"/>
      <c r="AL444" s="380"/>
      <c r="AM444" s="380"/>
      <c r="AN444" s="380"/>
      <c r="AO444" s="380"/>
      <c r="AP444" s="380"/>
      <c r="AQ444" s="404"/>
      <c r="AR444" s="380"/>
      <c r="AS444" s="380"/>
      <c r="AT444" s="380"/>
      <c r="AU444" s="380"/>
      <c r="AV444" s="380"/>
      <c r="AW444" s="380"/>
      <c r="AX444" s="380"/>
      <c r="AY444" s="403"/>
      <c r="AZ444" s="380"/>
      <c r="BA444" s="380"/>
      <c r="BB444" s="380"/>
      <c r="BC444" s="380"/>
      <c r="BD444" s="380"/>
      <c r="BE444" s="404"/>
      <c r="BF444" s="380"/>
      <c r="BG444" s="380"/>
      <c r="BH444" s="380"/>
      <c r="BI444" s="380"/>
      <c r="BJ444" s="380"/>
      <c r="BK444" s="380"/>
      <c r="BL444" s="380"/>
      <c r="BM444" s="403"/>
      <c r="BS444" s="83"/>
      <c r="CA444" s="405"/>
      <c r="CG444" s="83"/>
      <c r="CO444" s="405"/>
      <c r="CU444" s="83"/>
      <c r="DC444" s="405"/>
      <c r="DI444" s="83"/>
      <c r="DQ444" s="405"/>
      <c r="DW444" s="83"/>
      <c r="EE444" s="405"/>
      <c r="EK444" s="83"/>
      <c r="ES444" s="405"/>
      <c r="EY444" s="83"/>
      <c r="FG444" s="405"/>
      <c r="FM444" s="83"/>
      <c r="FU444" s="405"/>
      <c r="GA444" s="83"/>
      <c r="GI444" s="405"/>
      <c r="GO444" s="83"/>
      <c r="GW444" s="405"/>
      <c r="HC444" s="83"/>
      <c r="HK444" s="405"/>
      <c r="HQ444" s="83"/>
      <c r="HY444" s="405"/>
      <c r="IE444" s="83"/>
      <c r="IM444" s="405"/>
      <c r="IS444" s="83"/>
      <c r="JA444" s="405"/>
      <c r="JG444" s="83"/>
      <c r="JO444" s="405"/>
      <c r="JU444" s="83"/>
      <c r="KC444" s="405"/>
      <c r="KI444" s="83"/>
      <c r="KQ444" s="405"/>
      <c r="KW444" s="83"/>
      <c r="LE444" s="405"/>
      <c r="LK444" s="83"/>
      <c r="LS444" s="405"/>
      <c r="LY444" s="83"/>
      <c r="MG444" s="405"/>
      <c r="MM444" s="83"/>
      <c r="MU444" s="405"/>
      <c r="NA444" s="83"/>
    </row>
    <row r="445">
      <c r="A445" s="483"/>
      <c r="B445" s="380"/>
      <c r="C445" s="380"/>
      <c r="D445" s="380"/>
      <c r="E445" s="380"/>
      <c r="F445" s="380"/>
      <c r="G445" s="380"/>
      <c r="H445" s="380"/>
      <c r="I445" s="403"/>
      <c r="J445" s="380"/>
      <c r="K445" s="380"/>
      <c r="L445" s="380"/>
      <c r="M445" s="380"/>
      <c r="N445" s="380"/>
      <c r="O445" s="404"/>
      <c r="P445" s="380"/>
      <c r="Q445" s="380"/>
      <c r="R445" s="380"/>
      <c r="S445" s="380"/>
      <c r="T445" s="380"/>
      <c r="U445" s="380"/>
      <c r="V445" s="380"/>
      <c r="W445" s="403"/>
      <c r="X445" s="380"/>
      <c r="Y445" s="380"/>
      <c r="Z445" s="380"/>
      <c r="AA445" s="380"/>
      <c r="AB445" s="380"/>
      <c r="AC445" s="404"/>
      <c r="AD445" s="380"/>
      <c r="AE445" s="380"/>
      <c r="AF445" s="380"/>
      <c r="AG445" s="380"/>
      <c r="AH445" s="380"/>
      <c r="AI445" s="380"/>
      <c r="AJ445" s="380"/>
      <c r="AK445" s="403"/>
      <c r="AL445" s="380"/>
      <c r="AM445" s="380"/>
      <c r="AN445" s="380"/>
      <c r="AO445" s="380"/>
      <c r="AP445" s="380"/>
      <c r="AQ445" s="404"/>
      <c r="AR445" s="380"/>
      <c r="AS445" s="380"/>
      <c r="AT445" s="380"/>
      <c r="AU445" s="380"/>
      <c r="AV445" s="380"/>
      <c r="AW445" s="380"/>
      <c r="AX445" s="380"/>
      <c r="AY445" s="403"/>
      <c r="AZ445" s="380"/>
      <c r="BA445" s="380"/>
      <c r="BB445" s="380"/>
      <c r="BC445" s="380"/>
      <c r="BD445" s="380"/>
      <c r="BE445" s="404"/>
      <c r="BF445" s="380"/>
      <c r="BG445" s="380"/>
      <c r="BH445" s="380"/>
      <c r="BI445" s="380"/>
      <c r="BJ445" s="380"/>
      <c r="BK445" s="380"/>
      <c r="BL445" s="380"/>
      <c r="BM445" s="403"/>
      <c r="BS445" s="83"/>
      <c r="CA445" s="405"/>
      <c r="CG445" s="83"/>
      <c r="CO445" s="405"/>
      <c r="CU445" s="83"/>
      <c r="DC445" s="405"/>
      <c r="DI445" s="83"/>
      <c r="DQ445" s="405"/>
      <c r="DW445" s="83"/>
      <c r="EE445" s="405"/>
      <c r="EK445" s="83"/>
      <c r="ES445" s="405"/>
      <c r="EY445" s="83"/>
      <c r="FG445" s="405"/>
      <c r="FM445" s="83"/>
      <c r="FU445" s="405"/>
      <c r="GA445" s="83"/>
      <c r="GI445" s="405"/>
      <c r="GO445" s="83"/>
      <c r="GW445" s="405"/>
      <c r="HC445" s="83"/>
      <c r="HK445" s="405"/>
      <c r="HQ445" s="83"/>
      <c r="HY445" s="405"/>
      <c r="IE445" s="83"/>
      <c r="IM445" s="405"/>
      <c r="IS445" s="83"/>
      <c r="JA445" s="405"/>
      <c r="JG445" s="83"/>
      <c r="JO445" s="405"/>
      <c r="JU445" s="83"/>
      <c r="KC445" s="405"/>
      <c r="KI445" s="83"/>
      <c r="KQ445" s="405"/>
      <c r="KW445" s="83"/>
      <c r="LE445" s="405"/>
      <c r="LK445" s="83"/>
      <c r="LS445" s="405"/>
      <c r="LY445" s="83"/>
      <c r="MG445" s="405"/>
      <c r="MM445" s="83"/>
      <c r="MU445" s="405"/>
      <c r="NA445" s="83"/>
    </row>
    <row r="446">
      <c r="A446" s="483"/>
      <c r="B446" s="380"/>
      <c r="C446" s="380"/>
      <c r="D446" s="380"/>
      <c r="E446" s="380"/>
      <c r="F446" s="380"/>
      <c r="G446" s="380"/>
      <c r="H446" s="380"/>
      <c r="I446" s="403"/>
      <c r="J446" s="380"/>
      <c r="K446" s="380"/>
      <c r="L446" s="380"/>
      <c r="M446" s="380"/>
      <c r="N446" s="380"/>
      <c r="O446" s="404"/>
      <c r="P446" s="380"/>
      <c r="Q446" s="380"/>
      <c r="R446" s="380"/>
      <c r="S446" s="380"/>
      <c r="T446" s="380"/>
      <c r="U446" s="380"/>
      <c r="V446" s="380"/>
      <c r="W446" s="403"/>
      <c r="X446" s="380"/>
      <c r="Y446" s="380"/>
      <c r="Z446" s="380"/>
      <c r="AA446" s="380"/>
      <c r="AB446" s="380"/>
      <c r="AC446" s="404"/>
      <c r="AD446" s="380"/>
      <c r="AE446" s="380"/>
      <c r="AF446" s="380"/>
      <c r="AG446" s="380"/>
      <c r="AH446" s="380"/>
      <c r="AI446" s="380"/>
      <c r="AJ446" s="380"/>
      <c r="AK446" s="403"/>
      <c r="AL446" s="380"/>
      <c r="AM446" s="380"/>
      <c r="AN446" s="380"/>
      <c r="AO446" s="380"/>
      <c r="AP446" s="380"/>
      <c r="AQ446" s="404"/>
      <c r="AR446" s="380"/>
      <c r="AS446" s="380"/>
      <c r="AT446" s="380"/>
      <c r="AU446" s="380"/>
      <c r="AV446" s="380"/>
      <c r="AW446" s="380"/>
      <c r="AX446" s="380"/>
      <c r="AY446" s="403"/>
      <c r="AZ446" s="380"/>
      <c r="BA446" s="380"/>
      <c r="BB446" s="380"/>
      <c r="BC446" s="380"/>
      <c r="BD446" s="380"/>
      <c r="BE446" s="404"/>
      <c r="BF446" s="380"/>
      <c r="BG446" s="380"/>
      <c r="BH446" s="380"/>
      <c r="BI446" s="380"/>
      <c r="BJ446" s="380"/>
      <c r="BK446" s="380"/>
      <c r="BL446" s="380"/>
      <c r="BM446" s="403"/>
      <c r="BS446" s="83"/>
      <c r="CA446" s="405"/>
      <c r="CG446" s="83"/>
      <c r="CO446" s="405"/>
      <c r="CU446" s="83"/>
      <c r="DC446" s="405"/>
      <c r="DI446" s="83"/>
      <c r="DQ446" s="405"/>
      <c r="DW446" s="83"/>
      <c r="EE446" s="405"/>
      <c r="EK446" s="83"/>
      <c r="ES446" s="405"/>
      <c r="EY446" s="83"/>
      <c r="FG446" s="405"/>
      <c r="FM446" s="83"/>
      <c r="FU446" s="405"/>
      <c r="GA446" s="83"/>
      <c r="GI446" s="405"/>
      <c r="GO446" s="83"/>
      <c r="GW446" s="405"/>
      <c r="HC446" s="83"/>
      <c r="HK446" s="405"/>
      <c r="HQ446" s="83"/>
      <c r="HY446" s="405"/>
      <c r="IE446" s="83"/>
      <c r="IM446" s="405"/>
      <c r="IS446" s="83"/>
      <c r="JA446" s="405"/>
      <c r="JG446" s="83"/>
      <c r="JO446" s="405"/>
      <c r="JU446" s="83"/>
      <c r="KC446" s="405"/>
      <c r="KI446" s="83"/>
      <c r="KQ446" s="405"/>
      <c r="KW446" s="83"/>
      <c r="LE446" s="405"/>
      <c r="LK446" s="83"/>
      <c r="LS446" s="405"/>
      <c r="LY446" s="83"/>
      <c r="MG446" s="405"/>
      <c r="MM446" s="83"/>
      <c r="MU446" s="405"/>
      <c r="NA446" s="83"/>
    </row>
    <row r="447">
      <c r="A447" s="483"/>
      <c r="B447" s="380"/>
      <c r="C447" s="380"/>
      <c r="D447" s="380"/>
      <c r="E447" s="380"/>
      <c r="F447" s="380"/>
      <c r="G447" s="380"/>
      <c r="H447" s="380"/>
      <c r="I447" s="403"/>
      <c r="J447" s="380"/>
      <c r="K447" s="380"/>
      <c r="L447" s="380"/>
      <c r="M447" s="380"/>
      <c r="N447" s="380"/>
      <c r="O447" s="404"/>
      <c r="P447" s="380"/>
      <c r="Q447" s="380"/>
      <c r="R447" s="380"/>
      <c r="S447" s="380"/>
      <c r="T447" s="380"/>
      <c r="U447" s="380"/>
      <c r="V447" s="380"/>
      <c r="W447" s="403"/>
      <c r="X447" s="380"/>
      <c r="Y447" s="380"/>
      <c r="Z447" s="380"/>
      <c r="AA447" s="380"/>
      <c r="AB447" s="380"/>
      <c r="AC447" s="404"/>
      <c r="AD447" s="380"/>
      <c r="AE447" s="380"/>
      <c r="AF447" s="380"/>
      <c r="AG447" s="380"/>
      <c r="AH447" s="380"/>
      <c r="AI447" s="380"/>
      <c r="AJ447" s="380"/>
      <c r="AK447" s="403"/>
      <c r="AL447" s="380"/>
      <c r="AM447" s="380"/>
      <c r="AN447" s="380"/>
      <c r="AO447" s="380"/>
      <c r="AP447" s="380"/>
      <c r="AQ447" s="404"/>
      <c r="AR447" s="380"/>
      <c r="AS447" s="380"/>
      <c r="AT447" s="380"/>
      <c r="AU447" s="380"/>
      <c r="AV447" s="380"/>
      <c r="AW447" s="380"/>
      <c r="AX447" s="380"/>
      <c r="AY447" s="403"/>
      <c r="AZ447" s="380"/>
      <c r="BA447" s="380"/>
      <c r="BB447" s="380"/>
      <c r="BC447" s="380"/>
      <c r="BD447" s="380"/>
      <c r="BE447" s="404"/>
      <c r="BF447" s="380"/>
      <c r="BG447" s="380"/>
      <c r="BH447" s="380"/>
      <c r="BI447" s="380"/>
      <c r="BJ447" s="380"/>
      <c r="BK447" s="380"/>
      <c r="BL447" s="380"/>
      <c r="BM447" s="403"/>
      <c r="BS447" s="83"/>
      <c r="CA447" s="405"/>
      <c r="CG447" s="83"/>
      <c r="CO447" s="405"/>
      <c r="CU447" s="83"/>
      <c r="DC447" s="405"/>
      <c r="DI447" s="83"/>
      <c r="DQ447" s="405"/>
      <c r="DW447" s="83"/>
      <c r="EE447" s="405"/>
      <c r="EK447" s="83"/>
      <c r="ES447" s="405"/>
      <c r="EY447" s="83"/>
      <c r="FG447" s="405"/>
      <c r="FM447" s="83"/>
      <c r="FU447" s="405"/>
      <c r="GA447" s="83"/>
      <c r="GI447" s="405"/>
      <c r="GO447" s="83"/>
      <c r="GW447" s="405"/>
      <c r="HC447" s="83"/>
      <c r="HK447" s="405"/>
      <c r="HQ447" s="83"/>
      <c r="HY447" s="405"/>
      <c r="IE447" s="83"/>
      <c r="IM447" s="405"/>
      <c r="IS447" s="83"/>
      <c r="JA447" s="405"/>
      <c r="JG447" s="83"/>
      <c r="JO447" s="405"/>
      <c r="JU447" s="83"/>
      <c r="KC447" s="405"/>
      <c r="KI447" s="83"/>
      <c r="KQ447" s="405"/>
      <c r="KW447" s="83"/>
      <c r="LE447" s="405"/>
      <c r="LK447" s="83"/>
      <c r="LS447" s="405"/>
      <c r="LY447" s="83"/>
      <c r="MG447" s="405"/>
      <c r="MM447" s="83"/>
      <c r="MU447" s="405"/>
      <c r="NA447" s="83"/>
    </row>
    <row r="448">
      <c r="A448" s="483"/>
      <c r="B448" s="380"/>
      <c r="C448" s="380"/>
      <c r="D448" s="380"/>
      <c r="E448" s="380"/>
      <c r="F448" s="380"/>
      <c r="G448" s="380"/>
      <c r="H448" s="380"/>
      <c r="I448" s="403"/>
      <c r="J448" s="380"/>
      <c r="K448" s="380"/>
      <c r="L448" s="380"/>
      <c r="M448" s="380"/>
      <c r="N448" s="380"/>
      <c r="O448" s="404"/>
      <c r="P448" s="380"/>
      <c r="Q448" s="380"/>
      <c r="R448" s="380"/>
      <c r="S448" s="380"/>
      <c r="T448" s="380"/>
      <c r="U448" s="380"/>
      <c r="V448" s="380"/>
      <c r="W448" s="403"/>
      <c r="X448" s="380"/>
      <c r="Y448" s="380"/>
      <c r="Z448" s="380"/>
      <c r="AA448" s="380"/>
      <c r="AB448" s="380"/>
      <c r="AC448" s="404"/>
      <c r="AD448" s="380"/>
      <c r="AE448" s="380"/>
      <c r="AF448" s="380"/>
      <c r="AG448" s="380"/>
      <c r="AH448" s="380"/>
      <c r="AI448" s="380"/>
      <c r="AJ448" s="380"/>
      <c r="AK448" s="403"/>
      <c r="AL448" s="380"/>
      <c r="AM448" s="380"/>
      <c r="AN448" s="380"/>
      <c r="AO448" s="380"/>
      <c r="AP448" s="380"/>
      <c r="AQ448" s="404"/>
      <c r="AR448" s="380"/>
      <c r="AS448" s="380"/>
      <c r="AT448" s="380"/>
      <c r="AU448" s="380"/>
      <c r="AV448" s="380"/>
      <c r="AW448" s="380"/>
      <c r="AX448" s="380"/>
      <c r="AY448" s="403"/>
      <c r="AZ448" s="380"/>
      <c r="BA448" s="380"/>
      <c r="BB448" s="380"/>
      <c r="BC448" s="380"/>
      <c r="BD448" s="380"/>
      <c r="BE448" s="404"/>
      <c r="BF448" s="380"/>
      <c r="BG448" s="380"/>
      <c r="BH448" s="380"/>
      <c r="BI448" s="380"/>
      <c r="BJ448" s="380"/>
      <c r="BK448" s="380"/>
      <c r="BL448" s="380"/>
      <c r="BM448" s="403"/>
      <c r="BS448" s="83"/>
      <c r="CA448" s="405"/>
      <c r="CG448" s="83"/>
      <c r="CO448" s="405"/>
      <c r="CU448" s="83"/>
      <c r="DC448" s="405"/>
      <c r="DI448" s="83"/>
      <c r="DQ448" s="405"/>
      <c r="DW448" s="83"/>
      <c r="EE448" s="405"/>
      <c r="EK448" s="83"/>
      <c r="ES448" s="405"/>
      <c r="EY448" s="83"/>
      <c r="FG448" s="405"/>
      <c r="FM448" s="83"/>
      <c r="FU448" s="405"/>
      <c r="GA448" s="83"/>
      <c r="GI448" s="405"/>
      <c r="GO448" s="83"/>
      <c r="GW448" s="405"/>
      <c r="HC448" s="83"/>
      <c r="HK448" s="405"/>
      <c r="HQ448" s="83"/>
      <c r="HY448" s="405"/>
      <c r="IE448" s="83"/>
      <c r="IM448" s="405"/>
      <c r="IS448" s="83"/>
      <c r="JA448" s="405"/>
      <c r="JG448" s="83"/>
      <c r="JO448" s="405"/>
      <c r="JU448" s="83"/>
      <c r="KC448" s="405"/>
      <c r="KI448" s="83"/>
      <c r="KQ448" s="405"/>
      <c r="KW448" s="83"/>
      <c r="LE448" s="405"/>
      <c r="LK448" s="83"/>
      <c r="LS448" s="405"/>
      <c r="LY448" s="83"/>
      <c r="MG448" s="405"/>
      <c r="MM448" s="83"/>
      <c r="MU448" s="405"/>
      <c r="NA448" s="83"/>
    </row>
    <row r="449">
      <c r="A449" s="483"/>
      <c r="B449" s="380"/>
      <c r="C449" s="380"/>
      <c r="D449" s="380"/>
      <c r="E449" s="380"/>
      <c r="F449" s="380"/>
      <c r="G449" s="380"/>
      <c r="H449" s="380"/>
      <c r="I449" s="403"/>
      <c r="J449" s="380"/>
      <c r="K449" s="380"/>
      <c r="L449" s="380"/>
      <c r="M449" s="380"/>
      <c r="N449" s="380"/>
      <c r="O449" s="404"/>
      <c r="P449" s="380"/>
      <c r="Q449" s="380"/>
      <c r="R449" s="380"/>
      <c r="S449" s="380"/>
      <c r="T449" s="380"/>
      <c r="U449" s="380"/>
      <c r="V449" s="380"/>
      <c r="W449" s="403"/>
      <c r="X449" s="380"/>
      <c r="Y449" s="380"/>
      <c r="Z449" s="380"/>
      <c r="AA449" s="380"/>
      <c r="AB449" s="380"/>
      <c r="AC449" s="404"/>
      <c r="AD449" s="380"/>
      <c r="AE449" s="380"/>
      <c r="AF449" s="380"/>
      <c r="AG449" s="380"/>
      <c r="AH449" s="380"/>
      <c r="AI449" s="380"/>
      <c r="AJ449" s="380"/>
      <c r="AK449" s="403"/>
      <c r="AL449" s="380"/>
      <c r="AM449" s="380"/>
      <c r="AN449" s="380"/>
      <c r="AO449" s="380"/>
      <c r="AP449" s="380"/>
      <c r="AQ449" s="404"/>
      <c r="AR449" s="380"/>
      <c r="AS449" s="380"/>
      <c r="AT449" s="380"/>
      <c r="AU449" s="380"/>
      <c r="AV449" s="380"/>
      <c r="AW449" s="380"/>
      <c r="AX449" s="380"/>
      <c r="AY449" s="403"/>
      <c r="AZ449" s="380"/>
      <c r="BA449" s="380"/>
      <c r="BB449" s="380"/>
      <c r="BC449" s="380"/>
      <c r="BD449" s="380"/>
      <c r="BE449" s="404"/>
      <c r="BF449" s="380"/>
      <c r="BG449" s="380"/>
      <c r="BH449" s="380"/>
      <c r="BI449" s="380"/>
      <c r="BJ449" s="380"/>
      <c r="BK449" s="380"/>
      <c r="BL449" s="380"/>
      <c r="BM449" s="403"/>
      <c r="BS449" s="83"/>
      <c r="CA449" s="405"/>
      <c r="CG449" s="83"/>
      <c r="CO449" s="405"/>
      <c r="CU449" s="83"/>
      <c r="DC449" s="405"/>
      <c r="DI449" s="83"/>
      <c r="DQ449" s="405"/>
      <c r="DW449" s="83"/>
      <c r="EE449" s="405"/>
      <c r="EK449" s="83"/>
      <c r="ES449" s="405"/>
      <c r="EY449" s="83"/>
      <c r="FG449" s="405"/>
      <c r="FM449" s="83"/>
      <c r="FU449" s="405"/>
      <c r="GA449" s="83"/>
      <c r="GI449" s="405"/>
      <c r="GO449" s="83"/>
      <c r="GW449" s="405"/>
      <c r="HC449" s="83"/>
      <c r="HK449" s="405"/>
      <c r="HQ449" s="83"/>
      <c r="HY449" s="405"/>
      <c r="IE449" s="83"/>
      <c r="IM449" s="405"/>
      <c r="IS449" s="83"/>
      <c r="JA449" s="405"/>
      <c r="JG449" s="83"/>
      <c r="JO449" s="405"/>
      <c r="JU449" s="83"/>
      <c r="KC449" s="405"/>
      <c r="KI449" s="83"/>
      <c r="KQ449" s="405"/>
      <c r="KW449" s="83"/>
      <c r="LE449" s="405"/>
      <c r="LK449" s="83"/>
      <c r="LS449" s="405"/>
      <c r="LY449" s="83"/>
      <c r="MG449" s="405"/>
      <c r="MM449" s="83"/>
      <c r="MU449" s="405"/>
      <c r="NA449" s="83"/>
    </row>
    <row r="450">
      <c r="A450" s="483"/>
      <c r="B450" s="380"/>
      <c r="C450" s="380"/>
      <c r="D450" s="380"/>
      <c r="E450" s="380"/>
      <c r="F450" s="380"/>
      <c r="G450" s="380"/>
      <c r="H450" s="380"/>
      <c r="I450" s="403"/>
      <c r="J450" s="380"/>
      <c r="K450" s="380"/>
      <c r="L450" s="380"/>
      <c r="M450" s="380"/>
      <c r="N450" s="380"/>
      <c r="O450" s="404"/>
      <c r="P450" s="380"/>
      <c r="Q450" s="380"/>
      <c r="R450" s="380"/>
      <c r="S450" s="380"/>
      <c r="T450" s="380"/>
      <c r="U450" s="380"/>
      <c r="V450" s="380"/>
      <c r="W450" s="403"/>
      <c r="X450" s="380"/>
      <c r="Y450" s="380"/>
      <c r="Z450" s="380"/>
      <c r="AA450" s="380"/>
      <c r="AB450" s="380"/>
      <c r="AC450" s="404"/>
      <c r="AD450" s="380"/>
      <c r="AE450" s="380"/>
      <c r="AF450" s="380"/>
      <c r="AG450" s="380"/>
      <c r="AH450" s="380"/>
      <c r="AI450" s="380"/>
      <c r="AJ450" s="380"/>
      <c r="AK450" s="403"/>
      <c r="AL450" s="380"/>
      <c r="AM450" s="380"/>
      <c r="AN450" s="380"/>
      <c r="AO450" s="380"/>
      <c r="AP450" s="380"/>
      <c r="AQ450" s="404"/>
      <c r="AR450" s="380"/>
      <c r="AS450" s="380"/>
      <c r="AT450" s="380"/>
      <c r="AU450" s="380"/>
      <c r="AV450" s="380"/>
      <c r="AW450" s="380"/>
      <c r="AX450" s="380"/>
      <c r="AY450" s="403"/>
      <c r="AZ450" s="380"/>
      <c r="BA450" s="380"/>
      <c r="BB450" s="380"/>
      <c r="BC450" s="380"/>
      <c r="BD450" s="380"/>
      <c r="BE450" s="404"/>
      <c r="BF450" s="380"/>
      <c r="BG450" s="380"/>
      <c r="BH450" s="380"/>
      <c r="BI450" s="380"/>
      <c r="BJ450" s="380"/>
      <c r="BK450" s="380"/>
      <c r="BL450" s="380"/>
      <c r="BM450" s="403"/>
      <c r="BS450" s="83"/>
      <c r="CA450" s="405"/>
      <c r="CG450" s="83"/>
      <c r="CO450" s="405"/>
      <c r="CU450" s="83"/>
      <c r="DC450" s="405"/>
      <c r="DI450" s="83"/>
      <c r="DQ450" s="405"/>
      <c r="DW450" s="83"/>
      <c r="EE450" s="405"/>
      <c r="EK450" s="83"/>
      <c r="ES450" s="405"/>
      <c r="EY450" s="83"/>
      <c r="FG450" s="405"/>
      <c r="FM450" s="83"/>
      <c r="FU450" s="405"/>
      <c r="GA450" s="83"/>
      <c r="GI450" s="405"/>
      <c r="GO450" s="83"/>
      <c r="GW450" s="405"/>
      <c r="HC450" s="83"/>
      <c r="HK450" s="405"/>
      <c r="HQ450" s="83"/>
      <c r="HY450" s="405"/>
      <c r="IE450" s="83"/>
      <c r="IM450" s="405"/>
      <c r="IS450" s="83"/>
      <c r="JA450" s="405"/>
      <c r="JG450" s="83"/>
      <c r="JO450" s="405"/>
      <c r="JU450" s="83"/>
      <c r="KC450" s="405"/>
      <c r="KI450" s="83"/>
      <c r="KQ450" s="405"/>
      <c r="KW450" s="83"/>
      <c r="LE450" s="405"/>
      <c r="LK450" s="83"/>
      <c r="LS450" s="405"/>
      <c r="LY450" s="83"/>
      <c r="MG450" s="405"/>
      <c r="MM450" s="83"/>
      <c r="MU450" s="405"/>
      <c r="NA450" s="83"/>
    </row>
    <row r="451">
      <c r="A451" s="483"/>
      <c r="B451" s="380"/>
      <c r="C451" s="380"/>
      <c r="D451" s="380"/>
      <c r="E451" s="380"/>
      <c r="F451" s="380"/>
      <c r="G451" s="380"/>
      <c r="H451" s="380"/>
      <c r="I451" s="403"/>
      <c r="J451" s="380"/>
      <c r="K451" s="380"/>
      <c r="L451" s="380"/>
      <c r="M451" s="380"/>
      <c r="N451" s="380"/>
      <c r="O451" s="404"/>
      <c r="P451" s="380"/>
      <c r="Q451" s="380"/>
      <c r="R451" s="380"/>
      <c r="S451" s="380"/>
      <c r="T451" s="380"/>
      <c r="U451" s="380"/>
      <c r="V451" s="380"/>
      <c r="W451" s="403"/>
      <c r="X451" s="380"/>
      <c r="Y451" s="380"/>
      <c r="Z451" s="380"/>
      <c r="AA451" s="380"/>
      <c r="AB451" s="380"/>
      <c r="AC451" s="404"/>
      <c r="AD451" s="380"/>
      <c r="AE451" s="380"/>
      <c r="AF451" s="380"/>
      <c r="AG451" s="380"/>
      <c r="AH451" s="380"/>
      <c r="AI451" s="380"/>
      <c r="AJ451" s="380"/>
      <c r="AK451" s="403"/>
      <c r="AL451" s="380"/>
      <c r="AM451" s="380"/>
      <c r="AN451" s="380"/>
      <c r="AO451" s="380"/>
      <c r="AP451" s="380"/>
      <c r="AQ451" s="404"/>
      <c r="AR451" s="380"/>
      <c r="AS451" s="380"/>
      <c r="AT451" s="380"/>
      <c r="AU451" s="380"/>
      <c r="AV451" s="380"/>
      <c r="AW451" s="380"/>
      <c r="AX451" s="380"/>
      <c r="AY451" s="403"/>
      <c r="AZ451" s="380"/>
      <c r="BA451" s="380"/>
      <c r="BB451" s="380"/>
      <c r="BC451" s="380"/>
      <c r="BD451" s="380"/>
      <c r="BE451" s="404"/>
      <c r="BF451" s="380"/>
      <c r="BG451" s="380"/>
      <c r="BH451" s="380"/>
      <c r="BI451" s="380"/>
      <c r="BJ451" s="380"/>
      <c r="BK451" s="380"/>
      <c r="BL451" s="380"/>
      <c r="BM451" s="403"/>
      <c r="BS451" s="83"/>
      <c r="CA451" s="405"/>
      <c r="CG451" s="83"/>
      <c r="CO451" s="405"/>
      <c r="CU451" s="83"/>
      <c r="DC451" s="405"/>
      <c r="DI451" s="83"/>
      <c r="DQ451" s="405"/>
      <c r="DW451" s="83"/>
      <c r="EE451" s="405"/>
      <c r="EK451" s="83"/>
      <c r="ES451" s="405"/>
      <c r="EY451" s="83"/>
      <c r="FG451" s="405"/>
      <c r="FM451" s="83"/>
      <c r="FU451" s="405"/>
      <c r="GA451" s="83"/>
      <c r="GI451" s="405"/>
      <c r="GO451" s="83"/>
      <c r="GW451" s="405"/>
      <c r="HC451" s="83"/>
      <c r="HK451" s="405"/>
      <c r="HQ451" s="83"/>
      <c r="HY451" s="405"/>
      <c r="IE451" s="83"/>
      <c r="IM451" s="405"/>
      <c r="IS451" s="83"/>
      <c r="JA451" s="405"/>
      <c r="JG451" s="83"/>
      <c r="JO451" s="405"/>
      <c r="JU451" s="83"/>
      <c r="KC451" s="405"/>
      <c r="KI451" s="83"/>
      <c r="KQ451" s="405"/>
      <c r="KW451" s="83"/>
      <c r="LE451" s="405"/>
      <c r="LK451" s="83"/>
      <c r="LS451" s="405"/>
      <c r="LY451" s="83"/>
      <c r="MG451" s="405"/>
      <c r="MM451" s="83"/>
      <c r="MU451" s="405"/>
      <c r="NA451" s="83"/>
    </row>
    <row r="452">
      <c r="A452" s="483"/>
      <c r="B452" s="380"/>
      <c r="C452" s="380"/>
      <c r="D452" s="380"/>
      <c r="E452" s="380"/>
      <c r="F452" s="380"/>
      <c r="G452" s="380"/>
      <c r="H452" s="380"/>
      <c r="I452" s="403"/>
      <c r="J452" s="380"/>
      <c r="K452" s="380"/>
      <c r="L452" s="380"/>
      <c r="M452" s="380"/>
      <c r="N452" s="380"/>
      <c r="O452" s="404"/>
      <c r="P452" s="380"/>
      <c r="Q452" s="380"/>
      <c r="R452" s="380"/>
      <c r="S452" s="380"/>
      <c r="T452" s="380"/>
      <c r="U452" s="380"/>
      <c r="V452" s="380"/>
      <c r="W452" s="403"/>
      <c r="X452" s="380"/>
      <c r="Y452" s="380"/>
      <c r="Z452" s="380"/>
      <c r="AA452" s="380"/>
      <c r="AB452" s="380"/>
      <c r="AC452" s="404"/>
      <c r="AD452" s="380"/>
      <c r="AE452" s="380"/>
      <c r="AF452" s="380"/>
      <c r="AG452" s="380"/>
      <c r="AH452" s="380"/>
      <c r="AI452" s="380"/>
      <c r="AJ452" s="380"/>
      <c r="AK452" s="403"/>
      <c r="AL452" s="380"/>
      <c r="AM452" s="380"/>
      <c r="AN452" s="380"/>
      <c r="AO452" s="380"/>
      <c r="AP452" s="380"/>
      <c r="AQ452" s="404"/>
      <c r="AR452" s="380"/>
      <c r="AS452" s="380"/>
      <c r="AT452" s="380"/>
      <c r="AU452" s="380"/>
      <c r="AV452" s="380"/>
      <c r="AW452" s="380"/>
      <c r="AX452" s="380"/>
      <c r="AY452" s="403"/>
      <c r="AZ452" s="380"/>
      <c r="BA452" s="380"/>
      <c r="BB452" s="380"/>
      <c r="BC452" s="380"/>
      <c r="BD452" s="380"/>
      <c r="BE452" s="404"/>
      <c r="BF452" s="380"/>
      <c r="BG452" s="380"/>
      <c r="BH452" s="380"/>
      <c r="BI452" s="380"/>
      <c r="BJ452" s="380"/>
      <c r="BK452" s="380"/>
      <c r="BL452" s="380"/>
      <c r="BM452" s="403"/>
      <c r="BS452" s="83"/>
      <c r="CA452" s="405"/>
      <c r="CG452" s="83"/>
      <c r="CO452" s="405"/>
      <c r="CU452" s="83"/>
      <c r="DC452" s="405"/>
      <c r="DI452" s="83"/>
      <c r="DQ452" s="405"/>
      <c r="DW452" s="83"/>
      <c r="EE452" s="405"/>
      <c r="EK452" s="83"/>
      <c r="ES452" s="405"/>
      <c r="EY452" s="83"/>
      <c r="FG452" s="405"/>
      <c r="FM452" s="83"/>
      <c r="FU452" s="405"/>
      <c r="GA452" s="83"/>
      <c r="GI452" s="405"/>
      <c r="GO452" s="83"/>
      <c r="GW452" s="405"/>
      <c r="HC452" s="83"/>
      <c r="HK452" s="405"/>
      <c r="HQ452" s="83"/>
      <c r="HY452" s="405"/>
      <c r="IE452" s="83"/>
      <c r="IM452" s="405"/>
      <c r="IS452" s="83"/>
      <c r="JA452" s="405"/>
      <c r="JG452" s="83"/>
      <c r="JO452" s="405"/>
      <c r="JU452" s="83"/>
      <c r="KC452" s="405"/>
      <c r="KI452" s="83"/>
      <c r="KQ452" s="405"/>
      <c r="KW452" s="83"/>
      <c r="LE452" s="405"/>
      <c r="LK452" s="83"/>
      <c r="LS452" s="405"/>
      <c r="LY452" s="83"/>
      <c r="MG452" s="405"/>
      <c r="MM452" s="83"/>
      <c r="MU452" s="405"/>
      <c r="NA452" s="83"/>
    </row>
    <row r="453">
      <c r="A453" s="483"/>
      <c r="B453" s="380"/>
      <c r="C453" s="380"/>
      <c r="D453" s="380"/>
      <c r="E453" s="380"/>
      <c r="F453" s="380"/>
      <c r="G453" s="380"/>
      <c r="H453" s="380"/>
      <c r="I453" s="403"/>
      <c r="J453" s="380"/>
      <c r="K453" s="380"/>
      <c r="L453" s="380"/>
      <c r="M453" s="380"/>
      <c r="N453" s="380"/>
      <c r="O453" s="404"/>
      <c r="P453" s="380"/>
      <c r="Q453" s="380"/>
      <c r="R453" s="380"/>
      <c r="S453" s="380"/>
      <c r="T453" s="380"/>
      <c r="U453" s="380"/>
      <c r="V453" s="380"/>
      <c r="W453" s="403"/>
      <c r="X453" s="380"/>
      <c r="Y453" s="380"/>
      <c r="Z453" s="380"/>
      <c r="AA453" s="380"/>
      <c r="AB453" s="380"/>
      <c r="AC453" s="404"/>
      <c r="AD453" s="380"/>
      <c r="AE453" s="380"/>
      <c r="AF453" s="380"/>
      <c r="AG453" s="380"/>
      <c r="AH453" s="380"/>
      <c r="AI453" s="380"/>
      <c r="AJ453" s="380"/>
      <c r="AK453" s="403"/>
      <c r="AL453" s="380"/>
      <c r="AM453" s="380"/>
      <c r="AN453" s="380"/>
      <c r="AO453" s="380"/>
      <c r="AP453" s="380"/>
      <c r="AQ453" s="404"/>
      <c r="AR453" s="380"/>
      <c r="AS453" s="380"/>
      <c r="AT453" s="380"/>
      <c r="AU453" s="380"/>
      <c r="AV453" s="380"/>
      <c r="AW453" s="380"/>
      <c r="AX453" s="380"/>
      <c r="AY453" s="403"/>
      <c r="AZ453" s="380"/>
      <c r="BA453" s="380"/>
      <c r="BB453" s="380"/>
      <c r="BC453" s="380"/>
      <c r="BD453" s="380"/>
      <c r="BE453" s="404"/>
      <c r="BF453" s="380"/>
      <c r="BG453" s="380"/>
      <c r="BH453" s="380"/>
      <c r="BI453" s="380"/>
      <c r="BJ453" s="380"/>
      <c r="BK453" s="380"/>
      <c r="BL453" s="380"/>
      <c r="BM453" s="403"/>
      <c r="BS453" s="83"/>
      <c r="CA453" s="405"/>
      <c r="CG453" s="83"/>
      <c r="CO453" s="405"/>
      <c r="CU453" s="83"/>
      <c r="DC453" s="405"/>
      <c r="DI453" s="83"/>
      <c r="DQ453" s="405"/>
      <c r="DW453" s="83"/>
      <c r="EE453" s="405"/>
      <c r="EK453" s="83"/>
      <c r="ES453" s="405"/>
      <c r="EY453" s="83"/>
      <c r="FG453" s="405"/>
      <c r="FM453" s="83"/>
      <c r="FU453" s="405"/>
      <c r="GA453" s="83"/>
      <c r="GI453" s="405"/>
      <c r="GO453" s="83"/>
      <c r="GW453" s="405"/>
      <c r="HC453" s="83"/>
      <c r="HK453" s="405"/>
      <c r="HQ453" s="83"/>
      <c r="HY453" s="405"/>
      <c r="IE453" s="83"/>
      <c r="IM453" s="405"/>
      <c r="IS453" s="83"/>
      <c r="JA453" s="405"/>
      <c r="JG453" s="83"/>
      <c r="JO453" s="405"/>
      <c r="JU453" s="83"/>
      <c r="KC453" s="405"/>
      <c r="KI453" s="83"/>
      <c r="KQ453" s="405"/>
      <c r="KW453" s="83"/>
      <c r="LE453" s="405"/>
      <c r="LK453" s="83"/>
      <c r="LS453" s="405"/>
      <c r="LY453" s="83"/>
      <c r="MG453" s="405"/>
      <c r="MM453" s="83"/>
      <c r="MU453" s="405"/>
      <c r="NA453" s="83"/>
    </row>
    <row r="454">
      <c r="A454" s="483"/>
      <c r="B454" s="380"/>
      <c r="C454" s="380"/>
      <c r="D454" s="380"/>
      <c r="E454" s="380"/>
      <c r="F454" s="380"/>
      <c r="G454" s="380"/>
      <c r="H454" s="380"/>
      <c r="I454" s="403"/>
      <c r="J454" s="380"/>
      <c r="K454" s="380"/>
      <c r="L454" s="380"/>
      <c r="M454" s="380"/>
      <c r="N454" s="380"/>
      <c r="O454" s="404"/>
      <c r="P454" s="380"/>
      <c r="Q454" s="380"/>
      <c r="R454" s="380"/>
      <c r="S454" s="380"/>
      <c r="T454" s="380"/>
      <c r="U454" s="380"/>
      <c r="V454" s="380"/>
      <c r="W454" s="403"/>
      <c r="X454" s="380"/>
      <c r="Y454" s="380"/>
      <c r="Z454" s="380"/>
      <c r="AA454" s="380"/>
      <c r="AB454" s="380"/>
      <c r="AC454" s="404"/>
      <c r="AD454" s="380"/>
      <c r="AE454" s="380"/>
      <c r="AF454" s="380"/>
      <c r="AG454" s="380"/>
      <c r="AH454" s="380"/>
      <c r="AI454" s="380"/>
      <c r="AJ454" s="380"/>
      <c r="AK454" s="403"/>
      <c r="AL454" s="380"/>
      <c r="AM454" s="380"/>
      <c r="AN454" s="380"/>
      <c r="AO454" s="380"/>
      <c r="AP454" s="380"/>
      <c r="AQ454" s="404"/>
      <c r="AR454" s="380"/>
      <c r="AS454" s="380"/>
      <c r="AT454" s="380"/>
      <c r="AU454" s="380"/>
      <c r="AV454" s="380"/>
      <c r="AW454" s="380"/>
      <c r="AX454" s="380"/>
      <c r="AY454" s="403"/>
      <c r="AZ454" s="380"/>
      <c r="BA454" s="380"/>
      <c r="BB454" s="380"/>
      <c r="BC454" s="380"/>
      <c r="BD454" s="380"/>
      <c r="BE454" s="404"/>
      <c r="BF454" s="380"/>
      <c r="BG454" s="380"/>
      <c r="BH454" s="380"/>
      <c r="BI454" s="380"/>
      <c r="BJ454" s="380"/>
      <c r="BK454" s="380"/>
      <c r="BL454" s="380"/>
      <c r="BM454" s="403"/>
      <c r="BS454" s="83"/>
      <c r="CA454" s="405"/>
      <c r="CG454" s="83"/>
      <c r="CO454" s="405"/>
      <c r="CU454" s="83"/>
      <c r="DC454" s="405"/>
      <c r="DI454" s="83"/>
      <c r="DQ454" s="405"/>
      <c r="DW454" s="83"/>
      <c r="EE454" s="405"/>
      <c r="EK454" s="83"/>
      <c r="ES454" s="405"/>
      <c r="EY454" s="83"/>
      <c r="FG454" s="405"/>
      <c r="FM454" s="83"/>
      <c r="FU454" s="405"/>
      <c r="GA454" s="83"/>
      <c r="GI454" s="405"/>
      <c r="GO454" s="83"/>
      <c r="GW454" s="405"/>
      <c r="HC454" s="83"/>
      <c r="HK454" s="405"/>
      <c r="HQ454" s="83"/>
      <c r="HY454" s="405"/>
      <c r="IE454" s="83"/>
      <c r="IM454" s="405"/>
      <c r="IS454" s="83"/>
      <c r="JA454" s="405"/>
      <c r="JG454" s="83"/>
      <c r="JO454" s="405"/>
      <c r="JU454" s="83"/>
      <c r="KC454" s="405"/>
      <c r="KI454" s="83"/>
      <c r="KQ454" s="405"/>
      <c r="KW454" s="83"/>
      <c r="LE454" s="405"/>
      <c r="LK454" s="83"/>
      <c r="LS454" s="405"/>
      <c r="LY454" s="83"/>
      <c r="MG454" s="405"/>
      <c r="MM454" s="83"/>
      <c r="MU454" s="405"/>
      <c r="NA454" s="83"/>
    </row>
    <row r="455">
      <c r="A455" s="483"/>
      <c r="B455" s="380"/>
      <c r="C455" s="380"/>
      <c r="D455" s="380"/>
      <c r="E455" s="380"/>
      <c r="F455" s="380"/>
      <c r="G455" s="380"/>
      <c r="H455" s="380"/>
      <c r="I455" s="403"/>
      <c r="J455" s="380"/>
      <c r="K455" s="380"/>
      <c r="L455" s="380"/>
      <c r="M455" s="380"/>
      <c r="N455" s="380"/>
      <c r="O455" s="404"/>
      <c r="P455" s="380"/>
      <c r="Q455" s="380"/>
      <c r="R455" s="380"/>
      <c r="S455" s="380"/>
      <c r="T455" s="380"/>
      <c r="U455" s="380"/>
      <c r="V455" s="380"/>
      <c r="W455" s="403"/>
      <c r="X455" s="380"/>
      <c r="Y455" s="380"/>
      <c r="Z455" s="380"/>
      <c r="AA455" s="380"/>
      <c r="AB455" s="380"/>
      <c r="AC455" s="404"/>
      <c r="AD455" s="380"/>
      <c r="AE455" s="380"/>
      <c r="AF455" s="380"/>
      <c r="AG455" s="380"/>
      <c r="AH455" s="380"/>
      <c r="AI455" s="380"/>
      <c r="AJ455" s="380"/>
      <c r="AK455" s="403"/>
      <c r="AL455" s="380"/>
      <c r="AM455" s="380"/>
      <c r="AN455" s="380"/>
      <c r="AO455" s="380"/>
      <c r="AP455" s="380"/>
      <c r="AQ455" s="404"/>
      <c r="AR455" s="380"/>
      <c r="AS455" s="380"/>
      <c r="AT455" s="380"/>
      <c r="AU455" s="380"/>
      <c r="AV455" s="380"/>
      <c r="AW455" s="380"/>
      <c r="AX455" s="380"/>
      <c r="AY455" s="403"/>
      <c r="AZ455" s="380"/>
      <c r="BA455" s="380"/>
      <c r="BB455" s="380"/>
      <c r="BC455" s="380"/>
      <c r="BD455" s="380"/>
      <c r="BE455" s="404"/>
      <c r="BF455" s="380"/>
      <c r="BG455" s="380"/>
      <c r="BH455" s="380"/>
      <c r="BI455" s="380"/>
      <c r="BJ455" s="380"/>
      <c r="BK455" s="380"/>
      <c r="BL455" s="380"/>
      <c r="BM455" s="403"/>
      <c r="BS455" s="83"/>
      <c r="CA455" s="405"/>
      <c r="CG455" s="83"/>
      <c r="CO455" s="405"/>
      <c r="CU455" s="83"/>
      <c r="DC455" s="405"/>
      <c r="DI455" s="83"/>
      <c r="DQ455" s="405"/>
      <c r="DW455" s="83"/>
      <c r="EE455" s="405"/>
      <c r="EK455" s="83"/>
      <c r="ES455" s="405"/>
      <c r="EY455" s="83"/>
      <c r="FG455" s="405"/>
      <c r="FM455" s="83"/>
      <c r="FU455" s="405"/>
      <c r="GA455" s="83"/>
      <c r="GI455" s="405"/>
      <c r="GO455" s="83"/>
      <c r="GW455" s="405"/>
      <c r="HC455" s="83"/>
      <c r="HK455" s="405"/>
      <c r="HQ455" s="83"/>
      <c r="HY455" s="405"/>
      <c r="IE455" s="83"/>
      <c r="IM455" s="405"/>
      <c r="IS455" s="83"/>
      <c r="JA455" s="405"/>
      <c r="JG455" s="83"/>
      <c r="JO455" s="405"/>
      <c r="JU455" s="83"/>
      <c r="KC455" s="405"/>
      <c r="KI455" s="83"/>
      <c r="KQ455" s="405"/>
      <c r="KW455" s="83"/>
      <c r="LE455" s="405"/>
      <c r="LK455" s="83"/>
      <c r="LS455" s="405"/>
      <c r="LY455" s="83"/>
      <c r="MG455" s="405"/>
      <c r="MM455" s="83"/>
      <c r="MU455" s="405"/>
      <c r="NA455" s="83"/>
    </row>
    <row r="456">
      <c r="A456" s="483"/>
      <c r="B456" s="380"/>
      <c r="C456" s="380"/>
      <c r="D456" s="380"/>
      <c r="E456" s="380"/>
      <c r="F456" s="380"/>
      <c r="G456" s="380"/>
      <c r="H456" s="380"/>
      <c r="I456" s="403"/>
      <c r="J456" s="380"/>
      <c r="K456" s="380"/>
      <c r="L456" s="380"/>
      <c r="M456" s="380"/>
      <c r="N456" s="380"/>
      <c r="O456" s="404"/>
      <c r="P456" s="380"/>
      <c r="Q456" s="380"/>
      <c r="R456" s="380"/>
      <c r="S456" s="380"/>
      <c r="T456" s="380"/>
      <c r="U456" s="380"/>
      <c r="V456" s="380"/>
      <c r="W456" s="403"/>
      <c r="X456" s="380"/>
      <c r="Y456" s="380"/>
      <c r="Z456" s="380"/>
      <c r="AA456" s="380"/>
      <c r="AB456" s="380"/>
      <c r="AC456" s="404"/>
      <c r="AD456" s="380"/>
      <c r="AE456" s="380"/>
      <c r="AF456" s="380"/>
      <c r="AG456" s="380"/>
      <c r="AH456" s="380"/>
      <c r="AI456" s="380"/>
      <c r="AJ456" s="380"/>
      <c r="AK456" s="403"/>
      <c r="AL456" s="380"/>
      <c r="AM456" s="380"/>
      <c r="AN456" s="380"/>
      <c r="AO456" s="380"/>
      <c r="AP456" s="380"/>
      <c r="AQ456" s="404"/>
      <c r="AR456" s="380"/>
      <c r="AS456" s="380"/>
      <c r="AT456" s="380"/>
      <c r="AU456" s="380"/>
      <c r="AV456" s="380"/>
      <c r="AW456" s="380"/>
      <c r="AX456" s="380"/>
      <c r="AY456" s="403"/>
      <c r="AZ456" s="380"/>
      <c r="BA456" s="380"/>
      <c r="BB456" s="380"/>
      <c r="BC456" s="380"/>
      <c r="BD456" s="380"/>
      <c r="BE456" s="404"/>
      <c r="BF456" s="380"/>
      <c r="BG456" s="380"/>
      <c r="BH456" s="380"/>
      <c r="BI456" s="380"/>
      <c r="BJ456" s="380"/>
      <c r="BK456" s="380"/>
      <c r="BL456" s="380"/>
      <c r="BM456" s="403"/>
      <c r="BS456" s="83"/>
      <c r="CA456" s="405"/>
      <c r="CG456" s="83"/>
      <c r="CO456" s="405"/>
      <c r="CU456" s="83"/>
      <c r="DC456" s="405"/>
      <c r="DI456" s="83"/>
      <c r="DQ456" s="405"/>
      <c r="DW456" s="83"/>
      <c r="EE456" s="405"/>
      <c r="EK456" s="83"/>
      <c r="ES456" s="405"/>
      <c r="EY456" s="83"/>
      <c r="FG456" s="405"/>
      <c r="FM456" s="83"/>
      <c r="FU456" s="405"/>
      <c r="GA456" s="83"/>
      <c r="GI456" s="405"/>
      <c r="GO456" s="83"/>
      <c r="GW456" s="405"/>
      <c r="HC456" s="83"/>
      <c r="HK456" s="405"/>
      <c r="HQ456" s="83"/>
      <c r="HY456" s="405"/>
      <c r="IE456" s="83"/>
      <c r="IM456" s="405"/>
      <c r="IS456" s="83"/>
      <c r="JA456" s="405"/>
      <c r="JG456" s="83"/>
      <c r="JO456" s="405"/>
      <c r="JU456" s="83"/>
      <c r="KC456" s="405"/>
      <c r="KI456" s="83"/>
      <c r="KQ456" s="405"/>
      <c r="KW456" s="83"/>
      <c r="LE456" s="405"/>
      <c r="LK456" s="83"/>
      <c r="LS456" s="405"/>
      <c r="LY456" s="83"/>
      <c r="MG456" s="405"/>
      <c r="MM456" s="83"/>
      <c r="MU456" s="405"/>
      <c r="NA456" s="83"/>
    </row>
    <row r="457">
      <c r="A457" s="483"/>
      <c r="B457" s="380"/>
      <c r="C457" s="380"/>
      <c r="D457" s="380"/>
      <c r="E457" s="380"/>
      <c r="F457" s="380"/>
      <c r="G457" s="380"/>
      <c r="H457" s="380"/>
      <c r="I457" s="403"/>
      <c r="J457" s="380"/>
      <c r="K457" s="380"/>
      <c r="L457" s="380"/>
      <c r="M457" s="380"/>
      <c r="N457" s="380"/>
      <c r="O457" s="404"/>
      <c r="P457" s="380"/>
      <c r="Q457" s="380"/>
      <c r="R457" s="380"/>
      <c r="S457" s="380"/>
      <c r="T457" s="380"/>
      <c r="U457" s="380"/>
      <c r="V457" s="380"/>
      <c r="W457" s="403"/>
      <c r="X457" s="380"/>
      <c r="Y457" s="380"/>
      <c r="Z457" s="380"/>
      <c r="AA457" s="380"/>
      <c r="AB457" s="380"/>
      <c r="AC457" s="404"/>
      <c r="AD457" s="380"/>
      <c r="AE457" s="380"/>
      <c r="AF457" s="380"/>
      <c r="AG457" s="380"/>
      <c r="AH457" s="380"/>
      <c r="AI457" s="380"/>
      <c r="AJ457" s="380"/>
      <c r="AK457" s="403"/>
      <c r="AL457" s="380"/>
      <c r="AM457" s="380"/>
      <c r="AN457" s="380"/>
      <c r="AO457" s="380"/>
      <c r="AP457" s="380"/>
      <c r="AQ457" s="404"/>
      <c r="AR457" s="380"/>
      <c r="AS457" s="380"/>
      <c r="AT457" s="380"/>
      <c r="AU457" s="380"/>
      <c r="AV457" s="380"/>
      <c r="AW457" s="380"/>
      <c r="AX457" s="380"/>
      <c r="AY457" s="403"/>
      <c r="AZ457" s="380"/>
      <c r="BA457" s="380"/>
      <c r="BB457" s="380"/>
      <c r="BC457" s="380"/>
      <c r="BD457" s="380"/>
      <c r="BE457" s="404"/>
      <c r="BF457" s="380"/>
      <c r="BG457" s="380"/>
      <c r="BH457" s="380"/>
      <c r="BI457" s="380"/>
      <c r="BJ457" s="380"/>
      <c r="BK457" s="380"/>
      <c r="BL457" s="380"/>
      <c r="BM457" s="403"/>
      <c r="BS457" s="83"/>
      <c r="CA457" s="405"/>
      <c r="CG457" s="83"/>
      <c r="CO457" s="405"/>
      <c r="CU457" s="83"/>
      <c r="DC457" s="405"/>
      <c r="DI457" s="83"/>
      <c r="DQ457" s="405"/>
      <c r="DW457" s="83"/>
      <c r="EE457" s="405"/>
      <c r="EK457" s="83"/>
      <c r="ES457" s="405"/>
      <c r="EY457" s="83"/>
      <c r="FG457" s="405"/>
      <c r="FM457" s="83"/>
      <c r="FU457" s="405"/>
      <c r="GA457" s="83"/>
      <c r="GI457" s="405"/>
      <c r="GO457" s="83"/>
      <c r="GW457" s="405"/>
      <c r="HC457" s="83"/>
      <c r="HK457" s="405"/>
      <c r="HQ457" s="83"/>
      <c r="HY457" s="405"/>
      <c r="IE457" s="83"/>
      <c r="IM457" s="405"/>
      <c r="IS457" s="83"/>
      <c r="JA457" s="405"/>
      <c r="JG457" s="83"/>
      <c r="JO457" s="405"/>
      <c r="JU457" s="83"/>
      <c r="KC457" s="405"/>
      <c r="KI457" s="83"/>
      <c r="KQ457" s="405"/>
      <c r="KW457" s="83"/>
      <c r="LE457" s="405"/>
      <c r="LK457" s="83"/>
      <c r="LS457" s="405"/>
      <c r="LY457" s="83"/>
      <c r="MG457" s="405"/>
      <c r="MM457" s="83"/>
      <c r="MU457" s="405"/>
      <c r="NA457" s="83"/>
    </row>
    <row r="458">
      <c r="A458" s="483"/>
      <c r="B458" s="380"/>
      <c r="C458" s="380"/>
      <c r="D458" s="380"/>
      <c r="E458" s="380"/>
      <c r="F458" s="380"/>
      <c r="G458" s="380"/>
      <c r="H458" s="380"/>
      <c r="I458" s="403"/>
      <c r="J458" s="380"/>
      <c r="K458" s="380"/>
      <c r="L458" s="380"/>
      <c r="M458" s="380"/>
      <c r="N458" s="380"/>
      <c r="O458" s="404"/>
      <c r="P458" s="380"/>
      <c r="Q458" s="380"/>
      <c r="R458" s="380"/>
      <c r="S458" s="380"/>
      <c r="T458" s="380"/>
      <c r="U458" s="380"/>
      <c r="V458" s="380"/>
      <c r="W458" s="403"/>
      <c r="X458" s="380"/>
      <c r="Y458" s="380"/>
      <c r="Z458" s="380"/>
      <c r="AA458" s="380"/>
      <c r="AB458" s="380"/>
      <c r="AC458" s="404"/>
      <c r="AD458" s="380"/>
      <c r="AE458" s="380"/>
      <c r="AF458" s="380"/>
      <c r="AG458" s="380"/>
      <c r="AH458" s="380"/>
      <c r="AI458" s="380"/>
      <c r="AJ458" s="380"/>
      <c r="AK458" s="403"/>
      <c r="AL458" s="380"/>
      <c r="AM458" s="380"/>
      <c r="AN458" s="380"/>
      <c r="AO458" s="380"/>
      <c r="AP458" s="380"/>
      <c r="AQ458" s="404"/>
      <c r="AR458" s="380"/>
      <c r="AS458" s="380"/>
      <c r="AT458" s="380"/>
      <c r="AU458" s="380"/>
      <c r="AV458" s="380"/>
      <c r="AW458" s="380"/>
      <c r="AX458" s="380"/>
      <c r="AY458" s="403"/>
      <c r="AZ458" s="380"/>
      <c r="BA458" s="380"/>
      <c r="BB458" s="380"/>
      <c r="BC458" s="380"/>
      <c r="BD458" s="380"/>
      <c r="BE458" s="404"/>
      <c r="BF458" s="380"/>
      <c r="BG458" s="380"/>
      <c r="BH458" s="380"/>
      <c r="BI458" s="380"/>
      <c r="BJ458" s="380"/>
      <c r="BK458" s="380"/>
      <c r="BL458" s="380"/>
      <c r="BM458" s="403"/>
      <c r="BS458" s="83"/>
      <c r="CA458" s="405"/>
      <c r="CG458" s="83"/>
      <c r="CO458" s="405"/>
      <c r="CU458" s="83"/>
      <c r="DC458" s="405"/>
      <c r="DI458" s="83"/>
      <c r="DQ458" s="405"/>
      <c r="DW458" s="83"/>
      <c r="EE458" s="405"/>
      <c r="EK458" s="83"/>
      <c r="ES458" s="405"/>
      <c r="EY458" s="83"/>
      <c r="FG458" s="405"/>
      <c r="FM458" s="83"/>
      <c r="FU458" s="405"/>
      <c r="GA458" s="83"/>
      <c r="GI458" s="405"/>
      <c r="GO458" s="83"/>
      <c r="GW458" s="405"/>
      <c r="HC458" s="83"/>
      <c r="HK458" s="405"/>
      <c r="HQ458" s="83"/>
      <c r="HY458" s="405"/>
      <c r="IE458" s="83"/>
      <c r="IM458" s="405"/>
      <c r="IS458" s="83"/>
      <c r="JA458" s="405"/>
      <c r="JG458" s="83"/>
      <c r="JO458" s="405"/>
      <c r="JU458" s="83"/>
      <c r="KC458" s="405"/>
      <c r="KI458" s="83"/>
      <c r="KQ458" s="405"/>
      <c r="KW458" s="83"/>
      <c r="LE458" s="405"/>
      <c r="LK458" s="83"/>
      <c r="LS458" s="405"/>
      <c r="LY458" s="83"/>
      <c r="MG458" s="405"/>
      <c r="MM458" s="83"/>
      <c r="MU458" s="405"/>
      <c r="NA458" s="83"/>
    </row>
    <row r="459">
      <c r="A459" s="483"/>
      <c r="B459" s="380"/>
      <c r="C459" s="380"/>
      <c r="D459" s="380"/>
      <c r="E459" s="380"/>
      <c r="F459" s="380"/>
      <c r="G459" s="380"/>
      <c r="H459" s="380"/>
      <c r="I459" s="403"/>
      <c r="J459" s="380"/>
      <c r="K459" s="380"/>
      <c r="L459" s="380"/>
      <c r="M459" s="380"/>
      <c r="N459" s="380"/>
      <c r="O459" s="404"/>
      <c r="P459" s="380"/>
      <c r="Q459" s="380"/>
      <c r="R459" s="380"/>
      <c r="S459" s="380"/>
      <c r="T459" s="380"/>
      <c r="U459" s="380"/>
      <c r="V459" s="380"/>
      <c r="W459" s="403"/>
      <c r="X459" s="380"/>
      <c r="Y459" s="380"/>
      <c r="Z459" s="380"/>
      <c r="AA459" s="380"/>
      <c r="AB459" s="380"/>
      <c r="AC459" s="404"/>
      <c r="AD459" s="380"/>
      <c r="AE459" s="380"/>
      <c r="AF459" s="380"/>
      <c r="AG459" s="380"/>
      <c r="AH459" s="380"/>
      <c r="AI459" s="380"/>
      <c r="AJ459" s="380"/>
      <c r="AK459" s="403"/>
      <c r="AL459" s="380"/>
      <c r="AM459" s="380"/>
      <c r="AN459" s="380"/>
      <c r="AO459" s="380"/>
      <c r="AP459" s="380"/>
      <c r="AQ459" s="404"/>
      <c r="AR459" s="380"/>
      <c r="AS459" s="380"/>
      <c r="AT459" s="380"/>
      <c r="AU459" s="380"/>
      <c r="AV459" s="380"/>
      <c r="AW459" s="380"/>
      <c r="AX459" s="380"/>
      <c r="AY459" s="403"/>
      <c r="AZ459" s="380"/>
      <c r="BA459" s="380"/>
      <c r="BB459" s="380"/>
      <c r="BC459" s="380"/>
      <c r="BD459" s="380"/>
      <c r="BE459" s="404"/>
      <c r="BF459" s="380"/>
      <c r="BG459" s="380"/>
      <c r="BH459" s="380"/>
      <c r="BI459" s="380"/>
      <c r="BJ459" s="380"/>
      <c r="BK459" s="380"/>
      <c r="BL459" s="380"/>
      <c r="BM459" s="403"/>
      <c r="BS459" s="83"/>
      <c r="CA459" s="405"/>
      <c r="CG459" s="83"/>
      <c r="CO459" s="405"/>
      <c r="CU459" s="83"/>
      <c r="DC459" s="405"/>
      <c r="DI459" s="83"/>
      <c r="DQ459" s="405"/>
      <c r="DW459" s="83"/>
      <c r="EE459" s="405"/>
      <c r="EK459" s="83"/>
      <c r="ES459" s="405"/>
      <c r="EY459" s="83"/>
      <c r="FG459" s="405"/>
      <c r="FM459" s="83"/>
      <c r="FU459" s="405"/>
      <c r="GA459" s="83"/>
      <c r="GI459" s="405"/>
      <c r="GO459" s="83"/>
      <c r="GW459" s="405"/>
      <c r="HC459" s="83"/>
      <c r="HK459" s="405"/>
      <c r="HQ459" s="83"/>
      <c r="HY459" s="405"/>
      <c r="IE459" s="83"/>
      <c r="IM459" s="405"/>
      <c r="IS459" s="83"/>
      <c r="JA459" s="405"/>
      <c r="JG459" s="83"/>
      <c r="JO459" s="405"/>
      <c r="JU459" s="83"/>
      <c r="KC459" s="405"/>
      <c r="KI459" s="83"/>
      <c r="KQ459" s="405"/>
      <c r="KW459" s="83"/>
      <c r="LE459" s="405"/>
      <c r="LK459" s="83"/>
      <c r="LS459" s="405"/>
      <c r="LY459" s="83"/>
      <c r="MG459" s="405"/>
      <c r="MM459" s="83"/>
      <c r="MU459" s="405"/>
      <c r="NA459" s="83"/>
    </row>
    <row r="460">
      <c r="A460" s="483"/>
      <c r="B460" s="380"/>
      <c r="C460" s="380"/>
      <c r="D460" s="380"/>
      <c r="E460" s="380"/>
      <c r="F460" s="380"/>
      <c r="G460" s="380"/>
      <c r="H460" s="380"/>
      <c r="I460" s="403"/>
      <c r="J460" s="380"/>
      <c r="K460" s="380"/>
      <c r="L460" s="380"/>
      <c r="M460" s="380"/>
      <c r="N460" s="380"/>
      <c r="O460" s="404"/>
      <c r="P460" s="380"/>
      <c r="Q460" s="380"/>
      <c r="R460" s="380"/>
      <c r="S460" s="380"/>
      <c r="T460" s="380"/>
      <c r="U460" s="380"/>
      <c r="V460" s="380"/>
      <c r="W460" s="403"/>
      <c r="X460" s="380"/>
      <c r="Y460" s="380"/>
      <c r="Z460" s="380"/>
      <c r="AA460" s="380"/>
      <c r="AB460" s="380"/>
      <c r="AC460" s="404"/>
      <c r="AD460" s="380"/>
      <c r="AE460" s="380"/>
      <c r="AF460" s="380"/>
      <c r="AG460" s="380"/>
      <c r="AH460" s="380"/>
      <c r="AI460" s="380"/>
      <c r="AJ460" s="380"/>
      <c r="AK460" s="403"/>
      <c r="AL460" s="380"/>
      <c r="AM460" s="380"/>
      <c r="AN460" s="380"/>
      <c r="AO460" s="380"/>
      <c r="AP460" s="380"/>
      <c r="AQ460" s="404"/>
      <c r="AR460" s="380"/>
      <c r="AS460" s="380"/>
      <c r="AT460" s="380"/>
      <c r="AU460" s="380"/>
      <c r="AV460" s="380"/>
      <c r="AW460" s="380"/>
      <c r="AX460" s="380"/>
      <c r="AY460" s="403"/>
      <c r="AZ460" s="380"/>
      <c r="BA460" s="380"/>
      <c r="BB460" s="380"/>
      <c r="BC460" s="380"/>
      <c r="BD460" s="380"/>
      <c r="BE460" s="404"/>
      <c r="BF460" s="380"/>
      <c r="BG460" s="380"/>
      <c r="BH460" s="380"/>
      <c r="BI460" s="380"/>
      <c r="BJ460" s="380"/>
      <c r="BK460" s="380"/>
      <c r="BL460" s="380"/>
      <c r="BM460" s="403"/>
      <c r="BS460" s="83"/>
      <c r="CA460" s="405"/>
      <c r="CG460" s="83"/>
      <c r="CO460" s="405"/>
      <c r="CU460" s="83"/>
      <c r="DC460" s="405"/>
      <c r="DI460" s="83"/>
      <c r="DQ460" s="405"/>
      <c r="DW460" s="83"/>
      <c r="EE460" s="405"/>
      <c r="EK460" s="83"/>
      <c r="ES460" s="405"/>
      <c r="EY460" s="83"/>
      <c r="FG460" s="405"/>
      <c r="FM460" s="83"/>
      <c r="FU460" s="405"/>
      <c r="GA460" s="83"/>
      <c r="GI460" s="405"/>
      <c r="GO460" s="83"/>
      <c r="GW460" s="405"/>
      <c r="HC460" s="83"/>
      <c r="HK460" s="405"/>
      <c r="HQ460" s="83"/>
      <c r="HY460" s="405"/>
      <c r="IE460" s="83"/>
      <c r="IM460" s="405"/>
      <c r="IS460" s="83"/>
      <c r="JA460" s="405"/>
      <c r="JG460" s="83"/>
      <c r="JO460" s="405"/>
      <c r="JU460" s="83"/>
      <c r="KC460" s="405"/>
      <c r="KI460" s="83"/>
      <c r="KQ460" s="405"/>
      <c r="KW460" s="83"/>
      <c r="LE460" s="405"/>
      <c r="LK460" s="83"/>
      <c r="LS460" s="405"/>
      <c r="LY460" s="83"/>
      <c r="MG460" s="405"/>
      <c r="MM460" s="83"/>
      <c r="MU460" s="405"/>
      <c r="NA460" s="83"/>
    </row>
    <row r="461">
      <c r="A461" s="483"/>
      <c r="B461" s="380"/>
      <c r="C461" s="380"/>
      <c r="D461" s="380"/>
      <c r="E461" s="380"/>
      <c r="F461" s="380"/>
      <c r="G461" s="380"/>
      <c r="H461" s="380"/>
      <c r="I461" s="403"/>
      <c r="J461" s="380"/>
      <c r="K461" s="380"/>
      <c r="L461" s="380"/>
      <c r="M461" s="380"/>
      <c r="N461" s="380"/>
      <c r="O461" s="404"/>
      <c r="P461" s="380"/>
      <c r="Q461" s="380"/>
      <c r="R461" s="380"/>
      <c r="S461" s="380"/>
      <c r="T461" s="380"/>
      <c r="U461" s="380"/>
      <c r="V461" s="380"/>
      <c r="W461" s="403"/>
      <c r="X461" s="380"/>
      <c r="Y461" s="380"/>
      <c r="Z461" s="380"/>
      <c r="AA461" s="380"/>
      <c r="AB461" s="380"/>
      <c r="AC461" s="404"/>
      <c r="AD461" s="380"/>
      <c r="AE461" s="380"/>
      <c r="AF461" s="380"/>
      <c r="AG461" s="380"/>
      <c r="AH461" s="380"/>
      <c r="AI461" s="380"/>
      <c r="AJ461" s="380"/>
      <c r="AK461" s="403"/>
      <c r="AL461" s="380"/>
      <c r="AM461" s="380"/>
      <c r="AN461" s="380"/>
      <c r="AO461" s="380"/>
      <c r="AP461" s="380"/>
      <c r="AQ461" s="404"/>
      <c r="AR461" s="380"/>
      <c r="AS461" s="380"/>
      <c r="AT461" s="380"/>
      <c r="AU461" s="380"/>
      <c r="AV461" s="380"/>
      <c r="AW461" s="380"/>
      <c r="AX461" s="380"/>
      <c r="AY461" s="403"/>
      <c r="AZ461" s="380"/>
      <c r="BA461" s="380"/>
      <c r="BB461" s="380"/>
      <c r="BC461" s="380"/>
      <c r="BD461" s="380"/>
      <c r="BE461" s="404"/>
      <c r="BF461" s="380"/>
      <c r="BG461" s="380"/>
      <c r="BH461" s="380"/>
      <c r="BI461" s="380"/>
      <c r="BJ461" s="380"/>
      <c r="BK461" s="380"/>
      <c r="BL461" s="380"/>
      <c r="BM461" s="403"/>
      <c r="BS461" s="83"/>
      <c r="CA461" s="405"/>
      <c r="CG461" s="83"/>
      <c r="CO461" s="405"/>
      <c r="CU461" s="83"/>
      <c r="DC461" s="405"/>
      <c r="DI461" s="83"/>
      <c r="DQ461" s="405"/>
      <c r="DW461" s="83"/>
      <c r="EE461" s="405"/>
      <c r="EK461" s="83"/>
      <c r="ES461" s="405"/>
      <c r="EY461" s="83"/>
      <c r="FG461" s="405"/>
      <c r="FM461" s="83"/>
      <c r="FU461" s="405"/>
      <c r="GA461" s="83"/>
      <c r="GI461" s="405"/>
      <c r="GO461" s="83"/>
      <c r="GW461" s="405"/>
      <c r="HC461" s="83"/>
      <c r="HK461" s="405"/>
      <c r="HQ461" s="83"/>
      <c r="HY461" s="405"/>
      <c r="IE461" s="83"/>
      <c r="IM461" s="405"/>
      <c r="IS461" s="83"/>
      <c r="JA461" s="405"/>
      <c r="JG461" s="83"/>
      <c r="JO461" s="405"/>
      <c r="JU461" s="83"/>
      <c r="KC461" s="405"/>
      <c r="KI461" s="83"/>
      <c r="KQ461" s="405"/>
      <c r="KW461" s="83"/>
      <c r="LE461" s="405"/>
      <c r="LK461" s="83"/>
      <c r="LS461" s="405"/>
      <c r="LY461" s="83"/>
      <c r="MG461" s="405"/>
      <c r="MM461" s="83"/>
      <c r="MU461" s="405"/>
      <c r="NA461" s="83"/>
    </row>
    <row r="462">
      <c r="A462" s="483"/>
      <c r="B462" s="380"/>
      <c r="C462" s="380"/>
      <c r="D462" s="380"/>
      <c r="E462" s="380"/>
      <c r="F462" s="380"/>
      <c r="G462" s="380"/>
      <c r="H462" s="380"/>
      <c r="I462" s="403"/>
      <c r="J462" s="380"/>
      <c r="K462" s="380"/>
      <c r="L462" s="380"/>
      <c r="M462" s="380"/>
      <c r="N462" s="380"/>
      <c r="O462" s="404"/>
      <c r="P462" s="380"/>
      <c r="Q462" s="380"/>
      <c r="R462" s="380"/>
      <c r="S462" s="380"/>
      <c r="T462" s="380"/>
      <c r="U462" s="380"/>
      <c r="V462" s="380"/>
      <c r="W462" s="403"/>
      <c r="X462" s="380"/>
      <c r="Y462" s="380"/>
      <c r="Z462" s="380"/>
      <c r="AA462" s="380"/>
      <c r="AB462" s="380"/>
      <c r="AC462" s="404"/>
      <c r="AD462" s="380"/>
      <c r="AE462" s="380"/>
      <c r="AF462" s="380"/>
      <c r="AG462" s="380"/>
      <c r="AH462" s="380"/>
      <c r="AI462" s="380"/>
      <c r="AJ462" s="380"/>
      <c r="AK462" s="403"/>
      <c r="AL462" s="380"/>
      <c r="AM462" s="380"/>
      <c r="AN462" s="380"/>
      <c r="AO462" s="380"/>
      <c r="AP462" s="380"/>
      <c r="AQ462" s="404"/>
      <c r="AR462" s="380"/>
      <c r="AS462" s="380"/>
      <c r="AT462" s="380"/>
      <c r="AU462" s="380"/>
      <c r="AV462" s="380"/>
      <c r="AW462" s="380"/>
      <c r="AX462" s="380"/>
      <c r="AY462" s="403"/>
      <c r="AZ462" s="380"/>
      <c r="BA462" s="380"/>
      <c r="BB462" s="380"/>
      <c r="BC462" s="380"/>
      <c r="BD462" s="380"/>
      <c r="BE462" s="404"/>
      <c r="BF462" s="380"/>
      <c r="BG462" s="380"/>
      <c r="BH462" s="380"/>
      <c r="BI462" s="380"/>
      <c r="BJ462" s="380"/>
      <c r="BK462" s="380"/>
      <c r="BL462" s="380"/>
      <c r="BM462" s="403"/>
      <c r="BS462" s="83"/>
      <c r="CA462" s="405"/>
      <c r="CG462" s="83"/>
      <c r="CO462" s="405"/>
      <c r="CU462" s="83"/>
      <c r="DC462" s="405"/>
      <c r="DI462" s="83"/>
      <c r="DQ462" s="405"/>
      <c r="DW462" s="83"/>
      <c r="EE462" s="405"/>
      <c r="EK462" s="83"/>
      <c r="ES462" s="405"/>
      <c r="EY462" s="83"/>
      <c r="FG462" s="405"/>
      <c r="FM462" s="83"/>
      <c r="FU462" s="405"/>
      <c r="GA462" s="83"/>
      <c r="GI462" s="405"/>
      <c r="GO462" s="83"/>
      <c r="GW462" s="405"/>
      <c r="HC462" s="83"/>
      <c r="HK462" s="405"/>
      <c r="HQ462" s="83"/>
      <c r="HY462" s="405"/>
      <c r="IE462" s="83"/>
      <c r="IM462" s="405"/>
      <c r="IS462" s="83"/>
      <c r="JA462" s="405"/>
      <c r="JG462" s="83"/>
      <c r="JO462" s="405"/>
      <c r="JU462" s="83"/>
      <c r="KC462" s="405"/>
      <c r="KI462" s="83"/>
      <c r="KQ462" s="405"/>
      <c r="KW462" s="83"/>
      <c r="LE462" s="405"/>
      <c r="LK462" s="83"/>
      <c r="LS462" s="405"/>
      <c r="LY462" s="83"/>
      <c r="MG462" s="405"/>
      <c r="MM462" s="83"/>
      <c r="MU462" s="405"/>
      <c r="NA462" s="83"/>
    </row>
    <row r="463">
      <c r="A463" s="483"/>
      <c r="B463" s="380"/>
      <c r="C463" s="380"/>
      <c r="D463" s="380"/>
      <c r="E463" s="380"/>
      <c r="F463" s="380"/>
      <c r="G463" s="380"/>
      <c r="H463" s="380"/>
      <c r="I463" s="403"/>
      <c r="J463" s="380"/>
      <c r="K463" s="380"/>
      <c r="L463" s="380"/>
      <c r="M463" s="380"/>
      <c r="N463" s="380"/>
      <c r="O463" s="404"/>
      <c r="P463" s="380"/>
      <c r="Q463" s="380"/>
      <c r="R463" s="380"/>
      <c r="S463" s="380"/>
      <c r="T463" s="380"/>
      <c r="U463" s="380"/>
      <c r="V463" s="380"/>
      <c r="W463" s="403"/>
      <c r="X463" s="380"/>
      <c r="Y463" s="380"/>
      <c r="Z463" s="380"/>
      <c r="AA463" s="380"/>
      <c r="AB463" s="380"/>
      <c r="AC463" s="404"/>
      <c r="AD463" s="380"/>
      <c r="AE463" s="380"/>
      <c r="AF463" s="380"/>
      <c r="AG463" s="380"/>
      <c r="AH463" s="380"/>
      <c r="AI463" s="380"/>
      <c r="AJ463" s="380"/>
      <c r="AK463" s="403"/>
      <c r="AL463" s="380"/>
      <c r="AM463" s="380"/>
      <c r="AN463" s="380"/>
      <c r="AO463" s="380"/>
      <c r="AP463" s="380"/>
      <c r="AQ463" s="404"/>
      <c r="AR463" s="380"/>
      <c r="AS463" s="380"/>
      <c r="AT463" s="380"/>
      <c r="AU463" s="380"/>
      <c r="AV463" s="380"/>
      <c r="AW463" s="380"/>
      <c r="AX463" s="380"/>
      <c r="AY463" s="403"/>
      <c r="AZ463" s="380"/>
      <c r="BA463" s="380"/>
      <c r="BB463" s="380"/>
      <c r="BC463" s="380"/>
      <c r="BD463" s="380"/>
      <c r="BE463" s="404"/>
      <c r="BF463" s="380"/>
      <c r="BG463" s="380"/>
      <c r="BH463" s="380"/>
      <c r="BI463" s="380"/>
      <c r="BJ463" s="380"/>
      <c r="BK463" s="380"/>
      <c r="BL463" s="380"/>
      <c r="BM463" s="403"/>
      <c r="BS463" s="83"/>
      <c r="CA463" s="405"/>
      <c r="CG463" s="83"/>
      <c r="CO463" s="405"/>
      <c r="CU463" s="83"/>
      <c r="DC463" s="405"/>
      <c r="DI463" s="83"/>
      <c r="DQ463" s="405"/>
      <c r="DW463" s="83"/>
      <c r="EE463" s="405"/>
      <c r="EK463" s="83"/>
      <c r="ES463" s="405"/>
      <c r="EY463" s="83"/>
      <c r="FG463" s="405"/>
      <c r="FM463" s="83"/>
      <c r="FU463" s="405"/>
      <c r="GA463" s="83"/>
      <c r="GI463" s="405"/>
      <c r="GO463" s="83"/>
      <c r="GW463" s="405"/>
      <c r="HC463" s="83"/>
      <c r="HK463" s="405"/>
      <c r="HQ463" s="83"/>
      <c r="HY463" s="405"/>
      <c r="IE463" s="83"/>
      <c r="IM463" s="405"/>
      <c r="IS463" s="83"/>
      <c r="JA463" s="405"/>
      <c r="JG463" s="83"/>
      <c r="JO463" s="405"/>
      <c r="JU463" s="83"/>
      <c r="KC463" s="405"/>
      <c r="KI463" s="83"/>
      <c r="KQ463" s="405"/>
      <c r="KW463" s="83"/>
      <c r="LE463" s="405"/>
      <c r="LK463" s="83"/>
      <c r="LS463" s="405"/>
      <c r="LY463" s="83"/>
      <c r="MG463" s="405"/>
      <c r="MM463" s="83"/>
      <c r="MU463" s="405"/>
      <c r="NA463" s="83"/>
    </row>
    <row r="464">
      <c r="A464" s="483"/>
      <c r="B464" s="380"/>
      <c r="C464" s="380"/>
      <c r="D464" s="380"/>
      <c r="E464" s="380"/>
      <c r="F464" s="380"/>
      <c r="G464" s="380"/>
      <c r="H464" s="380"/>
      <c r="I464" s="403"/>
      <c r="J464" s="380"/>
      <c r="K464" s="380"/>
      <c r="L464" s="380"/>
      <c r="M464" s="380"/>
      <c r="N464" s="380"/>
      <c r="O464" s="404"/>
      <c r="P464" s="380"/>
      <c r="Q464" s="380"/>
      <c r="R464" s="380"/>
      <c r="S464" s="380"/>
      <c r="T464" s="380"/>
      <c r="U464" s="380"/>
      <c r="V464" s="380"/>
      <c r="W464" s="403"/>
      <c r="X464" s="380"/>
      <c r="Y464" s="380"/>
      <c r="Z464" s="380"/>
      <c r="AA464" s="380"/>
      <c r="AB464" s="380"/>
      <c r="AC464" s="404"/>
      <c r="AD464" s="380"/>
      <c r="AE464" s="380"/>
      <c r="AF464" s="380"/>
      <c r="AG464" s="380"/>
      <c r="AH464" s="380"/>
      <c r="AI464" s="380"/>
      <c r="AJ464" s="380"/>
      <c r="AK464" s="403"/>
      <c r="AL464" s="380"/>
      <c r="AM464" s="380"/>
      <c r="AN464" s="380"/>
      <c r="AO464" s="380"/>
      <c r="AP464" s="380"/>
      <c r="AQ464" s="404"/>
      <c r="AR464" s="380"/>
      <c r="AS464" s="380"/>
      <c r="AT464" s="380"/>
      <c r="AU464" s="380"/>
      <c r="AV464" s="380"/>
      <c r="AW464" s="380"/>
      <c r="AX464" s="380"/>
      <c r="AY464" s="403"/>
      <c r="AZ464" s="380"/>
      <c r="BA464" s="380"/>
      <c r="BB464" s="380"/>
      <c r="BC464" s="380"/>
      <c r="BD464" s="380"/>
      <c r="BE464" s="404"/>
      <c r="BF464" s="380"/>
      <c r="BG464" s="380"/>
      <c r="BH464" s="380"/>
      <c r="BI464" s="380"/>
      <c r="BJ464" s="380"/>
      <c r="BK464" s="380"/>
      <c r="BL464" s="380"/>
      <c r="BM464" s="403"/>
      <c r="BS464" s="83"/>
      <c r="CA464" s="405"/>
      <c r="CG464" s="83"/>
      <c r="CO464" s="405"/>
      <c r="CU464" s="83"/>
      <c r="DC464" s="405"/>
      <c r="DI464" s="83"/>
      <c r="DQ464" s="405"/>
      <c r="DW464" s="83"/>
      <c r="EE464" s="405"/>
      <c r="EK464" s="83"/>
      <c r="ES464" s="405"/>
      <c r="EY464" s="83"/>
      <c r="FG464" s="405"/>
      <c r="FM464" s="83"/>
      <c r="FU464" s="405"/>
      <c r="GA464" s="83"/>
      <c r="GI464" s="405"/>
      <c r="GO464" s="83"/>
      <c r="GW464" s="405"/>
      <c r="HC464" s="83"/>
      <c r="HK464" s="405"/>
      <c r="HQ464" s="83"/>
      <c r="HY464" s="405"/>
      <c r="IE464" s="83"/>
      <c r="IM464" s="405"/>
      <c r="IS464" s="83"/>
      <c r="JA464" s="405"/>
      <c r="JG464" s="83"/>
      <c r="JO464" s="405"/>
      <c r="JU464" s="83"/>
      <c r="KC464" s="405"/>
      <c r="KI464" s="83"/>
      <c r="KQ464" s="405"/>
      <c r="KW464" s="83"/>
      <c r="LE464" s="405"/>
      <c r="LK464" s="83"/>
      <c r="LS464" s="405"/>
      <c r="LY464" s="83"/>
      <c r="MG464" s="405"/>
      <c r="MM464" s="83"/>
      <c r="MU464" s="405"/>
      <c r="NA464" s="83"/>
    </row>
    <row r="465">
      <c r="A465" s="483"/>
      <c r="B465" s="380"/>
      <c r="C465" s="380"/>
      <c r="D465" s="380"/>
      <c r="E465" s="380"/>
      <c r="F465" s="380"/>
      <c r="G465" s="380"/>
      <c r="H465" s="380"/>
      <c r="I465" s="403"/>
      <c r="J465" s="380"/>
      <c r="K465" s="380"/>
      <c r="L465" s="380"/>
      <c r="M465" s="380"/>
      <c r="N465" s="380"/>
      <c r="O465" s="404"/>
      <c r="P465" s="380"/>
      <c r="Q465" s="380"/>
      <c r="R465" s="380"/>
      <c r="S465" s="380"/>
      <c r="T465" s="380"/>
      <c r="U465" s="380"/>
      <c r="V465" s="380"/>
      <c r="W465" s="403"/>
      <c r="X465" s="380"/>
      <c r="Y465" s="380"/>
      <c r="Z465" s="380"/>
      <c r="AA465" s="380"/>
      <c r="AB465" s="380"/>
      <c r="AC465" s="404"/>
      <c r="AD465" s="380"/>
      <c r="AE465" s="380"/>
      <c r="AF465" s="380"/>
      <c r="AG465" s="380"/>
      <c r="AH465" s="380"/>
      <c r="AI465" s="380"/>
      <c r="AJ465" s="380"/>
      <c r="AK465" s="403"/>
      <c r="AL465" s="380"/>
      <c r="AM465" s="380"/>
      <c r="AN465" s="380"/>
      <c r="AO465" s="380"/>
      <c r="AP465" s="380"/>
      <c r="AQ465" s="404"/>
      <c r="AR465" s="380"/>
      <c r="AS465" s="380"/>
      <c r="AT465" s="380"/>
      <c r="AU465" s="380"/>
      <c r="AV465" s="380"/>
      <c r="AW465" s="380"/>
      <c r="AX465" s="380"/>
      <c r="AY465" s="403"/>
      <c r="AZ465" s="380"/>
      <c r="BA465" s="380"/>
      <c r="BB465" s="380"/>
      <c r="BC465" s="380"/>
      <c r="BD465" s="380"/>
      <c r="BE465" s="404"/>
      <c r="BF465" s="380"/>
      <c r="BG465" s="380"/>
      <c r="BH465" s="380"/>
      <c r="BI465" s="380"/>
      <c r="BJ465" s="380"/>
      <c r="BK465" s="380"/>
      <c r="BL465" s="380"/>
      <c r="BM465" s="403"/>
      <c r="BS465" s="83"/>
      <c r="CA465" s="405"/>
      <c r="CG465" s="83"/>
      <c r="CO465" s="405"/>
      <c r="CU465" s="83"/>
      <c r="DC465" s="405"/>
      <c r="DI465" s="83"/>
      <c r="DQ465" s="405"/>
      <c r="DW465" s="83"/>
      <c r="EE465" s="405"/>
      <c r="EK465" s="83"/>
      <c r="ES465" s="405"/>
      <c r="EY465" s="83"/>
      <c r="FG465" s="405"/>
      <c r="FM465" s="83"/>
      <c r="FU465" s="405"/>
      <c r="GA465" s="83"/>
      <c r="GI465" s="405"/>
      <c r="GO465" s="83"/>
      <c r="GW465" s="405"/>
      <c r="HC465" s="83"/>
      <c r="HK465" s="405"/>
      <c r="HQ465" s="83"/>
      <c r="HY465" s="405"/>
      <c r="IE465" s="83"/>
      <c r="IM465" s="405"/>
      <c r="IS465" s="83"/>
      <c r="JA465" s="405"/>
      <c r="JG465" s="83"/>
      <c r="JO465" s="405"/>
      <c r="JU465" s="83"/>
      <c r="KC465" s="405"/>
      <c r="KI465" s="83"/>
      <c r="KQ465" s="405"/>
      <c r="KW465" s="83"/>
      <c r="LE465" s="405"/>
      <c r="LK465" s="83"/>
      <c r="LS465" s="405"/>
      <c r="LY465" s="83"/>
      <c r="MG465" s="405"/>
      <c r="MM465" s="83"/>
      <c r="MU465" s="405"/>
      <c r="NA465" s="83"/>
    </row>
    <row r="466">
      <c r="A466" s="483"/>
      <c r="B466" s="380"/>
      <c r="C466" s="380"/>
      <c r="D466" s="380"/>
      <c r="E466" s="380"/>
      <c r="F466" s="380"/>
      <c r="G466" s="380"/>
      <c r="H466" s="380"/>
      <c r="I466" s="403"/>
      <c r="J466" s="380"/>
      <c r="K466" s="380"/>
      <c r="L466" s="380"/>
      <c r="M466" s="380"/>
      <c r="N466" s="380"/>
      <c r="O466" s="404"/>
      <c r="P466" s="380"/>
      <c r="Q466" s="380"/>
      <c r="R466" s="380"/>
      <c r="S466" s="380"/>
      <c r="T466" s="380"/>
      <c r="U466" s="380"/>
      <c r="V466" s="380"/>
      <c r="W466" s="403"/>
      <c r="X466" s="380"/>
      <c r="Y466" s="380"/>
      <c r="Z466" s="380"/>
      <c r="AA466" s="380"/>
      <c r="AB466" s="380"/>
      <c r="AC466" s="404"/>
      <c r="AD466" s="380"/>
      <c r="AE466" s="380"/>
      <c r="AF466" s="380"/>
      <c r="AG466" s="380"/>
      <c r="AH466" s="380"/>
      <c r="AI466" s="380"/>
      <c r="AJ466" s="380"/>
      <c r="AK466" s="403"/>
      <c r="AL466" s="380"/>
      <c r="AM466" s="380"/>
      <c r="AN466" s="380"/>
      <c r="AO466" s="380"/>
      <c r="AP466" s="380"/>
      <c r="AQ466" s="404"/>
      <c r="AR466" s="380"/>
      <c r="AS466" s="380"/>
      <c r="AT466" s="380"/>
      <c r="AU466" s="380"/>
      <c r="AV466" s="380"/>
      <c r="AW466" s="380"/>
      <c r="AX466" s="380"/>
      <c r="AY466" s="403"/>
      <c r="AZ466" s="380"/>
      <c r="BA466" s="380"/>
      <c r="BB466" s="380"/>
      <c r="BC466" s="380"/>
      <c r="BD466" s="380"/>
      <c r="BE466" s="404"/>
      <c r="BF466" s="380"/>
      <c r="BG466" s="380"/>
      <c r="BH466" s="380"/>
      <c r="BI466" s="380"/>
      <c r="BJ466" s="380"/>
      <c r="BK466" s="380"/>
      <c r="BL466" s="380"/>
      <c r="BM466" s="403"/>
      <c r="BS466" s="83"/>
      <c r="CA466" s="405"/>
      <c r="CG466" s="83"/>
      <c r="CO466" s="405"/>
      <c r="CU466" s="83"/>
      <c r="DC466" s="405"/>
      <c r="DI466" s="83"/>
      <c r="DQ466" s="405"/>
      <c r="DW466" s="83"/>
      <c r="EE466" s="405"/>
      <c r="EK466" s="83"/>
      <c r="ES466" s="405"/>
      <c r="EY466" s="83"/>
      <c r="FG466" s="405"/>
      <c r="FM466" s="83"/>
      <c r="FU466" s="405"/>
      <c r="GA466" s="83"/>
      <c r="GI466" s="405"/>
      <c r="GO466" s="83"/>
      <c r="GW466" s="405"/>
      <c r="HC466" s="83"/>
      <c r="HK466" s="405"/>
      <c r="HQ466" s="83"/>
      <c r="HY466" s="405"/>
      <c r="IE466" s="83"/>
      <c r="IM466" s="405"/>
      <c r="IS466" s="83"/>
      <c r="JA466" s="405"/>
      <c r="JG466" s="83"/>
      <c r="JO466" s="405"/>
      <c r="JU466" s="83"/>
      <c r="KC466" s="405"/>
      <c r="KI466" s="83"/>
      <c r="KQ466" s="405"/>
      <c r="KW466" s="83"/>
      <c r="LE466" s="405"/>
      <c r="LK466" s="83"/>
      <c r="LS466" s="405"/>
      <c r="LY466" s="83"/>
      <c r="MG466" s="405"/>
      <c r="MM466" s="83"/>
      <c r="MU466" s="405"/>
      <c r="NA466" s="83"/>
    </row>
    <row r="467">
      <c r="A467" s="483"/>
      <c r="B467" s="380"/>
      <c r="C467" s="380"/>
      <c r="D467" s="380"/>
      <c r="E467" s="380"/>
      <c r="F467" s="380"/>
      <c r="G467" s="380"/>
      <c r="H467" s="380"/>
      <c r="I467" s="403"/>
      <c r="J467" s="380"/>
      <c r="K467" s="380"/>
      <c r="L467" s="380"/>
      <c r="M467" s="380"/>
      <c r="N467" s="380"/>
      <c r="O467" s="404"/>
      <c r="P467" s="380"/>
      <c r="Q467" s="380"/>
      <c r="R467" s="380"/>
      <c r="S467" s="380"/>
      <c r="T467" s="380"/>
      <c r="U467" s="380"/>
      <c r="V467" s="380"/>
      <c r="W467" s="403"/>
      <c r="X467" s="380"/>
      <c r="Y467" s="380"/>
      <c r="Z467" s="380"/>
      <c r="AA467" s="380"/>
      <c r="AB467" s="380"/>
      <c r="AC467" s="404"/>
      <c r="AD467" s="380"/>
      <c r="AE467" s="380"/>
      <c r="AF467" s="380"/>
      <c r="AG467" s="380"/>
      <c r="AH467" s="380"/>
      <c r="AI467" s="380"/>
      <c r="AJ467" s="380"/>
      <c r="AK467" s="403"/>
      <c r="AL467" s="380"/>
      <c r="AM467" s="380"/>
      <c r="AN467" s="380"/>
      <c r="AO467" s="380"/>
      <c r="AP467" s="380"/>
      <c r="AQ467" s="404"/>
      <c r="AR467" s="380"/>
      <c r="AS467" s="380"/>
      <c r="AT467" s="380"/>
      <c r="AU467" s="380"/>
      <c r="AV467" s="380"/>
      <c r="AW467" s="380"/>
      <c r="AX467" s="380"/>
      <c r="AY467" s="403"/>
      <c r="AZ467" s="380"/>
      <c r="BA467" s="380"/>
      <c r="BB467" s="380"/>
      <c r="BC467" s="380"/>
      <c r="BD467" s="380"/>
      <c r="BE467" s="404"/>
      <c r="BF467" s="380"/>
      <c r="BG467" s="380"/>
      <c r="BH467" s="380"/>
      <c r="BI467" s="380"/>
      <c r="BJ467" s="380"/>
      <c r="BK467" s="380"/>
      <c r="BL467" s="380"/>
      <c r="BM467" s="403"/>
      <c r="BS467" s="83"/>
      <c r="CA467" s="405"/>
      <c r="CG467" s="83"/>
      <c r="CO467" s="405"/>
      <c r="CU467" s="83"/>
      <c r="DC467" s="405"/>
      <c r="DI467" s="83"/>
      <c r="DQ467" s="405"/>
      <c r="DW467" s="83"/>
      <c r="EE467" s="405"/>
      <c r="EK467" s="83"/>
      <c r="ES467" s="405"/>
      <c r="EY467" s="83"/>
      <c r="FG467" s="405"/>
      <c r="FM467" s="83"/>
      <c r="FU467" s="405"/>
      <c r="GA467" s="83"/>
      <c r="GI467" s="405"/>
      <c r="GO467" s="83"/>
      <c r="GW467" s="405"/>
      <c r="HC467" s="83"/>
      <c r="HK467" s="405"/>
      <c r="HQ467" s="83"/>
      <c r="HY467" s="405"/>
      <c r="IE467" s="83"/>
      <c r="IM467" s="405"/>
      <c r="IS467" s="83"/>
      <c r="JA467" s="405"/>
      <c r="JG467" s="83"/>
      <c r="JO467" s="405"/>
      <c r="JU467" s="83"/>
      <c r="KC467" s="405"/>
      <c r="KI467" s="83"/>
      <c r="KQ467" s="405"/>
      <c r="KW467" s="83"/>
      <c r="LE467" s="405"/>
      <c r="LK467" s="83"/>
      <c r="LS467" s="405"/>
      <c r="LY467" s="83"/>
      <c r="MG467" s="405"/>
      <c r="MM467" s="83"/>
      <c r="MU467" s="405"/>
      <c r="NA467" s="83"/>
    </row>
    <row r="468">
      <c r="A468" s="483"/>
      <c r="B468" s="380"/>
      <c r="C468" s="380"/>
      <c r="D468" s="380"/>
      <c r="E468" s="380"/>
      <c r="F468" s="380"/>
      <c r="G468" s="380"/>
      <c r="H468" s="380"/>
      <c r="I468" s="403"/>
      <c r="J468" s="380"/>
      <c r="K468" s="380"/>
      <c r="L468" s="380"/>
      <c r="M468" s="380"/>
      <c r="N468" s="380"/>
      <c r="O468" s="404"/>
      <c r="P468" s="380"/>
      <c r="Q468" s="380"/>
      <c r="R468" s="380"/>
      <c r="S468" s="380"/>
      <c r="T468" s="380"/>
      <c r="U468" s="380"/>
      <c r="V468" s="380"/>
      <c r="W468" s="403"/>
      <c r="X468" s="380"/>
      <c r="Y468" s="380"/>
      <c r="Z468" s="380"/>
      <c r="AA468" s="380"/>
      <c r="AB468" s="380"/>
      <c r="AC468" s="404"/>
      <c r="AD468" s="380"/>
      <c r="AE468" s="380"/>
      <c r="AF468" s="380"/>
      <c r="AG468" s="380"/>
      <c r="AH468" s="380"/>
      <c r="AI468" s="380"/>
      <c r="AJ468" s="380"/>
      <c r="AK468" s="403"/>
      <c r="AL468" s="380"/>
      <c r="AM468" s="380"/>
      <c r="AN468" s="380"/>
      <c r="AO468" s="380"/>
      <c r="AP468" s="380"/>
      <c r="AQ468" s="404"/>
      <c r="AR468" s="380"/>
      <c r="AS468" s="380"/>
      <c r="AT468" s="380"/>
      <c r="AU468" s="380"/>
      <c r="AV468" s="380"/>
      <c r="AW468" s="380"/>
      <c r="AX468" s="380"/>
      <c r="AY468" s="403"/>
      <c r="AZ468" s="380"/>
      <c r="BA468" s="380"/>
      <c r="BB468" s="380"/>
      <c r="BC468" s="380"/>
      <c r="BD468" s="380"/>
      <c r="BE468" s="404"/>
      <c r="BF468" s="380"/>
      <c r="BG468" s="380"/>
      <c r="BH468" s="380"/>
      <c r="BI468" s="380"/>
      <c r="BJ468" s="380"/>
      <c r="BK468" s="380"/>
      <c r="BL468" s="380"/>
      <c r="BM468" s="403"/>
      <c r="BS468" s="83"/>
      <c r="CA468" s="405"/>
      <c r="CG468" s="83"/>
      <c r="CO468" s="405"/>
      <c r="CU468" s="83"/>
      <c r="DC468" s="405"/>
      <c r="DI468" s="83"/>
      <c r="DQ468" s="405"/>
      <c r="DW468" s="83"/>
      <c r="EE468" s="405"/>
      <c r="EK468" s="83"/>
      <c r="ES468" s="405"/>
      <c r="EY468" s="83"/>
      <c r="FG468" s="405"/>
      <c r="FM468" s="83"/>
      <c r="FU468" s="405"/>
      <c r="GA468" s="83"/>
      <c r="GI468" s="405"/>
      <c r="GO468" s="83"/>
      <c r="GW468" s="405"/>
      <c r="HC468" s="83"/>
      <c r="HK468" s="405"/>
      <c r="HQ468" s="83"/>
      <c r="HY468" s="405"/>
      <c r="IE468" s="83"/>
      <c r="IM468" s="405"/>
      <c r="IS468" s="83"/>
      <c r="JA468" s="405"/>
      <c r="JG468" s="83"/>
      <c r="JO468" s="405"/>
      <c r="JU468" s="83"/>
      <c r="KC468" s="405"/>
      <c r="KI468" s="83"/>
      <c r="KQ468" s="405"/>
      <c r="KW468" s="83"/>
      <c r="LE468" s="405"/>
      <c r="LK468" s="83"/>
      <c r="LS468" s="405"/>
      <c r="LY468" s="83"/>
      <c r="MG468" s="405"/>
      <c r="MM468" s="83"/>
      <c r="MU468" s="405"/>
      <c r="NA468" s="83"/>
    </row>
    <row r="469">
      <c r="A469" s="483"/>
      <c r="B469" s="380"/>
      <c r="C469" s="380"/>
      <c r="D469" s="380"/>
      <c r="E469" s="380"/>
      <c r="F469" s="380"/>
      <c r="G469" s="380"/>
      <c r="H469" s="380"/>
      <c r="I469" s="403"/>
      <c r="J469" s="380"/>
      <c r="K469" s="380"/>
      <c r="L469" s="380"/>
      <c r="M469" s="380"/>
      <c r="N469" s="380"/>
      <c r="O469" s="404"/>
      <c r="P469" s="380"/>
      <c r="Q469" s="380"/>
      <c r="R469" s="380"/>
      <c r="S469" s="380"/>
      <c r="T469" s="380"/>
      <c r="U469" s="380"/>
      <c r="V469" s="380"/>
      <c r="W469" s="403"/>
      <c r="X469" s="380"/>
      <c r="Y469" s="380"/>
      <c r="Z469" s="380"/>
      <c r="AA469" s="380"/>
      <c r="AB469" s="380"/>
      <c r="AC469" s="404"/>
      <c r="AD469" s="380"/>
      <c r="AE469" s="380"/>
      <c r="AF469" s="380"/>
      <c r="AG469" s="380"/>
      <c r="AH469" s="380"/>
      <c r="AI469" s="380"/>
      <c r="AJ469" s="380"/>
      <c r="AK469" s="403"/>
      <c r="AL469" s="380"/>
      <c r="AM469" s="380"/>
      <c r="AN469" s="380"/>
      <c r="AO469" s="380"/>
      <c r="AP469" s="380"/>
      <c r="AQ469" s="404"/>
      <c r="AR469" s="380"/>
      <c r="AS469" s="380"/>
      <c r="AT469" s="380"/>
      <c r="AU469" s="380"/>
      <c r="AV469" s="380"/>
      <c r="AW469" s="380"/>
      <c r="AX469" s="380"/>
      <c r="AY469" s="403"/>
      <c r="AZ469" s="380"/>
      <c r="BA469" s="380"/>
      <c r="BB469" s="380"/>
      <c r="BC469" s="380"/>
      <c r="BD469" s="380"/>
      <c r="BE469" s="404"/>
      <c r="BF469" s="380"/>
      <c r="BG469" s="380"/>
      <c r="BH469" s="380"/>
      <c r="BI469" s="380"/>
      <c r="BJ469" s="380"/>
      <c r="BK469" s="380"/>
      <c r="BL469" s="380"/>
      <c r="BM469" s="403"/>
      <c r="BS469" s="83"/>
      <c r="CA469" s="405"/>
      <c r="CG469" s="83"/>
      <c r="CO469" s="405"/>
      <c r="CU469" s="83"/>
      <c r="DC469" s="405"/>
      <c r="DI469" s="83"/>
      <c r="DQ469" s="405"/>
      <c r="DW469" s="83"/>
      <c r="EE469" s="405"/>
      <c r="EK469" s="83"/>
      <c r="ES469" s="405"/>
      <c r="EY469" s="83"/>
      <c r="FG469" s="405"/>
      <c r="FM469" s="83"/>
      <c r="FU469" s="405"/>
      <c r="GA469" s="83"/>
      <c r="GI469" s="405"/>
      <c r="GO469" s="83"/>
      <c r="GW469" s="405"/>
      <c r="HC469" s="83"/>
      <c r="HK469" s="405"/>
      <c r="HQ469" s="83"/>
      <c r="HY469" s="405"/>
      <c r="IE469" s="83"/>
      <c r="IM469" s="405"/>
      <c r="IS469" s="83"/>
      <c r="JA469" s="405"/>
      <c r="JG469" s="83"/>
      <c r="JO469" s="405"/>
      <c r="JU469" s="83"/>
      <c r="KC469" s="405"/>
      <c r="KI469" s="83"/>
      <c r="KQ469" s="405"/>
      <c r="KW469" s="83"/>
      <c r="LE469" s="405"/>
      <c r="LK469" s="83"/>
      <c r="LS469" s="405"/>
      <c r="LY469" s="83"/>
      <c r="MG469" s="405"/>
      <c r="MM469" s="83"/>
      <c r="MU469" s="405"/>
      <c r="NA469" s="83"/>
    </row>
    <row r="470">
      <c r="A470" s="483"/>
      <c r="B470" s="380"/>
      <c r="C470" s="380"/>
      <c r="D470" s="380"/>
      <c r="E470" s="380"/>
      <c r="F470" s="380"/>
      <c r="G470" s="380"/>
      <c r="H470" s="380"/>
      <c r="I470" s="403"/>
      <c r="J470" s="380"/>
      <c r="K470" s="380"/>
      <c r="L470" s="380"/>
      <c r="M470" s="380"/>
      <c r="N470" s="380"/>
      <c r="O470" s="404"/>
      <c r="P470" s="380"/>
      <c r="Q470" s="380"/>
      <c r="R470" s="380"/>
      <c r="S470" s="380"/>
      <c r="T470" s="380"/>
      <c r="U470" s="380"/>
      <c r="V470" s="380"/>
      <c r="W470" s="403"/>
      <c r="X470" s="380"/>
      <c r="Y470" s="380"/>
      <c r="Z470" s="380"/>
      <c r="AA470" s="380"/>
      <c r="AB470" s="380"/>
      <c r="AC470" s="404"/>
      <c r="AD470" s="380"/>
      <c r="AE470" s="380"/>
      <c r="AF470" s="380"/>
      <c r="AG470" s="380"/>
      <c r="AH470" s="380"/>
      <c r="AI470" s="380"/>
      <c r="AJ470" s="380"/>
      <c r="AK470" s="403"/>
      <c r="AL470" s="380"/>
      <c r="AM470" s="380"/>
      <c r="AN470" s="380"/>
      <c r="AO470" s="380"/>
      <c r="AP470" s="380"/>
      <c r="AQ470" s="404"/>
      <c r="AR470" s="380"/>
      <c r="AS470" s="380"/>
      <c r="AT470" s="380"/>
      <c r="AU470" s="380"/>
      <c r="AV470" s="380"/>
      <c r="AW470" s="380"/>
      <c r="AX470" s="380"/>
      <c r="AY470" s="403"/>
      <c r="AZ470" s="380"/>
      <c r="BA470" s="380"/>
      <c r="BB470" s="380"/>
      <c r="BC470" s="380"/>
      <c r="BD470" s="380"/>
      <c r="BE470" s="404"/>
      <c r="BF470" s="380"/>
      <c r="BG470" s="380"/>
      <c r="BH470" s="380"/>
      <c r="BI470" s="380"/>
      <c r="BJ470" s="380"/>
      <c r="BK470" s="380"/>
      <c r="BL470" s="380"/>
      <c r="BM470" s="403"/>
      <c r="BS470" s="83"/>
      <c r="CA470" s="405"/>
      <c r="CG470" s="83"/>
      <c r="CO470" s="405"/>
      <c r="CU470" s="83"/>
      <c r="DC470" s="405"/>
      <c r="DI470" s="83"/>
      <c r="DQ470" s="405"/>
      <c r="DW470" s="83"/>
      <c r="EE470" s="405"/>
      <c r="EK470" s="83"/>
      <c r="ES470" s="405"/>
      <c r="EY470" s="83"/>
      <c r="FG470" s="405"/>
      <c r="FM470" s="83"/>
      <c r="FU470" s="405"/>
      <c r="GA470" s="83"/>
      <c r="GI470" s="405"/>
      <c r="GO470" s="83"/>
      <c r="GW470" s="405"/>
      <c r="HC470" s="83"/>
      <c r="HK470" s="405"/>
      <c r="HQ470" s="83"/>
      <c r="HY470" s="405"/>
      <c r="IE470" s="83"/>
      <c r="IM470" s="405"/>
      <c r="IS470" s="83"/>
      <c r="JA470" s="405"/>
      <c r="JG470" s="83"/>
      <c r="JO470" s="405"/>
      <c r="JU470" s="83"/>
      <c r="KC470" s="405"/>
      <c r="KI470" s="83"/>
      <c r="KQ470" s="405"/>
      <c r="KW470" s="83"/>
      <c r="LE470" s="405"/>
      <c r="LK470" s="83"/>
      <c r="LS470" s="405"/>
      <c r="LY470" s="83"/>
      <c r="MG470" s="405"/>
      <c r="MM470" s="83"/>
      <c r="MU470" s="405"/>
      <c r="NA470" s="83"/>
    </row>
    <row r="471">
      <c r="A471" s="483"/>
      <c r="B471" s="380"/>
      <c r="C471" s="380"/>
      <c r="D471" s="380"/>
      <c r="E471" s="380"/>
      <c r="F471" s="380"/>
      <c r="G471" s="380"/>
      <c r="H471" s="380"/>
      <c r="I471" s="403"/>
      <c r="J471" s="380"/>
      <c r="K471" s="380"/>
      <c r="L471" s="380"/>
      <c r="M471" s="380"/>
      <c r="N471" s="380"/>
      <c r="O471" s="404"/>
      <c r="P471" s="380"/>
      <c r="Q471" s="380"/>
      <c r="R471" s="380"/>
      <c r="S471" s="380"/>
      <c r="T471" s="380"/>
      <c r="U471" s="380"/>
      <c r="V471" s="380"/>
      <c r="W471" s="403"/>
      <c r="X471" s="380"/>
      <c r="Y471" s="380"/>
      <c r="Z471" s="380"/>
      <c r="AA471" s="380"/>
      <c r="AB471" s="380"/>
      <c r="AC471" s="404"/>
      <c r="AD471" s="380"/>
      <c r="AE471" s="380"/>
      <c r="AF471" s="380"/>
      <c r="AG471" s="380"/>
      <c r="AH471" s="380"/>
      <c r="AI471" s="380"/>
      <c r="AJ471" s="380"/>
      <c r="AK471" s="403"/>
      <c r="AL471" s="380"/>
      <c r="AM471" s="380"/>
      <c r="AN471" s="380"/>
      <c r="AO471" s="380"/>
      <c r="AP471" s="380"/>
      <c r="AQ471" s="404"/>
      <c r="AR471" s="380"/>
      <c r="AS471" s="380"/>
      <c r="AT471" s="380"/>
      <c r="AU471" s="380"/>
      <c r="AV471" s="380"/>
      <c r="AW471" s="380"/>
      <c r="AX471" s="380"/>
      <c r="AY471" s="403"/>
      <c r="AZ471" s="380"/>
      <c r="BA471" s="380"/>
      <c r="BB471" s="380"/>
      <c r="BC471" s="380"/>
      <c r="BD471" s="380"/>
      <c r="BE471" s="404"/>
      <c r="BF471" s="380"/>
      <c r="BG471" s="380"/>
      <c r="BH471" s="380"/>
      <c r="BI471" s="380"/>
      <c r="BJ471" s="380"/>
      <c r="BK471" s="380"/>
      <c r="BL471" s="380"/>
      <c r="BM471" s="403"/>
      <c r="BS471" s="83"/>
      <c r="CA471" s="405"/>
      <c r="CG471" s="83"/>
      <c r="CO471" s="405"/>
      <c r="CU471" s="83"/>
      <c r="DC471" s="405"/>
      <c r="DI471" s="83"/>
      <c r="DQ471" s="405"/>
      <c r="DW471" s="83"/>
      <c r="EE471" s="405"/>
      <c r="EK471" s="83"/>
      <c r="ES471" s="405"/>
      <c r="EY471" s="83"/>
      <c r="FG471" s="405"/>
      <c r="FM471" s="83"/>
      <c r="FU471" s="405"/>
      <c r="GA471" s="83"/>
      <c r="GI471" s="405"/>
      <c r="GO471" s="83"/>
      <c r="GW471" s="405"/>
      <c r="HC471" s="83"/>
      <c r="HK471" s="405"/>
      <c r="HQ471" s="83"/>
      <c r="HY471" s="405"/>
      <c r="IE471" s="83"/>
      <c r="IM471" s="405"/>
      <c r="IS471" s="83"/>
      <c r="JA471" s="405"/>
      <c r="JG471" s="83"/>
      <c r="JO471" s="405"/>
      <c r="JU471" s="83"/>
      <c r="KC471" s="405"/>
      <c r="KI471" s="83"/>
      <c r="KQ471" s="405"/>
      <c r="KW471" s="83"/>
      <c r="LE471" s="405"/>
      <c r="LK471" s="83"/>
      <c r="LS471" s="405"/>
      <c r="LY471" s="83"/>
      <c r="MG471" s="405"/>
      <c r="MM471" s="83"/>
      <c r="MU471" s="405"/>
      <c r="NA471" s="83"/>
    </row>
    <row r="472">
      <c r="A472" s="483"/>
      <c r="B472" s="380"/>
      <c r="C472" s="380"/>
      <c r="D472" s="380"/>
      <c r="E472" s="380"/>
      <c r="F472" s="380"/>
      <c r="G472" s="380"/>
      <c r="H472" s="380"/>
      <c r="I472" s="403"/>
      <c r="J472" s="380"/>
      <c r="K472" s="380"/>
      <c r="L472" s="380"/>
      <c r="M472" s="380"/>
      <c r="N472" s="380"/>
      <c r="O472" s="404"/>
      <c r="P472" s="380"/>
      <c r="Q472" s="380"/>
      <c r="R472" s="380"/>
      <c r="S472" s="380"/>
      <c r="T472" s="380"/>
      <c r="U472" s="380"/>
      <c r="V472" s="380"/>
      <c r="W472" s="403"/>
      <c r="X472" s="380"/>
      <c r="Y472" s="380"/>
      <c r="Z472" s="380"/>
      <c r="AA472" s="380"/>
      <c r="AB472" s="380"/>
      <c r="AC472" s="404"/>
      <c r="AD472" s="380"/>
      <c r="AE472" s="380"/>
      <c r="AF472" s="380"/>
      <c r="AG472" s="380"/>
      <c r="AH472" s="380"/>
      <c r="AI472" s="380"/>
      <c r="AJ472" s="380"/>
      <c r="AK472" s="403"/>
      <c r="AL472" s="380"/>
      <c r="AM472" s="380"/>
      <c r="AN472" s="380"/>
      <c r="AO472" s="380"/>
      <c r="AP472" s="380"/>
      <c r="AQ472" s="404"/>
      <c r="AR472" s="380"/>
      <c r="AS472" s="380"/>
      <c r="AT472" s="380"/>
      <c r="AU472" s="380"/>
      <c r="AV472" s="380"/>
      <c r="AW472" s="380"/>
      <c r="AX472" s="380"/>
      <c r="AY472" s="403"/>
      <c r="AZ472" s="380"/>
      <c r="BA472" s="380"/>
      <c r="BB472" s="380"/>
      <c r="BC472" s="380"/>
      <c r="BD472" s="380"/>
      <c r="BE472" s="404"/>
      <c r="BF472" s="380"/>
      <c r="BG472" s="380"/>
      <c r="BH472" s="380"/>
      <c r="BI472" s="380"/>
      <c r="BJ472" s="380"/>
      <c r="BK472" s="380"/>
      <c r="BL472" s="380"/>
      <c r="BM472" s="403"/>
      <c r="BS472" s="83"/>
      <c r="CA472" s="405"/>
      <c r="CG472" s="83"/>
      <c r="CO472" s="405"/>
      <c r="CU472" s="83"/>
      <c r="DC472" s="405"/>
      <c r="DI472" s="83"/>
      <c r="DQ472" s="405"/>
      <c r="DW472" s="83"/>
      <c r="EE472" s="405"/>
      <c r="EK472" s="83"/>
      <c r="ES472" s="405"/>
      <c r="EY472" s="83"/>
      <c r="FG472" s="405"/>
      <c r="FM472" s="83"/>
      <c r="FU472" s="405"/>
      <c r="GA472" s="83"/>
      <c r="GI472" s="405"/>
      <c r="GO472" s="83"/>
      <c r="GW472" s="405"/>
      <c r="HC472" s="83"/>
      <c r="HK472" s="405"/>
      <c r="HQ472" s="83"/>
      <c r="HY472" s="405"/>
      <c r="IE472" s="83"/>
      <c r="IM472" s="405"/>
      <c r="IS472" s="83"/>
      <c r="JA472" s="405"/>
      <c r="JG472" s="83"/>
      <c r="JO472" s="405"/>
      <c r="JU472" s="83"/>
      <c r="KC472" s="405"/>
      <c r="KI472" s="83"/>
      <c r="KQ472" s="405"/>
      <c r="KW472" s="83"/>
      <c r="LE472" s="405"/>
      <c r="LK472" s="83"/>
      <c r="LS472" s="405"/>
      <c r="LY472" s="83"/>
      <c r="MG472" s="405"/>
      <c r="MM472" s="83"/>
      <c r="MU472" s="405"/>
      <c r="NA472" s="83"/>
    </row>
    <row r="473">
      <c r="A473" s="483"/>
      <c r="B473" s="380"/>
      <c r="C473" s="380"/>
      <c r="D473" s="380"/>
      <c r="E473" s="380"/>
      <c r="F473" s="380"/>
      <c r="G473" s="380"/>
      <c r="H473" s="380"/>
      <c r="I473" s="403"/>
      <c r="J473" s="380"/>
      <c r="K473" s="380"/>
      <c r="L473" s="380"/>
      <c r="M473" s="380"/>
      <c r="N473" s="380"/>
      <c r="O473" s="404"/>
      <c r="P473" s="380"/>
      <c r="Q473" s="380"/>
      <c r="R473" s="380"/>
      <c r="S473" s="380"/>
      <c r="T473" s="380"/>
      <c r="U473" s="380"/>
      <c r="V473" s="380"/>
      <c r="W473" s="403"/>
      <c r="X473" s="380"/>
      <c r="Y473" s="380"/>
      <c r="Z473" s="380"/>
      <c r="AA473" s="380"/>
      <c r="AB473" s="380"/>
      <c r="AC473" s="404"/>
      <c r="AD473" s="380"/>
      <c r="AE473" s="380"/>
      <c r="AF473" s="380"/>
      <c r="AG473" s="380"/>
      <c r="AH473" s="380"/>
      <c r="AI473" s="380"/>
      <c r="AJ473" s="380"/>
      <c r="AK473" s="403"/>
      <c r="AL473" s="380"/>
      <c r="AM473" s="380"/>
      <c r="AN473" s="380"/>
      <c r="AO473" s="380"/>
      <c r="AP473" s="380"/>
      <c r="AQ473" s="404"/>
      <c r="AR473" s="380"/>
      <c r="AS473" s="380"/>
      <c r="AT473" s="380"/>
      <c r="AU473" s="380"/>
      <c r="AV473" s="380"/>
      <c r="AW473" s="380"/>
      <c r="AX473" s="380"/>
      <c r="AY473" s="403"/>
      <c r="AZ473" s="380"/>
      <c r="BA473" s="380"/>
      <c r="BB473" s="380"/>
      <c r="BC473" s="380"/>
      <c r="BD473" s="380"/>
      <c r="BE473" s="404"/>
      <c r="BF473" s="380"/>
      <c r="BG473" s="380"/>
      <c r="BH473" s="380"/>
      <c r="BI473" s="380"/>
      <c r="BJ473" s="380"/>
      <c r="BK473" s="380"/>
      <c r="BL473" s="380"/>
      <c r="BM473" s="403"/>
      <c r="BS473" s="83"/>
      <c r="CA473" s="405"/>
      <c r="CG473" s="83"/>
      <c r="CO473" s="405"/>
      <c r="CU473" s="83"/>
      <c r="DC473" s="405"/>
      <c r="DI473" s="83"/>
      <c r="DQ473" s="405"/>
      <c r="DW473" s="83"/>
      <c r="EE473" s="405"/>
      <c r="EK473" s="83"/>
      <c r="ES473" s="405"/>
      <c r="EY473" s="83"/>
      <c r="FG473" s="405"/>
      <c r="FM473" s="83"/>
      <c r="FU473" s="405"/>
      <c r="GA473" s="83"/>
      <c r="GI473" s="405"/>
      <c r="GO473" s="83"/>
      <c r="GW473" s="405"/>
      <c r="HC473" s="83"/>
      <c r="HK473" s="405"/>
      <c r="HQ473" s="83"/>
      <c r="HY473" s="405"/>
      <c r="IE473" s="83"/>
      <c r="IM473" s="405"/>
      <c r="IS473" s="83"/>
      <c r="JA473" s="405"/>
      <c r="JG473" s="83"/>
      <c r="JO473" s="405"/>
      <c r="JU473" s="83"/>
      <c r="KC473" s="405"/>
      <c r="KI473" s="83"/>
      <c r="KQ473" s="405"/>
      <c r="KW473" s="83"/>
      <c r="LE473" s="405"/>
      <c r="LK473" s="83"/>
      <c r="LS473" s="405"/>
      <c r="LY473" s="83"/>
      <c r="MG473" s="405"/>
      <c r="MM473" s="83"/>
      <c r="MU473" s="405"/>
      <c r="NA473" s="83"/>
    </row>
    <row r="474">
      <c r="A474" s="483"/>
      <c r="B474" s="380"/>
      <c r="C474" s="380"/>
      <c r="D474" s="380"/>
      <c r="E474" s="380"/>
      <c r="F474" s="380"/>
      <c r="G474" s="380"/>
      <c r="H474" s="380"/>
      <c r="I474" s="403"/>
      <c r="J474" s="380"/>
      <c r="K474" s="380"/>
      <c r="L474" s="380"/>
      <c r="M474" s="380"/>
      <c r="N474" s="380"/>
      <c r="O474" s="404"/>
      <c r="P474" s="380"/>
      <c r="Q474" s="380"/>
      <c r="R474" s="380"/>
      <c r="S474" s="380"/>
      <c r="T474" s="380"/>
      <c r="U474" s="380"/>
      <c r="V474" s="380"/>
      <c r="W474" s="403"/>
      <c r="X474" s="380"/>
      <c r="Y474" s="380"/>
      <c r="Z474" s="380"/>
      <c r="AA474" s="380"/>
      <c r="AB474" s="380"/>
      <c r="AC474" s="404"/>
      <c r="AD474" s="380"/>
      <c r="AE474" s="380"/>
      <c r="AF474" s="380"/>
      <c r="AG474" s="380"/>
      <c r="AH474" s="380"/>
      <c r="AI474" s="380"/>
      <c r="AJ474" s="380"/>
      <c r="AK474" s="403"/>
      <c r="AL474" s="380"/>
      <c r="AM474" s="380"/>
      <c r="AN474" s="380"/>
      <c r="AO474" s="380"/>
      <c r="AP474" s="380"/>
      <c r="AQ474" s="404"/>
      <c r="AR474" s="380"/>
      <c r="AS474" s="380"/>
      <c r="AT474" s="380"/>
      <c r="AU474" s="380"/>
      <c r="AV474" s="380"/>
      <c r="AW474" s="380"/>
      <c r="AX474" s="380"/>
      <c r="AY474" s="403"/>
      <c r="AZ474" s="380"/>
      <c r="BA474" s="380"/>
      <c r="BB474" s="380"/>
      <c r="BC474" s="380"/>
      <c r="BD474" s="380"/>
      <c r="BE474" s="404"/>
      <c r="BF474" s="380"/>
      <c r="BG474" s="380"/>
      <c r="BH474" s="380"/>
      <c r="BI474" s="380"/>
      <c r="BJ474" s="380"/>
      <c r="BK474" s="380"/>
      <c r="BL474" s="380"/>
      <c r="BM474" s="403"/>
      <c r="BS474" s="83"/>
      <c r="CA474" s="405"/>
      <c r="CG474" s="83"/>
      <c r="CO474" s="405"/>
      <c r="CU474" s="83"/>
      <c r="DC474" s="405"/>
      <c r="DI474" s="83"/>
      <c r="DQ474" s="405"/>
      <c r="DW474" s="83"/>
      <c r="EE474" s="405"/>
      <c r="EK474" s="83"/>
      <c r="ES474" s="405"/>
      <c r="EY474" s="83"/>
      <c r="FG474" s="405"/>
      <c r="FM474" s="83"/>
      <c r="FU474" s="405"/>
      <c r="GA474" s="83"/>
      <c r="GI474" s="405"/>
      <c r="GO474" s="83"/>
      <c r="GW474" s="405"/>
      <c r="HC474" s="83"/>
      <c r="HK474" s="405"/>
      <c r="HQ474" s="83"/>
      <c r="HY474" s="405"/>
      <c r="IE474" s="83"/>
      <c r="IM474" s="405"/>
      <c r="IS474" s="83"/>
      <c r="JA474" s="405"/>
      <c r="JG474" s="83"/>
      <c r="JO474" s="405"/>
      <c r="JU474" s="83"/>
      <c r="KC474" s="405"/>
      <c r="KI474" s="83"/>
      <c r="KQ474" s="405"/>
      <c r="KW474" s="83"/>
      <c r="LE474" s="405"/>
      <c r="LK474" s="83"/>
      <c r="LS474" s="405"/>
      <c r="LY474" s="83"/>
      <c r="MG474" s="405"/>
      <c r="MM474" s="83"/>
      <c r="MU474" s="405"/>
      <c r="NA474" s="83"/>
    </row>
    <row r="475">
      <c r="A475" s="483"/>
      <c r="B475" s="380"/>
      <c r="C475" s="380"/>
      <c r="D475" s="380"/>
      <c r="E475" s="380"/>
      <c r="F475" s="380"/>
      <c r="G475" s="380"/>
      <c r="H475" s="380"/>
      <c r="I475" s="403"/>
      <c r="J475" s="380"/>
      <c r="K475" s="380"/>
      <c r="L475" s="380"/>
      <c r="M475" s="380"/>
      <c r="N475" s="380"/>
      <c r="O475" s="404"/>
      <c r="P475" s="380"/>
      <c r="Q475" s="380"/>
      <c r="R475" s="380"/>
      <c r="S475" s="380"/>
      <c r="T475" s="380"/>
      <c r="U475" s="380"/>
      <c r="V475" s="380"/>
      <c r="W475" s="403"/>
      <c r="X475" s="380"/>
      <c r="Y475" s="380"/>
      <c r="Z475" s="380"/>
      <c r="AA475" s="380"/>
      <c r="AB475" s="380"/>
      <c r="AC475" s="404"/>
      <c r="AD475" s="380"/>
      <c r="AE475" s="380"/>
      <c r="AF475" s="380"/>
      <c r="AG475" s="380"/>
      <c r="AH475" s="380"/>
      <c r="AI475" s="380"/>
      <c r="AJ475" s="380"/>
      <c r="AK475" s="403"/>
      <c r="AL475" s="380"/>
      <c r="AM475" s="380"/>
      <c r="AN475" s="380"/>
      <c r="AO475" s="380"/>
      <c r="AP475" s="380"/>
      <c r="AQ475" s="404"/>
      <c r="AR475" s="380"/>
      <c r="AS475" s="380"/>
      <c r="AT475" s="380"/>
      <c r="AU475" s="380"/>
      <c r="AV475" s="380"/>
      <c r="AW475" s="380"/>
      <c r="AX475" s="380"/>
      <c r="AY475" s="403"/>
      <c r="AZ475" s="380"/>
      <c r="BA475" s="380"/>
      <c r="BB475" s="380"/>
      <c r="BC475" s="380"/>
      <c r="BD475" s="380"/>
      <c r="BE475" s="404"/>
      <c r="BF475" s="380"/>
      <c r="BG475" s="380"/>
      <c r="BH475" s="380"/>
      <c r="BI475" s="380"/>
      <c r="BJ475" s="380"/>
      <c r="BK475" s="380"/>
      <c r="BL475" s="380"/>
      <c r="BM475" s="403"/>
      <c r="BS475" s="83"/>
      <c r="CA475" s="405"/>
      <c r="CG475" s="83"/>
      <c r="CO475" s="405"/>
      <c r="CU475" s="83"/>
      <c r="DC475" s="405"/>
      <c r="DI475" s="83"/>
      <c r="DQ475" s="405"/>
      <c r="DW475" s="83"/>
      <c r="EE475" s="405"/>
      <c r="EK475" s="83"/>
      <c r="ES475" s="405"/>
      <c r="EY475" s="83"/>
      <c r="FG475" s="405"/>
      <c r="FM475" s="83"/>
      <c r="FU475" s="405"/>
      <c r="GA475" s="83"/>
      <c r="GI475" s="405"/>
      <c r="GO475" s="83"/>
      <c r="GW475" s="405"/>
      <c r="HC475" s="83"/>
      <c r="HK475" s="405"/>
      <c r="HQ475" s="83"/>
      <c r="HY475" s="405"/>
      <c r="IE475" s="83"/>
      <c r="IM475" s="405"/>
      <c r="IS475" s="83"/>
      <c r="JA475" s="405"/>
      <c r="JG475" s="83"/>
      <c r="JO475" s="405"/>
      <c r="JU475" s="83"/>
      <c r="KC475" s="405"/>
      <c r="KI475" s="83"/>
      <c r="KQ475" s="405"/>
      <c r="KW475" s="83"/>
      <c r="LE475" s="405"/>
      <c r="LK475" s="83"/>
      <c r="LS475" s="405"/>
      <c r="LY475" s="83"/>
      <c r="MG475" s="405"/>
      <c r="MM475" s="83"/>
      <c r="MU475" s="405"/>
      <c r="NA475" s="83"/>
    </row>
    <row r="476">
      <c r="A476" s="483"/>
      <c r="B476" s="380"/>
      <c r="C476" s="380"/>
      <c r="D476" s="380"/>
      <c r="E476" s="380"/>
      <c r="F476" s="380"/>
      <c r="G476" s="380"/>
      <c r="H476" s="380"/>
      <c r="I476" s="403"/>
      <c r="J476" s="380"/>
      <c r="K476" s="380"/>
      <c r="L476" s="380"/>
      <c r="M476" s="380"/>
      <c r="N476" s="380"/>
      <c r="O476" s="404"/>
      <c r="P476" s="380"/>
      <c r="Q476" s="380"/>
      <c r="R476" s="380"/>
      <c r="S476" s="380"/>
      <c r="T476" s="380"/>
      <c r="U476" s="380"/>
      <c r="V476" s="380"/>
      <c r="W476" s="403"/>
      <c r="X476" s="380"/>
      <c r="Y476" s="380"/>
      <c r="Z476" s="380"/>
      <c r="AA476" s="380"/>
      <c r="AB476" s="380"/>
      <c r="AC476" s="404"/>
      <c r="AD476" s="380"/>
      <c r="AE476" s="380"/>
      <c r="AF476" s="380"/>
      <c r="AG476" s="380"/>
      <c r="AH476" s="380"/>
      <c r="AI476" s="380"/>
      <c r="AJ476" s="380"/>
      <c r="AK476" s="403"/>
      <c r="AL476" s="380"/>
      <c r="AM476" s="380"/>
      <c r="AN476" s="380"/>
      <c r="AO476" s="380"/>
      <c r="AP476" s="380"/>
      <c r="AQ476" s="404"/>
      <c r="AR476" s="380"/>
      <c r="AS476" s="380"/>
      <c r="AT476" s="380"/>
      <c r="AU476" s="380"/>
      <c r="AV476" s="380"/>
      <c r="AW476" s="380"/>
      <c r="AX476" s="380"/>
      <c r="AY476" s="403"/>
      <c r="AZ476" s="380"/>
      <c r="BA476" s="380"/>
      <c r="BB476" s="380"/>
      <c r="BC476" s="380"/>
      <c r="BD476" s="380"/>
      <c r="BE476" s="404"/>
      <c r="BF476" s="380"/>
      <c r="BG476" s="380"/>
      <c r="BH476" s="380"/>
      <c r="BI476" s="380"/>
      <c r="BJ476" s="380"/>
      <c r="BK476" s="380"/>
      <c r="BL476" s="380"/>
      <c r="BM476" s="403"/>
      <c r="BS476" s="83"/>
      <c r="CA476" s="405"/>
      <c r="CG476" s="83"/>
      <c r="CO476" s="405"/>
      <c r="CU476" s="83"/>
      <c r="DC476" s="405"/>
      <c r="DI476" s="83"/>
      <c r="DQ476" s="405"/>
      <c r="DW476" s="83"/>
      <c r="EE476" s="405"/>
      <c r="EK476" s="83"/>
      <c r="ES476" s="405"/>
      <c r="EY476" s="83"/>
      <c r="FG476" s="405"/>
      <c r="FM476" s="83"/>
      <c r="FU476" s="405"/>
      <c r="GA476" s="83"/>
      <c r="GI476" s="405"/>
      <c r="GO476" s="83"/>
      <c r="GW476" s="405"/>
      <c r="HC476" s="83"/>
      <c r="HK476" s="405"/>
      <c r="HQ476" s="83"/>
      <c r="HY476" s="405"/>
      <c r="IE476" s="83"/>
      <c r="IM476" s="405"/>
      <c r="IS476" s="83"/>
      <c r="JA476" s="405"/>
      <c r="JG476" s="83"/>
      <c r="JO476" s="405"/>
      <c r="JU476" s="83"/>
      <c r="KC476" s="405"/>
      <c r="KI476" s="83"/>
      <c r="KQ476" s="405"/>
      <c r="KW476" s="83"/>
      <c r="LE476" s="405"/>
      <c r="LK476" s="83"/>
      <c r="LS476" s="405"/>
      <c r="LY476" s="83"/>
      <c r="MG476" s="405"/>
      <c r="MM476" s="83"/>
      <c r="MU476" s="405"/>
      <c r="NA476" s="83"/>
    </row>
    <row r="477">
      <c r="A477" s="483"/>
      <c r="B477" s="380"/>
      <c r="C477" s="380"/>
      <c r="D477" s="380"/>
      <c r="E477" s="380"/>
      <c r="F477" s="380"/>
      <c r="G477" s="380"/>
      <c r="H477" s="380"/>
      <c r="I477" s="403"/>
      <c r="J477" s="380"/>
      <c r="K477" s="380"/>
      <c r="L477" s="380"/>
      <c r="M477" s="380"/>
      <c r="N477" s="380"/>
      <c r="O477" s="404"/>
      <c r="P477" s="380"/>
      <c r="Q477" s="380"/>
      <c r="R477" s="380"/>
      <c r="S477" s="380"/>
      <c r="T477" s="380"/>
      <c r="U477" s="380"/>
      <c r="V477" s="380"/>
      <c r="W477" s="403"/>
      <c r="X477" s="380"/>
      <c r="Y477" s="380"/>
      <c r="Z477" s="380"/>
      <c r="AA477" s="380"/>
      <c r="AB477" s="380"/>
      <c r="AC477" s="404"/>
      <c r="AD477" s="380"/>
      <c r="AE477" s="380"/>
      <c r="AF477" s="380"/>
      <c r="AG477" s="380"/>
      <c r="AH477" s="380"/>
      <c r="AI477" s="380"/>
      <c r="AJ477" s="380"/>
      <c r="AK477" s="403"/>
      <c r="AL477" s="380"/>
      <c r="AM477" s="380"/>
      <c r="AN477" s="380"/>
      <c r="AO477" s="380"/>
      <c r="AP477" s="380"/>
      <c r="AQ477" s="404"/>
      <c r="AR477" s="380"/>
      <c r="AS477" s="380"/>
      <c r="AT477" s="380"/>
      <c r="AU477" s="380"/>
      <c r="AV477" s="380"/>
      <c r="AW477" s="380"/>
      <c r="AX477" s="380"/>
      <c r="AY477" s="403"/>
      <c r="AZ477" s="380"/>
      <c r="BA477" s="380"/>
      <c r="BB477" s="380"/>
      <c r="BC477" s="380"/>
      <c r="BD477" s="380"/>
      <c r="BE477" s="404"/>
      <c r="BF477" s="380"/>
      <c r="BG477" s="380"/>
      <c r="BH477" s="380"/>
      <c r="BI477" s="380"/>
      <c r="BJ477" s="380"/>
      <c r="BK477" s="380"/>
      <c r="BL477" s="380"/>
      <c r="BM477" s="403"/>
      <c r="BS477" s="83"/>
      <c r="CA477" s="405"/>
      <c r="CG477" s="83"/>
      <c r="CO477" s="405"/>
      <c r="CU477" s="83"/>
      <c r="DC477" s="405"/>
      <c r="DI477" s="83"/>
      <c r="DQ477" s="405"/>
      <c r="DW477" s="83"/>
      <c r="EE477" s="405"/>
      <c r="EK477" s="83"/>
      <c r="ES477" s="405"/>
      <c r="EY477" s="83"/>
      <c r="FG477" s="405"/>
      <c r="FM477" s="83"/>
      <c r="FU477" s="405"/>
      <c r="GA477" s="83"/>
      <c r="GI477" s="405"/>
      <c r="GO477" s="83"/>
      <c r="GW477" s="405"/>
      <c r="HC477" s="83"/>
      <c r="HK477" s="405"/>
      <c r="HQ477" s="83"/>
      <c r="HY477" s="405"/>
      <c r="IE477" s="83"/>
      <c r="IM477" s="405"/>
      <c r="IS477" s="83"/>
      <c r="JA477" s="405"/>
      <c r="JG477" s="83"/>
      <c r="JO477" s="405"/>
      <c r="JU477" s="83"/>
      <c r="KC477" s="405"/>
      <c r="KI477" s="83"/>
      <c r="KQ477" s="405"/>
      <c r="KW477" s="83"/>
      <c r="LE477" s="405"/>
      <c r="LK477" s="83"/>
      <c r="LS477" s="405"/>
      <c r="LY477" s="83"/>
      <c r="MG477" s="405"/>
      <c r="MM477" s="83"/>
      <c r="MU477" s="405"/>
      <c r="NA477" s="83"/>
    </row>
    <row r="478">
      <c r="A478" s="483"/>
      <c r="B478" s="380"/>
      <c r="C478" s="380"/>
      <c r="D478" s="380"/>
      <c r="E478" s="380"/>
      <c r="F478" s="380"/>
      <c r="G478" s="380"/>
      <c r="H478" s="380"/>
      <c r="I478" s="403"/>
      <c r="J478" s="380"/>
      <c r="K478" s="380"/>
      <c r="L478" s="380"/>
      <c r="M478" s="380"/>
      <c r="N478" s="380"/>
      <c r="O478" s="404"/>
      <c r="P478" s="380"/>
      <c r="Q478" s="380"/>
      <c r="R478" s="380"/>
      <c r="S478" s="380"/>
      <c r="T478" s="380"/>
      <c r="U478" s="380"/>
      <c r="V478" s="380"/>
      <c r="W478" s="403"/>
      <c r="X478" s="380"/>
      <c r="Y478" s="380"/>
      <c r="Z478" s="380"/>
      <c r="AA478" s="380"/>
      <c r="AB478" s="380"/>
      <c r="AC478" s="404"/>
      <c r="AD478" s="380"/>
      <c r="AE478" s="380"/>
      <c r="AF478" s="380"/>
      <c r="AG478" s="380"/>
      <c r="AH478" s="380"/>
      <c r="AI478" s="380"/>
      <c r="AJ478" s="380"/>
      <c r="AK478" s="403"/>
      <c r="AL478" s="380"/>
      <c r="AM478" s="380"/>
      <c r="AN478" s="380"/>
      <c r="AO478" s="380"/>
      <c r="AP478" s="380"/>
      <c r="AQ478" s="404"/>
      <c r="AR478" s="380"/>
      <c r="AS478" s="380"/>
      <c r="AT478" s="380"/>
      <c r="AU478" s="380"/>
      <c r="AV478" s="380"/>
      <c r="AW478" s="380"/>
      <c r="AX478" s="380"/>
      <c r="AY478" s="403"/>
      <c r="AZ478" s="380"/>
      <c r="BA478" s="380"/>
      <c r="BB478" s="380"/>
      <c r="BC478" s="380"/>
      <c r="BD478" s="380"/>
      <c r="BE478" s="404"/>
      <c r="BF478" s="380"/>
      <c r="BG478" s="380"/>
      <c r="BH478" s="380"/>
      <c r="BI478" s="380"/>
      <c r="BJ478" s="380"/>
      <c r="BK478" s="380"/>
      <c r="BL478" s="380"/>
      <c r="BM478" s="403"/>
      <c r="BS478" s="83"/>
      <c r="CA478" s="405"/>
      <c r="CG478" s="83"/>
      <c r="CO478" s="405"/>
      <c r="CU478" s="83"/>
      <c r="DC478" s="405"/>
      <c r="DI478" s="83"/>
      <c r="DQ478" s="405"/>
      <c r="DW478" s="83"/>
      <c r="EE478" s="405"/>
      <c r="EK478" s="83"/>
      <c r="ES478" s="405"/>
      <c r="EY478" s="83"/>
      <c r="FG478" s="405"/>
      <c r="FM478" s="83"/>
      <c r="FU478" s="405"/>
      <c r="GA478" s="83"/>
      <c r="GI478" s="405"/>
      <c r="GO478" s="83"/>
      <c r="GW478" s="405"/>
      <c r="HC478" s="83"/>
      <c r="HK478" s="405"/>
      <c r="HQ478" s="83"/>
      <c r="HY478" s="405"/>
      <c r="IE478" s="83"/>
      <c r="IM478" s="405"/>
      <c r="IS478" s="83"/>
      <c r="JA478" s="405"/>
      <c r="JG478" s="83"/>
      <c r="JO478" s="405"/>
      <c r="JU478" s="83"/>
      <c r="KC478" s="405"/>
      <c r="KI478" s="83"/>
      <c r="KQ478" s="405"/>
      <c r="KW478" s="83"/>
      <c r="LE478" s="405"/>
      <c r="LK478" s="83"/>
      <c r="LS478" s="405"/>
      <c r="LY478" s="83"/>
      <c r="MG478" s="405"/>
      <c r="MM478" s="83"/>
      <c r="MU478" s="405"/>
      <c r="NA478" s="83"/>
    </row>
    <row r="479">
      <c r="A479" s="483"/>
      <c r="B479" s="380"/>
      <c r="C479" s="380"/>
      <c r="D479" s="380"/>
      <c r="E479" s="380"/>
      <c r="F479" s="380"/>
      <c r="G479" s="380"/>
      <c r="H479" s="380"/>
      <c r="I479" s="403"/>
      <c r="J479" s="380"/>
      <c r="K479" s="380"/>
      <c r="L479" s="380"/>
      <c r="M479" s="380"/>
      <c r="N479" s="380"/>
      <c r="O479" s="404"/>
      <c r="P479" s="380"/>
      <c r="Q479" s="380"/>
      <c r="R479" s="380"/>
      <c r="S479" s="380"/>
      <c r="T479" s="380"/>
      <c r="U479" s="380"/>
      <c r="V479" s="380"/>
      <c r="W479" s="403"/>
      <c r="X479" s="380"/>
      <c r="Y479" s="380"/>
      <c r="Z479" s="380"/>
      <c r="AA479" s="380"/>
      <c r="AB479" s="380"/>
      <c r="AC479" s="404"/>
      <c r="AD479" s="380"/>
      <c r="AE479" s="380"/>
      <c r="AF479" s="380"/>
      <c r="AG479" s="380"/>
      <c r="AH479" s="380"/>
      <c r="AI479" s="380"/>
      <c r="AJ479" s="380"/>
      <c r="AK479" s="403"/>
      <c r="AL479" s="380"/>
      <c r="AM479" s="380"/>
      <c r="AN479" s="380"/>
      <c r="AO479" s="380"/>
      <c r="AP479" s="380"/>
      <c r="AQ479" s="404"/>
      <c r="AR479" s="380"/>
      <c r="AS479" s="380"/>
      <c r="AT479" s="380"/>
      <c r="AU479" s="380"/>
      <c r="AV479" s="380"/>
      <c r="AW479" s="380"/>
      <c r="AX479" s="380"/>
      <c r="AY479" s="403"/>
      <c r="AZ479" s="380"/>
      <c r="BA479" s="380"/>
      <c r="BB479" s="380"/>
      <c r="BC479" s="380"/>
      <c r="BD479" s="380"/>
      <c r="BE479" s="404"/>
      <c r="BF479" s="380"/>
      <c r="BG479" s="380"/>
      <c r="BH479" s="380"/>
      <c r="BI479" s="380"/>
      <c r="BJ479" s="380"/>
      <c r="BK479" s="380"/>
      <c r="BL479" s="380"/>
      <c r="BM479" s="403"/>
      <c r="BS479" s="83"/>
      <c r="CA479" s="405"/>
      <c r="CG479" s="83"/>
      <c r="CO479" s="405"/>
      <c r="CU479" s="83"/>
      <c r="DC479" s="405"/>
      <c r="DI479" s="83"/>
      <c r="DQ479" s="405"/>
      <c r="DW479" s="83"/>
      <c r="EE479" s="405"/>
      <c r="EK479" s="83"/>
      <c r="ES479" s="405"/>
      <c r="EY479" s="83"/>
      <c r="FG479" s="405"/>
      <c r="FM479" s="83"/>
      <c r="FU479" s="405"/>
      <c r="GA479" s="83"/>
      <c r="GI479" s="405"/>
      <c r="GO479" s="83"/>
      <c r="GW479" s="405"/>
      <c r="HC479" s="83"/>
      <c r="HK479" s="405"/>
      <c r="HQ479" s="83"/>
      <c r="HY479" s="405"/>
      <c r="IE479" s="83"/>
      <c r="IM479" s="405"/>
      <c r="IS479" s="83"/>
      <c r="JA479" s="405"/>
      <c r="JG479" s="83"/>
      <c r="JO479" s="405"/>
      <c r="JU479" s="83"/>
      <c r="KC479" s="405"/>
      <c r="KI479" s="83"/>
      <c r="KQ479" s="405"/>
      <c r="KW479" s="83"/>
      <c r="LE479" s="405"/>
      <c r="LK479" s="83"/>
      <c r="LS479" s="405"/>
      <c r="LY479" s="83"/>
      <c r="MG479" s="405"/>
      <c r="MM479" s="83"/>
      <c r="MU479" s="405"/>
      <c r="NA479" s="83"/>
    </row>
    <row r="480">
      <c r="A480" s="483"/>
      <c r="B480" s="380"/>
      <c r="C480" s="380"/>
      <c r="D480" s="380"/>
      <c r="E480" s="380"/>
      <c r="F480" s="380"/>
      <c r="G480" s="380"/>
      <c r="H480" s="380"/>
      <c r="I480" s="403"/>
      <c r="J480" s="380"/>
      <c r="K480" s="380"/>
      <c r="L480" s="380"/>
      <c r="M480" s="380"/>
      <c r="N480" s="380"/>
      <c r="O480" s="404"/>
      <c r="P480" s="380"/>
      <c r="Q480" s="380"/>
      <c r="R480" s="380"/>
      <c r="S480" s="380"/>
      <c r="T480" s="380"/>
      <c r="U480" s="380"/>
      <c r="V480" s="380"/>
      <c r="W480" s="403"/>
      <c r="X480" s="380"/>
      <c r="Y480" s="380"/>
      <c r="Z480" s="380"/>
      <c r="AA480" s="380"/>
      <c r="AB480" s="380"/>
      <c r="AC480" s="404"/>
      <c r="AD480" s="380"/>
      <c r="AE480" s="380"/>
      <c r="AF480" s="380"/>
      <c r="AG480" s="380"/>
      <c r="AH480" s="380"/>
      <c r="AI480" s="380"/>
      <c r="AJ480" s="380"/>
      <c r="AK480" s="403"/>
      <c r="AL480" s="380"/>
      <c r="AM480" s="380"/>
      <c r="AN480" s="380"/>
      <c r="AO480" s="380"/>
      <c r="AP480" s="380"/>
      <c r="AQ480" s="404"/>
      <c r="AR480" s="380"/>
      <c r="AS480" s="380"/>
      <c r="AT480" s="380"/>
      <c r="AU480" s="380"/>
      <c r="AV480" s="380"/>
      <c r="AW480" s="380"/>
      <c r="AX480" s="380"/>
      <c r="AY480" s="403"/>
      <c r="AZ480" s="380"/>
      <c r="BA480" s="380"/>
      <c r="BB480" s="380"/>
      <c r="BC480" s="380"/>
      <c r="BD480" s="380"/>
      <c r="BE480" s="404"/>
      <c r="BF480" s="380"/>
      <c r="BG480" s="380"/>
      <c r="BH480" s="380"/>
      <c r="BI480" s="380"/>
      <c r="BJ480" s="380"/>
      <c r="BK480" s="380"/>
      <c r="BL480" s="380"/>
      <c r="BM480" s="403"/>
      <c r="BS480" s="83"/>
      <c r="CA480" s="405"/>
      <c r="CG480" s="83"/>
      <c r="CO480" s="405"/>
      <c r="CU480" s="83"/>
      <c r="DC480" s="405"/>
      <c r="DI480" s="83"/>
      <c r="DQ480" s="405"/>
      <c r="DW480" s="83"/>
      <c r="EE480" s="405"/>
      <c r="EK480" s="83"/>
      <c r="ES480" s="405"/>
      <c r="EY480" s="83"/>
      <c r="FG480" s="405"/>
      <c r="FM480" s="83"/>
      <c r="FU480" s="405"/>
      <c r="GA480" s="83"/>
      <c r="GI480" s="405"/>
      <c r="GO480" s="83"/>
      <c r="GW480" s="405"/>
      <c r="HC480" s="83"/>
      <c r="HK480" s="405"/>
      <c r="HQ480" s="83"/>
      <c r="HY480" s="405"/>
      <c r="IE480" s="83"/>
      <c r="IM480" s="405"/>
      <c r="IS480" s="83"/>
      <c r="JA480" s="405"/>
      <c r="JG480" s="83"/>
      <c r="JO480" s="405"/>
      <c r="JU480" s="83"/>
      <c r="KC480" s="405"/>
      <c r="KI480" s="83"/>
      <c r="KQ480" s="405"/>
      <c r="KW480" s="83"/>
      <c r="LE480" s="405"/>
      <c r="LK480" s="83"/>
      <c r="LS480" s="405"/>
      <c r="LY480" s="83"/>
      <c r="MG480" s="405"/>
      <c r="MM480" s="83"/>
      <c r="MU480" s="405"/>
      <c r="NA480" s="83"/>
    </row>
    <row r="481">
      <c r="A481" s="483"/>
      <c r="B481" s="380"/>
      <c r="C481" s="380"/>
      <c r="D481" s="380"/>
      <c r="E481" s="380"/>
      <c r="F481" s="380"/>
      <c r="G481" s="380"/>
      <c r="H481" s="380"/>
      <c r="I481" s="403"/>
      <c r="J481" s="380"/>
      <c r="K481" s="380"/>
      <c r="L481" s="380"/>
      <c r="M481" s="380"/>
      <c r="N481" s="380"/>
      <c r="O481" s="404"/>
      <c r="P481" s="380"/>
      <c r="Q481" s="380"/>
      <c r="R481" s="380"/>
      <c r="S481" s="380"/>
      <c r="T481" s="380"/>
      <c r="U481" s="380"/>
      <c r="V481" s="380"/>
      <c r="W481" s="403"/>
      <c r="X481" s="380"/>
      <c r="Y481" s="380"/>
      <c r="Z481" s="380"/>
      <c r="AA481" s="380"/>
      <c r="AB481" s="380"/>
      <c r="AC481" s="404"/>
      <c r="AD481" s="380"/>
      <c r="AE481" s="380"/>
      <c r="AF481" s="380"/>
      <c r="AG481" s="380"/>
      <c r="AH481" s="380"/>
      <c r="AI481" s="380"/>
      <c r="AJ481" s="380"/>
      <c r="AK481" s="403"/>
      <c r="AL481" s="380"/>
      <c r="AM481" s="380"/>
      <c r="AN481" s="380"/>
      <c r="AO481" s="380"/>
      <c r="AP481" s="380"/>
      <c r="AQ481" s="404"/>
      <c r="AR481" s="380"/>
      <c r="AS481" s="380"/>
      <c r="AT481" s="380"/>
      <c r="AU481" s="380"/>
      <c r="AV481" s="380"/>
      <c r="AW481" s="380"/>
      <c r="AX481" s="380"/>
      <c r="AY481" s="403"/>
      <c r="AZ481" s="380"/>
      <c r="BA481" s="380"/>
      <c r="BB481" s="380"/>
      <c r="BC481" s="380"/>
      <c r="BD481" s="380"/>
      <c r="BE481" s="404"/>
      <c r="BF481" s="380"/>
      <c r="BG481" s="380"/>
      <c r="BH481" s="380"/>
      <c r="BI481" s="380"/>
      <c r="BJ481" s="380"/>
      <c r="BK481" s="380"/>
      <c r="BL481" s="380"/>
      <c r="BM481" s="403"/>
      <c r="BS481" s="83"/>
      <c r="CA481" s="405"/>
      <c r="CG481" s="83"/>
      <c r="CO481" s="405"/>
      <c r="CU481" s="83"/>
      <c r="DC481" s="405"/>
      <c r="DI481" s="83"/>
      <c r="DQ481" s="405"/>
      <c r="DW481" s="83"/>
      <c r="EE481" s="405"/>
      <c r="EK481" s="83"/>
      <c r="ES481" s="405"/>
      <c r="EY481" s="83"/>
      <c r="FG481" s="405"/>
      <c r="FM481" s="83"/>
      <c r="FU481" s="405"/>
      <c r="GA481" s="83"/>
      <c r="GI481" s="405"/>
      <c r="GO481" s="83"/>
      <c r="GW481" s="405"/>
      <c r="HC481" s="83"/>
      <c r="HK481" s="405"/>
      <c r="HQ481" s="83"/>
      <c r="HY481" s="405"/>
      <c r="IE481" s="83"/>
      <c r="IM481" s="405"/>
      <c r="IS481" s="83"/>
      <c r="JA481" s="405"/>
      <c r="JG481" s="83"/>
      <c r="JO481" s="405"/>
      <c r="JU481" s="83"/>
      <c r="KC481" s="405"/>
      <c r="KI481" s="83"/>
      <c r="KQ481" s="405"/>
      <c r="KW481" s="83"/>
      <c r="LE481" s="405"/>
      <c r="LK481" s="83"/>
      <c r="LS481" s="405"/>
      <c r="LY481" s="83"/>
      <c r="MG481" s="405"/>
      <c r="MM481" s="83"/>
      <c r="MU481" s="405"/>
      <c r="NA481" s="83"/>
    </row>
    <row r="482">
      <c r="A482" s="483"/>
      <c r="B482" s="380"/>
      <c r="C482" s="380"/>
      <c r="D482" s="380"/>
      <c r="E482" s="380"/>
      <c r="F482" s="380"/>
      <c r="G482" s="380"/>
      <c r="H482" s="380"/>
      <c r="I482" s="403"/>
      <c r="J482" s="380"/>
      <c r="K482" s="380"/>
      <c r="L482" s="380"/>
      <c r="M482" s="380"/>
      <c r="N482" s="380"/>
      <c r="O482" s="404"/>
      <c r="P482" s="380"/>
      <c r="Q482" s="380"/>
      <c r="R482" s="380"/>
      <c r="S482" s="380"/>
      <c r="T482" s="380"/>
      <c r="U482" s="380"/>
      <c r="V482" s="380"/>
      <c r="W482" s="403"/>
      <c r="X482" s="380"/>
      <c r="Y482" s="380"/>
      <c r="Z482" s="380"/>
      <c r="AA482" s="380"/>
      <c r="AB482" s="380"/>
      <c r="AC482" s="404"/>
      <c r="AD482" s="380"/>
      <c r="AE482" s="380"/>
      <c r="AF482" s="380"/>
      <c r="AG482" s="380"/>
      <c r="AH482" s="380"/>
      <c r="AI482" s="380"/>
      <c r="AJ482" s="380"/>
      <c r="AK482" s="403"/>
      <c r="AL482" s="380"/>
      <c r="AM482" s="380"/>
      <c r="AN482" s="380"/>
      <c r="AO482" s="380"/>
      <c r="AP482" s="380"/>
      <c r="AQ482" s="404"/>
      <c r="AR482" s="380"/>
      <c r="AS482" s="380"/>
      <c r="AT482" s="380"/>
      <c r="AU482" s="380"/>
      <c r="AV482" s="380"/>
      <c r="AW482" s="380"/>
      <c r="AX482" s="380"/>
      <c r="AY482" s="403"/>
      <c r="AZ482" s="380"/>
      <c r="BA482" s="380"/>
      <c r="BB482" s="380"/>
      <c r="BC482" s="380"/>
      <c r="BD482" s="380"/>
      <c r="BE482" s="404"/>
      <c r="BF482" s="380"/>
      <c r="BG482" s="380"/>
      <c r="BH482" s="380"/>
      <c r="BI482" s="380"/>
      <c r="BJ482" s="380"/>
      <c r="BK482" s="380"/>
      <c r="BL482" s="380"/>
      <c r="BM482" s="403"/>
      <c r="BS482" s="83"/>
      <c r="CA482" s="405"/>
      <c r="CG482" s="83"/>
      <c r="CO482" s="405"/>
      <c r="CU482" s="83"/>
      <c r="DC482" s="405"/>
      <c r="DI482" s="83"/>
      <c r="DQ482" s="405"/>
      <c r="DW482" s="83"/>
      <c r="EE482" s="405"/>
      <c r="EK482" s="83"/>
      <c r="ES482" s="405"/>
      <c r="EY482" s="83"/>
      <c r="FG482" s="405"/>
      <c r="FM482" s="83"/>
      <c r="FU482" s="405"/>
      <c r="GA482" s="83"/>
      <c r="GI482" s="405"/>
      <c r="GO482" s="83"/>
      <c r="GW482" s="405"/>
      <c r="HC482" s="83"/>
      <c r="HK482" s="405"/>
      <c r="HQ482" s="83"/>
      <c r="HY482" s="405"/>
      <c r="IE482" s="83"/>
      <c r="IM482" s="405"/>
      <c r="IS482" s="83"/>
      <c r="JA482" s="405"/>
      <c r="JG482" s="83"/>
      <c r="JO482" s="405"/>
      <c r="JU482" s="83"/>
      <c r="KC482" s="405"/>
      <c r="KI482" s="83"/>
      <c r="KQ482" s="405"/>
      <c r="KW482" s="83"/>
      <c r="LE482" s="405"/>
      <c r="LK482" s="83"/>
      <c r="LS482" s="405"/>
      <c r="LY482" s="83"/>
      <c r="MG482" s="405"/>
      <c r="MM482" s="83"/>
      <c r="MU482" s="405"/>
      <c r="NA482" s="83"/>
    </row>
    <row r="483">
      <c r="A483" s="483"/>
      <c r="B483" s="380"/>
      <c r="C483" s="380"/>
      <c r="D483" s="380"/>
      <c r="E483" s="380"/>
      <c r="F483" s="380"/>
      <c r="G483" s="380"/>
      <c r="H483" s="380"/>
      <c r="I483" s="403"/>
      <c r="J483" s="380"/>
      <c r="K483" s="380"/>
      <c r="L483" s="380"/>
      <c r="M483" s="380"/>
      <c r="N483" s="380"/>
      <c r="O483" s="404"/>
      <c r="P483" s="380"/>
      <c r="Q483" s="380"/>
      <c r="R483" s="380"/>
      <c r="S483" s="380"/>
      <c r="T483" s="380"/>
      <c r="U483" s="380"/>
      <c r="V483" s="380"/>
      <c r="W483" s="403"/>
      <c r="X483" s="380"/>
      <c r="Y483" s="380"/>
      <c r="Z483" s="380"/>
      <c r="AA483" s="380"/>
      <c r="AB483" s="380"/>
      <c r="AC483" s="404"/>
      <c r="AD483" s="380"/>
      <c r="AE483" s="380"/>
      <c r="AF483" s="380"/>
      <c r="AG483" s="380"/>
      <c r="AH483" s="380"/>
      <c r="AI483" s="380"/>
      <c r="AJ483" s="380"/>
      <c r="AK483" s="403"/>
      <c r="AL483" s="380"/>
      <c r="AM483" s="380"/>
      <c r="AN483" s="380"/>
      <c r="AO483" s="380"/>
      <c r="AP483" s="380"/>
      <c r="AQ483" s="404"/>
      <c r="AR483" s="380"/>
      <c r="AS483" s="380"/>
      <c r="AT483" s="380"/>
      <c r="AU483" s="380"/>
      <c r="AV483" s="380"/>
      <c r="AW483" s="380"/>
      <c r="AX483" s="380"/>
      <c r="AY483" s="403"/>
      <c r="AZ483" s="380"/>
      <c r="BA483" s="380"/>
      <c r="BB483" s="380"/>
      <c r="BC483" s="380"/>
      <c r="BD483" s="380"/>
      <c r="BE483" s="404"/>
      <c r="BF483" s="380"/>
      <c r="BG483" s="380"/>
      <c r="BH483" s="380"/>
      <c r="BI483" s="380"/>
      <c r="BJ483" s="380"/>
      <c r="BK483" s="380"/>
      <c r="BL483" s="380"/>
      <c r="BM483" s="403"/>
      <c r="BS483" s="83"/>
      <c r="CA483" s="405"/>
      <c r="CG483" s="83"/>
      <c r="CO483" s="405"/>
      <c r="CU483" s="83"/>
      <c r="DC483" s="405"/>
      <c r="DI483" s="83"/>
      <c r="DQ483" s="405"/>
      <c r="DW483" s="83"/>
      <c r="EE483" s="405"/>
      <c r="EK483" s="83"/>
      <c r="ES483" s="405"/>
      <c r="EY483" s="83"/>
      <c r="FG483" s="405"/>
      <c r="FM483" s="83"/>
      <c r="FU483" s="405"/>
      <c r="GA483" s="83"/>
      <c r="GI483" s="405"/>
      <c r="GO483" s="83"/>
      <c r="GW483" s="405"/>
      <c r="HC483" s="83"/>
      <c r="HK483" s="405"/>
      <c r="HQ483" s="83"/>
      <c r="HY483" s="405"/>
      <c r="IE483" s="83"/>
      <c r="IM483" s="405"/>
      <c r="IS483" s="83"/>
      <c r="JA483" s="405"/>
      <c r="JG483" s="83"/>
      <c r="JO483" s="405"/>
      <c r="JU483" s="83"/>
      <c r="KC483" s="405"/>
      <c r="KI483" s="83"/>
      <c r="KQ483" s="405"/>
      <c r="KW483" s="83"/>
      <c r="LE483" s="405"/>
      <c r="LK483" s="83"/>
      <c r="LS483" s="405"/>
      <c r="LY483" s="83"/>
      <c r="MG483" s="405"/>
      <c r="MM483" s="83"/>
      <c r="MU483" s="405"/>
      <c r="NA483" s="83"/>
    </row>
    <row r="484">
      <c r="A484" s="483"/>
      <c r="B484" s="380"/>
      <c r="C484" s="380"/>
      <c r="D484" s="380"/>
      <c r="E484" s="380"/>
      <c r="F484" s="380"/>
      <c r="G484" s="380"/>
      <c r="H484" s="380"/>
      <c r="I484" s="403"/>
      <c r="J484" s="380"/>
      <c r="K484" s="380"/>
      <c r="L484" s="380"/>
      <c r="M484" s="380"/>
      <c r="N484" s="380"/>
      <c r="O484" s="404"/>
      <c r="P484" s="380"/>
      <c r="Q484" s="380"/>
      <c r="R484" s="380"/>
      <c r="S484" s="380"/>
      <c r="T484" s="380"/>
      <c r="U484" s="380"/>
      <c r="V484" s="380"/>
      <c r="W484" s="403"/>
      <c r="X484" s="380"/>
      <c r="Y484" s="380"/>
      <c r="Z484" s="380"/>
      <c r="AA484" s="380"/>
      <c r="AB484" s="380"/>
      <c r="AC484" s="404"/>
      <c r="AD484" s="380"/>
      <c r="AE484" s="380"/>
      <c r="AF484" s="380"/>
      <c r="AG484" s="380"/>
      <c r="AH484" s="380"/>
      <c r="AI484" s="380"/>
      <c r="AJ484" s="380"/>
      <c r="AK484" s="403"/>
      <c r="AL484" s="380"/>
      <c r="AM484" s="380"/>
      <c r="AN484" s="380"/>
      <c r="AO484" s="380"/>
      <c r="AP484" s="380"/>
      <c r="AQ484" s="404"/>
      <c r="AR484" s="380"/>
      <c r="AS484" s="380"/>
      <c r="AT484" s="380"/>
      <c r="AU484" s="380"/>
      <c r="AV484" s="380"/>
      <c r="AW484" s="380"/>
      <c r="AX484" s="380"/>
      <c r="AY484" s="403"/>
      <c r="AZ484" s="380"/>
      <c r="BA484" s="380"/>
      <c r="BB484" s="380"/>
      <c r="BC484" s="380"/>
      <c r="BD484" s="380"/>
      <c r="BE484" s="404"/>
      <c r="BF484" s="380"/>
      <c r="BG484" s="380"/>
      <c r="BH484" s="380"/>
      <c r="BI484" s="380"/>
      <c r="BJ484" s="380"/>
      <c r="BK484" s="380"/>
      <c r="BL484" s="380"/>
      <c r="BM484" s="403"/>
      <c r="BS484" s="83"/>
      <c r="CA484" s="405"/>
      <c r="CG484" s="83"/>
      <c r="CO484" s="405"/>
      <c r="CU484" s="83"/>
      <c r="DC484" s="405"/>
      <c r="DI484" s="83"/>
      <c r="DQ484" s="405"/>
      <c r="DW484" s="83"/>
      <c r="EE484" s="405"/>
      <c r="EK484" s="83"/>
      <c r="ES484" s="405"/>
      <c r="EY484" s="83"/>
      <c r="FG484" s="405"/>
      <c r="FM484" s="83"/>
      <c r="FU484" s="405"/>
      <c r="GA484" s="83"/>
      <c r="GI484" s="405"/>
      <c r="GO484" s="83"/>
      <c r="GW484" s="405"/>
      <c r="HC484" s="83"/>
      <c r="HK484" s="405"/>
      <c r="HQ484" s="83"/>
      <c r="HY484" s="405"/>
      <c r="IE484" s="83"/>
      <c r="IM484" s="405"/>
      <c r="IS484" s="83"/>
      <c r="JA484" s="405"/>
      <c r="JG484" s="83"/>
      <c r="JO484" s="405"/>
      <c r="JU484" s="83"/>
      <c r="KC484" s="405"/>
      <c r="KI484" s="83"/>
      <c r="KQ484" s="405"/>
      <c r="KW484" s="83"/>
      <c r="LE484" s="405"/>
      <c r="LK484" s="83"/>
      <c r="LS484" s="405"/>
      <c r="LY484" s="83"/>
      <c r="MG484" s="405"/>
      <c r="MM484" s="83"/>
      <c r="MU484" s="405"/>
      <c r="NA484" s="83"/>
    </row>
    <row r="485">
      <c r="A485" s="483"/>
      <c r="B485" s="380"/>
      <c r="C485" s="380"/>
      <c r="D485" s="380"/>
      <c r="E485" s="380"/>
      <c r="F485" s="380"/>
      <c r="G485" s="380"/>
      <c r="H485" s="380"/>
      <c r="I485" s="403"/>
      <c r="J485" s="380"/>
      <c r="K485" s="380"/>
      <c r="L485" s="380"/>
      <c r="M485" s="380"/>
      <c r="N485" s="380"/>
      <c r="O485" s="404"/>
      <c r="P485" s="380"/>
      <c r="Q485" s="380"/>
      <c r="R485" s="380"/>
      <c r="S485" s="380"/>
      <c r="T485" s="380"/>
      <c r="U485" s="380"/>
      <c r="V485" s="380"/>
      <c r="W485" s="403"/>
      <c r="X485" s="380"/>
      <c r="Y485" s="380"/>
      <c r="Z485" s="380"/>
      <c r="AA485" s="380"/>
      <c r="AB485" s="380"/>
      <c r="AC485" s="404"/>
      <c r="AD485" s="380"/>
      <c r="AE485" s="380"/>
      <c r="AF485" s="380"/>
      <c r="AG485" s="380"/>
      <c r="AH485" s="380"/>
      <c r="AI485" s="380"/>
      <c r="AJ485" s="380"/>
      <c r="AK485" s="403"/>
      <c r="AL485" s="380"/>
      <c r="AM485" s="380"/>
      <c r="AN485" s="380"/>
      <c r="AO485" s="380"/>
      <c r="AP485" s="380"/>
      <c r="AQ485" s="404"/>
      <c r="AR485" s="380"/>
      <c r="AS485" s="380"/>
      <c r="AT485" s="380"/>
      <c r="AU485" s="380"/>
      <c r="AV485" s="380"/>
      <c r="AW485" s="380"/>
      <c r="AX485" s="380"/>
      <c r="AY485" s="403"/>
      <c r="AZ485" s="380"/>
      <c r="BA485" s="380"/>
      <c r="BB485" s="380"/>
      <c r="BC485" s="380"/>
      <c r="BD485" s="380"/>
      <c r="BE485" s="404"/>
      <c r="BF485" s="380"/>
      <c r="BG485" s="380"/>
      <c r="BH485" s="380"/>
      <c r="BI485" s="380"/>
      <c r="BJ485" s="380"/>
      <c r="BK485" s="380"/>
      <c r="BL485" s="380"/>
      <c r="BM485" s="403"/>
      <c r="BS485" s="83"/>
      <c r="CA485" s="405"/>
      <c r="CG485" s="83"/>
      <c r="CO485" s="405"/>
      <c r="CU485" s="83"/>
      <c r="DC485" s="405"/>
      <c r="DI485" s="83"/>
      <c r="DQ485" s="405"/>
      <c r="DW485" s="83"/>
      <c r="EE485" s="405"/>
      <c r="EK485" s="83"/>
      <c r="ES485" s="405"/>
      <c r="EY485" s="83"/>
      <c r="FG485" s="405"/>
      <c r="FM485" s="83"/>
      <c r="FU485" s="405"/>
      <c r="GA485" s="83"/>
      <c r="GI485" s="405"/>
      <c r="GO485" s="83"/>
      <c r="GW485" s="405"/>
      <c r="HC485" s="83"/>
      <c r="HK485" s="405"/>
      <c r="HQ485" s="83"/>
      <c r="HY485" s="405"/>
      <c r="IE485" s="83"/>
      <c r="IM485" s="405"/>
      <c r="IS485" s="83"/>
      <c r="JA485" s="405"/>
      <c r="JG485" s="83"/>
      <c r="JO485" s="405"/>
      <c r="JU485" s="83"/>
      <c r="KC485" s="405"/>
      <c r="KI485" s="83"/>
      <c r="KQ485" s="405"/>
      <c r="KW485" s="83"/>
      <c r="LE485" s="405"/>
      <c r="LK485" s="83"/>
      <c r="LS485" s="405"/>
      <c r="LY485" s="83"/>
      <c r="MG485" s="405"/>
      <c r="MM485" s="83"/>
      <c r="MU485" s="405"/>
      <c r="NA485" s="83"/>
    </row>
    <row r="486">
      <c r="A486" s="483"/>
      <c r="B486" s="380"/>
      <c r="C486" s="380"/>
      <c r="D486" s="380"/>
      <c r="E486" s="380"/>
      <c r="F486" s="380"/>
      <c r="G486" s="380"/>
      <c r="H486" s="380"/>
      <c r="I486" s="403"/>
      <c r="J486" s="380"/>
      <c r="K486" s="380"/>
      <c r="L486" s="380"/>
      <c r="M486" s="380"/>
      <c r="N486" s="380"/>
      <c r="O486" s="404"/>
      <c r="P486" s="380"/>
      <c r="Q486" s="380"/>
      <c r="R486" s="380"/>
      <c r="S486" s="380"/>
      <c r="T486" s="380"/>
      <c r="U486" s="380"/>
      <c r="V486" s="380"/>
      <c r="W486" s="403"/>
      <c r="X486" s="380"/>
      <c r="Y486" s="380"/>
      <c r="Z486" s="380"/>
      <c r="AA486" s="380"/>
      <c r="AB486" s="380"/>
      <c r="AC486" s="404"/>
      <c r="AD486" s="380"/>
      <c r="AE486" s="380"/>
      <c r="AF486" s="380"/>
      <c r="AG486" s="380"/>
      <c r="AH486" s="380"/>
      <c r="AI486" s="380"/>
      <c r="AJ486" s="380"/>
      <c r="AK486" s="403"/>
      <c r="AL486" s="380"/>
      <c r="AM486" s="380"/>
      <c r="AN486" s="380"/>
      <c r="AO486" s="380"/>
      <c r="AP486" s="380"/>
      <c r="AQ486" s="404"/>
      <c r="AR486" s="380"/>
      <c r="AS486" s="380"/>
      <c r="AT486" s="380"/>
      <c r="AU486" s="380"/>
      <c r="AV486" s="380"/>
      <c r="AW486" s="380"/>
      <c r="AX486" s="380"/>
      <c r="AY486" s="403"/>
      <c r="AZ486" s="380"/>
      <c r="BA486" s="380"/>
      <c r="BB486" s="380"/>
      <c r="BC486" s="380"/>
      <c r="BD486" s="380"/>
      <c r="BE486" s="404"/>
      <c r="BF486" s="380"/>
      <c r="BG486" s="380"/>
      <c r="BH486" s="380"/>
      <c r="BI486" s="380"/>
      <c r="BJ486" s="380"/>
      <c r="BK486" s="380"/>
      <c r="BL486" s="380"/>
      <c r="BM486" s="403"/>
      <c r="BS486" s="83"/>
      <c r="CA486" s="405"/>
      <c r="CG486" s="83"/>
      <c r="CO486" s="405"/>
      <c r="CU486" s="83"/>
      <c r="DC486" s="405"/>
      <c r="DI486" s="83"/>
      <c r="DQ486" s="405"/>
      <c r="DW486" s="83"/>
      <c r="EE486" s="405"/>
      <c r="EK486" s="83"/>
      <c r="ES486" s="405"/>
      <c r="EY486" s="83"/>
      <c r="FG486" s="405"/>
      <c r="FM486" s="83"/>
      <c r="FU486" s="405"/>
      <c r="GA486" s="83"/>
      <c r="GI486" s="405"/>
      <c r="GO486" s="83"/>
      <c r="GW486" s="405"/>
      <c r="HC486" s="83"/>
      <c r="HK486" s="405"/>
      <c r="HQ486" s="83"/>
      <c r="HY486" s="405"/>
      <c r="IE486" s="83"/>
      <c r="IM486" s="405"/>
      <c r="IS486" s="83"/>
      <c r="JA486" s="405"/>
      <c r="JG486" s="83"/>
      <c r="JO486" s="405"/>
      <c r="JU486" s="83"/>
      <c r="KC486" s="405"/>
      <c r="KI486" s="83"/>
      <c r="KQ486" s="405"/>
      <c r="KW486" s="83"/>
      <c r="LE486" s="405"/>
      <c r="LK486" s="83"/>
      <c r="LS486" s="405"/>
      <c r="LY486" s="83"/>
      <c r="MG486" s="405"/>
      <c r="MM486" s="83"/>
      <c r="MU486" s="405"/>
      <c r="NA486" s="83"/>
    </row>
    <row r="487">
      <c r="A487" s="483"/>
      <c r="B487" s="380"/>
      <c r="C487" s="380"/>
      <c r="D487" s="380"/>
      <c r="E487" s="380"/>
      <c r="F487" s="380"/>
      <c r="G487" s="380"/>
      <c r="H487" s="380"/>
      <c r="I487" s="403"/>
      <c r="J487" s="380"/>
      <c r="K487" s="380"/>
      <c r="L487" s="380"/>
      <c r="M487" s="380"/>
      <c r="N487" s="380"/>
      <c r="O487" s="404"/>
      <c r="P487" s="380"/>
      <c r="Q487" s="380"/>
      <c r="R487" s="380"/>
      <c r="S487" s="380"/>
      <c r="T487" s="380"/>
      <c r="U487" s="380"/>
      <c r="V487" s="380"/>
      <c r="W487" s="403"/>
      <c r="X487" s="380"/>
      <c r="Y487" s="380"/>
      <c r="Z487" s="380"/>
      <c r="AA487" s="380"/>
      <c r="AB487" s="380"/>
      <c r="AC487" s="404"/>
      <c r="AD487" s="380"/>
      <c r="AE487" s="380"/>
      <c r="AF487" s="380"/>
      <c r="AG487" s="380"/>
      <c r="AH487" s="380"/>
      <c r="AI487" s="380"/>
      <c r="AJ487" s="380"/>
      <c r="AK487" s="403"/>
      <c r="AL487" s="380"/>
      <c r="AM487" s="380"/>
      <c r="AN487" s="380"/>
      <c r="AO487" s="380"/>
      <c r="AP487" s="380"/>
      <c r="AQ487" s="404"/>
      <c r="AR487" s="380"/>
      <c r="AS487" s="380"/>
      <c r="AT487" s="380"/>
      <c r="AU487" s="380"/>
      <c r="AV487" s="380"/>
      <c r="AW487" s="380"/>
      <c r="AX487" s="380"/>
      <c r="AY487" s="403"/>
      <c r="AZ487" s="380"/>
      <c r="BA487" s="380"/>
      <c r="BB487" s="380"/>
      <c r="BC487" s="380"/>
      <c r="BD487" s="380"/>
      <c r="BE487" s="404"/>
      <c r="BF487" s="380"/>
      <c r="BG487" s="380"/>
      <c r="BH487" s="380"/>
      <c r="BI487" s="380"/>
      <c r="BJ487" s="380"/>
      <c r="BK487" s="380"/>
      <c r="BL487" s="380"/>
      <c r="BM487" s="403"/>
      <c r="BS487" s="83"/>
      <c r="CA487" s="405"/>
      <c r="CG487" s="83"/>
      <c r="CO487" s="405"/>
      <c r="CU487" s="83"/>
      <c r="DC487" s="405"/>
      <c r="DI487" s="83"/>
      <c r="DQ487" s="405"/>
      <c r="DW487" s="83"/>
      <c r="EE487" s="405"/>
      <c r="EK487" s="83"/>
      <c r="ES487" s="405"/>
      <c r="EY487" s="83"/>
      <c r="FG487" s="405"/>
      <c r="FM487" s="83"/>
      <c r="FU487" s="405"/>
      <c r="GA487" s="83"/>
      <c r="GI487" s="405"/>
      <c r="GO487" s="83"/>
      <c r="GW487" s="405"/>
      <c r="HC487" s="83"/>
      <c r="HK487" s="405"/>
      <c r="HQ487" s="83"/>
      <c r="HY487" s="405"/>
      <c r="IE487" s="83"/>
      <c r="IM487" s="405"/>
      <c r="IS487" s="83"/>
      <c r="JA487" s="405"/>
      <c r="JG487" s="83"/>
      <c r="JO487" s="405"/>
      <c r="JU487" s="83"/>
      <c r="KC487" s="405"/>
      <c r="KI487" s="83"/>
      <c r="KQ487" s="405"/>
      <c r="KW487" s="83"/>
      <c r="LE487" s="405"/>
      <c r="LK487" s="83"/>
      <c r="LS487" s="405"/>
      <c r="LY487" s="83"/>
      <c r="MG487" s="405"/>
      <c r="MM487" s="83"/>
      <c r="MU487" s="405"/>
      <c r="NA487" s="83"/>
    </row>
    <row r="488">
      <c r="A488" s="483"/>
      <c r="B488" s="380"/>
      <c r="C488" s="380"/>
      <c r="D488" s="380"/>
      <c r="E488" s="380"/>
      <c r="F488" s="380"/>
      <c r="G488" s="380"/>
      <c r="H488" s="380"/>
      <c r="I488" s="403"/>
      <c r="J488" s="380"/>
      <c r="K488" s="380"/>
      <c r="L488" s="380"/>
      <c r="M488" s="380"/>
      <c r="N488" s="380"/>
      <c r="O488" s="404"/>
      <c r="P488" s="380"/>
      <c r="Q488" s="380"/>
      <c r="R488" s="380"/>
      <c r="S488" s="380"/>
      <c r="T488" s="380"/>
      <c r="U488" s="380"/>
      <c r="V488" s="380"/>
      <c r="W488" s="403"/>
      <c r="X488" s="380"/>
      <c r="Y488" s="380"/>
      <c r="Z488" s="380"/>
      <c r="AA488" s="380"/>
      <c r="AB488" s="380"/>
      <c r="AC488" s="404"/>
      <c r="AD488" s="380"/>
      <c r="AE488" s="380"/>
      <c r="AF488" s="380"/>
      <c r="AG488" s="380"/>
      <c r="AH488" s="380"/>
      <c r="AI488" s="380"/>
      <c r="AJ488" s="380"/>
      <c r="AK488" s="403"/>
      <c r="AL488" s="380"/>
      <c r="AM488" s="380"/>
      <c r="AN488" s="380"/>
      <c r="AO488" s="380"/>
      <c r="AP488" s="380"/>
      <c r="AQ488" s="404"/>
      <c r="AR488" s="380"/>
      <c r="AS488" s="380"/>
      <c r="AT488" s="380"/>
      <c r="AU488" s="380"/>
      <c r="AV488" s="380"/>
      <c r="AW488" s="380"/>
      <c r="AX488" s="380"/>
      <c r="AY488" s="403"/>
      <c r="AZ488" s="380"/>
      <c r="BA488" s="380"/>
      <c r="BB488" s="380"/>
      <c r="BC488" s="380"/>
      <c r="BD488" s="380"/>
      <c r="BE488" s="404"/>
      <c r="BF488" s="380"/>
      <c r="BG488" s="380"/>
      <c r="BH488" s="380"/>
      <c r="BI488" s="380"/>
      <c r="BJ488" s="380"/>
      <c r="BK488" s="380"/>
      <c r="BL488" s="380"/>
      <c r="BM488" s="403"/>
      <c r="BS488" s="83"/>
      <c r="CA488" s="405"/>
      <c r="CG488" s="83"/>
      <c r="CO488" s="405"/>
      <c r="CU488" s="83"/>
      <c r="DC488" s="405"/>
      <c r="DI488" s="83"/>
      <c r="DQ488" s="405"/>
      <c r="DW488" s="83"/>
      <c r="EE488" s="405"/>
      <c r="EK488" s="83"/>
      <c r="ES488" s="405"/>
      <c r="EY488" s="83"/>
      <c r="FG488" s="405"/>
      <c r="FM488" s="83"/>
      <c r="FU488" s="405"/>
      <c r="GA488" s="83"/>
      <c r="GI488" s="405"/>
      <c r="GO488" s="83"/>
      <c r="GW488" s="405"/>
      <c r="HC488" s="83"/>
      <c r="HK488" s="405"/>
      <c r="HQ488" s="83"/>
      <c r="HY488" s="405"/>
      <c r="IE488" s="83"/>
      <c r="IM488" s="405"/>
      <c r="IS488" s="83"/>
      <c r="JA488" s="405"/>
      <c r="JG488" s="83"/>
      <c r="JO488" s="405"/>
      <c r="JU488" s="83"/>
      <c r="KC488" s="405"/>
      <c r="KI488" s="83"/>
      <c r="KQ488" s="405"/>
      <c r="KW488" s="83"/>
      <c r="LE488" s="405"/>
      <c r="LK488" s="83"/>
      <c r="LS488" s="405"/>
      <c r="LY488" s="83"/>
      <c r="MG488" s="405"/>
      <c r="MM488" s="83"/>
      <c r="MU488" s="405"/>
      <c r="NA488" s="83"/>
    </row>
    <row r="489">
      <c r="A489" s="483"/>
      <c r="B489" s="380"/>
      <c r="C489" s="380"/>
      <c r="D489" s="380"/>
      <c r="E489" s="380"/>
      <c r="F489" s="380"/>
      <c r="G489" s="380"/>
      <c r="H489" s="380"/>
      <c r="I489" s="403"/>
      <c r="J489" s="380"/>
      <c r="K489" s="380"/>
      <c r="L489" s="380"/>
      <c r="M489" s="380"/>
      <c r="N489" s="380"/>
      <c r="O489" s="404"/>
      <c r="P489" s="380"/>
      <c r="Q489" s="380"/>
      <c r="R489" s="380"/>
      <c r="S489" s="380"/>
      <c r="T489" s="380"/>
      <c r="U489" s="380"/>
      <c r="V489" s="380"/>
      <c r="W489" s="403"/>
      <c r="X489" s="380"/>
      <c r="Y489" s="380"/>
      <c r="Z489" s="380"/>
      <c r="AA489" s="380"/>
      <c r="AB489" s="380"/>
      <c r="AC489" s="404"/>
      <c r="AD489" s="380"/>
      <c r="AE489" s="380"/>
      <c r="AF489" s="380"/>
      <c r="AG489" s="380"/>
      <c r="AH489" s="380"/>
      <c r="AI489" s="380"/>
      <c r="AJ489" s="380"/>
      <c r="AK489" s="403"/>
      <c r="AL489" s="380"/>
      <c r="AM489" s="380"/>
      <c r="AN489" s="380"/>
      <c r="AO489" s="380"/>
      <c r="AP489" s="380"/>
      <c r="AQ489" s="404"/>
      <c r="AR489" s="380"/>
      <c r="AS489" s="380"/>
      <c r="AT489" s="380"/>
      <c r="AU489" s="380"/>
      <c r="AV489" s="380"/>
      <c r="AW489" s="380"/>
      <c r="AX489" s="380"/>
      <c r="AY489" s="403"/>
      <c r="AZ489" s="380"/>
      <c r="BA489" s="380"/>
      <c r="BB489" s="380"/>
      <c r="BC489" s="380"/>
      <c r="BD489" s="380"/>
      <c r="BE489" s="404"/>
      <c r="BF489" s="380"/>
      <c r="BG489" s="380"/>
      <c r="BH489" s="380"/>
      <c r="BI489" s="380"/>
      <c r="BJ489" s="380"/>
      <c r="BK489" s="380"/>
      <c r="BL489" s="380"/>
      <c r="BM489" s="403"/>
      <c r="BS489" s="83"/>
      <c r="CA489" s="405"/>
      <c r="CG489" s="83"/>
      <c r="CO489" s="405"/>
      <c r="CU489" s="83"/>
      <c r="DC489" s="405"/>
      <c r="DI489" s="83"/>
      <c r="DQ489" s="405"/>
      <c r="DW489" s="83"/>
      <c r="EE489" s="405"/>
      <c r="EK489" s="83"/>
      <c r="ES489" s="405"/>
      <c r="EY489" s="83"/>
      <c r="FG489" s="405"/>
      <c r="FM489" s="83"/>
      <c r="FU489" s="405"/>
      <c r="GA489" s="83"/>
      <c r="GI489" s="405"/>
      <c r="GO489" s="83"/>
      <c r="GW489" s="405"/>
      <c r="HC489" s="83"/>
      <c r="HK489" s="405"/>
      <c r="HQ489" s="83"/>
      <c r="HY489" s="405"/>
      <c r="IE489" s="83"/>
      <c r="IM489" s="405"/>
      <c r="IS489" s="83"/>
      <c r="JA489" s="405"/>
      <c r="JG489" s="83"/>
      <c r="JO489" s="405"/>
      <c r="JU489" s="83"/>
      <c r="KC489" s="405"/>
      <c r="KI489" s="83"/>
      <c r="KQ489" s="405"/>
      <c r="KW489" s="83"/>
      <c r="LE489" s="405"/>
      <c r="LK489" s="83"/>
      <c r="LS489" s="405"/>
      <c r="LY489" s="83"/>
      <c r="MG489" s="405"/>
      <c r="MM489" s="83"/>
      <c r="MU489" s="405"/>
      <c r="NA489" s="83"/>
    </row>
    <row r="490">
      <c r="A490" s="483"/>
      <c r="B490" s="380"/>
      <c r="C490" s="380"/>
      <c r="D490" s="380"/>
      <c r="E490" s="380"/>
      <c r="F490" s="380"/>
      <c r="G490" s="380"/>
      <c r="H490" s="380"/>
      <c r="I490" s="403"/>
      <c r="J490" s="380"/>
      <c r="K490" s="380"/>
      <c r="L490" s="380"/>
      <c r="M490" s="380"/>
      <c r="N490" s="380"/>
      <c r="O490" s="404"/>
      <c r="P490" s="380"/>
      <c r="Q490" s="380"/>
      <c r="R490" s="380"/>
      <c r="S490" s="380"/>
      <c r="T490" s="380"/>
      <c r="U490" s="380"/>
      <c r="V490" s="380"/>
      <c r="W490" s="403"/>
      <c r="X490" s="380"/>
      <c r="Y490" s="380"/>
      <c r="Z490" s="380"/>
      <c r="AA490" s="380"/>
      <c r="AB490" s="380"/>
      <c r="AC490" s="404"/>
      <c r="AD490" s="380"/>
      <c r="AE490" s="380"/>
      <c r="AF490" s="380"/>
      <c r="AG490" s="380"/>
      <c r="AH490" s="380"/>
      <c r="AI490" s="380"/>
      <c r="AJ490" s="380"/>
      <c r="AK490" s="403"/>
      <c r="AL490" s="380"/>
      <c r="AM490" s="380"/>
      <c r="AN490" s="380"/>
      <c r="AO490" s="380"/>
      <c r="AP490" s="380"/>
      <c r="AQ490" s="404"/>
      <c r="AR490" s="380"/>
      <c r="AS490" s="380"/>
      <c r="AT490" s="380"/>
      <c r="AU490" s="380"/>
      <c r="AV490" s="380"/>
      <c r="AW490" s="380"/>
      <c r="AX490" s="380"/>
      <c r="AY490" s="403"/>
      <c r="AZ490" s="380"/>
      <c r="BA490" s="380"/>
      <c r="BB490" s="380"/>
      <c r="BC490" s="380"/>
      <c r="BD490" s="380"/>
      <c r="BE490" s="404"/>
      <c r="BF490" s="380"/>
      <c r="BG490" s="380"/>
      <c r="BH490" s="380"/>
      <c r="BI490" s="380"/>
      <c r="BJ490" s="380"/>
      <c r="BK490" s="380"/>
      <c r="BL490" s="380"/>
      <c r="BM490" s="403"/>
      <c r="BS490" s="83"/>
      <c r="CA490" s="405"/>
      <c r="CG490" s="83"/>
      <c r="CO490" s="405"/>
      <c r="CU490" s="83"/>
      <c r="DC490" s="405"/>
      <c r="DI490" s="83"/>
      <c r="DQ490" s="405"/>
      <c r="DW490" s="83"/>
      <c r="EE490" s="405"/>
      <c r="EK490" s="83"/>
      <c r="ES490" s="405"/>
      <c r="EY490" s="83"/>
      <c r="FG490" s="405"/>
      <c r="FM490" s="83"/>
      <c r="FU490" s="405"/>
      <c r="GA490" s="83"/>
      <c r="GI490" s="405"/>
      <c r="GO490" s="83"/>
      <c r="GW490" s="405"/>
      <c r="HC490" s="83"/>
      <c r="HK490" s="405"/>
      <c r="HQ490" s="83"/>
      <c r="HY490" s="405"/>
      <c r="IE490" s="83"/>
      <c r="IM490" s="405"/>
      <c r="IS490" s="83"/>
      <c r="JA490" s="405"/>
      <c r="JG490" s="83"/>
      <c r="JO490" s="405"/>
      <c r="JU490" s="83"/>
      <c r="KC490" s="405"/>
      <c r="KI490" s="83"/>
      <c r="KQ490" s="405"/>
      <c r="KW490" s="83"/>
      <c r="LE490" s="405"/>
      <c r="LK490" s="83"/>
      <c r="LS490" s="405"/>
      <c r="LY490" s="83"/>
      <c r="MG490" s="405"/>
      <c r="MM490" s="83"/>
      <c r="MU490" s="405"/>
      <c r="NA490" s="83"/>
    </row>
    <row r="491">
      <c r="A491" s="483"/>
      <c r="B491" s="380"/>
      <c r="C491" s="380"/>
      <c r="D491" s="380"/>
      <c r="E491" s="380"/>
      <c r="F491" s="380"/>
      <c r="G491" s="380"/>
      <c r="H491" s="380"/>
      <c r="I491" s="403"/>
      <c r="J491" s="380"/>
      <c r="K491" s="380"/>
      <c r="L491" s="380"/>
      <c r="M491" s="380"/>
      <c r="N491" s="380"/>
      <c r="O491" s="404"/>
      <c r="P491" s="380"/>
      <c r="Q491" s="380"/>
      <c r="R491" s="380"/>
      <c r="S491" s="380"/>
      <c r="T491" s="380"/>
      <c r="U491" s="380"/>
      <c r="V491" s="380"/>
      <c r="W491" s="403"/>
      <c r="X491" s="380"/>
      <c r="Y491" s="380"/>
      <c r="Z491" s="380"/>
      <c r="AA491" s="380"/>
      <c r="AB491" s="380"/>
      <c r="AC491" s="404"/>
      <c r="AD491" s="380"/>
      <c r="AE491" s="380"/>
      <c r="AF491" s="380"/>
      <c r="AG491" s="380"/>
      <c r="AH491" s="380"/>
      <c r="AI491" s="380"/>
      <c r="AJ491" s="380"/>
      <c r="AK491" s="403"/>
      <c r="AL491" s="380"/>
      <c r="AM491" s="380"/>
      <c r="AN491" s="380"/>
      <c r="AO491" s="380"/>
      <c r="AP491" s="380"/>
      <c r="AQ491" s="404"/>
      <c r="AR491" s="380"/>
      <c r="AS491" s="380"/>
      <c r="AT491" s="380"/>
      <c r="AU491" s="380"/>
      <c r="AV491" s="380"/>
      <c r="AW491" s="380"/>
      <c r="AX491" s="380"/>
      <c r="AY491" s="403"/>
      <c r="AZ491" s="380"/>
      <c r="BA491" s="380"/>
      <c r="BB491" s="380"/>
      <c r="BC491" s="380"/>
      <c r="BD491" s="380"/>
      <c r="BE491" s="404"/>
      <c r="BF491" s="380"/>
      <c r="BG491" s="380"/>
      <c r="BH491" s="380"/>
      <c r="BI491" s="380"/>
      <c r="BJ491" s="380"/>
      <c r="BK491" s="380"/>
      <c r="BL491" s="380"/>
      <c r="BM491" s="403"/>
      <c r="BS491" s="83"/>
      <c r="CA491" s="405"/>
      <c r="CG491" s="83"/>
      <c r="CO491" s="405"/>
      <c r="CU491" s="83"/>
      <c r="DC491" s="405"/>
      <c r="DI491" s="83"/>
      <c r="DQ491" s="405"/>
      <c r="DW491" s="83"/>
      <c r="EE491" s="405"/>
      <c r="EK491" s="83"/>
      <c r="ES491" s="405"/>
      <c r="EY491" s="83"/>
      <c r="FG491" s="405"/>
      <c r="FM491" s="83"/>
      <c r="FU491" s="405"/>
      <c r="GA491" s="83"/>
      <c r="GI491" s="405"/>
      <c r="GO491" s="83"/>
      <c r="GW491" s="405"/>
      <c r="HC491" s="83"/>
      <c r="HK491" s="405"/>
      <c r="HQ491" s="83"/>
      <c r="HY491" s="405"/>
      <c r="IE491" s="83"/>
      <c r="IM491" s="405"/>
      <c r="IS491" s="83"/>
      <c r="JA491" s="405"/>
      <c r="JG491" s="83"/>
      <c r="JO491" s="405"/>
      <c r="JU491" s="83"/>
      <c r="KC491" s="405"/>
      <c r="KI491" s="83"/>
      <c r="KQ491" s="405"/>
      <c r="KW491" s="83"/>
      <c r="LE491" s="405"/>
      <c r="LK491" s="83"/>
      <c r="LS491" s="405"/>
      <c r="LY491" s="83"/>
      <c r="MG491" s="405"/>
      <c r="MM491" s="83"/>
      <c r="MU491" s="405"/>
      <c r="NA491" s="83"/>
    </row>
    <row r="492">
      <c r="A492" s="483"/>
      <c r="B492" s="380"/>
      <c r="C492" s="380"/>
      <c r="D492" s="380"/>
      <c r="E492" s="380"/>
      <c r="F492" s="380"/>
      <c r="G492" s="380"/>
      <c r="H492" s="380"/>
      <c r="I492" s="403"/>
      <c r="J492" s="380"/>
      <c r="K492" s="380"/>
      <c r="L492" s="380"/>
      <c r="M492" s="380"/>
      <c r="N492" s="380"/>
      <c r="O492" s="404"/>
      <c r="P492" s="380"/>
      <c r="Q492" s="380"/>
      <c r="R492" s="380"/>
      <c r="S492" s="380"/>
      <c r="T492" s="380"/>
      <c r="U492" s="380"/>
      <c r="V492" s="380"/>
      <c r="W492" s="403"/>
      <c r="X492" s="380"/>
      <c r="Y492" s="380"/>
      <c r="Z492" s="380"/>
      <c r="AA492" s="380"/>
      <c r="AB492" s="380"/>
      <c r="AC492" s="404"/>
      <c r="AD492" s="380"/>
      <c r="AE492" s="380"/>
      <c r="AF492" s="380"/>
      <c r="AG492" s="380"/>
      <c r="AH492" s="380"/>
      <c r="AI492" s="380"/>
      <c r="AJ492" s="380"/>
      <c r="AK492" s="403"/>
      <c r="AL492" s="380"/>
      <c r="AM492" s="380"/>
      <c r="AN492" s="380"/>
      <c r="AO492" s="380"/>
      <c r="AP492" s="380"/>
      <c r="AQ492" s="404"/>
      <c r="AR492" s="380"/>
      <c r="AS492" s="380"/>
      <c r="AT492" s="380"/>
      <c r="AU492" s="380"/>
      <c r="AV492" s="380"/>
      <c r="AW492" s="380"/>
      <c r="AX492" s="380"/>
      <c r="AY492" s="403"/>
      <c r="AZ492" s="380"/>
      <c r="BA492" s="380"/>
      <c r="BB492" s="380"/>
      <c r="BC492" s="380"/>
      <c r="BD492" s="380"/>
      <c r="BE492" s="404"/>
      <c r="BF492" s="380"/>
      <c r="BG492" s="380"/>
      <c r="BH492" s="380"/>
      <c r="BI492" s="380"/>
      <c r="BJ492" s="380"/>
      <c r="BK492" s="380"/>
      <c r="BL492" s="380"/>
      <c r="BM492" s="403"/>
      <c r="BS492" s="83"/>
      <c r="CA492" s="405"/>
      <c r="CG492" s="83"/>
      <c r="CO492" s="405"/>
      <c r="CU492" s="83"/>
      <c r="DC492" s="405"/>
      <c r="DI492" s="83"/>
      <c r="DQ492" s="405"/>
      <c r="DW492" s="83"/>
      <c r="EE492" s="405"/>
      <c r="EK492" s="83"/>
      <c r="ES492" s="405"/>
      <c r="EY492" s="83"/>
      <c r="FG492" s="405"/>
      <c r="FM492" s="83"/>
      <c r="FU492" s="405"/>
      <c r="GA492" s="83"/>
      <c r="GI492" s="405"/>
      <c r="GO492" s="83"/>
      <c r="GW492" s="405"/>
      <c r="HC492" s="83"/>
      <c r="HK492" s="405"/>
      <c r="HQ492" s="83"/>
      <c r="HY492" s="405"/>
      <c r="IE492" s="83"/>
      <c r="IM492" s="405"/>
      <c r="IS492" s="83"/>
      <c r="JA492" s="405"/>
      <c r="JG492" s="83"/>
      <c r="JO492" s="405"/>
      <c r="JU492" s="83"/>
      <c r="KC492" s="405"/>
      <c r="KI492" s="83"/>
      <c r="KQ492" s="405"/>
      <c r="KW492" s="83"/>
      <c r="LE492" s="405"/>
      <c r="LK492" s="83"/>
      <c r="LS492" s="405"/>
      <c r="LY492" s="83"/>
      <c r="MG492" s="405"/>
      <c r="MM492" s="83"/>
      <c r="MU492" s="405"/>
      <c r="NA492" s="83"/>
    </row>
    <row r="493">
      <c r="A493" s="483"/>
      <c r="B493" s="380"/>
      <c r="C493" s="380"/>
      <c r="D493" s="380"/>
      <c r="E493" s="380"/>
      <c r="F493" s="380"/>
      <c r="G493" s="380"/>
      <c r="H493" s="380"/>
      <c r="I493" s="403"/>
      <c r="J493" s="380"/>
      <c r="K493" s="380"/>
      <c r="L493" s="380"/>
      <c r="M493" s="380"/>
      <c r="N493" s="380"/>
      <c r="O493" s="404"/>
      <c r="P493" s="380"/>
      <c r="Q493" s="380"/>
      <c r="R493" s="380"/>
      <c r="S493" s="380"/>
      <c r="T493" s="380"/>
      <c r="U493" s="380"/>
      <c r="V493" s="380"/>
      <c r="W493" s="403"/>
      <c r="X493" s="380"/>
      <c r="Y493" s="380"/>
      <c r="Z493" s="380"/>
      <c r="AA493" s="380"/>
      <c r="AB493" s="380"/>
      <c r="AC493" s="404"/>
      <c r="AD493" s="380"/>
      <c r="AE493" s="380"/>
      <c r="AF493" s="380"/>
      <c r="AG493" s="380"/>
      <c r="AH493" s="380"/>
      <c r="AI493" s="380"/>
      <c r="AJ493" s="380"/>
      <c r="AK493" s="403"/>
      <c r="AL493" s="380"/>
      <c r="AM493" s="380"/>
      <c r="AN493" s="380"/>
      <c r="AO493" s="380"/>
      <c r="AP493" s="380"/>
      <c r="AQ493" s="404"/>
      <c r="AR493" s="380"/>
      <c r="AS493" s="380"/>
      <c r="AT493" s="380"/>
      <c r="AU493" s="380"/>
      <c r="AV493" s="380"/>
      <c r="AW493" s="380"/>
      <c r="AX493" s="380"/>
      <c r="AY493" s="403"/>
      <c r="AZ493" s="380"/>
      <c r="BA493" s="380"/>
      <c r="BB493" s="380"/>
      <c r="BC493" s="380"/>
      <c r="BD493" s="380"/>
      <c r="BE493" s="404"/>
      <c r="BF493" s="380"/>
      <c r="BG493" s="380"/>
      <c r="BH493" s="380"/>
      <c r="BI493" s="380"/>
      <c r="BJ493" s="380"/>
      <c r="BK493" s="380"/>
      <c r="BL493" s="380"/>
      <c r="BM493" s="403"/>
      <c r="BS493" s="83"/>
      <c r="CA493" s="405"/>
      <c r="CG493" s="83"/>
      <c r="CO493" s="405"/>
      <c r="CU493" s="83"/>
      <c r="DC493" s="405"/>
      <c r="DI493" s="83"/>
      <c r="DQ493" s="405"/>
      <c r="DW493" s="83"/>
      <c r="EE493" s="405"/>
      <c r="EK493" s="83"/>
      <c r="ES493" s="405"/>
      <c r="EY493" s="83"/>
      <c r="FG493" s="405"/>
      <c r="FM493" s="83"/>
      <c r="FU493" s="405"/>
      <c r="GA493" s="83"/>
      <c r="GI493" s="405"/>
      <c r="GO493" s="83"/>
      <c r="GW493" s="405"/>
      <c r="HC493" s="83"/>
      <c r="HK493" s="405"/>
      <c r="HQ493" s="83"/>
      <c r="HY493" s="405"/>
      <c r="IE493" s="83"/>
      <c r="IM493" s="405"/>
      <c r="IS493" s="83"/>
      <c r="JA493" s="405"/>
      <c r="JG493" s="83"/>
      <c r="JO493" s="405"/>
      <c r="JU493" s="83"/>
      <c r="KC493" s="405"/>
      <c r="KI493" s="83"/>
      <c r="KQ493" s="405"/>
      <c r="KW493" s="83"/>
      <c r="LE493" s="405"/>
      <c r="LK493" s="83"/>
      <c r="LS493" s="405"/>
      <c r="LY493" s="83"/>
      <c r="MG493" s="405"/>
      <c r="MM493" s="83"/>
      <c r="MU493" s="405"/>
      <c r="NA493" s="83"/>
    </row>
    <row r="494">
      <c r="A494" s="483"/>
      <c r="B494" s="380"/>
      <c r="C494" s="380"/>
      <c r="D494" s="380"/>
      <c r="E494" s="380"/>
      <c r="F494" s="380"/>
      <c r="G494" s="380"/>
      <c r="H494" s="380"/>
      <c r="I494" s="403"/>
      <c r="J494" s="380"/>
      <c r="K494" s="380"/>
      <c r="L494" s="380"/>
      <c r="M494" s="380"/>
      <c r="N494" s="380"/>
      <c r="O494" s="404"/>
      <c r="P494" s="380"/>
      <c r="Q494" s="380"/>
      <c r="R494" s="380"/>
      <c r="S494" s="380"/>
      <c r="T494" s="380"/>
      <c r="U494" s="380"/>
      <c r="V494" s="380"/>
      <c r="W494" s="403"/>
      <c r="X494" s="380"/>
      <c r="Y494" s="380"/>
      <c r="Z494" s="380"/>
      <c r="AA494" s="380"/>
      <c r="AB494" s="380"/>
      <c r="AC494" s="404"/>
      <c r="AD494" s="380"/>
      <c r="AE494" s="380"/>
      <c r="AF494" s="380"/>
      <c r="AG494" s="380"/>
      <c r="AH494" s="380"/>
      <c r="AI494" s="380"/>
      <c r="AJ494" s="380"/>
      <c r="AK494" s="403"/>
      <c r="AL494" s="380"/>
      <c r="AM494" s="380"/>
      <c r="AN494" s="380"/>
      <c r="AO494" s="380"/>
      <c r="AP494" s="380"/>
      <c r="AQ494" s="404"/>
      <c r="AR494" s="380"/>
      <c r="AS494" s="380"/>
      <c r="AT494" s="380"/>
      <c r="AU494" s="380"/>
      <c r="AV494" s="380"/>
      <c r="AW494" s="380"/>
      <c r="AX494" s="380"/>
      <c r="AY494" s="403"/>
      <c r="AZ494" s="380"/>
      <c r="BA494" s="380"/>
      <c r="BB494" s="380"/>
      <c r="BC494" s="380"/>
      <c r="BD494" s="380"/>
      <c r="BE494" s="404"/>
      <c r="BF494" s="380"/>
      <c r="BG494" s="380"/>
      <c r="BH494" s="380"/>
      <c r="BI494" s="380"/>
      <c r="BJ494" s="380"/>
      <c r="BK494" s="380"/>
      <c r="BL494" s="380"/>
      <c r="BM494" s="403"/>
      <c r="BS494" s="83"/>
      <c r="CA494" s="405"/>
      <c r="CG494" s="83"/>
      <c r="CO494" s="405"/>
      <c r="CU494" s="83"/>
      <c r="DC494" s="405"/>
      <c r="DI494" s="83"/>
      <c r="DQ494" s="405"/>
      <c r="DW494" s="83"/>
      <c r="EE494" s="405"/>
      <c r="EK494" s="83"/>
      <c r="ES494" s="405"/>
      <c r="EY494" s="83"/>
      <c r="FG494" s="405"/>
      <c r="FM494" s="83"/>
      <c r="FU494" s="405"/>
      <c r="GA494" s="83"/>
      <c r="GI494" s="405"/>
      <c r="GO494" s="83"/>
      <c r="GW494" s="405"/>
      <c r="HC494" s="83"/>
      <c r="HK494" s="405"/>
      <c r="HQ494" s="83"/>
      <c r="HY494" s="405"/>
      <c r="IE494" s="83"/>
      <c r="IM494" s="405"/>
      <c r="IS494" s="83"/>
      <c r="JA494" s="405"/>
      <c r="JG494" s="83"/>
      <c r="JO494" s="405"/>
      <c r="JU494" s="83"/>
      <c r="KC494" s="405"/>
      <c r="KI494" s="83"/>
      <c r="KQ494" s="405"/>
      <c r="KW494" s="83"/>
      <c r="LE494" s="405"/>
      <c r="LK494" s="83"/>
      <c r="LS494" s="405"/>
      <c r="LY494" s="83"/>
      <c r="MG494" s="405"/>
      <c r="MM494" s="83"/>
      <c r="MU494" s="405"/>
      <c r="NA494" s="83"/>
    </row>
    <row r="495">
      <c r="A495" s="483"/>
      <c r="B495" s="380"/>
      <c r="C495" s="380"/>
      <c r="D495" s="380"/>
      <c r="E495" s="380"/>
      <c r="F495" s="380"/>
      <c r="G495" s="380"/>
      <c r="H495" s="380"/>
      <c r="I495" s="403"/>
      <c r="J495" s="380"/>
      <c r="K495" s="380"/>
      <c r="L495" s="380"/>
      <c r="M495" s="380"/>
      <c r="N495" s="380"/>
      <c r="O495" s="404"/>
      <c r="P495" s="380"/>
      <c r="Q495" s="380"/>
      <c r="R495" s="380"/>
      <c r="S495" s="380"/>
      <c r="T495" s="380"/>
      <c r="U495" s="380"/>
      <c r="V495" s="380"/>
      <c r="W495" s="403"/>
      <c r="X495" s="380"/>
      <c r="Y495" s="380"/>
      <c r="Z495" s="380"/>
      <c r="AA495" s="380"/>
      <c r="AB495" s="380"/>
      <c r="AC495" s="404"/>
      <c r="AD495" s="380"/>
      <c r="AE495" s="380"/>
      <c r="AF495" s="380"/>
      <c r="AG495" s="380"/>
      <c r="AH495" s="380"/>
      <c r="AI495" s="380"/>
      <c r="AJ495" s="380"/>
      <c r="AK495" s="403"/>
      <c r="AL495" s="380"/>
      <c r="AM495" s="380"/>
      <c r="AN495" s="380"/>
      <c r="AO495" s="380"/>
      <c r="AP495" s="380"/>
      <c r="AQ495" s="404"/>
      <c r="AR495" s="380"/>
      <c r="AS495" s="380"/>
      <c r="AT495" s="380"/>
      <c r="AU495" s="380"/>
      <c r="AV495" s="380"/>
      <c r="AW495" s="380"/>
      <c r="AX495" s="380"/>
      <c r="AY495" s="403"/>
      <c r="AZ495" s="380"/>
      <c r="BA495" s="380"/>
      <c r="BB495" s="380"/>
      <c r="BC495" s="380"/>
      <c r="BD495" s="380"/>
      <c r="BE495" s="404"/>
      <c r="BF495" s="380"/>
      <c r="BG495" s="380"/>
      <c r="BH495" s="380"/>
      <c r="BI495" s="380"/>
      <c r="BJ495" s="380"/>
      <c r="BK495" s="380"/>
      <c r="BL495" s="380"/>
      <c r="BM495" s="403"/>
      <c r="BS495" s="83"/>
      <c r="CA495" s="405"/>
      <c r="CG495" s="83"/>
      <c r="CO495" s="405"/>
      <c r="CU495" s="83"/>
      <c r="DC495" s="405"/>
      <c r="DI495" s="83"/>
      <c r="DQ495" s="405"/>
      <c r="DW495" s="83"/>
      <c r="EE495" s="405"/>
      <c r="EK495" s="83"/>
      <c r="ES495" s="405"/>
      <c r="EY495" s="83"/>
      <c r="FG495" s="405"/>
      <c r="FM495" s="83"/>
      <c r="FU495" s="405"/>
      <c r="GA495" s="83"/>
      <c r="GI495" s="405"/>
      <c r="GO495" s="83"/>
      <c r="GW495" s="405"/>
      <c r="HC495" s="83"/>
      <c r="HK495" s="405"/>
      <c r="HQ495" s="83"/>
      <c r="HY495" s="405"/>
      <c r="IE495" s="83"/>
      <c r="IM495" s="405"/>
      <c r="IS495" s="83"/>
      <c r="JA495" s="405"/>
      <c r="JG495" s="83"/>
      <c r="JO495" s="405"/>
      <c r="JU495" s="83"/>
      <c r="KC495" s="405"/>
      <c r="KI495" s="83"/>
      <c r="KQ495" s="405"/>
      <c r="KW495" s="83"/>
      <c r="LE495" s="405"/>
      <c r="LK495" s="83"/>
      <c r="LS495" s="405"/>
      <c r="LY495" s="83"/>
      <c r="MG495" s="405"/>
      <c r="MM495" s="83"/>
      <c r="MU495" s="405"/>
      <c r="NA495" s="83"/>
    </row>
    <row r="496">
      <c r="A496" s="483"/>
      <c r="B496" s="380"/>
      <c r="C496" s="380"/>
      <c r="D496" s="380"/>
      <c r="E496" s="380"/>
      <c r="F496" s="380"/>
      <c r="G496" s="380"/>
      <c r="H496" s="380"/>
      <c r="I496" s="403"/>
      <c r="J496" s="380"/>
      <c r="K496" s="380"/>
      <c r="L496" s="380"/>
      <c r="M496" s="380"/>
      <c r="N496" s="380"/>
      <c r="O496" s="404"/>
      <c r="P496" s="380"/>
      <c r="Q496" s="380"/>
      <c r="R496" s="380"/>
      <c r="S496" s="380"/>
      <c r="T496" s="380"/>
      <c r="U496" s="380"/>
      <c r="V496" s="380"/>
      <c r="W496" s="403"/>
      <c r="X496" s="380"/>
      <c r="Y496" s="380"/>
      <c r="Z496" s="380"/>
      <c r="AA496" s="380"/>
      <c r="AB496" s="380"/>
      <c r="AC496" s="404"/>
      <c r="AD496" s="380"/>
      <c r="AE496" s="380"/>
      <c r="AF496" s="380"/>
      <c r="AG496" s="380"/>
      <c r="AH496" s="380"/>
      <c r="AI496" s="380"/>
      <c r="AJ496" s="380"/>
      <c r="AK496" s="403"/>
      <c r="AL496" s="380"/>
      <c r="AM496" s="380"/>
      <c r="AN496" s="380"/>
      <c r="AO496" s="380"/>
      <c r="AP496" s="380"/>
      <c r="AQ496" s="404"/>
      <c r="AR496" s="380"/>
      <c r="AS496" s="380"/>
      <c r="AT496" s="380"/>
      <c r="AU496" s="380"/>
      <c r="AV496" s="380"/>
      <c r="AW496" s="380"/>
      <c r="AX496" s="380"/>
      <c r="AY496" s="403"/>
      <c r="AZ496" s="380"/>
      <c r="BA496" s="380"/>
      <c r="BB496" s="380"/>
      <c r="BC496" s="380"/>
      <c r="BD496" s="380"/>
      <c r="BE496" s="404"/>
      <c r="BF496" s="380"/>
      <c r="BG496" s="380"/>
      <c r="BH496" s="380"/>
      <c r="BI496" s="380"/>
      <c r="BJ496" s="380"/>
      <c r="BK496" s="380"/>
      <c r="BL496" s="380"/>
      <c r="BM496" s="403"/>
      <c r="BS496" s="83"/>
      <c r="CA496" s="405"/>
      <c r="CG496" s="83"/>
      <c r="CO496" s="405"/>
      <c r="CU496" s="83"/>
      <c r="DC496" s="405"/>
      <c r="DI496" s="83"/>
      <c r="DQ496" s="405"/>
      <c r="DW496" s="83"/>
      <c r="EE496" s="405"/>
      <c r="EK496" s="83"/>
      <c r="ES496" s="405"/>
      <c r="EY496" s="83"/>
      <c r="FG496" s="405"/>
      <c r="FM496" s="83"/>
      <c r="FU496" s="405"/>
      <c r="GA496" s="83"/>
      <c r="GI496" s="405"/>
      <c r="GO496" s="83"/>
      <c r="GW496" s="405"/>
      <c r="HC496" s="83"/>
      <c r="HK496" s="405"/>
      <c r="HQ496" s="83"/>
      <c r="HY496" s="405"/>
      <c r="IE496" s="83"/>
      <c r="IM496" s="405"/>
      <c r="IS496" s="83"/>
      <c r="JA496" s="405"/>
      <c r="JG496" s="83"/>
      <c r="JO496" s="405"/>
      <c r="JU496" s="83"/>
      <c r="KC496" s="405"/>
      <c r="KI496" s="83"/>
      <c r="KQ496" s="405"/>
      <c r="KW496" s="83"/>
      <c r="LE496" s="405"/>
      <c r="LK496" s="83"/>
      <c r="LS496" s="405"/>
      <c r="LY496" s="83"/>
      <c r="MG496" s="405"/>
      <c r="MM496" s="83"/>
      <c r="MU496" s="405"/>
      <c r="NA496" s="83"/>
    </row>
    <row r="497">
      <c r="A497" s="483"/>
      <c r="B497" s="380"/>
      <c r="C497" s="380"/>
      <c r="D497" s="380"/>
      <c r="E497" s="380"/>
      <c r="F497" s="380"/>
      <c r="G497" s="380"/>
      <c r="H497" s="380"/>
      <c r="I497" s="403"/>
      <c r="J497" s="380"/>
      <c r="K497" s="380"/>
      <c r="L497" s="380"/>
      <c r="M497" s="380"/>
      <c r="N497" s="380"/>
      <c r="O497" s="404"/>
      <c r="P497" s="380"/>
      <c r="Q497" s="380"/>
      <c r="R497" s="380"/>
      <c r="S497" s="380"/>
      <c r="T497" s="380"/>
      <c r="U497" s="380"/>
      <c r="V497" s="380"/>
      <c r="W497" s="403"/>
      <c r="X497" s="380"/>
      <c r="Y497" s="380"/>
      <c r="Z497" s="380"/>
      <c r="AA497" s="380"/>
      <c r="AB497" s="380"/>
      <c r="AC497" s="404"/>
      <c r="AD497" s="380"/>
      <c r="AE497" s="380"/>
      <c r="AF497" s="380"/>
      <c r="AG497" s="380"/>
      <c r="AH497" s="380"/>
      <c r="AI497" s="380"/>
      <c r="AJ497" s="380"/>
      <c r="AK497" s="403"/>
      <c r="AL497" s="380"/>
      <c r="AM497" s="380"/>
      <c r="AN497" s="380"/>
      <c r="AO497" s="380"/>
      <c r="AP497" s="380"/>
      <c r="AQ497" s="404"/>
      <c r="AR497" s="380"/>
      <c r="AS497" s="380"/>
      <c r="AT497" s="380"/>
      <c r="AU497" s="380"/>
      <c r="AV497" s="380"/>
      <c r="AW497" s="380"/>
      <c r="AX497" s="380"/>
      <c r="AY497" s="403"/>
      <c r="AZ497" s="380"/>
      <c r="BA497" s="380"/>
      <c r="BB497" s="380"/>
      <c r="BC497" s="380"/>
      <c r="BD497" s="380"/>
      <c r="BE497" s="404"/>
      <c r="BF497" s="380"/>
      <c r="BG497" s="380"/>
      <c r="BH497" s="380"/>
      <c r="BI497" s="380"/>
      <c r="BJ497" s="380"/>
      <c r="BK497" s="380"/>
      <c r="BL497" s="380"/>
      <c r="BM497" s="403"/>
      <c r="BS497" s="83"/>
      <c r="CA497" s="405"/>
      <c r="CG497" s="83"/>
      <c r="CO497" s="405"/>
      <c r="CU497" s="83"/>
      <c r="DC497" s="405"/>
      <c r="DI497" s="83"/>
      <c r="DQ497" s="405"/>
      <c r="DW497" s="83"/>
      <c r="EE497" s="405"/>
      <c r="EK497" s="83"/>
      <c r="ES497" s="405"/>
      <c r="EY497" s="83"/>
      <c r="FG497" s="405"/>
      <c r="FM497" s="83"/>
      <c r="FU497" s="405"/>
      <c r="GA497" s="83"/>
      <c r="GI497" s="405"/>
      <c r="GO497" s="83"/>
      <c r="GW497" s="405"/>
      <c r="HC497" s="83"/>
      <c r="HK497" s="405"/>
      <c r="HQ497" s="83"/>
      <c r="HY497" s="405"/>
      <c r="IE497" s="83"/>
      <c r="IM497" s="405"/>
      <c r="IS497" s="83"/>
      <c r="JA497" s="405"/>
      <c r="JG497" s="83"/>
      <c r="JO497" s="405"/>
      <c r="JU497" s="83"/>
      <c r="KC497" s="405"/>
      <c r="KI497" s="83"/>
      <c r="KQ497" s="405"/>
      <c r="KW497" s="83"/>
      <c r="LE497" s="405"/>
      <c r="LK497" s="83"/>
      <c r="LS497" s="405"/>
      <c r="LY497" s="83"/>
      <c r="MG497" s="405"/>
      <c r="MM497" s="83"/>
      <c r="MU497" s="405"/>
      <c r="NA497" s="83"/>
    </row>
    <row r="498">
      <c r="A498" s="483"/>
      <c r="B498" s="380"/>
      <c r="C498" s="380"/>
      <c r="D498" s="380"/>
      <c r="E498" s="380"/>
      <c r="F498" s="380"/>
      <c r="G498" s="380"/>
      <c r="H498" s="380"/>
      <c r="I498" s="403"/>
      <c r="J498" s="380"/>
      <c r="K498" s="380"/>
      <c r="L498" s="380"/>
      <c r="M498" s="380"/>
      <c r="N498" s="380"/>
      <c r="O498" s="404"/>
      <c r="P498" s="380"/>
      <c r="Q498" s="380"/>
      <c r="R498" s="380"/>
      <c r="S498" s="380"/>
      <c r="T498" s="380"/>
      <c r="U498" s="380"/>
      <c r="V498" s="380"/>
      <c r="W498" s="403"/>
      <c r="X498" s="380"/>
      <c r="Y498" s="380"/>
      <c r="Z498" s="380"/>
      <c r="AA498" s="380"/>
      <c r="AB498" s="380"/>
      <c r="AC498" s="404"/>
      <c r="AD498" s="380"/>
      <c r="AE498" s="380"/>
      <c r="AF498" s="380"/>
      <c r="AG498" s="380"/>
      <c r="AH498" s="380"/>
      <c r="AI498" s="380"/>
      <c r="AJ498" s="380"/>
      <c r="AK498" s="403"/>
      <c r="AL498" s="380"/>
      <c r="AM498" s="380"/>
      <c r="AN498" s="380"/>
      <c r="AO498" s="380"/>
      <c r="AP498" s="380"/>
      <c r="AQ498" s="404"/>
      <c r="AR498" s="380"/>
      <c r="AS498" s="380"/>
      <c r="AT498" s="380"/>
      <c r="AU498" s="380"/>
      <c r="AV498" s="380"/>
      <c r="AW498" s="380"/>
      <c r="AX498" s="380"/>
      <c r="AY498" s="403"/>
      <c r="AZ498" s="380"/>
      <c r="BA498" s="380"/>
      <c r="BB498" s="380"/>
      <c r="BC498" s="380"/>
      <c r="BD498" s="380"/>
      <c r="BE498" s="404"/>
      <c r="BF498" s="380"/>
      <c r="BG498" s="380"/>
      <c r="BH498" s="380"/>
      <c r="BI498" s="380"/>
      <c r="BJ498" s="380"/>
      <c r="BK498" s="380"/>
      <c r="BL498" s="380"/>
      <c r="BM498" s="403"/>
      <c r="BS498" s="83"/>
      <c r="CA498" s="405"/>
      <c r="CG498" s="83"/>
      <c r="CO498" s="405"/>
      <c r="CU498" s="83"/>
      <c r="DC498" s="405"/>
      <c r="DI498" s="83"/>
      <c r="DQ498" s="405"/>
      <c r="DW498" s="83"/>
      <c r="EE498" s="405"/>
      <c r="EK498" s="83"/>
      <c r="ES498" s="405"/>
      <c r="EY498" s="83"/>
      <c r="FG498" s="405"/>
      <c r="FM498" s="83"/>
      <c r="FU498" s="405"/>
      <c r="GA498" s="83"/>
      <c r="GI498" s="405"/>
      <c r="GO498" s="83"/>
      <c r="GW498" s="405"/>
      <c r="HC498" s="83"/>
      <c r="HK498" s="405"/>
      <c r="HQ498" s="83"/>
      <c r="HY498" s="405"/>
      <c r="IE498" s="83"/>
      <c r="IM498" s="405"/>
      <c r="IS498" s="83"/>
      <c r="JA498" s="405"/>
      <c r="JG498" s="83"/>
      <c r="JO498" s="405"/>
      <c r="JU498" s="83"/>
      <c r="KC498" s="405"/>
      <c r="KI498" s="83"/>
      <c r="KQ498" s="405"/>
      <c r="KW498" s="83"/>
      <c r="LE498" s="405"/>
      <c r="LK498" s="83"/>
      <c r="LS498" s="405"/>
      <c r="LY498" s="83"/>
      <c r="MG498" s="405"/>
      <c r="MM498" s="83"/>
      <c r="MU498" s="405"/>
      <c r="NA498" s="83"/>
    </row>
    <row r="499">
      <c r="A499" s="483"/>
      <c r="B499" s="380"/>
      <c r="C499" s="380"/>
      <c r="D499" s="380"/>
      <c r="E499" s="380"/>
      <c r="F499" s="380"/>
      <c r="G499" s="380"/>
      <c r="H499" s="380"/>
      <c r="I499" s="403"/>
      <c r="J499" s="380"/>
      <c r="K499" s="380"/>
      <c r="L499" s="380"/>
      <c r="M499" s="380"/>
      <c r="N499" s="380"/>
      <c r="O499" s="404"/>
      <c r="P499" s="380"/>
      <c r="Q499" s="380"/>
      <c r="R499" s="380"/>
      <c r="S499" s="380"/>
      <c r="T499" s="380"/>
      <c r="U499" s="380"/>
      <c r="V499" s="380"/>
      <c r="W499" s="403"/>
      <c r="X499" s="380"/>
      <c r="Y499" s="380"/>
      <c r="Z499" s="380"/>
      <c r="AA499" s="380"/>
      <c r="AB499" s="380"/>
      <c r="AC499" s="404"/>
      <c r="AD499" s="380"/>
      <c r="AE499" s="380"/>
      <c r="AF499" s="380"/>
      <c r="AG499" s="380"/>
      <c r="AH499" s="380"/>
      <c r="AI499" s="380"/>
      <c r="AJ499" s="380"/>
      <c r="AK499" s="403"/>
      <c r="AL499" s="380"/>
      <c r="AM499" s="380"/>
      <c r="AN499" s="380"/>
      <c r="AO499" s="380"/>
      <c r="AP499" s="380"/>
      <c r="AQ499" s="404"/>
      <c r="AR499" s="380"/>
      <c r="AS499" s="380"/>
      <c r="AT499" s="380"/>
      <c r="AU499" s="380"/>
      <c r="AV499" s="380"/>
      <c r="AW499" s="380"/>
      <c r="AX499" s="380"/>
      <c r="AY499" s="403"/>
      <c r="AZ499" s="380"/>
      <c r="BA499" s="380"/>
      <c r="BB499" s="380"/>
      <c r="BC499" s="380"/>
      <c r="BD499" s="380"/>
      <c r="BE499" s="404"/>
      <c r="BF499" s="380"/>
      <c r="BG499" s="380"/>
      <c r="BH499" s="380"/>
      <c r="BI499" s="380"/>
      <c r="BJ499" s="380"/>
      <c r="BK499" s="380"/>
      <c r="BL499" s="380"/>
      <c r="BM499" s="403"/>
      <c r="BS499" s="83"/>
      <c r="CA499" s="405"/>
      <c r="CG499" s="83"/>
      <c r="CO499" s="405"/>
      <c r="CU499" s="83"/>
      <c r="DC499" s="405"/>
      <c r="DI499" s="83"/>
      <c r="DQ499" s="405"/>
      <c r="DW499" s="83"/>
      <c r="EE499" s="405"/>
      <c r="EK499" s="83"/>
      <c r="ES499" s="405"/>
      <c r="EY499" s="83"/>
      <c r="FG499" s="405"/>
      <c r="FM499" s="83"/>
      <c r="FU499" s="405"/>
      <c r="GA499" s="83"/>
      <c r="GI499" s="405"/>
      <c r="GO499" s="83"/>
      <c r="GW499" s="405"/>
      <c r="HC499" s="83"/>
      <c r="HK499" s="405"/>
      <c r="HQ499" s="83"/>
      <c r="HY499" s="405"/>
      <c r="IE499" s="83"/>
      <c r="IM499" s="405"/>
      <c r="IS499" s="83"/>
      <c r="JA499" s="405"/>
      <c r="JG499" s="83"/>
      <c r="JO499" s="405"/>
      <c r="JU499" s="83"/>
      <c r="KC499" s="405"/>
      <c r="KI499" s="83"/>
      <c r="KQ499" s="405"/>
      <c r="KW499" s="83"/>
      <c r="LE499" s="405"/>
      <c r="LK499" s="83"/>
      <c r="LS499" s="405"/>
      <c r="LY499" s="83"/>
      <c r="MG499" s="405"/>
      <c r="MM499" s="83"/>
      <c r="MU499" s="405"/>
      <c r="NA499" s="83"/>
    </row>
    <row r="500">
      <c r="A500" s="483"/>
      <c r="B500" s="380"/>
      <c r="C500" s="380"/>
      <c r="D500" s="380"/>
      <c r="E500" s="380"/>
      <c r="F500" s="380"/>
      <c r="G500" s="380"/>
      <c r="H500" s="380"/>
      <c r="I500" s="403"/>
      <c r="J500" s="380"/>
      <c r="K500" s="380"/>
      <c r="L500" s="380"/>
      <c r="M500" s="380"/>
      <c r="N500" s="380"/>
      <c r="O500" s="404"/>
      <c r="P500" s="380"/>
      <c r="Q500" s="380"/>
      <c r="R500" s="380"/>
      <c r="S500" s="380"/>
      <c r="T500" s="380"/>
      <c r="U500" s="380"/>
      <c r="V500" s="380"/>
      <c r="W500" s="403"/>
      <c r="X500" s="380"/>
      <c r="Y500" s="380"/>
      <c r="Z500" s="380"/>
      <c r="AA500" s="380"/>
      <c r="AB500" s="380"/>
      <c r="AC500" s="404"/>
      <c r="AD500" s="380"/>
      <c r="AE500" s="380"/>
      <c r="AF500" s="380"/>
      <c r="AG500" s="380"/>
      <c r="AH500" s="380"/>
      <c r="AI500" s="380"/>
      <c r="AJ500" s="380"/>
      <c r="AK500" s="403"/>
      <c r="AL500" s="380"/>
      <c r="AM500" s="380"/>
      <c r="AN500" s="380"/>
      <c r="AO500" s="380"/>
      <c r="AP500" s="380"/>
      <c r="AQ500" s="404"/>
      <c r="AR500" s="380"/>
      <c r="AS500" s="380"/>
      <c r="AT500" s="380"/>
      <c r="AU500" s="380"/>
      <c r="AV500" s="380"/>
      <c r="AW500" s="380"/>
      <c r="AX500" s="380"/>
      <c r="AY500" s="403"/>
      <c r="AZ500" s="380"/>
      <c r="BA500" s="380"/>
      <c r="BB500" s="380"/>
      <c r="BC500" s="380"/>
      <c r="BD500" s="380"/>
      <c r="BE500" s="404"/>
      <c r="BF500" s="380"/>
      <c r="BG500" s="380"/>
      <c r="BH500" s="380"/>
      <c r="BI500" s="380"/>
      <c r="BJ500" s="380"/>
      <c r="BK500" s="380"/>
      <c r="BL500" s="380"/>
      <c r="BM500" s="403"/>
      <c r="BS500" s="83"/>
      <c r="CA500" s="405"/>
      <c r="CG500" s="83"/>
      <c r="CO500" s="405"/>
      <c r="CU500" s="83"/>
      <c r="DC500" s="405"/>
      <c r="DI500" s="83"/>
      <c r="DQ500" s="405"/>
      <c r="DW500" s="83"/>
      <c r="EE500" s="405"/>
      <c r="EK500" s="83"/>
      <c r="ES500" s="405"/>
      <c r="EY500" s="83"/>
      <c r="FG500" s="405"/>
      <c r="FM500" s="83"/>
      <c r="FU500" s="405"/>
      <c r="GA500" s="83"/>
      <c r="GI500" s="405"/>
      <c r="GO500" s="83"/>
      <c r="GW500" s="405"/>
      <c r="HC500" s="83"/>
      <c r="HK500" s="405"/>
      <c r="HQ500" s="83"/>
      <c r="HY500" s="405"/>
      <c r="IE500" s="83"/>
      <c r="IM500" s="405"/>
      <c r="IS500" s="83"/>
      <c r="JA500" s="405"/>
      <c r="JG500" s="83"/>
      <c r="JO500" s="405"/>
      <c r="JU500" s="83"/>
      <c r="KC500" s="405"/>
      <c r="KI500" s="83"/>
      <c r="KQ500" s="405"/>
      <c r="KW500" s="83"/>
      <c r="LE500" s="405"/>
      <c r="LK500" s="83"/>
      <c r="LS500" s="405"/>
      <c r="LY500" s="83"/>
      <c r="MG500" s="405"/>
      <c r="MM500" s="83"/>
      <c r="MU500" s="405"/>
      <c r="NA500" s="83"/>
    </row>
    <row r="501">
      <c r="A501" s="483"/>
      <c r="B501" s="380"/>
      <c r="C501" s="380"/>
      <c r="D501" s="380"/>
      <c r="E501" s="380"/>
      <c r="F501" s="380"/>
      <c r="G501" s="380"/>
      <c r="H501" s="380"/>
      <c r="I501" s="403"/>
      <c r="J501" s="380"/>
      <c r="K501" s="380"/>
      <c r="L501" s="380"/>
      <c r="M501" s="380"/>
      <c r="N501" s="380"/>
      <c r="O501" s="404"/>
      <c r="P501" s="380"/>
      <c r="Q501" s="380"/>
      <c r="R501" s="380"/>
      <c r="S501" s="380"/>
      <c r="T501" s="380"/>
      <c r="U501" s="380"/>
      <c r="V501" s="380"/>
      <c r="W501" s="403"/>
      <c r="X501" s="380"/>
      <c r="Y501" s="380"/>
      <c r="Z501" s="380"/>
      <c r="AA501" s="380"/>
      <c r="AB501" s="380"/>
      <c r="AC501" s="404"/>
      <c r="AD501" s="380"/>
      <c r="AE501" s="380"/>
      <c r="AF501" s="380"/>
      <c r="AG501" s="380"/>
      <c r="AH501" s="380"/>
      <c r="AI501" s="380"/>
      <c r="AJ501" s="380"/>
      <c r="AK501" s="403"/>
      <c r="AL501" s="380"/>
      <c r="AM501" s="380"/>
      <c r="AN501" s="380"/>
      <c r="AO501" s="380"/>
      <c r="AP501" s="380"/>
      <c r="AQ501" s="404"/>
      <c r="AR501" s="380"/>
      <c r="AS501" s="380"/>
      <c r="AT501" s="380"/>
      <c r="AU501" s="380"/>
      <c r="AV501" s="380"/>
      <c r="AW501" s="380"/>
      <c r="AX501" s="380"/>
      <c r="AY501" s="403"/>
      <c r="AZ501" s="380"/>
      <c r="BA501" s="380"/>
      <c r="BB501" s="380"/>
      <c r="BC501" s="380"/>
      <c r="BD501" s="380"/>
      <c r="BE501" s="404"/>
      <c r="BF501" s="380"/>
      <c r="BG501" s="380"/>
      <c r="BH501" s="380"/>
      <c r="BI501" s="380"/>
      <c r="BJ501" s="380"/>
      <c r="BK501" s="380"/>
      <c r="BL501" s="380"/>
      <c r="BM501" s="403"/>
      <c r="BS501" s="83"/>
      <c r="CA501" s="405"/>
      <c r="CG501" s="83"/>
      <c r="CO501" s="405"/>
      <c r="CU501" s="83"/>
      <c r="DC501" s="405"/>
      <c r="DI501" s="83"/>
      <c r="DQ501" s="405"/>
      <c r="DW501" s="83"/>
      <c r="EE501" s="405"/>
      <c r="EK501" s="83"/>
      <c r="ES501" s="405"/>
      <c r="EY501" s="83"/>
      <c r="FG501" s="405"/>
      <c r="FM501" s="83"/>
      <c r="FU501" s="405"/>
      <c r="GA501" s="83"/>
      <c r="GI501" s="405"/>
      <c r="GO501" s="83"/>
      <c r="GW501" s="405"/>
      <c r="HC501" s="83"/>
      <c r="HK501" s="405"/>
      <c r="HQ501" s="83"/>
      <c r="HY501" s="405"/>
      <c r="IE501" s="83"/>
      <c r="IM501" s="405"/>
      <c r="IS501" s="83"/>
      <c r="JA501" s="405"/>
      <c r="JG501" s="83"/>
      <c r="JO501" s="405"/>
      <c r="JU501" s="83"/>
      <c r="KC501" s="405"/>
      <c r="KI501" s="83"/>
      <c r="KQ501" s="405"/>
      <c r="KW501" s="83"/>
      <c r="LE501" s="405"/>
      <c r="LK501" s="83"/>
      <c r="LS501" s="405"/>
      <c r="LY501" s="83"/>
      <c r="MG501" s="405"/>
      <c r="MM501" s="83"/>
      <c r="MU501" s="405"/>
      <c r="NA501" s="83"/>
    </row>
    <row r="502">
      <c r="A502" s="483"/>
      <c r="B502" s="380"/>
      <c r="C502" s="380"/>
      <c r="D502" s="380"/>
      <c r="E502" s="380"/>
      <c r="F502" s="380"/>
      <c r="G502" s="380"/>
      <c r="H502" s="380"/>
      <c r="I502" s="403"/>
      <c r="J502" s="380"/>
      <c r="K502" s="380"/>
      <c r="L502" s="380"/>
      <c r="M502" s="380"/>
      <c r="N502" s="380"/>
      <c r="O502" s="404"/>
      <c r="P502" s="380"/>
      <c r="Q502" s="380"/>
      <c r="R502" s="380"/>
      <c r="S502" s="380"/>
      <c r="T502" s="380"/>
      <c r="U502" s="380"/>
      <c r="V502" s="380"/>
      <c r="W502" s="403"/>
      <c r="X502" s="380"/>
      <c r="Y502" s="380"/>
      <c r="Z502" s="380"/>
      <c r="AA502" s="380"/>
      <c r="AB502" s="380"/>
      <c r="AC502" s="404"/>
      <c r="AD502" s="380"/>
      <c r="AE502" s="380"/>
      <c r="AF502" s="380"/>
      <c r="AG502" s="380"/>
      <c r="AH502" s="380"/>
      <c r="AI502" s="380"/>
      <c r="AJ502" s="380"/>
      <c r="AK502" s="403"/>
      <c r="AL502" s="380"/>
      <c r="AM502" s="380"/>
      <c r="AN502" s="380"/>
      <c r="AO502" s="380"/>
      <c r="AP502" s="380"/>
      <c r="AQ502" s="404"/>
      <c r="AR502" s="380"/>
      <c r="AS502" s="380"/>
      <c r="AT502" s="380"/>
      <c r="AU502" s="380"/>
      <c r="AV502" s="380"/>
      <c r="AW502" s="380"/>
      <c r="AX502" s="380"/>
      <c r="AY502" s="403"/>
      <c r="AZ502" s="380"/>
      <c r="BA502" s="380"/>
      <c r="BB502" s="380"/>
      <c r="BC502" s="380"/>
      <c r="BD502" s="380"/>
      <c r="BE502" s="404"/>
      <c r="BF502" s="380"/>
      <c r="BG502" s="380"/>
      <c r="BH502" s="380"/>
      <c r="BI502" s="380"/>
      <c r="BJ502" s="380"/>
      <c r="BK502" s="380"/>
      <c r="BL502" s="380"/>
      <c r="BM502" s="403"/>
      <c r="BS502" s="83"/>
      <c r="CA502" s="405"/>
      <c r="CG502" s="83"/>
      <c r="CO502" s="405"/>
      <c r="CU502" s="83"/>
      <c r="DC502" s="405"/>
      <c r="DI502" s="83"/>
      <c r="DQ502" s="405"/>
      <c r="DW502" s="83"/>
      <c r="EE502" s="405"/>
      <c r="EK502" s="83"/>
      <c r="ES502" s="405"/>
      <c r="EY502" s="83"/>
      <c r="FG502" s="405"/>
      <c r="FM502" s="83"/>
      <c r="FU502" s="405"/>
      <c r="GA502" s="83"/>
      <c r="GI502" s="405"/>
      <c r="GO502" s="83"/>
      <c r="GW502" s="405"/>
      <c r="HC502" s="83"/>
      <c r="HK502" s="405"/>
      <c r="HQ502" s="83"/>
      <c r="HY502" s="405"/>
      <c r="IE502" s="83"/>
      <c r="IM502" s="405"/>
      <c r="IS502" s="83"/>
      <c r="JA502" s="405"/>
      <c r="JG502" s="83"/>
      <c r="JO502" s="405"/>
      <c r="JU502" s="83"/>
      <c r="KC502" s="405"/>
      <c r="KI502" s="83"/>
      <c r="KQ502" s="405"/>
      <c r="KW502" s="83"/>
      <c r="LE502" s="405"/>
      <c r="LK502" s="83"/>
      <c r="LS502" s="405"/>
      <c r="LY502" s="83"/>
      <c r="MG502" s="405"/>
      <c r="MM502" s="83"/>
      <c r="MU502" s="405"/>
      <c r="NA502" s="83"/>
    </row>
    <row r="503">
      <c r="A503" s="483"/>
      <c r="B503" s="380"/>
      <c r="C503" s="380"/>
      <c r="D503" s="380"/>
      <c r="E503" s="380"/>
      <c r="F503" s="380"/>
      <c r="G503" s="380"/>
      <c r="H503" s="380"/>
      <c r="I503" s="403"/>
      <c r="J503" s="380"/>
      <c r="K503" s="380"/>
      <c r="L503" s="380"/>
      <c r="M503" s="380"/>
      <c r="N503" s="380"/>
      <c r="O503" s="404"/>
      <c r="P503" s="380"/>
      <c r="Q503" s="380"/>
      <c r="R503" s="380"/>
      <c r="S503" s="380"/>
      <c r="T503" s="380"/>
      <c r="U503" s="380"/>
      <c r="V503" s="380"/>
      <c r="W503" s="403"/>
      <c r="X503" s="380"/>
      <c r="Y503" s="380"/>
      <c r="Z503" s="380"/>
      <c r="AA503" s="380"/>
      <c r="AB503" s="380"/>
      <c r="AC503" s="404"/>
      <c r="AD503" s="380"/>
      <c r="AE503" s="380"/>
      <c r="AF503" s="380"/>
      <c r="AG503" s="380"/>
      <c r="AH503" s="380"/>
      <c r="AI503" s="380"/>
      <c r="AJ503" s="380"/>
      <c r="AK503" s="403"/>
      <c r="AL503" s="380"/>
      <c r="AM503" s="380"/>
      <c r="AN503" s="380"/>
      <c r="AO503" s="380"/>
      <c r="AP503" s="380"/>
      <c r="AQ503" s="404"/>
      <c r="AR503" s="380"/>
      <c r="AS503" s="380"/>
      <c r="AT503" s="380"/>
      <c r="AU503" s="380"/>
      <c r="AV503" s="380"/>
      <c r="AW503" s="380"/>
      <c r="AX503" s="380"/>
      <c r="AY503" s="403"/>
      <c r="AZ503" s="380"/>
      <c r="BA503" s="380"/>
      <c r="BB503" s="380"/>
      <c r="BC503" s="380"/>
      <c r="BD503" s="380"/>
      <c r="BE503" s="404"/>
      <c r="BF503" s="380"/>
      <c r="BG503" s="380"/>
      <c r="BH503" s="380"/>
      <c r="BI503" s="380"/>
      <c r="BJ503" s="380"/>
      <c r="BK503" s="380"/>
      <c r="BL503" s="380"/>
      <c r="BM503" s="403"/>
      <c r="BS503" s="83"/>
      <c r="CA503" s="405"/>
      <c r="CG503" s="83"/>
      <c r="CO503" s="405"/>
      <c r="CU503" s="83"/>
      <c r="DC503" s="405"/>
      <c r="DI503" s="83"/>
      <c r="DQ503" s="405"/>
      <c r="DW503" s="83"/>
      <c r="EE503" s="405"/>
      <c r="EK503" s="83"/>
      <c r="ES503" s="405"/>
      <c r="EY503" s="83"/>
      <c r="FG503" s="405"/>
      <c r="FM503" s="83"/>
      <c r="FU503" s="405"/>
      <c r="GA503" s="83"/>
      <c r="GI503" s="405"/>
      <c r="GO503" s="83"/>
      <c r="GW503" s="405"/>
      <c r="HC503" s="83"/>
      <c r="HK503" s="405"/>
      <c r="HQ503" s="83"/>
      <c r="HY503" s="405"/>
      <c r="IE503" s="83"/>
      <c r="IM503" s="405"/>
      <c r="IS503" s="83"/>
      <c r="JA503" s="405"/>
      <c r="JG503" s="83"/>
      <c r="JO503" s="405"/>
      <c r="JU503" s="83"/>
      <c r="KC503" s="405"/>
      <c r="KI503" s="83"/>
      <c r="KQ503" s="405"/>
      <c r="KW503" s="83"/>
      <c r="LE503" s="405"/>
      <c r="LK503" s="83"/>
      <c r="LS503" s="405"/>
      <c r="LY503" s="83"/>
      <c r="MG503" s="405"/>
      <c r="MM503" s="83"/>
      <c r="MU503" s="405"/>
      <c r="NA503" s="83"/>
    </row>
    <row r="504">
      <c r="A504" s="483"/>
      <c r="B504" s="380"/>
      <c r="C504" s="380"/>
      <c r="D504" s="380"/>
      <c r="E504" s="380"/>
      <c r="F504" s="380"/>
      <c r="G504" s="380"/>
      <c r="H504" s="380"/>
      <c r="I504" s="403"/>
      <c r="J504" s="380"/>
      <c r="K504" s="380"/>
      <c r="L504" s="380"/>
      <c r="M504" s="380"/>
      <c r="N504" s="380"/>
      <c r="O504" s="404"/>
      <c r="P504" s="380"/>
      <c r="Q504" s="380"/>
      <c r="R504" s="380"/>
      <c r="S504" s="380"/>
      <c r="T504" s="380"/>
      <c r="U504" s="380"/>
      <c r="V504" s="380"/>
      <c r="W504" s="403"/>
      <c r="X504" s="380"/>
      <c r="Y504" s="380"/>
      <c r="Z504" s="380"/>
      <c r="AA504" s="380"/>
      <c r="AB504" s="380"/>
      <c r="AC504" s="404"/>
      <c r="AD504" s="380"/>
      <c r="AE504" s="380"/>
      <c r="AF504" s="380"/>
      <c r="AG504" s="380"/>
      <c r="AH504" s="380"/>
      <c r="AI504" s="380"/>
      <c r="AJ504" s="380"/>
      <c r="AK504" s="403"/>
      <c r="AL504" s="380"/>
      <c r="AM504" s="380"/>
      <c r="AN504" s="380"/>
      <c r="AO504" s="380"/>
      <c r="AP504" s="380"/>
      <c r="AQ504" s="404"/>
      <c r="AR504" s="380"/>
      <c r="AS504" s="380"/>
      <c r="AT504" s="380"/>
      <c r="AU504" s="380"/>
      <c r="AV504" s="380"/>
      <c r="AW504" s="380"/>
      <c r="AX504" s="380"/>
      <c r="AY504" s="403"/>
      <c r="AZ504" s="380"/>
      <c r="BA504" s="380"/>
      <c r="BB504" s="380"/>
      <c r="BC504" s="380"/>
      <c r="BD504" s="380"/>
      <c r="BE504" s="404"/>
      <c r="BF504" s="380"/>
      <c r="BG504" s="380"/>
      <c r="BH504" s="380"/>
      <c r="BI504" s="380"/>
      <c r="BJ504" s="380"/>
      <c r="BK504" s="380"/>
      <c r="BL504" s="380"/>
      <c r="BM504" s="403"/>
      <c r="BS504" s="83"/>
      <c r="CA504" s="405"/>
      <c r="CG504" s="83"/>
      <c r="CO504" s="405"/>
      <c r="CU504" s="83"/>
      <c r="DC504" s="405"/>
      <c r="DI504" s="83"/>
      <c r="DQ504" s="405"/>
      <c r="DW504" s="83"/>
      <c r="EE504" s="405"/>
      <c r="EK504" s="83"/>
      <c r="ES504" s="405"/>
      <c r="EY504" s="83"/>
      <c r="FG504" s="405"/>
      <c r="FM504" s="83"/>
      <c r="FU504" s="405"/>
      <c r="GA504" s="83"/>
      <c r="GI504" s="405"/>
      <c r="GO504" s="83"/>
      <c r="GW504" s="405"/>
      <c r="HC504" s="83"/>
      <c r="HK504" s="405"/>
      <c r="HQ504" s="83"/>
      <c r="HY504" s="405"/>
      <c r="IE504" s="83"/>
      <c r="IM504" s="405"/>
      <c r="IS504" s="83"/>
      <c r="JA504" s="405"/>
      <c r="JG504" s="83"/>
      <c r="JO504" s="405"/>
      <c r="JU504" s="83"/>
      <c r="KC504" s="405"/>
      <c r="KI504" s="83"/>
      <c r="KQ504" s="405"/>
      <c r="KW504" s="83"/>
      <c r="LE504" s="405"/>
      <c r="LK504" s="83"/>
      <c r="LS504" s="405"/>
      <c r="LY504" s="83"/>
      <c r="MG504" s="405"/>
      <c r="MM504" s="83"/>
      <c r="MU504" s="405"/>
      <c r="NA504" s="83"/>
    </row>
    <row r="505">
      <c r="A505" s="483"/>
      <c r="B505" s="380"/>
      <c r="C505" s="380"/>
      <c r="D505" s="380"/>
      <c r="E505" s="380"/>
      <c r="F505" s="380"/>
      <c r="G505" s="380"/>
      <c r="H505" s="380"/>
      <c r="I505" s="403"/>
      <c r="J505" s="380"/>
      <c r="K505" s="380"/>
      <c r="L505" s="380"/>
      <c r="M505" s="380"/>
      <c r="N505" s="380"/>
      <c r="O505" s="404"/>
      <c r="P505" s="380"/>
      <c r="Q505" s="380"/>
      <c r="R505" s="380"/>
      <c r="S505" s="380"/>
      <c r="T505" s="380"/>
      <c r="U505" s="380"/>
      <c r="V505" s="380"/>
      <c r="W505" s="403"/>
      <c r="X505" s="380"/>
      <c r="Y505" s="380"/>
      <c r="Z505" s="380"/>
      <c r="AA505" s="380"/>
      <c r="AB505" s="380"/>
      <c r="AC505" s="404"/>
      <c r="AD505" s="380"/>
      <c r="AE505" s="380"/>
      <c r="AF505" s="380"/>
      <c r="AG505" s="380"/>
      <c r="AH505" s="380"/>
      <c r="AI505" s="380"/>
      <c r="AJ505" s="380"/>
      <c r="AK505" s="403"/>
      <c r="AL505" s="380"/>
      <c r="AM505" s="380"/>
      <c r="AN505" s="380"/>
      <c r="AO505" s="380"/>
      <c r="AP505" s="380"/>
      <c r="AQ505" s="404"/>
      <c r="AR505" s="380"/>
      <c r="AS505" s="380"/>
      <c r="AT505" s="380"/>
      <c r="AU505" s="380"/>
      <c r="AV505" s="380"/>
      <c r="AW505" s="380"/>
      <c r="AX505" s="380"/>
      <c r="AY505" s="403"/>
      <c r="AZ505" s="380"/>
      <c r="BA505" s="380"/>
      <c r="BB505" s="380"/>
      <c r="BC505" s="380"/>
      <c r="BD505" s="380"/>
      <c r="BE505" s="404"/>
      <c r="BF505" s="380"/>
      <c r="BG505" s="380"/>
      <c r="BH505" s="380"/>
      <c r="BI505" s="380"/>
      <c r="BJ505" s="380"/>
      <c r="BK505" s="380"/>
      <c r="BL505" s="380"/>
      <c r="BM505" s="403"/>
      <c r="BS505" s="83"/>
      <c r="CA505" s="405"/>
      <c r="CG505" s="83"/>
      <c r="CO505" s="405"/>
      <c r="CU505" s="83"/>
      <c r="DC505" s="405"/>
      <c r="DI505" s="83"/>
      <c r="DQ505" s="405"/>
      <c r="DW505" s="83"/>
      <c r="EE505" s="405"/>
      <c r="EK505" s="83"/>
      <c r="ES505" s="405"/>
      <c r="EY505" s="83"/>
      <c r="FG505" s="405"/>
      <c r="FM505" s="83"/>
      <c r="FU505" s="405"/>
      <c r="GA505" s="83"/>
      <c r="GI505" s="405"/>
      <c r="GO505" s="83"/>
      <c r="GW505" s="405"/>
      <c r="HC505" s="83"/>
      <c r="HK505" s="405"/>
      <c r="HQ505" s="83"/>
      <c r="HY505" s="405"/>
      <c r="IE505" s="83"/>
      <c r="IM505" s="405"/>
      <c r="IS505" s="83"/>
      <c r="JA505" s="405"/>
      <c r="JG505" s="83"/>
      <c r="JO505" s="405"/>
      <c r="JU505" s="83"/>
      <c r="KC505" s="405"/>
      <c r="KI505" s="83"/>
      <c r="KQ505" s="405"/>
      <c r="KW505" s="83"/>
      <c r="LE505" s="405"/>
      <c r="LK505" s="83"/>
      <c r="LS505" s="405"/>
      <c r="LY505" s="83"/>
      <c r="MG505" s="405"/>
      <c r="MM505" s="83"/>
      <c r="MU505" s="405"/>
      <c r="NA505" s="83"/>
    </row>
    <row r="506">
      <c r="A506" s="483"/>
      <c r="B506" s="380"/>
      <c r="C506" s="380"/>
      <c r="D506" s="380"/>
      <c r="E506" s="380"/>
      <c r="F506" s="380"/>
      <c r="G506" s="380"/>
      <c r="H506" s="380"/>
      <c r="I506" s="403"/>
      <c r="J506" s="380"/>
      <c r="K506" s="380"/>
      <c r="L506" s="380"/>
      <c r="M506" s="380"/>
      <c r="N506" s="380"/>
      <c r="O506" s="404"/>
      <c r="P506" s="380"/>
      <c r="Q506" s="380"/>
      <c r="R506" s="380"/>
      <c r="S506" s="380"/>
      <c r="T506" s="380"/>
      <c r="U506" s="380"/>
      <c r="V506" s="380"/>
      <c r="W506" s="403"/>
      <c r="X506" s="380"/>
      <c r="Y506" s="380"/>
      <c r="Z506" s="380"/>
      <c r="AA506" s="380"/>
      <c r="AB506" s="380"/>
      <c r="AC506" s="404"/>
      <c r="AD506" s="380"/>
      <c r="AE506" s="380"/>
      <c r="AF506" s="380"/>
      <c r="AG506" s="380"/>
      <c r="AH506" s="380"/>
      <c r="AI506" s="380"/>
      <c r="AJ506" s="380"/>
      <c r="AK506" s="403"/>
      <c r="AL506" s="380"/>
      <c r="AM506" s="380"/>
      <c r="AN506" s="380"/>
      <c r="AO506" s="380"/>
      <c r="AP506" s="380"/>
      <c r="AQ506" s="404"/>
      <c r="AR506" s="380"/>
      <c r="AS506" s="380"/>
      <c r="AT506" s="380"/>
      <c r="AU506" s="380"/>
      <c r="AV506" s="380"/>
      <c r="AW506" s="380"/>
      <c r="AX506" s="380"/>
      <c r="AY506" s="403"/>
      <c r="AZ506" s="380"/>
      <c r="BA506" s="380"/>
      <c r="BB506" s="380"/>
      <c r="BC506" s="380"/>
      <c r="BD506" s="380"/>
      <c r="BE506" s="404"/>
      <c r="BF506" s="380"/>
      <c r="BG506" s="380"/>
      <c r="BH506" s="380"/>
      <c r="BI506" s="380"/>
      <c r="BJ506" s="380"/>
      <c r="BK506" s="380"/>
      <c r="BL506" s="380"/>
      <c r="BM506" s="403"/>
      <c r="BS506" s="83"/>
      <c r="CA506" s="405"/>
      <c r="CG506" s="83"/>
      <c r="CO506" s="405"/>
      <c r="CU506" s="83"/>
      <c r="DC506" s="405"/>
      <c r="DI506" s="83"/>
      <c r="DQ506" s="405"/>
      <c r="DW506" s="83"/>
      <c r="EE506" s="405"/>
      <c r="EK506" s="83"/>
      <c r="ES506" s="405"/>
      <c r="EY506" s="83"/>
      <c r="FG506" s="405"/>
      <c r="FM506" s="83"/>
      <c r="FU506" s="405"/>
      <c r="GA506" s="83"/>
      <c r="GI506" s="405"/>
      <c r="GO506" s="83"/>
      <c r="GW506" s="405"/>
      <c r="HC506" s="83"/>
      <c r="HK506" s="405"/>
      <c r="HQ506" s="83"/>
      <c r="HY506" s="405"/>
      <c r="IE506" s="83"/>
      <c r="IM506" s="405"/>
      <c r="IS506" s="83"/>
      <c r="JA506" s="405"/>
      <c r="JG506" s="83"/>
      <c r="JO506" s="405"/>
      <c r="JU506" s="83"/>
      <c r="KC506" s="405"/>
      <c r="KI506" s="83"/>
      <c r="KQ506" s="405"/>
      <c r="KW506" s="83"/>
      <c r="LE506" s="405"/>
      <c r="LK506" s="83"/>
      <c r="LS506" s="405"/>
      <c r="LY506" s="83"/>
      <c r="MG506" s="405"/>
      <c r="MM506" s="83"/>
      <c r="MU506" s="405"/>
      <c r="NA506" s="83"/>
    </row>
    <row r="507">
      <c r="A507" s="483"/>
      <c r="B507" s="380"/>
      <c r="C507" s="380"/>
      <c r="D507" s="380"/>
      <c r="E507" s="380"/>
      <c r="F507" s="380"/>
      <c r="G507" s="380"/>
      <c r="H507" s="380"/>
      <c r="I507" s="403"/>
      <c r="J507" s="380"/>
      <c r="K507" s="380"/>
      <c r="L507" s="380"/>
      <c r="M507" s="380"/>
      <c r="N507" s="380"/>
      <c r="O507" s="404"/>
      <c r="P507" s="380"/>
      <c r="Q507" s="380"/>
      <c r="R507" s="380"/>
      <c r="S507" s="380"/>
      <c r="T507" s="380"/>
      <c r="U507" s="380"/>
      <c r="V507" s="380"/>
      <c r="W507" s="403"/>
      <c r="X507" s="380"/>
      <c r="Y507" s="380"/>
      <c r="Z507" s="380"/>
      <c r="AA507" s="380"/>
      <c r="AB507" s="380"/>
      <c r="AC507" s="404"/>
      <c r="AD507" s="380"/>
      <c r="AE507" s="380"/>
      <c r="AF507" s="380"/>
      <c r="AG507" s="380"/>
      <c r="AH507" s="380"/>
      <c r="AI507" s="380"/>
      <c r="AJ507" s="380"/>
      <c r="AK507" s="403"/>
      <c r="AL507" s="380"/>
      <c r="AM507" s="380"/>
      <c r="AN507" s="380"/>
      <c r="AO507" s="380"/>
      <c r="AP507" s="380"/>
      <c r="AQ507" s="404"/>
      <c r="AR507" s="380"/>
      <c r="AS507" s="380"/>
      <c r="AT507" s="380"/>
      <c r="AU507" s="380"/>
      <c r="AV507" s="380"/>
      <c r="AW507" s="380"/>
      <c r="AX507" s="380"/>
      <c r="AY507" s="403"/>
      <c r="AZ507" s="380"/>
      <c r="BA507" s="380"/>
      <c r="BB507" s="380"/>
      <c r="BC507" s="380"/>
      <c r="BD507" s="380"/>
      <c r="BE507" s="404"/>
      <c r="BF507" s="380"/>
      <c r="BG507" s="380"/>
      <c r="BH507" s="380"/>
      <c r="BI507" s="380"/>
      <c r="BJ507" s="380"/>
      <c r="BK507" s="380"/>
      <c r="BL507" s="380"/>
      <c r="BM507" s="403"/>
      <c r="BS507" s="83"/>
      <c r="CA507" s="405"/>
      <c r="CG507" s="83"/>
      <c r="CO507" s="405"/>
      <c r="CU507" s="83"/>
      <c r="DC507" s="405"/>
      <c r="DI507" s="83"/>
      <c r="DQ507" s="405"/>
      <c r="DW507" s="83"/>
      <c r="EE507" s="405"/>
      <c r="EK507" s="83"/>
      <c r="ES507" s="405"/>
      <c r="EY507" s="83"/>
      <c r="FG507" s="405"/>
      <c r="FM507" s="83"/>
      <c r="FU507" s="405"/>
      <c r="GA507" s="83"/>
      <c r="GI507" s="405"/>
      <c r="GO507" s="83"/>
      <c r="GW507" s="405"/>
      <c r="HC507" s="83"/>
      <c r="HK507" s="405"/>
      <c r="HQ507" s="83"/>
      <c r="HY507" s="405"/>
      <c r="IE507" s="83"/>
      <c r="IM507" s="405"/>
      <c r="IS507" s="83"/>
      <c r="JA507" s="405"/>
      <c r="JG507" s="83"/>
      <c r="JO507" s="405"/>
      <c r="JU507" s="83"/>
      <c r="KC507" s="405"/>
      <c r="KI507" s="83"/>
      <c r="KQ507" s="405"/>
      <c r="KW507" s="83"/>
      <c r="LE507" s="405"/>
      <c r="LK507" s="83"/>
      <c r="LS507" s="405"/>
      <c r="LY507" s="83"/>
      <c r="MG507" s="405"/>
      <c r="MM507" s="83"/>
      <c r="MU507" s="405"/>
      <c r="NA507" s="83"/>
    </row>
    <row r="508">
      <c r="A508" s="483"/>
      <c r="B508" s="380"/>
      <c r="C508" s="380"/>
      <c r="D508" s="380"/>
      <c r="E508" s="380"/>
      <c r="F508" s="380"/>
      <c r="G508" s="380"/>
      <c r="H508" s="380"/>
      <c r="I508" s="403"/>
      <c r="J508" s="380"/>
      <c r="K508" s="380"/>
      <c r="L508" s="380"/>
      <c r="M508" s="380"/>
      <c r="N508" s="380"/>
      <c r="O508" s="404"/>
      <c r="P508" s="380"/>
      <c r="Q508" s="380"/>
      <c r="R508" s="380"/>
      <c r="S508" s="380"/>
      <c r="T508" s="380"/>
      <c r="U508" s="380"/>
      <c r="V508" s="380"/>
      <c r="W508" s="403"/>
      <c r="X508" s="380"/>
      <c r="Y508" s="380"/>
      <c r="Z508" s="380"/>
      <c r="AA508" s="380"/>
      <c r="AB508" s="380"/>
      <c r="AC508" s="404"/>
      <c r="AD508" s="380"/>
      <c r="AE508" s="380"/>
      <c r="AF508" s="380"/>
      <c r="AG508" s="380"/>
      <c r="AH508" s="380"/>
      <c r="AI508" s="380"/>
      <c r="AJ508" s="380"/>
      <c r="AK508" s="403"/>
      <c r="AL508" s="380"/>
      <c r="AM508" s="380"/>
      <c r="AN508" s="380"/>
      <c r="AO508" s="380"/>
      <c r="AP508" s="380"/>
      <c r="AQ508" s="404"/>
      <c r="AR508" s="380"/>
      <c r="AS508" s="380"/>
      <c r="AT508" s="380"/>
      <c r="AU508" s="380"/>
      <c r="AV508" s="380"/>
      <c r="AW508" s="380"/>
      <c r="AX508" s="380"/>
      <c r="AY508" s="403"/>
      <c r="AZ508" s="380"/>
      <c r="BA508" s="380"/>
      <c r="BB508" s="380"/>
      <c r="BC508" s="380"/>
      <c r="BD508" s="380"/>
      <c r="BE508" s="404"/>
      <c r="BF508" s="380"/>
      <c r="BG508" s="380"/>
      <c r="BH508" s="380"/>
      <c r="BI508" s="380"/>
      <c r="BJ508" s="380"/>
      <c r="BK508" s="380"/>
      <c r="BL508" s="380"/>
      <c r="BM508" s="403"/>
      <c r="BS508" s="83"/>
      <c r="CA508" s="405"/>
      <c r="CG508" s="83"/>
      <c r="CO508" s="405"/>
      <c r="CU508" s="83"/>
      <c r="DC508" s="405"/>
      <c r="DI508" s="83"/>
      <c r="DQ508" s="405"/>
      <c r="DW508" s="83"/>
      <c r="EE508" s="405"/>
      <c r="EK508" s="83"/>
      <c r="ES508" s="405"/>
      <c r="EY508" s="83"/>
      <c r="FG508" s="405"/>
      <c r="FM508" s="83"/>
      <c r="FU508" s="405"/>
      <c r="GA508" s="83"/>
      <c r="GI508" s="405"/>
      <c r="GO508" s="83"/>
      <c r="GW508" s="405"/>
      <c r="HC508" s="83"/>
      <c r="HK508" s="405"/>
      <c r="HQ508" s="83"/>
      <c r="HY508" s="405"/>
      <c r="IE508" s="83"/>
      <c r="IM508" s="405"/>
      <c r="IS508" s="83"/>
      <c r="JA508" s="405"/>
      <c r="JG508" s="83"/>
      <c r="JO508" s="405"/>
      <c r="JU508" s="83"/>
      <c r="KC508" s="405"/>
      <c r="KI508" s="83"/>
      <c r="KQ508" s="405"/>
      <c r="KW508" s="83"/>
      <c r="LE508" s="405"/>
      <c r="LK508" s="83"/>
      <c r="LS508" s="405"/>
      <c r="LY508" s="83"/>
      <c r="MG508" s="405"/>
      <c r="MM508" s="83"/>
      <c r="MU508" s="405"/>
      <c r="NA508" s="83"/>
    </row>
    <row r="509">
      <c r="A509" s="483"/>
      <c r="B509" s="380"/>
      <c r="C509" s="380"/>
      <c r="D509" s="380"/>
      <c r="E509" s="380"/>
      <c r="F509" s="380"/>
      <c r="G509" s="380"/>
      <c r="H509" s="380"/>
      <c r="I509" s="403"/>
      <c r="J509" s="380"/>
      <c r="K509" s="380"/>
      <c r="L509" s="380"/>
      <c r="M509" s="380"/>
      <c r="N509" s="380"/>
      <c r="O509" s="404"/>
      <c r="P509" s="380"/>
      <c r="Q509" s="380"/>
      <c r="R509" s="380"/>
      <c r="S509" s="380"/>
      <c r="T509" s="380"/>
      <c r="U509" s="380"/>
      <c r="V509" s="380"/>
      <c r="W509" s="403"/>
      <c r="X509" s="380"/>
      <c r="Y509" s="380"/>
      <c r="Z509" s="380"/>
      <c r="AA509" s="380"/>
      <c r="AB509" s="380"/>
      <c r="AC509" s="404"/>
      <c r="AD509" s="380"/>
      <c r="AE509" s="380"/>
      <c r="AF509" s="380"/>
      <c r="AG509" s="380"/>
      <c r="AH509" s="380"/>
      <c r="AI509" s="380"/>
      <c r="AJ509" s="380"/>
      <c r="AK509" s="403"/>
      <c r="AL509" s="380"/>
      <c r="AM509" s="380"/>
      <c r="AN509" s="380"/>
      <c r="AO509" s="380"/>
      <c r="AP509" s="380"/>
      <c r="AQ509" s="404"/>
      <c r="AR509" s="380"/>
      <c r="AS509" s="380"/>
      <c r="AT509" s="380"/>
      <c r="AU509" s="380"/>
      <c r="AV509" s="380"/>
      <c r="AW509" s="380"/>
      <c r="AX509" s="380"/>
      <c r="AY509" s="403"/>
      <c r="AZ509" s="380"/>
      <c r="BA509" s="380"/>
      <c r="BB509" s="380"/>
      <c r="BC509" s="380"/>
      <c r="BD509" s="380"/>
      <c r="BE509" s="404"/>
      <c r="BF509" s="380"/>
      <c r="BG509" s="380"/>
      <c r="BH509" s="380"/>
      <c r="BI509" s="380"/>
      <c r="BJ509" s="380"/>
      <c r="BK509" s="380"/>
      <c r="BL509" s="380"/>
      <c r="BM509" s="403"/>
      <c r="BS509" s="83"/>
      <c r="CA509" s="405"/>
      <c r="CG509" s="83"/>
      <c r="CO509" s="405"/>
      <c r="CU509" s="83"/>
      <c r="DC509" s="405"/>
      <c r="DI509" s="83"/>
      <c r="DQ509" s="405"/>
      <c r="DW509" s="83"/>
      <c r="EE509" s="405"/>
      <c r="EK509" s="83"/>
      <c r="ES509" s="405"/>
      <c r="EY509" s="83"/>
      <c r="FG509" s="405"/>
      <c r="FM509" s="83"/>
      <c r="FU509" s="405"/>
      <c r="GA509" s="83"/>
      <c r="GI509" s="405"/>
      <c r="GO509" s="83"/>
      <c r="GW509" s="405"/>
      <c r="HC509" s="83"/>
      <c r="HK509" s="405"/>
      <c r="HQ509" s="83"/>
      <c r="HY509" s="405"/>
      <c r="IE509" s="83"/>
      <c r="IM509" s="405"/>
      <c r="IS509" s="83"/>
      <c r="JA509" s="405"/>
      <c r="JG509" s="83"/>
      <c r="JO509" s="405"/>
      <c r="JU509" s="83"/>
      <c r="KC509" s="405"/>
      <c r="KI509" s="83"/>
      <c r="KQ509" s="405"/>
      <c r="KW509" s="83"/>
      <c r="LE509" s="405"/>
      <c r="LK509" s="83"/>
      <c r="LS509" s="405"/>
      <c r="LY509" s="83"/>
      <c r="MG509" s="405"/>
      <c r="MM509" s="83"/>
      <c r="MU509" s="405"/>
      <c r="NA509" s="83"/>
    </row>
    <row r="510">
      <c r="A510" s="483"/>
      <c r="B510" s="380"/>
      <c r="C510" s="380"/>
      <c r="D510" s="380"/>
      <c r="E510" s="380"/>
      <c r="F510" s="380"/>
      <c r="G510" s="380"/>
      <c r="H510" s="380"/>
      <c r="I510" s="403"/>
      <c r="J510" s="380"/>
      <c r="K510" s="380"/>
      <c r="L510" s="380"/>
      <c r="M510" s="380"/>
      <c r="N510" s="380"/>
      <c r="O510" s="404"/>
      <c r="P510" s="380"/>
      <c r="Q510" s="380"/>
      <c r="R510" s="380"/>
      <c r="S510" s="380"/>
      <c r="T510" s="380"/>
      <c r="U510" s="380"/>
      <c r="V510" s="380"/>
      <c r="W510" s="403"/>
      <c r="X510" s="380"/>
      <c r="Y510" s="380"/>
      <c r="Z510" s="380"/>
      <c r="AA510" s="380"/>
      <c r="AB510" s="380"/>
      <c r="AC510" s="404"/>
      <c r="AD510" s="380"/>
      <c r="AE510" s="380"/>
      <c r="AF510" s="380"/>
      <c r="AG510" s="380"/>
      <c r="AH510" s="380"/>
      <c r="AI510" s="380"/>
      <c r="AJ510" s="380"/>
      <c r="AK510" s="403"/>
      <c r="AL510" s="380"/>
      <c r="AM510" s="380"/>
      <c r="AN510" s="380"/>
      <c r="AO510" s="380"/>
      <c r="AP510" s="380"/>
      <c r="AQ510" s="404"/>
      <c r="AR510" s="380"/>
      <c r="AS510" s="380"/>
      <c r="AT510" s="380"/>
      <c r="AU510" s="380"/>
      <c r="AV510" s="380"/>
      <c r="AW510" s="380"/>
      <c r="AX510" s="380"/>
      <c r="AY510" s="403"/>
      <c r="AZ510" s="380"/>
      <c r="BA510" s="380"/>
      <c r="BB510" s="380"/>
      <c r="BC510" s="380"/>
      <c r="BD510" s="380"/>
      <c r="BE510" s="404"/>
      <c r="BF510" s="380"/>
      <c r="BG510" s="380"/>
      <c r="BH510" s="380"/>
      <c r="BI510" s="380"/>
      <c r="BJ510" s="380"/>
      <c r="BK510" s="380"/>
      <c r="BL510" s="380"/>
      <c r="BM510" s="403"/>
      <c r="BS510" s="83"/>
      <c r="CA510" s="405"/>
      <c r="CG510" s="83"/>
      <c r="CO510" s="405"/>
      <c r="CU510" s="83"/>
      <c r="DC510" s="405"/>
      <c r="DI510" s="83"/>
      <c r="DQ510" s="405"/>
      <c r="DW510" s="83"/>
      <c r="EE510" s="405"/>
      <c r="EK510" s="83"/>
      <c r="ES510" s="405"/>
      <c r="EY510" s="83"/>
      <c r="FG510" s="405"/>
      <c r="FM510" s="83"/>
      <c r="FU510" s="405"/>
      <c r="GA510" s="83"/>
      <c r="GI510" s="405"/>
      <c r="GO510" s="83"/>
      <c r="GW510" s="405"/>
      <c r="HC510" s="83"/>
      <c r="HK510" s="405"/>
      <c r="HQ510" s="83"/>
      <c r="HY510" s="405"/>
      <c r="IE510" s="83"/>
      <c r="IM510" s="405"/>
      <c r="IS510" s="83"/>
      <c r="JA510" s="405"/>
      <c r="JG510" s="83"/>
      <c r="JO510" s="405"/>
      <c r="JU510" s="83"/>
      <c r="KC510" s="405"/>
      <c r="KI510" s="83"/>
      <c r="KQ510" s="405"/>
      <c r="KW510" s="83"/>
      <c r="LE510" s="405"/>
      <c r="LK510" s="83"/>
      <c r="LS510" s="405"/>
      <c r="LY510" s="83"/>
      <c r="MG510" s="405"/>
      <c r="MM510" s="83"/>
      <c r="MU510" s="405"/>
      <c r="NA510" s="83"/>
    </row>
    <row r="511">
      <c r="A511" s="483"/>
      <c r="B511" s="380"/>
      <c r="C511" s="380"/>
      <c r="D511" s="380"/>
      <c r="E511" s="380"/>
      <c r="F511" s="380"/>
      <c r="G511" s="380"/>
      <c r="H511" s="380"/>
      <c r="I511" s="403"/>
      <c r="J511" s="380"/>
      <c r="K511" s="380"/>
      <c r="L511" s="380"/>
      <c r="M511" s="380"/>
      <c r="N511" s="380"/>
      <c r="O511" s="404"/>
      <c r="P511" s="380"/>
      <c r="Q511" s="380"/>
      <c r="R511" s="380"/>
      <c r="S511" s="380"/>
      <c r="T511" s="380"/>
      <c r="U511" s="380"/>
      <c r="V511" s="380"/>
      <c r="W511" s="403"/>
      <c r="X511" s="380"/>
      <c r="Y511" s="380"/>
      <c r="Z511" s="380"/>
      <c r="AA511" s="380"/>
      <c r="AB511" s="380"/>
      <c r="AC511" s="404"/>
      <c r="AD511" s="380"/>
      <c r="AE511" s="380"/>
      <c r="AF511" s="380"/>
      <c r="AG511" s="380"/>
      <c r="AH511" s="380"/>
      <c r="AI511" s="380"/>
      <c r="AJ511" s="380"/>
      <c r="AK511" s="403"/>
      <c r="AL511" s="380"/>
      <c r="AM511" s="380"/>
      <c r="AN511" s="380"/>
      <c r="AO511" s="380"/>
      <c r="AP511" s="380"/>
      <c r="AQ511" s="404"/>
      <c r="AR511" s="380"/>
      <c r="AS511" s="380"/>
      <c r="AT511" s="380"/>
      <c r="AU511" s="380"/>
      <c r="AV511" s="380"/>
      <c r="AW511" s="380"/>
      <c r="AX511" s="380"/>
      <c r="AY511" s="403"/>
      <c r="AZ511" s="380"/>
      <c r="BA511" s="380"/>
      <c r="BB511" s="380"/>
      <c r="BC511" s="380"/>
      <c r="BD511" s="380"/>
      <c r="BE511" s="404"/>
      <c r="BF511" s="380"/>
      <c r="BG511" s="380"/>
      <c r="BH511" s="380"/>
      <c r="BI511" s="380"/>
      <c r="BJ511" s="380"/>
      <c r="BK511" s="380"/>
      <c r="BL511" s="380"/>
      <c r="BM511" s="403"/>
      <c r="BS511" s="83"/>
      <c r="CA511" s="405"/>
      <c r="CG511" s="83"/>
      <c r="CO511" s="405"/>
      <c r="CU511" s="83"/>
      <c r="DC511" s="405"/>
      <c r="DI511" s="83"/>
      <c r="DQ511" s="405"/>
      <c r="DW511" s="83"/>
      <c r="EE511" s="405"/>
      <c r="EK511" s="83"/>
      <c r="ES511" s="405"/>
      <c r="EY511" s="83"/>
      <c r="FG511" s="405"/>
      <c r="FM511" s="83"/>
      <c r="FU511" s="405"/>
      <c r="GA511" s="83"/>
      <c r="GI511" s="405"/>
      <c r="GO511" s="83"/>
      <c r="GW511" s="405"/>
      <c r="HC511" s="83"/>
      <c r="HK511" s="405"/>
      <c r="HQ511" s="83"/>
      <c r="HY511" s="405"/>
      <c r="IE511" s="83"/>
      <c r="IM511" s="405"/>
      <c r="IS511" s="83"/>
      <c r="JA511" s="405"/>
      <c r="JG511" s="83"/>
      <c r="JO511" s="405"/>
      <c r="JU511" s="83"/>
      <c r="KC511" s="405"/>
      <c r="KI511" s="83"/>
      <c r="KQ511" s="405"/>
      <c r="KW511" s="83"/>
      <c r="LE511" s="405"/>
      <c r="LK511" s="83"/>
      <c r="LS511" s="405"/>
      <c r="LY511" s="83"/>
      <c r="MG511" s="405"/>
      <c r="MM511" s="83"/>
      <c r="MU511" s="405"/>
      <c r="NA511" s="83"/>
    </row>
    <row r="512">
      <c r="A512" s="483"/>
      <c r="B512" s="380"/>
      <c r="C512" s="380"/>
      <c r="D512" s="380"/>
      <c r="E512" s="380"/>
      <c r="F512" s="380"/>
      <c r="G512" s="380"/>
      <c r="H512" s="380"/>
      <c r="I512" s="403"/>
      <c r="J512" s="380"/>
      <c r="K512" s="380"/>
      <c r="L512" s="380"/>
      <c r="M512" s="380"/>
      <c r="N512" s="380"/>
      <c r="O512" s="404"/>
      <c r="P512" s="380"/>
      <c r="Q512" s="380"/>
      <c r="R512" s="380"/>
      <c r="S512" s="380"/>
      <c r="T512" s="380"/>
      <c r="U512" s="380"/>
      <c r="V512" s="380"/>
      <c r="W512" s="403"/>
      <c r="X512" s="380"/>
      <c r="Y512" s="380"/>
      <c r="Z512" s="380"/>
      <c r="AA512" s="380"/>
      <c r="AB512" s="380"/>
      <c r="AC512" s="404"/>
      <c r="AD512" s="380"/>
      <c r="AE512" s="380"/>
      <c r="AF512" s="380"/>
      <c r="AG512" s="380"/>
      <c r="AH512" s="380"/>
      <c r="AI512" s="380"/>
      <c r="AJ512" s="380"/>
      <c r="AK512" s="403"/>
      <c r="AL512" s="380"/>
      <c r="AM512" s="380"/>
      <c r="AN512" s="380"/>
      <c r="AO512" s="380"/>
      <c r="AP512" s="380"/>
      <c r="AQ512" s="404"/>
      <c r="AR512" s="380"/>
      <c r="AS512" s="380"/>
      <c r="AT512" s="380"/>
      <c r="AU512" s="380"/>
      <c r="AV512" s="380"/>
      <c r="AW512" s="380"/>
      <c r="AX512" s="380"/>
      <c r="AY512" s="403"/>
      <c r="AZ512" s="380"/>
      <c r="BA512" s="380"/>
      <c r="BB512" s="380"/>
      <c r="BC512" s="380"/>
      <c r="BD512" s="380"/>
      <c r="BE512" s="404"/>
      <c r="BF512" s="380"/>
      <c r="BG512" s="380"/>
      <c r="BH512" s="380"/>
      <c r="BI512" s="380"/>
      <c r="BJ512" s="380"/>
      <c r="BK512" s="380"/>
      <c r="BL512" s="380"/>
      <c r="BM512" s="403"/>
      <c r="BS512" s="83"/>
      <c r="CA512" s="405"/>
      <c r="CG512" s="83"/>
      <c r="CO512" s="405"/>
      <c r="CU512" s="83"/>
      <c r="DC512" s="405"/>
      <c r="DI512" s="83"/>
      <c r="DQ512" s="405"/>
      <c r="DW512" s="83"/>
      <c r="EE512" s="405"/>
      <c r="EK512" s="83"/>
      <c r="ES512" s="405"/>
      <c r="EY512" s="83"/>
      <c r="FG512" s="405"/>
      <c r="FM512" s="83"/>
      <c r="FU512" s="405"/>
      <c r="GA512" s="83"/>
      <c r="GI512" s="405"/>
      <c r="GO512" s="83"/>
      <c r="GW512" s="405"/>
      <c r="HC512" s="83"/>
      <c r="HK512" s="405"/>
      <c r="HQ512" s="83"/>
      <c r="HY512" s="405"/>
      <c r="IE512" s="83"/>
      <c r="IM512" s="405"/>
      <c r="IS512" s="83"/>
      <c r="JA512" s="405"/>
      <c r="JG512" s="83"/>
      <c r="JO512" s="405"/>
      <c r="JU512" s="83"/>
      <c r="KC512" s="405"/>
      <c r="KI512" s="83"/>
      <c r="KQ512" s="405"/>
      <c r="KW512" s="83"/>
      <c r="LE512" s="405"/>
      <c r="LK512" s="83"/>
      <c r="LS512" s="405"/>
      <c r="LY512" s="83"/>
      <c r="MG512" s="405"/>
      <c r="MM512" s="83"/>
      <c r="MU512" s="405"/>
      <c r="NA512" s="83"/>
    </row>
    <row r="513">
      <c r="A513" s="483"/>
      <c r="B513" s="380"/>
      <c r="C513" s="380"/>
      <c r="D513" s="380"/>
      <c r="E513" s="380"/>
      <c r="F513" s="380"/>
      <c r="G513" s="380"/>
      <c r="H513" s="380"/>
      <c r="I513" s="403"/>
      <c r="J513" s="380"/>
      <c r="K513" s="380"/>
      <c r="L513" s="380"/>
      <c r="M513" s="380"/>
      <c r="N513" s="380"/>
      <c r="O513" s="404"/>
      <c r="P513" s="380"/>
      <c r="Q513" s="380"/>
      <c r="R513" s="380"/>
      <c r="S513" s="380"/>
      <c r="T513" s="380"/>
      <c r="U513" s="380"/>
      <c r="V513" s="380"/>
      <c r="W513" s="403"/>
      <c r="X513" s="380"/>
      <c r="Y513" s="380"/>
      <c r="Z513" s="380"/>
      <c r="AA513" s="380"/>
      <c r="AB513" s="380"/>
      <c r="AC513" s="404"/>
      <c r="AD513" s="380"/>
      <c r="AE513" s="380"/>
      <c r="AF513" s="380"/>
      <c r="AG513" s="380"/>
      <c r="AH513" s="380"/>
      <c r="AI513" s="380"/>
      <c r="AJ513" s="380"/>
      <c r="AK513" s="403"/>
      <c r="AL513" s="380"/>
      <c r="AM513" s="380"/>
      <c r="AN513" s="380"/>
      <c r="AO513" s="380"/>
      <c r="AP513" s="380"/>
      <c r="AQ513" s="404"/>
      <c r="AR513" s="380"/>
      <c r="AS513" s="380"/>
      <c r="AT513" s="380"/>
      <c r="AU513" s="380"/>
      <c r="AV513" s="380"/>
      <c r="AW513" s="380"/>
      <c r="AX513" s="380"/>
      <c r="AY513" s="403"/>
      <c r="AZ513" s="380"/>
      <c r="BA513" s="380"/>
      <c r="BB513" s="380"/>
      <c r="BC513" s="380"/>
      <c r="BD513" s="380"/>
      <c r="BE513" s="404"/>
      <c r="BF513" s="380"/>
      <c r="BG513" s="380"/>
      <c r="BH513" s="380"/>
      <c r="BI513" s="380"/>
      <c r="BJ513" s="380"/>
      <c r="BK513" s="380"/>
      <c r="BL513" s="380"/>
      <c r="BM513" s="403"/>
      <c r="BS513" s="83"/>
      <c r="CA513" s="405"/>
      <c r="CG513" s="83"/>
      <c r="CO513" s="405"/>
      <c r="CU513" s="83"/>
      <c r="DC513" s="405"/>
      <c r="DI513" s="83"/>
      <c r="DQ513" s="405"/>
      <c r="DW513" s="83"/>
      <c r="EE513" s="405"/>
      <c r="EK513" s="83"/>
      <c r="ES513" s="405"/>
      <c r="EY513" s="83"/>
      <c r="FG513" s="405"/>
      <c r="FM513" s="83"/>
      <c r="FU513" s="405"/>
      <c r="GA513" s="83"/>
      <c r="GI513" s="405"/>
      <c r="GO513" s="83"/>
      <c r="GW513" s="405"/>
      <c r="HC513" s="83"/>
      <c r="HK513" s="405"/>
      <c r="HQ513" s="83"/>
      <c r="HY513" s="405"/>
      <c r="IE513" s="83"/>
      <c r="IM513" s="405"/>
      <c r="IS513" s="83"/>
      <c r="JA513" s="405"/>
      <c r="JG513" s="83"/>
      <c r="JO513" s="405"/>
      <c r="JU513" s="83"/>
      <c r="KC513" s="405"/>
      <c r="KI513" s="83"/>
      <c r="KQ513" s="405"/>
      <c r="KW513" s="83"/>
      <c r="LE513" s="405"/>
      <c r="LK513" s="83"/>
      <c r="LS513" s="405"/>
      <c r="LY513" s="83"/>
      <c r="MG513" s="405"/>
      <c r="MM513" s="83"/>
      <c r="MU513" s="405"/>
      <c r="NA513" s="83"/>
    </row>
    <row r="514">
      <c r="A514" s="483"/>
      <c r="B514" s="380"/>
      <c r="C514" s="380"/>
      <c r="D514" s="380"/>
      <c r="E514" s="380"/>
      <c r="F514" s="380"/>
      <c r="G514" s="380"/>
      <c r="H514" s="380"/>
      <c r="I514" s="403"/>
      <c r="J514" s="380"/>
      <c r="K514" s="380"/>
      <c r="L514" s="380"/>
      <c r="M514" s="380"/>
      <c r="N514" s="380"/>
      <c r="O514" s="404"/>
      <c r="P514" s="380"/>
      <c r="Q514" s="380"/>
      <c r="R514" s="380"/>
      <c r="S514" s="380"/>
      <c r="T514" s="380"/>
      <c r="U514" s="380"/>
      <c r="V514" s="380"/>
      <c r="W514" s="403"/>
      <c r="X514" s="380"/>
      <c r="Y514" s="380"/>
      <c r="Z514" s="380"/>
      <c r="AA514" s="380"/>
      <c r="AB514" s="380"/>
      <c r="AC514" s="404"/>
      <c r="AD514" s="380"/>
      <c r="AE514" s="380"/>
      <c r="AF514" s="380"/>
      <c r="AG514" s="380"/>
      <c r="AH514" s="380"/>
      <c r="AI514" s="380"/>
      <c r="AJ514" s="380"/>
      <c r="AK514" s="403"/>
      <c r="AL514" s="380"/>
      <c r="AM514" s="380"/>
      <c r="AN514" s="380"/>
      <c r="AO514" s="380"/>
      <c r="AP514" s="380"/>
      <c r="AQ514" s="404"/>
      <c r="AR514" s="380"/>
      <c r="AS514" s="380"/>
      <c r="AT514" s="380"/>
      <c r="AU514" s="380"/>
      <c r="AV514" s="380"/>
      <c r="AW514" s="380"/>
      <c r="AX514" s="380"/>
      <c r="AY514" s="403"/>
      <c r="AZ514" s="380"/>
      <c r="BA514" s="380"/>
      <c r="BB514" s="380"/>
      <c r="BC514" s="380"/>
      <c r="BD514" s="380"/>
      <c r="BE514" s="404"/>
      <c r="BF514" s="380"/>
      <c r="BG514" s="380"/>
      <c r="BH514" s="380"/>
      <c r="BI514" s="380"/>
      <c r="BJ514" s="380"/>
      <c r="BK514" s="380"/>
      <c r="BL514" s="380"/>
      <c r="BM514" s="403"/>
      <c r="BS514" s="83"/>
      <c r="CA514" s="405"/>
      <c r="CG514" s="83"/>
      <c r="CO514" s="405"/>
      <c r="CU514" s="83"/>
      <c r="DC514" s="405"/>
      <c r="DI514" s="83"/>
      <c r="DQ514" s="405"/>
      <c r="DW514" s="83"/>
      <c r="EE514" s="405"/>
      <c r="EK514" s="83"/>
      <c r="ES514" s="405"/>
      <c r="EY514" s="83"/>
      <c r="FG514" s="405"/>
      <c r="FM514" s="83"/>
      <c r="FU514" s="405"/>
      <c r="GA514" s="83"/>
      <c r="GI514" s="405"/>
      <c r="GO514" s="83"/>
      <c r="GW514" s="405"/>
      <c r="HC514" s="83"/>
      <c r="HK514" s="405"/>
      <c r="HQ514" s="83"/>
      <c r="HY514" s="405"/>
      <c r="IE514" s="83"/>
      <c r="IM514" s="405"/>
      <c r="IS514" s="83"/>
      <c r="JA514" s="405"/>
      <c r="JG514" s="83"/>
      <c r="JO514" s="405"/>
      <c r="JU514" s="83"/>
      <c r="KC514" s="405"/>
      <c r="KI514" s="83"/>
      <c r="KQ514" s="405"/>
      <c r="KW514" s="83"/>
      <c r="LE514" s="405"/>
      <c r="LK514" s="83"/>
      <c r="LS514" s="405"/>
      <c r="LY514" s="83"/>
      <c r="MG514" s="405"/>
      <c r="MM514" s="83"/>
      <c r="MU514" s="405"/>
      <c r="NA514" s="83"/>
    </row>
    <row r="515">
      <c r="A515" s="483"/>
      <c r="B515" s="380"/>
      <c r="C515" s="380"/>
      <c r="D515" s="380"/>
      <c r="E515" s="380"/>
      <c r="F515" s="380"/>
      <c r="G515" s="380"/>
      <c r="H515" s="380"/>
      <c r="I515" s="403"/>
      <c r="J515" s="380"/>
      <c r="K515" s="380"/>
      <c r="L515" s="380"/>
      <c r="M515" s="380"/>
      <c r="N515" s="380"/>
      <c r="O515" s="404"/>
      <c r="P515" s="380"/>
      <c r="Q515" s="380"/>
      <c r="R515" s="380"/>
      <c r="S515" s="380"/>
      <c r="T515" s="380"/>
      <c r="U515" s="380"/>
      <c r="V515" s="380"/>
      <c r="W515" s="403"/>
      <c r="X515" s="380"/>
      <c r="Y515" s="380"/>
      <c r="Z515" s="380"/>
      <c r="AA515" s="380"/>
      <c r="AB515" s="380"/>
      <c r="AC515" s="404"/>
      <c r="AD515" s="380"/>
      <c r="AE515" s="380"/>
      <c r="AF515" s="380"/>
      <c r="AG515" s="380"/>
      <c r="AH515" s="380"/>
      <c r="AI515" s="380"/>
      <c r="AJ515" s="380"/>
      <c r="AK515" s="403"/>
      <c r="AL515" s="380"/>
      <c r="AM515" s="380"/>
      <c r="AN515" s="380"/>
      <c r="AO515" s="380"/>
      <c r="AP515" s="380"/>
      <c r="AQ515" s="404"/>
      <c r="AR515" s="380"/>
      <c r="AS515" s="380"/>
      <c r="AT515" s="380"/>
      <c r="AU515" s="380"/>
      <c r="AV515" s="380"/>
      <c r="AW515" s="380"/>
      <c r="AX515" s="380"/>
      <c r="AY515" s="403"/>
      <c r="AZ515" s="380"/>
      <c r="BA515" s="380"/>
      <c r="BB515" s="380"/>
      <c r="BC515" s="380"/>
      <c r="BD515" s="380"/>
      <c r="BE515" s="404"/>
      <c r="BF515" s="380"/>
      <c r="BG515" s="380"/>
      <c r="BH515" s="380"/>
      <c r="BI515" s="380"/>
      <c r="BJ515" s="380"/>
      <c r="BK515" s="380"/>
      <c r="BL515" s="380"/>
      <c r="BM515" s="403"/>
      <c r="BS515" s="83"/>
      <c r="CA515" s="405"/>
      <c r="CG515" s="83"/>
      <c r="CO515" s="405"/>
      <c r="CU515" s="83"/>
      <c r="DC515" s="405"/>
      <c r="DI515" s="83"/>
      <c r="DQ515" s="405"/>
      <c r="DW515" s="83"/>
      <c r="EE515" s="405"/>
      <c r="EK515" s="83"/>
      <c r="ES515" s="405"/>
      <c r="EY515" s="83"/>
      <c r="FG515" s="405"/>
      <c r="FM515" s="83"/>
      <c r="FU515" s="405"/>
      <c r="GA515" s="83"/>
      <c r="GI515" s="405"/>
      <c r="GO515" s="83"/>
      <c r="GW515" s="405"/>
      <c r="HC515" s="83"/>
      <c r="HK515" s="405"/>
      <c r="HQ515" s="83"/>
      <c r="HY515" s="405"/>
      <c r="IE515" s="83"/>
      <c r="IM515" s="405"/>
      <c r="IS515" s="83"/>
      <c r="JA515" s="405"/>
      <c r="JG515" s="83"/>
      <c r="JO515" s="405"/>
      <c r="JU515" s="83"/>
      <c r="KC515" s="405"/>
      <c r="KI515" s="83"/>
      <c r="KQ515" s="405"/>
      <c r="KW515" s="83"/>
      <c r="LE515" s="405"/>
      <c r="LK515" s="83"/>
      <c r="LS515" s="405"/>
      <c r="LY515" s="83"/>
      <c r="MG515" s="405"/>
      <c r="MM515" s="83"/>
      <c r="MU515" s="405"/>
      <c r="NA515" s="83"/>
    </row>
    <row r="516">
      <c r="A516" s="483"/>
      <c r="B516" s="380"/>
      <c r="C516" s="380"/>
      <c r="D516" s="380"/>
      <c r="E516" s="380"/>
      <c r="F516" s="380"/>
      <c r="G516" s="380"/>
      <c r="H516" s="380"/>
      <c r="I516" s="403"/>
      <c r="J516" s="380"/>
      <c r="K516" s="380"/>
      <c r="L516" s="380"/>
      <c r="M516" s="380"/>
      <c r="N516" s="380"/>
      <c r="O516" s="404"/>
      <c r="P516" s="380"/>
      <c r="Q516" s="380"/>
      <c r="R516" s="380"/>
      <c r="S516" s="380"/>
      <c r="T516" s="380"/>
      <c r="U516" s="380"/>
      <c r="V516" s="380"/>
      <c r="W516" s="403"/>
      <c r="X516" s="380"/>
      <c r="Y516" s="380"/>
      <c r="Z516" s="380"/>
      <c r="AA516" s="380"/>
      <c r="AB516" s="380"/>
      <c r="AC516" s="404"/>
      <c r="AD516" s="380"/>
      <c r="AE516" s="380"/>
      <c r="AF516" s="380"/>
      <c r="AG516" s="380"/>
      <c r="AH516" s="380"/>
      <c r="AI516" s="380"/>
      <c r="AJ516" s="380"/>
      <c r="AK516" s="403"/>
      <c r="AL516" s="380"/>
      <c r="AM516" s="380"/>
      <c r="AN516" s="380"/>
      <c r="AO516" s="380"/>
      <c r="AP516" s="380"/>
      <c r="AQ516" s="404"/>
      <c r="AR516" s="380"/>
      <c r="AS516" s="380"/>
      <c r="AT516" s="380"/>
      <c r="AU516" s="380"/>
      <c r="AV516" s="380"/>
      <c r="AW516" s="380"/>
      <c r="AX516" s="380"/>
      <c r="AY516" s="403"/>
      <c r="AZ516" s="380"/>
      <c r="BA516" s="380"/>
      <c r="BB516" s="380"/>
      <c r="BC516" s="380"/>
      <c r="BD516" s="380"/>
      <c r="BE516" s="404"/>
      <c r="BF516" s="380"/>
      <c r="BG516" s="380"/>
      <c r="BH516" s="380"/>
      <c r="BI516" s="380"/>
      <c r="BJ516" s="380"/>
      <c r="BK516" s="380"/>
      <c r="BL516" s="380"/>
      <c r="BM516" s="403"/>
      <c r="BS516" s="83"/>
      <c r="CA516" s="405"/>
      <c r="CG516" s="83"/>
      <c r="CO516" s="405"/>
      <c r="CU516" s="83"/>
      <c r="DC516" s="405"/>
      <c r="DI516" s="83"/>
      <c r="DQ516" s="405"/>
      <c r="DW516" s="83"/>
      <c r="EE516" s="405"/>
      <c r="EK516" s="83"/>
      <c r="ES516" s="405"/>
      <c r="EY516" s="83"/>
      <c r="FG516" s="405"/>
      <c r="FM516" s="83"/>
      <c r="FU516" s="405"/>
      <c r="GA516" s="83"/>
      <c r="GI516" s="405"/>
      <c r="GO516" s="83"/>
      <c r="GW516" s="405"/>
      <c r="HC516" s="83"/>
      <c r="HK516" s="405"/>
      <c r="HQ516" s="83"/>
      <c r="HY516" s="405"/>
      <c r="IE516" s="83"/>
      <c r="IM516" s="405"/>
      <c r="IS516" s="83"/>
      <c r="JA516" s="405"/>
      <c r="JG516" s="83"/>
      <c r="JO516" s="405"/>
      <c r="JU516" s="83"/>
      <c r="KC516" s="405"/>
      <c r="KI516" s="83"/>
      <c r="KQ516" s="405"/>
      <c r="KW516" s="83"/>
      <c r="LE516" s="405"/>
      <c r="LK516" s="83"/>
      <c r="LS516" s="405"/>
      <c r="LY516" s="83"/>
      <c r="MG516" s="405"/>
      <c r="MM516" s="83"/>
      <c r="MU516" s="405"/>
      <c r="NA516" s="83"/>
    </row>
    <row r="517">
      <c r="A517" s="483"/>
      <c r="B517" s="380"/>
      <c r="C517" s="380"/>
      <c r="D517" s="380"/>
      <c r="E517" s="380"/>
      <c r="F517" s="380"/>
      <c r="G517" s="380"/>
      <c r="H517" s="380"/>
      <c r="I517" s="403"/>
      <c r="J517" s="380"/>
      <c r="K517" s="380"/>
      <c r="L517" s="380"/>
      <c r="M517" s="380"/>
      <c r="N517" s="380"/>
      <c r="O517" s="404"/>
      <c r="P517" s="380"/>
      <c r="Q517" s="380"/>
      <c r="R517" s="380"/>
      <c r="S517" s="380"/>
      <c r="T517" s="380"/>
      <c r="U517" s="380"/>
      <c r="V517" s="380"/>
      <c r="W517" s="403"/>
      <c r="X517" s="380"/>
      <c r="Y517" s="380"/>
      <c r="Z517" s="380"/>
      <c r="AA517" s="380"/>
      <c r="AB517" s="380"/>
      <c r="AC517" s="404"/>
      <c r="AD517" s="380"/>
      <c r="AE517" s="380"/>
      <c r="AF517" s="380"/>
      <c r="AG517" s="380"/>
      <c r="AH517" s="380"/>
      <c r="AI517" s="380"/>
      <c r="AJ517" s="380"/>
      <c r="AK517" s="403"/>
      <c r="AL517" s="380"/>
      <c r="AM517" s="380"/>
      <c r="AN517" s="380"/>
      <c r="AO517" s="380"/>
      <c r="AP517" s="380"/>
      <c r="AQ517" s="404"/>
      <c r="AR517" s="380"/>
      <c r="AS517" s="380"/>
      <c r="AT517" s="380"/>
      <c r="AU517" s="380"/>
      <c r="AV517" s="380"/>
      <c r="AW517" s="380"/>
      <c r="AX517" s="380"/>
      <c r="AY517" s="403"/>
      <c r="AZ517" s="380"/>
      <c r="BA517" s="380"/>
      <c r="BB517" s="380"/>
      <c r="BC517" s="380"/>
      <c r="BD517" s="380"/>
      <c r="BE517" s="404"/>
      <c r="BF517" s="380"/>
      <c r="BG517" s="380"/>
      <c r="BH517" s="380"/>
      <c r="BI517" s="380"/>
      <c r="BJ517" s="380"/>
      <c r="BK517" s="380"/>
      <c r="BL517" s="380"/>
      <c r="BM517" s="403"/>
      <c r="BS517" s="83"/>
      <c r="CA517" s="405"/>
      <c r="CG517" s="83"/>
      <c r="CO517" s="405"/>
      <c r="CU517" s="83"/>
      <c r="DC517" s="405"/>
      <c r="DI517" s="83"/>
      <c r="DQ517" s="405"/>
      <c r="DW517" s="83"/>
      <c r="EE517" s="405"/>
      <c r="EK517" s="83"/>
      <c r="ES517" s="405"/>
      <c r="EY517" s="83"/>
      <c r="FG517" s="405"/>
      <c r="FM517" s="83"/>
      <c r="FU517" s="405"/>
      <c r="GA517" s="83"/>
      <c r="GI517" s="405"/>
      <c r="GO517" s="83"/>
      <c r="GW517" s="405"/>
      <c r="HC517" s="83"/>
      <c r="HK517" s="405"/>
      <c r="HQ517" s="83"/>
      <c r="HY517" s="405"/>
      <c r="IE517" s="83"/>
      <c r="IM517" s="405"/>
      <c r="IS517" s="83"/>
      <c r="JA517" s="405"/>
      <c r="JG517" s="83"/>
      <c r="JO517" s="405"/>
      <c r="JU517" s="83"/>
      <c r="KC517" s="405"/>
      <c r="KI517" s="83"/>
      <c r="KQ517" s="405"/>
      <c r="KW517" s="83"/>
      <c r="LE517" s="405"/>
      <c r="LK517" s="83"/>
      <c r="LS517" s="405"/>
      <c r="LY517" s="83"/>
      <c r="MG517" s="405"/>
      <c r="MM517" s="83"/>
      <c r="MU517" s="405"/>
      <c r="NA517" s="83"/>
    </row>
    <row r="518">
      <c r="A518" s="483"/>
      <c r="B518" s="380"/>
      <c r="C518" s="380"/>
      <c r="D518" s="380"/>
      <c r="E518" s="380"/>
      <c r="F518" s="380"/>
      <c r="G518" s="380"/>
      <c r="H518" s="380"/>
      <c r="I518" s="403"/>
      <c r="J518" s="380"/>
      <c r="K518" s="380"/>
      <c r="L518" s="380"/>
      <c r="M518" s="380"/>
      <c r="N518" s="380"/>
      <c r="O518" s="404"/>
      <c r="P518" s="380"/>
      <c r="Q518" s="380"/>
      <c r="R518" s="380"/>
      <c r="S518" s="380"/>
      <c r="T518" s="380"/>
      <c r="U518" s="380"/>
      <c r="V518" s="380"/>
      <c r="W518" s="403"/>
      <c r="X518" s="380"/>
      <c r="Y518" s="380"/>
      <c r="Z518" s="380"/>
      <c r="AA518" s="380"/>
      <c r="AB518" s="380"/>
      <c r="AC518" s="404"/>
      <c r="AD518" s="380"/>
      <c r="AE518" s="380"/>
      <c r="AF518" s="380"/>
      <c r="AG518" s="380"/>
      <c r="AH518" s="380"/>
      <c r="AI518" s="380"/>
      <c r="AJ518" s="380"/>
      <c r="AK518" s="403"/>
      <c r="AL518" s="380"/>
      <c r="AM518" s="380"/>
      <c r="AN518" s="380"/>
      <c r="AO518" s="380"/>
      <c r="AP518" s="380"/>
      <c r="AQ518" s="404"/>
      <c r="AR518" s="380"/>
      <c r="AS518" s="380"/>
      <c r="AT518" s="380"/>
      <c r="AU518" s="380"/>
      <c r="AV518" s="380"/>
      <c r="AW518" s="380"/>
      <c r="AX518" s="380"/>
      <c r="AY518" s="403"/>
      <c r="AZ518" s="380"/>
      <c r="BA518" s="380"/>
      <c r="BB518" s="380"/>
      <c r="BC518" s="380"/>
      <c r="BD518" s="380"/>
      <c r="BE518" s="404"/>
      <c r="BF518" s="380"/>
      <c r="BG518" s="380"/>
      <c r="BH518" s="380"/>
      <c r="BI518" s="380"/>
      <c r="BJ518" s="380"/>
      <c r="BK518" s="380"/>
      <c r="BL518" s="380"/>
      <c r="BM518" s="403"/>
      <c r="BS518" s="83"/>
      <c r="CA518" s="405"/>
      <c r="CG518" s="83"/>
      <c r="CO518" s="405"/>
      <c r="CU518" s="83"/>
      <c r="DC518" s="405"/>
      <c r="DI518" s="83"/>
      <c r="DQ518" s="405"/>
      <c r="DW518" s="83"/>
      <c r="EE518" s="405"/>
      <c r="EK518" s="83"/>
      <c r="ES518" s="405"/>
      <c r="EY518" s="83"/>
      <c r="FG518" s="405"/>
      <c r="FM518" s="83"/>
      <c r="FU518" s="405"/>
      <c r="GA518" s="83"/>
      <c r="GI518" s="405"/>
      <c r="GO518" s="83"/>
      <c r="GW518" s="405"/>
      <c r="HC518" s="83"/>
      <c r="HK518" s="405"/>
      <c r="HQ518" s="83"/>
      <c r="HY518" s="405"/>
      <c r="IE518" s="83"/>
      <c r="IM518" s="405"/>
      <c r="IS518" s="83"/>
      <c r="JA518" s="405"/>
      <c r="JG518" s="83"/>
      <c r="JO518" s="405"/>
      <c r="JU518" s="83"/>
      <c r="KC518" s="405"/>
      <c r="KI518" s="83"/>
      <c r="KQ518" s="405"/>
      <c r="KW518" s="83"/>
      <c r="LE518" s="405"/>
      <c r="LK518" s="83"/>
      <c r="LS518" s="405"/>
      <c r="LY518" s="83"/>
      <c r="MG518" s="405"/>
      <c r="MM518" s="83"/>
      <c r="MU518" s="405"/>
      <c r="NA518" s="83"/>
    </row>
    <row r="519">
      <c r="A519" s="483"/>
      <c r="B519" s="380"/>
      <c r="C519" s="380"/>
      <c r="D519" s="380"/>
      <c r="E519" s="380"/>
      <c r="F519" s="380"/>
      <c r="G519" s="380"/>
      <c r="H519" s="380"/>
      <c r="I519" s="403"/>
      <c r="J519" s="380"/>
      <c r="K519" s="380"/>
      <c r="L519" s="380"/>
      <c r="M519" s="380"/>
      <c r="N519" s="380"/>
      <c r="O519" s="404"/>
      <c r="P519" s="380"/>
      <c r="Q519" s="380"/>
      <c r="R519" s="380"/>
      <c r="S519" s="380"/>
      <c r="T519" s="380"/>
      <c r="U519" s="380"/>
      <c r="V519" s="380"/>
      <c r="W519" s="403"/>
      <c r="X519" s="380"/>
      <c r="Y519" s="380"/>
      <c r="Z519" s="380"/>
      <c r="AA519" s="380"/>
      <c r="AB519" s="380"/>
      <c r="AC519" s="404"/>
      <c r="AD519" s="380"/>
      <c r="AE519" s="380"/>
      <c r="AF519" s="380"/>
      <c r="AG519" s="380"/>
      <c r="AH519" s="380"/>
      <c r="AI519" s="380"/>
      <c r="AJ519" s="380"/>
      <c r="AK519" s="403"/>
      <c r="AL519" s="380"/>
      <c r="AM519" s="380"/>
      <c r="AN519" s="380"/>
      <c r="AO519" s="380"/>
      <c r="AP519" s="380"/>
      <c r="AQ519" s="404"/>
      <c r="AR519" s="380"/>
      <c r="AS519" s="380"/>
      <c r="AT519" s="380"/>
      <c r="AU519" s="380"/>
      <c r="AV519" s="380"/>
      <c r="AW519" s="380"/>
      <c r="AX519" s="380"/>
      <c r="AY519" s="403"/>
      <c r="AZ519" s="380"/>
      <c r="BA519" s="380"/>
      <c r="BB519" s="380"/>
      <c r="BC519" s="380"/>
      <c r="BD519" s="380"/>
      <c r="BE519" s="404"/>
      <c r="BF519" s="380"/>
      <c r="BG519" s="380"/>
      <c r="BH519" s="380"/>
      <c r="BI519" s="380"/>
      <c r="BJ519" s="380"/>
      <c r="BK519" s="380"/>
      <c r="BL519" s="380"/>
      <c r="BM519" s="403"/>
      <c r="BS519" s="83"/>
      <c r="CA519" s="405"/>
      <c r="CG519" s="83"/>
      <c r="CO519" s="405"/>
      <c r="CU519" s="83"/>
      <c r="DC519" s="405"/>
      <c r="DI519" s="83"/>
      <c r="DQ519" s="405"/>
      <c r="DW519" s="83"/>
      <c r="EE519" s="405"/>
      <c r="EK519" s="83"/>
      <c r="ES519" s="405"/>
      <c r="EY519" s="83"/>
      <c r="FG519" s="405"/>
      <c r="FM519" s="83"/>
      <c r="FU519" s="405"/>
      <c r="GA519" s="83"/>
      <c r="GI519" s="405"/>
      <c r="GO519" s="83"/>
      <c r="GW519" s="405"/>
      <c r="HC519" s="83"/>
      <c r="HK519" s="405"/>
      <c r="HQ519" s="83"/>
      <c r="HY519" s="405"/>
      <c r="IE519" s="83"/>
      <c r="IM519" s="405"/>
      <c r="IS519" s="83"/>
      <c r="JA519" s="405"/>
      <c r="JG519" s="83"/>
      <c r="JO519" s="405"/>
      <c r="JU519" s="83"/>
      <c r="KC519" s="405"/>
      <c r="KI519" s="83"/>
      <c r="KQ519" s="405"/>
      <c r="KW519" s="83"/>
      <c r="LE519" s="405"/>
      <c r="LK519" s="83"/>
      <c r="LS519" s="405"/>
      <c r="LY519" s="83"/>
      <c r="MG519" s="405"/>
      <c r="MM519" s="83"/>
      <c r="MU519" s="405"/>
      <c r="NA519" s="83"/>
    </row>
    <row r="520">
      <c r="A520" s="483"/>
      <c r="B520" s="380"/>
      <c r="C520" s="380"/>
      <c r="D520" s="380"/>
      <c r="E520" s="380"/>
      <c r="F520" s="380"/>
      <c r="G520" s="380"/>
      <c r="H520" s="380"/>
      <c r="I520" s="403"/>
      <c r="J520" s="380"/>
      <c r="K520" s="380"/>
      <c r="L520" s="380"/>
      <c r="M520" s="380"/>
      <c r="N520" s="380"/>
      <c r="O520" s="404"/>
      <c r="P520" s="380"/>
      <c r="Q520" s="380"/>
      <c r="R520" s="380"/>
      <c r="S520" s="380"/>
      <c r="T520" s="380"/>
      <c r="U520" s="380"/>
      <c r="V520" s="380"/>
      <c r="W520" s="403"/>
      <c r="X520" s="380"/>
      <c r="Y520" s="380"/>
      <c r="Z520" s="380"/>
      <c r="AA520" s="380"/>
      <c r="AB520" s="380"/>
      <c r="AC520" s="404"/>
      <c r="AD520" s="380"/>
      <c r="AE520" s="380"/>
      <c r="AF520" s="380"/>
      <c r="AG520" s="380"/>
      <c r="AH520" s="380"/>
      <c r="AI520" s="380"/>
      <c r="AJ520" s="380"/>
      <c r="AK520" s="403"/>
      <c r="AL520" s="380"/>
      <c r="AM520" s="380"/>
      <c r="AN520" s="380"/>
      <c r="AO520" s="380"/>
      <c r="AP520" s="380"/>
      <c r="AQ520" s="404"/>
      <c r="AR520" s="380"/>
      <c r="AS520" s="380"/>
      <c r="AT520" s="380"/>
      <c r="AU520" s="380"/>
      <c r="AV520" s="380"/>
      <c r="AW520" s="380"/>
      <c r="AX520" s="380"/>
      <c r="AY520" s="403"/>
      <c r="AZ520" s="380"/>
      <c r="BA520" s="380"/>
      <c r="BB520" s="380"/>
      <c r="BC520" s="380"/>
      <c r="BD520" s="380"/>
      <c r="BE520" s="404"/>
      <c r="BF520" s="380"/>
      <c r="BG520" s="380"/>
      <c r="BH520" s="380"/>
      <c r="BI520" s="380"/>
      <c r="BJ520" s="380"/>
      <c r="BK520" s="380"/>
      <c r="BL520" s="380"/>
      <c r="BM520" s="403"/>
      <c r="BS520" s="83"/>
      <c r="CA520" s="405"/>
      <c r="CG520" s="83"/>
      <c r="CO520" s="405"/>
      <c r="CU520" s="83"/>
      <c r="DC520" s="405"/>
      <c r="DI520" s="83"/>
      <c r="DQ520" s="405"/>
      <c r="DW520" s="83"/>
      <c r="EE520" s="405"/>
      <c r="EK520" s="83"/>
      <c r="ES520" s="405"/>
      <c r="EY520" s="83"/>
      <c r="FG520" s="405"/>
      <c r="FM520" s="83"/>
      <c r="FU520" s="405"/>
      <c r="GA520" s="83"/>
      <c r="GI520" s="405"/>
      <c r="GO520" s="83"/>
      <c r="GW520" s="405"/>
      <c r="HC520" s="83"/>
      <c r="HK520" s="405"/>
      <c r="HQ520" s="83"/>
      <c r="HY520" s="405"/>
      <c r="IE520" s="83"/>
      <c r="IM520" s="405"/>
      <c r="IS520" s="83"/>
      <c r="JA520" s="405"/>
      <c r="JG520" s="83"/>
      <c r="JO520" s="405"/>
      <c r="JU520" s="83"/>
      <c r="KC520" s="405"/>
      <c r="KI520" s="83"/>
      <c r="KQ520" s="405"/>
      <c r="KW520" s="83"/>
      <c r="LE520" s="405"/>
      <c r="LK520" s="83"/>
      <c r="LS520" s="405"/>
      <c r="LY520" s="83"/>
      <c r="MG520" s="405"/>
      <c r="MM520" s="83"/>
      <c r="MU520" s="405"/>
      <c r="NA520" s="83"/>
    </row>
    <row r="521">
      <c r="A521" s="483"/>
      <c r="B521" s="380"/>
      <c r="C521" s="380"/>
      <c r="D521" s="380"/>
      <c r="E521" s="380"/>
      <c r="F521" s="380"/>
      <c r="G521" s="380"/>
      <c r="H521" s="380"/>
      <c r="I521" s="403"/>
      <c r="J521" s="380"/>
      <c r="K521" s="380"/>
      <c r="L521" s="380"/>
      <c r="M521" s="380"/>
      <c r="N521" s="380"/>
      <c r="O521" s="404"/>
      <c r="P521" s="380"/>
      <c r="Q521" s="380"/>
      <c r="R521" s="380"/>
      <c r="S521" s="380"/>
      <c r="T521" s="380"/>
      <c r="U521" s="380"/>
      <c r="V521" s="380"/>
      <c r="W521" s="403"/>
      <c r="X521" s="380"/>
      <c r="Y521" s="380"/>
      <c r="Z521" s="380"/>
      <c r="AA521" s="380"/>
      <c r="AB521" s="380"/>
      <c r="AC521" s="404"/>
      <c r="AD521" s="380"/>
      <c r="AE521" s="380"/>
      <c r="AF521" s="380"/>
      <c r="AG521" s="380"/>
      <c r="AH521" s="380"/>
      <c r="AI521" s="380"/>
      <c r="AJ521" s="380"/>
      <c r="AK521" s="403"/>
      <c r="AL521" s="380"/>
      <c r="AM521" s="380"/>
      <c r="AN521" s="380"/>
      <c r="AO521" s="380"/>
      <c r="AP521" s="380"/>
      <c r="AQ521" s="404"/>
      <c r="AR521" s="380"/>
      <c r="AS521" s="380"/>
      <c r="AT521" s="380"/>
      <c r="AU521" s="380"/>
      <c r="AV521" s="380"/>
      <c r="AW521" s="380"/>
      <c r="AX521" s="380"/>
      <c r="AY521" s="403"/>
      <c r="AZ521" s="380"/>
      <c r="BA521" s="380"/>
      <c r="BB521" s="380"/>
      <c r="BC521" s="380"/>
      <c r="BD521" s="380"/>
      <c r="BE521" s="404"/>
      <c r="BF521" s="380"/>
      <c r="BG521" s="380"/>
      <c r="BH521" s="380"/>
      <c r="BI521" s="380"/>
      <c r="BJ521" s="380"/>
      <c r="BK521" s="380"/>
      <c r="BL521" s="380"/>
      <c r="BM521" s="403"/>
      <c r="BS521" s="83"/>
      <c r="CA521" s="405"/>
      <c r="CG521" s="83"/>
      <c r="CO521" s="405"/>
      <c r="CU521" s="83"/>
      <c r="DC521" s="405"/>
      <c r="DI521" s="83"/>
      <c r="DQ521" s="405"/>
      <c r="DW521" s="83"/>
      <c r="EE521" s="405"/>
      <c r="EK521" s="83"/>
      <c r="ES521" s="405"/>
      <c r="EY521" s="83"/>
      <c r="FG521" s="405"/>
      <c r="FM521" s="83"/>
      <c r="FU521" s="405"/>
      <c r="GA521" s="83"/>
      <c r="GI521" s="405"/>
      <c r="GO521" s="83"/>
      <c r="GW521" s="405"/>
      <c r="HC521" s="83"/>
      <c r="HK521" s="405"/>
      <c r="HQ521" s="83"/>
      <c r="HY521" s="405"/>
      <c r="IE521" s="83"/>
      <c r="IM521" s="405"/>
      <c r="IS521" s="83"/>
      <c r="JA521" s="405"/>
      <c r="JG521" s="83"/>
      <c r="JO521" s="405"/>
      <c r="JU521" s="83"/>
      <c r="KC521" s="405"/>
      <c r="KI521" s="83"/>
      <c r="KQ521" s="405"/>
      <c r="KW521" s="83"/>
      <c r="LE521" s="405"/>
      <c r="LK521" s="83"/>
      <c r="LS521" s="405"/>
      <c r="LY521" s="83"/>
      <c r="MG521" s="405"/>
      <c r="MM521" s="83"/>
      <c r="MU521" s="405"/>
      <c r="NA521" s="83"/>
    </row>
    <row r="522">
      <c r="A522" s="483"/>
      <c r="B522" s="380"/>
      <c r="C522" s="380"/>
      <c r="D522" s="380"/>
      <c r="E522" s="380"/>
      <c r="F522" s="380"/>
      <c r="G522" s="380"/>
      <c r="H522" s="380"/>
      <c r="I522" s="403"/>
      <c r="J522" s="380"/>
      <c r="K522" s="380"/>
      <c r="L522" s="380"/>
      <c r="M522" s="380"/>
      <c r="N522" s="380"/>
      <c r="O522" s="404"/>
      <c r="P522" s="380"/>
      <c r="Q522" s="380"/>
      <c r="R522" s="380"/>
      <c r="S522" s="380"/>
      <c r="T522" s="380"/>
      <c r="U522" s="380"/>
      <c r="V522" s="380"/>
      <c r="W522" s="403"/>
      <c r="X522" s="380"/>
      <c r="Y522" s="380"/>
      <c r="Z522" s="380"/>
      <c r="AA522" s="380"/>
      <c r="AB522" s="380"/>
      <c r="AC522" s="404"/>
      <c r="AD522" s="380"/>
      <c r="AE522" s="380"/>
      <c r="AF522" s="380"/>
      <c r="AG522" s="380"/>
      <c r="AH522" s="380"/>
      <c r="AI522" s="380"/>
      <c r="AJ522" s="380"/>
      <c r="AK522" s="403"/>
      <c r="AL522" s="380"/>
      <c r="AM522" s="380"/>
      <c r="AN522" s="380"/>
      <c r="AO522" s="380"/>
      <c r="AP522" s="380"/>
      <c r="AQ522" s="404"/>
      <c r="AR522" s="380"/>
      <c r="AS522" s="380"/>
      <c r="AT522" s="380"/>
      <c r="AU522" s="380"/>
      <c r="AV522" s="380"/>
      <c r="AW522" s="380"/>
      <c r="AX522" s="380"/>
      <c r="AY522" s="403"/>
      <c r="AZ522" s="380"/>
      <c r="BA522" s="380"/>
      <c r="BB522" s="380"/>
      <c r="BC522" s="380"/>
      <c r="BD522" s="380"/>
      <c r="BE522" s="404"/>
      <c r="BF522" s="380"/>
      <c r="BG522" s="380"/>
      <c r="BH522" s="380"/>
      <c r="BI522" s="380"/>
      <c r="BJ522" s="380"/>
      <c r="BK522" s="380"/>
      <c r="BL522" s="380"/>
      <c r="BM522" s="403"/>
      <c r="BS522" s="83"/>
      <c r="CA522" s="405"/>
      <c r="CG522" s="83"/>
      <c r="CO522" s="405"/>
      <c r="CU522" s="83"/>
      <c r="DC522" s="405"/>
      <c r="DI522" s="83"/>
      <c r="DQ522" s="405"/>
      <c r="DW522" s="83"/>
      <c r="EE522" s="405"/>
      <c r="EK522" s="83"/>
      <c r="ES522" s="405"/>
      <c r="EY522" s="83"/>
      <c r="FG522" s="405"/>
      <c r="FM522" s="83"/>
      <c r="FU522" s="405"/>
      <c r="GA522" s="83"/>
      <c r="GI522" s="405"/>
      <c r="GO522" s="83"/>
      <c r="GW522" s="405"/>
      <c r="HC522" s="83"/>
      <c r="HK522" s="405"/>
      <c r="HQ522" s="83"/>
      <c r="HY522" s="405"/>
      <c r="IE522" s="83"/>
      <c r="IM522" s="405"/>
      <c r="IS522" s="83"/>
      <c r="JA522" s="405"/>
      <c r="JG522" s="83"/>
      <c r="JO522" s="405"/>
      <c r="JU522" s="83"/>
      <c r="KC522" s="405"/>
      <c r="KI522" s="83"/>
      <c r="KQ522" s="405"/>
      <c r="KW522" s="83"/>
      <c r="LE522" s="405"/>
      <c r="LK522" s="83"/>
      <c r="LS522" s="405"/>
      <c r="LY522" s="83"/>
      <c r="MG522" s="405"/>
      <c r="MM522" s="83"/>
      <c r="MU522" s="405"/>
      <c r="NA522" s="83"/>
    </row>
    <row r="523">
      <c r="A523" s="483"/>
      <c r="B523" s="380"/>
      <c r="C523" s="380"/>
      <c r="D523" s="380"/>
      <c r="E523" s="380"/>
      <c r="F523" s="380"/>
      <c r="G523" s="380"/>
      <c r="H523" s="380"/>
      <c r="I523" s="403"/>
      <c r="J523" s="380"/>
      <c r="K523" s="380"/>
      <c r="L523" s="380"/>
      <c r="M523" s="380"/>
      <c r="N523" s="380"/>
      <c r="O523" s="404"/>
      <c r="P523" s="380"/>
      <c r="Q523" s="380"/>
      <c r="R523" s="380"/>
      <c r="S523" s="380"/>
      <c r="T523" s="380"/>
      <c r="U523" s="380"/>
      <c r="V523" s="380"/>
      <c r="W523" s="403"/>
      <c r="X523" s="380"/>
      <c r="Y523" s="380"/>
      <c r="Z523" s="380"/>
      <c r="AA523" s="380"/>
      <c r="AB523" s="380"/>
      <c r="AC523" s="404"/>
      <c r="AD523" s="380"/>
      <c r="AE523" s="380"/>
      <c r="AF523" s="380"/>
      <c r="AG523" s="380"/>
      <c r="AH523" s="380"/>
      <c r="AI523" s="380"/>
      <c r="AJ523" s="380"/>
      <c r="AK523" s="403"/>
      <c r="AL523" s="380"/>
      <c r="AM523" s="380"/>
      <c r="AN523" s="380"/>
      <c r="AO523" s="380"/>
      <c r="AP523" s="380"/>
      <c r="AQ523" s="404"/>
      <c r="AR523" s="380"/>
      <c r="AS523" s="380"/>
      <c r="AT523" s="380"/>
      <c r="AU523" s="380"/>
      <c r="AV523" s="380"/>
      <c r="AW523" s="380"/>
      <c r="AX523" s="380"/>
      <c r="AY523" s="403"/>
      <c r="AZ523" s="380"/>
      <c r="BA523" s="380"/>
      <c r="BB523" s="380"/>
      <c r="BC523" s="380"/>
      <c r="BD523" s="380"/>
      <c r="BE523" s="404"/>
      <c r="BF523" s="380"/>
      <c r="BG523" s="380"/>
      <c r="BH523" s="380"/>
      <c r="BI523" s="380"/>
      <c r="BJ523" s="380"/>
      <c r="BK523" s="380"/>
      <c r="BL523" s="380"/>
      <c r="BM523" s="403"/>
      <c r="BS523" s="83"/>
      <c r="CA523" s="405"/>
      <c r="CG523" s="83"/>
      <c r="CO523" s="405"/>
      <c r="CU523" s="83"/>
      <c r="DC523" s="405"/>
      <c r="DI523" s="83"/>
      <c r="DQ523" s="405"/>
      <c r="DW523" s="83"/>
      <c r="EE523" s="405"/>
      <c r="EK523" s="83"/>
      <c r="ES523" s="405"/>
      <c r="EY523" s="83"/>
      <c r="FG523" s="405"/>
      <c r="FM523" s="83"/>
      <c r="FU523" s="405"/>
      <c r="GA523" s="83"/>
      <c r="GI523" s="405"/>
      <c r="GO523" s="83"/>
      <c r="GW523" s="405"/>
      <c r="HC523" s="83"/>
      <c r="HK523" s="405"/>
      <c r="HQ523" s="83"/>
      <c r="HY523" s="405"/>
      <c r="IE523" s="83"/>
      <c r="IM523" s="405"/>
      <c r="IS523" s="83"/>
      <c r="JA523" s="405"/>
      <c r="JG523" s="83"/>
      <c r="JO523" s="405"/>
      <c r="JU523" s="83"/>
      <c r="KC523" s="405"/>
      <c r="KI523" s="83"/>
      <c r="KQ523" s="405"/>
      <c r="KW523" s="83"/>
      <c r="LE523" s="405"/>
      <c r="LK523" s="83"/>
      <c r="LS523" s="405"/>
      <c r="LY523" s="83"/>
      <c r="MG523" s="405"/>
      <c r="MM523" s="83"/>
      <c r="MU523" s="405"/>
      <c r="NA523" s="83"/>
    </row>
    <row r="524">
      <c r="A524" s="483"/>
      <c r="B524" s="380"/>
      <c r="C524" s="380"/>
      <c r="D524" s="380"/>
      <c r="E524" s="380"/>
      <c r="F524" s="380"/>
      <c r="G524" s="380"/>
      <c r="H524" s="380"/>
      <c r="I524" s="403"/>
      <c r="J524" s="380"/>
      <c r="K524" s="380"/>
      <c r="L524" s="380"/>
      <c r="M524" s="380"/>
      <c r="N524" s="380"/>
      <c r="O524" s="404"/>
      <c r="P524" s="380"/>
      <c r="Q524" s="380"/>
      <c r="R524" s="380"/>
      <c r="S524" s="380"/>
      <c r="T524" s="380"/>
      <c r="U524" s="380"/>
      <c r="V524" s="380"/>
      <c r="W524" s="403"/>
      <c r="X524" s="380"/>
      <c r="Y524" s="380"/>
      <c r="Z524" s="380"/>
      <c r="AA524" s="380"/>
      <c r="AB524" s="380"/>
      <c r="AC524" s="404"/>
      <c r="AD524" s="380"/>
      <c r="AE524" s="380"/>
      <c r="AF524" s="380"/>
      <c r="AG524" s="380"/>
      <c r="AH524" s="380"/>
      <c r="AI524" s="380"/>
      <c r="AJ524" s="380"/>
      <c r="AK524" s="403"/>
      <c r="AL524" s="380"/>
      <c r="AM524" s="380"/>
      <c r="AN524" s="380"/>
      <c r="AO524" s="380"/>
      <c r="AP524" s="380"/>
      <c r="AQ524" s="404"/>
      <c r="AR524" s="380"/>
      <c r="AS524" s="380"/>
      <c r="AT524" s="380"/>
      <c r="AU524" s="380"/>
      <c r="AV524" s="380"/>
      <c r="AW524" s="380"/>
      <c r="AX524" s="380"/>
      <c r="AY524" s="403"/>
      <c r="AZ524" s="380"/>
      <c r="BA524" s="380"/>
      <c r="BB524" s="380"/>
      <c r="BC524" s="380"/>
      <c r="BD524" s="380"/>
      <c r="BE524" s="404"/>
      <c r="BF524" s="380"/>
      <c r="BG524" s="380"/>
      <c r="BH524" s="380"/>
      <c r="BI524" s="380"/>
      <c r="BJ524" s="380"/>
      <c r="BK524" s="380"/>
      <c r="BL524" s="380"/>
      <c r="BM524" s="403"/>
      <c r="BS524" s="83"/>
      <c r="CA524" s="405"/>
      <c r="CG524" s="83"/>
      <c r="CO524" s="405"/>
      <c r="CU524" s="83"/>
      <c r="DC524" s="405"/>
      <c r="DI524" s="83"/>
      <c r="DQ524" s="405"/>
      <c r="DW524" s="83"/>
      <c r="EE524" s="405"/>
      <c r="EK524" s="83"/>
      <c r="ES524" s="405"/>
      <c r="EY524" s="83"/>
      <c r="FG524" s="405"/>
      <c r="FM524" s="83"/>
      <c r="FU524" s="405"/>
      <c r="GA524" s="83"/>
      <c r="GI524" s="405"/>
      <c r="GO524" s="83"/>
      <c r="GW524" s="405"/>
      <c r="HC524" s="83"/>
      <c r="HK524" s="405"/>
      <c r="HQ524" s="83"/>
      <c r="HY524" s="405"/>
      <c r="IE524" s="83"/>
      <c r="IM524" s="405"/>
      <c r="IS524" s="83"/>
      <c r="JA524" s="405"/>
      <c r="JG524" s="83"/>
      <c r="JO524" s="405"/>
      <c r="JU524" s="83"/>
      <c r="KC524" s="405"/>
      <c r="KI524" s="83"/>
      <c r="KQ524" s="405"/>
      <c r="KW524" s="83"/>
      <c r="LE524" s="405"/>
      <c r="LK524" s="83"/>
      <c r="LS524" s="405"/>
      <c r="LY524" s="83"/>
      <c r="MG524" s="405"/>
      <c r="MM524" s="83"/>
      <c r="MU524" s="405"/>
      <c r="NA524" s="83"/>
    </row>
    <row r="525">
      <c r="A525" s="483"/>
      <c r="B525" s="380"/>
      <c r="C525" s="380"/>
      <c r="D525" s="380"/>
      <c r="E525" s="380"/>
      <c r="F525" s="380"/>
      <c r="G525" s="380"/>
      <c r="H525" s="380"/>
      <c r="I525" s="403"/>
      <c r="J525" s="380"/>
      <c r="K525" s="380"/>
      <c r="L525" s="380"/>
      <c r="M525" s="380"/>
      <c r="N525" s="380"/>
      <c r="O525" s="404"/>
      <c r="P525" s="380"/>
      <c r="Q525" s="380"/>
      <c r="R525" s="380"/>
      <c r="S525" s="380"/>
      <c r="T525" s="380"/>
      <c r="U525" s="380"/>
      <c r="V525" s="380"/>
      <c r="W525" s="403"/>
      <c r="X525" s="380"/>
      <c r="Y525" s="380"/>
      <c r="Z525" s="380"/>
      <c r="AA525" s="380"/>
      <c r="AB525" s="380"/>
      <c r="AC525" s="404"/>
      <c r="AD525" s="380"/>
      <c r="AE525" s="380"/>
      <c r="AF525" s="380"/>
      <c r="AG525" s="380"/>
      <c r="AH525" s="380"/>
      <c r="AI525" s="380"/>
      <c r="AJ525" s="380"/>
      <c r="AK525" s="403"/>
      <c r="AL525" s="380"/>
      <c r="AM525" s="380"/>
      <c r="AN525" s="380"/>
      <c r="AO525" s="380"/>
      <c r="AP525" s="380"/>
      <c r="AQ525" s="404"/>
      <c r="AR525" s="380"/>
      <c r="AS525" s="380"/>
      <c r="AT525" s="380"/>
      <c r="AU525" s="380"/>
      <c r="AV525" s="380"/>
      <c r="AW525" s="380"/>
      <c r="AX525" s="380"/>
      <c r="AY525" s="403"/>
      <c r="AZ525" s="380"/>
      <c r="BA525" s="380"/>
      <c r="BB525" s="380"/>
      <c r="BC525" s="380"/>
      <c r="BD525" s="380"/>
      <c r="BE525" s="404"/>
      <c r="BF525" s="380"/>
      <c r="BG525" s="380"/>
      <c r="BH525" s="380"/>
      <c r="BI525" s="380"/>
      <c r="BJ525" s="380"/>
      <c r="BK525" s="380"/>
      <c r="BL525" s="380"/>
      <c r="BM525" s="403"/>
      <c r="BS525" s="83"/>
      <c r="CA525" s="405"/>
      <c r="CG525" s="83"/>
      <c r="CO525" s="405"/>
      <c r="CU525" s="83"/>
      <c r="DC525" s="405"/>
      <c r="DI525" s="83"/>
      <c r="DQ525" s="405"/>
      <c r="DW525" s="83"/>
      <c r="EE525" s="405"/>
      <c r="EK525" s="83"/>
      <c r="ES525" s="405"/>
      <c r="EY525" s="83"/>
      <c r="FG525" s="405"/>
      <c r="FM525" s="83"/>
      <c r="FU525" s="405"/>
      <c r="GA525" s="83"/>
      <c r="GI525" s="405"/>
      <c r="GO525" s="83"/>
      <c r="GW525" s="405"/>
      <c r="HC525" s="83"/>
      <c r="HK525" s="405"/>
      <c r="HQ525" s="83"/>
      <c r="HY525" s="405"/>
      <c r="IE525" s="83"/>
      <c r="IM525" s="405"/>
      <c r="IS525" s="83"/>
      <c r="JA525" s="405"/>
      <c r="JG525" s="83"/>
      <c r="JO525" s="405"/>
      <c r="JU525" s="83"/>
      <c r="KC525" s="405"/>
      <c r="KI525" s="83"/>
      <c r="KQ525" s="405"/>
      <c r="KW525" s="83"/>
      <c r="LE525" s="405"/>
      <c r="LK525" s="83"/>
      <c r="LS525" s="405"/>
      <c r="LY525" s="83"/>
      <c r="MG525" s="405"/>
      <c r="MM525" s="83"/>
      <c r="MU525" s="405"/>
      <c r="NA525" s="83"/>
    </row>
    <row r="526">
      <c r="A526" s="483"/>
      <c r="B526" s="380"/>
      <c r="C526" s="380"/>
      <c r="D526" s="380"/>
      <c r="E526" s="380"/>
      <c r="F526" s="380"/>
      <c r="G526" s="380"/>
      <c r="H526" s="380"/>
      <c r="I526" s="403"/>
      <c r="J526" s="380"/>
      <c r="K526" s="380"/>
      <c r="L526" s="380"/>
      <c r="M526" s="380"/>
      <c r="N526" s="380"/>
      <c r="O526" s="404"/>
      <c r="P526" s="380"/>
      <c r="Q526" s="380"/>
      <c r="R526" s="380"/>
      <c r="S526" s="380"/>
      <c r="T526" s="380"/>
      <c r="U526" s="380"/>
      <c r="V526" s="380"/>
      <c r="W526" s="403"/>
      <c r="X526" s="380"/>
      <c r="Y526" s="380"/>
      <c r="Z526" s="380"/>
      <c r="AA526" s="380"/>
      <c r="AB526" s="380"/>
      <c r="AC526" s="404"/>
      <c r="AD526" s="380"/>
      <c r="AE526" s="380"/>
      <c r="AF526" s="380"/>
      <c r="AG526" s="380"/>
      <c r="AH526" s="380"/>
      <c r="AI526" s="380"/>
      <c r="AJ526" s="380"/>
      <c r="AK526" s="403"/>
      <c r="AL526" s="380"/>
      <c r="AM526" s="380"/>
      <c r="AN526" s="380"/>
      <c r="AO526" s="380"/>
      <c r="AP526" s="380"/>
      <c r="AQ526" s="404"/>
      <c r="AR526" s="380"/>
      <c r="AS526" s="380"/>
      <c r="AT526" s="380"/>
      <c r="AU526" s="380"/>
      <c r="AV526" s="380"/>
      <c r="AW526" s="380"/>
      <c r="AX526" s="380"/>
      <c r="AY526" s="403"/>
      <c r="AZ526" s="380"/>
      <c r="BA526" s="380"/>
      <c r="BB526" s="380"/>
      <c r="BC526" s="380"/>
      <c r="BD526" s="380"/>
      <c r="BE526" s="404"/>
      <c r="BF526" s="380"/>
      <c r="BG526" s="380"/>
      <c r="BH526" s="380"/>
      <c r="BI526" s="380"/>
      <c r="BJ526" s="380"/>
      <c r="BK526" s="380"/>
      <c r="BL526" s="380"/>
      <c r="BM526" s="403"/>
      <c r="BS526" s="83"/>
      <c r="CA526" s="405"/>
      <c r="CG526" s="83"/>
      <c r="CO526" s="405"/>
      <c r="CU526" s="83"/>
      <c r="DC526" s="405"/>
      <c r="DI526" s="83"/>
      <c r="DQ526" s="405"/>
      <c r="DW526" s="83"/>
      <c r="EE526" s="405"/>
      <c r="EK526" s="83"/>
      <c r="ES526" s="405"/>
      <c r="EY526" s="83"/>
      <c r="FG526" s="405"/>
      <c r="FM526" s="83"/>
      <c r="FU526" s="405"/>
      <c r="GA526" s="83"/>
      <c r="GI526" s="405"/>
      <c r="GO526" s="83"/>
      <c r="GW526" s="405"/>
      <c r="HC526" s="83"/>
      <c r="HK526" s="405"/>
      <c r="HQ526" s="83"/>
      <c r="HY526" s="405"/>
      <c r="IE526" s="83"/>
      <c r="IM526" s="405"/>
      <c r="IS526" s="83"/>
      <c r="JA526" s="405"/>
      <c r="JG526" s="83"/>
      <c r="JO526" s="405"/>
      <c r="JU526" s="83"/>
      <c r="KC526" s="405"/>
      <c r="KI526" s="83"/>
      <c r="KQ526" s="405"/>
      <c r="KW526" s="83"/>
      <c r="LE526" s="405"/>
      <c r="LK526" s="83"/>
      <c r="LS526" s="405"/>
      <c r="LY526" s="83"/>
      <c r="MG526" s="405"/>
      <c r="MM526" s="83"/>
      <c r="MU526" s="405"/>
      <c r="NA526" s="83"/>
    </row>
    <row r="527">
      <c r="A527" s="483"/>
      <c r="B527" s="380"/>
      <c r="C527" s="380"/>
      <c r="D527" s="380"/>
      <c r="E527" s="380"/>
      <c r="F527" s="380"/>
      <c r="G527" s="380"/>
      <c r="H527" s="380"/>
      <c r="I527" s="403"/>
      <c r="J527" s="380"/>
      <c r="K527" s="380"/>
      <c r="L527" s="380"/>
      <c r="M527" s="380"/>
      <c r="N527" s="380"/>
      <c r="O527" s="404"/>
      <c r="P527" s="380"/>
      <c r="Q527" s="380"/>
      <c r="R527" s="380"/>
      <c r="S527" s="380"/>
      <c r="T527" s="380"/>
      <c r="U527" s="380"/>
      <c r="V527" s="380"/>
      <c r="W527" s="403"/>
      <c r="X527" s="380"/>
      <c r="Y527" s="380"/>
      <c r="Z527" s="380"/>
      <c r="AA527" s="380"/>
      <c r="AB527" s="380"/>
      <c r="AC527" s="404"/>
      <c r="AD527" s="380"/>
      <c r="AE527" s="380"/>
      <c r="AF527" s="380"/>
      <c r="AG527" s="380"/>
      <c r="AH527" s="380"/>
      <c r="AI527" s="380"/>
      <c r="AJ527" s="380"/>
      <c r="AK527" s="403"/>
      <c r="AL527" s="380"/>
      <c r="AM527" s="380"/>
      <c r="AN527" s="380"/>
      <c r="AO527" s="380"/>
      <c r="AP527" s="380"/>
      <c r="AQ527" s="404"/>
      <c r="AR527" s="380"/>
      <c r="AS527" s="380"/>
      <c r="AT527" s="380"/>
      <c r="AU527" s="380"/>
      <c r="AV527" s="380"/>
      <c r="AW527" s="380"/>
      <c r="AX527" s="380"/>
      <c r="AY527" s="403"/>
      <c r="AZ527" s="380"/>
      <c r="BA527" s="380"/>
      <c r="BB527" s="380"/>
      <c r="BC527" s="380"/>
      <c r="BD527" s="380"/>
      <c r="BE527" s="404"/>
      <c r="BF527" s="380"/>
      <c r="BG527" s="380"/>
      <c r="BH527" s="380"/>
      <c r="BI527" s="380"/>
      <c r="BJ527" s="380"/>
      <c r="BK527" s="380"/>
      <c r="BL527" s="380"/>
      <c r="BM527" s="403"/>
      <c r="BS527" s="83"/>
      <c r="CA527" s="405"/>
      <c r="CG527" s="83"/>
      <c r="CO527" s="405"/>
      <c r="CU527" s="83"/>
      <c r="DC527" s="405"/>
      <c r="DI527" s="83"/>
      <c r="DQ527" s="405"/>
      <c r="DW527" s="83"/>
      <c r="EE527" s="405"/>
      <c r="EK527" s="83"/>
      <c r="ES527" s="405"/>
      <c r="EY527" s="83"/>
      <c r="FG527" s="405"/>
      <c r="FM527" s="83"/>
      <c r="FU527" s="405"/>
      <c r="GA527" s="83"/>
      <c r="GI527" s="405"/>
      <c r="GO527" s="83"/>
      <c r="GW527" s="405"/>
      <c r="HC527" s="83"/>
      <c r="HK527" s="405"/>
      <c r="HQ527" s="83"/>
      <c r="HY527" s="405"/>
      <c r="IE527" s="83"/>
      <c r="IM527" s="405"/>
      <c r="IS527" s="83"/>
      <c r="JA527" s="405"/>
      <c r="JG527" s="83"/>
      <c r="JO527" s="405"/>
      <c r="JU527" s="83"/>
      <c r="KC527" s="405"/>
      <c r="KI527" s="83"/>
      <c r="KQ527" s="405"/>
      <c r="KW527" s="83"/>
      <c r="LE527" s="405"/>
      <c r="LK527" s="83"/>
      <c r="LS527" s="405"/>
      <c r="LY527" s="83"/>
      <c r="MG527" s="405"/>
      <c r="MM527" s="83"/>
      <c r="MU527" s="405"/>
      <c r="NA527" s="83"/>
    </row>
    <row r="528">
      <c r="A528" s="483"/>
      <c r="B528" s="380"/>
      <c r="C528" s="380"/>
      <c r="D528" s="380"/>
      <c r="E528" s="380"/>
      <c r="F528" s="380"/>
      <c r="G528" s="380"/>
      <c r="H528" s="380"/>
      <c r="I528" s="403"/>
      <c r="J528" s="380"/>
      <c r="K528" s="380"/>
      <c r="L528" s="380"/>
      <c r="M528" s="380"/>
      <c r="N528" s="380"/>
      <c r="O528" s="404"/>
      <c r="P528" s="380"/>
      <c r="Q528" s="380"/>
      <c r="R528" s="380"/>
      <c r="S528" s="380"/>
      <c r="T528" s="380"/>
      <c r="U528" s="380"/>
      <c r="V528" s="380"/>
      <c r="W528" s="403"/>
      <c r="X528" s="380"/>
      <c r="Y528" s="380"/>
      <c r="Z528" s="380"/>
      <c r="AA528" s="380"/>
      <c r="AB528" s="380"/>
      <c r="AC528" s="404"/>
      <c r="AD528" s="380"/>
      <c r="AE528" s="380"/>
      <c r="AF528" s="380"/>
      <c r="AG528" s="380"/>
      <c r="AH528" s="380"/>
      <c r="AI528" s="380"/>
      <c r="AJ528" s="380"/>
      <c r="AK528" s="403"/>
      <c r="AL528" s="380"/>
      <c r="AM528" s="380"/>
      <c r="AN528" s="380"/>
      <c r="AO528" s="380"/>
      <c r="AP528" s="380"/>
      <c r="AQ528" s="404"/>
      <c r="AR528" s="380"/>
      <c r="AS528" s="380"/>
      <c r="AT528" s="380"/>
      <c r="AU528" s="380"/>
      <c r="AV528" s="380"/>
      <c r="AW528" s="380"/>
      <c r="AX528" s="380"/>
      <c r="AY528" s="403"/>
      <c r="AZ528" s="380"/>
      <c r="BA528" s="380"/>
      <c r="BB528" s="380"/>
      <c r="BC528" s="380"/>
      <c r="BD528" s="380"/>
      <c r="BE528" s="404"/>
      <c r="BF528" s="380"/>
      <c r="BG528" s="380"/>
      <c r="BH528" s="380"/>
      <c r="BI528" s="380"/>
      <c r="BJ528" s="380"/>
      <c r="BK528" s="380"/>
      <c r="BL528" s="380"/>
      <c r="BM528" s="403"/>
      <c r="BS528" s="83"/>
      <c r="CA528" s="405"/>
      <c r="CG528" s="83"/>
      <c r="CO528" s="405"/>
      <c r="CU528" s="83"/>
      <c r="DC528" s="405"/>
      <c r="DI528" s="83"/>
      <c r="DQ528" s="405"/>
      <c r="DW528" s="83"/>
      <c r="EE528" s="405"/>
      <c r="EK528" s="83"/>
      <c r="ES528" s="405"/>
      <c r="EY528" s="83"/>
      <c r="FG528" s="405"/>
      <c r="FM528" s="83"/>
      <c r="FU528" s="405"/>
      <c r="GA528" s="83"/>
      <c r="GI528" s="405"/>
      <c r="GO528" s="83"/>
      <c r="GW528" s="405"/>
      <c r="HC528" s="83"/>
      <c r="HK528" s="405"/>
      <c r="HQ528" s="83"/>
      <c r="HY528" s="405"/>
      <c r="IE528" s="83"/>
      <c r="IM528" s="405"/>
      <c r="IS528" s="83"/>
      <c r="JA528" s="405"/>
      <c r="JG528" s="83"/>
      <c r="JO528" s="405"/>
      <c r="JU528" s="83"/>
      <c r="KC528" s="405"/>
      <c r="KI528" s="83"/>
      <c r="KQ528" s="405"/>
      <c r="KW528" s="83"/>
      <c r="LE528" s="405"/>
      <c r="LK528" s="83"/>
      <c r="LS528" s="405"/>
      <c r="LY528" s="83"/>
      <c r="MG528" s="405"/>
      <c r="MM528" s="83"/>
      <c r="MU528" s="405"/>
      <c r="NA528" s="83"/>
    </row>
    <row r="529">
      <c r="A529" s="483"/>
      <c r="B529" s="380"/>
      <c r="C529" s="380"/>
      <c r="D529" s="380"/>
      <c r="E529" s="380"/>
      <c r="F529" s="380"/>
      <c r="G529" s="380"/>
      <c r="H529" s="380"/>
      <c r="I529" s="403"/>
      <c r="J529" s="380"/>
      <c r="K529" s="380"/>
      <c r="L529" s="380"/>
      <c r="M529" s="380"/>
      <c r="N529" s="380"/>
      <c r="O529" s="404"/>
      <c r="P529" s="380"/>
      <c r="Q529" s="380"/>
      <c r="R529" s="380"/>
      <c r="S529" s="380"/>
      <c r="T529" s="380"/>
      <c r="U529" s="380"/>
      <c r="V529" s="380"/>
      <c r="W529" s="403"/>
      <c r="X529" s="380"/>
      <c r="Y529" s="380"/>
      <c r="Z529" s="380"/>
      <c r="AA529" s="380"/>
      <c r="AB529" s="380"/>
      <c r="AC529" s="404"/>
      <c r="AD529" s="380"/>
      <c r="AE529" s="380"/>
      <c r="AF529" s="380"/>
      <c r="AG529" s="380"/>
      <c r="AH529" s="380"/>
      <c r="AI529" s="380"/>
      <c r="AJ529" s="380"/>
      <c r="AK529" s="403"/>
      <c r="AL529" s="380"/>
      <c r="AM529" s="380"/>
      <c r="AN529" s="380"/>
      <c r="AO529" s="380"/>
      <c r="AP529" s="380"/>
      <c r="AQ529" s="404"/>
      <c r="AR529" s="380"/>
      <c r="AS529" s="380"/>
      <c r="AT529" s="380"/>
      <c r="AU529" s="380"/>
      <c r="AV529" s="380"/>
      <c r="AW529" s="380"/>
      <c r="AX529" s="380"/>
      <c r="AY529" s="403"/>
      <c r="AZ529" s="380"/>
      <c r="BA529" s="380"/>
      <c r="BB529" s="380"/>
      <c r="BC529" s="380"/>
      <c r="BD529" s="380"/>
      <c r="BE529" s="404"/>
      <c r="BF529" s="380"/>
      <c r="BG529" s="380"/>
      <c r="BH529" s="380"/>
      <c r="BI529" s="380"/>
      <c r="BJ529" s="380"/>
      <c r="BK529" s="380"/>
      <c r="BL529" s="380"/>
      <c r="BM529" s="403"/>
      <c r="BS529" s="83"/>
      <c r="CA529" s="405"/>
      <c r="CG529" s="83"/>
      <c r="CO529" s="405"/>
      <c r="CU529" s="83"/>
      <c r="DC529" s="405"/>
      <c r="DI529" s="83"/>
      <c r="DQ529" s="405"/>
      <c r="DW529" s="83"/>
      <c r="EE529" s="405"/>
      <c r="EK529" s="83"/>
      <c r="ES529" s="405"/>
      <c r="EY529" s="83"/>
      <c r="FG529" s="405"/>
      <c r="FM529" s="83"/>
      <c r="FU529" s="405"/>
      <c r="GA529" s="83"/>
      <c r="GI529" s="405"/>
      <c r="GO529" s="83"/>
      <c r="GW529" s="405"/>
      <c r="HC529" s="83"/>
      <c r="HK529" s="405"/>
      <c r="HQ529" s="83"/>
      <c r="HY529" s="405"/>
      <c r="IE529" s="83"/>
      <c r="IM529" s="405"/>
      <c r="IS529" s="83"/>
      <c r="JA529" s="405"/>
      <c r="JG529" s="83"/>
      <c r="JO529" s="405"/>
      <c r="JU529" s="83"/>
      <c r="KC529" s="405"/>
      <c r="KI529" s="83"/>
      <c r="KQ529" s="405"/>
      <c r="KW529" s="83"/>
      <c r="LE529" s="405"/>
      <c r="LK529" s="83"/>
      <c r="LS529" s="405"/>
      <c r="LY529" s="83"/>
      <c r="MG529" s="405"/>
      <c r="MM529" s="83"/>
      <c r="MU529" s="405"/>
      <c r="NA529" s="83"/>
    </row>
    <row r="530">
      <c r="A530" s="483"/>
      <c r="B530" s="380"/>
      <c r="C530" s="380"/>
      <c r="D530" s="380"/>
      <c r="E530" s="380"/>
      <c r="F530" s="380"/>
      <c r="G530" s="380"/>
      <c r="H530" s="380"/>
      <c r="I530" s="403"/>
      <c r="J530" s="380"/>
      <c r="K530" s="380"/>
      <c r="L530" s="380"/>
      <c r="M530" s="380"/>
      <c r="N530" s="380"/>
      <c r="O530" s="404"/>
      <c r="P530" s="380"/>
      <c r="Q530" s="380"/>
      <c r="R530" s="380"/>
      <c r="S530" s="380"/>
      <c r="T530" s="380"/>
      <c r="U530" s="380"/>
      <c r="V530" s="380"/>
      <c r="W530" s="403"/>
      <c r="X530" s="380"/>
      <c r="Y530" s="380"/>
      <c r="Z530" s="380"/>
      <c r="AA530" s="380"/>
      <c r="AB530" s="380"/>
      <c r="AC530" s="404"/>
      <c r="AD530" s="380"/>
      <c r="AE530" s="380"/>
      <c r="AF530" s="380"/>
      <c r="AG530" s="380"/>
      <c r="AH530" s="380"/>
      <c r="AI530" s="380"/>
      <c r="AJ530" s="380"/>
      <c r="AK530" s="403"/>
      <c r="AL530" s="380"/>
      <c r="AM530" s="380"/>
      <c r="AN530" s="380"/>
      <c r="AO530" s="380"/>
      <c r="AP530" s="380"/>
      <c r="AQ530" s="404"/>
      <c r="AR530" s="380"/>
      <c r="AS530" s="380"/>
      <c r="AT530" s="380"/>
      <c r="AU530" s="380"/>
      <c r="AV530" s="380"/>
      <c r="AW530" s="380"/>
      <c r="AX530" s="380"/>
      <c r="AY530" s="403"/>
      <c r="AZ530" s="380"/>
      <c r="BA530" s="380"/>
      <c r="BB530" s="380"/>
      <c r="BC530" s="380"/>
      <c r="BD530" s="380"/>
      <c r="BE530" s="404"/>
      <c r="BF530" s="380"/>
      <c r="BG530" s="380"/>
      <c r="BH530" s="380"/>
      <c r="BI530" s="380"/>
      <c r="BJ530" s="380"/>
      <c r="BK530" s="380"/>
      <c r="BL530" s="380"/>
      <c r="BM530" s="403"/>
      <c r="BS530" s="83"/>
      <c r="CA530" s="405"/>
      <c r="CG530" s="83"/>
      <c r="CO530" s="405"/>
      <c r="CU530" s="83"/>
      <c r="DC530" s="405"/>
      <c r="DI530" s="83"/>
      <c r="DQ530" s="405"/>
      <c r="DW530" s="83"/>
      <c r="EE530" s="405"/>
      <c r="EK530" s="83"/>
      <c r="ES530" s="405"/>
      <c r="EY530" s="83"/>
      <c r="FG530" s="405"/>
      <c r="FM530" s="83"/>
      <c r="FU530" s="405"/>
      <c r="GA530" s="83"/>
      <c r="GI530" s="405"/>
      <c r="GO530" s="83"/>
      <c r="GW530" s="405"/>
      <c r="HC530" s="83"/>
      <c r="HK530" s="405"/>
      <c r="HQ530" s="83"/>
      <c r="HY530" s="405"/>
      <c r="IE530" s="83"/>
      <c r="IM530" s="405"/>
      <c r="IS530" s="83"/>
      <c r="JA530" s="405"/>
      <c r="JG530" s="83"/>
      <c r="JO530" s="405"/>
      <c r="JU530" s="83"/>
      <c r="KC530" s="405"/>
      <c r="KI530" s="83"/>
      <c r="KQ530" s="405"/>
      <c r="KW530" s="83"/>
      <c r="LE530" s="405"/>
      <c r="LK530" s="83"/>
      <c r="LS530" s="405"/>
      <c r="LY530" s="83"/>
      <c r="MG530" s="405"/>
      <c r="MM530" s="83"/>
      <c r="MU530" s="405"/>
      <c r="NA530" s="83"/>
    </row>
    <row r="531">
      <c r="A531" s="483"/>
      <c r="B531" s="380"/>
      <c r="C531" s="380"/>
      <c r="D531" s="380"/>
      <c r="E531" s="380"/>
      <c r="F531" s="380"/>
      <c r="G531" s="380"/>
      <c r="H531" s="380"/>
      <c r="I531" s="403"/>
      <c r="J531" s="380"/>
      <c r="K531" s="380"/>
      <c r="L531" s="380"/>
      <c r="M531" s="380"/>
      <c r="N531" s="380"/>
      <c r="O531" s="404"/>
      <c r="P531" s="380"/>
      <c r="Q531" s="380"/>
      <c r="R531" s="380"/>
      <c r="S531" s="380"/>
      <c r="T531" s="380"/>
      <c r="U531" s="380"/>
      <c r="V531" s="380"/>
      <c r="W531" s="403"/>
      <c r="X531" s="380"/>
      <c r="Y531" s="380"/>
      <c r="Z531" s="380"/>
      <c r="AA531" s="380"/>
      <c r="AB531" s="380"/>
      <c r="AC531" s="404"/>
      <c r="AD531" s="380"/>
      <c r="AE531" s="380"/>
      <c r="AF531" s="380"/>
      <c r="AG531" s="380"/>
      <c r="AH531" s="380"/>
      <c r="AI531" s="380"/>
      <c r="AJ531" s="380"/>
      <c r="AK531" s="403"/>
      <c r="AL531" s="380"/>
      <c r="AM531" s="380"/>
      <c r="AN531" s="380"/>
      <c r="AO531" s="380"/>
      <c r="AP531" s="380"/>
      <c r="AQ531" s="404"/>
      <c r="AR531" s="380"/>
      <c r="AS531" s="380"/>
      <c r="AT531" s="380"/>
      <c r="AU531" s="380"/>
      <c r="AV531" s="380"/>
      <c r="AW531" s="380"/>
      <c r="AX531" s="380"/>
      <c r="AY531" s="403"/>
      <c r="AZ531" s="380"/>
      <c r="BA531" s="380"/>
      <c r="BB531" s="380"/>
      <c r="BC531" s="380"/>
      <c r="BD531" s="380"/>
      <c r="BE531" s="404"/>
      <c r="BF531" s="380"/>
      <c r="BG531" s="380"/>
      <c r="BH531" s="380"/>
      <c r="BI531" s="380"/>
      <c r="BJ531" s="380"/>
      <c r="BK531" s="380"/>
      <c r="BL531" s="380"/>
      <c r="BM531" s="403"/>
      <c r="BS531" s="83"/>
      <c r="CA531" s="405"/>
      <c r="CG531" s="83"/>
      <c r="CO531" s="405"/>
      <c r="CU531" s="83"/>
      <c r="DC531" s="405"/>
      <c r="DI531" s="83"/>
      <c r="DQ531" s="405"/>
      <c r="DW531" s="83"/>
      <c r="EE531" s="405"/>
      <c r="EK531" s="83"/>
      <c r="ES531" s="405"/>
      <c r="EY531" s="83"/>
      <c r="FG531" s="405"/>
      <c r="FM531" s="83"/>
      <c r="FU531" s="405"/>
      <c r="GA531" s="83"/>
      <c r="GI531" s="405"/>
      <c r="GO531" s="83"/>
      <c r="GW531" s="405"/>
      <c r="HC531" s="83"/>
      <c r="HK531" s="405"/>
      <c r="HQ531" s="83"/>
      <c r="HY531" s="405"/>
      <c r="IE531" s="83"/>
      <c r="IM531" s="405"/>
      <c r="IS531" s="83"/>
      <c r="JA531" s="405"/>
      <c r="JG531" s="83"/>
      <c r="JO531" s="405"/>
      <c r="JU531" s="83"/>
      <c r="KC531" s="405"/>
      <c r="KI531" s="83"/>
      <c r="KQ531" s="405"/>
      <c r="KW531" s="83"/>
      <c r="LE531" s="405"/>
      <c r="LK531" s="83"/>
      <c r="LS531" s="405"/>
      <c r="LY531" s="83"/>
      <c r="MG531" s="405"/>
      <c r="MM531" s="83"/>
      <c r="MU531" s="405"/>
      <c r="NA531" s="83"/>
    </row>
    <row r="532">
      <c r="A532" s="483"/>
      <c r="B532" s="380"/>
      <c r="C532" s="380"/>
      <c r="D532" s="380"/>
      <c r="E532" s="380"/>
      <c r="F532" s="380"/>
      <c r="G532" s="380"/>
      <c r="H532" s="380"/>
      <c r="I532" s="403"/>
      <c r="J532" s="380"/>
      <c r="K532" s="380"/>
      <c r="L532" s="380"/>
      <c r="M532" s="380"/>
      <c r="N532" s="380"/>
      <c r="O532" s="404"/>
      <c r="P532" s="380"/>
      <c r="Q532" s="380"/>
      <c r="R532" s="380"/>
      <c r="S532" s="380"/>
      <c r="T532" s="380"/>
      <c r="U532" s="380"/>
      <c r="V532" s="380"/>
      <c r="W532" s="403"/>
      <c r="X532" s="380"/>
      <c r="Y532" s="380"/>
      <c r="Z532" s="380"/>
      <c r="AA532" s="380"/>
      <c r="AB532" s="380"/>
      <c r="AC532" s="404"/>
      <c r="AD532" s="380"/>
      <c r="AE532" s="380"/>
      <c r="AF532" s="380"/>
      <c r="AG532" s="380"/>
      <c r="AH532" s="380"/>
      <c r="AI532" s="380"/>
      <c r="AJ532" s="380"/>
      <c r="AK532" s="403"/>
      <c r="AL532" s="380"/>
      <c r="AM532" s="380"/>
      <c r="AN532" s="380"/>
      <c r="AO532" s="380"/>
      <c r="AP532" s="380"/>
      <c r="AQ532" s="404"/>
      <c r="AR532" s="380"/>
      <c r="AS532" s="380"/>
      <c r="AT532" s="380"/>
      <c r="AU532" s="380"/>
      <c r="AV532" s="380"/>
      <c r="AW532" s="380"/>
      <c r="AX532" s="380"/>
      <c r="AY532" s="403"/>
      <c r="AZ532" s="380"/>
      <c r="BA532" s="380"/>
      <c r="BB532" s="380"/>
      <c r="BC532" s="380"/>
      <c r="BD532" s="380"/>
      <c r="BE532" s="404"/>
      <c r="BF532" s="380"/>
      <c r="BG532" s="380"/>
      <c r="BH532" s="380"/>
      <c r="BI532" s="380"/>
      <c r="BJ532" s="380"/>
      <c r="BK532" s="380"/>
      <c r="BL532" s="380"/>
      <c r="BM532" s="403"/>
      <c r="BS532" s="83"/>
      <c r="CA532" s="405"/>
      <c r="CG532" s="83"/>
      <c r="CO532" s="405"/>
      <c r="CU532" s="83"/>
      <c r="DC532" s="405"/>
      <c r="DI532" s="83"/>
      <c r="DQ532" s="405"/>
      <c r="DW532" s="83"/>
      <c r="EE532" s="405"/>
      <c r="EK532" s="83"/>
      <c r="ES532" s="405"/>
      <c r="EY532" s="83"/>
      <c r="FG532" s="405"/>
      <c r="FM532" s="83"/>
      <c r="FU532" s="405"/>
      <c r="GA532" s="83"/>
      <c r="GI532" s="405"/>
      <c r="GO532" s="83"/>
      <c r="GW532" s="405"/>
      <c r="HC532" s="83"/>
      <c r="HK532" s="405"/>
      <c r="HQ532" s="83"/>
      <c r="HY532" s="405"/>
      <c r="IE532" s="83"/>
      <c r="IM532" s="405"/>
      <c r="IS532" s="83"/>
      <c r="JA532" s="405"/>
      <c r="JG532" s="83"/>
      <c r="JO532" s="405"/>
      <c r="JU532" s="83"/>
      <c r="KC532" s="405"/>
      <c r="KI532" s="83"/>
      <c r="KQ532" s="405"/>
      <c r="KW532" s="83"/>
      <c r="LE532" s="405"/>
      <c r="LK532" s="83"/>
      <c r="LS532" s="405"/>
      <c r="LY532" s="83"/>
      <c r="MG532" s="405"/>
      <c r="MM532" s="83"/>
      <c r="MU532" s="405"/>
      <c r="NA532" s="83"/>
    </row>
    <row r="533">
      <c r="A533" s="483"/>
      <c r="B533" s="380"/>
      <c r="C533" s="380"/>
      <c r="D533" s="380"/>
      <c r="E533" s="380"/>
      <c r="F533" s="380"/>
      <c r="G533" s="380"/>
      <c r="H533" s="380"/>
      <c r="I533" s="403"/>
      <c r="J533" s="380"/>
      <c r="K533" s="380"/>
      <c r="L533" s="380"/>
      <c r="M533" s="380"/>
      <c r="N533" s="380"/>
      <c r="O533" s="404"/>
      <c r="P533" s="380"/>
      <c r="Q533" s="380"/>
      <c r="R533" s="380"/>
      <c r="S533" s="380"/>
      <c r="T533" s="380"/>
      <c r="U533" s="380"/>
      <c r="V533" s="380"/>
      <c r="W533" s="403"/>
      <c r="X533" s="380"/>
      <c r="Y533" s="380"/>
      <c r="Z533" s="380"/>
      <c r="AA533" s="380"/>
      <c r="AB533" s="380"/>
      <c r="AC533" s="404"/>
      <c r="AD533" s="380"/>
      <c r="AE533" s="380"/>
      <c r="AF533" s="380"/>
      <c r="AG533" s="380"/>
      <c r="AH533" s="380"/>
      <c r="AI533" s="380"/>
      <c r="AJ533" s="380"/>
      <c r="AK533" s="403"/>
      <c r="AL533" s="380"/>
      <c r="AM533" s="380"/>
      <c r="AN533" s="380"/>
      <c r="AO533" s="380"/>
      <c r="AP533" s="380"/>
      <c r="AQ533" s="404"/>
      <c r="AR533" s="380"/>
      <c r="AS533" s="380"/>
      <c r="AT533" s="380"/>
      <c r="AU533" s="380"/>
      <c r="AV533" s="380"/>
      <c r="AW533" s="380"/>
      <c r="AX533" s="380"/>
      <c r="AY533" s="403"/>
      <c r="AZ533" s="380"/>
      <c r="BA533" s="380"/>
      <c r="BB533" s="380"/>
      <c r="BC533" s="380"/>
      <c r="BD533" s="380"/>
      <c r="BE533" s="404"/>
      <c r="BF533" s="380"/>
      <c r="BG533" s="380"/>
      <c r="BH533" s="380"/>
      <c r="BI533" s="380"/>
      <c r="BJ533" s="380"/>
      <c r="BK533" s="380"/>
      <c r="BL533" s="380"/>
      <c r="BM533" s="403"/>
      <c r="BS533" s="83"/>
      <c r="CA533" s="405"/>
      <c r="CG533" s="83"/>
      <c r="CO533" s="405"/>
      <c r="CU533" s="83"/>
      <c r="DC533" s="405"/>
      <c r="DI533" s="83"/>
      <c r="DQ533" s="405"/>
      <c r="DW533" s="83"/>
      <c r="EE533" s="405"/>
      <c r="EK533" s="83"/>
      <c r="ES533" s="405"/>
      <c r="EY533" s="83"/>
      <c r="FG533" s="405"/>
      <c r="FM533" s="83"/>
      <c r="FU533" s="405"/>
      <c r="GA533" s="83"/>
      <c r="GI533" s="405"/>
      <c r="GO533" s="83"/>
      <c r="GW533" s="405"/>
      <c r="HC533" s="83"/>
      <c r="HK533" s="405"/>
      <c r="HQ533" s="83"/>
      <c r="HY533" s="405"/>
      <c r="IE533" s="83"/>
      <c r="IM533" s="405"/>
      <c r="IS533" s="83"/>
      <c r="JA533" s="405"/>
      <c r="JG533" s="83"/>
      <c r="JO533" s="405"/>
      <c r="JU533" s="83"/>
      <c r="KC533" s="405"/>
      <c r="KI533" s="83"/>
      <c r="KQ533" s="405"/>
      <c r="KW533" s="83"/>
      <c r="LE533" s="405"/>
      <c r="LK533" s="83"/>
      <c r="LS533" s="405"/>
      <c r="LY533" s="83"/>
      <c r="MG533" s="405"/>
      <c r="MM533" s="83"/>
      <c r="MU533" s="405"/>
      <c r="NA533" s="83"/>
    </row>
    <row r="534">
      <c r="A534" s="483"/>
      <c r="B534" s="380"/>
      <c r="C534" s="380"/>
      <c r="D534" s="380"/>
      <c r="E534" s="380"/>
      <c r="F534" s="380"/>
      <c r="G534" s="380"/>
      <c r="H534" s="380"/>
      <c r="I534" s="403"/>
      <c r="J534" s="380"/>
      <c r="K534" s="380"/>
      <c r="L534" s="380"/>
      <c r="M534" s="380"/>
      <c r="N534" s="380"/>
      <c r="O534" s="404"/>
      <c r="P534" s="380"/>
      <c r="Q534" s="380"/>
      <c r="R534" s="380"/>
      <c r="S534" s="380"/>
      <c r="T534" s="380"/>
      <c r="U534" s="380"/>
      <c r="V534" s="380"/>
      <c r="W534" s="403"/>
      <c r="X534" s="380"/>
      <c r="Y534" s="380"/>
      <c r="Z534" s="380"/>
      <c r="AA534" s="380"/>
      <c r="AB534" s="380"/>
      <c r="AC534" s="404"/>
      <c r="AD534" s="380"/>
      <c r="AE534" s="380"/>
      <c r="AF534" s="380"/>
      <c r="AG534" s="380"/>
      <c r="AH534" s="380"/>
      <c r="AI534" s="380"/>
      <c r="AJ534" s="380"/>
      <c r="AK534" s="403"/>
      <c r="AL534" s="380"/>
      <c r="AM534" s="380"/>
      <c r="AN534" s="380"/>
      <c r="AO534" s="380"/>
      <c r="AP534" s="380"/>
      <c r="AQ534" s="404"/>
      <c r="AR534" s="380"/>
      <c r="AS534" s="380"/>
      <c r="AT534" s="380"/>
      <c r="AU534" s="380"/>
      <c r="AV534" s="380"/>
      <c r="AW534" s="380"/>
      <c r="AX534" s="380"/>
      <c r="AY534" s="403"/>
      <c r="AZ534" s="380"/>
      <c r="BA534" s="380"/>
      <c r="BB534" s="380"/>
      <c r="BC534" s="380"/>
      <c r="BD534" s="380"/>
      <c r="BE534" s="404"/>
      <c r="BF534" s="380"/>
      <c r="BG534" s="380"/>
      <c r="BH534" s="380"/>
      <c r="BI534" s="380"/>
      <c r="BJ534" s="380"/>
      <c r="BK534" s="380"/>
      <c r="BL534" s="380"/>
      <c r="BM534" s="403"/>
      <c r="BS534" s="83"/>
      <c r="CA534" s="405"/>
      <c r="CG534" s="83"/>
      <c r="CO534" s="405"/>
      <c r="CU534" s="83"/>
      <c r="DC534" s="405"/>
      <c r="DI534" s="83"/>
      <c r="DQ534" s="405"/>
      <c r="DW534" s="83"/>
      <c r="EE534" s="405"/>
      <c r="EK534" s="83"/>
      <c r="ES534" s="405"/>
      <c r="EY534" s="83"/>
      <c r="FG534" s="405"/>
      <c r="FM534" s="83"/>
      <c r="FU534" s="405"/>
      <c r="GA534" s="83"/>
      <c r="GI534" s="405"/>
      <c r="GO534" s="83"/>
      <c r="GW534" s="405"/>
      <c r="HC534" s="83"/>
      <c r="HK534" s="405"/>
      <c r="HQ534" s="83"/>
      <c r="HY534" s="405"/>
      <c r="IE534" s="83"/>
      <c r="IM534" s="405"/>
      <c r="IS534" s="83"/>
      <c r="JA534" s="405"/>
      <c r="JG534" s="83"/>
      <c r="JO534" s="405"/>
      <c r="JU534" s="83"/>
      <c r="KC534" s="405"/>
      <c r="KI534" s="83"/>
      <c r="KQ534" s="405"/>
      <c r="KW534" s="83"/>
      <c r="LE534" s="405"/>
      <c r="LK534" s="83"/>
      <c r="LS534" s="405"/>
      <c r="LY534" s="83"/>
      <c r="MG534" s="405"/>
      <c r="MM534" s="83"/>
      <c r="MU534" s="405"/>
      <c r="NA534" s="83"/>
    </row>
    <row r="535">
      <c r="A535" s="483"/>
      <c r="B535" s="380"/>
      <c r="C535" s="380"/>
      <c r="D535" s="380"/>
      <c r="E535" s="380"/>
      <c r="F535" s="380"/>
      <c r="G535" s="380"/>
      <c r="H535" s="380"/>
      <c r="I535" s="403"/>
      <c r="J535" s="380"/>
      <c r="K535" s="380"/>
      <c r="L535" s="380"/>
      <c r="M535" s="380"/>
      <c r="N535" s="380"/>
      <c r="O535" s="404"/>
      <c r="P535" s="380"/>
      <c r="Q535" s="380"/>
      <c r="R535" s="380"/>
      <c r="S535" s="380"/>
      <c r="T535" s="380"/>
      <c r="U535" s="380"/>
      <c r="V535" s="380"/>
      <c r="W535" s="403"/>
      <c r="X535" s="380"/>
      <c r="Y535" s="380"/>
      <c r="Z535" s="380"/>
      <c r="AA535" s="380"/>
      <c r="AB535" s="380"/>
      <c r="AC535" s="404"/>
      <c r="AD535" s="380"/>
      <c r="AE535" s="380"/>
      <c r="AF535" s="380"/>
      <c r="AG535" s="380"/>
      <c r="AH535" s="380"/>
      <c r="AI535" s="380"/>
      <c r="AJ535" s="380"/>
      <c r="AK535" s="403"/>
      <c r="AL535" s="380"/>
      <c r="AM535" s="380"/>
      <c r="AN535" s="380"/>
      <c r="AO535" s="380"/>
      <c r="AP535" s="380"/>
      <c r="AQ535" s="404"/>
      <c r="AR535" s="380"/>
      <c r="AS535" s="380"/>
      <c r="AT535" s="380"/>
      <c r="AU535" s="380"/>
      <c r="AV535" s="380"/>
      <c r="AW535" s="380"/>
      <c r="AX535" s="380"/>
      <c r="AY535" s="403"/>
      <c r="AZ535" s="380"/>
      <c r="BA535" s="380"/>
      <c r="BB535" s="380"/>
      <c r="BC535" s="380"/>
      <c r="BD535" s="380"/>
      <c r="BE535" s="404"/>
      <c r="BF535" s="380"/>
      <c r="BG535" s="380"/>
      <c r="BH535" s="380"/>
      <c r="BI535" s="380"/>
      <c r="BJ535" s="380"/>
      <c r="BK535" s="380"/>
      <c r="BL535" s="380"/>
      <c r="BM535" s="403"/>
      <c r="BS535" s="83"/>
      <c r="CA535" s="405"/>
      <c r="CG535" s="83"/>
      <c r="CO535" s="405"/>
      <c r="CU535" s="83"/>
      <c r="DC535" s="405"/>
      <c r="DI535" s="83"/>
      <c r="DQ535" s="405"/>
      <c r="DW535" s="83"/>
      <c r="EE535" s="405"/>
      <c r="EK535" s="83"/>
      <c r="ES535" s="405"/>
      <c r="EY535" s="83"/>
      <c r="FG535" s="405"/>
      <c r="FM535" s="83"/>
      <c r="FU535" s="405"/>
      <c r="GA535" s="83"/>
      <c r="GI535" s="405"/>
      <c r="GO535" s="83"/>
      <c r="GW535" s="405"/>
      <c r="HC535" s="83"/>
      <c r="HK535" s="405"/>
      <c r="HQ535" s="83"/>
      <c r="HY535" s="405"/>
      <c r="IE535" s="83"/>
      <c r="IM535" s="405"/>
      <c r="IS535" s="83"/>
      <c r="JA535" s="405"/>
      <c r="JG535" s="83"/>
      <c r="JO535" s="405"/>
      <c r="JU535" s="83"/>
      <c r="KC535" s="405"/>
      <c r="KI535" s="83"/>
      <c r="KQ535" s="405"/>
      <c r="KW535" s="83"/>
      <c r="LE535" s="405"/>
      <c r="LK535" s="83"/>
      <c r="LS535" s="405"/>
      <c r="LY535" s="83"/>
      <c r="MG535" s="405"/>
      <c r="MM535" s="83"/>
      <c r="MU535" s="405"/>
      <c r="NA535" s="83"/>
    </row>
    <row r="536">
      <c r="A536" s="483"/>
      <c r="B536" s="380"/>
      <c r="C536" s="380"/>
      <c r="D536" s="380"/>
      <c r="E536" s="380"/>
      <c r="F536" s="380"/>
      <c r="G536" s="380"/>
      <c r="H536" s="380"/>
      <c r="I536" s="403"/>
      <c r="J536" s="380"/>
      <c r="K536" s="380"/>
      <c r="L536" s="380"/>
      <c r="M536" s="380"/>
      <c r="N536" s="380"/>
      <c r="O536" s="404"/>
      <c r="P536" s="380"/>
      <c r="Q536" s="380"/>
      <c r="R536" s="380"/>
      <c r="S536" s="380"/>
      <c r="T536" s="380"/>
      <c r="U536" s="380"/>
      <c r="V536" s="380"/>
      <c r="W536" s="403"/>
      <c r="X536" s="380"/>
      <c r="Y536" s="380"/>
      <c r="Z536" s="380"/>
      <c r="AA536" s="380"/>
      <c r="AB536" s="380"/>
      <c r="AC536" s="404"/>
      <c r="AD536" s="380"/>
      <c r="AE536" s="380"/>
      <c r="AF536" s="380"/>
      <c r="AG536" s="380"/>
      <c r="AH536" s="380"/>
      <c r="AI536" s="380"/>
      <c r="AJ536" s="380"/>
      <c r="AK536" s="403"/>
      <c r="AL536" s="380"/>
      <c r="AM536" s="380"/>
      <c r="AN536" s="380"/>
      <c r="AO536" s="380"/>
      <c r="AP536" s="380"/>
      <c r="AQ536" s="404"/>
      <c r="AR536" s="380"/>
      <c r="AS536" s="380"/>
      <c r="AT536" s="380"/>
      <c r="AU536" s="380"/>
      <c r="AV536" s="380"/>
      <c r="AW536" s="380"/>
      <c r="AX536" s="380"/>
      <c r="AY536" s="403"/>
      <c r="AZ536" s="380"/>
      <c r="BA536" s="380"/>
      <c r="BB536" s="380"/>
      <c r="BC536" s="380"/>
      <c r="BD536" s="380"/>
      <c r="BE536" s="404"/>
      <c r="BF536" s="380"/>
      <c r="BG536" s="380"/>
      <c r="BH536" s="380"/>
      <c r="BI536" s="380"/>
      <c r="BJ536" s="380"/>
      <c r="BK536" s="380"/>
      <c r="BL536" s="380"/>
      <c r="BM536" s="403"/>
      <c r="BS536" s="83"/>
      <c r="CA536" s="405"/>
      <c r="CG536" s="83"/>
      <c r="CO536" s="405"/>
      <c r="CU536" s="83"/>
      <c r="DC536" s="405"/>
      <c r="DI536" s="83"/>
      <c r="DQ536" s="405"/>
      <c r="DW536" s="83"/>
      <c r="EE536" s="405"/>
      <c r="EK536" s="83"/>
      <c r="ES536" s="405"/>
      <c r="EY536" s="83"/>
      <c r="FG536" s="405"/>
      <c r="FM536" s="83"/>
      <c r="FU536" s="405"/>
      <c r="GA536" s="83"/>
      <c r="GI536" s="405"/>
      <c r="GO536" s="83"/>
      <c r="GW536" s="405"/>
      <c r="HC536" s="83"/>
      <c r="HK536" s="405"/>
      <c r="HQ536" s="83"/>
      <c r="HY536" s="405"/>
      <c r="IE536" s="83"/>
      <c r="IM536" s="405"/>
      <c r="IS536" s="83"/>
      <c r="JA536" s="405"/>
      <c r="JG536" s="83"/>
      <c r="JO536" s="405"/>
      <c r="JU536" s="83"/>
      <c r="KC536" s="405"/>
      <c r="KI536" s="83"/>
      <c r="KQ536" s="405"/>
      <c r="KW536" s="83"/>
      <c r="LE536" s="405"/>
      <c r="LK536" s="83"/>
      <c r="LS536" s="405"/>
      <c r="LY536" s="83"/>
      <c r="MG536" s="405"/>
      <c r="MM536" s="83"/>
      <c r="MU536" s="405"/>
      <c r="NA536" s="83"/>
    </row>
    <row r="537">
      <c r="A537" s="483"/>
      <c r="B537" s="380"/>
      <c r="C537" s="380"/>
      <c r="D537" s="380"/>
      <c r="E537" s="380"/>
      <c r="F537" s="380"/>
      <c r="G537" s="380"/>
      <c r="H537" s="380"/>
      <c r="I537" s="403"/>
      <c r="J537" s="380"/>
      <c r="K537" s="380"/>
      <c r="L537" s="380"/>
      <c r="M537" s="380"/>
      <c r="N537" s="380"/>
      <c r="O537" s="404"/>
      <c r="P537" s="380"/>
      <c r="Q537" s="380"/>
      <c r="R537" s="380"/>
      <c r="S537" s="380"/>
      <c r="T537" s="380"/>
      <c r="U537" s="380"/>
      <c r="V537" s="380"/>
      <c r="W537" s="403"/>
      <c r="X537" s="380"/>
      <c r="Y537" s="380"/>
      <c r="Z537" s="380"/>
      <c r="AA537" s="380"/>
      <c r="AB537" s="380"/>
      <c r="AC537" s="404"/>
      <c r="AD537" s="380"/>
      <c r="AE537" s="380"/>
      <c r="AF537" s="380"/>
      <c r="AG537" s="380"/>
      <c r="AH537" s="380"/>
      <c r="AI537" s="380"/>
      <c r="AJ537" s="380"/>
      <c r="AK537" s="403"/>
      <c r="AL537" s="380"/>
      <c r="AM537" s="380"/>
      <c r="AN537" s="380"/>
      <c r="AO537" s="380"/>
      <c r="AP537" s="380"/>
      <c r="AQ537" s="404"/>
      <c r="AR537" s="380"/>
      <c r="AS537" s="380"/>
      <c r="AT537" s="380"/>
      <c r="AU537" s="380"/>
      <c r="AV537" s="380"/>
      <c r="AW537" s="380"/>
      <c r="AX537" s="380"/>
      <c r="AY537" s="403"/>
      <c r="AZ537" s="380"/>
      <c r="BA537" s="380"/>
      <c r="BB537" s="380"/>
      <c r="BC537" s="380"/>
      <c r="BD537" s="380"/>
      <c r="BE537" s="404"/>
      <c r="BF537" s="380"/>
      <c r="BG537" s="380"/>
      <c r="BH537" s="380"/>
      <c r="BI537" s="380"/>
      <c r="BJ537" s="380"/>
      <c r="BK537" s="380"/>
      <c r="BL537" s="380"/>
      <c r="BM537" s="403"/>
      <c r="BS537" s="83"/>
      <c r="CA537" s="405"/>
      <c r="CG537" s="83"/>
      <c r="CO537" s="405"/>
      <c r="CU537" s="83"/>
      <c r="DC537" s="405"/>
      <c r="DI537" s="83"/>
      <c r="DQ537" s="405"/>
      <c r="DW537" s="83"/>
      <c r="EE537" s="405"/>
      <c r="EK537" s="83"/>
      <c r="ES537" s="405"/>
      <c r="EY537" s="83"/>
      <c r="FG537" s="405"/>
      <c r="FM537" s="83"/>
      <c r="FU537" s="405"/>
      <c r="GA537" s="83"/>
      <c r="GI537" s="405"/>
      <c r="GO537" s="83"/>
      <c r="GW537" s="405"/>
      <c r="HC537" s="83"/>
      <c r="HK537" s="405"/>
      <c r="HQ537" s="83"/>
      <c r="HY537" s="405"/>
      <c r="IE537" s="83"/>
      <c r="IM537" s="405"/>
      <c r="IS537" s="83"/>
      <c r="JA537" s="405"/>
      <c r="JG537" s="83"/>
      <c r="JO537" s="405"/>
      <c r="JU537" s="83"/>
      <c r="KC537" s="405"/>
      <c r="KI537" s="83"/>
      <c r="KQ537" s="405"/>
      <c r="KW537" s="83"/>
      <c r="LE537" s="405"/>
      <c r="LK537" s="83"/>
      <c r="LS537" s="405"/>
      <c r="LY537" s="83"/>
      <c r="MG537" s="405"/>
      <c r="MM537" s="83"/>
      <c r="MU537" s="405"/>
      <c r="NA537" s="83"/>
    </row>
    <row r="538">
      <c r="A538" s="483"/>
      <c r="B538" s="380"/>
      <c r="C538" s="380"/>
      <c r="D538" s="380"/>
      <c r="E538" s="380"/>
      <c r="F538" s="380"/>
      <c r="G538" s="380"/>
      <c r="H538" s="380"/>
      <c r="I538" s="403"/>
      <c r="J538" s="380"/>
      <c r="K538" s="380"/>
      <c r="L538" s="380"/>
      <c r="M538" s="380"/>
      <c r="N538" s="380"/>
      <c r="O538" s="404"/>
      <c r="P538" s="380"/>
      <c r="Q538" s="380"/>
      <c r="R538" s="380"/>
      <c r="S538" s="380"/>
      <c r="T538" s="380"/>
      <c r="U538" s="380"/>
      <c r="V538" s="380"/>
      <c r="W538" s="403"/>
      <c r="X538" s="380"/>
      <c r="Y538" s="380"/>
      <c r="Z538" s="380"/>
      <c r="AA538" s="380"/>
      <c r="AB538" s="380"/>
      <c r="AC538" s="404"/>
      <c r="AD538" s="380"/>
      <c r="AE538" s="380"/>
      <c r="AF538" s="380"/>
      <c r="AG538" s="380"/>
      <c r="AH538" s="380"/>
      <c r="AI538" s="380"/>
      <c r="AJ538" s="380"/>
      <c r="AK538" s="403"/>
      <c r="AL538" s="380"/>
      <c r="AM538" s="380"/>
      <c r="AN538" s="380"/>
      <c r="AO538" s="380"/>
      <c r="AP538" s="380"/>
      <c r="AQ538" s="404"/>
      <c r="AR538" s="380"/>
      <c r="AS538" s="380"/>
      <c r="AT538" s="380"/>
      <c r="AU538" s="380"/>
      <c r="AV538" s="380"/>
      <c r="AW538" s="380"/>
      <c r="AX538" s="380"/>
      <c r="AY538" s="403"/>
      <c r="AZ538" s="380"/>
      <c r="BA538" s="380"/>
      <c r="BB538" s="380"/>
      <c r="BC538" s="380"/>
      <c r="BD538" s="380"/>
      <c r="BE538" s="404"/>
      <c r="BF538" s="380"/>
      <c r="BG538" s="380"/>
      <c r="BH538" s="380"/>
      <c r="BI538" s="380"/>
      <c r="BJ538" s="380"/>
      <c r="BK538" s="380"/>
      <c r="BL538" s="380"/>
      <c r="BM538" s="403"/>
      <c r="BS538" s="83"/>
      <c r="CA538" s="405"/>
      <c r="CG538" s="83"/>
      <c r="CO538" s="405"/>
      <c r="CU538" s="83"/>
      <c r="DC538" s="405"/>
      <c r="DI538" s="83"/>
      <c r="DQ538" s="405"/>
      <c r="DW538" s="83"/>
      <c r="EE538" s="405"/>
      <c r="EK538" s="83"/>
      <c r="ES538" s="405"/>
      <c r="EY538" s="83"/>
      <c r="FG538" s="405"/>
      <c r="FM538" s="83"/>
      <c r="FU538" s="405"/>
      <c r="GA538" s="83"/>
      <c r="GI538" s="405"/>
      <c r="GO538" s="83"/>
      <c r="GW538" s="405"/>
      <c r="HC538" s="83"/>
      <c r="HK538" s="405"/>
      <c r="HQ538" s="83"/>
      <c r="HY538" s="405"/>
      <c r="IE538" s="83"/>
      <c r="IM538" s="405"/>
      <c r="IS538" s="83"/>
      <c r="JA538" s="405"/>
      <c r="JG538" s="83"/>
      <c r="JO538" s="405"/>
      <c r="JU538" s="83"/>
      <c r="KC538" s="405"/>
      <c r="KI538" s="83"/>
      <c r="KQ538" s="405"/>
      <c r="KW538" s="83"/>
      <c r="LE538" s="405"/>
      <c r="LK538" s="83"/>
      <c r="LS538" s="405"/>
      <c r="LY538" s="83"/>
      <c r="MG538" s="405"/>
      <c r="MM538" s="83"/>
      <c r="MU538" s="405"/>
      <c r="NA538" s="83"/>
    </row>
    <row r="539">
      <c r="A539" s="483"/>
      <c r="B539" s="380"/>
      <c r="C539" s="380"/>
      <c r="D539" s="380"/>
      <c r="E539" s="380"/>
      <c r="F539" s="380"/>
      <c r="G539" s="380"/>
      <c r="H539" s="380"/>
      <c r="I539" s="403"/>
      <c r="J539" s="380"/>
      <c r="K539" s="380"/>
      <c r="L539" s="380"/>
      <c r="M539" s="380"/>
      <c r="N539" s="380"/>
      <c r="O539" s="404"/>
      <c r="P539" s="380"/>
      <c r="Q539" s="380"/>
      <c r="R539" s="380"/>
      <c r="S539" s="380"/>
      <c r="T539" s="380"/>
      <c r="U539" s="380"/>
      <c r="V539" s="380"/>
      <c r="W539" s="403"/>
      <c r="X539" s="380"/>
      <c r="Y539" s="380"/>
      <c r="Z539" s="380"/>
      <c r="AA539" s="380"/>
      <c r="AB539" s="380"/>
      <c r="AC539" s="404"/>
      <c r="AD539" s="380"/>
      <c r="AE539" s="380"/>
      <c r="AF539" s="380"/>
      <c r="AG539" s="380"/>
      <c r="AH539" s="380"/>
      <c r="AI539" s="380"/>
      <c r="AJ539" s="380"/>
      <c r="AK539" s="403"/>
      <c r="AL539" s="380"/>
      <c r="AM539" s="380"/>
      <c r="AN539" s="380"/>
      <c r="AO539" s="380"/>
      <c r="AP539" s="380"/>
      <c r="AQ539" s="404"/>
      <c r="AR539" s="380"/>
      <c r="AS539" s="380"/>
      <c r="AT539" s="380"/>
      <c r="AU539" s="380"/>
      <c r="AV539" s="380"/>
      <c r="AW539" s="380"/>
      <c r="AX539" s="380"/>
      <c r="AY539" s="403"/>
      <c r="AZ539" s="380"/>
      <c r="BA539" s="380"/>
      <c r="BB539" s="380"/>
      <c r="BC539" s="380"/>
      <c r="BD539" s="380"/>
      <c r="BE539" s="404"/>
      <c r="BF539" s="380"/>
      <c r="BG539" s="380"/>
      <c r="BH539" s="380"/>
      <c r="BI539" s="380"/>
      <c r="BJ539" s="380"/>
      <c r="BK539" s="380"/>
      <c r="BL539" s="380"/>
      <c r="BM539" s="403"/>
      <c r="BS539" s="83"/>
      <c r="CA539" s="405"/>
      <c r="CG539" s="83"/>
      <c r="CO539" s="405"/>
      <c r="CU539" s="83"/>
      <c r="DC539" s="405"/>
      <c r="DI539" s="83"/>
      <c r="DQ539" s="405"/>
      <c r="DW539" s="83"/>
      <c r="EE539" s="405"/>
      <c r="EK539" s="83"/>
      <c r="ES539" s="405"/>
      <c r="EY539" s="83"/>
      <c r="FG539" s="405"/>
      <c r="FM539" s="83"/>
      <c r="FU539" s="405"/>
      <c r="GA539" s="83"/>
      <c r="GI539" s="405"/>
      <c r="GO539" s="83"/>
      <c r="GW539" s="405"/>
      <c r="HC539" s="83"/>
      <c r="HK539" s="405"/>
      <c r="HQ539" s="83"/>
      <c r="HY539" s="405"/>
      <c r="IE539" s="83"/>
      <c r="IM539" s="405"/>
      <c r="IS539" s="83"/>
      <c r="JA539" s="405"/>
      <c r="JG539" s="83"/>
      <c r="JO539" s="405"/>
      <c r="JU539" s="83"/>
      <c r="KC539" s="405"/>
      <c r="KI539" s="83"/>
      <c r="KQ539" s="405"/>
      <c r="KW539" s="83"/>
      <c r="LE539" s="405"/>
      <c r="LK539" s="83"/>
      <c r="LS539" s="405"/>
      <c r="LY539" s="83"/>
      <c r="MG539" s="405"/>
      <c r="MM539" s="83"/>
      <c r="MU539" s="405"/>
      <c r="NA539" s="83"/>
    </row>
    <row r="540">
      <c r="A540" s="483"/>
      <c r="B540" s="380"/>
      <c r="C540" s="380"/>
      <c r="D540" s="380"/>
      <c r="E540" s="380"/>
      <c r="F540" s="380"/>
      <c r="G540" s="380"/>
      <c r="H540" s="380"/>
      <c r="I540" s="403"/>
      <c r="J540" s="380"/>
      <c r="K540" s="380"/>
      <c r="L540" s="380"/>
      <c r="M540" s="380"/>
      <c r="N540" s="380"/>
      <c r="O540" s="404"/>
      <c r="P540" s="380"/>
      <c r="Q540" s="380"/>
      <c r="R540" s="380"/>
      <c r="S540" s="380"/>
      <c r="T540" s="380"/>
      <c r="U540" s="380"/>
      <c r="V540" s="380"/>
      <c r="W540" s="403"/>
      <c r="X540" s="380"/>
      <c r="Y540" s="380"/>
      <c r="Z540" s="380"/>
      <c r="AA540" s="380"/>
      <c r="AB540" s="380"/>
      <c r="AC540" s="404"/>
      <c r="AD540" s="380"/>
      <c r="AE540" s="380"/>
      <c r="AF540" s="380"/>
      <c r="AG540" s="380"/>
      <c r="AH540" s="380"/>
      <c r="AI540" s="380"/>
      <c r="AJ540" s="380"/>
      <c r="AK540" s="403"/>
      <c r="AL540" s="380"/>
      <c r="AM540" s="380"/>
      <c r="AN540" s="380"/>
      <c r="AO540" s="380"/>
      <c r="AP540" s="380"/>
      <c r="AQ540" s="404"/>
      <c r="AR540" s="380"/>
      <c r="AS540" s="380"/>
      <c r="AT540" s="380"/>
      <c r="AU540" s="380"/>
      <c r="AV540" s="380"/>
      <c r="AW540" s="380"/>
      <c r="AX540" s="380"/>
      <c r="AY540" s="403"/>
      <c r="AZ540" s="380"/>
      <c r="BA540" s="380"/>
      <c r="BB540" s="380"/>
      <c r="BC540" s="380"/>
      <c r="BD540" s="380"/>
      <c r="BE540" s="404"/>
      <c r="BF540" s="380"/>
      <c r="BG540" s="380"/>
      <c r="BH540" s="380"/>
      <c r="BI540" s="380"/>
      <c r="BJ540" s="380"/>
      <c r="BK540" s="380"/>
      <c r="BL540" s="380"/>
      <c r="BM540" s="403"/>
      <c r="BS540" s="83"/>
      <c r="CA540" s="405"/>
      <c r="CG540" s="83"/>
      <c r="CO540" s="405"/>
      <c r="CU540" s="83"/>
      <c r="DC540" s="405"/>
      <c r="DI540" s="83"/>
      <c r="DQ540" s="405"/>
      <c r="DW540" s="83"/>
      <c r="EE540" s="405"/>
      <c r="EK540" s="83"/>
      <c r="ES540" s="405"/>
      <c r="EY540" s="83"/>
      <c r="FG540" s="405"/>
      <c r="FM540" s="83"/>
      <c r="FU540" s="405"/>
      <c r="GA540" s="83"/>
      <c r="GI540" s="405"/>
      <c r="GO540" s="83"/>
      <c r="GW540" s="405"/>
      <c r="HC540" s="83"/>
      <c r="HK540" s="405"/>
      <c r="HQ540" s="83"/>
      <c r="HY540" s="405"/>
      <c r="IE540" s="83"/>
      <c r="IM540" s="405"/>
      <c r="IS540" s="83"/>
      <c r="JA540" s="405"/>
      <c r="JG540" s="83"/>
      <c r="JO540" s="405"/>
      <c r="JU540" s="83"/>
      <c r="KC540" s="405"/>
      <c r="KI540" s="83"/>
      <c r="KQ540" s="405"/>
      <c r="KW540" s="83"/>
      <c r="LE540" s="405"/>
      <c r="LK540" s="83"/>
      <c r="LS540" s="405"/>
      <c r="LY540" s="83"/>
      <c r="MG540" s="405"/>
      <c r="MM540" s="83"/>
      <c r="MU540" s="405"/>
      <c r="NA540" s="83"/>
    </row>
    <row r="541">
      <c r="A541" s="483"/>
      <c r="B541" s="380"/>
      <c r="C541" s="380"/>
      <c r="D541" s="380"/>
      <c r="E541" s="380"/>
      <c r="F541" s="380"/>
      <c r="G541" s="380"/>
      <c r="H541" s="380"/>
      <c r="I541" s="403"/>
      <c r="J541" s="380"/>
      <c r="K541" s="380"/>
      <c r="L541" s="380"/>
      <c r="M541" s="380"/>
      <c r="N541" s="380"/>
      <c r="O541" s="404"/>
      <c r="P541" s="380"/>
      <c r="Q541" s="380"/>
      <c r="R541" s="380"/>
      <c r="S541" s="380"/>
      <c r="T541" s="380"/>
      <c r="U541" s="380"/>
      <c r="V541" s="380"/>
      <c r="W541" s="403"/>
      <c r="X541" s="380"/>
      <c r="Y541" s="380"/>
      <c r="Z541" s="380"/>
      <c r="AA541" s="380"/>
      <c r="AB541" s="380"/>
      <c r="AC541" s="404"/>
      <c r="AD541" s="380"/>
      <c r="AE541" s="380"/>
      <c r="AF541" s="380"/>
      <c r="AG541" s="380"/>
      <c r="AH541" s="380"/>
      <c r="AI541" s="380"/>
      <c r="AJ541" s="380"/>
      <c r="AK541" s="403"/>
      <c r="AL541" s="380"/>
      <c r="AM541" s="380"/>
      <c r="AN541" s="380"/>
      <c r="AO541" s="380"/>
      <c r="AP541" s="380"/>
      <c r="AQ541" s="404"/>
      <c r="AR541" s="380"/>
      <c r="AS541" s="380"/>
      <c r="AT541" s="380"/>
      <c r="AU541" s="380"/>
      <c r="AV541" s="380"/>
      <c r="AW541" s="380"/>
      <c r="AX541" s="380"/>
      <c r="AY541" s="403"/>
      <c r="AZ541" s="380"/>
      <c r="BA541" s="380"/>
      <c r="BB541" s="380"/>
      <c r="BC541" s="380"/>
      <c r="BD541" s="380"/>
      <c r="BE541" s="404"/>
      <c r="BF541" s="380"/>
      <c r="BG541" s="380"/>
      <c r="BH541" s="380"/>
      <c r="BI541" s="380"/>
      <c r="BJ541" s="380"/>
      <c r="BK541" s="380"/>
      <c r="BL541" s="380"/>
      <c r="BM541" s="403"/>
      <c r="BS541" s="83"/>
      <c r="CA541" s="405"/>
      <c r="CG541" s="83"/>
      <c r="CO541" s="405"/>
      <c r="CU541" s="83"/>
      <c r="DC541" s="405"/>
      <c r="DI541" s="83"/>
      <c r="DQ541" s="405"/>
      <c r="DW541" s="83"/>
      <c r="EE541" s="405"/>
      <c r="EK541" s="83"/>
      <c r="ES541" s="405"/>
      <c r="EY541" s="83"/>
      <c r="FG541" s="405"/>
      <c r="FM541" s="83"/>
      <c r="FU541" s="405"/>
      <c r="GA541" s="83"/>
      <c r="GI541" s="405"/>
      <c r="GO541" s="83"/>
      <c r="GW541" s="405"/>
      <c r="HC541" s="83"/>
      <c r="HK541" s="405"/>
      <c r="HQ541" s="83"/>
      <c r="HY541" s="405"/>
      <c r="IE541" s="83"/>
      <c r="IM541" s="405"/>
      <c r="IS541" s="83"/>
      <c r="JA541" s="405"/>
      <c r="JG541" s="83"/>
      <c r="JO541" s="405"/>
      <c r="JU541" s="83"/>
      <c r="KC541" s="405"/>
      <c r="KI541" s="83"/>
      <c r="KQ541" s="405"/>
      <c r="KW541" s="83"/>
      <c r="LE541" s="405"/>
      <c r="LK541" s="83"/>
      <c r="LS541" s="405"/>
      <c r="LY541" s="83"/>
      <c r="MG541" s="405"/>
      <c r="MM541" s="83"/>
      <c r="MU541" s="405"/>
      <c r="NA541" s="83"/>
    </row>
    <row r="542">
      <c r="A542" s="483"/>
      <c r="B542" s="380"/>
      <c r="C542" s="380"/>
      <c r="D542" s="380"/>
      <c r="E542" s="380"/>
      <c r="F542" s="380"/>
      <c r="G542" s="380"/>
      <c r="H542" s="380"/>
      <c r="I542" s="403"/>
      <c r="J542" s="380"/>
      <c r="K542" s="380"/>
      <c r="L542" s="380"/>
      <c r="M542" s="380"/>
      <c r="N542" s="380"/>
      <c r="O542" s="404"/>
      <c r="P542" s="380"/>
      <c r="Q542" s="380"/>
      <c r="R542" s="380"/>
      <c r="S542" s="380"/>
      <c r="T542" s="380"/>
      <c r="U542" s="380"/>
      <c r="V542" s="380"/>
      <c r="W542" s="403"/>
      <c r="X542" s="380"/>
      <c r="Y542" s="380"/>
      <c r="Z542" s="380"/>
      <c r="AA542" s="380"/>
      <c r="AB542" s="380"/>
      <c r="AC542" s="404"/>
      <c r="AD542" s="380"/>
      <c r="AE542" s="380"/>
      <c r="AF542" s="380"/>
      <c r="AG542" s="380"/>
      <c r="AH542" s="380"/>
      <c r="AI542" s="380"/>
      <c r="AJ542" s="380"/>
      <c r="AK542" s="403"/>
      <c r="AL542" s="380"/>
      <c r="AM542" s="380"/>
      <c r="AN542" s="380"/>
      <c r="AO542" s="380"/>
      <c r="AP542" s="380"/>
      <c r="AQ542" s="404"/>
      <c r="AR542" s="380"/>
      <c r="AS542" s="380"/>
      <c r="AT542" s="380"/>
      <c r="AU542" s="380"/>
      <c r="AV542" s="380"/>
      <c r="AW542" s="380"/>
      <c r="AX542" s="380"/>
      <c r="AY542" s="403"/>
      <c r="AZ542" s="380"/>
      <c r="BA542" s="380"/>
      <c r="BB542" s="380"/>
      <c r="BC542" s="380"/>
      <c r="BD542" s="380"/>
      <c r="BE542" s="404"/>
      <c r="BF542" s="380"/>
      <c r="BG542" s="380"/>
      <c r="BH542" s="380"/>
      <c r="BI542" s="380"/>
      <c r="BJ542" s="380"/>
      <c r="BK542" s="380"/>
      <c r="BL542" s="380"/>
      <c r="BM542" s="403"/>
      <c r="BS542" s="83"/>
      <c r="CA542" s="405"/>
      <c r="CG542" s="83"/>
      <c r="CO542" s="405"/>
      <c r="CU542" s="83"/>
      <c r="DC542" s="405"/>
      <c r="DI542" s="83"/>
      <c r="DQ542" s="405"/>
      <c r="DW542" s="83"/>
      <c r="EE542" s="405"/>
      <c r="EK542" s="83"/>
      <c r="ES542" s="405"/>
      <c r="EY542" s="83"/>
      <c r="FG542" s="405"/>
      <c r="FM542" s="83"/>
      <c r="FU542" s="405"/>
      <c r="GA542" s="83"/>
      <c r="GI542" s="405"/>
      <c r="GO542" s="83"/>
      <c r="GW542" s="405"/>
      <c r="HC542" s="83"/>
      <c r="HK542" s="405"/>
      <c r="HQ542" s="83"/>
      <c r="HY542" s="405"/>
      <c r="IE542" s="83"/>
      <c r="IM542" s="405"/>
      <c r="IS542" s="83"/>
      <c r="JA542" s="405"/>
      <c r="JG542" s="83"/>
      <c r="JO542" s="405"/>
      <c r="JU542" s="83"/>
      <c r="KC542" s="405"/>
      <c r="KI542" s="83"/>
      <c r="KQ542" s="405"/>
      <c r="KW542" s="83"/>
      <c r="LE542" s="405"/>
      <c r="LK542" s="83"/>
      <c r="LS542" s="405"/>
      <c r="LY542" s="83"/>
      <c r="MG542" s="405"/>
      <c r="MM542" s="83"/>
      <c r="MU542" s="405"/>
      <c r="NA542" s="83"/>
    </row>
    <row r="543">
      <c r="A543" s="483"/>
      <c r="B543" s="380"/>
      <c r="C543" s="380"/>
      <c r="D543" s="380"/>
      <c r="E543" s="380"/>
      <c r="F543" s="380"/>
      <c r="G543" s="380"/>
      <c r="H543" s="380"/>
      <c r="I543" s="403"/>
      <c r="J543" s="380"/>
      <c r="K543" s="380"/>
      <c r="L543" s="380"/>
      <c r="M543" s="380"/>
      <c r="N543" s="380"/>
      <c r="O543" s="404"/>
      <c r="P543" s="380"/>
      <c r="Q543" s="380"/>
      <c r="R543" s="380"/>
      <c r="S543" s="380"/>
      <c r="T543" s="380"/>
      <c r="U543" s="380"/>
      <c r="V543" s="380"/>
      <c r="W543" s="403"/>
      <c r="X543" s="380"/>
      <c r="Y543" s="380"/>
      <c r="Z543" s="380"/>
      <c r="AA543" s="380"/>
      <c r="AB543" s="380"/>
      <c r="AC543" s="404"/>
      <c r="AD543" s="380"/>
      <c r="AE543" s="380"/>
      <c r="AF543" s="380"/>
      <c r="AG543" s="380"/>
      <c r="AH543" s="380"/>
      <c r="AI543" s="380"/>
      <c r="AJ543" s="380"/>
      <c r="AK543" s="403"/>
      <c r="AL543" s="380"/>
      <c r="AM543" s="380"/>
      <c r="AN543" s="380"/>
      <c r="AO543" s="380"/>
      <c r="AP543" s="380"/>
      <c r="AQ543" s="404"/>
      <c r="AR543" s="380"/>
      <c r="AS543" s="380"/>
      <c r="AT543" s="380"/>
      <c r="AU543" s="380"/>
      <c r="AV543" s="380"/>
      <c r="AW543" s="380"/>
      <c r="AX543" s="380"/>
      <c r="AY543" s="403"/>
      <c r="AZ543" s="380"/>
      <c r="BA543" s="380"/>
      <c r="BB543" s="380"/>
      <c r="BC543" s="380"/>
      <c r="BD543" s="380"/>
      <c r="BE543" s="404"/>
      <c r="BF543" s="380"/>
      <c r="BG543" s="380"/>
      <c r="BH543" s="380"/>
      <c r="BI543" s="380"/>
      <c r="BJ543" s="380"/>
      <c r="BK543" s="380"/>
      <c r="BL543" s="380"/>
      <c r="BM543" s="403"/>
      <c r="BS543" s="83"/>
      <c r="CA543" s="405"/>
      <c r="CG543" s="83"/>
      <c r="CO543" s="405"/>
      <c r="CU543" s="83"/>
      <c r="DC543" s="405"/>
      <c r="DI543" s="83"/>
      <c r="DQ543" s="405"/>
      <c r="DW543" s="83"/>
      <c r="EE543" s="405"/>
      <c r="EK543" s="83"/>
      <c r="ES543" s="405"/>
      <c r="EY543" s="83"/>
      <c r="FG543" s="405"/>
      <c r="FM543" s="83"/>
      <c r="FU543" s="405"/>
      <c r="GA543" s="83"/>
      <c r="GI543" s="405"/>
      <c r="GO543" s="83"/>
      <c r="GW543" s="405"/>
      <c r="HC543" s="83"/>
      <c r="HK543" s="405"/>
      <c r="HQ543" s="83"/>
      <c r="HY543" s="405"/>
      <c r="IE543" s="83"/>
      <c r="IM543" s="405"/>
      <c r="IS543" s="83"/>
      <c r="JA543" s="405"/>
      <c r="JG543" s="83"/>
      <c r="JO543" s="405"/>
      <c r="JU543" s="83"/>
      <c r="KC543" s="405"/>
      <c r="KI543" s="83"/>
      <c r="KQ543" s="405"/>
      <c r="KW543" s="83"/>
      <c r="LE543" s="405"/>
      <c r="LK543" s="83"/>
      <c r="LS543" s="405"/>
      <c r="LY543" s="83"/>
      <c r="MG543" s="405"/>
      <c r="MM543" s="83"/>
      <c r="MU543" s="405"/>
      <c r="NA543" s="83"/>
    </row>
    <row r="544">
      <c r="A544" s="483"/>
      <c r="B544" s="380"/>
      <c r="C544" s="380"/>
      <c r="D544" s="380"/>
      <c r="E544" s="380"/>
      <c r="F544" s="380"/>
      <c r="G544" s="380"/>
      <c r="H544" s="380"/>
      <c r="I544" s="403"/>
      <c r="J544" s="380"/>
      <c r="K544" s="380"/>
      <c r="L544" s="380"/>
      <c r="M544" s="380"/>
      <c r="N544" s="380"/>
      <c r="O544" s="404"/>
      <c r="P544" s="380"/>
      <c r="Q544" s="380"/>
      <c r="R544" s="380"/>
      <c r="S544" s="380"/>
      <c r="T544" s="380"/>
      <c r="U544" s="380"/>
      <c r="V544" s="380"/>
      <c r="W544" s="403"/>
      <c r="X544" s="380"/>
      <c r="Y544" s="380"/>
      <c r="Z544" s="380"/>
      <c r="AA544" s="380"/>
      <c r="AB544" s="380"/>
      <c r="AC544" s="404"/>
      <c r="AD544" s="380"/>
      <c r="AE544" s="380"/>
      <c r="AF544" s="380"/>
      <c r="AG544" s="380"/>
      <c r="AH544" s="380"/>
      <c r="AI544" s="380"/>
      <c r="AJ544" s="380"/>
      <c r="AK544" s="403"/>
      <c r="AL544" s="380"/>
      <c r="AM544" s="380"/>
      <c r="AN544" s="380"/>
      <c r="AO544" s="380"/>
      <c r="AP544" s="380"/>
      <c r="AQ544" s="404"/>
      <c r="AR544" s="380"/>
      <c r="AS544" s="380"/>
      <c r="AT544" s="380"/>
      <c r="AU544" s="380"/>
      <c r="AV544" s="380"/>
      <c r="AW544" s="380"/>
      <c r="AX544" s="380"/>
      <c r="AY544" s="403"/>
      <c r="AZ544" s="380"/>
      <c r="BA544" s="380"/>
      <c r="BB544" s="380"/>
      <c r="BC544" s="380"/>
      <c r="BD544" s="380"/>
      <c r="BE544" s="404"/>
      <c r="BF544" s="380"/>
      <c r="BG544" s="380"/>
      <c r="BH544" s="380"/>
      <c r="BI544" s="380"/>
      <c r="BJ544" s="380"/>
      <c r="BK544" s="380"/>
      <c r="BL544" s="380"/>
      <c r="BM544" s="403"/>
      <c r="BS544" s="83"/>
      <c r="CA544" s="405"/>
      <c r="CG544" s="83"/>
      <c r="CO544" s="405"/>
      <c r="CU544" s="83"/>
      <c r="DC544" s="405"/>
      <c r="DI544" s="83"/>
      <c r="DQ544" s="405"/>
      <c r="DW544" s="83"/>
      <c r="EE544" s="405"/>
      <c r="EK544" s="83"/>
      <c r="ES544" s="405"/>
      <c r="EY544" s="83"/>
      <c r="FG544" s="405"/>
      <c r="FM544" s="83"/>
      <c r="FU544" s="405"/>
      <c r="GA544" s="83"/>
      <c r="GI544" s="405"/>
      <c r="GO544" s="83"/>
      <c r="GW544" s="405"/>
      <c r="HC544" s="83"/>
      <c r="HK544" s="405"/>
      <c r="HQ544" s="83"/>
      <c r="HY544" s="405"/>
      <c r="IE544" s="83"/>
      <c r="IM544" s="405"/>
      <c r="IS544" s="83"/>
      <c r="JA544" s="405"/>
      <c r="JG544" s="83"/>
      <c r="JO544" s="405"/>
      <c r="JU544" s="83"/>
      <c r="KC544" s="405"/>
      <c r="KI544" s="83"/>
      <c r="KQ544" s="405"/>
      <c r="KW544" s="83"/>
      <c r="LE544" s="405"/>
      <c r="LK544" s="83"/>
      <c r="LS544" s="405"/>
      <c r="LY544" s="83"/>
      <c r="MG544" s="405"/>
      <c r="MM544" s="83"/>
      <c r="MU544" s="405"/>
      <c r="NA544" s="83"/>
    </row>
    <row r="545">
      <c r="A545" s="483"/>
      <c r="B545" s="380"/>
      <c r="C545" s="380"/>
      <c r="D545" s="380"/>
      <c r="E545" s="380"/>
      <c r="F545" s="380"/>
      <c r="G545" s="380"/>
      <c r="H545" s="380"/>
      <c r="I545" s="403"/>
      <c r="J545" s="380"/>
      <c r="K545" s="380"/>
      <c r="L545" s="380"/>
      <c r="M545" s="380"/>
      <c r="N545" s="380"/>
      <c r="O545" s="404"/>
      <c r="P545" s="380"/>
      <c r="Q545" s="380"/>
      <c r="R545" s="380"/>
      <c r="S545" s="380"/>
      <c r="T545" s="380"/>
      <c r="U545" s="380"/>
      <c r="V545" s="380"/>
      <c r="W545" s="403"/>
      <c r="X545" s="380"/>
      <c r="Y545" s="380"/>
      <c r="Z545" s="380"/>
      <c r="AA545" s="380"/>
      <c r="AB545" s="380"/>
      <c r="AC545" s="404"/>
      <c r="AD545" s="380"/>
      <c r="AE545" s="380"/>
      <c r="AF545" s="380"/>
      <c r="AG545" s="380"/>
      <c r="AH545" s="380"/>
      <c r="AI545" s="380"/>
      <c r="AJ545" s="380"/>
      <c r="AK545" s="403"/>
      <c r="AL545" s="380"/>
      <c r="AM545" s="380"/>
      <c r="AN545" s="380"/>
      <c r="AO545" s="380"/>
      <c r="AP545" s="380"/>
      <c r="AQ545" s="404"/>
      <c r="AR545" s="380"/>
      <c r="AS545" s="380"/>
      <c r="AT545" s="380"/>
      <c r="AU545" s="380"/>
      <c r="AV545" s="380"/>
      <c r="AW545" s="380"/>
      <c r="AX545" s="380"/>
      <c r="AY545" s="403"/>
      <c r="AZ545" s="380"/>
      <c r="BA545" s="380"/>
      <c r="BB545" s="380"/>
      <c r="BC545" s="380"/>
      <c r="BD545" s="380"/>
      <c r="BE545" s="404"/>
      <c r="BF545" s="380"/>
      <c r="BG545" s="380"/>
      <c r="BH545" s="380"/>
      <c r="BI545" s="380"/>
      <c r="BJ545" s="380"/>
      <c r="BK545" s="380"/>
      <c r="BL545" s="380"/>
      <c r="BM545" s="403"/>
      <c r="BS545" s="83"/>
      <c r="CA545" s="405"/>
      <c r="CG545" s="83"/>
      <c r="CO545" s="405"/>
      <c r="CU545" s="83"/>
      <c r="DC545" s="405"/>
      <c r="DI545" s="83"/>
      <c r="DQ545" s="405"/>
      <c r="DW545" s="83"/>
      <c r="EE545" s="405"/>
      <c r="EK545" s="83"/>
      <c r="ES545" s="405"/>
      <c r="EY545" s="83"/>
      <c r="FG545" s="405"/>
      <c r="FM545" s="83"/>
      <c r="FU545" s="405"/>
      <c r="GA545" s="83"/>
      <c r="GI545" s="405"/>
      <c r="GO545" s="83"/>
      <c r="GW545" s="405"/>
      <c r="HC545" s="83"/>
      <c r="HK545" s="405"/>
      <c r="HQ545" s="83"/>
      <c r="HY545" s="405"/>
      <c r="IE545" s="83"/>
      <c r="IM545" s="405"/>
      <c r="IS545" s="83"/>
      <c r="JA545" s="405"/>
      <c r="JG545" s="83"/>
      <c r="JO545" s="405"/>
      <c r="JU545" s="83"/>
      <c r="KC545" s="405"/>
      <c r="KI545" s="83"/>
      <c r="KQ545" s="405"/>
      <c r="KW545" s="83"/>
      <c r="LE545" s="405"/>
      <c r="LK545" s="83"/>
      <c r="LS545" s="405"/>
      <c r="LY545" s="83"/>
      <c r="MG545" s="405"/>
      <c r="MM545" s="83"/>
      <c r="MU545" s="405"/>
      <c r="NA545" s="83"/>
    </row>
    <row r="546">
      <c r="A546" s="483"/>
      <c r="B546" s="380"/>
      <c r="C546" s="380"/>
      <c r="D546" s="380"/>
      <c r="E546" s="380"/>
      <c r="F546" s="380"/>
      <c r="G546" s="380"/>
      <c r="H546" s="380"/>
      <c r="I546" s="403"/>
      <c r="J546" s="380"/>
      <c r="K546" s="380"/>
      <c r="L546" s="380"/>
      <c r="M546" s="380"/>
      <c r="N546" s="380"/>
      <c r="O546" s="404"/>
      <c r="P546" s="380"/>
      <c r="Q546" s="380"/>
      <c r="R546" s="380"/>
      <c r="S546" s="380"/>
      <c r="T546" s="380"/>
      <c r="U546" s="380"/>
      <c r="V546" s="380"/>
      <c r="W546" s="403"/>
      <c r="X546" s="380"/>
      <c r="Y546" s="380"/>
      <c r="Z546" s="380"/>
      <c r="AA546" s="380"/>
      <c r="AB546" s="380"/>
      <c r="AC546" s="404"/>
      <c r="AD546" s="380"/>
      <c r="AE546" s="380"/>
      <c r="AF546" s="380"/>
      <c r="AG546" s="380"/>
      <c r="AH546" s="380"/>
      <c r="AI546" s="380"/>
      <c r="AJ546" s="380"/>
      <c r="AK546" s="403"/>
      <c r="AL546" s="380"/>
      <c r="AM546" s="380"/>
      <c r="AN546" s="380"/>
      <c r="AO546" s="380"/>
      <c r="AP546" s="380"/>
      <c r="AQ546" s="404"/>
      <c r="AR546" s="380"/>
      <c r="AS546" s="380"/>
      <c r="AT546" s="380"/>
      <c r="AU546" s="380"/>
      <c r="AV546" s="380"/>
      <c r="AW546" s="380"/>
      <c r="AX546" s="380"/>
      <c r="AY546" s="403"/>
      <c r="AZ546" s="380"/>
      <c r="BA546" s="380"/>
      <c r="BB546" s="380"/>
      <c r="BC546" s="380"/>
      <c r="BD546" s="380"/>
      <c r="BE546" s="404"/>
      <c r="BF546" s="380"/>
      <c r="BG546" s="380"/>
      <c r="BH546" s="380"/>
      <c r="BI546" s="380"/>
      <c r="BJ546" s="380"/>
      <c r="BK546" s="380"/>
      <c r="BL546" s="380"/>
      <c r="BM546" s="403"/>
      <c r="BS546" s="83"/>
      <c r="CA546" s="405"/>
      <c r="CG546" s="83"/>
      <c r="CO546" s="405"/>
      <c r="CU546" s="83"/>
      <c r="DC546" s="405"/>
      <c r="DI546" s="83"/>
      <c r="DQ546" s="405"/>
      <c r="DW546" s="83"/>
      <c r="EE546" s="405"/>
      <c r="EK546" s="83"/>
      <c r="ES546" s="405"/>
      <c r="EY546" s="83"/>
      <c r="FG546" s="405"/>
      <c r="FM546" s="83"/>
      <c r="FU546" s="405"/>
      <c r="GA546" s="83"/>
      <c r="GI546" s="405"/>
      <c r="GO546" s="83"/>
      <c r="GW546" s="405"/>
      <c r="HC546" s="83"/>
      <c r="HK546" s="405"/>
      <c r="HQ546" s="83"/>
      <c r="HY546" s="405"/>
      <c r="IE546" s="83"/>
      <c r="IM546" s="405"/>
      <c r="IS546" s="83"/>
      <c r="JA546" s="405"/>
      <c r="JG546" s="83"/>
      <c r="JO546" s="405"/>
      <c r="JU546" s="83"/>
      <c r="KC546" s="405"/>
      <c r="KI546" s="83"/>
      <c r="KQ546" s="405"/>
      <c r="KW546" s="83"/>
      <c r="LE546" s="405"/>
      <c r="LK546" s="83"/>
      <c r="LS546" s="405"/>
      <c r="LY546" s="83"/>
      <c r="MG546" s="405"/>
      <c r="MM546" s="83"/>
      <c r="MU546" s="405"/>
      <c r="NA546" s="83"/>
    </row>
    <row r="547">
      <c r="A547" s="483"/>
      <c r="B547" s="380"/>
      <c r="C547" s="380"/>
      <c r="D547" s="380"/>
      <c r="E547" s="380"/>
      <c r="F547" s="380"/>
      <c r="G547" s="380"/>
      <c r="H547" s="380"/>
      <c r="I547" s="403"/>
      <c r="J547" s="380"/>
      <c r="K547" s="380"/>
      <c r="L547" s="380"/>
      <c r="M547" s="380"/>
      <c r="N547" s="380"/>
      <c r="O547" s="404"/>
      <c r="P547" s="380"/>
      <c r="Q547" s="380"/>
      <c r="R547" s="380"/>
      <c r="S547" s="380"/>
      <c r="T547" s="380"/>
      <c r="U547" s="380"/>
      <c r="V547" s="380"/>
      <c r="W547" s="403"/>
      <c r="X547" s="380"/>
      <c r="Y547" s="380"/>
      <c r="Z547" s="380"/>
      <c r="AA547" s="380"/>
      <c r="AB547" s="380"/>
      <c r="AC547" s="404"/>
      <c r="AD547" s="380"/>
      <c r="AE547" s="380"/>
      <c r="AF547" s="380"/>
      <c r="AG547" s="380"/>
      <c r="AH547" s="380"/>
      <c r="AI547" s="380"/>
      <c r="AJ547" s="380"/>
      <c r="AK547" s="403"/>
      <c r="AL547" s="380"/>
      <c r="AM547" s="380"/>
      <c r="AN547" s="380"/>
      <c r="AO547" s="380"/>
      <c r="AP547" s="380"/>
      <c r="AQ547" s="404"/>
      <c r="AR547" s="380"/>
      <c r="AS547" s="380"/>
      <c r="AT547" s="380"/>
      <c r="AU547" s="380"/>
      <c r="AV547" s="380"/>
      <c r="AW547" s="380"/>
      <c r="AX547" s="380"/>
      <c r="AY547" s="403"/>
      <c r="AZ547" s="380"/>
      <c r="BA547" s="380"/>
      <c r="BB547" s="380"/>
      <c r="BC547" s="380"/>
      <c r="BD547" s="380"/>
      <c r="BE547" s="404"/>
      <c r="BF547" s="380"/>
      <c r="BG547" s="380"/>
      <c r="BH547" s="380"/>
      <c r="BI547" s="380"/>
      <c r="BJ547" s="380"/>
      <c r="BK547" s="380"/>
      <c r="BL547" s="380"/>
      <c r="BM547" s="403"/>
      <c r="BS547" s="83"/>
      <c r="CA547" s="405"/>
      <c r="CG547" s="83"/>
      <c r="CO547" s="405"/>
      <c r="CU547" s="83"/>
      <c r="DC547" s="405"/>
      <c r="DI547" s="83"/>
      <c r="DQ547" s="405"/>
      <c r="DW547" s="83"/>
      <c r="EE547" s="405"/>
      <c r="EK547" s="83"/>
      <c r="ES547" s="405"/>
      <c r="EY547" s="83"/>
      <c r="FG547" s="405"/>
      <c r="FM547" s="83"/>
      <c r="FU547" s="405"/>
      <c r="GA547" s="83"/>
      <c r="GI547" s="405"/>
      <c r="GO547" s="83"/>
      <c r="GW547" s="405"/>
      <c r="HC547" s="83"/>
      <c r="HK547" s="405"/>
      <c r="HQ547" s="83"/>
      <c r="HY547" s="405"/>
      <c r="IE547" s="83"/>
      <c r="IM547" s="405"/>
      <c r="IS547" s="83"/>
      <c r="JA547" s="405"/>
      <c r="JG547" s="83"/>
      <c r="JO547" s="405"/>
      <c r="JU547" s="83"/>
      <c r="KC547" s="405"/>
      <c r="KI547" s="83"/>
      <c r="KQ547" s="405"/>
      <c r="KW547" s="83"/>
      <c r="LE547" s="405"/>
      <c r="LK547" s="83"/>
      <c r="LS547" s="405"/>
      <c r="LY547" s="83"/>
      <c r="MG547" s="405"/>
      <c r="MM547" s="83"/>
      <c r="MU547" s="405"/>
      <c r="NA547" s="83"/>
    </row>
    <row r="548">
      <c r="A548" s="483"/>
      <c r="B548" s="380"/>
      <c r="C548" s="380"/>
      <c r="D548" s="380"/>
      <c r="E548" s="380"/>
      <c r="F548" s="380"/>
      <c r="G548" s="380"/>
      <c r="H548" s="380"/>
      <c r="I548" s="403"/>
      <c r="J548" s="380"/>
      <c r="K548" s="380"/>
      <c r="L548" s="380"/>
      <c r="M548" s="380"/>
      <c r="N548" s="380"/>
      <c r="O548" s="404"/>
      <c r="P548" s="380"/>
      <c r="Q548" s="380"/>
      <c r="R548" s="380"/>
      <c r="S548" s="380"/>
      <c r="T548" s="380"/>
      <c r="U548" s="380"/>
      <c r="V548" s="380"/>
      <c r="W548" s="403"/>
      <c r="X548" s="380"/>
      <c r="Y548" s="380"/>
      <c r="Z548" s="380"/>
      <c r="AA548" s="380"/>
      <c r="AB548" s="380"/>
      <c r="AC548" s="404"/>
      <c r="AD548" s="380"/>
      <c r="AE548" s="380"/>
      <c r="AF548" s="380"/>
      <c r="AG548" s="380"/>
      <c r="AH548" s="380"/>
      <c r="AI548" s="380"/>
      <c r="AJ548" s="380"/>
      <c r="AK548" s="403"/>
      <c r="AL548" s="380"/>
      <c r="AM548" s="380"/>
      <c r="AN548" s="380"/>
      <c r="AO548" s="380"/>
      <c r="AP548" s="380"/>
      <c r="AQ548" s="404"/>
      <c r="AR548" s="380"/>
      <c r="AS548" s="380"/>
      <c r="AT548" s="380"/>
      <c r="AU548" s="380"/>
      <c r="AV548" s="380"/>
      <c r="AW548" s="380"/>
      <c r="AX548" s="380"/>
      <c r="AY548" s="403"/>
      <c r="AZ548" s="380"/>
      <c r="BA548" s="380"/>
      <c r="BB548" s="380"/>
      <c r="BC548" s="380"/>
      <c r="BD548" s="380"/>
      <c r="BE548" s="404"/>
      <c r="BF548" s="380"/>
      <c r="BG548" s="380"/>
      <c r="BH548" s="380"/>
      <c r="BI548" s="380"/>
      <c r="BJ548" s="380"/>
      <c r="BK548" s="380"/>
      <c r="BL548" s="380"/>
      <c r="BM548" s="403"/>
      <c r="BS548" s="83"/>
      <c r="CA548" s="405"/>
      <c r="CG548" s="83"/>
      <c r="CO548" s="405"/>
      <c r="CU548" s="83"/>
      <c r="DC548" s="405"/>
      <c r="DI548" s="83"/>
      <c r="DQ548" s="405"/>
      <c r="DW548" s="83"/>
      <c r="EE548" s="405"/>
      <c r="EK548" s="83"/>
      <c r="ES548" s="405"/>
      <c r="EY548" s="83"/>
      <c r="FG548" s="405"/>
      <c r="FM548" s="83"/>
      <c r="FU548" s="405"/>
      <c r="GA548" s="83"/>
      <c r="GI548" s="405"/>
      <c r="GO548" s="83"/>
      <c r="GW548" s="405"/>
      <c r="HC548" s="83"/>
      <c r="HK548" s="405"/>
      <c r="HQ548" s="83"/>
      <c r="HY548" s="405"/>
      <c r="IE548" s="83"/>
      <c r="IM548" s="405"/>
      <c r="IS548" s="83"/>
      <c r="JA548" s="405"/>
      <c r="JG548" s="83"/>
      <c r="JO548" s="405"/>
      <c r="JU548" s="83"/>
      <c r="KC548" s="405"/>
      <c r="KI548" s="83"/>
      <c r="KQ548" s="405"/>
      <c r="KW548" s="83"/>
      <c r="LE548" s="405"/>
      <c r="LK548" s="83"/>
      <c r="LS548" s="405"/>
      <c r="LY548" s="83"/>
      <c r="MG548" s="405"/>
      <c r="MM548" s="83"/>
      <c r="MU548" s="405"/>
      <c r="NA548" s="83"/>
    </row>
    <row r="549">
      <c r="A549" s="483"/>
      <c r="B549" s="380"/>
      <c r="C549" s="380"/>
      <c r="D549" s="380"/>
      <c r="E549" s="380"/>
      <c r="F549" s="380"/>
      <c r="G549" s="380"/>
      <c r="H549" s="380"/>
      <c r="I549" s="403"/>
      <c r="J549" s="380"/>
      <c r="K549" s="380"/>
      <c r="L549" s="380"/>
      <c r="M549" s="380"/>
      <c r="N549" s="380"/>
      <c r="O549" s="404"/>
      <c r="P549" s="380"/>
      <c r="Q549" s="380"/>
      <c r="R549" s="380"/>
      <c r="S549" s="380"/>
      <c r="T549" s="380"/>
      <c r="U549" s="380"/>
      <c r="V549" s="380"/>
      <c r="W549" s="403"/>
      <c r="X549" s="380"/>
      <c r="Y549" s="380"/>
      <c r="Z549" s="380"/>
      <c r="AA549" s="380"/>
      <c r="AB549" s="380"/>
      <c r="AC549" s="404"/>
      <c r="AD549" s="380"/>
      <c r="AE549" s="380"/>
      <c r="AF549" s="380"/>
      <c r="AG549" s="380"/>
      <c r="AH549" s="380"/>
      <c r="AI549" s="380"/>
      <c r="AJ549" s="380"/>
      <c r="AK549" s="403"/>
      <c r="AL549" s="380"/>
      <c r="AM549" s="380"/>
      <c r="AN549" s="380"/>
      <c r="AO549" s="380"/>
      <c r="AP549" s="380"/>
      <c r="AQ549" s="404"/>
      <c r="AR549" s="380"/>
      <c r="AS549" s="380"/>
      <c r="AT549" s="380"/>
      <c r="AU549" s="380"/>
      <c r="AV549" s="380"/>
      <c r="AW549" s="380"/>
      <c r="AX549" s="380"/>
      <c r="AY549" s="403"/>
      <c r="AZ549" s="380"/>
      <c r="BA549" s="380"/>
      <c r="BB549" s="380"/>
      <c r="BC549" s="380"/>
      <c r="BD549" s="380"/>
      <c r="BE549" s="404"/>
      <c r="BF549" s="380"/>
      <c r="BG549" s="380"/>
      <c r="BH549" s="380"/>
      <c r="BI549" s="380"/>
      <c r="BJ549" s="380"/>
      <c r="BK549" s="380"/>
      <c r="BL549" s="380"/>
      <c r="BM549" s="403"/>
      <c r="BS549" s="83"/>
      <c r="CA549" s="405"/>
      <c r="CG549" s="83"/>
      <c r="CO549" s="405"/>
      <c r="CU549" s="83"/>
      <c r="DC549" s="405"/>
      <c r="DI549" s="83"/>
      <c r="DQ549" s="405"/>
      <c r="DW549" s="83"/>
      <c r="EE549" s="405"/>
      <c r="EK549" s="83"/>
      <c r="ES549" s="405"/>
      <c r="EY549" s="83"/>
      <c r="FG549" s="405"/>
      <c r="FM549" s="83"/>
      <c r="FU549" s="405"/>
      <c r="GA549" s="83"/>
      <c r="GI549" s="405"/>
      <c r="GO549" s="83"/>
      <c r="GW549" s="405"/>
      <c r="HC549" s="83"/>
      <c r="HK549" s="405"/>
      <c r="HQ549" s="83"/>
      <c r="HY549" s="405"/>
      <c r="IE549" s="83"/>
      <c r="IM549" s="405"/>
      <c r="IS549" s="83"/>
      <c r="JA549" s="405"/>
      <c r="JG549" s="83"/>
      <c r="JO549" s="405"/>
      <c r="JU549" s="83"/>
      <c r="KC549" s="405"/>
      <c r="KI549" s="83"/>
      <c r="KQ549" s="405"/>
      <c r="KW549" s="83"/>
      <c r="LE549" s="405"/>
      <c r="LK549" s="83"/>
      <c r="LS549" s="405"/>
      <c r="LY549" s="83"/>
      <c r="MG549" s="405"/>
      <c r="MM549" s="83"/>
      <c r="MU549" s="405"/>
      <c r="NA549" s="83"/>
    </row>
    <row r="550">
      <c r="A550" s="483"/>
      <c r="B550" s="380"/>
      <c r="C550" s="380"/>
      <c r="D550" s="380"/>
      <c r="E550" s="380"/>
      <c r="F550" s="380"/>
      <c r="G550" s="380"/>
      <c r="H550" s="380"/>
      <c r="I550" s="403"/>
      <c r="J550" s="380"/>
      <c r="K550" s="380"/>
      <c r="L550" s="380"/>
      <c r="M550" s="380"/>
      <c r="N550" s="380"/>
      <c r="O550" s="404"/>
      <c r="P550" s="380"/>
      <c r="Q550" s="380"/>
      <c r="R550" s="380"/>
      <c r="S550" s="380"/>
      <c r="T550" s="380"/>
      <c r="U550" s="380"/>
      <c r="V550" s="380"/>
      <c r="W550" s="403"/>
      <c r="X550" s="380"/>
      <c r="Y550" s="380"/>
      <c r="Z550" s="380"/>
      <c r="AA550" s="380"/>
      <c r="AB550" s="380"/>
      <c r="AC550" s="404"/>
      <c r="AD550" s="380"/>
      <c r="AE550" s="380"/>
      <c r="AF550" s="380"/>
      <c r="AG550" s="380"/>
      <c r="AH550" s="380"/>
      <c r="AI550" s="380"/>
      <c r="AJ550" s="380"/>
      <c r="AK550" s="403"/>
      <c r="AL550" s="380"/>
      <c r="AM550" s="380"/>
      <c r="AN550" s="380"/>
      <c r="AO550" s="380"/>
      <c r="AP550" s="380"/>
      <c r="AQ550" s="404"/>
      <c r="AR550" s="380"/>
      <c r="AS550" s="380"/>
      <c r="AT550" s="380"/>
      <c r="AU550" s="380"/>
      <c r="AV550" s="380"/>
      <c r="AW550" s="380"/>
      <c r="AX550" s="380"/>
      <c r="AY550" s="403"/>
      <c r="AZ550" s="380"/>
      <c r="BA550" s="380"/>
      <c r="BB550" s="380"/>
      <c r="BC550" s="380"/>
      <c r="BD550" s="380"/>
      <c r="BE550" s="404"/>
      <c r="BF550" s="380"/>
      <c r="BG550" s="380"/>
      <c r="BH550" s="380"/>
      <c r="BI550" s="380"/>
      <c r="BJ550" s="380"/>
      <c r="BK550" s="380"/>
      <c r="BL550" s="380"/>
      <c r="BM550" s="403"/>
      <c r="BS550" s="83"/>
      <c r="CA550" s="405"/>
      <c r="CG550" s="83"/>
      <c r="CO550" s="405"/>
      <c r="CU550" s="83"/>
      <c r="DC550" s="405"/>
      <c r="DI550" s="83"/>
      <c r="DQ550" s="405"/>
      <c r="DW550" s="83"/>
      <c r="EE550" s="405"/>
      <c r="EK550" s="83"/>
      <c r="ES550" s="405"/>
      <c r="EY550" s="83"/>
      <c r="FG550" s="405"/>
      <c r="FM550" s="83"/>
      <c r="FU550" s="405"/>
      <c r="GA550" s="83"/>
      <c r="GI550" s="405"/>
      <c r="GO550" s="83"/>
      <c r="GW550" s="405"/>
      <c r="HC550" s="83"/>
      <c r="HK550" s="405"/>
      <c r="HQ550" s="83"/>
      <c r="HY550" s="405"/>
      <c r="IE550" s="83"/>
      <c r="IM550" s="405"/>
      <c r="IS550" s="83"/>
      <c r="JA550" s="405"/>
      <c r="JG550" s="83"/>
      <c r="JO550" s="405"/>
      <c r="JU550" s="83"/>
      <c r="KC550" s="405"/>
      <c r="KI550" s="83"/>
      <c r="KQ550" s="405"/>
      <c r="KW550" s="83"/>
      <c r="LE550" s="405"/>
      <c r="LK550" s="83"/>
      <c r="LS550" s="405"/>
      <c r="LY550" s="83"/>
      <c r="MG550" s="405"/>
      <c r="MM550" s="83"/>
      <c r="MU550" s="405"/>
      <c r="NA550" s="83"/>
    </row>
    <row r="551">
      <c r="A551" s="483"/>
      <c r="B551" s="380"/>
      <c r="C551" s="380"/>
      <c r="D551" s="380"/>
      <c r="E551" s="380"/>
      <c r="F551" s="380"/>
      <c r="G551" s="380"/>
      <c r="H551" s="380"/>
      <c r="I551" s="403"/>
      <c r="J551" s="380"/>
      <c r="K551" s="380"/>
      <c r="L551" s="380"/>
      <c r="M551" s="380"/>
      <c r="N551" s="380"/>
      <c r="O551" s="404"/>
      <c r="P551" s="380"/>
      <c r="Q551" s="380"/>
      <c r="R551" s="380"/>
      <c r="S551" s="380"/>
      <c r="T551" s="380"/>
      <c r="U551" s="380"/>
      <c r="V551" s="380"/>
      <c r="W551" s="403"/>
      <c r="X551" s="380"/>
      <c r="Y551" s="380"/>
      <c r="Z551" s="380"/>
      <c r="AA551" s="380"/>
      <c r="AB551" s="380"/>
      <c r="AC551" s="404"/>
      <c r="AD551" s="380"/>
      <c r="AE551" s="380"/>
      <c r="AF551" s="380"/>
      <c r="AG551" s="380"/>
      <c r="AH551" s="380"/>
      <c r="AI551" s="380"/>
      <c r="AJ551" s="380"/>
      <c r="AK551" s="403"/>
      <c r="AL551" s="380"/>
      <c r="AM551" s="380"/>
      <c r="AN551" s="380"/>
      <c r="AO551" s="380"/>
      <c r="AP551" s="380"/>
      <c r="AQ551" s="404"/>
      <c r="AR551" s="380"/>
      <c r="AS551" s="380"/>
      <c r="AT551" s="380"/>
      <c r="AU551" s="380"/>
      <c r="AV551" s="380"/>
      <c r="AW551" s="380"/>
      <c r="AX551" s="380"/>
      <c r="AY551" s="403"/>
      <c r="AZ551" s="380"/>
      <c r="BA551" s="380"/>
      <c r="BB551" s="380"/>
      <c r="BC551" s="380"/>
      <c r="BD551" s="380"/>
      <c r="BE551" s="404"/>
      <c r="BF551" s="380"/>
      <c r="BG551" s="380"/>
      <c r="BH551" s="380"/>
      <c r="BI551" s="380"/>
      <c r="BJ551" s="380"/>
      <c r="BK551" s="380"/>
      <c r="BL551" s="380"/>
      <c r="BM551" s="403"/>
      <c r="BS551" s="83"/>
      <c r="CA551" s="405"/>
      <c r="CG551" s="83"/>
      <c r="CO551" s="405"/>
      <c r="CU551" s="83"/>
      <c r="DC551" s="405"/>
      <c r="DI551" s="83"/>
      <c r="DQ551" s="405"/>
      <c r="DW551" s="83"/>
      <c r="EE551" s="405"/>
      <c r="EK551" s="83"/>
      <c r="ES551" s="405"/>
      <c r="EY551" s="83"/>
      <c r="FG551" s="405"/>
      <c r="FM551" s="83"/>
      <c r="FU551" s="405"/>
      <c r="GA551" s="83"/>
      <c r="GI551" s="405"/>
      <c r="GO551" s="83"/>
      <c r="GW551" s="405"/>
      <c r="HC551" s="83"/>
      <c r="HK551" s="405"/>
      <c r="HQ551" s="83"/>
      <c r="HY551" s="405"/>
      <c r="IE551" s="83"/>
      <c r="IM551" s="405"/>
      <c r="IS551" s="83"/>
      <c r="JA551" s="405"/>
      <c r="JG551" s="83"/>
      <c r="JO551" s="405"/>
      <c r="JU551" s="83"/>
      <c r="KC551" s="405"/>
      <c r="KI551" s="83"/>
      <c r="KQ551" s="405"/>
      <c r="KW551" s="83"/>
      <c r="LE551" s="405"/>
      <c r="LK551" s="83"/>
      <c r="LS551" s="405"/>
      <c r="LY551" s="83"/>
      <c r="MG551" s="405"/>
      <c r="MM551" s="83"/>
      <c r="MU551" s="405"/>
      <c r="NA551" s="83"/>
    </row>
    <row r="552">
      <c r="A552" s="483"/>
      <c r="B552" s="380"/>
      <c r="C552" s="380"/>
      <c r="D552" s="380"/>
      <c r="E552" s="380"/>
      <c r="F552" s="380"/>
      <c r="G552" s="380"/>
      <c r="H552" s="380"/>
      <c r="I552" s="403"/>
      <c r="J552" s="380"/>
      <c r="K552" s="380"/>
      <c r="L552" s="380"/>
      <c r="M552" s="380"/>
      <c r="N552" s="380"/>
      <c r="O552" s="404"/>
      <c r="P552" s="380"/>
      <c r="Q552" s="380"/>
      <c r="R552" s="380"/>
      <c r="S552" s="380"/>
      <c r="T552" s="380"/>
      <c r="U552" s="380"/>
      <c r="V552" s="380"/>
      <c r="W552" s="403"/>
      <c r="X552" s="380"/>
      <c r="Y552" s="380"/>
      <c r="Z552" s="380"/>
      <c r="AA552" s="380"/>
      <c r="AB552" s="380"/>
      <c r="AC552" s="404"/>
      <c r="AD552" s="380"/>
      <c r="AE552" s="380"/>
      <c r="AF552" s="380"/>
      <c r="AG552" s="380"/>
      <c r="AH552" s="380"/>
      <c r="AI552" s="380"/>
      <c r="AJ552" s="380"/>
      <c r="AK552" s="403"/>
      <c r="AL552" s="380"/>
      <c r="AM552" s="380"/>
      <c r="AN552" s="380"/>
      <c r="AO552" s="380"/>
      <c r="AP552" s="380"/>
      <c r="AQ552" s="404"/>
      <c r="AR552" s="380"/>
      <c r="AS552" s="380"/>
      <c r="AT552" s="380"/>
      <c r="AU552" s="380"/>
      <c r="AV552" s="380"/>
      <c r="AW552" s="380"/>
      <c r="AX552" s="380"/>
      <c r="AY552" s="403"/>
      <c r="AZ552" s="380"/>
      <c r="BA552" s="380"/>
      <c r="BB552" s="380"/>
      <c r="BC552" s="380"/>
      <c r="BD552" s="380"/>
      <c r="BE552" s="404"/>
      <c r="BF552" s="380"/>
      <c r="BG552" s="380"/>
      <c r="BH552" s="380"/>
      <c r="BI552" s="380"/>
      <c r="BJ552" s="380"/>
      <c r="BK552" s="380"/>
      <c r="BL552" s="380"/>
      <c r="BM552" s="403"/>
      <c r="BS552" s="83"/>
      <c r="CA552" s="405"/>
      <c r="CG552" s="83"/>
      <c r="CO552" s="405"/>
      <c r="CU552" s="83"/>
      <c r="DC552" s="405"/>
      <c r="DI552" s="83"/>
      <c r="DQ552" s="405"/>
      <c r="DW552" s="83"/>
      <c r="EE552" s="405"/>
      <c r="EK552" s="83"/>
      <c r="ES552" s="405"/>
      <c r="EY552" s="83"/>
      <c r="FG552" s="405"/>
      <c r="FM552" s="83"/>
      <c r="FU552" s="405"/>
      <c r="GA552" s="83"/>
      <c r="GI552" s="405"/>
      <c r="GO552" s="83"/>
      <c r="GW552" s="405"/>
      <c r="HC552" s="83"/>
      <c r="HK552" s="405"/>
      <c r="HQ552" s="83"/>
      <c r="HY552" s="405"/>
      <c r="IE552" s="83"/>
      <c r="IM552" s="405"/>
      <c r="IS552" s="83"/>
      <c r="JA552" s="405"/>
      <c r="JG552" s="83"/>
      <c r="JO552" s="405"/>
      <c r="JU552" s="83"/>
      <c r="KC552" s="405"/>
      <c r="KI552" s="83"/>
      <c r="KQ552" s="405"/>
      <c r="KW552" s="83"/>
      <c r="LE552" s="405"/>
      <c r="LK552" s="83"/>
      <c r="LS552" s="405"/>
      <c r="LY552" s="83"/>
      <c r="MG552" s="405"/>
      <c r="MM552" s="83"/>
      <c r="MU552" s="405"/>
      <c r="NA552" s="83"/>
    </row>
    <row r="553">
      <c r="A553" s="483"/>
      <c r="B553" s="380"/>
      <c r="C553" s="380"/>
      <c r="D553" s="380"/>
      <c r="E553" s="380"/>
      <c r="F553" s="380"/>
      <c r="G553" s="380"/>
      <c r="H553" s="380"/>
      <c r="I553" s="403"/>
      <c r="J553" s="380"/>
      <c r="K553" s="380"/>
      <c r="L553" s="380"/>
      <c r="M553" s="380"/>
      <c r="N553" s="380"/>
      <c r="O553" s="404"/>
      <c r="P553" s="380"/>
      <c r="Q553" s="380"/>
      <c r="R553" s="380"/>
      <c r="S553" s="380"/>
      <c r="T553" s="380"/>
      <c r="U553" s="380"/>
      <c r="V553" s="380"/>
      <c r="W553" s="403"/>
      <c r="X553" s="380"/>
      <c r="Y553" s="380"/>
      <c r="Z553" s="380"/>
      <c r="AA553" s="380"/>
      <c r="AB553" s="380"/>
      <c r="AC553" s="404"/>
      <c r="AD553" s="380"/>
      <c r="AE553" s="380"/>
      <c r="AF553" s="380"/>
      <c r="AG553" s="380"/>
      <c r="AH553" s="380"/>
      <c r="AI553" s="380"/>
      <c r="AJ553" s="380"/>
      <c r="AK553" s="403"/>
      <c r="AL553" s="380"/>
      <c r="AM553" s="380"/>
      <c r="AN553" s="380"/>
      <c r="AO553" s="380"/>
      <c r="AP553" s="380"/>
      <c r="AQ553" s="404"/>
      <c r="AR553" s="380"/>
      <c r="AS553" s="380"/>
      <c r="AT553" s="380"/>
      <c r="AU553" s="380"/>
      <c r="AV553" s="380"/>
      <c r="AW553" s="380"/>
      <c r="AX553" s="380"/>
      <c r="AY553" s="403"/>
      <c r="AZ553" s="380"/>
      <c r="BA553" s="380"/>
      <c r="BB553" s="380"/>
      <c r="BC553" s="380"/>
      <c r="BD553" s="380"/>
      <c r="BE553" s="404"/>
      <c r="BF553" s="380"/>
      <c r="BG553" s="380"/>
      <c r="BH553" s="380"/>
      <c r="BI553" s="380"/>
      <c r="BJ553" s="380"/>
      <c r="BK553" s="380"/>
      <c r="BL553" s="380"/>
      <c r="BM553" s="403"/>
      <c r="BS553" s="83"/>
      <c r="CA553" s="405"/>
      <c r="CG553" s="83"/>
      <c r="CO553" s="405"/>
      <c r="CU553" s="83"/>
      <c r="DC553" s="405"/>
      <c r="DI553" s="83"/>
      <c r="DQ553" s="405"/>
      <c r="DW553" s="83"/>
      <c r="EE553" s="405"/>
      <c r="EK553" s="83"/>
      <c r="ES553" s="405"/>
      <c r="EY553" s="83"/>
      <c r="FG553" s="405"/>
      <c r="FM553" s="83"/>
      <c r="FU553" s="405"/>
      <c r="GA553" s="83"/>
      <c r="GI553" s="405"/>
      <c r="GO553" s="83"/>
      <c r="GW553" s="405"/>
      <c r="HC553" s="83"/>
      <c r="HK553" s="405"/>
      <c r="HQ553" s="83"/>
      <c r="HY553" s="405"/>
      <c r="IE553" s="83"/>
      <c r="IM553" s="405"/>
      <c r="IS553" s="83"/>
      <c r="JA553" s="405"/>
      <c r="JG553" s="83"/>
      <c r="JO553" s="405"/>
      <c r="JU553" s="83"/>
      <c r="KC553" s="405"/>
      <c r="KI553" s="83"/>
      <c r="KQ553" s="405"/>
      <c r="KW553" s="83"/>
      <c r="LE553" s="405"/>
      <c r="LK553" s="83"/>
      <c r="LS553" s="405"/>
      <c r="LY553" s="83"/>
      <c r="MG553" s="405"/>
      <c r="MM553" s="83"/>
      <c r="MU553" s="405"/>
      <c r="NA553" s="83"/>
    </row>
    <row r="554">
      <c r="A554" s="483"/>
      <c r="B554" s="380"/>
      <c r="C554" s="380"/>
      <c r="D554" s="380"/>
      <c r="E554" s="380"/>
      <c r="F554" s="380"/>
      <c r="G554" s="380"/>
      <c r="H554" s="380"/>
      <c r="I554" s="403"/>
      <c r="J554" s="380"/>
      <c r="K554" s="380"/>
      <c r="L554" s="380"/>
      <c r="M554" s="380"/>
      <c r="N554" s="380"/>
      <c r="O554" s="404"/>
      <c r="P554" s="380"/>
      <c r="Q554" s="380"/>
      <c r="R554" s="380"/>
      <c r="S554" s="380"/>
      <c r="T554" s="380"/>
      <c r="U554" s="380"/>
      <c r="V554" s="380"/>
      <c r="W554" s="403"/>
      <c r="X554" s="380"/>
      <c r="Y554" s="380"/>
      <c r="Z554" s="380"/>
      <c r="AA554" s="380"/>
      <c r="AB554" s="380"/>
      <c r="AC554" s="404"/>
      <c r="AD554" s="380"/>
      <c r="AE554" s="380"/>
      <c r="AF554" s="380"/>
      <c r="AG554" s="380"/>
      <c r="AH554" s="380"/>
      <c r="AI554" s="380"/>
      <c r="AJ554" s="380"/>
      <c r="AK554" s="403"/>
      <c r="AL554" s="380"/>
      <c r="AM554" s="380"/>
      <c r="AN554" s="380"/>
      <c r="AO554" s="380"/>
      <c r="AP554" s="380"/>
      <c r="AQ554" s="404"/>
      <c r="AR554" s="380"/>
      <c r="AS554" s="380"/>
      <c r="AT554" s="380"/>
      <c r="AU554" s="380"/>
      <c r="AV554" s="380"/>
      <c r="AW554" s="380"/>
      <c r="AX554" s="380"/>
      <c r="AY554" s="403"/>
      <c r="AZ554" s="380"/>
      <c r="BA554" s="380"/>
      <c r="BB554" s="380"/>
      <c r="BC554" s="380"/>
      <c r="BD554" s="380"/>
      <c r="BE554" s="404"/>
      <c r="BF554" s="380"/>
      <c r="BG554" s="380"/>
      <c r="BH554" s="380"/>
      <c r="BI554" s="380"/>
      <c r="BJ554" s="380"/>
      <c r="BK554" s="380"/>
      <c r="BL554" s="380"/>
      <c r="BM554" s="403"/>
      <c r="BS554" s="83"/>
      <c r="CA554" s="405"/>
      <c r="CG554" s="83"/>
      <c r="CO554" s="405"/>
      <c r="CU554" s="83"/>
      <c r="DC554" s="405"/>
      <c r="DI554" s="83"/>
      <c r="DQ554" s="405"/>
      <c r="DW554" s="83"/>
      <c r="EE554" s="405"/>
      <c r="EK554" s="83"/>
      <c r="ES554" s="405"/>
      <c r="EY554" s="83"/>
      <c r="FG554" s="405"/>
      <c r="FM554" s="83"/>
      <c r="FU554" s="405"/>
      <c r="GA554" s="83"/>
      <c r="GI554" s="405"/>
      <c r="GO554" s="83"/>
      <c r="GW554" s="405"/>
      <c r="HC554" s="83"/>
      <c r="HK554" s="405"/>
      <c r="HQ554" s="83"/>
      <c r="HY554" s="405"/>
      <c r="IE554" s="83"/>
      <c r="IM554" s="405"/>
      <c r="IS554" s="83"/>
      <c r="JA554" s="405"/>
      <c r="JG554" s="83"/>
      <c r="JO554" s="405"/>
      <c r="JU554" s="83"/>
      <c r="KC554" s="405"/>
      <c r="KI554" s="83"/>
      <c r="KQ554" s="405"/>
      <c r="KW554" s="83"/>
      <c r="LE554" s="405"/>
      <c r="LK554" s="83"/>
      <c r="LS554" s="405"/>
      <c r="LY554" s="83"/>
      <c r="MG554" s="405"/>
      <c r="MM554" s="83"/>
      <c r="MU554" s="405"/>
      <c r="NA554" s="83"/>
    </row>
    <row r="555">
      <c r="A555" s="483"/>
      <c r="B555" s="380"/>
      <c r="C555" s="380"/>
      <c r="D555" s="380"/>
      <c r="E555" s="380"/>
      <c r="F555" s="380"/>
      <c r="G555" s="380"/>
      <c r="H555" s="380"/>
      <c r="I555" s="403"/>
      <c r="J555" s="380"/>
      <c r="K555" s="380"/>
      <c r="L555" s="380"/>
      <c r="M555" s="380"/>
      <c r="N555" s="380"/>
      <c r="O555" s="404"/>
      <c r="P555" s="380"/>
      <c r="Q555" s="380"/>
      <c r="R555" s="380"/>
      <c r="S555" s="380"/>
      <c r="T555" s="380"/>
      <c r="U555" s="380"/>
      <c r="V555" s="380"/>
      <c r="W555" s="403"/>
      <c r="X555" s="380"/>
      <c r="Y555" s="380"/>
      <c r="Z555" s="380"/>
      <c r="AA555" s="380"/>
      <c r="AB555" s="380"/>
      <c r="AC555" s="404"/>
      <c r="AD555" s="380"/>
      <c r="AE555" s="380"/>
      <c r="AF555" s="380"/>
      <c r="AG555" s="380"/>
      <c r="AH555" s="380"/>
      <c r="AI555" s="380"/>
      <c r="AJ555" s="380"/>
      <c r="AK555" s="403"/>
      <c r="AL555" s="380"/>
      <c r="AM555" s="380"/>
      <c r="AN555" s="380"/>
      <c r="AO555" s="380"/>
      <c r="AP555" s="380"/>
      <c r="AQ555" s="404"/>
      <c r="AR555" s="380"/>
      <c r="AS555" s="380"/>
      <c r="AT555" s="380"/>
      <c r="AU555" s="380"/>
      <c r="AV555" s="380"/>
      <c r="AW555" s="380"/>
      <c r="AX555" s="380"/>
      <c r="AY555" s="403"/>
      <c r="AZ555" s="380"/>
      <c r="BA555" s="380"/>
      <c r="BB555" s="380"/>
      <c r="BC555" s="380"/>
      <c r="BD555" s="380"/>
      <c r="BE555" s="404"/>
      <c r="BF555" s="380"/>
      <c r="BG555" s="380"/>
      <c r="BH555" s="380"/>
      <c r="BI555" s="380"/>
      <c r="BJ555" s="380"/>
      <c r="BK555" s="380"/>
      <c r="BL555" s="380"/>
      <c r="BM555" s="403"/>
      <c r="BS555" s="83"/>
      <c r="CA555" s="405"/>
      <c r="CG555" s="83"/>
      <c r="CO555" s="405"/>
      <c r="CU555" s="83"/>
      <c r="DC555" s="405"/>
      <c r="DI555" s="83"/>
      <c r="DQ555" s="405"/>
      <c r="DW555" s="83"/>
      <c r="EE555" s="405"/>
      <c r="EK555" s="83"/>
      <c r="ES555" s="405"/>
      <c r="EY555" s="83"/>
      <c r="FG555" s="405"/>
      <c r="FM555" s="83"/>
      <c r="FU555" s="405"/>
      <c r="GA555" s="83"/>
      <c r="GI555" s="405"/>
      <c r="GO555" s="83"/>
      <c r="GW555" s="405"/>
      <c r="HC555" s="83"/>
      <c r="HK555" s="405"/>
      <c r="HQ555" s="83"/>
      <c r="HY555" s="405"/>
      <c r="IE555" s="83"/>
      <c r="IM555" s="405"/>
      <c r="IS555" s="83"/>
      <c r="JA555" s="405"/>
      <c r="JG555" s="83"/>
      <c r="JO555" s="405"/>
      <c r="JU555" s="83"/>
      <c r="KC555" s="405"/>
      <c r="KI555" s="83"/>
      <c r="KQ555" s="405"/>
      <c r="KW555" s="83"/>
      <c r="LE555" s="405"/>
      <c r="LK555" s="83"/>
      <c r="LS555" s="405"/>
      <c r="LY555" s="83"/>
      <c r="MG555" s="405"/>
      <c r="MM555" s="83"/>
      <c r="MU555" s="405"/>
      <c r="NA555" s="83"/>
    </row>
    <row r="556">
      <c r="A556" s="483"/>
      <c r="B556" s="380"/>
      <c r="C556" s="380"/>
      <c r="D556" s="380"/>
      <c r="E556" s="380"/>
      <c r="F556" s="380"/>
      <c r="G556" s="380"/>
      <c r="H556" s="380"/>
      <c r="I556" s="403"/>
      <c r="J556" s="380"/>
      <c r="K556" s="380"/>
      <c r="L556" s="380"/>
      <c r="M556" s="380"/>
      <c r="N556" s="380"/>
      <c r="O556" s="404"/>
      <c r="P556" s="380"/>
      <c r="Q556" s="380"/>
      <c r="R556" s="380"/>
      <c r="S556" s="380"/>
      <c r="T556" s="380"/>
      <c r="U556" s="380"/>
      <c r="V556" s="380"/>
      <c r="W556" s="403"/>
      <c r="X556" s="380"/>
      <c r="Y556" s="380"/>
      <c r="Z556" s="380"/>
      <c r="AA556" s="380"/>
      <c r="AB556" s="380"/>
      <c r="AC556" s="404"/>
      <c r="AD556" s="380"/>
      <c r="AE556" s="380"/>
      <c r="AF556" s="380"/>
      <c r="AG556" s="380"/>
      <c r="AH556" s="380"/>
      <c r="AI556" s="380"/>
      <c r="AJ556" s="380"/>
      <c r="AK556" s="403"/>
      <c r="AL556" s="380"/>
      <c r="AM556" s="380"/>
      <c r="AN556" s="380"/>
      <c r="AO556" s="380"/>
      <c r="AP556" s="380"/>
      <c r="AQ556" s="404"/>
      <c r="AR556" s="380"/>
      <c r="AS556" s="380"/>
      <c r="AT556" s="380"/>
      <c r="AU556" s="380"/>
      <c r="AV556" s="380"/>
      <c r="AW556" s="380"/>
      <c r="AX556" s="380"/>
      <c r="AY556" s="403"/>
      <c r="AZ556" s="380"/>
      <c r="BA556" s="380"/>
      <c r="BB556" s="380"/>
      <c r="BC556" s="380"/>
      <c r="BD556" s="380"/>
      <c r="BE556" s="404"/>
      <c r="BF556" s="380"/>
      <c r="BG556" s="380"/>
      <c r="BH556" s="380"/>
      <c r="BI556" s="380"/>
      <c r="BJ556" s="380"/>
      <c r="BK556" s="380"/>
      <c r="BL556" s="380"/>
      <c r="BM556" s="403"/>
      <c r="BS556" s="83"/>
      <c r="CA556" s="405"/>
      <c r="CG556" s="83"/>
      <c r="CO556" s="405"/>
      <c r="CU556" s="83"/>
      <c r="DC556" s="405"/>
      <c r="DI556" s="83"/>
      <c r="DQ556" s="405"/>
      <c r="DW556" s="83"/>
      <c r="EE556" s="405"/>
      <c r="EK556" s="83"/>
      <c r="ES556" s="405"/>
      <c r="EY556" s="83"/>
      <c r="FG556" s="405"/>
      <c r="FM556" s="83"/>
      <c r="FU556" s="405"/>
      <c r="GA556" s="83"/>
      <c r="GI556" s="405"/>
      <c r="GO556" s="83"/>
      <c r="GW556" s="405"/>
      <c r="HC556" s="83"/>
      <c r="HK556" s="405"/>
      <c r="HQ556" s="83"/>
      <c r="HY556" s="405"/>
      <c r="IE556" s="83"/>
      <c r="IM556" s="405"/>
      <c r="IS556" s="83"/>
      <c r="JA556" s="405"/>
      <c r="JG556" s="83"/>
      <c r="JO556" s="405"/>
      <c r="JU556" s="83"/>
      <c r="KC556" s="405"/>
      <c r="KI556" s="83"/>
      <c r="KQ556" s="405"/>
      <c r="KW556" s="83"/>
      <c r="LE556" s="405"/>
      <c r="LK556" s="83"/>
      <c r="LS556" s="405"/>
      <c r="LY556" s="83"/>
      <c r="MG556" s="405"/>
      <c r="MM556" s="83"/>
      <c r="MU556" s="405"/>
      <c r="NA556" s="83"/>
    </row>
    <row r="557">
      <c r="A557" s="483"/>
      <c r="B557" s="380"/>
      <c r="C557" s="380"/>
      <c r="D557" s="380"/>
      <c r="E557" s="380"/>
      <c r="F557" s="380"/>
      <c r="G557" s="380"/>
      <c r="H557" s="380"/>
      <c r="I557" s="403"/>
      <c r="J557" s="380"/>
      <c r="K557" s="380"/>
      <c r="L557" s="380"/>
      <c r="M557" s="380"/>
      <c r="N557" s="380"/>
      <c r="O557" s="404"/>
      <c r="P557" s="380"/>
      <c r="Q557" s="380"/>
      <c r="R557" s="380"/>
      <c r="S557" s="380"/>
      <c r="T557" s="380"/>
      <c r="U557" s="380"/>
      <c r="V557" s="380"/>
      <c r="W557" s="403"/>
      <c r="X557" s="380"/>
      <c r="Y557" s="380"/>
      <c r="Z557" s="380"/>
      <c r="AA557" s="380"/>
      <c r="AB557" s="380"/>
      <c r="AC557" s="404"/>
      <c r="AD557" s="380"/>
      <c r="AE557" s="380"/>
      <c r="AF557" s="380"/>
      <c r="AG557" s="380"/>
      <c r="AH557" s="380"/>
      <c r="AI557" s="380"/>
      <c r="AJ557" s="380"/>
      <c r="AK557" s="403"/>
      <c r="AL557" s="380"/>
      <c r="AM557" s="380"/>
      <c r="AN557" s="380"/>
      <c r="AO557" s="380"/>
      <c r="AP557" s="380"/>
      <c r="AQ557" s="404"/>
      <c r="AR557" s="380"/>
      <c r="AS557" s="380"/>
      <c r="AT557" s="380"/>
      <c r="AU557" s="380"/>
      <c r="AV557" s="380"/>
      <c r="AW557" s="380"/>
      <c r="AX557" s="380"/>
      <c r="AY557" s="403"/>
      <c r="AZ557" s="380"/>
      <c r="BA557" s="380"/>
      <c r="BB557" s="380"/>
      <c r="BC557" s="380"/>
      <c r="BD557" s="380"/>
      <c r="BE557" s="404"/>
      <c r="BF557" s="380"/>
      <c r="BG557" s="380"/>
      <c r="BH557" s="380"/>
      <c r="BI557" s="380"/>
      <c r="BJ557" s="380"/>
      <c r="BK557" s="380"/>
      <c r="BL557" s="380"/>
      <c r="BM557" s="403"/>
      <c r="BS557" s="83"/>
      <c r="CA557" s="405"/>
      <c r="CG557" s="83"/>
      <c r="CO557" s="405"/>
      <c r="CU557" s="83"/>
      <c r="DC557" s="405"/>
      <c r="DI557" s="83"/>
      <c r="DQ557" s="405"/>
      <c r="DW557" s="83"/>
      <c r="EE557" s="405"/>
      <c r="EK557" s="83"/>
      <c r="ES557" s="405"/>
      <c r="EY557" s="83"/>
      <c r="FG557" s="405"/>
      <c r="FM557" s="83"/>
      <c r="FU557" s="405"/>
      <c r="GA557" s="83"/>
      <c r="GI557" s="405"/>
      <c r="GO557" s="83"/>
      <c r="GW557" s="405"/>
      <c r="HC557" s="83"/>
      <c r="HK557" s="405"/>
      <c r="HQ557" s="83"/>
      <c r="HY557" s="405"/>
      <c r="IE557" s="83"/>
      <c r="IM557" s="405"/>
      <c r="IS557" s="83"/>
      <c r="JA557" s="405"/>
      <c r="JG557" s="83"/>
      <c r="JO557" s="405"/>
      <c r="JU557" s="83"/>
      <c r="KC557" s="405"/>
      <c r="KI557" s="83"/>
      <c r="KQ557" s="405"/>
      <c r="KW557" s="83"/>
      <c r="LE557" s="405"/>
      <c r="LK557" s="83"/>
      <c r="LS557" s="405"/>
      <c r="LY557" s="83"/>
      <c r="MG557" s="405"/>
      <c r="MM557" s="83"/>
      <c r="MU557" s="405"/>
      <c r="NA557" s="83"/>
    </row>
    <row r="558">
      <c r="A558" s="483"/>
      <c r="B558" s="380"/>
      <c r="C558" s="380"/>
      <c r="D558" s="380"/>
      <c r="E558" s="380"/>
      <c r="F558" s="380"/>
      <c r="G558" s="380"/>
      <c r="H558" s="380"/>
      <c r="I558" s="403"/>
      <c r="J558" s="380"/>
      <c r="K558" s="380"/>
      <c r="L558" s="380"/>
      <c r="M558" s="380"/>
      <c r="N558" s="380"/>
      <c r="O558" s="404"/>
      <c r="P558" s="380"/>
      <c r="Q558" s="380"/>
      <c r="R558" s="380"/>
      <c r="S558" s="380"/>
      <c r="T558" s="380"/>
      <c r="U558" s="380"/>
      <c r="V558" s="380"/>
      <c r="W558" s="403"/>
      <c r="X558" s="380"/>
      <c r="Y558" s="380"/>
      <c r="Z558" s="380"/>
      <c r="AA558" s="380"/>
      <c r="AB558" s="380"/>
      <c r="AC558" s="404"/>
      <c r="AD558" s="380"/>
      <c r="AE558" s="380"/>
      <c r="AF558" s="380"/>
      <c r="AG558" s="380"/>
      <c r="AH558" s="380"/>
      <c r="AI558" s="380"/>
      <c r="AJ558" s="380"/>
      <c r="AK558" s="403"/>
      <c r="AL558" s="380"/>
      <c r="AM558" s="380"/>
      <c r="AN558" s="380"/>
      <c r="AO558" s="380"/>
      <c r="AP558" s="380"/>
      <c r="AQ558" s="404"/>
      <c r="AR558" s="380"/>
      <c r="AS558" s="380"/>
      <c r="AT558" s="380"/>
      <c r="AU558" s="380"/>
      <c r="AV558" s="380"/>
      <c r="AW558" s="380"/>
      <c r="AX558" s="380"/>
      <c r="AY558" s="403"/>
      <c r="AZ558" s="380"/>
      <c r="BA558" s="380"/>
      <c r="BB558" s="380"/>
      <c r="BC558" s="380"/>
      <c r="BD558" s="380"/>
      <c r="BE558" s="404"/>
      <c r="BF558" s="380"/>
      <c r="BG558" s="380"/>
      <c r="BH558" s="380"/>
      <c r="BI558" s="380"/>
      <c r="BJ558" s="380"/>
      <c r="BK558" s="380"/>
      <c r="BL558" s="380"/>
      <c r="BM558" s="403"/>
      <c r="BS558" s="83"/>
      <c r="CA558" s="405"/>
      <c r="CG558" s="83"/>
      <c r="CO558" s="405"/>
      <c r="CU558" s="83"/>
      <c r="DC558" s="405"/>
      <c r="DI558" s="83"/>
      <c r="DQ558" s="405"/>
      <c r="DW558" s="83"/>
      <c r="EE558" s="405"/>
      <c r="EK558" s="83"/>
      <c r="ES558" s="405"/>
      <c r="EY558" s="83"/>
      <c r="FG558" s="405"/>
      <c r="FM558" s="83"/>
      <c r="FU558" s="405"/>
      <c r="GA558" s="83"/>
      <c r="GI558" s="405"/>
      <c r="GO558" s="83"/>
      <c r="GW558" s="405"/>
      <c r="HC558" s="83"/>
      <c r="HK558" s="405"/>
      <c r="HQ558" s="83"/>
      <c r="HY558" s="405"/>
      <c r="IE558" s="83"/>
      <c r="IM558" s="405"/>
      <c r="IS558" s="83"/>
      <c r="JA558" s="405"/>
      <c r="JG558" s="83"/>
      <c r="JO558" s="405"/>
      <c r="JU558" s="83"/>
      <c r="KC558" s="405"/>
      <c r="KI558" s="83"/>
      <c r="KQ558" s="405"/>
      <c r="KW558" s="83"/>
      <c r="LE558" s="405"/>
      <c r="LK558" s="83"/>
      <c r="LS558" s="405"/>
      <c r="LY558" s="83"/>
      <c r="MG558" s="405"/>
      <c r="MM558" s="83"/>
      <c r="MU558" s="405"/>
      <c r="NA558" s="83"/>
    </row>
    <row r="559">
      <c r="A559" s="483"/>
      <c r="B559" s="380"/>
      <c r="C559" s="380"/>
      <c r="D559" s="380"/>
      <c r="E559" s="380"/>
      <c r="F559" s="380"/>
      <c r="G559" s="380"/>
      <c r="H559" s="380"/>
      <c r="I559" s="403"/>
      <c r="J559" s="380"/>
      <c r="K559" s="380"/>
      <c r="L559" s="380"/>
      <c r="M559" s="380"/>
      <c r="N559" s="380"/>
      <c r="O559" s="404"/>
      <c r="P559" s="380"/>
      <c r="Q559" s="380"/>
      <c r="R559" s="380"/>
      <c r="S559" s="380"/>
      <c r="T559" s="380"/>
      <c r="U559" s="380"/>
      <c r="V559" s="380"/>
      <c r="W559" s="403"/>
      <c r="X559" s="380"/>
      <c r="Y559" s="380"/>
      <c r="Z559" s="380"/>
      <c r="AA559" s="380"/>
      <c r="AB559" s="380"/>
      <c r="AC559" s="404"/>
      <c r="AD559" s="380"/>
      <c r="AE559" s="380"/>
      <c r="AF559" s="380"/>
      <c r="AG559" s="380"/>
      <c r="AH559" s="380"/>
      <c r="AI559" s="380"/>
      <c r="AJ559" s="380"/>
      <c r="AK559" s="403"/>
      <c r="AL559" s="380"/>
      <c r="AM559" s="380"/>
      <c r="AN559" s="380"/>
      <c r="AO559" s="380"/>
      <c r="AP559" s="380"/>
      <c r="AQ559" s="404"/>
      <c r="AR559" s="380"/>
      <c r="AS559" s="380"/>
      <c r="AT559" s="380"/>
      <c r="AU559" s="380"/>
      <c r="AV559" s="380"/>
      <c r="AW559" s="380"/>
      <c r="AX559" s="380"/>
      <c r="AY559" s="403"/>
      <c r="AZ559" s="380"/>
      <c r="BA559" s="380"/>
      <c r="BB559" s="380"/>
      <c r="BC559" s="380"/>
      <c r="BD559" s="380"/>
      <c r="BE559" s="404"/>
      <c r="BF559" s="380"/>
      <c r="BG559" s="380"/>
      <c r="BH559" s="380"/>
      <c r="BI559" s="380"/>
      <c r="BJ559" s="380"/>
      <c r="BK559" s="380"/>
      <c r="BL559" s="380"/>
      <c r="BM559" s="403"/>
      <c r="BS559" s="83"/>
      <c r="CA559" s="405"/>
      <c r="CG559" s="83"/>
      <c r="CO559" s="405"/>
      <c r="CU559" s="83"/>
      <c r="DC559" s="405"/>
      <c r="DI559" s="83"/>
      <c r="DQ559" s="405"/>
      <c r="DW559" s="83"/>
      <c r="EE559" s="405"/>
      <c r="EK559" s="83"/>
      <c r="ES559" s="405"/>
      <c r="EY559" s="83"/>
      <c r="FG559" s="405"/>
      <c r="FM559" s="83"/>
      <c r="FU559" s="405"/>
      <c r="GA559" s="83"/>
      <c r="GI559" s="405"/>
      <c r="GO559" s="83"/>
      <c r="GW559" s="405"/>
      <c r="HC559" s="83"/>
      <c r="HK559" s="405"/>
      <c r="HQ559" s="83"/>
      <c r="HY559" s="405"/>
      <c r="IE559" s="83"/>
      <c r="IM559" s="405"/>
      <c r="IS559" s="83"/>
      <c r="JA559" s="405"/>
      <c r="JG559" s="83"/>
      <c r="JO559" s="405"/>
      <c r="JU559" s="83"/>
      <c r="KC559" s="405"/>
      <c r="KI559" s="83"/>
      <c r="KQ559" s="405"/>
      <c r="KW559" s="83"/>
      <c r="LE559" s="405"/>
      <c r="LK559" s="83"/>
      <c r="LS559" s="405"/>
      <c r="LY559" s="83"/>
      <c r="MG559" s="405"/>
      <c r="MM559" s="83"/>
      <c r="MU559" s="405"/>
      <c r="NA559" s="83"/>
    </row>
    <row r="560">
      <c r="A560" s="483"/>
      <c r="B560" s="380"/>
      <c r="C560" s="380"/>
      <c r="D560" s="380"/>
      <c r="E560" s="380"/>
      <c r="F560" s="380"/>
      <c r="G560" s="380"/>
      <c r="H560" s="380"/>
      <c r="I560" s="403"/>
      <c r="J560" s="380"/>
      <c r="K560" s="380"/>
      <c r="L560" s="380"/>
      <c r="M560" s="380"/>
      <c r="N560" s="380"/>
      <c r="O560" s="404"/>
      <c r="P560" s="380"/>
      <c r="Q560" s="380"/>
      <c r="R560" s="380"/>
      <c r="S560" s="380"/>
      <c r="T560" s="380"/>
      <c r="U560" s="380"/>
      <c r="V560" s="380"/>
      <c r="W560" s="403"/>
      <c r="X560" s="380"/>
      <c r="Y560" s="380"/>
      <c r="Z560" s="380"/>
      <c r="AA560" s="380"/>
      <c r="AB560" s="380"/>
      <c r="AC560" s="404"/>
      <c r="AD560" s="380"/>
      <c r="AE560" s="380"/>
      <c r="AF560" s="380"/>
      <c r="AG560" s="380"/>
      <c r="AH560" s="380"/>
      <c r="AI560" s="380"/>
      <c r="AJ560" s="380"/>
      <c r="AK560" s="403"/>
      <c r="AL560" s="380"/>
      <c r="AM560" s="380"/>
      <c r="AN560" s="380"/>
      <c r="AO560" s="380"/>
      <c r="AP560" s="380"/>
      <c r="AQ560" s="404"/>
      <c r="AR560" s="380"/>
      <c r="AS560" s="380"/>
      <c r="AT560" s="380"/>
      <c r="AU560" s="380"/>
      <c r="AV560" s="380"/>
      <c r="AW560" s="380"/>
      <c r="AX560" s="380"/>
      <c r="AY560" s="403"/>
      <c r="AZ560" s="380"/>
      <c r="BA560" s="380"/>
      <c r="BB560" s="380"/>
      <c r="BC560" s="380"/>
      <c r="BD560" s="380"/>
      <c r="BE560" s="404"/>
      <c r="BF560" s="380"/>
      <c r="BG560" s="380"/>
      <c r="BH560" s="380"/>
      <c r="BI560" s="380"/>
      <c r="BJ560" s="380"/>
      <c r="BK560" s="380"/>
      <c r="BL560" s="380"/>
      <c r="BM560" s="403"/>
      <c r="BS560" s="83"/>
      <c r="CA560" s="405"/>
      <c r="CG560" s="83"/>
      <c r="CO560" s="405"/>
      <c r="CU560" s="83"/>
      <c r="DC560" s="405"/>
      <c r="DI560" s="83"/>
      <c r="DQ560" s="405"/>
      <c r="DW560" s="83"/>
      <c r="EE560" s="405"/>
      <c r="EK560" s="83"/>
      <c r="ES560" s="405"/>
      <c r="EY560" s="83"/>
      <c r="FG560" s="405"/>
      <c r="FM560" s="83"/>
      <c r="FU560" s="405"/>
      <c r="GA560" s="83"/>
      <c r="GI560" s="405"/>
      <c r="GO560" s="83"/>
      <c r="GW560" s="405"/>
      <c r="HC560" s="83"/>
      <c r="HK560" s="405"/>
      <c r="HQ560" s="83"/>
      <c r="HY560" s="405"/>
      <c r="IE560" s="83"/>
      <c r="IM560" s="405"/>
      <c r="IS560" s="83"/>
      <c r="JA560" s="405"/>
      <c r="JG560" s="83"/>
      <c r="JO560" s="405"/>
      <c r="JU560" s="83"/>
      <c r="KC560" s="405"/>
      <c r="KI560" s="83"/>
      <c r="KQ560" s="405"/>
      <c r="KW560" s="83"/>
      <c r="LE560" s="405"/>
      <c r="LK560" s="83"/>
      <c r="LS560" s="405"/>
      <c r="LY560" s="83"/>
      <c r="MG560" s="405"/>
      <c r="MM560" s="83"/>
      <c r="MU560" s="405"/>
      <c r="NA560" s="83"/>
    </row>
    <row r="561">
      <c r="A561" s="483"/>
      <c r="B561" s="380"/>
      <c r="C561" s="380"/>
      <c r="D561" s="380"/>
      <c r="E561" s="380"/>
      <c r="F561" s="380"/>
      <c r="G561" s="380"/>
      <c r="H561" s="380"/>
      <c r="I561" s="403"/>
      <c r="J561" s="380"/>
      <c r="K561" s="380"/>
      <c r="L561" s="380"/>
      <c r="M561" s="380"/>
      <c r="N561" s="380"/>
      <c r="O561" s="404"/>
      <c r="P561" s="380"/>
      <c r="Q561" s="380"/>
      <c r="R561" s="380"/>
      <c r="S561" s="380"/>
      <c r="T561" s="380"/>
      <c r="U561" s="380"/>
      <c r="V561" s="380"/>
      <c r="W561" s="403"/>
      <c r="X561" s="380"/>
      <c r="Y561" s="380"/>
      <c r="Z561" s="380"/>
      <c r="AA561" s="380"/>
      <c r="AB561" s="380"/>
      <c r="AC561" s="404"/>
      <c r="AD561" s="380"/>
      <c r="AE561" s="380"/>
      <c r="AF561" s="380"/>
      <c r="AG561" s="380"/>
      <c r="AH561" s="380"/>
      <c r="AI561" s="380"/>
      <c r="AJ561" s="380"/>
      <c r="AK561" s="403"/>
      <c r="AL561" s="380"/>
      <c r="AM561" s="380"/>
      <c r="AN561" s="380"/>
      <c r="AO561" s="380"/>
      <c r="AP561" s="380"/>
      <c r="AQ561" s="404"/>
      <c r="AR561" s="380"/>
      <c r="AS561" s="380"/>
      <c r="AT561" s="380"/>
      <c r="AU561" s="380"/>
      <c r="AV561" s="380"/>
      <c r="AW561" s="380"/>
      <c r="AX561" s="380"/>
      <c r="AY561" s="403"/>
      <c r="AZ561" s="380"/>
      <c r="BA561" s="380"/>
      <c r="BB561" s="380"/>
      <c r="BC561" s="380"/>
      <c r="BD561" s="380"/>
      <c r="BE561" s="404"/>
      <c r="BF561" s="380"/>
      <c r="BG561" s="380"/>
      <c r="BH561" s="380"/>
      <c r="BI561" s="380"/>
      <c r="BJ561" s="380"/>
      <c r="BK561" s="380"/>
      <c r="BL561" s="380"/>
      <c r="BM561" s="403"/>
      <c r="BS561" s="83"/>
      <c r="CA561" s="405"/>
      <c r="CG561" s="83"/>
      <c r="CO561" s="405"/>
      <c r="CU561" s="83"/>
      <c r="DC561" s="405"/>
      <c r="DI561" s="83"/>
      <c r="DQ561" s="405"/>
      <c r="DW561" s="83"/>
      <c r="EE561" s="405"/>
      <c r="EK561" s="83"/>
      <c r="ES561" s="405"/>
      <c r="EY561" s="83"/>
      <c r="FG561" s="405"/>
      <c r="FM561" s="83"/>
      <c r="FU561" s="405"/>
      <c r="GA561" s="83"/>
      <c r="GI561" s="405"/>
      <c r="GO561" s="83"/>
      <c r="GW561" s="405"/>
      <c r="HC561" s="83"/>
      <c r="HK561" s="405"/>
      <c r="HQ561" s="83"/>
      <c r="HY561" s="405"/>
      <c r="IE561" s="83"/>
      <c r="IM561" s="405"/>
      <c r="IS561" s="83"/>
      <c r="JA561" s="405"/>
      <c r="JG561" s="83"/>
      <c r="JO561" s="405"/>
      <c r="JU561" s="83"/>
      <c r="KC561" s="405"/>
      <c r="KI561" s="83"/>
      <c r="KQ561" s="405"/>
      <c r="KW561" s="83"/>
      <c r="LE561" s="405"/>
      <c r="LK561" s="83"/>
      <c r="LS561" s="405"/>
      <c r="LY561" s="83"/>
      <c r="MG561" s="405"/>
      <c r="MM561" s="83"/>
      <c r="MU561" s="405"/>
      <c r="NA561" s="83"/>
    </row>
    <row r="562">
      <c r="A562" s="483"/>
      <c r="B562" s="380"/>
      <c r="C562" s="380"/>
      <c r="D562" s="380"/>
      <c r="E562" s="380"/>
      <c r="F562" s="380"/>
      <c r="G562" s="380"/>
      <c r="H562" s="380"/>
      <c r="I562" s="403"/>
      <c r="J562" s="380"/>
      <c r="K562" s="380"/>
      <c r="L562" s="380"/>
      <c r="M562" s="380"/>
      <c r="N562" s="380"/>
      <c r="O562" s="404"/>
      <c r="P562" s="380"/>
      <c r="Q562" s="380"/>
      <c r="R562" s="380"/>
      <c r="S562" s="380"/>
      <c r="T562" s="380"/>
      <c r="U562" s="380"/>
      <c r="V562" s="380"/>
      <c r="W562" s="403"/>
      <c r="X562" s="380"/>
      <c r="Y562" s="380"/>
      <c r="Z562" s="380"/>
      <c r="AA562" s="380"/>
      <c r="AB562" s="380"/>
      <c r="AC562" s="404"/>
      <c r="AD562" s="380"/>
      <c r="AE562" s="380"/>
      <c r="AF562" s="380"/>
      <c r="AG562" s="380"/>
      <c r="AH562" s="380"/>
      <c r="AI562" s="380"/>
      <c r="AJ562" s="380"/>
      <c r="AK562" s="403"/>
      <c r="AL562" s="380"/>
      <c r="AM562" s="380"/>
      <c r="AN562" s="380"/>
      <c r="AO562" s="380"/>
      <c r="AP562" s="380"/>
      <c r="AQ562" s="404"/>
      <c r="AR562" s="380"/>
      <c r="AS562" s="380"/>
      <c r="AT562" s="380"/>
      <c r="AU562" s="380"/>
      <c r="AV562" s="380"/>
      <c r="AW562" s="380"/>
      <c r="AX562" s="380"/>
      <c r="AY562" s="403"/>
      <c r="AZ562" s="380"/>
      <c r="BA562" s="380"/>
      <c r="BB562" s="380"/>
      <c r="BC562" s="380"/>
      <c r="BD562" s="380"/>
      <c r="BE562" s="404"/>
      <c r="BF562" s="380"/>
      <c r="BG562" s="380"/>
      <c r="BH562" s="380"/>
      <c r="BI562" s="380"/>
      <c r="BJ562" s="380"/>
      <c r="BK562" s="380"/>
      <c r="BL562" s="380"/>
      <c r="BM562" s="403"/>
      <c r="BS562" s="83"/>
      <c r="CA562" s="405"/>
      <c r="CG562" s="83"/>
      <c r="CO562" s="405"/>
      <c r="CU562" s="83"/>
      <c r="DC562" s="405"/>
      <c r="DI562" s="83"/>
      <c r="DQ562" s="405"/>
      <c r="DW562" s="83"/>
      <c r="EE562" s="405"/>
      <c r="EK562" s="83"/>
      <c r="ES562" s="405"/>
      <c r="EY562" s="83"/>
      <c r="FG562" s="405"/>
      <c r="FM562" s="83"/>
      <c r="FU562" s="405"/>
      <c r="GA562" s="83"/>
      <c r="GI562" s="405"/>
      <c r="GO562" s="83"/>
      <c r="GW562" s="405"/>
      <c r="HC562" s="83"/>
      <c r="HK562" s="405"/>
      <c r="HQ562" s="83"/>
      <c r="HY562" s="405"/>
      <c r="IE562" s="83"/>
      <c r="IM562" s="405"/>
      <c r="IS562" s="83"/>
      <c r="JA562" s="405"/>
      <c r="JG562" s="83"/>
      <c r="JO562" s="405"/>
      <c r="JU562" s="83"/>
      <c r="KC562" s="405"/>
      <c r="KI562" s="83"/>
      <c r="KQ562" s="405"/>
      <c r="KW562" s="83"/>
      <c r="LE562" s="405"/>
      <c r="LK562" s="83"/>
      <c r="LS562" s="405"/>
      <c r="LY562" s="83"/>
      <c r="MG562" s="405"/>
      <c r="MM562" s="83"/>
      <c r="MU562" s="405"/>
      <c r="NA562" s="83"/>
    </row>
    <row r="563">
      <c r="A563" s="483"/>
      <c r="B563" s="380"/>
      <c r="C563" s="380"/>
      <c r="D563" s="380"/>
      <c r="E563" s="380"/>
      <c r="F563" s="380"/>
      <c r="G563" s="380"/>
      <c r="H563" s="380"/>
      <c r="I563" s="403"/>
      <c r="J563" s="380"/>
      <c r="K563" s="380"/>
      <c r="L563" s="380"/>
      <c r="M563" s="380"/>
      <c r="N563" s="380"/>
      <c r="O563" s="404"/>
      <c r="P563" s="380"/>
      <c r="Q563" s="380"/>
      <c r="R563" s="380"/>
      <c r="S563" s="380"/>
      <c r="T563" s="380"/>
      <c r="U563" s="380"/>
      <c r="V563" s="380"/>
      <c r="W563" s="403"/>
      <c r="X563" s="380"/>
      <c r="Y563" s="380"/>
      <c r="Z563" s="380"/>
      <c r="AA563" s="380"/>
      <c r="AB563" s="380"/>
      <c r="AC563" s="404"/>
      <c r="AD563" s="380"/>
      <c r="AE563" s="380"/>
      <c r="AF563" s="380"/>
      <c r="AG563" s="380"/>
      <c r="AH563" s="380"/>
      <c r="AI563" s="380"/>
      <c r="AJ563" s="380"/>
      <c r="AK563" s="403"/>
      <c r="AL563" s="380"/>
      <c r="AM563" s="380"/>
      <c r="AN563" s="380"/>
      <c r="AO563" s="380"/>
      <c r="AP563" s="380"/>
      <c r="AQ563" s="404"/>
      <c r="AR563" s="380"/>
      <c r="AS563" s="380"/>
      <c r="AT563" s="380"/>
      <c r="AU563" s="380"/>
      <c r="AV563" s="380"/>
      <c r="AW563" s="380"/>
      <c r="AX563" s="380"/>
      <c r="AY563" s="403"/>
      <c r="AZ563" s="380"/>
      <c r="BA563" s="380"/>
      <c r="BB563" s="380"/>
      <c r="BC563" s="380"/>
      <c r="BD563" s="380"/>
      <c r="BE563" s="404"/>
      <c r="BF563" s="380"/>
      <c r="BG563" s="380"/>
      <c r="BH563" s="380"/>
      <c r="BI563" s="380"/>
      <c r="BJ563" s="380"/>
      <c r="BK563" s="380"/>
      <c r="BL563" s="380"/>
      <c r="BM563" s="403"/>
      <c r="BS563" s="83"/>
      <c r="CA563" s="405"/>
      <c r="CG563" s="83"/>
      <c r="CO563" s="405"/>
      <c r="CU563" s="83"/>
      <c r="DC563" s="405"/>
      <c r="DI563" s="83"/>
      <c r="DQ563" s="405"/>
      <c r="DW563" s="83"/>
      <c r="EE563" s="405"/>
      <c r="EK563" s="83"/>
      <c r="ES563" s="405"/>
      <c r="EY563" s="83"/>
      <c r="FG563" s="405"/>
      <c r="FM563" s="83"/>
      <c r="FU563" s="405"/>
      <c r="GA563" s="83"/>
      <c r="GI563" s="405"/>
      <c r="GO563" s="83"/>
      <c r="GW563" s="405"/>
      <c r="HC563" s="83"/>
      <c r="HK563" s="405"/>
      <c r="HQ563" s="83"/>
      <c r="HY563" s="405"/>
      <c r="IE563" s="83"/>
      <c r="IM563" s="405"/>
      <c r="IS563" s="83"/>
      <c r="JA563" s="405"/>
      <c r="JG563" s="83"/>
      <c r="JO563" s="405"/>
      <c r="JU563" s="83"/>
      <c r="KC563" s="405"/>
      <c r="KI563" s="83"/>
      <c r="KQ563" s="405"/>
      <c r="KW563" s="83"/>
      <c r="LE563" s="405"/>
      <c r="LK563" s="83"/>
      <c r="LS563" s="405"/>
      <c r="LY563" s="83"/>
      <c r="MG563" s="405"/>
      <c r="MM563" s="83"/>
      <c r="MU563" s="405"/>
      <c r="NA563" s="83"/>
    </row>
    <row r="564">
      <c r="A564" s="483"/>
      <c r="B564" s="380"/>
      <c r="C564" s="380"/>
      <c r="D564" s="380"/>
      <c r="E564" s="380"/>
      <c r="F564" s="380"/>
      <c r="G564" s="380"/>
      <c r="H564" s="380"/>
      <c r="I564" s="403"/>
      <c r="J564" s="380"/>
      <c r="K564" s="380"/>
      <c r="L564" s="380"/>
      <c r="M564" s="380"/>
      <c r="N564" s="380"/>
      <c r="O564" s="404"/>
      <c r="P564" s="380"/>
      <c r="Q564" s="380"/>
      <c r="R564" s="380"/>
      <c r="S564" s="380"/>
      <c r="T564" s="380"/>
      <c r="U564" s="380"/>
      <c r="V564" s="380"/>
      <c r="W564" s="403"/>
      <c r="X564" s="380"/>
      <c r="Y564" s="380"/>
      <c r="Z564" s="380"/>
      <c r="AA564" s="380"/>
      <c r="AB564" s="380"/>
      <c r="AC564" s="404"/>
      <c r="AD564" s="380"/>
      <c r="AE564" s="380"/>
      <c r="AF564" s="380"/>
      <c r="AG564" s="380"/>
      <c r="AH564" s="380"/>
      <c r="AI564" s="380"/>
      <c r="AJ564" s="380"/>
      <c r="AK564" s="403"/>
      <c r="AL564" s="380"/>
      <c r="AM564" s="380"/>
      <c r="AN564" s="380"/>
      <c r="AO564" s="380"/>
      <c r="AP564" s="380"/>
      <c r="AQ564" s="404"/>
      <c r="AR564" s="380"/>
      <c r="AS564" s="380"/>
      <c r="AT564" s="380"/>
      <c r="AU564" s="380"/>
      <c r="AV564" s="380"/>
      <c r="AW564" s="380"/>
      <c r="AX564" s="380"/>
      <c r="AY564" s="403"/>
      <c r="AZ564" s="380"/>
      <c r="BA564" s="380"/>
      <c r="BB564" s="380"/>
      <c r="BC564" s="380"/>
      <c r="BD564" s="380"/>
      <c r="BE564" s="404"/>
      <c r="BF564" s="380"/>
      <c r="BG564" s="380"/>
      <c r="BH564" s="380"/>
      <c r="BI564" s="380"/>
      <c r="BJ564" s="380"/>
      <c r="BK564" s="380"/>
      <c r="BL564" s="380"/>
      <c r="BM564" s="403"/>
      <c r="BS564" s="83"/>
      <c r="CA564" s="405"/>
      <c r="CG564" s="83"/>
      <c r="CO564" s="405"/>
      <c r="CU564" s="83"/>
      <c r="DC564" s="405"/>
      <c r="DI564" s="83"/>
      <c r="DQ564" s="405"/>
      <c r="DW564" s="83"/>
      <c r="EE564" s="405"/>
      <c r="EK564" s="83"/>
      <c r="ES564" s="405"/>
      <c r="EY564" s="83"/>
      <c r="FG564" s="405"/>
      <c r="FM564" s="83"/>
      <c r="FU564" s="405"/>
      <c r="GA564" s="83"/>
      <c r="GI564" s="405"/>
      <c r="GO564" s="83"/>
      <c r="GW564" s="405"/>
      <c r="HC564" s="83"/>
      <c r="HK564" s="405"/>
      <c r="HQ564" s="83"/>
      <c r="HY564" s="405"/>
      <c r="IE564" s="83"/>
      <c r="IM564" s="405"/>
      <c r="IS564" s="83"/>
      <c r="JA564" s="405"/>
      <c r="JG564" s="83"/>
      <c r="JO564" s="405"/>
      <c r="JU564" s="83"/>
      <c r="KC564" s="405"/>
      <c r="KI564" s="83"/>
      <c r="KQ564" s="405"/>
      <c r="KW564" s="83"/>
      <c r="LE564" s="405"/>
      <c r="LK564" s="83"/>
      <c r="LS564" s="405"/>
      <c r="LY564" s="83"/>
      <c r="MG564" s="405"/>
      <c r="MM564" s="83"/>
      <c r="MU564" s="405"/>
      <c r="NA564" s="83"/>
    </row>
    <row r="565">
      <c r="A565" s="483"/>
      <c r="B565" s="380"/>
      <c r="C565" s="380"/>
      <c r="D565" s="380"/>
      <c r="E565" s="380"/>
      <c r="F565" s="380"/>
      <c r="G565" s="380"/>
      <c r="H565" s="380"/>
      <c r="I565" s="403"/>
      <c r="J565" s="380"/>
      <c r="K565" s="380"/>
      <c r="L565" s="380"/>
      <c r="M565" s="380"/>
      <c r="N565" s="380"/>
      <c r="O565" s="404"/>
      <c r="P565" s="380"/>
      <c r="Q565" s="380"/>
      <c r="R565" s="380"/>
      <c r="S565" s="380"/>
      <c r="T565" s="380"/>
      <c r="U565" s="380"/>
      <c r="V565" s="380"/>
      <c r="W565" s="403"/>
      <c r="X565" s="380"/>
      <c r="Y565" s="380"/>
      <c r="Z565" s="380"/>
      <c r="AA565" s="380"/>
      <c r="AB565" s="380"/>
      <c r="AC565" s="404"/>
      <c r="AD565" s="380"/>
      <c r="AE565" s="380"/>
      <c r="AF565" s="380"/>
      <c r="AG565" s="380"/>
      <c r="AH565" s="380"/>
      <c r="AI565" s="380"/>
      <c r="AJ565" s="380"/>
      <c r="AK565" s="403"/>
      <c r="AL565" s="380"/>
      <c r="AM565" s="380"/>
      <c r="AN565" s="380"/>
      <c r="AO565" s="380"/>
      <c r="AP565" s="380"/>
      <c r="AQ565" s="404"/>
      <c r="AR565" s="380"/>
      <c r="AS565" s="380"/>
      <c r="AT565" s="380"/>
      <c r="AU565" s="380"/>
      <c r="AV565" s="380"/>
      <c r="AW565" s="380"/>
      <c r="AX565" s="380"/>
      <c r="AY565" s="403"/>
      <c r="AZ565" s="380"/>
      <c r="BA565" s="380"/>
      <c r="BB565" s="380"/>
      <c r="BC565" s="380"/>
      <c r="BD565" s="380"/>
      <c r="BE565" s="404"/>
      <c r="BF565" s="380"/>
      <c r="BG565" s="380"/>
      <c r="BH565" s="380"/>
      <c r="BI565" s="380"/>
      <c r="BJ565" s="380"/>
      <c r="BK565" s="380"/>
      <c r="BL565" s="380"/>
      <c r="BM565" s="403"/>
      <c r="BS565" s="83"/>
      <c r="CA565" s="405"/>
      <c r="CG565" s="83"/>
      <c r="CO565" s="405"/>
      <c r="CU565" s="83"/>
      <c r="DC565" s="405"/>
      <c r="DI565" s="83"/>
      <c r="DQ565" s="405"/>
      <c r="DW565" s="83"/>
      <c r="EE565" s="405"/>
      <c r="EK565" s="83"/>
      <c r="ES565" s="405"/>
      <c r="EY565" s="83"/>
      <c r="FG565" s="405"/>
      <c r="FM565" s="83"/>
      <c r="FU565" s="405"/>
      <c r="GA565" s="83"/>
      <c r="GI565" s="405"/>
      <c r="GO565" s="83"/>
      <c r="GW565" s="405"/>
      <c r="HC565" s="83"/>
      <c r="HK565" s="405"/>
      <c r="HQ565" s="83"/>
      <c r="HY565" s="405"/>
      <c r="IE565" s="83"/>
      <c r="IM565" s="405"/>
      <c r="IS565" s="83"/>
      <c r="JA565" s="405"/>
      <c r="JG565" s="83"/>
      <c r="JO565" s="405"/>
      <c r="JU565" s="83"/>
      <c r="KC565" s="405"/>
      <c r="KI565" s="83"/>
      <c r="KQ565" s="405"/>
      <c r="KW565" s="83"/>
      <c r="LE565" s="405"/>
      <c r="LK565" s="83"/>
      <c r="LS565" s="405"/>
      <c r="LY565" s="83"/>
      <c r="MG565" s="405"/>
      <c r="MM565" s="83"/>
      <c r="MU565" s="405"/>
      <c r="NA565" s="83"/>
    </row>
    <row r="566">
      <c r="A566" s="483"/>
      <c r="B566" s="380"/>
      <c r="C566" s="380"/>
      <c r="D566" s="380"/>
      <c r="E566" s="380"/>
      <c r="F566" s="380"/>
      <c r="G566" s="380"/>
      <c r="H566" s="380"/>
      <c r="I566" s="403"/>
      <c r="J566" s="380"/>
      <c r="K566" s="380"/>
      <c r="L566" s="380"/>
      <c r="M566" s="380"/>
      <c r="N566" s="380"/>
      <c r="O566" s="404"/>
      <c r="P566" s="380"/>
      <c r="Q566" s="380"/>
      <c r="R566" s="380"/>
      <c r="S566" s="380"/>
      <c r="T566" s="380"/>
      <c r="U566" s="380"/>
      <c r="V566" s="380"/>
      <c r="W566" s="403"/>
      <c r="X566" s="380"/>
      <c r="Y566" s="380"/>
      <c r="Z566" s="380"/>
      <c r="AA566" s="380"/>
      <c r="AB566" s="380"/>
      <c r="AC566" s="404"/>
      <c r="AD566" s="380"/>
      <c r="AE566" s="380"/>
      <c r="AF566" s="380"/>
      <c r="AG566" s="380"/>
      <c r="AH566" s="380"/>
      <c r="AI566" s="380"/>
      <c r="AJ566" s="380"/>
      <c r="AK566" s="403"/>
      <c r="AL566" s="380"/>
      <c r="AM566" s="380"/>
      <c r="AN566" s="380"/>
      <c r="AO566" s="380"/>
      <c r="AP566" s="380"/>
      <c r="AQ566" s="404"/>
      <c r="AR566" s="380"/>
      <c r="AS566" s="380"/>
      <c r="AT566" s="380"/>
      <c r="AU566" s="380"/>
      <c r="AV566" s="380"/>
      <c r="AW566" s="380"/>
      <c r="AX566" s="380"/>
      <c r="AY566" s="403"/>
      <c r="AZ566" s="380"/>
      <c r="BA566" s="380"/>
      <c r="BB566" s="380"/>
      <c r="BC566" s="380"/>
      <c r="BD566" s="380"/>
      <c r="BE566" s="404"/>
      <c r="BF566" s="380"/>
      <c r="BG566" s="380"/>
      <c r="BH566" s="380"/>
      <c r="BI566" s="380"/>
      <c r="BJ566" s="380"/>
      <c r="BK566" s="380"/>
      <c r="BL566" s="380"/>
      <c r="BM566" s="403"/>
      <c r="BS566" s="83"/>
      <c r="CA566" s="405"/>
      <c r="CG566" s="83"/>
      <c r="CO566" s="405"/>
      <c r="CU566" s="83"/>
      <c r="DC566" s="405"/>
      <c r="DI566" s="83"/>
      <c r="DQ566" s="405"/>
      <c r="DW566" s="83"/>
      <c r="EE566" s="405"/>
      <c r="EK566" s="83"/>
      <c r="ES566" s="405"/>
      <c r="EY566" s="83"/>
      <c r="FG566" s="405"/>
      <c r="FM566" s="83"/>
      <c r="FU566" s="405"/>
      <c r="GA566" s="83"/>
      <c r="GI566" s="405"/>
      <c r="GO566" s="83"/>
      <c r="GW566" s="405"/>
      <c r="HC566" s="83"/>
      <c r="HK566" s="405"/>
      <c r="HQ566" s="83"/>
      <c r="HY566" s="405"/>
      <c r="IE566" s="83"/>
      <c r="IM566" s="405"/>
      <c r="IS566" s="83"/>
      <c r="JA566" s="405"/>
      <c r="JG566" s="83"/>
      <c r="JO566" s="405"/>
      <c r="JU566" s="83"/>
      <c r="KC566" s="405"/>
      <c r="KI566" s="83"/>
      <c r="KQ566" s="405"/>
      <c r="KW566" s="83"/>
      <c r="LE566" s="405"/>
      <c r="LK566" s="83"/>
      <c r="LS566" s="405"/>
      <c r="LY566" s="83"/>
      <c r="MG566" s="405"/>
      <c r="MM566" s="83"/>
      <c r="MU566" s="405"/>
      <c r="NA566" s="83"/>
    </row>
    <row r="567">
      <c r="A567" s="483"/>
      <c r="B567" s="380"/>
      <c r="C567" s="380"/>
      <c r="D567" s="380"/>
      <c r="E567" s="380"/>
      <c r="F567" s="380"/>
      <c r="G567" s="380"/>
      <c r="H567" s="380"/>
      <c r="I567" s="403"/>
      <c r="J567" s="380"/>
      <c r="K567" s="380"/>
      <c r="L567" s="380"/>
      <c r="M567" s="380"/>
      <c r="N567" s="380"/>
      <c r="O567" s="404"/>
      <c r="P567" s="380"/>
      <c r="Q567" s="380"/>
      <c r="R567" s="380"/>
      <c r="S567" s="380"/>
      <c r="T567" s="380"/>
      <c r="U567" s="380"/>
      <c r="V567" s="380"/>
      <c r="W567" s="403"/>
      <c r="X567" s="380"/>
      <c r="Y567" s="380"/>
      <c r="Z567" s="380"/>
      <c r="AA567" s="380"/>
      <c r="AB567" s="380"/>
      <c r="AC567" s="404"/>
      <c r="AD567" s="380"/>
      <c r="AE567" s="380"/>
      <c r="AF567" s="380"/>
      <c r="AG567" s="380"/>
      <c r="AH567" s="380"/>
      <c r="AI567" s="380"/>
      <c r="AJ567" s="380"/>
      <c r="AK567" s="403"/>
      <c r="AL567" s="380"/>
      <c r="AM567" s="380"/>
      <c r="AN567" s="380"/>
      <c r="AO567" s="380"/>
      <c r="AP567" s="380"/>
      <c r="AQ567" s="404"/>
      <c r="AR567" s="380"/>
      <c r="AS567" s="380"/>
      <c r="AT567" s="380"/>
      <c r="AU567" s="380"/>
      <c r="AV567" s="380"/>
      <c r="AW567" s="380"/>
      <c r="AX567" s="380"/>
      <c r="AY567" s="403"/>
      <c r="AZ567" s="380"/>
      <c r="BA567" s="380"/>
      <c r="BB567" s="380"/>
      <c r="BC567" s="380"/>
      <c r="BD567" s="380"/>
      <c r="BE567" s="404"/>
      <c r="BF567" s="380"/>
      <c r="BG567" s="380"/>
      <c r="BH567" s="380"/>
      <c r="BI567" s="380"/>
      <c r="BJ567" s="380"/>
      <c r="BK567" s="380"/>
      <c r="BL567" s="380"/>
      <c r="BM567" s="403"/>
      <c r="BS567" s="83"/>
      <c r="CA567" s="405"/>
      <c r="CG567" s="83"/>
      <c r="CO567" s="405"/>
      <c r="CU567" s="83"/>
      <c r="DC567" s="405"/>
      <c r="DI567" s="83"/>
      <c r="DQ567" s="405"/>
      <c r="DW567" s="83"/>
      <c r="EE567" s="405"/>
      <c r="EK567" s="83"/>
      <c r="ES567" s="405"/>
      <c r="EY567" s="83"/>
      <c r="FG567" s="405"/>
      <c r="FM567" s="83"/>
      <c r="FU567" s="405"/>
      <c r="GA567" s="83"/>
      <c r="GI567" s="405"/>
      <c r="GO567" s="83"/>
      <c r="GW567" s="405"/>
      <c r="HC567" s="83"/>
      <c r="HK567" s="405"/>
      <c r="HQ567" s="83"/>
      <c r="HY567" s="405"/>
      <c r="IE567" s="83"/>
      <c r="IM567" s="405"/>
      <c r="IS567" s="83"/>
      <c r="JA567" s="405"/>
      <c r="JG567" s="83"/>
      <c r="JO567" s="405"/>
      <c r="JU567" s="83"/>
      <c r="KC567" s="405"/>
      <c r="KI567" s="83"/>
      <c r="KQ567" s="405"/>
      <c r="KW567" s="83"/>
      <c r="LE567" s="405"/>
      <c r="LK567" s="83"/>
      <c r="LS567" s="405"/>
      <c r="LY567" s="83"/>
      <c r="MG567" s="405"/>
      <c r="MM567" s="83"/>
      <c r="MU567" s="405"/>
      <c r="NA567" s="83"/>
    </row>
    <row r="568">
      <c r="A568" s="483"/>
      <c r="B568" s="380"/>
      <c r="C568" s="380"/>
      <c r="D568" s="380"/>
      <c r="E568" s="380"/>
      <c r="F568" s="380"/>
      <c r="G568" s="380"/>
      <c r="H568" s="380"/>
      <c r="I568" s="403"/>
      <c r="J568" s="380"/>
      <c r="K568" s="380"/>
      <c r="L568" s="380"/>
      <c r="M568" s="380"/>
      <c r="N568" s="380"/>
      <c r="O568" s="404"/>
      <c r="P568" s="380"/>
      <c r="Q568" s="380"/>
      <c r="R568" s="380"/>
      <c r="S568" s="380"/>
      <c r="T568" s="380"/>
      <c r="U568" s="380"/>
      <c r="V568" s="380"/>
      <c r="W568" s="403"/>
      <c r="X568" s="380"/>
      <c r="Y568" s="380"/>
      <c r="Z568" s="380"/>
      <c r="AA568" s="380"/>
      <c r="AB568" s="380"/>
      <c r="AC568" s="404"/>
      <c r="AD568" s="380"/>
      <c r="AE568" s="380"/>
      <c r="AF568" s="380"/>
      <c r="AG568" s="380"/>
      <c r="AH568" s="380"/>
      <c r="AI568" s="380"/>
      <c r="AJ568" s="380"/>
      <c r="AK568" s="403"/>
      <c r="AL568" s="380"/>
      <c r="AM568" s="380"/>
      <c r="AN568" s="380"/>
      <c r="AO568" s="380"/>
      <c r="AP568" s="380"/>
      <c r="AQ568" s="404"/>
      <c r="AR568" s="380"/>
      <c r="AS568" s="380"/>
      <c r="AT568" s="380"/>
      <c r="AU568" s="380"/>
      <c r="AV568" s="380"/>
      <c r="AW568" s="380"/>
      <c r="AX568" s="380"/>
      <c r="AY568" s="403"/>
      <c r="AZ568" s="380"/>
      <c r="BA568" s="380"/>
      <c r="BB568" s="380"/>
      <c r="BC568" s="380"/>
      <c r="BD568" s="380"/>
      <c r="BE568" s="404"/>
      <c r="BF568" s="380"/>
      <c r="BG568" s="380"/>
      <c r="BH568" s="380"/>
      <c r="BI568" s="380"/>
      <c r="BJ568" s="380"/>
      <c r="BK568" s="380"/>
      <c r="BL568" s="380"/>
      <c r="BM568" s="403"/>
      <c r="BS568" s="83"/>
      <c r="CA568" s="405"/>
      <c r="CG568" s="83"/>
      <c r="CO568" s="405"/>
      <c r="CU568" s="83"/>
      <c r="DC568" s="405"/>
      <c r="DI568" s="83"/>
      <c r="DQ568" s="405"/>
      <c r="DW568" s="83"/>
      <c r="EE568" s="405"/>
      <c r="EK568" s="83"/>
      <c r="ES568" s="405"/>
      <c r="EY568" s="83"/>
      <c r="FG568" s="405"/>
      <c r="FM568" s="83"/>
      <c r="FU568" s="405"/>
      <c r="GA568" s="83"/>
      <c r="GI568" s="405"/>
      <c r="GO568" s="83"/>
      <c r="GW568" s="405"/>
      <c r="HC568" s="83"/>
      <c r="HK568" s="405"/>
      <c r="HQ568" s="83"/>
      <c r="HY568" s="405"/>
      <c r="IE568" s="83"/>
      <c r="IM568" s="405"/>
      <c r="IS568" s="83"/>
      <c r="JA568" s="405"/>
      <c r="JG568" s="83"/>
      <c r="JO568" s="405"/>
      <c r="JU568" s="83"/>
      <c r="KC568" s="405"/>
      <c r="KI568" s="83"/>
      <c r="KQ568" s="405"/>
      <c r="KW568" s="83"/>
      <c r="LE568" s="405"/>
      <c r="LK568" s="83"/>
      <c r="LS568" s="405"/>
      <c r="LY568" s="83"/>
      <c r="MG568" s="405"/>
      <c r="MM568" s="83"/>
      <c r="MU568" s="405"/>
      <c r="NA568" s="83"/>
    </row>
    <row r="569">
      <c r="A569" s="483"/>
      <c r="B569" s="380"/>
      <c r="C569" s="380"/>
      <c r="D569" s="380"/>
      <c r="E569" s="380"/>
      <c r="F569" s="380"/>
      <c r="G569" s="380"/>
      <c r="H569" s="380"/>
      <c r="I569" s="403"/>
      <c r="J569" s="380"/>
      <c r="K569" s="380"/>
      <c r="L569" s="380"/>
      <c r="M569" s="380"/>
      <c r="N569" s="380"/>
      <c r="O569" s="404"/>
      <c r="P569" s="380"/>
      <c r="Q569" s="380"/>
      <c r="R569" s="380"/>
      <c r="S569" s="380"/>
      <c r="T569" s="380"/>
      <c r="U569" s="380"/>
      <c r="V569" s="380"/>
      <c r="W569" s="403"/>
      <c r="X569" s="380"/>
      <c r="Y569" s="380"/>
      <c r="Z569" s="380"/>
      <c r="AA569" s="380"/>
      <c r="AB569" s="380"/>
      <c r="AC569" s="404"/>
      <c r="AD569" s="380"/>
      <c r="AE569" s="380"/>
      <c r="AF569" s="380"/>
      <c r="AG569" s="380"/>
      <c r="AH569" s="380"/>
      <c r="AI569" s="380"/>
      <c r="AJ569" s="380"/>
      <c r="AK569" s="403"/>
      <c r="AL569" s="380"/>
      <c r="AM569" s="380"/>
      <c r="AN569" s="380"/>
      <c r="AO569" s="380"/>
      <c r="AP569" s="380"/>
      <c r="AQ569" s="404"/>
      <c r="AR569" s="380"/>
      <c r="AS569" s="380"/>
      <c r="AT569" s="380"/>
      <c r="AU569" s="380"/>
      <c r="AV569" s="380"/>
      <c r="AW569" s="380"/>
      <c r="AX569" s="380"/>
      <c r="AY569" s="403"/>
      <c r="AZ569" s="380"/>
      <c r="BA569" s="380"/>
      <c r="BB569" s="380"/>
      <c r="BC569" s="380"/>
      <c r="BD569" s="380"/>
      <c r="BE569" s="404"/>
      <c r="BF569" s="380"/>
      <c r="BG569" s="380"/>
      <c r="BH569" s="380"/>
      <c r="BI569" s="380"/>
      <c r="BJ569" s="380"/>
      <c r="BK569" s="380"/>
      <c r="BL569" s="380"/>
      <c r="BM569" s="403"/>
      <c r="BS569" s="83"/>
      <c r="CA569" s="405"/>
      <c r="CG569" s="83"/>
      <c r="CO569" s="405"/>
      <c r="CU569" s="83"/>
      <c r="DC569" s="405"/>
      <c r="DI569" s="83"/>
      <c r="DQ569" s="405"/>
      <c r="DW569" s="83"/>
      <c r="EE569" s="405"/>
      <c r="EK569" s="83"/>
      <c r="ES569" s="405"/>
      <c r="EY569" s="83"/>
      <c r="FG569" s="405"/>
      <c r="FM569" s="83"/>
      <c r="FU569" s="405"/>
      <c r="GA569" s="83"/>
      <c r="GI569" s="405"/>
      <c r="GO569" s="83"/>
      <c r="GW569" s="405"/>
      <c r="HC569" s="83"/>
      <c r="HK569" s="405"/>
      <c r="HQ569" s="83"/>
      <c r="HY569" s="405"/>
      <c r="IE569" s="83"/>
      <c r="IM569" s="405"/>
      <c r="IS569" s="83"/>
      <c r="JA569" s="405"/>
      <c r="JG569" s="83"/>
      <c r="JO569" s="405"/>
      <c r="JU569" s="83"/>
      <c r="KC569" s="405"/>
      <c r="KI569" s="83"/>
      <c r="KQ569" s="405"/>
      <c r="KW569" s="83"/>
      <c r="LE569" s="405"/>
      <c r="LK569" s="83"/>
      <c r="LS569" s="405"/>
      <c r="LY569" s="83"/>
      <c r="MG569" s="405"/>
      <c r="MM569" s="83"/>
      <c r="MU569" s="405"/>
      <c r="NA569" s="83"/>
    </row>
    <row r="570">
      <c r="A570" s="483"/>
      <c r="B570" s="380"/>
      <c r="C570" s="380"/>
      <c r="D570" s="380"/>
      <c r="E570" s="380"/>
      <c r="F570" s="380"/>
      <c r="G570" s="380"/>
      <c r="H570" s="380"/>
      <c r="I570" s="403"/>
      <c r="J570" s="380"/>
      <c r="K570" s="380"/>
      <c r="L570" s="380"/>
      <c r="M570" s="380"/>
      <c r="N570" s="380"/>
      <c r="O570" s="404"/>
      <c r="P570" s="380"/>
      <c r="Q570" s="380"/>
      <c r="R570" s="380"/>
      <c r="S570" s="380"/>
      <c r="T570" s="380"/>
      <c r="U570" s="380"/>
      <c r="V570" s="380"/>
      <c r="W570" s="403"/>
      <c r="X570" s="380"/>
      <c r="Y570" s="380"/>
      <c r="Z570" s="380"/>
      <c r="AA570" s="380"/>
      <c r="AB570" s="380"/>
      <c r="AC570" s="404"/>
      <c r="AD570" s="380"/>
      <c r="AE570" s="380"/>
      <c r="AF570" s="380"/>
      <c r="AG570" s="380"/>
      <c r="AH570" s="380"/>
      <c r="AI570" s="380"/>
      <c r="AJ570" s="380"/>
      <c r="AK570" s="403"/>
      <c r="AL570" s="380"/>
      <c r="AM570" s="380"/>
      <c r="AN570" s="380"/>
      <c r="AO570" s="380"/>
      <c r="AP570" s="380"/>
      <c r="AQ570" s="404"/>
      <c r="AR570" s="380"/>
      <c r="AS570" s="380"/>
      <c r="AT570" s="380"/>
      <c r="AU570" s="380"/>
      <c r="AV570" s="380"/>
      <c r="AW570" s="380"/>
      <c r="AX570" s="380"/>
      <c r="AY570" s="403"/>
      <c r="AZ570" s="380"/>
      <c r="BA570" s="380"/>
      <c r="BB570" s="380"/>
      <c r="BC570" s="380"/>
      <c r="BD570" s="380"/>
      <c r="BE570" s="404"/>
      <c r="BF570" s="380"/>
      <c r="BG570" s="380"/>
      <c r="BH570" s="380"/>
      <c r="BI570" s="380"/>
      <c r="BJ570" s="380"/>
      <c r="BK570" s="380"/>
      <c r="BL570" s="380"/>
      <c r="BM570" s="403"/>
      <c r="BS570" s="83"/>
      <c r="CA570" s="405"/>
      <c r="CG570" s="83"/>
      <c r="CO570" s="405"/>
      <c r="CU570" s="83"/>
      <c r="DC570" s="405"/>
      <c r="DI570" s="83"/>
      <c r="DQ570" s="405"/>
      <c r="DW570" s="83"/>
      <c r="EE570" s="405"/>
      <c r="EK570" s="83"/>
      <c r="ES570" s="405"/>
      <c r="EY570" s="83"/>
      <c r="FG570" s="405"/>
      <c r="FM570" s="83"/>
      <c r="FU570" s="405"/>
      <c r="GA570" s="83"/>
      <c r="GI570" s="405"/>
      <c r="GO570" s="83"/>
      <c r="GW570" s="405"/>
      <c r="HC570" s="83"/>
      <c r="HK570" s="405"/>
      <c r="HQ570" s="83"/>
      <c r="HY570" s="405"/>
      <c r="IE570" s="83"/>
      <c r="IM570" s="405"/>
      <c r="IS570" s="83"/>
      <c r="JA570" s="405"/>
      <c r="JG570" s="83"/>
      <c r="JO570" s="405"/>
      <c r="JU570" s="83"/>
      <c r="KC570" s="405"/>
      <c r="KI570" s="83"/>
      <c r="KQ570" s="405"/>
      <c r="KW570" s="83"/>
      <c r="LE570" s="405"/>
      <c r="LK570" s="83"/>
      <c r="LS570" s="405"/>
      <c r="LY570" s="83"/>
      <c r="MG570" s="405"/>
      <c r="MM570" s="83"/>
      <c r="MU570" s="405"/>
      <c r="NA570" s="83"/>
    </row>
    <row r="571">
      <c r="A571" s="483"/>
      <c r="B571" s="380"/>
      <c r="C571" s="380"/>
      <c r="D571" s="380"/>
      <c r="E571" s="380"/>
      <c r="F571" s="380"/>
      <c r="G571" s="380"/>
      <c r="H571" s="380"/>
      <c r="I571" s="403"/>
      <c r="J571" s="380"/>
      <c r="K571" s="380"/>
      <c r="L571" s="380"/>
      <c r="M571" s="380"/>
      <c r="N571" s="380"/>
      <c r="O571" s="404"/>
      <c r="P571" s="380"/>
      <c r="Q571" s="380"/>
      <c r="R571" s="380"/>
      <c r="S571" s="380"/>
      <c r="T571" s="380"/>
      <c r="U571" s="380"/>
      <c r="V571" s="380"/>
      <c r="W571" s="403"/>
      <c r="X571" s="380"/>
      <c r="Y571" s="380"/>
      <c r="Z571" s="380"/>
      <c r="AA571" s="380"/>
      <c r="AB571" s="380"/>
      <c r="AC571" s="404"/>
      <c r="AD571" s="380"/>
      <c r="AE571" s="380"/>
      <c r="AF571" s="380"/>
      <c r="AG571" s="380"/>
      <c r="AH571" s="380"/>
      <c r="AI571" s="380"/>
      <c r="AJ571" s="380"/>
      <c r="AK571" s="403"/>
      <c r="AL571" s="380"/>
      <c r="AM571" s="380"/>
      <c r="AN571" s="380"/>
      <c r="AO571" s="380"/>
      <c r="AP571" s="380"/>
      <c r="AQ571" s="404"/>
      <c r="AR571" s="380"/>
      <c r="AS571" s="380"/>
      <c r="AT571" s="380"/>
      <c r="AU571" s="380"/>
      <c r="AV571" s="380"/>
      <c r="AW571" s="380"/>
      <c r="AX571" s="380"/>
      <c r="AY571" s="403"/>
      <c r="AZ571" s="380"/>
      <c r="BA571" s="380"/>
      <c r="BB571" s="380"/>
      <c r="BC571" s="380"/>
      <c r="BD571" s="380"/>
      <c r="BE571" s="404"/>
      <c r="BF571" s="380"/>
      <c r="BG571" s="380"/>
      <c r="BH571" s="380"/>
      <c r="BI571" s="380"/>
      <c r="BJ571" s="380"/>
      <c r="BK571" s="380"/>
      <c r="BL571" s="380"/>
      <c r="BM571" s="403"/>
      <c r="BS571" s="83"/>
      <c r="CA571" s="405"/>
      <c r="CG571" s="83"/>
      <c r="CO571" s="405"/>
      <c r="CU571" s="83"/>
      <c r="DC571" s="405"/>
      <c r="DI571" s="83"/>
      <c r="DQ571" s="405"/>
      <c r="DW571" s="83"/>
      <c r="EE571" s="405"/>
      <c r="EK571" s="83"/>
      <c r="ES571" s="405"/>
      <c r="EY571" s="83"/>
      <c r="FG571" s="405"/>
      <c r="FM571" s="83"/>
      <c r="FU571" s="405"/>
      <c r="GA571" s="83"/>
      <c r="GI571" s="405"/>
      <c r="GO571" s="83"/>
      <c r="GW571" s="405"/>
      <c r="HC571" s="83"/>
      <c r="HK571" s="405"/>
      <c r="HQ571" s="83"/>
      <c r="HY571" s="405"/>
      <c r="IE571" s="83"/>
      <c r="IM571" s="405"/>
      <c r="IS571" s="83"/>
      <c r="JA571" s="405"/>
      <c r="JG571" s="83"/>
      <c r="JO571" s="405"/>
      <c r="JU571" s="83"/>
      <c r="KC571" s="405"/>
      <c r="KI571" s="83"/>
      <c r="KQ571" s="405"/>
      <c r="KW571" s="83"/>
      <c r="LE571" s="405"/>
      <c r="LK571" s="83"/>
      <c r="LS571" s="405"/>
      <c r="LY571" s="83"/>
      <c r="MG571" s="405"/>
      <c r="MM571" s="83"/>
      <c r="MU571" s="405"/>
      <c r="NA571" s="83"/>
    </row>
    <row r="572">
      <c r="A572" s="483"/>
      <c r="B572" s="380"/>
      <c r="C572" s="380"/>
      <c r="D572" s="380"/>
      <c r="E572" s="380"/>
      <c r="F572" s="380"/>
      <c r="G572" s="380"/>
      <c r="H572" s="380"/>
      <c r="I572" s="403"/>
      <c r="J572" s="380"/>
      <c r="K572" s="380"/>
      <c r="L572" s="380"/>
      <c r="M572" s="380"/>
      <c r="N572" s="380"/>
      <c r="O572" s="404"/>
      <c r="P572" s="380"/>
      <c r="Q572" s="380"/>
      <c r="R572" s="380"/>
      <c r="S572" s="380"/>
      <c r="T572" s="380"/>
      <c r="U572" s="380"/>
      <c r="V572" s="380"/>
      <c r="W572" s="403"/>
      <c r="X572" s="380"/>
      <c r="Y572" s="380"/>
      <c r="Z572" s="380"/>
      <c r="AA572" s="380"/>
      <c r="AB572" s="380"/>
      <c r="AC572" s="404"/>
      <c r="AD572" s="380"/>
      <c r="AE572" s="380"/>
      <c r="AF572" s="380"/>
      <c r="AG572" s="380"/>
      <c r="AH572" s="380"/>
      <c r="AI572" s="380"/>
      <c r="AJ572" s="380"/>
      <c r="AK572" s="403"/>
      <c r="AL572" s="380"/>
      <c r="AM572" s="380"/>
      <c r="AN572" s="380"/>
      <c r="AO572" s="380"/>
      <c r="AP572" s="380"/>
      <c r="AQ572" s="404"/>
      <c r="AR572" s="380"/>
      <c r="AS572" s="380"/>
      <c r="AT572" s="380"/>
      <c r="AU572" s="380"/>
      <c r="AV572" s="380"/>
      <c r="AW572" s="380"/>
      <c r="AX572" s="380"/>
      <c r="AY572" s="403"/>
      <c r="AZ572" s="380"/>
      <c r="BA572" s="380"/>
      <c r="BB572" s="380"/>
      <c r="BC572" s="380"/>
      <c r="BD572" s="380"/>
      <c r="BE572" s="404"/>
      <c r="BF572" s="380"/>
      <c r="BG572" s="380"/>
      <c r="BH572" s="380"/>
      <c r="BI572" s="380"/>
      <c r="BJ572" s="380"/>
      <c r="BK572" s="380"/>
      <c r="BL572" s="380"/>
      <c r="BM572" s="403"/>
      <c r="BS572" s="83"/>
      <c r="CA572" s="405"/>
      <c r="CG572" s="83"/>
      <c r="CO572" s="405"/>
      <c r="CU572" s="83"/>
      <c r="DC572" s="405"/>
      <c r="DI572" s="83"/>
      <c r="DQ572" s="405"/>
      <c r="DW572" s="83"/>
      <c r="EE572" s="405"/>
      <c r="EK572" s="83"/>
      <c r="ES572" s="405"/>
      <c r="EY572" s="83"/>
      <c r="FG572" s="405"/>
      <c r="FM572" s="83"/>
      <c r="FU572" s="405"/>
      <c r="GA572" s="83"/>
      <c r="GI572" s="405"/>
      <c r="GO572" s="83"/>
      <c r="GW572" s="405"/>
      <c r="HC572" s="83"/>
      <c r="HK572" s="405"/>
      <c r="HQ572" s="83"/>
      <c r="HY572" s="405"/>
      <c r="IE572" s="83"/>
      <c r="IM572" s="405"/>
      <c r="IS572" s="83"/>
      <c r="JA572" s="405"/>
      <c r="JG572" s="83"/>
      <c r="JO572" s="405"/>
      <c r="JU572" s="83"/>
      <c r="KC572" s="405"/>
      <c r="KI572" s="83"/>
      <c r="KQ572" s="405"/>
      <c r="KW572" s="83"/>
      <c r="LE572" s="405"/>
      <c r="LK572" s="83"/>
      <c r="LS572" s="405"/>
      <c r="LY572" s="83"/>
      <c r="MG572" s="405"/>
      <c r="MM572" s="83"/>
      <c r="MU572" s="405"/>
      <c r="NA572" s="83"/>
    </row>
    <row r="573">
      <c r="A573" s="483"/>
      <c r="B573" s="380"/>
      <c r="C573" s="380"/>
      <c r="D573" s="380"/>
      <c r="E573" s="380"/>
      <c r="F573" s="380"/>
      <c r="G573" s="380"/>
      <c r="H573" s="380"/>
      <c r="I573" s="403"/>
      <c r="J573" s="380"/>
      <c r="K573" s="380"/>
      <c r="L573" s="380"/>
      <c r="M573" s="380"/>
      <c r="N573" s="380"/>
      <c r="O573" s="404"/>
      <c r="P573" s="380"/>
      <c r="Q573" s="380"/>
      <c r="R573" s="380"/>
      <c r="S573" s="380"/>
      <c r="T573" s="380"/>
      <c r="U573" s="380"/>
      <c r="V573" s="380"/>
      <c r="W573" s="403"/>
      <c r="X573" s="380"/>
      <c r="Y573" s="380"/>
      <c r="Z573" s="380"/>
      <c r="AA573" s="380"/>
      <c r="AB573" s="380"/>
      <c r="AC573" s="404"/>
      <c r="AD573" s="380"/>
      <c r="AE573" s="380"/>
      <c r="AF573" s="380"/>
      <c r="AG573" s="380"/>
      <c r="AH573" s="380"/>
      <c r="AI573" s="380"/>
      <c r="AJ573" s="380"/>
      <c r="AK573" s="403"/>
      <c r="AL573" s="380"/>
      <c r="AM573" s="380"/>
      <c r="AN573" s="380"/>
      <c r="AO573" s="380"/>
      <c r="AP573" s="380"/>
      <c r="AQ573" s="404"/>
      <c r="AR573" s="380"/>
      <c r="AS573" s="380"/>
      <c r="AT573" s="380"/>
      <c r="AU573" s="380"/>
      <c r="AV573" s="380"/>
      <c r="AW573" s="380"/>
      <c r="AX573" s="380"/>
      <c r="AY573" s="403"/>
      <c r="AZ573" s="380"/>
      <c r="BA573" s="380"/>
      <c r="BB573" s="380"/>
      <c r="BC573" s="380"/>
      <c r="BD573" s="380"/>
      <c r="BE573" s="404"/>
      <c r="BF573" s="380"/>
      <c r="BG573" s="380"/>
      <c r="BH573" s="380"/>
      <c r="BI573" s="380"/>
      <c r="BJ573" s="380"/>
      <c r="BK573" s="380"/>
      <c r="BL573" s="380"/>
      <c r="BM573" s="403"/>
      <c r="BS573" s="83"/>
      <c r="CA573" s="405"/>
      <c r="CG573" s="83"/>
      <c r="CO573" s="405"/>
      <c r="CU573" s="83"/>
      <c r="DC573" s="405"/>
      <c r="DI573" s="83"/>
      <c r="DQ573" s="405"/>
      <c r="DW573" s="83"/>
      <c r="EE573" s="405"/>
      <c r="EK573" s="83"/>
      <c r="ES573" s="405"/>
      <c r="EY573" s="83"/>
      <c r="FG573" s="405"/>
      <c r="FM573" s="83"/>
      <c r="FU573" s="405"/>
      <c r="GA573" s="83"/>
      <c r="GI573" s="405"/>
      <c r="GO573" s="83"/>
      <c r="GW573" s="405"/>
      <c r="HC573" s="83"/>
      <c r="HK573" s="405"/>
      <c r="HQ573" s="83"/>
      <c r="HY573" s="405"/>
      <c r="IE573" s="83"/>
      <c r="IM573" s="405"/>
      <c r="IS573" s="83"/>
      <c r="JA573" s="405"/>
      <c r="JG573" s="83"/>
      <c r="JO573" s="405"/>
      <c r="JU573" s="83"/>
      <c r="KC573" s="405"/>
      <c r="KI573" s="83"/>
      <c r="KQ573" s="405"/>
      <c r="KW573" s="83"/>
      <c r="LE573" s="405"/>
      <c r="LK573" s="83"/>
      <c r="LS573" s="405"/>
      <c r="LY573" s="83"/>
      <c r="MG573" s="405"/>
      <c r="MM573" s="83"/>
      <c r="MU573" s="405"/>
      <c r="NA573" s="83"/>
    </row>
    <row r="574">
      <c r="A574" s="483"/>
      <c r="B574" s="380"/>
      <c r="C574" s="380"/>
      <c r="D574" s="380"/>
      <c r="E574" s="380"/>
      <c r="F574" s="380"/>
      <c r="G574" s="380"/>
      <c r="H574" s="380"/>
      <c r="I574" s="403"/>
      <c r="J574" s="380"/>
      <c r="K574" s="380"/>
      <c r="L574" s="380"/>
      <c r="M574" s="380"/>
      <c r="N574" s="380"/>
      <c r="O574" s="404"/>
      <c r="P574" s="380"/>
      <c r="Q574" s="380"/>
      <c r="R574" s="380"/>
      <c r="S574" s="380"/>
      <c r="T574" s="380"/>
      <c r="U574" s="380"/>
      <c r="V574" s="380"/>
      <c r="W574" s="403"/>
      <c r="X574" s="380"/>
      <c r="Y574" s="380"/>
      <c r="Z574" s="380"/>
      <c r="AA574" s="380"/>
      <c r="AB574" s="380"/>
      <c r="AC574" s="404"/>
      <c r="AD574" s="380"/>
      <c r="AE574" s="380"/>
      <c r="AF574" s="380"/>
      <c r="AG574" s="380"/>
      <c r="AH574" s="380"/>
      <c r="AI574" s="380"/>
      <c r="AJ574" s="380"/>
      <c r="AK574" s="403"/>
      <c r="AL574" s="380"/>
      <c r="AM574" s="380"/>
      <c r="AN574" s="380"/>
      <c r="AO574" s="380"/>
      <c r="AP574" s="380"/>
      <c r="AQ574" s="404"/>
      <c r="AR574" s="380"/>
      <c r="AS574" s="380"/>
      <c r="AT574" s="380"/>
      <c r="AU574" s="380"/>
      <c r="AV574" s="380"/>
      <c r="AW574" s="380"/>
      <c r="AX574" s="380"/>
      <c r="AY574" s="403"/>
      <c r="AZ574" s="380"/>
      <c r="BA574" s="380"/>
      <c r="BB574" s="380"/>
      <c r="BC574" s="380"/>
      <c r="BD574" s="380"/>
      <c r="BE574" s="404"/>
      <c r="BF574" s="380"/>
      <c r="BG574" s="380"/>
      <c r="BH574" s="380"/>
      <c r="BI574" s="380"/>
      <c r="BJ574" s="380"/>
      <c r="BK574" s="380"/>
      <c r="BL574" s="380"/>
      <c r="BM574" s="403"/>
      <c r="BS574" s="83"/>
      <c r="CA574" s="405"/>
      <c r="CG574" s="83"/>
      <c r="CO574" s="405"/>
      <c r="CU574" s="83"/>
      <c r="DC574" s="405"/>
      <c r="DI574" s="83"/>
      <c r="DQ574" s="405"/>
      <c r="DW574" s="83"/>
      <c r="EE574" s="405"/>
      <c r="EK574" s="83"/>
      <c r="ES574" s="405"/>
      <c r="EY574" s="83"/>
      <c r="FG574" s="405"/>
      <c r="FM574" s="83"/>
      <c r="FU574" s="405"/>
      <c r="GA574" s="83"/>
      <c r="GI574" s="405"/>
      <c r="GO574" s="83"/>
      <c r="GW574" s="405"/>
      <c r="HC574" s="83"/>
      <c r="HK574" s="405"/>
      <c r="HQ574" s="83"/>
      <c r="HY574" s="405"/>
      <c r="IE574" s="83"/>
      <c r="IM574" s="405"/>
      <c r="IS574" s="83"/>
      <c r="JA574" s="405"/>
      <c r="JG574" s="83"/>
      <c r="JO574" s="405"/>
      <c r="JU574" s="83"/>
      <c r="KC574" s="405"/>
      <c r="KI574" s="83"/>
      <c r="KQ574" s="405"/>
      <c r="KW574" s="83"/>
      <c r="LE574" s="405"/>
      <c r="LK574" s="83"/>
      <c r="LS574" s="405"/>
      <c r="LY574" s="83"/>
      <c r="MG574" s="405"/>
      <c r="MM574" s="83"/>
      <c r="MU574" s="405"/>
      <c r="NA574" s="83"/>
    </row>
    <row r="575">
      <c r="A575" s="483"/>
      <c r="B575" s="380"/>
      <c r="C575" s="380"/>
      <c r="D575" s="380"/>
      <c r="E575" s="380"/>
      <c r="F575" s="380"/>
      <c r="G575" s="380"/>
      <c r="H575" s="380"/>
      <c r="I575" s="403"/>
      <c r="J575" s="380"/>
      <c r="K575" s="380"/>
      <c r="L575" s="380"/>
      <c r="M575" s="380"/>
      <c r="N575" s="380"/>
      <c r="O575" s="404"/>
      <c r="P575" s="380"/>
      <c r="Q575" s="380"/>
      <c r="R575" s="380"/>
      <c r="S575" s="380"/>
      <c r="T575" s="380"/>
      <c r="U575" s="380"/>
      <c r="V575" s="380"/>
      <c r="W575" s="403"/>
      <c r="X575" s="380"/>
      <c r="Y575" s="380"/>
      <c r="Z575" s="380"/>
      <c r="AA575" s="380"/>
      <c r="AB575" s="380"/>
      <c r="AC575" s="404"/>
      <c r="AD575" s="380"/>
      <c r="AE575" s="380"/>
      <c r="AF575" s="380"/>
      <c r="AG575" s="380"/>
      <c r="AH575" s="380"/>
      <c r="AI575" s="380"/>
      <c r="AJ575" s="380"/>
      <c r="AK575" s="403"/>
      <c r="AL575" s="380"/>
      <c r="AM575" s="380"/>
      <c r="AN575" s="380"/>
      <c r="AO575" s="380"/>
      <c r="AP575" s="380"/>
      <c r="AQ575" s="404"/>
      <c r="AR575" s="380"/>
      <c r="AS575" s="380"/>
      <c r="AT575" s="380"/>
      <c r="AU575" s="380"/>
      <c r="AV575" s="380"/>
      <c r="AW575" s="380"/>
      <c r="AX575" s="380"/>
      <c r="AY575" s="403"/>
      <c r="AZ575" s="380"/>
      <c r="BA575" s="380"/>
      <c r="BB575" s="380"/>
      <c r="BC575" s="380"/>
      <c r="BD575" s="380"/>
      <c r="BE575" s="404"/>
      <c r="BF575" s="380"/>
      <c r="BG575" s="380"/>
      <c r="BH575" s="380"/>
      <c r="BI575" s="380"/>
      <c r="BJ575" s="380"/>
      <c r="BK575" s="380"/>
      <c r="BL575" s="380"/>
      <c r="BM575" s="403"/>
      <c r="BS575" s="83"/>
      <c r="CA575" s="405"/>
      <c r="CG575" s="83"/>
      <c r="CO575" s="405"/>
      <c r="CU575" s="83"/>
      <c r="DC575" s="405"/>
      <c r="DI575" s="83"/>
      <c r="DQ575" s="405"/>
      <c r="DW575" s="83"/>
      <c r="EE575" s="405"/>
      <c r="EK575" s="83"/>
      <c r="ES575" s="405"/>
      <c r="EY575" s="83"/>
      <c r="FG575" s="405"/>
      <c r="FM575" s="83"/>
      <c r="FU575" s="405"/>
      <c r="GA575" s="83"/>
      <c r="GI575" s="405"/>
      <c r="GO575" s="83"/>
      <c r="GW575" s="405"/>
      <c r="HC575" s="83"/>
      <c r="HK575" s="405"/>
      <c r="HQ575" s="83"/>
      <c r="HY575" s="405"/>
      <c r="IE575" s="83"/>
      <c r="IM575" s="405"/>
      <c r="IS575" s="83"/>
      <c r="JA575" s="405"/>
      <c r="JG575" s="83"/>
      <c r="JO575" s="405"/>
      <c r="JU575" s="83"/>
      <c r="KC575" s="405"/>
      <c r="KI575" s="83"/>
      <c r="KQ575" s="405"/>
      <c r="KW575" s="83"/>
      <c r="LE575" s="405"/>
      <c r="LK575" s="83"/>
      <c r="LS575" s="405"/>
      <c r="LY575" s="83"/>
      <c r="MG575" s="405"/>
      <c r="MM575" s="83"/>
      <c r="MU575" s="405"/>
      <c r="NA575" s="83"/>
    </row>
    <row r="576">
      <c r="A576" s="483"/>
      <c r="B576" s="380"/>
      <c r="C576" s="380"/>
      <c r="D576" s="380"/>
      <c r="E576" s="380"/>
      <c r="F576" s="380"/>
      <c r="G576" s="380"/>
      <c r="H576" s="380"/>
      <c r="I576" s="403"/>
      <c r="J576" s="380"/>
      <c r="K576" s="380"/>
      <c r="L576" s="380"/>
      <c r="M576" s="380"/>
      <c r="N576" s="380"/>
      <c r="O576" s="404"/>
      <c r="P576" s="380"/>
      <c r="Q576" s="380"/>
      <c r="R576" s="380"/>
      <c r="S576" s="380"/>
      <c r="T576" s="380"/>
      <c r="U576" s="380"/>
      <c r="V576" s="380"/>
      <c r="W576" s="403"/>
      <c r="X576" s="380"/>
      <c r="Y576" s="380"/>
      <c r="Z576" s="380"/>
      <c r="AA576" s="380"/>
      <c r="AB576" s="380"/>
      <c r="AC576" s="404"/>
      <c r="AD576" s="380"/>
      <c r="AE576" s="380"/>
      <c r="AF576" s="380"/>
      <c r="AG576" s="380"/>
      <c r="AH576" s="380"/>
      <c r="AI576" s="380"/>
      <c r="AJ576" s="380"/>
      <c r="AK576" s="403"/>
      <c r="AL576" s="380"/>
      <c r="AM576" s="380"/>
      <c r="AN576" s="380"/>
      <c r="AO576" s="380"/>
      <c r="AP576" s="380"/>
      <c r="AQ576" s="404"/>
      <c r="AR576" s="380"/>
      <c r="AS576" s="380"/>
      <c r="AT576" s="380"/>
      <c r="AU576" s="380"/>
      <c r="AV576" s="380"/>
      <c r="AW576" s="380"/>
      <c r="AX576" s="380"/>
      <c r="AY576" s="403"/>
      <c r="AZ576" s="380"/>
      <c r="BA576" s="380"/>
      <c r="BB576" s="380"/>
      <c r="BC576" s="380"/>
      <c r="BD576" s="380"/>
      <c r="BE576" s="404"/>
      <c r="BF576" s="380"/>
      <c r="BG576" s="380"/>
      <c r="BH576" s="380"/>
      <c r="BI576" s="380"/>
      <c r="BJ576" s="380"/>
      <c r="BK576" s="380"/>
      <c r="BL576" s="380"/>
      <c r="BM576" s="403"/>
      <c r="BS576" s="83"/>
      <c r="CA576" s="405"/>
      <c r="CG576" s="83"/>
      <c r="CO576" s="405"/>
      <c r="CU576" s="83"/>
      <c r="DC576" s="405"/>
      <c r="DI576" s="83"/>
      <c r="DQ576" s="405"/>
      <c r="DW576" s="83"/>
      <c r="EE576" s="405"/>
      <c r="EK576" s="83"/>
      <c r="ES576" s="405"/>
      <c r="EY576" s="83"/>
      <c r="FG576" s="405"/>
      <c r="FM576" s="83"/>
      <c r="FU576" s="405"/>
      <c r="GA576" s="83"/>
      <c r="GI576" s="405"/>
      <c r="GO576" s="83"/>
      <c r="GW576" s="405"/>
      <c r="HC576" s="83"/>
      <c r="HK576" s="405"/>
      <c r="HQ576" s="83"/>
      <c r="HY576" s="405"/>
      <c r="IE576" s="83"/>
      <c r="IM576" s="405"/>
      <c r="IS576" s="83"/>
      <c r="JA576" s="405"/>
      <c r="JG576" s="83"/>
      <c r="JO576" s="405"/>
      <c r="JU576" s="83"/>
      <c r="KC576" s="405"/>
      <c r="KI576" s="83"/>
      <c r="KQ576" s="405"/>
      <c r="KW576" s="83"/>
      <c r="LE576" s="405"/>
      <c r="LK576" s="83"/>
      <c r="LS576" s="405"/>
      <c r="LY576" s="83"/>
      <c r="MG576" s="405"/>
      <c r="MM576" s="83"/>
      <c r="MU576" s="405"/>
      <c r="NA576" s="83"/>
    </row>
    <row r="577">
      <c r="A577" s="483"/>
      <c r="B577" s="380"/>
      <c r="C577" s="380"/>
      <c r="D577" s="380"/>
      <c r="E577" s="380"/>
      <c r="F577" s="380"/>
      <c r="G577" s="380"/>
      <c r="H577" s="380"/>
      <c r="I577" s="403"/>
      <c r="J577" s="380"/>
      <c r="K577" s="380"/>
      <c r="L577" s="380"/>
      <c r="M577" s="380"/>
      <c r="N577" s="380"/>
      <c r="O577" s="404"/>
      <c r="P577" s="380"/>
      <c r="Q577" s="380"/>
      <c r="R577" s="380"/>
      <c r="S577" s="380"/>
      <c r="T577" s="380"/>
      <c r="U577" s="380"/>
      <c r="V577" s="380"/>
      <c r="W577" s="403"/>
      <c r="X577" s="380"/>
      <c r="Y577" s="380"/>
      <c r="Z577" s="380"/>
      <c r="AA577" s="380"/>
      <c r="AB577" s="380"/>
      <c r="AC577" s="404"/>
      <c r="AD577" s="380"/>
      <c r="AE577" s="380"/>
      <c r="AF577" s="380"/>
      <c r="AG577" s="380"/>
      <c r="AH577" s="380"/>
      <c r="AI577" s="380"/>
      <c r="AJ577" s="380"/>
      <c r="AK577" s="403"/>
      <c r="AL577" s="380"/>
      <c r="AM577" s="380"/>
      <c r="AN577" s="380"/>
      <c r="AO577" s="380"/>
      <c r="AP577" s="380"/>
      <c r="AQ577" s="404"/>
      <c r="AR577" s="380"/>
      <c r="AS577" s="380"/>
      <c r="AT577" s="380"/>
      <c r="AU577" s="380"/>
      <c r="AV577" s="380"/>
      <c r="AW577" s="380"/>
      <c r="AX577" s="380"/>
      <c r="AY577" s="403"/>
      <c r="AZ577" s="380"/>
      <c r="BA577" s="380"/>
      <c r="BB577" s="380"/>
      <c r="BC577" s="380"/>
      <c r="BD577" s="380"/>
      <c r="BE577" s="404"/>
      <c r="BF577" s="380"/>
      <c r="BG577" s="380"/>
      <c r="BH577" s="380"/>
      <c r="BI577" s="380"/>
      <c r="BJ577" s="380"/>
      <c r="BK577" s="380"/>
      <c r="BL577" s="380"/>
      <c r="BM577" s="403"/>
      <c r="BS577" s="83"/>
      <c r="CA577" s="405"/>
      <c r="CG577" s="83"/>
      <c r="CO577" s="405"/>
      <c r="CU577" s="83"/>
      <c r="DC577" s="405"/>
      <c r="DI577" s="83"/>
      <c r="DQ577" s="405"/>
      <c r="DW577" s="83"/>
      <c r="EE577" s="405"/>
      <c r="EK577" s="83"/>
      <c r="ES577" s="405"/>
      <c r="EY577" s="83"/>
      <c r="FG577" s="405"/>
      <c r="FM577" s="83"/>
      <c r="FU577" s="405"/>
      <c r="GA577" s="83"/>
      <c r="GI577" s="405"/>
      <c r="GO577" s="83"/>
      <c r="GW577" s="405"/>
      <c r="HC577" s="83"/>
      <c r="HK577" s="405"/>
      <c r="HQ577" s="83"/>
      <c r="HY577" s="405"/>
      <c r="IE577" s="83"/>
      <c r="IM577" s="405"/>
      <c r="IS577" s="83"/>
      <c r="JA577" s="405"/>
      <c r="JG577" s="83"/>
      <c r="JO577" s="405"/>
      <c r="JU577" s="83"/>
      <c r="KC577" s="405"/>
      <c r="KI577" s="83"/>
      <c r="KQ577" s="405"/>
      <c r="KW577" s="83"/>
      <c r="LE577" s="405"/>
      <c r="LK577" s="83"/>
      <c r="LS577" s="405"/>
      <c r="LY577" s="83"/>
      <c r="MG577" s="405"/>
      <c r="MM577" s="83"/>
      <c r="MU577" s="405"/>
      <c r="NA577" s="83"/>
    </row>
    <row r="578">
      <c r="A578" s="483"/>
      <c r="B578" s="380"/>
      <c r="C578" s="380"/>
      <c r="D578" s="380"/>
      <c r="E578" s="380"/>
      <c r="F578" s="380"/>
      <c r="G578" s="380"/>
      <c r="H578" s="380"/>
      <c r="I578" s="403"/>
      <c r="J578" s="380"/>
      <c r="K578" s="380"/>
      <c r="L578" s="380"/>
      <c r="M578" s="380"/>
      <c r="N578" s="380"/>
      <c r="O578" s="404"/>
      <c r="P578" s="380"/>
      <c r="Q578" s="380"/>
      <c r="R578" s="380"/>
      <c r="S578" s="380"/>
      <c r="T578" s="380"/>
      <c r="U578" s="380"/>
      <c r="V578" s="380"/>
      <c r="W578" s="403"/>
      <c r="X578" s="380"/>
      <c r="Y578" s="380"/>
      <c r="Z578" s="380"/>
      <c r="AA578" s="380"/>
      <c r="AB578" s="380"/>
      <c r="AC578" s="404"/>
      <c r="AD578" s="380"/>
      <c r="AE578" s="380"/>
      <c r="AF578" s="380"/>
      <c r="AG578" s="380"/>
      <c r="AH578" s="380"/>
      <c r="AI578" s="380"/>
      <c r="AJ578" s="380"/>
      <c r="AK578" s="403"/>
      <c r="AL578" s="380"/>
      <c r="AM578" s="380"/>
      <c r="AN578" s="380"/>
      <c r="AO578" s="380"/>
      <c r="AP578" s="380"/>
      <c r="AQ578" s="404"/>
      <c r="AR578" s="380"/>
      <c r="AS578" s="380"/>
      <c r="AT578" s="380"/>
      <c r="AU578" s="380"/>
      <c r="AV578" s="380"/>
      <c r="AW578" s="380"/>
      <c r="AX578" s="380"/>
      <c r="AY578" s="403"/>
      <c r="AZ578" s="380"/>
      <c r="BA578" s="380"/>
      <c r="BB578" s="380"/>
      <c r="BC578" s="380"/>
      <c r="BD578" s="380"/>
      <c r="BE578" s="404"/>
      <c r="BF578" s="380"/>
      <c r="BG578" s="380"/>
      <c r="BH578" s="380"/>
      <c r="BI578" s="380"/>
      <c r="BJ578" s="380"/>
      <c r="BK578" s="380"/>
      <c r="BL578" s="380"/>
      <c r="BM578" s="403"/>
      <c r="BS578" s="83"/>
      <c r="CA578" s="405"/>
      <c r="CG578" s="83"/>
      <c r="CO578" s="405"/>
      <c r="CU578" s="83"/>
      <c r="DC578" s="405"/>
      <c r="DI578" s="83"/>
      <c r="DQ578" s="405"/>
      <c r="DW578" s="83"/>
      <c r="EE578" s="405"/>
      <c r="EK578" s="83"/>
      <c r="ES578" s="405"/>
      <c r="EY578" s="83"/>
      <c r="FG578" s="405"/>
      <c r="FM578" s="83"/>
      <c r="FU578" s="405"/>
      <c r="GA578" s="83"/>
      <c r="GI578" s="405"/>
      <c r="GO578" s="83"/>
      <c r="GW578" s="405"/>
      <c r="HC578" s="83"/>
      <c r="HK578" s="405"/>
      <c r="HQ578" s="83"/>
      <c r="HY578" s="405"/>
      <c r="IE578" s="83"/>
      <c r="IM578" s="405"/>
      <c r="IS578" s="83"/>
      <c r="JA578" s="405"/>
      <c r="JG578" s="83"/>
      <c r="JO578" s="405"/>
      <c r="JU578" s="83"/>
      <c r="KC578" s="405"/>
      <c r="KI578" s="83"/>
      <c r="KQ578" s="405"/>
      <c r="KW578" s="83"/>
      <c r="LE578" s="405"/>
      <c r="LK578" s="83"/>
      <c r="LS578" s="405"/>
      <c r="LY578" s="83"/>
      <c r="MG578" s="405"/>
      <c r="MM578" s="83"/>
      <c r="MU578" s="405"/>
      <c r="NA578" s="83"/>
    </row>
    <row r="579">
      <c r="A579" s="483"/>
      <c r="B579" s="380"/>
      <c r="C579" s="380"/>
      <c r="D579" s="380"/>
      <c r="E579" s="380"/>
      <c r="F579" s="380"/>
      <c r="G579" s="380"/>
      <c r="H579" s="380"/>
      <c r="I579" s="403"/>
      <c r="J579" s="380"/>
      <c r="K579" s="380"/>
      <c r="L579" s="380"/>
      <c r="M579" s="380"/>
      <c r="N579" s="380"/>
      <c r="O579" s="404"/>
      <c r="P579" s="380"/>
      <c r="Q579" s="380"/>
      <c r="R579" s="380"/>
      <c r="S579" s="380"/>
      <c r="T579" s="380"/>
      <c r="U579" s="380"/>
      <c r="V579" s="380"/>
      <c r="W579" s="403"/>
      <c r="X579" s="380"/>
      <c r="Y579" s="380"/>
      <c r="Z579" s="380"/>
      <c r="AA579" s="380"/>
      <c r="AB579" s="380"/>
      <c r="AC579" s="404"/>
      <c r="AD579" s="380"/>
      <c r="AE579" s="380"/>
      <c r="AF579" s="380"/>
      <c r="AG579" s="380"/>
      <c r="AH579" s="380"/>
      <c r="AI579" s="380"/>
      <c r="AJ579" s="380"/>
      <c r="AK579" s="403"/>
      <c r="AL579" s="380"/>
      <c r="AM579" s="380"/>
      <c r="AN579" s="380"/>
      <c r="AO579" s="380"/>
      <c r="AP579" s="380"/>
      <c r="AQ579" s="404"/>
      <c r="AR579" s="380"/>
      <c r="AS579" s="380"/>
      <c r="AT579" s="380"/>
      <c r="AU579" s="380"/>
      <c r="AV579" s="380"/>
      <c r="AW579" s="380"/>
      <c r="AX579" s="380"/>
      <c r="AY579" s="403"/>
      <c r="AZ579" s="380"/>
      <c r="BA579" s="380"/>
      <c r="BB579" s="380"/>
      <c r="BC579" s="380"/>
      <c r="BD579" s="380"/>
      <c r="BE579" s="404"/>
      <c r="BF579" s="380"/>
      <c r="BG579" s="380"/>
      <c r="BH579" s="380"/>
      <c r="BI579" s="380"/>
      <c r="BJ579" s="380"/>
      <c r="BK579" s="380"/>
      <c r="BL579" s="380"/>
      <c r="BM579" s="403"/>
      <c r="BS579" s="83"/>
      <c r="CA579" s="405"/>
      <c r="CG579" s="83"/>
      <c r="CO579" s="405"/>
      <c r="CU579" s="83"/>
      <c r="DC579" s="405"/>
      <c r="DI579" s="83"/>
      <c r="DQ579" s="405"/>
      <c r="DW579" s="83"/>
      <c r="EE579" s="405"/>
      <c r="EK579" s="83"/>
      <c r="ES579" s="405"/>
      <c r="EY579" s="83"/>
      <c r="FG579" s="405"/>
      <c r="FM579" s="83"/>
      <c r="FU579" s="405"/>
      <c r="GA579" s="83"/>
      <c r="GI579" s="405"/>
      <c r="GO579" s="83"/>
      <c r="GW579" s="405"/>
      <c r="HC579" s="83"/>
      <c r="HK579" s="405"/>
      <c r="HQ579" s="83"/>
      <c r="HY579" s="405"/>
      <c r="IE579" s="83"/>
      <c r="IM579" s="405"/>
      <c r="IS579" s="83"/>
      <c r="JA579" s="405"/>
      <c r="JG579" s="83"/>
      <c r="JO579" s="405"/>
      <c r="JU579" s="83"/>
      <c r="KC579" s="405"/>
      <c r="KI579" s="83"/>
      <c r="KQ579" s="405"/>
      <c r="KW579" s="83"/>
      <c r="LE579" s="405"/>
      <c r="LK579" s="83"/>
      <c r="LS579" s="405"/>
      <c r="LY579" s="83"/>
      <c r="MG579" s="405"/>
      <c r="MM579" s="83"/>
      <c r="MU579" s="405"/>
      <c r="NA579" s="83"/>
    </row>
    <row r="580">
      <c r="A580" s="483"/>
      <c r="B580" s="380"/>
      <c r="C580" s="380"/>
      <c r="D580" s="380"/>
      <c r="E580" s="380"/>
      <c r="F580" s="380"/>
      <c r="G580" s="380"/>
      <c r="H580" s="380"/>
      <c r="I580" s="403"/>
      <c r="J580" s="380"/>
      <c r="K580" s="380"/>
      <c r="L580" s="380"/>
      <c r="M580" s="380"/>
      <c r="N580" s="380"/>
      <c r="O580" s="404"/>
      <c r="P580" s="380"/>
      <c r="Q580" s="380"/>
      <c r="R580" s="380"/>
      <c r="S580" s="380"/>
      <c r="T580" s="380"/>
      <c r="U580" s="380"/>
      <c r="V580" s="380"/>
      <c r="W580" s="403"/>
      <c r="X580" s="380"/>
      <c r="Y580" s="380"/>
      <c r="Z580" s="380"/>
      <c r="AA580" s="380"/>
      <c r="AB580" s="380"/>
      <c r="AC580" s="404"/>
      <c r="AD580" s="380"/>
      <c r="AE580" s="380"/>
      <c r="AF580" s="380"/>
      <c r="AG580" s="380"/>
      <c r="AH580" s="380"/>
      <c r="AI580" s="380"/>
      <c r="AJ580" s="380"/>
      <c r="AK580" s="403"/>
      <c r="AL580" s="380"/>
      <c r="AM580" s="380"/>
      <c r="AN580" s="380"/>
      <c r="AO580" s="380"/>
      <c r="AP580" s="380"/>
      <c r="AQ580" s="404"/>
      <c r="AR580" s="380"/>
      <c r="AS580" s="380"/>
      <c r="AT580" s="380"/>
      <c r="AU580" s="380"/>
      <c r="AV580" s="380"/>
      <c r="AW580" s="380"/>
      <c r="AX580" s="380"/>
      <c r="AY580" s="403"/>
      <c r="AZ580" s="380"/>
      <c r="BA580" s="380"/>
      <c r="BB580" s="380"/>
      <c r="BC580" s="380"/>
      <c r="BD580" s="380"/>
      <c r="BE580" s="404"/>
      <c r="BF580" s="380"/>
      <c r="BG580" s="380"/>
      <c r="BH580" s="380"/>
      <c r="BI580" s="380"/>
      <c r="BJ580" s="380"/>
      <c r="BK580" s="380"/>
      <c r="BL580" s="380"/>
      <c r="BM580" s="403"/>
      <c r="BS580" s="83"/>
      <c r="CA580" s="405"/>
      <c r="CG580" s="83"/>
      <c r="CO580" s="405"/>
      <c r="CU580" s="83"/>
      <c r="DC580" s="405"/>
      <c r="DI580" s="83"/>
      <c r="DQ580" s="405"/>
      <c r="DW580" s="83"/>
      <c r="EE580" s="405"/>
      <c r="EK580" s="83"/>
      <c r="ES580" s="405"/>
      <c r="EY580" s="83"/>
      <c r="FG580" s="405"/>
      <c r="FM580" s="83"/>
      <c r="FU580" s="405"/>
      <c r="GA580" s="83"/>
      <c r="GI580" s="405"/>
      <c r="GO580" s="83"/>
      <c r="GW580" s="405"/>
      <c r="HC580" s="83"/>
      <c r="HK580" s="405"/>
      <c r="HQ580" s="83"/>
      <c r="HY580" s="405"/>
      <c r="IE580" s="83"/>
      <c r="IM580" s="405"/>
      <c r="IS580" s="83"/>
      <c r="JA580" s="405"/>
      <c r="JG580" s="83"/>
      <c r="JO580" s="405"/>
      <c r="JU580" s="83"/>
      <c r="KC580" s="405"/>
      <c r="KI580" s="83"/>
      <c r="KQ580" s="405"/>
      <c r="KW580" s="83"/>
      <c r="LE580" s="405"/>
      <c r="LK580" s="83"/>
      <c r="LS580" s="405"/>
      <c r="LY580" s="83"/>
      <c r="MG580" s="405"/>
      <c r="MM580" s="83"/>
      <c r="MU580" s="405"/>
      <c r="NA580" s="83"/>
    </row>
    <row r="581">
      <c r="A581" s="483"/>
      <c r="B581" s="380"/>
      <c r="C581" s="380"/>
      <c r="D581" s="380"/>
      <c r="E581" s="380"/>
      <c r="F581" s="380"/>
      <c r="G581" s="380"/>
      <c r="H581" s="380"/>
      <c r="I581" s="403"/>
      <c r="J581" s="380"/>
      <c r="K581" s="380"/>
      <c r="L581" s="380"/>
      <c r="M581" s="380"/>
      <c r="N581" s="380"/>
      <c r="O581" s="404"/>
      <c r="P581" s="380"/>
      <c r="Q581" s="380"/>
      <c r="R581" s="380"/>
      <c r="S581" s="380"/>
      <c r="T581" s="380"/>
      <c r="U581" s="380"/>
      <c r="V581" s="380"/>
      <c r="W581" s="403"/>
      <c r="X581" s="380"/>
      <c r="Y581" s="380"/>
      <c r="Z581" s="380"/>
      <c r="AA581" s="380"/>
      <c r="AB581" s="380"/>
      <c r="AC581" s="404"/>
      <c r="AD581" s="380"/>
      <c r="AE581" s="380"/>
      <c r="AF581" s="380"/>
      <c r="AG581" s="380"/>
      <c r="AH581" s="380"/>
      <c r="AI581" s="380"/>
      <c r="AJ581" s="380"/>
      <c r="AK581" s="403"/>
      <c r="AL581" s="380"/>
      <c r="AM581" s="380"/>
      <c r="AN581" s="380"/>
      <c r="AO581" s="380"/>
      <c r="AP581" s="380"/>
      <c r="AQ581" s="404"/>
      <c r="AR581" s="380"/>
      <c r="AS581" s="380"/>
      <c r="AT581" s="380"/>
      <c r="AU581" s="380"/>
      <c r="AV581" s="380"/>
      <c r="AW581" s="380"/>
      <c r="AX581" s="380"/>
      <c r="AY581" s="403"/>
      <c r="AZ581" s="380"/>
      <c r="BA581" s="380"/>
      <c r="BB581" s="380"/>
      <c r="BC581" s="380"/>
      <c r="BD581" s="380"/>
      <c r="BE581" s="404"/>
      <c r="BF581" s="380"/>
      <c r="BG581" s="380"/>
      <c r="BH581" s="380"/>
      <c r="BI581" s="380"/>
      <c r="BJ581" s="380"/>
      <c r="BK581" s="380"/>
      <c r="BL581" s="380"/>
      <c r="BM581" s="403"/>
      <c r="BS581" s="83"/>
      <c r="CA581" s="405"/>
      <c r="CG581" s="83"/>
      <c r="CO581" s="405"/>
      <c r="CU581" s="83"/>
      <c r="DC581" s="405"/>
      <c r="DI581" s="83"/>
      <c r="DQ581" s="405"/>
      <c r="DW581" s="83"/>
      <c r="EE581" s="405"/>
      <c r="EK581" s="83"/>
      <c r="ES581" s="405"/>
      <c r="EY581" s="83"/>
      <c r="FG581" s="405"/>
      <c r="FM581" s="83"/>
      <c r="FU581" s="405"/>
      <c r="GA581" s="83"/>
      <c r="GI581" s="405"/>
      <c r="GO581" s="83"/>
      <c r="GW581" s="405"/>
      <c r="HC581" s="83"/>
      <c r="HK581" s="405"/>
      <c r="HQ581" s="83"/>
      <c r="HY581" s="405"/>
      <c r="IE581" s="83"/>
      <c r="IM581" s="405"/>
      <c r="IS581" s="83"/>
      <c r="JA581" s="405"/>
      <c r="JG581" s="83"/>
      <c r="JO581" s="405"/>
      <c r="JU581" s="83"/>
      <c r="KC581" s="405"/>
      <c r="KI581" s="83"/>
      <c r="KQ581" s="405"/>
      <c r="KW581" s="83"/>
      <c r="LE581" s="405"/>
      <c r="LK581" s="83"/>
      <c r="LS581" s="405"/>
      <c r="LY581" s="83"/>
      <c r="MG581" s="405"/>
      <c r="MM581" s="83"/>
      <c r="MU581" s="405"/>
      <c r="NA581" s="83"/>
    </row>
    <row r="582">
      <c r="A582" s="483"/>
      <c r="B582" s="380"/>
      <c r="C582" s="380"/>
      <c r="D582" s="380"/>
      <c r="E582" s="380"/>
      <c r="F582" s="380"/>
      <c r="G582" s="380"/>
      <c r="H582" s="380"/>
      <c r="I582" s="403"/>
      <c r="J582" s="380"/>
      <c r="K582" s="380"/>
      <c r="L582" s="380"/>
      <c r="M582" s="380"/>
      <c r="N582" s="380"/>
      <c r="O582" s="404"/>
      <c r="P582" s="380"/>
      <c r="Q582" s="380"/>
      <c r="R582" s="380"/>
      <c r="S582" s="380"/>
      <c r="T582" s="380"/>
      <c r="U582" s="380"/>
      <c r="V582" s="380"/>
      <c r="W582" s="403"/>
      <c r="X582" s="380"/>
      <c r="Y582" s="380"/>
      <c r="Z582" s="380"/>
      <c r="AA582" s="380"/>
      <c r="AB582" s="380"/>
      <c r="AC582" s="404"/>
      <c r="AD582" s="380"/>
      <c r="AE582" s="380"/>
      <c r="AF582" s="380"/>
      <c r="AG582" s="380"/>
      <c r="AH582" s="380"/>
      <c r="AI582" s="380"/>
      <c r="AJ582" s="380"/>
      <c r="AK582" s="403"/>
      <c r="AL582" s="380"/>
      <c r="AM582" s="380"/>
      <c r="AN582" s="380"/>
      <c r="AO582" s="380"/>
      <c r="AP582" s="380"/>
      <c r="AQ582" s="404"/>
      <c r="AR582" s="380"/>
      <c r="AS582" s="380"/>
      <c r="AT582" s="380"/>
      <c r="AU582" s="380"/>
      <c r="AV582" s="380"/>
      <c r="AW582" s="380"/>
      <c r="AX582" s="380"/>
      <c r="AY582" s="403"/>
      <c r="AZ582" s="380"/>
      <c r="BA582" s="380"/>
      <c r="BB582" s="380"/>
      <c r="BC582" s="380"/>
      <c r="BD582" s="380"/>
      <c r="BE582" s="404"/>
      <c r="BF582" s="380"/>
      <c r="BG582" s="380"/>
      <c r="BH582" s="380"/>
      <c r="BI582" s="380"/>
      <c r="BJ582" s="380"/>
      <c r="BK582" s="380"/>
      <c r="BL582" s="380"/>
      <c r="BM582" s="403"/>
      <c r="BS582" s="83"/>
      <c r="CA582" s="405"/>
      <c r="CG582" s="83"/>
      <c r="CO582" s="405"/>
      <c r="CU582" s="83"/>
      <c r="DC582" s="405"/>
      <c r="DI582" s="83"/>
      <c r="DQ582" s="405"/>
      <c r="DW582" s="83"/>
      <c r="EE582" s="405"/>
      <c r="EK582" s="83"/>
      <c r="ES582" s="405"/>
      <c r="EY582" s="83"/>
      <c r="FG582" s="405"/>
      <c r="FM582" s="83"/>
      <c r="FU582" s="405"/>
      <c r="GA582" s="83"/>
      <c r="GI582" s="405"/>
      <c r="GO582" s="83"/>
      <c r="GW582" s="405"/>
      <c r="HC582" s="83"/>
      <c r="HK582" s="405"/>
      <c r="HQ582" s="83"/>
      <c r="HY582" s="405"/>
      <c r="IE582" s="83"/>
      <c r="IM582" s="405"/>
      <c r="IS582" s="83"/>
      <c r="JA582" s="405"/>
      <c r="JG582" s="83"/>
      <c r="JO582" s="405"/>
      <c r="JU582" s="83"/>
      <c r="KC582" s="405"/>
      <c r="KI582" s="83"/>
      <c r="KQ582" s="405"/>
      <c r="KW582" s="83"/>
      <c r="LE582" s="405"/>
      <c r="LK582" s="83"/>
      <c r="LS582" s="405"/>
      <c r="LY582" s="83"/>
      <c r="MG582" s="405"/>
      <c r="MM582" s="83"/>
      <c r="MU582" s="405"/>
      <c r="NA582" s="83"/>
    </row>
    <row r="583">
      <c r="A583" s="483"/>
      <c r="B583" s="380"/>
      <c r="C583" s="380"/>
      <c r="D583" s="380"/>
      <c r="E583" s="380"/>
      <c r="F583" s="380"/>
      <c r="G583" s="380"/>
      <c r="H583" s="380"/>
      <c r="I583" s="403"/>
      <c r="J583" s="380"/>
      <c r="K583" s="380"/>
      <c r="L583" s="380"/>
      <c r="M583" s="380"/>
      <c r="N583" s="380"/>
      <c r="O583" s="404"/>
      <c r="P583" s="380"/>
      <c r="Q583" s="380"/>
      <c r="R583" s="380"/>
      <c r="S583" s="380"/>
      <c r="T583" s="380"/>
      <c r="U583" s="380"/>
      <c r="V583" s="380"/>
      <c r="W583" s="403"/>
      <c r="X583" s="380"/>
      <c r="Y583" s="380"/>
      <c r="Z583" s="380"/>
      <c r="AA583" s="380"/>
      <c r="AB583" s="380"/>
      <c r="AC583" s="404"/>
      <c r="AD583" s="380"/>
      <c r="AE583" s="380"/>
      <c r="AF583" s="380"/>
      <c r="AG583" s="380"/>
      <c r="AH583" s="380"/>
      <c r="AI583" s="380"/>
      <c r="AJ583" s="380"/>
      <c r="AK583" s="403"/>
      <c r="AL583" s="380"/>
      <c r="AM583" s="380"/>
      <c r="AN583" s="380"/>
      <c r="AO583" s="380"/>
      <c r="AP583" s="380"/>
      <c r="AQ583" s="404"/>
      <c r="AR583" s="380"/>
      <c r="AS583" s="380"/>
      <c r="AT583" s="380"/>
      <c r="AU583" s="380"/>
      <c r="AV583" s="380"/>
      <c r="AW583" s="380"/>
      <c r="AX583" s="380"/>
      <c r="AY583" s="403"/>
      <c r="AZ583" s="380"/>
      <c r="BA583" s="380"/>
      <c r="BB583" s="380"/>
      <c r="BC583" s="380"/>
      <c r="BD583" s="380"/>
      <c r="BE583" s="404"/>
      <c r="BF583" s="380"/>
      <c r="BG583" s="380"/>
      <c r="BH583" s="380"/>
      <c r="BI583" s="380"/>
      <c r="BJ583" s="380"/>
      <c r="BK583" s="380"/>
      <c r="BL583" s="380"/>
      <c r="BM583" s="403"/>
      <c r="BS583" s="83"/>
      <c r="CA583" s="405"/>
      <c r="CG583" s="83"/>
      <c r="CO583" s="405"/>
      <c r="CU583" s="83"/>
      <c r="DC583" s="405"/>
      <c r="DI583" s="83"/>
      <c r="DQ583" s="405"/>
      <c r="DW583" s="83"/>
      <c r="EE583" s="405"/>
      <c r="EK583" s="83"/>
      <c r="ES583" s="405"/>
      <c r="EY583" s="83"/>
      <c r="FG583" s="405"/>
      <c r="FM583" s="83"/>
      <c r="FU583" s="405"/>
      <c r="GA583" s="83"/>
      <c r="GI583" s="405"/>
      <c r="GO583" s="83"/>
      <c r="GW583" s="405"/>
      <c r="HC583" s="83"/>
      <c r="HK583" s="405"/>
      <c r="HQ583" s="83"/>
      <c r="HY583" s="405"/>
      <c r="IE583" s="83"/>
      <c r="IM583" s="405"/>
      <c r="IS583" s="83"/>
      <c r="JA583" s="405"/>
      <c r="JG583" s="83"/>
      <c r="JO583" s="405"/>
      <c r="JU583" s="83"/>
      <c r="KC583" s="405"/>
      <c r="KI583" s="83"/>
      <c r="KQ583" s="405"/>
      <c r="KW583" s="83"/>
      <c r="LE583" s="405"/>
      <c r="LK583" s="83"/>
      <c r="LS583" s="405"/>
      <c r="LY583" s="83"/>
      <c r="MG583" s="405"/>
      <c r="MM583" s="83"/>
      <c r="MU583" s="405"/>
      <c r="NA583" s="83"/>
    </row>
    <row r="584">
      <c r="A584" s="483"/>
      <c r="B584" s="380"/>
      <c r="C584" s="380"/>
      <c r="D584" s="380"/>
      <c r="E584" s="380"/>
      <c r="F584" s="380"/>
      <c r="G584" s="380"/>
      <c r="H584" s="380"/>
      <c r="I584" s="403"/>
      <c r="J584" s="380"/>
      <c r="K584" s="380"/>
      <c r="L584" s="380"/>
      <c r="M584" s="380"/>
      <c r="N584" s="380"/>
      <c r="O584" s="404"/>
      <c r="P584" s="380"/>
      <c r="Q584" s="380"/>
      <c r="R584" s="380"/>
      <c r="S584" s="380"/>
      <c r="T584" s="380"/>
      <c r="U584" s="380"/>
      <c r="V584" s="380"/>
      <c r="W584" s="403"/>
      <c r="X584" s="380"/>
      <c r="Y584" s="380"/>
      <c r="Z584" s="380"/>
      <c r="AA584" s="380"/>
      <c r="AB584" s="380"/>
      <c r="AC584" s="404"/>
      <c r="AD584" s="380"/>
      <c r="AE584" s="380"/>
      <c r="AF584" s="380"/>
      <c r="AG584" s="380"/>
      <c r="AH584" s="380"/>
      <c r="AI584" s="380"/>
      <c r="AJ584" s="380"/>
      <c r="AK584" s="403"/>
      <c r="AL584" s="380"/>
      <c r="AM584" s="380"/>
      <c r="AN584" s="380"/>
      <c r="AO584" s="380"/>
      <c r="AP584" s="380"/>
      <c r="AQ584" s="404"/>
      <c r="AR584" s="380"/>
      <c r="AS584" s="380"/>
      <c r="AT584" s="380"/>
      <c r="AU584" s="380"/>
      <c r="AV584" s="380"/>
      <c r="AW584" s="380"/>
      <c r="AX584" s="380"/>
      <c r="AY584" s="403"/>
      <c r="AZ584" s="380"/>
      <c r="BA584" s="380"/>
      <c r="BB584" s="380"/>
      <c r="BC584" s="380"/>
      <c r="BD584" s="380"/>
      <c r="BE584" s="404"/>
      <c r="BF584" s="380"/>
      <c r="BG584" s="380"/>
      <c r="BH584" s="380"/>
      <c r="BI584" s="380"/>
      <c r="BJ584" s="380"/>
      <c r="BK584" s="380"/>
      <c r="BL584" s="380"/>
      <c r="BM584" s="403"/>
      <c r="BS584" s="83"/>
      <c r="CA584" s="405"/>
      <c r="CG584" s="83"/>
      <c r="CO584" s="405"/>
      <c r="CU584" s="83"/>
      <c r="DC584" s="405"/>
      <c r="DI584" s="83"/>
      <c r="DQ584" s="405"/>
      <c r="DW584" s="83"/>
      <c r="EE584" s="405"/>
      <c r="EK584" s="83"/>
      <c r="ES584" s="405"/>
      <c r="EY584" s="83"/>
      <c r="FG584" s="405"/>
      <c r="FM584" s="83"/>
      <c r="FU584" s="405"/>
      <c r="GA584" s="83"/>
      <c r="GI584" s="405"/>
      <c r="GO584" s="83"/>
      <c r="GW584" s="405"/>
      <c r="HC584" s="83"/>
      <c r="HK584" s="405"/>
      <c r="HQ584" s="83"/>
      <c r="HY584" s="405"/>
      <c r="IE584" s="83"/>
      <c r="IM584" s="405"/>
      <c r="IS584" s="83"/>
      <c r="JA584" s="405"/>
      <c r="JG584" s="83"/>
      <c r="JO584" s="405"/>
      <c r="JU584" s="83"/>
      <c r="KC584" s="405"/>
      <c r="KI584" s="83"/>
      <c r="KQ584" s="405"/>
      <c r="KW584" s="83"/>
      <c r="LE584" s="405"/>
      <c r="LK584" s="83"/>
      <c r="LS584" s="405"/>
      <c r="LY584" s="83"/>
      <c r="MG584" s="405"/>
      <c r="MM584" s="83"/>
      <c r="MU584" s="405"/>
      <c r="NA584" s="83"/>
    </row>
    <row r="585">
      <c r="A585" s="483"/>
      <c r="B585" s="380"/>
      <c r="C585" s="380"/>
      <c r="D585" s="380"/>
      <c r="E585" s="380"/>
      <c r="F585" s="380"/>
      <c r="G585" s="380"/>
      <c r="H585" s="380"/>
      <c r="I585" s="403"/>
      <c r="J585" s="380"/>
      <c r="K585" s="380"/>
      <c r="L585" s="380"/>
      <c r="M585" s="380"/>
      <c r="N585" s="380"/>
      <c r="O585" s="404"/>
      <c r="P585" s="380"/>
      <c r="Q585" s="380"/>
      <c r="R585" s="380"/>
      <c r="S585" s="380"/>
      <c r="T585" s="380"/>
      <c r="U585" s="380"/>
      <c r="V585" s="380"/>
      <c r="W585" s="403"/>
      <c r="X585" s="380"/>
      <c r="Y585" s="380"/>
      <c r="Z585" s="380"/>
      <c r="AA585" s="380"/>
      <c r="AB585" s="380"/>
      <c r="AC585" s="404"/>
      <c r="AD585" s="380"/>
      <c r="AE585" s="380"/>
      <c r="AF585" s="380"/>
      <c r="AG585" s="380"/>
      <c r="AH585" s="380"/>
      <c r="AI585" s="380"/>
      <c r="AJ585" s="380"/>
      <c r="AK585" s="403"/>
      <c r="AL585" s="380"/>
      <c r="AM585" s="380"/>
      <c r="AN585" s="380"/>
      <c r="AO585" s="380"/>
      <c r="AP585" s="380"/>
      <c r="AQ585" s="404"/>
      <c r="AR585" s="380"/>
      <c r="AS585" s="380"/>
      <c r="AT585" s="380"/>
      <c r="AU585" s="380"/>
      <c r="AV585" s="380"/>
      <c r="AW585" s="380"/>
      <c r="AX585" s="380"/>
      <c r="AY585" s="403"/>
      <c r="AZ585" s="380"/>
      <c r="BA585" s="380"/>
      <c r="BB585" s="380"/>
      <c r="BC585" s="380"/>
      <c r="BD585" s="380"/>
      <c r="BE585" s="404"/>
      <c r="BF585" s="380"/>
      <c r="BG585" s="380"/>
      <c r="BH585" s="380"/>
      <c r="BI585" s="380"/>
      <c r="BJ585" s="380"/>
      <c r="BK585" s="380"/>
      <c r="BL585" s="380"/>
      <c r="BM585" s="403"/>
      <c r="BS585" s="83"/>
      <c r="CA585" s="405"/>
      <c r="CG585" s="83"/>
      <c r="CO585" s="405"/>
      <c r="CU585" s="83"/>
      <c r="DC585" s="405"/>
      <c r="DI585" s="83"/>
      <c r="DQ585" s="405"/>
      <c r="DW585" s="83"/>
      <c r="EE585" s="405"/>
      <c r="EK585" s="83"/>
      <c r="ES585" s="405"/>
      <c r="EY585" s="83"/>
      <c r="FG585" s="405"/>
      <c r="FM585" s="83"/>
      <c r="FU585" s="405"/>
      <c r="GA585" s="83"/>
      <c r="GI585" s="405"/>
      <c r="GO585" s="83"/>
      <c r="GW585" s="405"/>
      <c r="HC585" s="83"/>
      <c r="HK585" s="405"/>
      <c r="HQ585" s="83"/>
      <c r="HY585" s="405"/>
      <c r="IE585" s="83"/>
      <c r="IM585" s="405"/>
      <c r="IS585" s="83"/>
      <c r="JA585" s="405"/>
      <c r="JG585" s="83"/>
      <c r="JO585" s="405"/>
      <c r="JU585" s="83"/>
      <c r="KC585" s="405"/>
      <c r="KI585" s="83"/>
      <c r="KQ585" s="405"/>
      <c r="KW585" s="83"/>
      <c r="LE585" s="405"/>
      <c r="LK585" s="83"/>
      <c r="LS585" s="405"/>
      <c r="LY585" s="83"/>
      <c r="MG585" s="405"/>
      <c r="MM585" s="83"/>
      <c r="MU585" s="405"/>
      <c r="NA585" s="83"/>
    </row>
    <row r="586">
      <c r="A586" s="483"/>
      <c r="B586" s="380"/>
      <c r="C586" s="380"/>
      <c r="D586" s="380"/>
      <c r="E586" s="380"/>
      <c r="F586" s="380"/>
      <c r="G586" s="380"/>
      <c r="H586" s="380"/>
      <c r="I586" s="403"/>
      <c r="J586" s="380"/>
      <c r="K586" s="380"/>
      <c r="L586" s="380"/>
      <c r="M586" s="380"/>
      <c r="N586" s="380"/>
      <c r="O586" s="404"/>
      <c r="P586" s="380"/>
      <c r="Q586" s="380"/>
      <c r="R586" s="380"/>
      <c r="S586" s="380"/>
      <c r="T586" s="380"/>
      <c r="U586" s="380"/>
      <c r="V586" s="380"/>
      <c r="W586" s="403"/>
      <c r="X586" s="380"/>
      <c r="Y586" s="380"/>
      <c r="Z586" s="380"/>
      <c r="AA586" s="380"/>
      <c r="AB586" s="380"/>
      <c r="AC586" s="404"/>
      <c r="AD586" s="380"/>
      <c r="AE586" s="380"/>
      <c r="AF586" s="380"/>
      <c r="AG586" s="380"/>
      <c r="AH586" s="380"/>
      <c r="AI586" s="380"/>
      <c r="AJ586" s="380"/>
      <c r="AK586" s="403"/>
      <c r="AL586" s="380"/>
      <c r="AM586" s="380"/>
      <c r="AN586" s="380"/>
      <c r="AO586" s="380"/>
      <c r="AP586" s="380"/>
      <c r="AQ586" s="404"/>
      <c r="AR586" s="380"/>
      <c r="AS586" s="380"/>
      <c r="AT586" s="380"/>
      <c r="AU586" s="380"/>
      <c r="AV586" s="380"/>
      <c r="AW586" s="380"/>
      <c r="AX586" s="380"/>
      <c r="AY586" s="403"/>
      <c r="AZ586" s="380"/>
      <c r="BA586" s="380"/>
      <c r="BB586" s="380"/>
      <c r="BC586" s="380"/>
      <c r="BD586" s="380"/>
      <c r="BE586" s="404"/>
      <c r="BF586" s="380"/>
      <c r="BG586" s="380"/>
      <c r="BH586" s="380"/>
      <c r="BI586" s="380"/>
      <c r="BJ586" s="380"/>
      <c r="BK586" s="380"/>
      <c r="BL586" s="380"/>
      <c r="BM586" s="403"/>
      <c r="BS586" s="83"/>
      <c r="CA586" s="405"/>
      <c r="CG586" s="83"/>
      <c r="CO586" s="405"/>
      <c r="CU586" s="83"/>
      <c r="DC586" s="405"/>
      <c r="DI586" s="83"/>
      <c r="DQ586" s="405"/>
      <c r="DW586" s="83"/>
      <c r="EE586" s="405"/>
      <c r="EK586" s="83"/>
      <c r="ES586" s="405"/>
      <c r="EY586" s="83"/>
      <c r="FG586" s="405"/>
      <c r="FM586" s="83"/>
      <c r="FU586" s="405"/>
      <c r="GA586" s="83"/>
      <c r="GI586" s="405"/>
      <c r="GO586" s="83"/>
      <c r="GW586" s="405"/>
      <c r="HC586" s="83"/>
      <c r="HK586" s="405"/>
      <c r="HQ586" s="83"/>
      <c r="HY586" s="405"/>
      <c r="IE586" s="83"/>
      <c r="IM586" s="405"/>
      <c r="IS586" s="83"/>
      <c r="JA586" s="405"/>
      <c r="JG586" s="83"/>
      <c r="JO586" s="405"/>
      <c r="JU586" s="83"/>
      <c r="KC586" s="405"/>
      <c r="KI586" s="83"/>
      <c r="KQ586" s="405"/>
      <c r="KW586" s="83"/>
      <c r="LE586" s="405"/>
      <c r="LK586" s="83"/>
      <c r="LS586" s="405"/>
      <c r="LY586" s="83"/>
      <c r="MG586" s="405"/>
      <c r="MM586" s="83"/>
      <c r="MU586" s="405"/>
      <c r="NA586" s="83"/>
    </row>
    <row r="587">
      <c r="A587" s="483"/>
      <c r="B587" s="380"/>
      <c r="C587" s="380"/>
      <c r="D587" s="380"/>
      <c r="E587" s="380"/>
      <c r="F587" s="380"/>
      <c r="G587" s="380"/>
      <c r="H587" s="380"/>
      <c r="I587" s="403"/>
      <c r="J587" s="380"/>
      <c r="K587" s="380"/>
      <c r="L587" s="380"/>
      <c r="M587" s="380"/>
      <c r="N587" s="380"/>
      <c r="O587" s="404"/>
      <c r="P587" s="380"/>
      <c r="Q587" s="380"/>
      <c r="R587" s="380"/>
      <c r="S587" s="380"/>
      <c r="T587" s="380"/>
      <c r="U587" s="380"/>
      <c r="V587" s="380"/>
      <c r="W587" s="403"/>
      <c r="X587" s="380"/>
      <c r="Y587" s="380"/>
      <c r="Z587" s="380"/>
      <c r="AA587" s="380"/>
      <c r="AB587" s="380"/>
      <c r="AC587" s="404"/>
      <c r="AD587" s="380"/>
      <c r="AE587" s="380"/>
      <c r="AF587" s="380"/>
      <c r="AG587" s="380"/>
      <c r="AH587" s="380"/>
      <c r="AI587" s="380"/>
      <c r="AJ587" s="380"/>
      <c r="AK587" s="403"/>
      <c r="AL587" s="380"/>
      <c r="AM587" s="380"/>
      <c r="AN587" s="380"/>
      <c r="AO587" s="380"/>
      <c r="AP587" s="380"/>
      <c r="AQ587" s="404"/>
      <c r="AR587" s="380"/>
      <c r="AS587" s="380"/>
      <c r="AT587" s="380"/>
      <c r="AU587" s="380"/>
      <c r="AV587" s="380"/>
      <c r="AW587" s="380"/>
      <c r="AX587" s="380"/>
      <c r="AY587" s="403"/>
      <c r="AZ587" s="380"/>
      <c r="BA587" s="380"/>
      <c r="BB587" s="380"/>
      <c r="BC587" s="380"/>
      <c r="BD587" s="380"/>
      <c r="BE587" s="404"/>
      <c r="BF587" s="380"/>
      <c r="BG587" s="380"/>
      <c r="BH587" s="380"/>
      <c r="BI587" s="380"/>
      <c r="BJ587" s="380"/>
      <c r="BK587" s="380"/>
      <c r="BL587" s="380"/>
      <c r="BM587" s="403"/>
      <c r="BS587" s="83"/>
      <c r="CA587" s="405"/>
      <c r="CG587" s="83"/>
      <c r="CO587" s="405"/>
      <c r="CU587" s="83"/>
      <c r="DC587" s="405"/>
      <c r="DI587" s="83"/>
      <c r="DQ587" s="405"/>
      <c r="DW587" s="83"/>
      <c r="EE587" s="405"/>
      <c r="EK587" s="83"/>
      <c r="ES587" s="405"/>
      <c r="EY587" s="83"/>
      <c r="FG587" s="405"/>
      <c r="FM587" s="83"/>
      <c r="FU587" s="405"/>
      <c r="GA587" s="83"/>
      <c r="GI587" s="405"/>
      <c r="GO587" s="83"/>
      <c r="GW587" s="405"/>
      <c r="HC587" s="83"/>
      <c r="HK587" s="405"/>
      <c r="HQ587" s="83"/>
      <c r="HY587" s="405"/>
      <c r="IE587" s="83"/>
      <c r="IM587" s="405"/>
      <c r="IS587" s="83"/>
      <c r="JA587" s="405"/>
      <c r="JG587" s="83"/>
      <c r="JO587" s="405"/>
      <c r="JU587" s="83"/>
      <c r="KC587" s="405"/>
      <c r="KI587" s="83"/>
      <c r="KQ587" s="405"/>
      <c r="KW587" s="83"/>
      <c r="LE587" s="405"/>
      <c r="LK587" s="83"/>
      <c r="LS587" s="405"/>
      <c r="LY587" s="83"/>
      <c r="MG587" s="405"/>
      <c r="MM587" s="83"/>
      <c r="MU587" s="405"/>
      <c r="NA587" s="83"/>
    </row>
    <row r="588">
      <c r="A588" s="483"/>
      <c r="B588" s="380"/>
      <c r="C588" s="380"/>
      <c r="D588" s="380"/>
      <c r="E588" s="380"/>
      <c r="F588" s="380"/>
      <c r="G588" s="380"/>
      <c r="H588" s="380"/>
      <c r="I588" s="403"/>
      <c r="J588" s="380"/>
      <c r="K588" s="380"/>
      <c r="L588" s="380"/>
      <c r="M588" s="380"/>
      <c r="N588" s="380"/>
      <c r="O588" s="404"/>
      <c r="P588" s="380"/>
      <c r="Q588" s="380"/>
      <c r="R588" s="380"/>
      <c r="S588" s="380"/>
      <c r="T588" s="380"/>
      <c r="U588" s="380"/>
      <c r="V588" s="380"/>
      <c r="W588" s="403"/>
      <c r="X588" s="380"/>
      <c r="Y588" s="380"/>
      <c r="Z588" s="380"/>
      <c r="AA588" s="380"/>
      <c r="AB588" s="380"/>
      <c r="AC588" s="404"/>
      <c r="AD588" s="380"/>
      <c r="AE588" s="380"/>
      <c r="AF588" s="380"/>
      <c r="AG588" s="380"/>
      <c r="AH588" s="380"/>
      <c r="AI588" s="380"/>
      <c r="AJ588" s="380"/>
      <c r="AK588" s="403"/>
      <c r="AL588" s="380"/>
      <c r="AM588" s="380"/>
      <c r="AN588" s="380"/>
      <c r="AO588" s="380"/>
      <c r="AP588" s="380"/>
      <c r="AQ588" s="404"/>
      <c r="AR588" s="380"/>
      <c r="AS588" s="380"/>
      <c r="AT588" s="380"/>
      <c r="AU588" s="380"/>
      <c r="AV588" s="380"/>
      <c r="AW588" s="380"/>
      <c r="AX588" s="380"/>
      <c r="AY588" s="403"/>
      <c r="AZ588" s="380"/>
      <c r="BA588" s="380"/>
      <c r="BB588" s="380"/>
      <c r="BC588" s="380"/>
      <c r="BD588" s="380"/>
      <c r="BE588" s="404"/>
      <c r="BF588" s="380"/>
      <c r="BG588" s="380"/>
      <c r="BH588" s="380"/>
      <c r="BI588" s="380"/>
      <c r="BJ588" s="380"/>
      <c r="BK588" s="380"/>
      <c r="BL588" s="380"/>
      <c r="BM588" s="403"/>
      <c r="BS588" s="83"/>
      <c r="CA588" s="405"/>
      <c r="CG588" s="83"/>
      <c r="CO588" s="405"/>
      <c r="CU588" s="83"/>
      <c r="DC588" s="405"/>
      <c r="DI588" s="83"/>
      <c r="DQ588" s="405"/>
      <c r="DW588" s="83"/>
      <c r="EE588" s="405"/>
      <c r="EK588" s="83"/>
      <c r="ES588" s="405"/>
      <c r="EY588" s="83"/>
      <c r="FG588" s="405"/>
      <c r="FM588" s="83"/>
      <c r="FU588" s="405"/>
      <c r="GA588" s="83"/>
      <c r="GI588" s="405"/>
      <c r="GO588" s="83"/>
      <c r="GW588" s="405"/>
      <c r="HC588" s="83"/>
      <c r="HK588" s="405"/>
      <c r="HQ588" s="83"/>
      <c r="HY588" s="405"/>
      <c r="IE588" s="83"/>
      <c r="IM588" s="405"/>
      <c r="IS588" s="83"/>
      <c r="JA588" s="405"/>
      <c r="JG588" s="83"/>
      <c r="JO588" s="405"/>
      <c r="JU588" s="83"/>
      <c r="KC588" s="405"/>
      <c r="KI588" s="83"/>
      <c r="KQ588" s="405"/>
      <c r="KW588" s="83"/>
      <c r="LE588" s="405"/>
      <c r="LK588" s="83"/>
      <c r="LS588" s="405"/>
      <c r="LY588" s="83"/>
      <c r="MG588" s="405"/>
      <c r="MM588" s="83"/>
      <c r="MU588" s="405"/>
      <c r="NA588" s="83"/>
    </row>
    <row r="589">
      <c r="A589" s="483"/>
      <c r="B589" s="380"/>
      <c r="C589" s="380"/>
      <c r="D589" s="380"/>
      <c r="E589" s="380"/>
      <c r="F589" s="380"/>
      <c r="G589" s="380"/>
      <c r="H589" s="380"/>
      <c r="I589" s="403"/>
      <c r="J589" s="380"/>
      <c r="K589" s="380"/>
      <c r="L589" s="380"/>
      <c r="M589" s="380"/>
      <c r="N589" s="380"/>
      <c r="O589" s="404"/>
      <c r="P589" s="380"/>
      <c r="Q589" s="380"/>
      <c r="R589" s="380"/>
      <c r="S589" s="380"/>
      <c r="T589" s="380"/>
      <c r="U589" s="380"/>
      <c r="V589" s="380"/>
      <c r="W589" s="403"/>
      <c r="X589" s="380"/>
      <c r="Y589" s="380"/>
      <c r="Z589" s="380"/>
      <c r="AA589" s="380"/>
      <c r="AB589" s="380"/>
      <c r="AC589" s="404"/>
      <c r="AD589" s="380"/>
      <c r="AE589" s="380"/>
      <c r="AF589" s="380"/>
      <c r="AG589" s="380"/>
      <c r="AH589" s="380"/>
      <c r="AI589" s="380"/>
      <c r="AJ589" s="380"/>
      <c r="AK589" s="403"/>
      <c r="AL589" s="380"/>
      <c r="AM589" s="380"/>
      <c r="AN589" s="380"/>
      <c r="AO589" s="380"/>
      <c r="AP589" s="380"/>
      <c r="AQ589" s="404"/>
      <c r="AR589" s="380"/>
      <c r="AS589" s="380"/>
      <c r="AT589" s="380"/>
      <c r="AU589" s="380"/>
      <c r="AV589" s="380"/>
      <c r="AW589" s="380"/>
      <c r="AX589" s="380"/>
      <c r="AY589" s="403"/>
      <c r="AZ589" s="380"/>
      <c r="BA589" s="380"/>
      <c r="BB589" s="380"/>
      <c r="BC589" s="380"/>
      <c r="BD589" s="380"/>
      <c r="BE589" s="404"/>
      <c r="BF589" s="380"/>
      <c r="BG589" s="380"/>
      <c r="BH589" s="380"/>
      <c r="BI589" s="380"/>
      <c r="BJ589" s="380"/>
      <c r="BK589" s="380"/>
      <c r="BL589" s="380"/>
      <c r="BM589" s="403"/>
      <c r="BS589" s="83"/>
      <c r="CA589" s="405"/>
      <c r="CG589" s="83"/>
      <c r="CO589" s="405"/>
      <c r="CU589" s="83"/>
      <c r="DC589" s="405"/>
      <c r="DI589" s="83"/>
      <c r="DQ589" s="405"/>
      <c r="DW589" s="83"/>
      <c r="EE589" s="405"/>
      <c r="EK589" s="83"/>
      <c r="ES589" s="405"/>
      <c r="EY589" s="83"/>
      <c r="FG589" s="405"/>
      <c r="FM589" s="83"/>
      <c r="FU589" s="405"/>
      <c r="GA589" s="83"/>
      <c r="GI589" s="405"/>
      <c r="GO589" s="83"/>
      <c r="GW589" s="405"/>
      <c r="HC589" s="83"/>
      <c r="HK589" s="405"/>
      <c r="HQ589" s="83"/>
      <c r="HY589" s="405"/>
      <c r="IE589" s="83"/>
      <c r="IM589" s="405"/>
      <c r="IS589" s="83"/>
      <c r="JA589" s="405"/>
      <c r="JG589" s="83"/>
      <c r="JO589" s="405"/>
      <c r="JU589" s="83"/>
      <c r="KC589" s="405"/>
      <c r="KI589" s="83"/>
      <c r="KQ589" s="405"/>
      <c r="KW589" s="83"/>
      <c r="LE589" s="405"/>
      <c r="LK589" s="83"/>
      <c r="LS589" s="405"/>
      <c r="LY589" s="83"/>
      <c r="MG589" s="405"/>
      <c r="MM589" s="83"/>
      <c r="MU589" s="405"/>
      <c r="NA589" s="83"/>
    </row>
    <row r="590">
      <c r="A590" s="483"/>
      <c r="B590" s="380"/>
      <c r="C590" s="380"/>
      <c r="D590" s="380"/>
      <c r="E590" s="380"/>
      <c r="F590" s="380"/>
      <c r="G590" s="380"/>
      <c r="H590" s="380"/>
      <c r="I590" s="403"/>
      <c r="J590" s="380"/>
      <c r="K590" s="380"/>
      <c r="L590" s="380"/>
      <c r="M590" s="380"/>
      <c r="N590" s="380"/>
      <c r="O590" s="404"/>
      <c r="P590" s="380"/>
      <c r="Q590" s="380"/>
      <c r="R590" s="380"/>
      <c r="S590" s="380"/>
      <c r="T590" s="380"/>
      <c r="U590" s="380"/>
      <c r="V590" s="380"/>
      <c r="W590" s="403"/>
      <c r="X590" s="380"/>
      <c r="Y590" s="380"/>
      <c r="Z590" s="380"/>
      <c r="AA590" s="380"/>
      <c r="AB590" s="380"/>
      <c r="AC590" s="404"/>
      <c r="AD590" s="380"/>
      <c r="AE590" s="380"/>
      <c r="AF590" s="380"/>
      <c r="AG590" s="380"/>
      <c r="AH590" s="380"/>
      <c r="AI590" s="380"/>
      <c r="AJ590" s="380"/>
      <c r="AK590" s="403"/>
      <c r="AL590" s="380"/>
      <c r="AM590" s="380"/>
      <c r="AN590" s="380"/>
      <c r="AO590" s="380"/>
      <c r="AP590" s="380"/>
      <c r="AQ590" s="404"/>
      <c r="AR590" s="380"/>
      <c r="AS590" s="380"/>
      <c r="AT590" s="380"/>
      <c r="AU590" s="380"/>
      <c r="AV590" s="380"/>
      <c r="AW590" s="380"/>
      <c r="AX590" s="380"/>
      <c r="AY590" s="403"/>
      <c r="AZ590" s="380"/>
      <c r="BA590" s="380"/>
      <c r="BB590" s="380"/>
      <c r="BC590" s="380"/>
      <c r="BD590" s="380"/>
      <c r="BE590" s="404"/>
      <c r="BF590" s="380"/>
      <c r="BG590" s="380"/>
      <c r="BH590" s="380"/>
      <c r="BI590" s="380"/>
      <c r="BJ590" s="380"/>
      <c r="BK590" s="380"/>
      <c r="BL590" s="380"/>
      <c r="BM590" s="403"/>
      <c r="BS590" s="83"/>
      <c r="CA590" s="405"/>
      <c r="CG590" s="83"/>
      <c r="CO590" s="405"/>
      <c r="CU590" s="83"/>
      <c r="DC590" s="405"/>
      <c r="DI590" s="83"/>
      <c r="DQ590" s="405"/>
      <c r="DW590" s="83"/>
      <c r="EE590" s="405"/>
      <c r="EK590" s="83"/>
      <c r="ES590" s="405"/>
      <c r="EY590" s="83"/>
      <c r="FG590" s="405"/>
      <c r="FM590" s="83"/>
      <c r="FU590" s="405"/>
      <c r="GA590" s="83"/>
      <c r="GI590" s="405"/>
      <c r="GO590" s="83"/>
      <c r="GW590" s="405"/>
      <c r="HC590" s="83"/>
      <c r="HK590" s="405"/>
      <c r="HQ590" s="83"/>
      <c r="HY590" s="405"/>
      <c r="IE590" s="83"/>
      <c r="IM590" s="405"/>
      <c r="IS590" s="83"/>
      <c r="JA590" s="405"/>
      <c r="JG590" s="83"/>
      <c r="JO590" s="405"/>
      <c r="JU590" s="83"/>
      <c r="KC590" s="405"/>
      <c r="KI590" s="83"/>
      <c r="KQ590" s="405"/>
      <c r="KW590" s="83"/>
      <c r="LE590" s="405"/>
      <c r="LK590" s="83"/>
      <c r="LS590" s="405"/>
      <c r="LY590" s="83"/>
      <c r="MG590" s="405"/>
      <c r="MM590" s="83"/>
      <c r="MU590" s="405"/>
      <c r="NA590" s="83"/>
    </row>
    <row r="591">
      <c r="A591" s="483"/>
      <c r="B591" s="380"/>
      <c r="C591" s="380"/>
      <c r="D591" s="380"/>
      <c r="E591" s="380"/>
      <c r="F591" s="380"/>
      <c r="G591" s="380"/>
      <c r="H591" s="380"/>
      <c r="I591" s="403"/>
      <c r="J591" s="380"/>
      <c r="K591" s="380"/>
      <c r="L591" s="380"/>
      <c r="M591" s="380"/>
      <c r="N591" s="380"/>
      <c r="O591" s="404"/>
      <c r="P591" s="380"/>
      <c r="Q591" s="380"/>
      <c r="R591" s="380"/>
      <c r="S591" s="380"/>
      <c r="T591" s="380"/>
      <c r="U591" s="380"/>
      <c r="V591" s="380"/>
      <c r="W591" s="403"/>
      <c r="X591" s="380"/>
      <c r="Y591" s="380"/>
      <c r="Z591" s="380"/>
      <c r="AA591" s="380"/>
      <c r="AB591" s="380"/>
      <c r="AC591" s="404"/>
      <c r="AD591" s="380"/>
      <c r="AE591" s="380"/>
      <c r="AF591" s="380"/>
      <c r="AG591" s="380"/>
      <c r="AH591" s="380"/>
      <c r="AI591" s="380"/>
      <c r="AJ591" s="380"/>
      <c r="AK591" s="403"/>
      <c r="AL591" s="380"/>
      <c r="AM591" s="380"/>
      <c r="AN591" s="380"/>
      <c r="AO591" s="380"/>
      <c r="AP591" s="380"/>
      <c r="AQ591" s="404"/>
      <c r="AR591" s="380"/>
      <c r="AS591" s="380"/>
      <c r="AT591" s="380"/>
      <c r="AU591" s="380"/>
      <c r="AV591" s="380"/>
      <c r="AW591" s="380"/>
      <c r="AX591" s="380"/>
      <c r="AY591" s="403"/>
      <c r="AZ591" s="380"/>
      <c r="BA591" s="380"/>
      <c r="BB591" s="380"/>
      <c r="BC591" s="380"/>
      <c r="BD591" s="380"/>
      <c r="BE591" s="404"/>
      <c r="BF591" s="380"/>
      <c r="BG591" s="380"/>
      <c r="BH591" s="380"/>
      <c r="BI591" s="380"/>
      <c r="BJ591" s="380"/>
      <c r="BK591" s="380"/>
      <c r="BL591" s="380"/>
      <c r="BM591" s="403"/>
      <c r="BS591" s="83"/>
      <c r="CA591" s="405"/>
      <c r="CG591" s="83"/>
      <c r="CO591" s="405"/>
      <c r="CU591" s="83"/>
      <c r="DC591" s="405"/>
      <c r="DI591" s="83"/>
      <c r="DQ591" s="405"/>
      <c r="DW591" s="83"/>
      <c r="EE591" s="405"/>
      <c r="EK591" s="83"/>
      <c r="ES591" s="405"/>
      <c r="EY591" s="83"/>
      <c r="FG591" s="405"/>
      <c r="FM591" s="83"/>
      <c r="FU591" s="405"/>
      <c r="GA591" s="83"/>
      <c r="GI591" s="405"/>
      <c r="GO591" s="83"/>
      <c r="GW591" s="405"/>
      <c r="HC591" s="83"/>
      <c r="HK591" s="405"/>
      <c r="HQ591" s="83"/>
      <c r="HY591" s="405"/>
      <c r="IE591" s="83"/>
      <c r="IM591" s="405"/>
      <c r="IS591" s="83"/>
      <c r="JA591" s="405"/>
      <c r="JG591" s="83"/>
      <c r="JO591" s="405"/>
      <c r="JU591" s="83"/>
      <c r="KC591" s="405"/>
      <c r="KI591" s="83"/>
      <c r="KQ591" s="405"/>
      <c r="KW591" s="83"/>
      <c r="LE591" s="405"/>
      <c r="LK591" s="83"/>
      <c r="LS591" s="405"/>
      <c r="LY591" s="83"/>
      <c r="MG591" s="405"/>
      <c r="MM591" s="83"/>
      <c r="MU591" s="405"/>
      <c r="NA591" s="83"/>
    </row>
    <row r="592">
      <c r="A592" s="483"/>
      <c r="B592" s="380"/>
      <c r="C592" s="380"/>
      <c r="D592" s="380"/>
      <c r="E592" s="380"/>
      <c r="F592" s="380"/>
      <c r="G592" s="380"/>
      <c r="H592" s="380"/>
      <c r="I592" s="403"/>
      <c r="J592" s="380"/>
      <c r="K592" s="380"/>
      <c r="L592" s="380"/>
      <c r="M592" s="380"/>
      <c r="N592" s="380"/>
      <c r="O592" s="404"/>
      <c r="P592" s="380"/>
      <c r="Q592" s="380"/>
      <c r="R592" s="380"/>
      <c r="S592" s="380"/>
      <c r="T592" s="380"/>
      <c r="U592" s="380"/>
      <c r="V592" s="380"/>
      <c r="W592" s="403"/>
      <c r="X592" s="380"/>
      <c r="Y592" s="380"/>
      <c r="Z592" s="380"/>
      <c r="AA592" s="380"/>
      <c r="AB592" s="380"/>
      <c r="AC592" s="404"/>
      <c r="AD592" s="380"/>
      <c r="AE592" s="380"/>
      <c r="AF592" s="380"/>
      <c r="AG592" s="380"/>
      <c r="AH592" s="380"/>
      <c r="AI592" s="380"/>
      <c r="AJ592" s="380"/>
      <c r="AK592" s="403"/>
      <c r="AL592" s="380"/>
      <c r="AM592" s="380"/>
      <c r="AN592" s="380"/>
      <c r="AO592" s="380"/>
      <c r="AP592" s="380"/>
      <c r="AQ592" s="404"/>
      <c r="AR592" s="380"/>
      <c r="AS592" s="380"/>
      <c r="AT592" s="380"/>
      <c r="AU592" s="380"/>
      <c r="AV592" s="380"/>
      <c r="AW592" s="380"/>
      <c r="AX592" s="380"/>
      <c r="AY592" s="403"/>
      <c r="AZ592" s="380"/>
      <c r="BA592" s="380"/>
      <c r="BB592" s="380"/>
      <c r="BC592" s="380"/>
      <c r="BD592" s="380"/>
      <c r="BE592" s="404"/>
      <c r="BF592" s="380"/>
      <c r="BG592" s="380"/>
      <c r="BH592" s="380"/>
      <c r="BI592" s="380"/>
      <c r="BJ592" s="380"/>
      <c r="BK592" s="380"/>
      <c r="BL592" s="380"/>
      <c r="BM592" s="403"/>
      <c r="BS592" s="83"/>
      <c r="CA592" s="405"/>
      <c r="CG592" s="83"/>
      <c r="CO592" s="405"/>
      <c r="CU592" s="83"/>
      <c r="DC592" s="405"/>
      <c r="DI592" s="83"/>
      <c r="DQ592" s="405"/>
      <c r="DW592" s="83"/>
      <c r="EE592" s="405"/>
      <c r="EK592" s="83"/>
      <c r="ES592" s="405"/>
      <c r="EY592" s="83"/>
      <c r="FG592" s="405"/>
      <c r="FM592" s="83"/>
      <c r="FU592" s="405"/>
      <c r="GA592" s="83"/>
      <c r="GI592" s="405"/>
      <c r="GO592" s="83"/>
      <c r="GW592" s="405"/>
      <c r="HC592" s="83"/>
      <c r="HK592" s="405"/>
      <c r="HQ592" s="83"/>
      <c r="HY592" s="405"/>
      <c r="IE592" s="83"/>
      <c r="IM592" s="405"/>
      <c r="IS592" s="83"/>
      <c r="JA592" s="405"/>
      <c r="JG592" s="83"/>
      <c r="JO592" s="405"/>
      <c r="JU592" s="83"/>
      <c r="KC592" s="405"/>
      <c r="KI592" s="83"/>
      <c r="KQ592" s="405"/>
      <c r="KW592" s="83"/>
      <c r="LE592" s="405"/>
      <c r="LK592" s="83"/>
      <c r="LS592" s="405"/>
      <c r="LY592" s="83"/>
      <c r="MG592" s="405"/>
      <c r="MM592" s="83"/>
      <c r="MU592" s="405"/>
      <c r="NA592" s="83"/>
    </row>
    <row r="593">
      <c r="A593" s="483"/>
      <c r="B593" s="380"/>
      <c r="C593" s="380"/>
      <c r="D593" s="380"/>
      <c r="E593" s="380"/>
      <c r="F593" s="380"/>
      <c r="G593" s="380"/>
      <c r="H593" s="380"/>
      <c r="I593" s="403"/>
      <c r="J593" s="380"/>
      <c r="K593" s="380"/>
      <c r="L593" s="380"/>
      <c r="M593" s="380"/>
      <c r="N593" s="380"/>
      <c r="O593" s="404"/>
      <c r="P593" s="380"/>
      <c r="Q593" s="380"/>
      <c r="R593" s="380"/>
      <c r="S593" s="380"/>
      <c r="T593" s="380"/>
      <c r="U593" s="380"/>
      <c r="V593" s="380"/>
      <c r="W593" s="403"/>
      <c r="X593" s="380"/>
      <c r="Y593" s="380"/>
      <c r="Z593" s="380"/>
      <c r="AA593" s="380"/>
      <c r="AB593" s="380"/>
      <c r="AC593" s="404"/>
      <c r="AD593" s="380"/>
      <c r="AE593" s="380"/>
      <c r="AF593" s="380"/>
      <c r="AG593" s="380"/>
      <c r="AH593" s="380"/>
      <c r="AI593" s="380"/>
      <c r="AJ593" s="380"/>
      <c r="AK593" s="403"/>
      <c r="AL593" s="380"/>
      <c r="AM593" s="380"/>
      <c r="AN593" s="380"/>
      <c r="AO593" s="380"/>
      <c r="AP593" s="380"/>
      <c r="AQ593" s="404"/>
      <c r="AR593" s="380"/>
      <c r="AS593" s="380"/>
      <c r="AT593" s="380"/>
      <c r="AU593" s="380"/>
      <c r="AV593" s="380"/>
      <c r="AW593" s="380"/>
      <c r="AX593" s="380"/>
      <c r="AY593" s="403"/>
      <c r="AZ593" s="380"/>
      <c r="BA593" s="380"/>
      <c r="BB593" s="380"/>
      <c r="BC593" s="380"/>
      <c r="BD593" s="380"/>
      <c r="BE593" s="404"/>
      <c r="BF593" s="380"/>
      <c r="BG593" s="380"/>
      <c r="BH593" s="380"/>
      <c r="BI593" s="380"/>
      <c r="BJ593" s="380"/>
      <c r="BK593" s="380"/>
      <c r="BL593" s="380"/>
      <c r="BM593" s="403"/>
      <c r="BS593" s="83"/>
      <c r="CA593" s="405"/>
      <c r="CG593" s="83"/>
      <c r="CO593" s="405"/>
      <c r="CU593" s="83"/>
      <c r="DC593" s="405"/>
      <c r="DI593" s="83"/>
      <c r="DQ593" s="405"/>
      <c r="DW593" s="83"/>
      <c r="EE593" s="405"/>
      <c r="EK593" s="83"/>
      <c r="ES593" s="405"/>
      <c r="EY593" s="83"/>
      <c r="FG593" s="405"/>
      <c r="FM593" s="83"/>
      <c r="FU593" s="405"/>
      <c r="GA593" s="83"/>
      <c r="GI593" s="405"/>
      <c r="GO593" s="83"/>
      <c r="GW593" s="405"/>
      <c r="HC593" s="83"/>
      <c r="HK593" s="405"/>
      <c r="HQ593" s="83"/>
      <c r="HY593" s="405"/>
      <c r="IE593" s="83"/>
      <c r="IM593" s="405"/>
      <c r="IS593" s="83"/>
      <c r="JA593" s="405"/>
      <c r="JG593" s="83"/>
      <c r="JO593" s="405"/>
      <c r="JU593" s="83"/>
      <c r="KC593" s="405"/>
      <c r="KI593" s="83"/>
      <c r="KQ593" s="405"/>
      <c r="KW593" s="83"/>
      <c r="LE593" s="405"/>
      <c r="LK593" s="83"/>
      <c r="LS593" s="405"/>
      <c r="LY593" s="83"/>
      <c r="MG593" s="405"/>
      <c r="MM593" s="83"/>
      <c r="MU593" s="405"/>
      <c r="NA593" s="83"/>
    </row>
    <row r="594">
      <c r="A594" s="483"/>
      <c r="B594" s="380"/>
      <c r="C594" s="380"/>
      <c r="D594" s="380"/>
      <c r="E594" s="380"/>
      <c r="F594" s="380"/>
      <c r="G594" s="380"/>
      <c r="H594" s="380"/>
      <c r="I594" s="403"/>
      <c r="J594" s="380"/>
      <c r="K594" s="380"/>
      <c r="L594" s="380"/>
      <c r="M594" s="380"/>
      <c r="N594" s="380"/>
      <c r="O594" s="404"/>
      <c r="P594" s="380"/>
      <c r="Q594" s="380"/>
      <c r="R594" s="380"/>
      <c r="S594" s="380"/>
      <c r="T594" s="380"/>
      <c r="U594" s="380"/>
      <c r="V594" s="380"/>
      <c r="W594" s="403"/>
      <c r="X594" s="380"/>
      <c r="Y594" s="380"/>
      <c r="Z594" s="380"/>
      <c r="AA594" s="380"/>
      <c r="AB594" s="380"/>
      <c r="AC594" s="404"/>
      <c r="AD594" s="380"/>
      <c r="AE594" s="380"/>
      <c r="AF594" s="380"/>
      <c r="AG594" s="380"/>
      <c r="AH594" s="380"/>
      <c r="AI594" s="380"/>
      <c r="AJ594" s="380"/>
      <c r="AK594" s="403"/>
      <c r="AL594" s="380"/>
      <c r="AM594" s="380"/>
      <c r="AN594" s="380"/>
      <c r="AO594" s="380"/>
      <c r="AP594" s="380"/>
      <c r="AQ594" s="404"/>
      <c r="AR594" s="380"/>
      <c r="AS594" s="380"/>
      <c r="AT594" s="380"/>
      <c r="AU594" s="380"/>
      <c r="AV594" s="380"/>
      <c r="AW594" s="380"/>
      <c r="AX594" s="380"/>
      <c r="AY594" s="403"/>
      <c r="AZ594" s="380"/>
      <c r="BA594" s="380"/>
      <c r="BB594" s="380"/>
      <c r="BC594" s="380"/>
      <c r="BD594" s="380"/>
      <c r="BE594" s="404"/>
      <c r="BF594" s="380"/>
      <c r="BG594" s="380"/>
      <c r="BH594" s="380"/>
      <c r="BI594" s="380"/>
      <c r="BJ594" s="380"/>
      <c r="BK594" s="380"/>
      <c r="BL594" s="380"/>
      <c r="BM594" s="403"/>
      <c r="BS594" s="83"/>
      <c r="CA594" s="405"/>
      <c r="CG594" s="83"/>
      <c r="CO594" s="405"/>
      <c r="CU594" s="83"/>
      <c r="DC594" s="405"/>
      <c r="DI594" s="83"/>
      <c r="DQ594" s="405"/>
      <c r="DW594" s="83"/>
      <c r="EE594" s="405"/>
      <c r="EK594" s="83"/>
      <c r="ES594" s="405"/>
      <c r="EY594" s="83"/>
      <c r="FG594" s="405"/>
      <c r="FM594" s="83"/>
      <c r="FU594" s="405"/>
      <c r="GA594" s="83"/>
      <c r="GI594" s="405"/>
      <c r="GO594" s="83"/>
      <c r="GW594" s="405"/>
      <c r="HC594" s="83"/>
      <c r="HK594" s="405"/>
      <c r="HQ594" s="83"/>
      <c r="HY594" s="405"/>
      <c r="IE594" s="83"/>
      <c r="IM594" s="405"/>
      <c r="IS594" s="83"/>
      <c r="JA594" s="405"/>
      <c r="JG594" s="83"/>
      <c r="JO594" s="405"/>
      <c r="JU594" s="83"/>
      <c r="KC594" s="405"/>
      <c r="KI594" s="83"/>
      <c r="KQ594" s="405"/>
      <c r="KW594" s="83"/>
      <c r="LE594" s="405"/>
      <c r="LK594" s="83"/>
      <c r="LS594" s="405"/>
      <c r="LY594" s="83"/>
      <c r="MG594" s="405"/>
      <c r="MM594" s="83"/>
      <c r="MU594" s="405"/>
      <c r="NA594" s="83"/>
    </row>
    <row r="595">
      <c r="A595" s="483"/>
      <c r="B595" s="380"/>
      <c r="C595" s="380"/>
      <c r="D595" s="380"/>
      <c r="E595" s="380"/>
      <c r="F595" s="380"/>
      <c r="G595" s="380"/>
      <c r="H595" s="380"/>
      <c r="I595" s="403"/>
      <c r="J595" s="380"/>
      <c r="K595" s="380"/>
      <c r="L595" s="380"/>
      <c r="M595" s="380"/>
      <c r="N595" s="380"/>
      <c r="O595" s="404"/>
      <c r="P595" s="380"/>
      <c r="Q595" s="380"/>
      <c r="R595" s="380"/>
      <c r="S595" s="380"/>
      <c r="T595" s="380"/>
      <c r="U595" s="380"/>
      <c r="V595" s="380"/>
      <c r="W595" s="403"/>
      <c r="X595" s="380"/>
      <c r="Y595" s="380"/>
      <c r="Z595" s="380"/>
      <c r="AA595" s="380"/>
      <c r="AB595" s="380"/>
      <c r="AC595" s="404"/>
      <c r="AD595" s="380"/>
      <c r="AE595" s="380"/>
      <c r="AF595" s="380"/>
      <c r="AG595" s="380"/>
      <c r="AH595" s="380"/>
      <c r="AI595" s="380"/>
      <c r="AJ595" s="380"/>
      <c r="AK595" s="403"/>
      <c r="AL595" s="380"/>
      <c r="AM595" s="380"/>
      <c r="AN595" s="380"/>
      <c r="AO595" s="380"/>
      <c r="AP595" s="380"/>
      <c r="AQ595" s="404"/>
      <c r="AR595" s="380"/>
      <c r="AS595" s="380"/>
      <c r="AT595" s="380"/>
      <c r="AU595" s="380"/>
      <c r="AV595" s="380"/>
      <c r="AW595" s="380"/>
      <c r="AX595" s="380"/>
      <c r="AY595" s="403"/>
      <c r="AZ595" s="380"/>
      <c r="BA595" s="380"/>
      <c r="BB595" s="380"/>
      <c r="BC595" s="380"/>
      <c r="BD595" s="380"/>
      <c r="BE595" s="404"/>
      <c r="BF595" s="380"/>
      <c r="BG595" s="380"/>
      <c r="BH595" s="380"/>
      <c r="BI595" s="380"/>
      <c r="BJ595" s="380"/>
      <c r="BK595" s="380"/>
      <c r="BL595" s="380"/>
      <c r="BM595" s="403"/>
      <c r="BS595" s="83"/>
      <c r="CA595" s="405"/>
      <c r="CG595" s="83"/>
      <c r="CO595" s="405"/>
      <c r="CU595" s="83"/>
      <c r="DC595" s="405"/>
      <c r="DI595" s="83"/>
      <c r="DQ595" s="405"/>
      <c r="DW595" s="83"/>
      <c r="EE595" s="405"/>
      <c r="EK595" s="83"/>
      <c r="ES595" s="405"/>
      <c r="EY595" s="83"/>
      <c r="FG595" s="405"/>
      <c r="FM595" s="83"/>
      <c r="FU595" s="405"/>
      <c r="GA595" s="83"/>
      <c r="GI595" s="405"/>
      <c r="GO595" s="83"/>
      <c r="GW595" s="405"/>
      <c r="HC595" s="83"/>
      <c r="HK595" s="405"/>
      <c r="HQ595" s="83"/>
      <c r="HY595" s="405"/>
      <c r="IE595" s="83"/>
      <c r="IM595" s="405"/>
      <c r="IS595" s="83"/>
      <c r="JA595" s="405"/>
      <c r="JG595" s="83"/>
      <c r="JO595" s="405"/>
      <c r="JU595" s="83"/>
      <c r="KC595" s="405"/>
      <c r="KI595" s="83"/>
      <c r="KQ595" s="405"/>
      <c r="KW595" s="83"/>
      <c r="LE595" s="405"/>
      <c r="LK595" s="83"/>
      <c r="LS595" s="405"/>
      <c r="LY595" s="83"/>
      <c r="MG595" s="405"/>
      <c r="MM595" s="83"/>
      <c r="MU595" s="405"/>
      <c r="NA595" s="83"/>
    </row>
    <row r="596">
      <c r="A596" s="483"/>
      <c r="B596" s="380"/>
      <c r="C596" s="380"/>
      <c r="D596" s="380"/>
      <c r="E596" s="380"/>
      <c r="F596" s="380"/>
      <c r="G596" s="380"/>
      <c r="H596" s="380"/>
      <c r="I596" s="403"/>
      <c r="J596" s="380"/>
      <c r="K596" s="380"/>
      <c r="L596" s="380"/>
      <c r="M596" s="380"/>
      <c r="N596" s="380"/>
      <c r="O596" s="404"/>
      <c r="P596" s="380"/>
      <c r="Q596" s="380"/>
      <c r="R596" s="380"/>
      <c r="S596" s="380"/>
      <c r="T596" s="380"/>
      <c r="U596" s="380"/>
      <c r="V596" s="380"/>
      <c r="W596" s="403"/>
      <c r="X596" s="380"/>
      <c r="Y596" s="380"/>
      <c r="Z596" s="380"/>
      <c r="AA596" s="380"/>
      <c r="AB596" s="380"/>
      <c r="AC596" s="404"/>
      <c r="AD596" s="380"/>
      <c r="AE596" s="380"/>
      <c r="AF596" s="380"/>
      <c r="AG596" s="380"/>
      <c r="AH596" s="380"/>
      <c r="AI596" s="380"/>
      <c r="AJ596" s="380"/>
      <c r="AK596" s="403"/>
      <c r="AL596" s="380"/>
      <c r="AM596" s="380"/>
      <c r="AN596" s="380"/>
      <c r="AO596" s="380"/>
      <c r="AP596" s="380"/>
      <c r="AQ596" s="404"/>
      <c r="AR596" s="380"/>
      <c r="AS596" s="380"/>
      <c r="AT596" s="380"/>
      <c r="AU596" s="380"/>
      <c r="AV596" s="380"/>
      <c r="AW596" s="380"/>
      <c r="AX596" s="380"/>
      <c r="AY596" s="403"/>
      <c r="AZ596" s="380"/>
      <c r="BA596" s="380"/>
      <c r="BB596" s="380"/>
      <c r="BC596" s="380"/>
      <c r="BD596" s="380"/>
      <c r="BE596" s="404"/>
      <c r="BF596" s="380"/>
      <c r="BG596" s="380"/>
      <c r="BH596" s="380"/>
      <c r="BI596" s="380"/>
      <c r="BJ596" s="380"/>
      <c r="BK596" s="380"/>
      <c r="BL596" s="380"/>
      <c r="BM596" s="403"/>
      <c r="BS596" s="83"/>
      <c r="CA596" s="405"/>
      <c r="CG596" s="83"/>
      <c r="CO596" s="405"/>
      <c r="CU596" s="83"/>
      <c r="DC596" s="405"/>
      <c r="DI596" s="83"/>
      <c r="DQ596" s="405"/>
      <c r="DW596" s="83"/>
      <c r="EE596" s="405"/>
      <c r="EK596" s="83"/>
      <c r="ES596" s="405"/>
      <c r="EY596" s="83"/>
      <c r="FG596" s="405"/>
      <c r="FM596" s="83"/>
      <c r="FU596" s="405"/>
      <c r="GA596" s="83"/>
      <c r="GI596" s="405"/>
      <c r="GO596" s="83"/>
      <c r="GW596" s="405"/>
      <c r="HC596" s="83"/>
      <c r="HK596" s="405"/>
      <c r="HQ596" s="83"/>
      <c r="HY596" s="405"/>
      <c r="IE596" s="83"/>
      <c r="IM596" s="405"/>
      <c r="IS596" s="83"/>
      <c r="JA596" s="405"/>
      <c r="JG596" s="83"/>
      <c r="JO596" s="405"/>
      <c r="JU596" s="83"/>
      <c r="KC596" s="405"/>
      <c r="KI596" s="83"/>
      <c r="KQ596" s="405"/>
      <c r="KW596" s="83"/>
      <c r="LE596" s="405"/>
      <c r="LK596" s="83"/>
      <c r="LS596" s="405"/>
      <c r="LY596" s="83"/>
      <c r="MG596" s="405"/>
      <c r="MM596" s="83"/>
      <c r="MU596" s="405"/>
      <c r="NA596" s="83"/>
    </row>
    <row r="597">
      <c r="A597" s="483"/>
      <c r="B597" s="380"/>
      <c r="C597" s="380"/>
      <c r="D597" s="380"/>
      <c r="E597" s="380"/>
      <c r="F597" s="380"/>
      <c r="G597" s="380"/>
      <c r="H597" s="380"/>
      <c r="I597" s="403"/>
      <c r="J597" s="380"/>
      <c r="K597" s="380"/>
      <c r="L597" s="380"/>
      <c r="M597" s="380"/>
      <c r="N597" s="380"/>
      <c r="O597" s="404"/>
      <c r="P597" s="380"/>
      <c r="Q597" s="380"/>
      <c r="R597" s="380"/>
      <c r="S597" s="380"/>
      <c r="T597" s="380"/>
      <c r="U597" s="380"/>
      <c r="V597" s="380"/>
      <c r="W597" s="403"/>
      <c r="X597" s="380"/>
      <c r="Y597" s="380"/>
      <c r="Z597" s="380"/>
      <c r="AA597" s="380"/>
      <c r="AB597" s="380"/>
      <c r="AC597" s="404"/>
      <c r="AD597" s="380"/>
      <c r="AE597" s="380"/>
      <c r="AF597" s="380"/>
      <c r="AG597" s="380"/>
      <c r="AH597" s="380"/>
      <c r="AI597" s="380"/>
      <c r="AJ597" s="380"/>
      <c r="AK597" s="403"/>
      <c r="AL597" s="380"/>
      <c r="AM597" s="380"/>
      <c r="AN597" s="380"/>
      <c r="AO597" s="380"/>
      <c r="AP597" s="380"/>
      <c r="AQ597" s="404"/>
      <c r="AR597" s="380"/>
      <c r="AS597" s="380"/>
      <c r="AT597" s="380"/>
      <c r="AU597" s="380"/>
      <c r="AV597" s="380"/>
      <c r="AW597" s="380"/>
      <c r="AX597" s="380"/>
      <c r="AY597" s="403"/>
      <c r="AZ597" s="380"/>
      <c r="BA597" s="380"/>
      <c r="BB597" s="380"/>
      <c r="BC597" s="380"/>
      <c r="BD597" s="380"/>
      <c r="BE597" s="404"/>
      <c r="BF597" s="380"/>
      <c r="BG597" s="380"/>
      <c r="BH597" s="380"/>
      <c r="BI597" s="380"/>
      <c r="BJ597" s="380"/>
      <c r="BK597" s="380"/>
      <c r="BL597" s="380"/>
      <c r="BM597" s="403"/>
      <c r="BS597" s="83"/>
      <c r="CA597" s="405"/>
      <c r="CG597" s="83"/>
      <c r="CO597" s="405"/>
      <c r="CU597" s="83"/>
      <c r="DC597" s="405"/>
      <c r="DI597" s="83"/>
      <c r="DQ597" s="405"/>
      <c r="DW597" s="83"/>
      <c r="EE597" s="405"/>
      <c r="EK597" s="83"/>
      <c r="ES597" s="405"/>
      <c r="EY597" s="83"/>
      <c r="FG597" s="405"/>
      <c r="FM597" s="83"/>
      <c r="FU597" s="405"/>
      <c r="GA597" s="83"/>
      <c r="GI597" s="405"/>
      <c r="GO597" s="83"/>
      <c r="GW597" s="405"/>
      <c r="HC597" s="83"/>
      <c r="HK597" s="405"/>
      <c r="HQ597" s="83"/>
      <c r="HY597" s="405"/>
      <c r="IE597" s="83"/>
      <c r="IM597" s="405"/>
      <c r="IS597" s="83"/>
      <c r="JA597" s="405"/>
      <c r="JG597" s="83"/>
      <c r="JO597" s="405"/>
      <c r="JU597" s="83"/>
      <c r="KC597" s="405"/>
      <c r="KI597" s="83"/>
      <c r="KQ597" s="405"/>
      <c r="KW597" s="83"/>
      <c r="LE597" s="405"/>
      <c r="LK597" s="83"/>
      <c r="LS597" s="405"/>
      <c r="LY597" s="83"/>
      <c r="MG597" s="405"/>
      <c r="MM597" s="83"/>
      <c r="MU597" s="405"/>
      <c r="NA597" s="83"/>
    </row>
    <row r="598">
      <c r="A598" s="483"/>
      <c r="B598" s="380"/>
      <c r="C598" s="380"/>
      <c r="D598" s="380"/>
      <c r="E598" s="380"/>
      <c r="F598" s="380"/>
      <c r="G598" s="380"/>
      <c r="H598" s="380"/>
      <c r="I598" s="403"/>
      <c r="J598" s="380"/>
      <c r="K598" s="380"/>
      <c r="L598" s="380"/>
      <c r="M598" s="380"/>
      <c r="N598" s="380"/>
      <c r="O598" s="404"/>
      <c r="P598" s="380"/>
      <c r="Q598" s="380"/>
      <c r="R598" s="380"/>
      <c r="S598" s="380"/>
      <c r="T598" s="380"/>
      <c r="U598" s="380"/>
      <c r="V598" s="380"/>
      <c r="W598" s="403"/>
      <c r="X598" s="380"/>
      <c r="Y598" s="380"/>
      <c r="Z598" s="380"/>
      <c r="AA598" s="380"/>
      <c r="AB598" s="380"/>
      <c r="AC598" s="404"/>
      <c r="AD598" s="380"/>
      <c r="AE598" s="380"/>
      <c r="AF598" s="380"/>
      <c r="AG598" s="380"/>
      <c r="AH598" s="380"/>
      <c r="AI598" s="380"/>
      <c r="AJ598" s="380"/>
      <c r="AK598" s="403"/>
      <c r="AL598" s="380"/>
      <c r="AM598" s="380"/>
      <c r="AN598" s="380"/>
      <c r="AO598" s="380"/>
      <c r="AP598" s="380"/>
      <c r="AQ598" s="404"/>
      <c r="AR598" s="380"/>
      <c r="AS598" s="380"/>
      <c r="AT598" s="380"/>
      <c r="AU598" s="380"/>
      <c r="AV598" s="380"/>
      <c r="AW598" s="380"/>
      <c r="AX598" s="380"/>
      <c r="AY598" s="403"/>
      <c r="AZ598" s="380"/>
      <c r="BA598" s="380"/>
      <c r="BB598" s="380"/>
      <c r="BC598" s="380"/>
      <c r="BD598" s="380"/>
      <c r="BE598" s="404"/>
      <c r="BF598" s="380"/>
      <c r="BG598" s="380"/>
      <c r="BH598" s="380"/>
      <c r="BI598" s="380"/>
      <c r="BJ598" s="380"/>
      <c r="BK598" s="380"/>
      <c r="BL598" s="380"/>
      <c r="BM598" s="403"/>
      <c r="BS598" s="83"/>
      <c r="CA598" s="405"/>
      <c r="CG598" s="83"/>
      <c r="CO598" s="405"/>
      <c r="CU598" s="83"/>
      <c r="DC598" s="405"/>
      <c r="DI598" s="83"/>
      <c r="DQ598" s="405"/>
      <c r="DW598" s="83"/>
      <c r="EE598" s="405"/>
      <c r="EK598" s="83"/>
      <c r="ES598" s="405"/>
      <c r="EY598" s="83"/>
      <c r="FG598" s="405"/>
      <c r="FM598" s="83"/>
      <c r="FU598" s="405"/>
      <c r="GA598" s="83"/>
      <c r="GI598" s="405"/>
      <c r="GO598" s="83"/>
      <c r="GW598" s="405"/>
      <c r="HC598" s="83"/>
      <c r="HK598" s="405"/>
      <c r="HQ598" s="83"/>
      <c r="HY598" s="405"/>
      <c r="IE598" s="83"/>
      <c r="IM598" s="405"/>
      <c r="IS598" s="83"/>
      <c r="JA598" s="405"/>
      <c r="JG598" s="83"/>
      <c r="JO598" s="405"/>
      <c r="JU598" s="83"/>
      <c r="KC598" s="405"/>
      <c r="KI598" s="83"/>
      <c r="KQ598" s="405"/>
      <c r="KW598" s="83"/>
      <c r="LE598" s="405"/>
      <c r="LK598" s="83"/>
      <c r="LS598" s="405"/>
      <c r="LY598" s="83"/>
      <c r="MG598" s="405"/>
      <c r="MM598" s="83"/>
      <c r="MU598" s="405"/>
      <c r="NA598" s="83"/>
    </row>
    <row r="599">
      <c r="A599" s="483"/>
      <c r="B599" s="380"/>
      <c r="C599" s="380"/>
      <c r="D599" s="380"/>
      <c r="E599" s="380"/>
      <c r="F599" s="380"/>
      <c r="G599" s="380"/>
      <c r="H599" s="380"/>
      <c r="I599" s="403"/>
      <c r="J599" s="380"/>
      <c r="K599" s="380"/>
      <c r="L599" s="380"/>
      <c r="M599" s="380"/>
      <c r="N599" s="380"/>
      <c r="O599" s="404"/>
      <c r="P599" s="380"/>
      <c r="Q599" s="380"/>
      <c r="R599" s="380"/>
      <c r="S599" s="380"/>
      <c r="T599" s="380"/>
      <c r="U599" s="380"/>
      <c r="V599" s="380"/>
      <c r="W599" s="403"/>
      <c r="X599" s="380"/>
      <c r="Y599" s="380"/>
      <c r="Z599" s="380"/>
      <c r="AA599" s="380"/>
      <c r="AB599" s="380"/>
      <c r="AC599" s="404"/>
      <c r="AD599" s="380"/>
      <c r="AE599" s="380"/>
      <c r="AF599" s="380"/>
      <c r="AG599" s="380"/>
      <c r="AH599" s="380"/>
      <c r="AI599" s="380"/>
      <c r="AJ599" s="380"/>
      <c r="AK599" s="403"/>
      <c r="AL599" s="380"/>
      <c r="AM599" s="380"/>
      <c r="AN599" s="380"/>
      <c r="AO599" s="380"/>
      <c r="AP599" s="380"/>
      <c r="AQ599" s="404"/>
      <c r="AR599" s="380"/>
      <c r="AS599" s="380"/>
      <c r="AT599" s="380"/>
      <c r="AU599" s="380"/>
      <c r="AV599" s="380"/>
      <c r="AW599" s="380"/>
      <c r="AX599" s="380"/>
      <c r="AY599" s="403"/>
      <c r="AZ599" s="380"/>
      <c r="BA599" s="380"/>
      <c r="BB599" s="380"/>
      <c r="BC599" s="380"/>
      <c r="BD599" s="380"/>
      <c r="BE599" s="404"/>
      <c r="BF599" s="380"/>
      <c r="BG599" s="380"/>
      <c r="BH599" s="380"/>
      <c r="BI599" s="380"/>
      <c r="BJ599" s="380"/>
      <c r="BK599" s="380"/>
      <c r="BL599" s="380"/>
      <c r="BM599" s="403"/>
      <c r="BS599" s="83"/>
      <c r="CA599" s="405"/>
      <c r="CG599" s="83"/>
      <c r="CO599" s="405"/>
      <c r="CU599" s="83"/>
      <c r="DC599" s="405"/>
      <c r="DI599" s="83"/>
      <c r="DQ599" s="405"/>
      <c r="DW599" s="83"/>
      <c r="EE599" s="405"/>
      <c r="EK599" s="83"/>
      <c r="ES599" s="405"/>
      <c r="EY599" s="83"/>
      <c r="FG599" s="405"/>
      <c r="FM599" s="83"/>
      <c r="FU599" s="405"/>
      <c r="GA599" s="83"/>
      <c r="GI599" s="405"/>
      <c r="GO599" s="83"/>
      <c r="GW599" s="405"/>
      <c r="HC599" s="83"/>
      <c r="HK599" s="405"/>
      <c r="HQ599" s="83"/>
      <c r="HY599" s="405"/>
      <c r="IE599" s="83"/>
      <c r="IM599" s="405"/>
      <c r="IS599" s="83"/>
      <c r="JA599" s="405"/>
      <c r="JG599" s="83"/>
      <c r="JO599" s="405"/>
      <c r="JU599" s="83"/>
      <c r="KC599" s="405"/>
      <c r="KI599" s="83"/>
      <c r="KQ599" s="405"/>
      <c r="KW599" s="83"/>
      <c r="LE599" s="405"/>
      <c r="LK599" s="83"/>
      <c r="LS599" s="405"/>
      <c r="LY599" s="83"/>
      <c r="MG599" s="405"/>
      <c r="MM599" s="83"/>
      <c r="MU599" s="405"/>
      <c r="NA599" s="83"/>
    </row>
    <row r="600">
      <c r="A600" s="483"/>
      <c r="B600" s="380"/>
      <c r="C600" s="380"/>
      <c r="D600" s="380"/>
      <c r="E600" s="380"/>
      <c r="F600" s="380"/>
      <c r="G600" s="380"/>
      <c r="H600" s="380"/>
      <c r="I600" s="403"/>
      <c r="J600" s="380"/>
      <c r="K600" s="380"/>
      <c r="L600" s="380"/>
      <c r="M600" s="380"/>
      <c r="N600" s="380"/>
      <c r="O600" s="404"/>
      <c r="P600" s="380"/>
      <c r="Q600" s="380"/>
      <c r="R600" s="380"/>
      <c r="S600" s="380"/>
      <c r="T600" s="380"/>
      <c r="U600" s="380"/>
      <c r="V600" s="380"/>
      <c r="W600" s="403"/>
      <c r="X600" s="380"/>
      <c r="Y600" s="380"/>
      <c r="Z600" s="380"/>
      <c r="AA600" s="380"/>
      <c r="AB600" s="380"/>
      <c r="AC600" s="404"/>
      <c r="AD600" s="380"/>
      <c r="AE600" s="380"/>
      <c r="AF600" s="380"/>
      <c r="AG600" s="380"/>
      <c r="AH600" s="380"/>
      <c r="AI600" s="380"/>
      <c r="AJ600" s="380"/>
      <c r="AK600" s="403"/>
      <c r="AL600" s="380"/>
      <c r="AM600" s="380"/>
      <c r="AN600" s="380"/>
      <c r="AO600" s="380"/>
      <c r="AP600" s="380"/>
      <c r="AQ600" s="404"/>
      <c r="AR600" s="380"/>
      <c r="AS600" s="380"/>
      <c r="AT600" s="380"/>
      <c r="AU600" s="380"/>
      <c r="AV600" s="380"/>
      <c r="AW600" s="380"/>
      <c r="AX600" s="380"/>
      <c r="AY600" s="403"/>
      <c r="AZ600" s="380"/>
      <c r="BA600" s="380"/>
      <c r="BB600" s="380"/>
      <c r="BC600" s="380"/>
      <c r="BD600" s="380"/>
      <c r="BE600" s="404"/>
      <c r="BF600" s="380"/>
      <c r="BG600" s="380"/>
      <c r="BH600" s="380"/>
      <c r="BI600" s="380"/>
      <c r="BJ600" s="380"/>
      <c r="BK600" s="380"/>
      <c r="BL600" s="380"/>
      <c r="BM600" s="403"/>
      <c r="BS600" s="83"/>
      <c r="CA600" s="405"/>
      <c r="CG600" s="83"/>
      <c r="CO600" s="405"/>
      <c r="CU600" s="83"/>
      <c r="DC600" s="405"/>
      <c r="DI600" s="83"/>
      <c r="DQ600" s="405"/>
      <c r="DW600" s="83"/>
      <c r="EE600" s="405"/>
      <c r="EK600" s="83"/>
      <c r="ES600" s="405"/>
      <c r="EY600" s="83"/>
      <c r="FG600" s="405"/>
      <c r="FM600" s="83"/>
      <c r="FU600" s="405"/>
      <c r="GA600" s="83"/>
      <c r="GI600" s="405"/>
      <c r="GO600" s="83"/>
      <c r="GW600" s="405"/>
      <c r="HC600" s="83"/>
      <c r="HK600" s="405"/>
      <c r="HQ600" s="83"/>
      <c r="HY600" s="405"/>
      <c r="IE600" s="83"/>
      <c r="IM600" s="405"/>
      <c r="IS600" s="83"/>
      <c r="JA600" s="405"/>
      <c r="JG600" s="83"/>
      <c r="JO600" s="405"/>
      <c r="JU600" s="83"/>
      <c r="KC600" s="405"/>
      <c r="KI600" s="83"/>
      <c r="KQ600" s="405"/>
      <c r="KW600" s="83"/>
      <c r="LE600" s="405"/>
      <c r="LK600" s="83"/>
      <c r="LS600" s="405"/>
      <c r="LY600" s="83"/>
      <c r="MG600" s="405"/>
      <c r="MM600" s="83"/>
      <c r="MU600" s="405"/>
      <c r="NA600" s="83"/>
    </row>
    <row r="601">
      <c r="A601" s="483"/>
      <c r="B601" s="380"/>
      <c r="C601" s="380"/>
      <c r="D601" s="380"/>
      <c r="E601" s="380"/>
      <c r="F601" s="380"/>
      <c r="G601" s="380"/>
      <c r="H601" s="380"/>
      <c r="I601" s="403"/>
      <c r="J601" s="380"/>
      <c r="K601" s="380"/>
      <c r="L601" s="380"/>
      <c r="M601" s="380"/>
      <c r="N601" s="380"/>
      <c r="O601" s="404"/>
      <c r="P601" s="380"/>
      <c r="Q601" s="380"/>
      <c r="R601" s="380"/>
      <c r="S601" s="380"/>
      <c r="T601" s="380"/>
      <c r="U601" s="380"/>
      <c r="V601" s="380"/>
      <c r="W601" s="403"/>
      <c r="X601" s="380"/>
      <c r="Y601" s="380"/>
      <c r="Z601" s="380"/>
      <c r="AA601" s="380"/>
      <c r="AB601" s="380"/>
      <c r="AC601" s="404"/>
      <c r="AD601" s="380"/>
      <c r="AE601" s="380"/>
      <c r="AF601" s="380"/>
      <c r="AG601" s="380"/>
      <c r="AH601" s="380"/>
      <c r="AI601" s="380"/>
      <c r="AJ601" s="380"/>
      <c r="AK601" s="403"/>
      <c r="AL601" s="380"/>
      <c r="AM601" s="380"/>
      <c r="AN601" s="380"/>
      <c r="AO601" s="380"/>
      <c r="AP601" s="380"/>
      <c r="AQ601" s="404"/>
      <c r="AR601" s="380"/>
      <c r="AS601" s="380"/>
      <c r="AT601" s="380"/>
      <c r="AU601" s="380"/>
      <c r="AV601" s="380"/>
      <c r="AW601" s="380"/>
      <c r="AX601" s="380"/>
      <c r="AY601" s="403"/>
      <c r="AZ601" s="380"/>
      <c r="BA601" s="380"/>
      <c r="BB601" s="380"/>
      <c r="BC601" s="380"/>
      <c r="BD601" s="380"/>
      <c r="BE601" s="404"/>
      <c r="BF601" s="380"/>
      <c r="BG601" s="380"/>
      <c r="BH601" s="380"/>
      <c r="BI601" s="380"/>
      <c r="BJ601" s="380"/>
      <c r="BK601" s="380"/>
      <c r="BL601" s="380"/>
      <c r="BM601" s="403"/>
      <c r="BS601" s="83"/>
      <c r="CA601" s="405"/>
      <c r="CG601" s="83"/>
      <c r="CO601" s="405"/>
      <c r="CU601" s="83"/>
      <c r="DC601" s="405"/>
      <c r="DI601" s="83"/>
      <c r="DQ601" s="405"/>
      <c r="DW601" s="83"/>
      <c r="EE601" s="405"/>
      <c r="EK601" s="83"/>
      <c r="ES601" s="405"/>
      <c r="EY601" s="83"/>
      <c r="FG601" s="405"/>
      <c r="FM601" s="83"/>
      <c r="FU601" s="405"/>
      <c r="GA601" s="83"/>
      <c r="GI601" s="405"/>
      <c r="GO601" s="83"/>
      <c r="GW601" s="405"/>
      <c r="HC601" s="83"/>
      <c r="HK601" s="405"/>
      <c r="HQ601" s="83"/>
      <c r="HY601" s="405"/>
      <c r="IE601" s="83"/>
      <c r="IM601" s="405"/>
      <c r="IS601" s="83"/>
      <c r="JA601" s="405"/>
      <c r="JG601" s="83"/>
      <c r="JO601" s="405"/>
      <c r="JU601" s="83"/>
      <c r="KC601" s="405"/>
      <c r="KI601" s="83"/>
      <c r="KQ601" s="405"/>
      <c r="KW601" s="83"/>
      <c r="LE601" s="405"/>
      <c r="LK601" s="83"/>
      <c r="LS601" s="405"/>
      <c r="LY601" s="83"/>
      <c r="MG601" s="405"/>
      <c r="MM601" s="83"/>
      <c r="MU601" s="405"/>
      <c r="NA601" s="83"/>
    </row>
    <row r="602">
      <c r="A602" s="483"/>
      <c r="B602" s="380"/>
      <c r="C602" s="380"/>
      <c r="D602" s="380"/>
      <c r="E602" s="380"/>
      <c r="F602" s="380"/>
      <c r="G602" s="380"/>
      <c r="H602" s="380"/>
      <c r="I602" s="403"/>
      <c r="J602" s="380"/>
      <c r="K602" s="380"/>
      <c r="L602" s="380"/>
      <c r="M602" s="380"/>
      <c r="N602" s="380"/>
      <c r="O602" s="404"/>
      <c r="P602" s="380"/>
      <c r="Q602" s="380"/>
      <c r="R602" s="380"/>
      <c r="S602" s="380"/>
      <c r="T602" s="380"/>
      <c r="U602" s="380"/>
      <c r="V602" s="380"/>
      <c r="W602" s="403"/>
      <c r="X602" s="380"/>
      <c r="Y602" s="380"/>
      <c r="Z602" s="380"/>
      <c r="AA602" s="380"/>
      <c r="AB602" s="380"/>
      <c r="AC602" s="404"/>
      <c r="AD602" s="380"/>
      <c r="AE602" s="380"/>
      <c r="AF602" s="380"/>
      <c r="AG602" s="380"/>
      <c r="AH602" s="380"/>
      <c r="AI602" s="380"/>
      <c r="AJ602" s="380"/>
      <c r="AK602" s="403"/>
      <c r="AL602" s="380"/>
      <c r="AM602" s="380"/>
      <c r="AN602" s="380"/>
      <c r="AO602" s="380"/>
      <c r="AP602" s="380"/>
      <c r="AQ602" s="404"/>
      <c r="AR602" s="380"/>
      <c r="AS602" s="380"/>
      <c r="AT602" s="380"/>
      <c r="AU602" s="380"/>
      <c r="AV602" s="380"/>
      <c r="AW602" s="380"/>
      <c r="AX602" s="380"/>
      <c r="AY602" s="403"/>
      <c r="AZ602" s="380"/>
      <c r="BA602" s="380"/>
      <c r="BB602" s="380"/>
      <c r="BC602" s="380"/>
      <c r="BD602" s="380"/>
      <c r="BE602" s="404"/>
      <c r="BF602" s="380"/>
      <c r="BG602" s="380"/>
      <c r="BH602" s="380"/>
      <c r="BI602" s="380"/>
      <c r="BJ602" s="380"/>
      <c r="BK602" s="380"/>
      <c r="BL602" s="380"/>
      <c r="BM602" s="403"/>
      <c r="BS602" s="83"/>
      <c r="CA602" s="405"/>
      <c r="CG602" s="83"/>
      <c r="CO602" s="405"/>
      <c r="CU602" s="83"/>
      <c r="DC602" s="405"/>
      <c r="DI602" s="83"/>
      <c r="DQ602" s="405"/>
      <c r="DW602" s="83"/>
      <c r="EE602" s="405"/>
      <c r="EK602" s="83"/>
      <c r="ES602" s="405"/>
      <c r="EY602" s="83"/>
      <c r="FG602" s="405"/>
      <c r="FM602" s="83"/>
      <c r="FU602" s="405"/>
      <c r="GA602" s="83"/>
      <c r="GI602" s="405"/>
      <c r="GO602" s="83"/>
      <c r="GW602" s="405"/>
      <c r="HC602" s="83"/>
      <c r="HK602" s="405"/>
      <c r="HQ602" s="83"/>
      <c r="HY602" s="405"/>
      <c r="IE602" s="83"/>
      <c r="IM602" s="405"/>
      <c r="IS602" s="83"/>
      <c r="JA602" s="405"/>
      <c r="JG602" s="83"/>
      <c r="JO602" s="405"/>
      <c r="JU602" s="83"/>
      <c r="KC602" s="405"/>
      <c r="KI602" s="83"/>
      <c r="KQ602" s="405"/>
      <c r="KW602" s="83"/>
      <c r="LE602" s="405"/>
      <c r="LK602" s="83"/>
      <c r="LS602" s="405"/>
      <c r="LY602" s="83"/>
      <c r="MG602" s="405"/>
      <c r="MM602" s="83"/>
      <c r="MU602" s="405"/>
      <c r="NA602" s="83"/>
    </row>
    <row r="603">
      <c r="A603" s="483"/>
      <c r="B603" s="380"/>
      <c r="C603" s="380"/>
      <c r="D603" s="380"/>
      <c r="E603" s="380"/>
      <c r="F603" s="380"/>
      <c r="G603" s="380"/>
      <c r="H603" s="380"/>
      <c r="I603" s="403"/>
      <c r="J603" s="380"/>
      <c r="K603" s="380"/>
      <c r="L603" s="380"/>
      <c r="M603" s="380"/>
      <c r="N603" s="380"/>
      <c r="O603" s="404"/>
      <c r="P603" s="380"/>
      <c r="Q603" s="380"/>
      <c r="R603" s="380"/>
      <c r="S603" s="380"/>
      <c r="T603" s="380"/>
      <c r="U603" s="380"/>
      <c r="V603" s="380"/>
      <c r="W603" s="403"/>
      <c r="X603" s="380"/>
      <c r="Y603" s="380"/>
      <c r="Z603" s="380"/>
      <c r="AA603" s="380"/>
      <c r="AB603" s="380"/>
      <c r="AC603" s="404"/>
      <c r="AD603" s="380"/>
      <c r="AE603" s="380"/>
      <c r="AF603" s="380"/>
      <c r="AG603" s="380"/>
      <c r="AH603" s="380"/>
      <c r="AI603" s="380"/>
      <c r="AJ603" s="380"/>
      <c r="AK603" s="403"/>
      <c r="AL603" s="380"/>
      <c r="AM603" s="380"/>
      <c r="AN603" s="380"/>
      <c r="AO603" s="380"/>
      <c r="AP603" s="380"/>
      <c r="AQ603" s="404"/>
      <c r="AR603" s="380"/>
      <c r="AS603" s="380"/>
      <c r="AT603" s="380"/>
      <c r="AU603" s="380"/>
      <c r="AV603" s="380"/>
      <c r="AW603" s="380"/>
      <c r="AX603" s="380"/>
      <c r="AY603" s="403"/>
      <c r="AZ603" s="380"/>
      <c r="BA603" s="380"/>
      <c r="BB603" s="380"/>
      <c r="BC603" s="380"/>
      <c r="BD603" s="380"/>
      <c r="BE603" s="404"/>
      <c r="BF603" s="380"/>
      <c r="BG603" s="380"/>
      <c r="BH603" s="380"/>
      <c r="BI603" s="380"/>
      <c r="BJ603" s="380"/>
      <c r="BK603" s="380"/>
      <c r="BL603" s="380"/>
      <c r="BM603" s="403"/>
      <c r="BS603" s="83"/>
      <c r="CA603" s="405"/>
      <c r="CG603" s="83"/>
      <c r="CO603" s="405"/>
      <c r="CU603" s="83"/>
      <c r="DC603" s="405"/>
      <c r="DI603" s="83"/>
      <c r="DQ603" s="405"/>
      <c r="DW603" s="83"/>
      <c r="EE603" s="405"/>
      <c r="EK603" s="83"/>
      <c r="ES603" s="405"/>
      <c r="EY603" s="83"/>
      <c r="FG603" s="405"/>
      <c r="FM603" s="83"/>
      <c r="FU603" s="405"/>
      <c r="GA603" s="83"/>
      <c r="GI603" s="405"/>
      <c r="GO603" s="83"/>
      <c r="GW603" s="405"/>
      <c r="HC603" s="83"/>
      <c r="HK603" s="405"/>
      <c r="HQ603" s="83"/>
      <c r="HY603" s="405"/>
      <c r="IE603" s="83"/>
      <c r="IM603" s="405"/>
      <c r="IS603" s="83"/>
      <c r="JA603" s="405"/>
      <c r="JG603" s="83"/>
      <c r="JO603" s="405"/>
      <c r="JU603" s="83"/>
      <c r="KC603" s="405"/>
      <c r="KI603" s="83"/>
      <c r="KQ603" s="405"/>
      <c r="KW603" s="83"/>
      <c r="LE603" s="405"/>
      <c r="LK603" s="83"/>
      <c r="LS603" s="405"/>
      <c r="LY603" s="83"/>
      <c r="MG603" s="405"/>
      <c r="MM603" s="83"/>
      <c r="MU603" s="405"/>
      <c r="NA603" s="83"/>
    </row>
    <row r="604">
      <c r="A604" s="483"/>
      <c r="B604" s="380"/>
      <c r="C604" s="380"/>
      <c r="D604" s="380"/>
      <c r="E604" s="380"/>
      <c r="F604" s="380"/>
      <c r="G604" s="380"/>
      <c r="H604" s="380"/>
      <c r="I604" s="403"/>
      <c r="J604" s="380"/>
      <c r="K604" s="380"/>
      <c r="L604" s="380"/>
      <c r="M604" s="380"/>
      <c r="N604" s="380"/>
      <c r="O604" s="404"/>
      <c r="P604" s="380"/>
      <c r="Q604" s="380"/>
      <c r="R604" s="380"/>
      <c r="S604" s="380"/>
      <c r="T604" s="380"/>
      <c r="U604" s="380"/>
      <c r="V604" s="380"/>
      <c r="W604" s="403"/>
      <c r="X604" s="380"/>
      <c r="Y604" s="380"/>
      <c r="Z604" s="380"/>
      <c r="AA604" s="380"/>
      <c r="AB604" s="380"/>
      <c r="AC604" s="404"/>
      <c r="AD604" s="380"/>
      <c r="AE604" s="380"/>
      <c r="AF604" s="380"/>
      <c r="AG604" s="380"/>
      <c r="AH604" s="380"/>
      <c r="AI604" s="380"/>
      <c r="AJ604" s="380"/>
      <c r="AK604" s="403"/>
      <c r="AL604" s="380"/>
      <c r="AM604" s="380"/>
      <c r="AN604" s="380"/>
      <c r="AO604" s="380"/>
      <c r="AP604" s="380"/>
      <c r="AQ604" s="404"/>
      <c r="AR604" s="380"/>
      <c r="AS604" s="380"/>
      <c r="AT604" s="380"/>
      <c r="AU604" s="380"/>
      <c r="AV604" s="380"/>
      <c r="AW604" s="380"/>
      <c r="AX604" s="380"/>
      <c r="AY604" s="403"/>
      <c r="AZ604" s="380"/>
      <c r="BA604" s="380"/>
      <c r="BB604" s="380"/>
      <c r="BC604" s="380"/>
      <c r="BD604" s="380"/>
      <c r="BE604" s="404"/>
      <c r="BF604" s="380"/>
      <c r="BG604" s="380"/>
      <c r="BH604" s="380"/>
      <c r="BI604" s="380"/>
      <c r="BJ604" s="380"/>
      <c r="BK604" s="380"/>
      <c r="BL604" s="380"/>
      <c r="BM604" s="403"/>
      <c r="BS604" s="83"/>
      <c r="CA604" s="405"/>
      <c r="CG604" s="83"/>
      <c r="CO604" s="405"/>
      <c r="CU604" s="83"/>
      <c r="DC604" s="405"/>
      <c r="DI604" s="83"/>
      <c r="DQ604" s="405"/>
      <c r="DW604" s="83"/>
      <c r="EE604" s="405"/>
      <c r="EK604" s="83"/>
      <c r="ES604" s="405"/>
      <c r="EY604" s="83"/>
      <c r="FG604" s="405"/>
      <c r="FM604" s="83"/>
      <c r="FU604" s="405"/>
      <c r="GA604" s="83"/>
      <c r="GI604" s="405"/>
      <c r="GO604" s="83"/>
      <c r="GW604" s="405"/>
      <c r="HC604" s="83"/>
      <c r="HK604" s="405"/>
      <c r="HQ604" s="83"/>
      <c r="HY604" s="405"/>
      <c r="IE604" s="83"/>
      <c r="IM604" s="405"/>
      <c r="IS604" s="83"/>
      <c r="JA604" s="405"/>
      <c r="JG604" s="83"/>
      <c r="JO604" s="405"/>
      <c r="JU604" s="83"/>
      <c r="KC604" s="405"/>
      <c r="KI604" s="83"/>
      <c r="KQ604" s="405"/>
      <c r="KW604" s="83"/>
      <c r="LE604" s="405"/>
      <c r="LK604" s="83"/>
      <c r="LS604" s="405"/>
      <c r="LY604" s="83"/>
      <c r="MG604" s="405"/>
      <c r="MM604" s="83"/>
      <c r="MU604" s="405"/>
      <c r="NA604" s="83"/>
    </row>
    <row r="605">
      <c r="A605" s="483"/>
      <c r="B605" s="380"/>
      <c r="C605" s="380"/>
      <c r="D605" s="380"/>
      <c r="E605" s="380"/>
      <c r="F605" s="380"/>
      <c r="G605" s="380"/>
      <c r="H605" s="380"/>
      <c r="I605" s="403"/>
      <c r="J605" s="380"/>
      <c r="K605" s="380"/>
      <c r="L605" s="380"/>
      <c r="M605" s="380"/>
      <c r="N605" s="380"/>
      <c r="O605" s="404"/>
      <c r="P605" s="380"/>
      <c r="Q605" s="380"/>
      <c r="R605" s="380"/>
      <c r="S605" s="380"/>
      <c r="T605" s="380"/>
      <c r="U605" s="380"/>
      <c r="V605" s="380"/>
      <c r="W605" s="403"/>
      <c r="X605" s="380"/>
      <c r="Y605" s="380"/>
      <c r="Z605" s="380"/>
      <c r="AA605" s="380"/>
      <c r="AB605" s="380"/>
      <c r="AC605" s="404"/>
      <c r="AD605" s="380"/>
      <c r="AE605" s="380"/>
      <c r="AF605" s="380"/>
      <c r="AG605" s="380"/>
      <c r="AH605" s="380"/>
      <c r="AI605" s="380"/>
      <c r="AJ605" s="380"/>
      <c r="AK605" s="403"/>
      <c r="AL605" s="380"/>
      <c r="AM605" s="380"/>
      <c r="AN605" s="380"/>
      <c r="AO605" s="380"/>
      <c r="AP605" s="380"/>
      <c r="AQ605" s="404"/>
      <c r="AR605" s="380"/>
      <c r="AS605" s="380"/>
      <c r="AT605" s="380"/>
      <c r="AU605" s="380"/>
      <c r="AV605" s="380"/>
      <c r="AW605" s="380"/>
      <c r="AX605" s="380"/>
      <c r="AY605" s="403"/>
      <c r="AZ605" s="380"/>
      <c r="BA605" s="380"/>
      <c r="BB605" s="380"/>
      <c r="BC605" s="380"/>
      <c r="BD605" s="380"/>
      <c r="BE605" s="404"/>
      <c r="BF605" s="380"/>
      <c r="BG605" s="380"/>
      <c r="BH605" s="380"/>
      <c r="BI605" s="380"/>
      <c r="BJ605" s="380"/>
      <c r="BK605" s="380"/>
      <c r="BL605" s="380"/>
      <c r="BM605" s="403"/>
      <c r="BS605" s="83"/>
      <c r="CA605" s="405"/>
      <c r="CG605" s="83"/>
      <c r="CO605" s="405"/>
      <c r="CU605" s="83"/>
      <c r="DC605" s="405"/>
      <c r="DI605" s="83"/>
      <c r="DQ605" s="405"/>
      <c r="DW605" s="83"/>
      <c r="EE605" s="405"/>
      <c r="EK605" s="83"/>
      <c r="ES605" s="405"/>
      <c r="EY605" s="83"/>
      <c r="FG605" s="405"/>
      <c r="FM605" s="83"/>
      <c r="FU605" s="405"/>
      <c r="GA605" s="83"/>
      <c r="GI605" s="405"/>
      <c r="GO605" s="83"/>
      <c r="GW605" s="405"/>
      <c r="HC605" s="83"/>
      <c r="HK605" s="405"/>
      <c r="HQ605" s="83"/>
      <c r="HY605" s="405"/>
      <c r="IE605" s="83"/>
      <c r="IM605" s="405"/>
      <c r="IS605" s="83"/>
      <c r="JA605" s="405"/>
      <c r="JG605" s="83"/>
      <c r="JO605" s="405"/>
      <c r="JU605" s="83"/>
      <c r="KC605" s="405"/>
      <c r="KI605" s="83"/>
      <c r="KQ605" s="405"/>
      <c r="KW605" s="83"/>
      <c r="LE605" s="405"/>
      <c r="LK605" s="83"/>
      <c r="LS605" s="405"/>
      <c r="LY605" s="83"/>
      <c r="MG605" s="405"/>
      <c r="MM605" s="83"/>
      <c r="MU605" s="405"/>
      <c r="NA605" s="83"/>
    </row>
    <row r="606">
      <c r="A606" s="483"/>
      <c r="B606" s="380"/>
      <c r="C606" s="380"/>
      <c r="D606" s="380"/>
      <c r="E606" s="380"/>
      <c r="F606" s="380"/>
      <c r="G606" s="380"/>
      <c r="H606" s="380"/>
      <c r="I606" s="403"/>
      <c r="J606" s="380"/>
      <c r="K606" s="380"/>
      <c r="L606" s="380"/>
      <c r="M606" s="380"/>
      <c r="N606" s="380"/>
      <c r="O606" s="404"/>
      <c r="P606" s="380"/>
      <c r="Q606" s="380"/>
      <c r="R606" s="380"/>
      <c r="S606" s="380"/>
      <c r="T606" s="380"/>
      <c r="U606" s="380"/>
      <c r="V606" s="380"/>
      <c r="W606" s="403"/>
      <c r="X606" s="380"/>
      <c r="Y606" s="380"/>
      <c r="Z606" s="380"/>
      <c r="AA606" s="380"/>
      <c r="AB606" s="380"/>
      <c r="AC606" s="404"/>
      <c r="AD606" s="380"/>
      <c r="AE606" s="380"/>
      <c r="AF606" s="380"/>
      <c r="AG606" s="380"/>
      <c r="AH606" s="380"/>
      <c r="AI606" s="380"/>
      <c r="AJ606" s="380"/>
      <c r="AK606" s="403"/>
      <c r="AL606" s="380"/>
      <c r="AM606" s="380"/>
      <c r="AN606" s="380"/>
      <c r="AO606" s="380"/>
      <c r="AP606" s="380"/>
      <c r="AQ606" s="404"/>
      <c r="AR606" s="380"/>
      <c r="AS606" s="380"/>
      <c r="AT606" s="380"/>
      <c r="AU606" s="380"/>
      <c r="AV606" s="380"/>
      <c r="AW606" s="380"/>
      <c r="AX606" s="380"/>
      <c r="AY606" s="403"/>
      <c r="AZ606" s="380"/>
      <c r="BA606" s="380"/>
      <c r="BB606" s="380"/>
      <c r="BC606" s="380"/>
      <c r="BD606" s="380"/>
      <c r="BE606" s="404"/>
      <c r="BF606" s="380"/>
      <c r="BG606" s="380"/>
      <c r="BH606" s="380"/>
      <c r="BI606" s="380"/>
      <c r="BJ606" s="380"/>
      <c r="BK606" s="380"/>
      <c r="BL606" s="380"/>
      <c r="BM606" s="403"/>
      <c r="BS606" s="83"/>
      <c r="CA606" s="405"/>
      <c r="CG606" s="83"/>
      <c r="CO606" s="405"/>
      <c r="CU606" s="83"/>
      <c r="DC606" s="405"/>
      <c r="DI606" s="83"/>
      <c r="DQ606" s="405"/>
      <c r="DW606" s="83"/>
      <c r="EE606" s="405"/>
      <c r="EK606" s="83"/>
      <c r="ES606" s="405"/>
      <c r="EY606" s="83"/>
      <c r="FG606" s="405"/>
      <c r="FM606" s="83"/>
      <c r="FU606" s="405"/>
      <c r="GA606" s="83"/>
      <c r="GI606" s="405"/>
      <c r="GO606" s="83"/>
      <c r="GW606" s="405"/>
      <c r="HC606" s="83"/>
      <c r="HK606" s="405"/>
      <c r="HQ606" s="83"/>
      <c r="HY606" s="405"/>
      <c r="IE606" s="83"/>
      <c r="IM606" s="405"/>
      <c r="IS606" s="83"/>
      <c r="JA606" s="405"/>
      <c r="JG606" s="83"/>
      <c r="JO606" s="405"/>
      <c r="JU606" s="83"/>
      <c r="KC606" s="405"/>
      <c r="KI606" s="83"/>
      <c r="KQ606" s="405"/>
      <c r="KW606" s="83"/>
      <c r="LE606" s="405"/>
      <c r="LK606" s="83"/>
      <c r="LS606" s="405"/>
      <c r="LY606" s="83"/>
      <c r="MG606" s="405"/>
      <c r="MM606" s="83"/>
      <c r="MU606" s="405"/>
      <c r="NA606" s="83"/>
    </row>
    <row r="607">
      <c r="A607" s="483"/>
      <c r="B607" s="380"/>
      <c r="C607" s="380"/>
      <c r="D607" s="380"/>
      <c r="E607" s="380"/>
      <c r="F607" s="380"/>
      <c r="G607" s="380"/>
      <c r="H607" s="380"/>
      <c r="I607" s="403"/>
      <c r="J607" s="380"/>
      <c r="K607" s="380"/>
      <c r="L607" s="380"/>
      <c r="M607" s="380"/>
      <c r="N607" s="380"/>
      <c r="O607" s="404"/>
      <c r="P607" s="380"/>
      <c r="Q607" s="380"/>
      <c r="R607" s="380"/>
      <c r="S607" s="380"/>
      <c r="T607" s="380"/>
      <c r="U607" s="380"/>
      <c r="V607" s="380"/>
      <c r="W607" s="403"/>
      <c r="X607" s="380"/>
      <c r="Y607" s="380"/>
      <c r="Z607" s="380"/>
      <c r="AA607" s="380"/>
      <c r="AB607" s="380"/>
      <c r="AC607" s="404"/>
      <c r="AD607" s="380"/>
      <c r="AE607" s="380"/>
      <c r="AF607" s="380"/>
      <c r="AG607" s="380"/>
      <c r="AH607" s="380"/>
      <c r="AI607" s="380"/>
      <c r="AJ607" s="380"/>
      <c r="AK607" s="403"/>
      <c r="AL607" s="380"/>
      <c r="AM607" s="380"/>
      <c r="AN607" s="380"/>
      <c r="AO607" s="380"/>
      <c r="AP607" s="380"/>
      <c r="AQ607" s="404"/>
      <c r="AR607" s="380"/>
      <c r="AS607" s="380"/>
      <c r="AT607" s="380"/>
      <c r="AU607" s="380"/>
      <c r="AV607" s="380"/>
      <c r="AW607" s="380"/>
      <c r="AX607" s="380"/>
      <c r="AY607" s="403"/>
      <c r="AZ607" s="380"/>
      <c r="BA607" s="380"/>
      <c r="BB607" s="380"/>
      <c r="BC607" s="380"/>
      <c r="BD607" s="380"/>
      <c r="BE607" s="404"/>
      <c r="BF607" s="380"/>
      <c r="BG607" s="380"/>
      <c r="BH607" s="380"/>
      <c r="BI607" s="380"/>
      <c r="BJ607" s="380"/>
      <c r="BK607" s="380"/>
      <c r="BL607" s="380"/>
      <c r="BM607" s="403"/>
      <c r="BS607" s="83"/>
      <c r="CA607" s="405"/>
      <c r="CG607" s="83"/>
      <c r="CO607" s="405"/>
      <c r="CU607" s="83"/>
      <c r="DC607" s="405"/>
      <c r="DI607" s="83"/>
      <c r="DQ607" s="405"/>
      <c r="DW607" s="83"/>
      <c r="EE607" s="405"/>
      <c r="EK607" s="83"/>
      <c r="ES607" s="405"/>
      <c r="EY607" s="83"/>
      <c r="FG607" s="405"/>
      <c r="FM607" s="83"/>
      <c r="FU607" s="405"/>
      <c r="GA607" s="83"/>
      <c r="GI607" s="405"/>
      <c r="GO607" s="83"/>
      <c r="GW607" s="405"/>
      <c r="HC607" s="83"/>
      <c r="HK607" s="405"/>
      <c r="HQ607" s="83"/>
      <c r="HY607" s="405"/>
      <c r="IE607" s="83"/>
      <c r="IM607" s="405"/>
      <c r="IS607" s="83"/>
      <c r="JA607" s="405"/>
      <c r="JG607" s="83"/>
      <c r="JO607" s="405"/>
      <c r="JU607" s="83"/>
      <c r="KC607" s="405"/>
      <c r="KI607" s="83"/>
      <c r="KQ607" s="405"/>
      <c r="KW607" s="83"/>
      <c r="LE607" s="405"/>
      <c r="LK607" s="83"/>
      <c r="LS607" s="405"/>
      <c r="LY607" s="83"/>
      <c r="MG607" s="405"/>
      <c r="MM607" s="83"/>
      <c r="MU607" s="405"/>
      <c r="NA607" s="83"/>
    </row>
    <row r="608">
      <c r="A608" s="483"/>
      <c r="B608" s="380"/>
      <c r="C608" s="380"/>
      <c r="D608" s="380"/>
      <c r="E608" s="380"/>
      <c r="F608" s="380"/>
      <c r="G608" s="380"/>
      <c r="H608" s="380"/>
      <c r="I608" s="403"/>
      <c r="J608" s="380"/>
      <c r="K608" s="380"/>
      <c r="L608" s="380"/>
      <c r="M608" s="380"/>
      <c r="N608" s="380"/>
      <c r="O608" s="404"/>
      <c r="P608" s="380"/>
      <c r="Q608" s="380"/>
      <c r="R608" s="380"/>
      <c r="S608" s="380"/>
      <c r="T608" s="380"/>
      <c r="U608" s="380"/>
      <c r="V608" s="380"/>
      <c r="W608" s="403"/>
      <c r="X608" s="380"/>
      <c r="Y608" s="380"/>
      <c r="Z608" s="380"/>
      <c r="AA608" s="380"/>
      <c r="AB608" s="380"/>
      <c r="AC608" s="404"/>
      <c r="AD608" s="380"/>
      <c r="AE608" s="380"/>
      <c r="AF608" s="380"/>
      <c r="AG608" s="380"/>
      <c r="AH608" s="380"/>
      <c r="AI608" s="380"/>
      <c r="AJ608" s="380"/>
      <c r="AK608" s="403"/>
      <c r="AL608" s="380"/>
      <c r="AM608" s="380"/>
      <c r="AN608" s="380"/>
      <c r="AO608" s="380"/>
      <c r="AP608" s="380"/>
      <c r="AQ608" s="404"/>
      <c r="AR608" s="380"/>
      <c r="AS608" s="380"/>
      <c r="AT608" s="380"/>
      <c r="AU608" s="380"/>
      <c r="AV608" s="380"/>
      <c r="AW608" s="380"/>
      <c r="AX608" s="380"/>
      <c r="AY608" s="403"/>
      <c r="AZ608" s="380"/>
      <c r="BA608" s="380"/>
      <c r="BB608" s="380"/>
      <c r="BC608" s="380"/>
      <c r="BD608" s="380"/>
      <c r="BE608" s="404"/>
      <c r="BF608" s="380"/>
      <c r="BG608" s="380"/>
      <c r="BH608" s="380"/>
      <c r="BI608" s="380"/>
      <c r="BJ608" s="380"/>
      <c r="BK608" s="380"/>
      <c r="BL608" s="380"/>
      <c r="BM608" s="403"/>
      <c r="BS608" s="83"/>
      <c r="CA608" s="405"/>
      <c r="CG608" s="83"/>
      <c r="CO608" s="405"/>
      <c r="CU608" s="83"/>
      <c r="DC608" s="405"/>
      <c r="DI608" s="83"/>
      <c r="DQ608" s="405"/>
      <c r="DW608" s="83"/>
      <c r="EE608" s="405"/>
      <c r="EK608" s="83"/>
      <c r="ES608" s="405"/>
      <c r="EY608" s="83"/>
      <c r="FG608" s="405"/>
      <c r="FM608" s="83"/>
      <c r="FU608" s="405"/>
      <c r="GA608" s="83"/>
      <c r="GI608" s="405"/>
      <c r="GO608" s="83"/>
      <c r="GW608" s="405"/>
      <c r="HC608" s="83"/>
      <c r="HK608" s="405"/>
      <c r="HQ608" s="83"/>
      <c r="HY608" s="405"/>
      <c r="IE608" s="83"/>
      <c r="IM608" s="405"/>
      <c r="IS608" s="83"/>
      <c r="JA608" s="405"/>
      <c r="JG608" s="83"/>
      <c r="JO608" s="405"/>
      <c r="JU608" s="83"/>
      <c r="KC608" s="405"/>
      <c r="KI608" s="83"/>
      <c r="KQ608" s="405"/>
      <c r="KW608" s="83"/>
      <c r="LE608" s="405"/>
      <c r="LK608" s="83"/>
      <c r="LS608" s="405"/>
      <c r="LY608" s="83"/>
      <c r="MG608" s="405"/>
      <c r="MM608" s="83"/>
      <c r="MU608" s="405"/>
      <c r="NA608" s="83"/>
    </row>
    <row r="609">
      <c r="A609" s="483"/>
      <c r="B609" s="380"/>
      <c r="C609" s="380"/>
      <c r="D609" s="380"/>
      <c r="E609" s="380"/>
      <c r="F609" s="380"/>
      <c r="G609" s="380"/>
      <c r="H609" s="380"/>
      <c r="I609" s="403"/>
      <c r="J609" s="380"/>
      <c r="K609" s="380"/>
      <c r="L609" s="380"/>
      <c r="M609" s="380"/>
      <c r="N609" s="380"/>
      <c r="O609" s="404"/>
      <c r="P609" s="380"/>
      <c r="Q609" s="380"/>
      <c r="R609" s="380"/>
      <c r="S609" s="380"/>
      <c r="T609" s="380"/>
      <c r="U609" s="380"/>
      <c r="V609" s="380"/>
      <c r="W609" s="403"/>
      <c r="X609" s="380"/>
      <c r="Y609" s="380"/>
      <c r="Z609" s="380"/>
      <c r="AA609" s="380"/>
      <c r="AB609" s="380"/>
      <c r="AC609" s="404"/>
      <c r="AD609" s="380"/>
      <c r="AE609" s="380"/>
      <c r="AF609" s="380"/>
      <c r="AG609" s="380"/>
      <c r="AH609" s="380"/>
      <c r="AI609" s="380"/>
      <c r="AJ609" s="380"/>
      <c r="AK609" s="403"/>
      <c r="AL609" s="380"/>
      <c r="AM609" s="380"/>
      <c r="AN609" s="380"/>
      <c r="AO609" s="380"/>
      <c r="AP609" s="380"/>
      <c r="AQ609" s="404"/>
      <c r="AR609" s="380"/>
      <c r="AS609" s="380"/>
      <c r="AT609" s="380"/>
      <c r="AU609" s="380"/>
      <c r="AV609" s="380"/>
      <c r="AW609" s="380"/>
      <c r="AX609" s="380"/>
      <c r="AY609" s="403"/>
      <c r="AZ609" s="380"/>
      <c r="BA609" s="380"/>
      <c r="BB609" s="380"/>
      <c r="BC609" s="380"/>
      <c r="BD609" s="380"/>
      <c r="BE609" s="404"/>
      <c r="BF609" s="380"/>
      <c r="BG609" s="380"/>
      <c r="BH609" s="380"/>
      <c r="BI609" s="380"/>
      <c r="BJ609" s="380"/>
      <c r="BK609" s="380"/>
      <c r="BL609" s="380"/>
      <c r="BM609" s="403"/>
      <c r="BS609" s="83"/>
      <c r="CA609" s="405"/>
      <c r="CG609" s="83"/>
      <c r="CO609" s="405"/>
      <c r="CU609" s="83"/>
      <c r="DC609" s="405"/>
      <c r="DI609" s="83"/>
      <c r="DQ609" s="405"/>
      <c r="DW609" s="83"/>
      <c r="EE609" s="405"/>
      <c r="EK609" s="83"/>
      <c r="ES609" s="405"/>
      <c r="EY609" s="83"/>
      <c r="FG609" s="405"/>
      <c r="FM609" s="83"/>
      <c r="FU609" s="405"/>
      <c r="GA609" s="83"/>
      <c r="GI609" s="405"/>
      <c r="GO609" s="83"/>
      <c r="GW609" s="405"/>
      <c r="HC609" s="83"/>
      <c r="HK609" s="405"/>
      <c r="HQ609" s="83"/>
      <c r="HY609" s="405"/>
      <c r="IE609" s="83"/>
      <c r="IM609" s="405"/>
      <c r="IS609" s="83"/>
      <c r="JA609" s="405"/>
      <c r="JG609" s="83"/>
      <c r="JO609" s="405"/>
      <c r="JU609" s="83"/>
      <c r="KC609" s="405"/>
      <c r="KI609" s="83"/>
      <c r="KQ609" s="405"/>
      <c r="KW609" s="83"/>
      <c r="LE609" s="405"/>
      <c r="LK609" s="83"/>
      <c r="LS609" s="405"/>
      <c r="LY609" s="83"/>
      <c r="MG609" s="405"/>
      <c r="MM609" s="83"/>
      <c r="MU609" s="405"/>
      <c r="NA609" s="83"/>
    </row>
    <row r="610">
      <c r="A610" s="483"/>
      <c r="B610" s="380"/>
      <c r="C610" s="380"/>
      <c r="D610" s="380"/>
      <c r="E610" s="380"/>
      <c r="F610" s="380"/>
      <c r="G610" s="380"/>
      <c r="H610" s="380"/>
      <c r="I610" s="403"/>
      <c r="J610" s="380"/>
      <c r="K610" s="380"/>
      <c r="L610" s="380"/>
      <c r="M610" s="380"/>
      <c r="N610" s="380"/>
      <c r="O610" s="404"/>
      <c r="P610" s="380"/>
      <c r="Q610" s="380"/>
      <c r="R610" s="380"/>
      <c r="S610" s="380"/>
      <c r="T610" s="380"/>
      <c r="U610" s="380"/>
      <c r="V610" s="380"/>
      <c r="W610" s="403"/>
      <c r="X610" s="380"/>
      <c r="Y610" s="380"/>
      <c r="Z610" s="380"/>
      <c r="AA610" s="380"/>
      <c r="AB610" s="380"/>
      <c r="AC610" s="404"/>
      <c r="AD610" s="380"/>
      <c r="AE610" s="380"/>
      <c r="AF610" s="380"/>
      <c r="AG610" s="380"/>
      <c r="AH610" s="380"/>
      <c r="AI610" s="380"/>
      <c r="AJ610" s="380"/>
      <c r="AK610" s="403"/>
      <c r="AL610" s="380"/>
      <c r="AM610" s="380"/>
      <c r="AN610" s="380"/>
      <c r="AO610" s="380"/>
      <c r="AP610" s="380"/>
      <c r="AQ610" s="404"/>
      <c r="AR610" s="380"/>
      <c r="AS610" s="380"/>
      <c r="AT610" s="380"/>
      <c r="AU610" s="380"/>
      <c r="AV610" s="380"/>
      <c r="AW610" s="380"/>
      <c r="AX610" s="380"/>
      <c r="AY610" s="403"/>
      <c r="AZ610" s="380"/>
      <c r="BA610" s="380"/>
      <c r="BB610" s="380"/>
      <c r="BC610" s="380"/>
      <c r="BD610" s="380"/>
      <c r="BE610" s="404"/>
      <c r="BF610" s="380"/>
      <c r="BG610" s="380"/>
      <c r="BH610" s="380"/>
      <c r="BI610" s="380"/>
      <c r="BJ610" s="380"/>
      <c r="BK610" s="380"/>
      <c r="BL610" s="380"/>
      <c r="BM610" s="403"/>
      <c r="BS610" s="83"/>
      <c r="CA610" s="405"/>
      <c r="CG610" s="83"/>
      <c r="CO610" s="405"/>
      <c r="CU610" s="83"/>
      <c r="DC610" s="405"/>
      <c r="DI610" s="83"/>
      <c r="DQ610" s="405"/>
      <c r="DW610" s="83"/>
      <c r="EE610" s="405"/>
      <c r="EK610" s="83"/>
      <c r="ES610" s="405"/>
      <c r="EY610" s="83"/>
      <c r="FG610" s="405"/>
      <c r="FM610" s="83"/>
      <c r="FU610" s="405"/>
      <c r="GA610" s="83"/>
      <c r="GI610" s="405"/>
      <c r="GO610" s="83"/>
      <c r="GW610" s="405"/>
      <c r="HC610" s="83"/>
      <c r="HK610" s="405"/>
      <c r="HQ610" s="83"/>
      <c r="HY610" s="405"/>
      <c r="IE610" s="83"/>
      <c r="IM610" s="405"/>
      <c r="IS610" s="83"/>
      <c r="JA610" s="405"/>
      <c r="JG610" s="83"/>
      <c r="JO610" s="405"/>
      <c r="JU610" s="83"/>
      <c r="KC610" s="405"/>
      <c r="KI610" s="83"/>
      <c r="KQ610" s="405"/>
      <c r="KW610" s="83"/>
      <c r="LE610" s="405"/>
      <c r="LK610" s="83"/>
      <c r="LS610" s="405"/>
      <c r="LY610" s="83"/>
      <c r="MG610" s="405"/>
      <c r="MM610" s="83"/>
      <c r="MU610" s="405"/>
      <c r="NA610" s="83"/>
    </row>
    <row r="611">
      <c r="A611" s="483"/>
      <c r="B611" s="380"/>
      <c r="C611" s="380"/>
      <c r="D611" s="380"/>
      <c r="E611" s="380"/>
      <c r="F611" s="380"/>
      <c r="G611" s="380"/>
      <c r="H611" s="380"/>
      <c r="I611" s="403"/>
      <c r="J611" s="380"/>
      <c r="K611" s="380"/>
      <c r="L611" s="380"/>
      <c r="M611" s="380"/>
      <c r="N611" s="380"/>
      <c r="O611" s="404"/>
      <c r="P611" s="380"/>
      <c r="Q611" s="380"/>
      <c r="R611" s="380"/>
      <c r="S611" s="380"/>
      <c r="T611" s="380"/>
      <c r="U611" s="380"/>
      <c r="V611" s="380"/>
      <c r="W611" s="403"/>
      <c r="X611" s="380"/>
      <c r="Y611" s="380"/>
      <c r="Z611" s="380"/>
      <c r="AA611" s="380"/>
      <c r="AB611" s="380"/>
      <c r="AC611" s="404"/>
      <c r="AD611" s="380"/>
      <c r="AE611" s="380"/>
      <c r="AF611" s="380"/>
      <c r="AG611" s="380"/>
      <c r="AH611" s="380"/>
      <c r="AI611" s="380"/>
      <c r="AJ611" s="380"/>
      <c r="AK611" s="403"/>
      <c r="AL611" s="380"/>
      <c r="AM611" s="380"/>
      <c r="AN611" s="380"/>
      <c r="AO611" s="380"/>
      <c r="AP611" s="380"/>
      <c r="AQ611" s="404"/>
      <c r="AR611" s="380"/>
      <c r="AS611" s="380"/>
      <c r="AT611" s="380"/>
      <c r="AU611" s="380"/>
      <c r="AV611" s="380"/>
      <c r="AW611" s="380"/>
      <c r="AX611" s="380"/>
      <c r="AY611" s="403"/>
      <c r="AZ611" s="380"/>
      <c r="BA611" s="380"/>
      <c r="BB611" s="380"/>
      <c r="BC611" s="380"/>
      <c r="BD611" s="380"/>
      <c r="BE611" s="404"/>
      <c r="BF611" s="380"/>
      <c r="BG611" s="380"/>
      <c r="BH611" s="380"/>
      <c r="BI611" s="380"/>
      <c r="BJ611" s="380"/>
      <c r="BK611" s="380"/>
      <c r="BL611" s="380"/>
      <c r="BM611" s="403"/>
      <c r="BS611" s="83"/>
      <c r="CA611" s="405"/>
      <c r="CG611" s="83"/>
      <c r="CO611" s="405"/>
      <c r="CU611" s="83"/>
      <c r="DC611" s="405"/>
      <c r="DI611" s="83"/>
      <c r="DQ611" s="405"/>
      <c r="DW611" s="83"/>
      <c r="EE611" s="405"/>
      <c r="EK611" s="83"/>
      <c r="ES611" s="405"/>
      <c r="EY611" s="83"/>
      <c r="FG611" s="405"/>
      <c r="FM611" s="83"/>
      <c r="FU611" s="405"/>
      <c r="GA611" s="83"/>
      <c r="GI611" s="405"/>
      <c r="GO611" s="83"/>
      <c r="GW611" s="405"/>
      <c r="HC611" s="83"/>
      <c r="HK611" s="405"/>
      <c r="HQ611" s="83"/>
      <c r="HY611" s="405"/>
      <c r="IE611" s="83"/>
      <c r="IM611" s="405"/>
      <c r="IS611" s="83"/>
      <c r="JA611" s="405"/>
      <c r="JG611" s="83"/>
      <c r="JO611" s="405"/>
      <c r="JU611" s="83"/>
      <c r="KC611" s="405"/>
      <c r="KI611" s="83"/>
      <c r="KQ611" s="405"/>
      <c r="KW611" s="83"/>
      <c r="LE611" s="405"/>
      <c r="LK611" s="83"/>
      <c r="LS611" s="405"/>
      <c r="LY611" s="83"/>
      <c r="MG611" s="405"/>
      <c r="MM611" s="83"/>
      <c r="MU611" s="405"/>
      <c r="NA611" s="83"/>
    </row>
    <row r="612">
      <c r="A612" s="483"/>
      <c r="B612" s="380"/>
      <c r="C612" s="380"/>
      <c r="D612" s="380"/>
      <c r="E612" s="380"/>
      <c r="F612" s="380"/>
      <c r="G612" s="380"/>
      <c r="H612" s="380"/>
      <c r="I612" s="403"/>
      <c r="J612" s="380"/>
      <c r="K612" s="380"/>
      <c r="L612" s="380"/>
      <c r="M612" s="380"/>
      <c r="N612" s="380"/>
      <c r="O612" s="404"/>
      <c r="P612" s="380"/>
      <c r="Q612" s="380"/>
      <c r="R612" s="380"/>
      <c r="S612" s="380"/>
      <c r="T612" s="380"/>
      <c r="U612" s="380"/>
      <c r="V612" s="380"/>
      <c r="W612" s="403"/>
      <c r="X612" s="380"/>
      <c r="Y612" s="380"/>
      <c r="Z612" s="380"/>
      <c r="AA612" s="380"/>
      <c r="AB612" s="380"/>
      <c r="AC612" s="404"/>
      <c r="AD612" s="380"/>
      <c r="AE612" s="380"/>
      <c r="AF612" s="380"/>
      <c r="AG612" s="380"/>
      <c r="AH612" s="380"/>
      <c r="AI612" s="380"/>
      <c r="AJ612" s="380"/>
      <c r="AK612" s="403"/>
      <c r="AL612" s="380"/>
      <c r="AM612" s="380"/>
      <c r="AN612" s="380"/>
      <c r="AO612" s="380"/>
      <c r="AP612" s="380"/>
      <c r="AQ612" s="404"/>
      <c r="AR612" s="380"/>
      <c r="AS612" s="380"/>
      <c r="AT612" s="380"/>
      <c r="AU612" s="380"/>
      <c r="AV612" s="380"/>
      <c r="AW612" s="380"/>
      <c r="AX612" s="380"/>
      <c r="AY612" s="403"/>
      <c r="AZ612" s="380"/>
      <c r="BA612" s="380"/>
      <c r="BB612" s="380"/>
      <c r="BC612" s="380"/>
      <c r="BD612" s="380"/>
      <c r="BE612" s="404"/>
      <c r="BF612" s="380"/>
      <c r="BG612" s="380"/>
      <c r="BH612" s="380"/>
      <c r="BI612" s="380"/>
      <c r="BJ612" s="380"/>
      <c r="BK612" s="380"/>
      <c r="BL612" s="380"/>
      <c r="BM612" s="403"/>
      <c r="BS612" s="83"/>
      <c r="CA612" s="405"/>
      <c r="CG612" s="83"/>
      <c r="CO612" s="405"/>
      <c r="CU612" s="83"/>
      <c r="DC612" s="405"/>
      <c r="DI612" s="83"/>
      <c r="DQ612" s="405"/>
      <c r="DW612" s="83"/>
      <c r="EE612" s="405"/>
      <c r="EK612" s="83"/>
      <c r="ES612" s="405"/>
      <c r="EY612" s="83"/>
      <c r="FG612" s="405"/>
      <c r="FM612" s="83"/>
      <c r="FU612" s="405"/>
      <c r="GA612" s="83"/>
      <c r="GI612" s="405"/>
      <c r="GO612" s="83"/>
      <c r="GW612" s="405"/>
      <c r="HC612" s="83"/>
      <c r="HK612" s="405"/>
      <c r="HQ612" s="83"/>
      <c r="HY612" s="405"/>
      <c r="IE612" s="83"/>
      <c r="IM612" s="405"/>
      <c r="IS612" s="83"/>
      <c r="JA612" s="405"/>
      <c r="JG612" s="83"/>
      <c r="JO612" s="405"/>
      <c r="JU612" s="83"/>
      <c r="KC612" s="405"/>
      <c r="KI612" s="83"/>
      <c r="KQ612" s="405"/>
      <c r="KW612" s="83"/>
      <c r="LE612" s="405"/>
      <c r="LK612" s="83"/>
      <c r="LS612" s="405"/>
      <c r="LY612" s="83"/>
      <c r="MG612" s="405"/>
      <c r="MM612" s="83"/>
      <c r="MU612" s="405"/>
      <c r="NA612" s="83"/>
    </row>
    <row r="613">
      <c r="A613" s="483"/>
      <c r="B613" s="380"/>
      <c r="C613" s="380"/>
      <c r="D613" s="380"/>
      <c r="E613" s="380"/>
      <c r="F613" s="380"/>
      <c r="G613" s="380"/>
      <c r="H613" s="380"/>
      <c r="I613" s="403"/>
      <c r="J613" s="380"/>
      <c r="K613" s="380"/>
      <c r="L613" s="380"/>
      <c r="M613" s="380"/>
      <c r="N613" s="380"/>
      <c r="O613" s="404"/>
      <c r="P613" s="380"/>
      <c r="Q613" s="380"/>
      <c r="R613" s="380"/>
      <c r="S613" s="380"/>
      <c r="T613" s="380"/>
      <c r="U613" s="380"/>
      <c r="V613" s="380"/>
      <c r="W613" s="403"/>
      <c r="X613" s="380"/>
      <c r="Y613" s="380"/>
      <c r="Z613" s="380"/>
      <c r="AA613" s="380"/>
      <c r="AB613" s="380"/>
      <c r="AC613" s="404"/>
      <c r="AD613" s="380"/>
      <c r="AE613" s="380"/>
      <c r="AF613" s="380"/>
      <c r="AG613" s="380"/>
      <c r="AH613" s="380"/>
      <c r="AI613" s="380"/>
      <c r="AJ613" s="380"/>
      <c r="AK613" s="403"/>
      <c r="AL613" s="380"/>
      <c r="AM613" s="380"/>
      <c r="AN613" s="380"/>
      <c r="AO613" s="380"/>
      <c r="AP613" s="380"/>
      <c r="AQ613" s="404"/>
      <c r="AR613" s="380"/>
      <c r="AS613" s="380"/>
      <c r="AT613" s="380"/>
      <c r="AU613" s="380"/>
      <c r="AV613" s="380"/>
      <c r="AW613" s="380"/>
      <c r="AX613" s="380"/>
      <c r="AY613" s="403"/>
      <c r="AZ613" s="380"/>
      <c r="BA613" s="380"/>
      <c r="BB613" s="380"/>
      <c r="BC613" s="380"/>
      <c r="BD613" s="380"/>
      <c r="BE613" s="404"/>
      <c r="BF613" s="380"/>
      <c r="BG613" s="380"/>
      <c r="BH613" s="380"/>
      <c r="BI613" s="380"/>
      <c r="BJ613" s="380"/>
      <c r="BK613" s="380"/>
      <c r="BL613" s="380"/>
      <c r="BM613" s="403"/>
      <c r="BS613" s="83"/>
      <c r="CA613" s="405"/>
      <c r="CG613" s="83"/>
      <c r="CO613" s="405"/>
      <c r="CU613" s="83"/>
      <c r="DC613" s="405"/>
      <c r="DI613" s="83"/>
      <c r="DQ613" s="405"/>
      <c r="DW613" s="83"/>
      <c r="EE613" s="405"/>
      <c r="EK613" s="83"/>
      <c r="ES613" s="405"/>
      <c r="EY613" s="83"/>
      <c r="FG613" s="405"/>
      <c r="FM613" s="83"/>
      <c r="FU613" s="405"/>
      <c r="GA613" s="83"/>
      <c r="GI613" s="405"/>
      <c r="GO613" s="83"/>
      <c r="GW613" s="405"/>
      <c r="HC613" s="83"/>
      <c r="HK613" s="405"/>
      <c r="HQ613" s="83"/>
      <c r="HY613" s="405"/>
      <c r="IE613" s="83"/>
      <c r="IM613" s="405"/>
      <c r="IS613" s="83"/>
      <c r="JA613" s="405"/>
      <c r="JG613" s="83"/>
      <c r="JO613" s="405"/>
      <c r="JU613" s="83"/>
      <c r="KC613" s="405"/>
      <c r="KI613" s="83"/>
      <c r="KQ613" s="405"/>
      <c r="KW613" s="83"/>
      <c r="LE613" s="405"/>
      <c r="LK613" s="83"/>
      <c r="LS613" s="405"/>
      <c r="LY613" s="83"/>
      <c r="MG613" s="405"/>
      <c r="MM613" s="83"/>
      <c r="MU613" s="405"/>
      <c r="NA613" s="83"/>
    </row>
    <row r="614">
      <c r="A614" s="483"/>
      <c r="B614" s="380"/>
      <c r="C614" s="380"/>
      <c r="D614" s="380"/>
      <c r="E614" s="380"/>
      <c r="F614" s="380"/>
      <c r="G614" s="380"/>
      <c r="H614" s="380"/>
      <c r="I614" s="403"/>
      <c r="J614" s="380"/>
      <c r="K614" s="380"/>
      <c r="L614" s="380"/>
      <c r="M614" s="380"/>
      <c r="N614" s="380"/>
      <c r="O614" s="404"/>
      <c r="P614" s="380"/>
      <c r="Q614" s="380"/>
      <c r="R614" s="380"/>
      <c r="S614" s="380"/>
      <c r="T614" s="380"/>
      <c r="U614" s="380"/>
      <c r="V614" s="380"/>
      <c r="W614" s="403"/>
      <c r="X614" s="380"/>
      <c r="Y614" s="380"/>
      <c r="Z614" s="380"/>
      <c r="AA614" s="380"/>
      <c r="AB614" s="380"/>
      <c r="AC614" s="404"/>
      <c r="AD614" s="380"/>
      <c r="AE614" s="380"/>
      <c r="AF614" s="380"/>
      <c r="AG614" s="380"/>
      <c r="AH614" s="380"/>
      <c r="AI614" s="380"/>
      <c r="AJ614" s="380"/>
      <c r="AK614" s="403"/>
      <c r="AL614" s="380"/>
      <c r="AM614" s="380"/>
      <c r="AN614" s="380"/>
      <c r="AO614" s="380"/>
      <c r="AP614" s="380"/>
      <c r="AQ614" s="404"/>
      <c r="AR614" s="380"/>
      <c r="AS614" s="380"/>
      <c r="AT614" s="380"/>
      <c r="AU614" s="380"/>
      <c r="AV614" s="380"/>
      <c r="AW614" s="380"/>
      <c r="AX614" s="380"/>
      <c r="AY614" s="403"/>
      <c r="AZ614" s="380"/>
      <c r="BA614" s="380"/>
      <c r="BB614" s="380"/>
      <c r="BC614" s="380"/>
      <c r="BD614" s="380"/>
      <c r="BE614" s="404"/>
      <c r="BF614" s="380"/>
      <c r="BG614" s="380"/>
      <c r="BH614" s="380"/>
      <c r="BI614" s="380"/>
      <c r="BJ614" s="380"/>
      <c r="BK614" s="380"/>
      <c r="BL614" s="380"/>
      <c r="BM614" s="403"/>
      <c r="BS614" s="83"/>
      <c r="CA614" s="405"/>
      <c r="CG614" s="83"/>
      <c r="CO614" s="405"/>
      <c r="CU614" s="83"/>
      <c r="DC614" s="405"/>
      <c r="DI614" s="83"/>
      <c r="DQ614" s="405"/>
      <c r="DW614" s="83"/>
      <c r="EE614" s="405"/>
      <c r="EK614" s="83"/>
      <c r="ES614" s="405"/>
      <c r="EY614" s="83"/>
      <c r="FG614" s="405"/>
      <c r="FM614" s="83"/>
      <c r="FU614" s="405"/>
      <c r="GA614" s="83"/>
      <c r="GI614" s="405"/>
      <c r="GO614" s="83"/>
      <c r="GW614" s="405"/>
      <c r="HC614" s="83"/>
      <c r="HK614" s="405"/>
      <c r="HQ614" s="83"/>
      <c r="HY614" s="405"/>
      <c r="IE614" s="83"/>
      <c r="IM614" s="405"/>
      <c r="IS614" s="83"/>
      <c r="JA614" s="405"/>
      <c r="JG614" s="83"/>
      <c r="JO614" s="405"/>
      <c r="JU614" s="83"/>
      <c r="KC614" s="405"/>
      <c r="KI614" s="83"/>
      <c r="KQ614" s="405"/>
      <c r="KW614" s="83"/>
      <c r="LE614" s="405"/>
      <c r="LK614" s="83"/>
      <c r="LS614" s="405"/>
      <c r="LY614" s="83"/>
      <c r="MG614" s="405"/>
      <c r="MM614" s="83"/>
      <c r="MU614" s="405"/>
      <c r="NA614" s="83"/>
    </row>
    <row r="615">
      <c r="A615" s="483"/>
      <c r="B615" s="380"/>
      <c r="C615" s="380"/>
      <c r="D615" s="380"/>
      <c r="E615" s="380"/>
      <c r="F615" s="380"/>
      <c r="G615" s="380"/>
      <c r="H615" s="380"/>
      <c r="I615" s="403"/>
      <c r="J615" s="380"/>
      <c r="K615" s="380"/>
      <c r="L615" s="380"/>
      <c r="M615" s="380"/>
      <c r="N615" s="380"/>
      <c r="O615" s="404"/>
      <c r="P615" s="380"/>
      <c r="Q615" s="380"/>
      <c r="R615" s="380"/>
      <c r="S615" s="380"/>
      <c r="T615" s="380"/>
      <c r="U615" s="380"/>
      <c r="V615" s="380"/>
      <c r="W615" s="403"/>
      <c r="X615" s="380"/>
      <c r="Y615" s="380"/>
      <c r="Z615" s="380"/>
      <c r="AA615" s="380"/>
      <c r="AB615" s="380"/>
      <c r="AC615" s="404"/>
      <c r="AD615" s="380"/>
      <c r="AE615" s="380"/>
      <c r="AF615" s="380"/>
      <c r="AG615" s="380"/>
      <c r="AH615" s="380"/>
      <c r="AI615" s="380"/>
      <c r="AJ615" s="380"/>
      <c r="AK615" s="403"/>
      <c r="AL615" s="380"/>
      <c r="AM615" s="380"/>
      <c r="AN615" s="380"/>
      <c r="AO615" s="380"/>
      <c r="AP615" s="380"/>
      <c r="AQ615" s="404"/>
      <c r="AR615" s="380"/>
      <c r="AS615" s="380"/>
      <c r="AT615" s="380"/>
      <c r="AU615" s="380"/>
      <c r="AV615" s="380"/>
      <c r="AW615" s="380"/>
      <c r="AX615" s="380"/>
      <c r="AY615" s="403"/>
      <c r="AZ615" s="380"/>
      <c r="BA615" s="380"/>
      <c r="BB615" s="380"/>
      <c r="BC615" s="380"/>
      <c r="BD615" s="380"/>
      <c r="BE615" s="404"/>
      <c r="BF615" s="380"/>
      <c r="BG615" s="380"/>
      <c r="BH615" s="380"/>
      <c r="BI615" s="380"/>
      <c r="BJ615" s="380"/>
      <c r="BK615" s="380"/>
      <c r="BL615" s="380"/>
      <c r="BM615" s="403"/>
      <c r="BS615" s="83"/>
      <c r="CA615" s="405"/>
      <c r="CG615" s="83"/>
      <c r="CO615" s="405"/>
      <c r="CU615" s="83"/>
      <c r="DC615" s="405"/>
      <c r="DI615" s="83"/>
      <c r="DQ615" s="405"/>
      <c r="DW615" s="83"/>
      <c r="EE615" s="405"/>
      <c r="EK615" s="83"/>
      <c r="ES615" s="405"/>
      <c r="EY615" s="83"/>
      <c r="FG615" s="405"/>
      <c r="FM615" s="83"/>
      <c r="FU615" s="405"/>
      <c r="GA615" s="83"/>
      <c r="GI615" s="405"/>
      <c r="GO615" s="83"/>
      <c r="GW615" s="405"/>
      <c r="HC615" s="83"/>
      <c r="HK615" s="405"/>
      <c r="HQ615" s="83"/>
      <c r="HY615" s="405"/>
      <c r="IE615" s="83"/>
      <c r="IM615" s="405"/>
      <c r="IS615" s="83"/>
      <c r="JA615" s="405"/>
      <c r="JG615" s="83"/>
      <c r="JO615" s="405"/>
      <c r="JU615" s="83"/>
      <c r="KC615" s="405"/>
      <c r="KI615" s="83"/>
      <c r="KQ615" s="405"/>
      <c r="KW615" s="83"/>
      <c r="LE615" s="405"/>
      <c r="LK615" s="83"/>
      <c r="LS615" s="405"/>
      <c r="LY615" s="83"/>
      <c r="MG615" s="405"/>
      <c r="MM615" s="83"/>
      <c r="MU615" s="405"/>
      <c r="NA615" s="83"/>
    </row>
    <row r="616">
      <c r="A616" s="483"/>
      <c r="B616" s="380"/>
      <c r="C616" s="380"/>
      <c r="D616" s="380"/>
      <c r="E616" s="380"/>
      <c r="F616" s="380"/>
      <c r="G616" s="380"/>
      <c r="H616" s="380"/>
      <c r="I616" s="403"/>
      <c r="J616" s="380"/>
      <c r="K616" s="380"/>
      <c r="L616" s="380"/>
      <c r="M616" s="380"/>
      <c r="N616" s="380"/>
      <c r="O616" s="404"/>
      <c r="P616" s="380"/>
      <c r="Q616" s="380"/>
      <c r="R616" s="380"/>
      <c r="S616" s="380"/>
      <c r="T616" s="380"/>
      <c r="U616" s="380"/>
      <c r="V616" s="380"/>
      <c r="W616" s="403"/>
      <c r="X616" s="380"/>
      <c r="Y616" s="380"/>
      <c r="Z616" s="380"/>
      <c r="AA616" s="380"/>
      <c r="AB616" s="380"/>
      <c r="AC616" s="404"/>
      <c r="AD616" s="380"/>
      <c r="AE616" s="380"/>
      <c r="AF616" s="380"/>
      <c r="AG616" s="380"/>
      <c r="AH616" s="380"/>
      <c r="AI616" s="380"/>
      <c r="AJ616" s="380"/>
      <c r="AK616" s="403"/>
      <c r="AL616" s="380"/>
      <c r="AM616" s="380"/>
      <c r="AN616" s="380"/>
      <c r="AO616" s="380"/>
      <c r="AP616" s="380"/>
      <c r="AQ616" s="404"/>
      <c r="AR616" s="380"/>
      <c r="AS616" s="380"/>
      <c r="AT616" s="380"/>
      <c r="AU616" s="380"/>
      <c r="AV616" s="380"/>
      <c r="AW616" s="380"/>
      <c r="AX616" s="380"/>
      <c r="AY616" s="403"/>
      <c r="AZ616" s="380"/>
      <c r="BA616" s="380"/>
      <c r="BB616" s="380"/>
      <c r="BC616" s="380"/>
      <c r="BD616" s="380"/>
      <c r="BE616" s="404"/>
      <c r="BF616" s="380"/>
      <c r="BG616" s="380"/>
      <c r="BH616" s="380"/>
      <c r="BI616" s="380"/>
      <c r="BJ616" s="380"/>
      <c r="BK616" s="380"/>
      <c r="BL616" s="380"/>
      <c r="BM616" s="403"/>
      <c r="BS616" s="83"/>
      <c r="CA616" s="405"/>
      <c r="CG616" s="83"/>
      <c r="CO616" s="405"/>
      <c r="CU616" s="83"/>
      <c r="DC616" s="405"/>
      <c r="DI616" s="83"/>
      <c r="DQ616" s="405"/>
      <c r="DW616" s="83"/>
      <c r="EE616" s="405"/>
      <c r="EK616" s="83"/>
      <c r="ES616" s="405"/>
      <c r="EY616" s="83"/>
      <c r="FG616" s="405"/>
      <c r="FM616" s="83"/>
      <c r="FU616" s="405"/>
      <c r="GA616" s="83"/>
      <c r="GI616" s="405"/>
      <c r="GO616" s="83"/>
      <c r="GW616" s="405"/>
      <c r="HC616" s="83"/>
      <c r="HK616" s="405"/>
      <c r="HQ616" s="83"/>
      <c r="HY616" s="405"/>
      <c r="IE616" s="83"/>
      <c r="IM616" s="405"/>
      <c r="IS616" s="83"/>
      <c r="JA616" s="405"/>
      <c r="JG616" s="83"/>
      <c r="JO616" s="405"/>
      <c r="JU616" s="83"/>
      <c r="KC616" s="405"/>
      <c r="KI616" s="83"/>
      <c r="KQ616" s="405"/>
      <c r="KW616" s="83"/>
      <c r="LE616" s="405"/>
      <c r="LK616" s="83"/>
      <c r="LS616" s="405"/>
      <c r="LY616" s="83"/>
      <c r="MG616" s="405"/>
      <c r="MM616" s="83"/>
      <c r="MU616" s="405"/>
      <c r="NA616" s="83"/>
    </row>
    <row r="617">
      <c r="A617" s="483"/>
      <c r="B617" s="380"/>
      <c r="C617" s="380"/>
      <c r="D617" s="380"/>
      <c r="E617" s="380"/>
      <c r="F617" s="380"/>
      <c r="G617" s="380"/>
      <c r="H617" s="380"/>
      <c r="I617" s="403"/>
      <c r="J617" s="380"/>
      <c r="K617" s="380"/>
      <c r="L617" s="380"/>
      <c r="M617" s="380"/>
      <c r="N617" s="380"/>
      <c r="O617" s="404"/>
      <c r="P617" s="380"/>
      <c r="Q617" s="380"/>
      <c r="R617" s="380"/>
      <c r="S617" s="380"/>
      <c r="T617" s="380"/>
      <c r="U617" s="380"/>
      <c r="V617" s="380"/>
      <c r="W617" s="403"/>
      <c r="X617" s="380"/>
      <c r="Y617" s="380"/>
      <c r="Z617" s="380"/>
      <c r="AA617" s="380"/>
      <c r="AB617" s="380"/>
      <c r="AC617" s="404"/>
      <c r="AD617" s="380"/>
      <c r="AE617" s="380"/>
      <c r="AF617" s="380"/>
      <c r="AG617" s="380"/>
      <c r="AH617" s="380"/>
      <c r="AI617" s="380"/>
      <c r="AJ617" s="380"/>
      <c r="AK617" s="403"/>
      <c r="AL617" s="380"/>
      <c r="AM617" s="380"/>
      <c r="AN617" s="380"/>
      <c r="AO617" s="380"/>
      <c r="AP617" s="380"/>
      <c r="AQ617" s="404"/>
      <c r="AR617" s="380"/>
      <c r="AS617" s="380"/>
      <c r="AT617" s="380"/>
      <c r="AU617" s="380"/>
      <c r="AV617" s="380"/>
      <c r="AW617" s="380"/>
      <c r="AX617" s="380"/>
      <c r="AY617" s="403"/>
      <c r="AZ617" s="380"/>
      <c r="BA617" s="380"/>
      <c r="BB617" s="380"/>
      <c r="BC617" s="380"/>
      <c r="BD617" s="380"/>
      <c r="BE617" s="404"/>
      <c r="BF617" s="380"/>
      <c r="BG617" s="380"/>
      <c r="BH617" s="380"/>
      <c r="BI617" s="380"/>
      <c r="BJ617" s="380"/>
      <c r="BK617" s="380"/>
      <c r="BL617" s="380"/>
      <c r="BM617" s="403"/>
      <c r="BS617" s="83"/>
      <c r="CA617" s="405"/>
      <c r="CG617" s="83"/>
      <c r="CO617" s="405"/>
      <c r="CU617" s="83"/>
      <c r="DC617" s="405"/>
      <c r="DI617" s="83"/>
      <c r="DQ617" s="405"/>
      <c r="DW617" s="83"/>
      <c r="EE617" s="405"/>
      <c r="EK617" s="83"/>
      <c r="ES617" s="405"/>
      <c r="EY617" s="83"/>
      <c r="FG617" s="405"/>
      <c r="FM617" s="83"/>
      <c r="FU617" s="405"/>
      <c r="GA617" s="83"/>
      <c r="GI617" s="405"/>
      <c r="GO617" s="83"/>
      <c r="GW617" s="405"/>
      <c r="HC617" s="83"/>
      <c r="HK617" s="405"/>
      <c r="HQ617" s="83"/>
      <c r="HY617" s="405"/>
      <c r="IE617" s="83"/>
      <c r="IM617" s="405"/>
      <c r="IS617" s="83"/>
      <c r="JA617" s="405"/>
      <c r="JG617" s="83"/>
      <c r="JO617" s="405"/>
      <c r="JU617" s="83"/>
      <c r="KC617" s="405"/>
      <c r="KI617" s="83"/>
      <c r="KQ617" s="405"/>
      <c r="KW617" s="83"/>
      <c r="LE617" s="405"/>
      <c r="LK617" s="83"/>
      <c r="LS617" s="405"/>
      <c r="LY617" s="83"/>
      <c r="MG617" s="405"/>
      <c r="MM617" s="83"/>
      <c r="MU617" s="405"/>
      <c r="NA617" s="83"/>
    </row>
    <row r="618">
      <c r="A618" s="483"/>
      <c r="B618" s="380"/>
      <c r="C618" s="380"/>
      <c r="D618" s="380"/>
      <c r="E618" s="380"/>
      <c r="F618" s="380"/>
      <c r="G618" s="380"/>
      <c r="H618" s="380"/>
      <c r="I618" s="403"/>
      <c r="J618" s="380"/>
      <c r="K618" s="380"/>
      <c r="L618" s="380"/>
      <c r="M618" s="380"/>
      <c r="N618" s="380"/>
      <c r="O618" s="404"/>
      <c r="P618" s="380"/>
      <c r="Q618" s="380"/>
      <c r="R618" s="380"/>
      <c r="S618" s="380"/>
      <c r="T618" s="380"/>
      <c r="U618" s="380"/>
      <c r="V618" s="380"/>
      <c r="W618" s="403"/>
      <c r="X618" s="380"/>
      <c r="Y618" s="380"/>
      <c r="Z618" s="380"/>
      <c r="AA618" s="380"/>
      <c r="AB618" s="380"/>
      <c r="AC618" s="404"/>
      <c r="AD618" s="380"/>
      <c r="AE618" s="380"/>
      <c r="AF618" s="380"/>
      <c r="AG618" s="380"/>
      <c r="AH618" s="380"/>
      <c r="AI618" s="380"/>
      <c r="AJ618" s="380"/>
      <c r="AK618" s="403"/>
      <c r="AL618" s="380"/>
      <c r="AM618" s="380"/>
      <c r="AN618" s="380"/>
      <c r="AO618" s="380"/>
      <c r="AP618" s="380"/>
      <c r="AQ618" s="404"/>
      <c r="AR618" s="380"/>
      <c r="AS618" s="380"/>
      <c r="AT618" s="380"/>
      <c r="AU618" s="380"/>
      <c r="AV618" s="380"/>
      <c r="AW618" s="380"/>
      <c r="AX618" s="380"/>
      <c r="AY618" s="403"/>
      <c r="AZ618" s="380"/>
      <c r="BA618" s="380"/>
      <c r="BB618" s="380"/>
      <c r="BC618" s="380"/>
      <c r="BD618" s="380"/>
      <c r="BE618" s="404"/>
      <c r="BF618" s="380"/>
      <c r="BG618" s="380"/>
      <c r="BH618" s="380"/>
      <c r="BI618" s="380"/>
      <c r="BJ618" s="380"/>
      <c r="BK618" s="380"/>
      <c r="BL618" s="380"/>
      <c r="BM618" s="403"/>
      <c r="BS618" s="83"/>
      <c r="CA618" s="405"/>
      <c r="CG618" s="83"/>
      <c r="CO618" s="405"/>
      <c r="CU618" s="83"/>
      <c r="DC618" s="405"/>
      <c r="DI618" s="83"/>
      <c r="DQ618" s="405"/>
      <c r="DW618" s="83"/>
      <c r="EE618" s="405"/>
      <c r="EK618" s="83"/>
      <c r="ES618" s="405"/>
      <c r="EY618" s="83"/>
      <c r="FG618" s="405"/>
      <c r="FM618" s="83"/>
      <c r="FU618" s="405"/>
      <c r="GA618" s="83"/>
      <c r="GI618" s="405"/>
      <c r="GO618" s="83"/>
      <c r="GW618" s="405"/>
      <c r="HC618" s="83"/>
      <c r="HK618" s="405"/>
      <c r="HQ618" s="83"/>
      <c r="HY618" s="405"/>
      <c r="IE618" s="83"/>
      <c r="IM618" s="405"/>
      <c r="IS618" s="83"/>
      <c r="JA618" s="405"/>
      <c r="JG618" s="83"/>
      <c r="JO618" s="405"/>
      <c r="JU618" s="83"/>
      <c r="KC618" s="405"/>
      <c r="KI618" s="83"/>
      <c r="KQ618" s="405"/>
      <c r="KW618" s="83"/>
      <c r="LE618" s="405"/>
      <c r="LK618" s="83"/>
      <c r="LS618" s="405"/>
      <c r="LY618" s="83"/>
      <c r="MG618" s="405"/>
      <c r="MM618" s="83"/>
      <c r="MU618" s="405"/>
      <c r="NA618" s="83"/>
    </row>
    <row r="619">
      <c r="A619" s="483"/>
      <c r="B619" s="380"/>
      <c r="C619" s="380"/>
      <c r="D619" s="380"/>
      <c r="E619" s="380"/>
      <c r="F619" s="380"/>
      <c r="G619" s="380"/>
      <c r="H619" s="380"/>
      <c r="I619" s="403"/>
      <c r="J619" s="380"/>
      <c r="K619" s="380"/>
      <c r="L619" s="380"/>
      <c r="M619" s="380"/>
      <c r="N619" s="380"/>
      <c r="O619" s="404"/>
      <c r="P619" s="380"/>
      <c r="Q619" s="380"/>
      <c r="R619" s="380"/>
      <c r="S619" s="380"/>
      <c r="T619" s="380"/>
      <c r="U619" s="380"/>
      <c r="V619" s="380"/>
      <c r="W619" s="403"/>
      <c r="X619" s="380"/>
      <c r="Y619" s="380"/>
      <c r="Z619" s="380"/>
      <c r="AA619" s="380"/>
      <c r="AB619" s="380"/>
      <c r="AC619" s="404"/>
      <c r="AD619" s="380"/>
      <c r="AE619" s="380"/>
      <c r="AF619" s="380"/>
      <c r="AG619" s="380"/>
      <c r="AH619" s="380"/>
      <c r="AI619" s="380"/>
      <c r="AJ619" s="380"/>
      <c r="AK619" s="403"/>
      <c r="AL619" s="380"/>
      <c r="AM619" s="380"/>
      <c r="AN619" s="380"/>
      <c r="AO619" s="380"/>
      <c r="AP619" s="380"/>
      <c r="AQ619" s="404"/>
      <c r="AR619" s="380"/>
      <c r="AS619" s="380"/>
      <c r="AT619" s="380"/>
      <c r="AU619" s="380"/>
      <c r="AV619" s="380"/>
      <c r="AW619" s="380"/>
      <c r="AX619" s="380"/>
      <c r="AY619" s="403"/>
      <c r="AZ619" s="380"/>
      <c r="BA619" s="380"/>
      <c r="BB619" s="380"/>
      <c r="BC619" s="380"/>
      <c r="BD619" s="380"/>
      <c r="BE619" s="404"/>
      <c r="BF619" s="380"/>
      <c r="BG619" s="380"/>
      <c r="BH619" s="380"/>
      <c r="BI619" s="380"/>
      <c r="BJ619" s="380"/>
      <c r="BK619" s="380"/>
      <c r="BL619" s="380"/>
      <c r="BM619" s="403"/>
      <c r="BS619" s="83"/>
      <c r="CA619" s="405"/>
      <c r="CG619" s="83"/>
      <c r="CO619" s="405"/>
      <c r="CU619" s="83"/>
      <c r="DC619" s="405"/>
      <c r="DI619" s="83"/>
      <c r="DQ619" s="405"/>
      <c r="DW619" s="83"/>
      <c r="EE619" s="405"/>
      <c r="EK619" s="83"/>
      <c r="ES619" s="405"/>
      <c r="EY619" s="83"/>
      <c r="FG619" s="405"/>
      <c r="FM619" s="83"/>
      <c r="FU619" s="405"/>
      <c r="GA619" s="83"/>
      <c r="GI619" s="405"/>
      <c r="GO619" s="83"/>
      <c r="GW619" s="405"/>
      <c r="HC619" s="83"/>
      <c r="HK619" s="405"/>
      <c r="HQ619" s="83"/>
      <c r="HY619" s="405"/>
      <c r="IE619" s="83"/>
      <c r="IM619" s="405"/>
      <c r="IS619" s="83"/>
      <c r="JA619" s="405"/>
      <c r="JG619" s="83"/>
      <c r="JO619" s="405"/>
      <c r="JU619" s="83"/>
      <c r="KC619" s="405"/>
      <c r="KI619" s="83"/>
      <c r="KQ619" s="405"/>
      <c r="KW619" s="83"/>
      <c r="LE619" s="405"/>
      <c r="LK619" s="83"/>
      <c r="LS619" s="405"/>
      <c r="LY619" s="83"/>
      <c r="MG619" s="405"/>
      <c r="MM619" s="83"/>
      <c r="MU619" s="405"/>
      <c r="NA619" s="83"/>
    </row>
    <row r="620">
      <c r="A620" s="483"/>
      <c r="B620" s="380"/>
      <c r="C620" s="380"/>
      <c r="D620" s="380"/>
      <c r="E620" s="380"/>
      <c r="F620" s="380"/>
      <c r="G620" s="380"/>
      <c r="H620" s="380"/>
      <c r="I620" s="403"/>
      <c r="J620" s="380"/>
      <c r="K620" s="380"/>
      <c r="L620" s="380"/>
      <c r="M620" s="380"/>
      <c r="N620" s="380"/>
      <c r="O620" s="404"/>
      <c r="P620" s="380"/>
      <c r="Q620" s="380"/>
      <c r="R620" s="380"/>
      <c r="S620" s="380"/>
      <c r="T620" s="380"/>
      <c r="U620" s="380"/>
      <c r="V620" s="380"/>
      <c r="W620" s="403"/>
      <c r="X620" s="380"/>
      <c r="Y620" s="380"/>
      <c r="Z620" s="380"/>
      <c r="AA620" s="380"/>
      <c r="AB620" s="380"/>
      <c r="AC620" s="404"/>
      <c r="AD620" s="380"/>
      <c r="AE620" s="380"/>
      <c r="AF620" s="380"/>
      <c r="AG620" s="380"/>
      <c r="AH620" s="380"/>
      <c r="AI620" s="380"/>
      <c r="AJ620" s="380"/>
      <c r="AK620" s="403"/>
      <c r="AL620" s="380"/>
      <c r="AM620" s="380"/>
      <c r="AN620" s="380"/>
      <c r="AO620" s="380"/>
      <c r="AP620" s="380"/>
      <c r="AQ620" s="404"/>
      <c r="AR620" s="380"/>
      <c r="AS620" s="380"/>
      <c r="AT620" s="380"/>
      <c r="AU620" s="380"/>
      <c r="AV620" s="380"/>
      <c r="AW620" s="380"/>
      <c r="AX620" s="380"/>
      <c r="AY620" s="403"/>
      <c r="AZ620" s="380"/>
      <c r="BA620" s="380"/>
      <c r="BB620" s="380"/>
      <c r="BC620" s="380"/>
      <c r="BD620" s="380"/>
      <c r="BE620" s="404"/>
      <c r="BF620" s="380"/>
      <c r="BG620" s="380"/>
      <c r="BH620" s="380"/>
      <c r="BI620" s="380"/>
      <c r="BJ620" s="380"/>
      <c r="BK620" s="380"/>
      <c r="BL620" s="380"/>
      <c r="BM620" s="403"/>
      <c r="BS620" s="83"/>
      <c r="CA620" s="405"/>
      <c r="CG620" s="83"/>
      <c r="CO620" s="405"/>
      <c r="CU620" s="83"/>
      <c r="DC620" s="405"/>
      <c r="DI620" s="83"/>
      <c r="DQ620" s="405"/>
      <c r="DW620" s="83"/>
      <c r="EE620" s="405"/>
      <c r="EK620" s="83"/>
      <c r="ES620" s="405"/>
      <c r="EY620" s="83"/>
      <c r="FG620" s="405"/>
      <c r="FM620" s="83"/>
      <c r="FU620" s="405"/>
      <c r="GA620" s="83"/>
      <c r="GI620" s="405"/>
      <c r="GO620" s="83"/>
      <c r="GW620" s="405"/>
      <c r="HC620" s="83"/>
      <c r="HK620" s="405"/>
      <c r="HQ620" s="83"/>
      <c r="HY620" s="405"/>
      <c r="IE620" s="83"/>
      <c r="IM620" s="405"/>
      <c r="IS620" s="83"/>
      <c r="JA620" s="405"/>
      <c r="JG620" s="83"/>
      <c r="JO620" s="405"/>
      <c r="JU620" s="83"/>
      <c r="KC620" s="405"/>
      <c r="KI620" s="83"/>
      <c r="KQ620" s="405"/>
      <c r="KW620" s="83"/>
      <c r="LE620" s="405"/>
      <c r="LK620" s="83"/>
      <c r="LS620" s="405"/>
      <c r="LY620" s="83"/>
      <c r="MG620" s="405"/>
      <c r="MM620" s="83"/>
      <c r="MU620" s="405"/>
      <c r="NA620" s="83"/>
    </row>
    <row r="621">
      <c r="A621" s="483"/>
      <c r="B621" s="380"/>
      <c r="C621" s="380"/>
      <c r="D621" s="380"/>
      <c r="E621" s="380"/>
      <c r="F621" s="380"/>
      <c r="G621" s="380"/>
      <c r="H621" s="380"/>
      <c r="I621" s="403"/>
      <c r="J621" s="380"/>
      <c r="K621" s="380"/>
      <c r="L621" s="380"/>
      <c r="M621" s="380"/>
      <c r="N621" s="380"/>
      <c r="O621" s="404"/>
      <c r="P621" s="380"/>
      <c r="Q621" s="380"/>
      <c r="R621" s="380"/>
      <c r="S621" s="380"/>
      <c r="T621" s="380"/>
      <c r="U621" s="380"/>
      <c r="V621" s="380"/>
      <c r="W621" s="403"/>
      <c r="X621" s="380"/>
      <c r="Y621" s="380"/>
      <c r="Z621" s="380"/>
      <c r="AA621" s="380"/>
      <c r="AB621" s="380"/>
      <c r="AC621" s="404"/>
      <c r="AD621" s="380"/>
      <c r="AE621" s="380"/>
      <c r="AF621" s="380"/>
      <c r="AG621" s="380"/>
      <c r="AH621" s="380"/>
      <c r="AI621" s="380"/>
      <c r="AJ621" s="380"/>
      <c r="AK621" s="403"/>
      <c r="AL621" s="380"/>
      <c r="AM621" s="380"/>
      <c r="AN621" s="380"/>
      <c r="AO621" s="380"/>
      <c r="AP621" s="380"/>
      <c r="AQ621" s="404"/>
      <c r="AR621" s="380"/>
      <c r="AS621" s="380"/>
      <c r="AT621" s="380"/>
      <c r="AU621" s="380"/>
      <c r="AV621" s="380"/>
      <c r="AW621" s="380"/>
      <c r="AX621" s="380"/>
      <c r="AY621" s="403"/>
      <c r="AZ621" s="380"/>
      <c r="BA621" s="380"/>
      <c r="BB621" s="380"/>
      <c r="BC621" s="380"/>
      <c r="BD621" s="380"/>
      <c r="BE621" s="404"/>
      <c r="BF621" s="380"/>
      <c r="BG621" s="380"/>
      <c r="BH621" s="380"/>
      <c r="BI621" s="380"/>
      <c r="BJ621" s="380"/>
      <c r="BK621" s="380"/>
      <c r="BL621" s="380"/>
      <c r="BM621" s="403"/>
      <c r="BS621" s="83"/>
      <c r="CA621" s="405"/>
      <c r="CG621" s="83"/>
      <c r="CO621" s="405"/>
      <c r="CU621" s="83"/>
      <c r="DC621" s="405"/>
      <c r="DI621" s="83"/>
      <c r="DQ621" s="405"/>
      <c r="DW621" s="83"/>
      <c r="EE621" s="405"/>
      <c r="EK621" s="83"/>
      <c r="ES621" s="405"/>
      <c r="EY621" s="83"/>
      <c r="FG621" s="405"/>
      <c r="FM621" s="83"/>
      <c r="FU621" s="405"/>
      <c r="GA621" s="83"/>
      <c r="GI621" s="405"/>
      <c r="GO621" s="83"/>
      <c r="GW621" s="405"/>
      <c r="HC621" s="83"/>
      <c r="HK621" s="405"/>
      <c r="HQ621" s="83"/>
      <c r="HY621" s="405"/>
      <c r="IE621" s="83"/>
      <c r="IM621" s="405"/>
      <c r="IS621" s="83"/>
      <c r="JA621" s="405"/>
      <c r="JG621" s="83"/>
      <c r="JO621" s="405"/>
      <c r="JU621" s="83"/>
      <c r="KC621" s="405"/>
      <c r="KI621" s="83"/>
      <c r="KQ621" s="405"/>
      <c r="KW621" s="83"/>
      <c r="LE621" s="405"/>
      <c r="LK621" s="83"/>
      <c r="LS621" s="405"/>
      <c r="LY621" s="83"/>
      <c r="MG621" s="405"/>
      <c r="MM621" s="83"/>
      <c r="MU621" s="405"/>
      <c r="NA621" s="83"/>
    </row>
    <row r="622">
      <c r="A622" s="483"/>
      <c r="B622" s="380"/>
      <c r="C622" s="380"/>
      <c r="D622" s="380"/>
      <c r="E622" s="380"/>
      <c r="F622" s="380"/>
      <c r="G622" s="380"/>
      <c r="H622" s="380"/>
      <c r="I622" s="403"/>
      <c r="J622" s="380"/>
      <c r="K622" s="380"/>
      <c r="L622" s="380"/>
      <c r="M622" s="380"/>
      <c r="N622" s="380"/>
      <c r="O622" s="404"/>
      <c r="P622" s="380"/>
      <c r="Q622" s="380"/>
      <c r="R622" s="380"/>
      <c r="S622" s="380"/>
      <c r="T622" s="380"/>
      <c r="U622" s="380"/>
      <c r="V622" s="380"/>
      <c r="W622" s="403"/>
      <c r="X622" s="380"/>
      <c r="Y622" s="380"/>
      <c r="Z622" s="380"/>
      <c r="AA622" s="380"/>
      <c r="AB622" s="380"/>
      <c r="AC622" s="404"/>
      <c r="AD622" s="380"/>
      <c r="AE622" s="380"/>
      <c r="AF622" s="380"/>
      <c r="AG622" s="380"/>
      <c r="AH622" s="380"/>
      <c r="AI622" s="380"/>
      <c r="AJ622" s="380"/>
      <c r="AK622" s="403"/>
      <c r="AL622" s="380"/>
      <c r="AM622" s="380"/>
      <c r="AN622" s="380"/>
      <c r="AO622" s="380"/>
      <c r="AP622" s="380"/>
      <c r="AQ622" s="404"/>
      <c r="AR622" s="380"/>
      <c r="AS622" s="380"/>
      <c r="AT622" s="380"/>
      <c r="AU622" s="380"/>
      <c r="AV622" s="380"/>
      <c r="AW622" s="380"/>
      <c r="AX622" s="380"/>
      <c r="AY622" s="403"/>
      <c r="AZ622" s="380"/>
      <c r="BA622" s="380"/>
      <c r="BB622" s="380"/>
      <c r="BC622" s="380"/>
      <c r="BD622" s="380"/>
      <c r="BE622" s="404"/>
      <c r="BF622" s="380"/>
      <c r="BG622" s="380"/>
      <c r="BH622" s="380"/>
      <c r="BI622" s="380"/>
      <c r="BJ622" s="380"/>
      <c r="BK622" s="380"/>
      <c r="BL622" s="380"/>
      <c r="BM622" s="403"/>
      <c r="BS622" s="83"/>
      <c r="CA622" s="405"/>
      <c r="CG622" s="83"/>
      <c r="CO622" s="405"/>
      <c r="CU622" s="83"/>
      <c r="DC622" s="405"/>
      <c r="DI622" s="83"/>
      <c r="DQ622" s="405"/>
      <c r="DW622" s="83"/>
      <c r="EE622" s="405"/>
      <c r="EK622" s="83"/>
      <c r="ES622" s="405"/>
      <c r="EY622" s="83"/>
      <c r="FG622" s="405"/>
      <c r="FM622" s="83"/>
      <c r="FU622" s="405"/>
      <c r="GA622" s="83"/>
      <c r="GI622" s="405"/>
      <c r="GO622" s="83"/>
      <c r="GW622" s="405"/>
      <c r="HC622" s="83"/>
      <c r="HK622" s="405"/>
      <c r="HQ622" s="83"/>
      <c r="HY622" s="405"/>
      <c r="IE622" s="83"/>
      <c r="IM622" s="405"/>
      <c r="IS622" s="83"/>
      <c r="JA622" s="405"/>
      <c r="JG622" s="83"/>
      <c r="JO622" s="405"/>
      <c r="JU622" s="83"/>
      <c r="KC622" s="405"/>
      <c r="KI622" s="83"/>
      <c r="KQ622" s="405"/>
      <c r="KW622" s="83"/>
      <c r="LE622" s="405"/>
      <c r="LK622" s="83"/>
      <c r="LS622" s="405"/>
      <c r="LY622" s="83"/>
      <c r="MG622" s="405"/>
      <c r="MM622" s="83"/>
      <c r="MU622" s="405"/>
      <c r="NA622" s="83"/>
    </row>
    <row r="623">
      <c r="A623" s="483"/>
      <c r="B623" s="380"/>
      <c r="C623" s="380"/>
      <c r="D623" s="380"/>
      <c r="E623" s="380"/>
      <c r="F623" s="380"/>
      <c r="G623" s="380"/>
      <c r="H623" s="380"/>
      <c r="I623" s="403"/>
      <c r="J623" s="380"/>
      <c r="K623" s="380"/>
      <c r="L623" s="380"/>
      <c r="M623" s="380"/>
      <c r="N623" s="380"/>
      <c r="O623" s="404"/>
      <c r="P623" s="380"/>
      <c r="Q623" s="380"/>
      <c r="R623" s="380"/>
      <c r="S623" s="380"/>
      <c r="T623" s="380"/>
      <c r="U623" s="380"/>
      <c r="V623" s="380"/>
      <c r="W623" s="403"/>
      <c r="X623" s="380"/>
      <c r="Y623" s="380"/>
      <c r="Z623" s="380"/>
      <c r="AA623" s="380"/>
      <c r="AB623" s="380"/>
      <c r="AC623" s="404"/>
      <c r="AD623" s="380"/>
      <c r="AE623" s="380"/>
      <c r="AF623" s="380"/>
      <c r="AG623" s="380"/>
      <c r="AH623" s="380"/>
      <c r="AI623" s="380"/>
      <c r="AJ623" s="380"/>
      <c r="AK623" s="403"/>
      <c r="AL623" s="380"/>
      <c r="AM623" s="380"/>
      <c r="AN623" s="380"/>
      <c r="AO623" s="380"/>
      <c r="AP623" s="380"/>
      <c r="AQ623" s="404"/>
      <c r="AR623" s="380"/>
      <c r="AS623" s="380"/>
      <c r="AT623" s="380"/>
      <c r="AU623" s="380"/>
      <c r="AV623" s="380"/>
      <c r="AW623" s="380"/>
      <c r="AX623" s="380"/>
      <c r="AY623" s="403"/>
      <c r="AZ623" s="380"/>
      <c r="BA623" s="380"/>
      <c r="BB623" s="380"/>
      <c r="BC623" s="380"/>
      <c r="BD623" s="380"/>
      <c r="BE623" s="404"/>
      <c r="BF623" s="380"/>
      <c r="BG623" s="380"/>
      <c r="BH623" s="380"/>
      <c r="BI623" s="380"/>
      <c r="BJ623" s="380"/>
      <c r="BK623" s="380"/>
      <c r="BL623" s="380"/>
      <c r="BM623" s="403"/>
      <c r="BS623" s="83"/>
      <c r="CA623" s="405"/>
      <c r="CG623" s="83"/>
      <c r="CO623" s="405"/>
      <c r="CU623" s="83"/>
      <c r="DC623" s="405"/>
      <c r="DI623" s="83"/>
      <c r="DQ623" s="405"/>
      <c r="DW623" s="83"/>
      <c r="EE623" s="405"/>
      <c r="EK623" s="83"/>
      <c r="ES623" s="405"/>
      <c r="EY623" s="83"/>
      <c r="FG623" s="405"/>
      <c r="FM623" s="83"/>
      <c r="FU623" s="405"/>
      <c r="GA623" s="83"/>
      <c r="GI623" s="405"/>
      <c r="GO623" s="83"/>
      <c r="GW623" s="405"/>
      <c r="HC623" s="83"/>
      <c r="HK623" s="405"/>
      <c r="HQ623" s="83"/>
      <c r="HY623" s="405"/>
      <c r="IE623" s="83"/>
      <c r="IM623" s="405"/>
      <c r="IS623" s="83"/>
      <c r="JA623" s="405"/>
      <c r="JG623" s="83"/>
      <c r="JO623" s="405"/>
      <c r="JU623" s="83"/>
      <c r="KC623" s="405"/>
      <c r="KI623" s="83"/>
      <c r="KQ623" s="405"/>
      <c r="KW623" s="83"/>
      <c r="LE623" s="405"/>
      <c r="LK623" s="83"/>
      <c r="LS623" s="405"/>
      <c r="LY623" s="83"/>
      <c r="MG623" s="405"/>
      <c r="MM623" s="83"/>
      <c r="MU623" s="405"/>
      <c r="NA623" s="83"/>
    </row>
    <row r="624">
      <c r="A624" s="483"/>
      <c r="B624" s="380"/>
      <c r="C624" s="380"/>
      <c r="D624" s="380"/>
      <c r="E624" s="380"/>
      <c r="F624" s="380"/>
      <c r="G624" s="380"/>
      <c r="H624" s="380"/>
      <c r="I624" s="403"/>
      <c r="J624" s="380"/>
      <c r="K624" s="380"/>
      <c r="L624" s="380"/>
      <c r="M624" s="380"/>
      <c r="N624" s="380"/>
      <c r="O624" s="404"/>
      <c r="P624" s="380"/>
      <c r="Q624" s="380"/>
      <c r="R624" s="380"/>
      <c r="S624" s="380"/>
      <c r="T624" s="380"/>
      <c r="U624" s="380"/>
      <c r="V624" s="380"/>
      <c r="W624" s="403"/>
      <c r="X624" s="380"/>
      <c r="Y624" s="380"/>
      <c r="Z624" s="380"/>
      <c r="AA624" s="380"/>
      <c r="AB624" s="380"/>
      <c r="AC624" s="404"/>
      <c r="AD624" s="380"/>
      <c r="AE624" s="380"/>
      <c r="AF624" s="380"/>
      <c r="AG624" s="380"/>
      <c r="AH624" s="380"/>
      <c r="AI624" s="380"/>
      <c r="AJ624" s="380"/>
      <c r="AK624" s="403"/>
      <c r="AL624" s="380"/>
      <c r="AM624" s="380"/>
      <c r="AN624" s="380"/>
      <c r="AO624" s="380"/>
      <c r="AP624" s="380"/>
      <c r="AQ624" s="404"/>
      <c r="AR624" s="380"/>
      <c r="AS624" s="380"/>
      <c r="AT624" s="380"/>
      <c r="AU624" s="380"/>
      <c r="AV624" s="380"/>
      <c r="AW624" s="380"/>
      <c r="AX624" s="380"/>
      <c r="AY624" s="403"/>
      <c r="AZ624" s="380"/>
      <c r="BA624" s="380"/>
      <c r="BB624" s="380"/>
      <c r="BC624" s="380"/>
      <c r="BD624" s="380"/>
      <c r="BE624" s="404"/>
      <c r="BF624" s="380"/>
      <c r="BG624" s="380"/>
      <c r="BH624" s="380"/>
      <c r="BI624" s="380"/>
      <c r="BJ624" s="380"/>
      <c r="BK624" s="380"/>
      <c r="BL624" s="380"/>
      <c r="BM624" s="403"/>
      <c r="BS624" s="83"/>
      <c r="CA624" s="405"/>
      <c r="CG624" s="83"/>
      <c r="CO624" s="405"/>
      <c r="CU624" s="83"/>
      <c r="DC624" s="405"/>
      <c r="DI624" s="83"/>
      <c r="DQ624" s="405"/>
      <c r="DW624" s="83"/>
      <c r="EE624" s="405"/>
      <c r="EK624" s="83"/>
      <c r="ES624" s="405"/>
      <c r="EY624" s="83"/>
      <c r="FG624" s="405"/>
      <c r="FM624" s="83"/>
      <c r="FU624" s="405"/>
      <c r="GA624" s="83"/>
      <c r="GI624" s="405"/>
      <c r="GO624" s="83"/>
      <c r="GW624" s="405"/>
      <c r="HC624" s="83"/>
      <c r="HK624" s="405"/>
      <c r="HQ624" s="83"/>
      <c r="HY624" s="405"/>
      <c r="IE624" s="83"/>
      <c r="IM624" s="405"/>
      <c r="IS624" s="83"/>
      <c r="JA624" s="405"/>
      <c r="JG624" s="83"/>
      <c r="JO624" s="405"/>
      <c r="JU624" s="83"/>
      <c r="KC624" s="405"/>
      <c r="KI624" s="83"/>
      <c r="KQ624" s="405"/>
      <c r="KW624" s="83"/>
      <c r="LE624" s="405"/>
      <c r="LK624" s="83"/>
      <c r="LS624" s="405"/>
      <c r="LY624" s="83"/>
      <c r="MG624" s="405"/>
      <c r="MM624" s="83"/>
      <c r="MU624" s="405"/>
      <c r="NA624" s="83"/>
    </row>
    <row r="625">
      <c r="A625" s="483"/>
      <c r="B625" s="380"/>
      <c r="C625" s="380"/>
      <c r="D625" s="380"/>
      <c r="E625" s="380"/>
      <c r="F625" s="380"/>
      <c r="G625" s="380"/>
      <c r="H625" s="380"/>
      <c r="I625" s="403"/>
      <c r="J625" s="380"/>
      <c r="K625" s="380"/>
      <c r="L625" s="380"/>
      <c r="M625" s="380"/>
      <c r="N625" s="380"/>
      <c r="O625" s="404"/>
      <c r="P625" s="380"/>
      <c r="Q625" s="380"/>
      <c r="R625" s="380"/>
      <c r="S625" s="380"/>
      <c r="T625" s="380"/>
      <c r="U625" s="380"/>
      <c r="V625" s="380"/>
      <c r="W625" s="403"/>
      <c r="X625" s="380"/>
      <c r="Y625" s="380"/>
      <c r="Z625" s="380"/>
      <c r="AA625" s="380"/>
      <c r="AB625" s="380"/>
      <c r="AC625" s="404"/>
      <c r="AD625" s="380"/>
      <c r="AE625" s="380"/>
      <c r="AF625" s="380"/>
      <c r="AG625" s="380"/>
      <c r="AH625" s="380"/>
      <c r="AI625" s="380"/>
      <c r="AJ625" s="380"/>
      <c r="AK625" s="403"/>
      <c r="AL625" s="380"/>
      <c r="AM625" s="380"/>
      <c r="AN625" s="380"/>
      <c r="AO625" s="380"/>
      <c r="AP625" s="380"/>
      <c r="AQ625" s="404"/>
      <c r="AR625" s="380"/>
      <c r="AS625" s="380"/>
      <c r="AT625" s="380"/>
      <c r="AU625" s="380"/>
      <c r="AV625" s="380"/>
      <c r="AW625" s="380"/>
      <c r="AX625" s="380"/>
      <c r="AY625" s="403"/>
      <c r="AZ625" s="380"/>
      <c r="BA625" s="380"/>
      <c r="BB625" s="380"/>
      <c r="BC625" s="380"/>
      <c r="BD625" s="380"/>
      <c r="BE625" s="404"/>
      <c r="BF625" s="380"/>
      <c r="BG625" s="380"/>
      <c r="BH625" s="380"/>
      <c r="BI625" s="380"/>
      <c r="BJ625" s="380"/>
      <c r="BK625" s="380"/>
      <c r="BL625" s="380"/>
      <c r="BM625" s="403"/>
      <c r="BS625" s="83"/>
      <c r="CA625" s="405"/>
      <c r="CG625" s="83"/>
      <c r="CO625" s="405"/>
      <c r="CU625" s="83"/>
      <c r="DC625" s="405"/>
      <c r="DI625" s="83"/>
      <c r="DQ625" s="405"/>
      <c r="DW625" s="83"/>
      <c r="EE625" s="405"/>
      <c r="EK625" s="83"/>
      <c r="ES625" s="405"/>
      <c r="EY625" s="83"/>
      <c r="FG625" s="405"/>
      <c r="FM625" s="83"/>
      <c r="FU625" s="405"/>
      <c r="GA625" s="83"/>
      <c r="GI625" s="405"/>
      <c r="GO625" s="83"/>
      <c r="GW625" s="405"/>
      <c r="HC625" s="83"/>
      <c r="HK625" s="405"/>
      <c r="HQ625" s="83"/>
      <c r="HY625" s="405"/>
      <c r="IE625" s="83"/>
      <c r="IM625" s="405"/>
      <c r="IS625" s="83"/>
      <c r="JA625" s="405"/>
      <c r="JG625" s="83"/>
      <c r="JO625" s="405"/>
      <c r="JU625" s="83"/>
      <c r="KC625" s="405"/>
      <c r="KI625" s="83"/>
      <c r="KQ625" s="405"/>
      <c r="KW625" s="83"/>
      <c r="LE625" s="405"/>
      <c r="LK625" s="83"/>
      <c r="LS625" s="405"/>
      <c r="LY625" s="83"/>
      <c r="MG625" s="405"/>
      <c r="MM625" s="83"/>
      <c r="MU625" s="405"/>
      <c r="NA625" s="83"/>
    </row>
    <row r="626">
      <c r="A626" s="483"/>
      <c r="B626" s="380"/>
      <c r="C626" s="380"/>
      <c r="D626" s="380"/>
      <c r="E626" s="380"/>
      <c r="F626" s="380"/>
      <c r="G626" s="380"/>
      <c r="H626" s="380"/>
      <c r="I626" s="403"/>
      <c r="J626" s="380"/>
      <c r="K626" s="380"/>
      <c r="L626" s="380"/>
      <c r="M626" s="380"/>
      <c r="N626" s="380"/>
      <c r="O626" s="404"/>
      <c r="P626" s="380"/>
      <c r="Q626" s="380"/>
      <c r="R626" s="380"/>
      <c r="S626" s="380"/>
      <c r="T626" s="380"/>
      <c r="U626" s="380"/>
      <c r="V626" s="380"/>
      <c r="W626" s="403"/>
      <c r="X626" s="380"/>
      <c r="Y626" s="380"/>
      <c r="Z626" s="380"/>
      <c r="AA626" s="380"/>
      <c r="AB626" s="380"/>
      <c r="AC626" s="404"/>
      <c r="AD626" s="380"/>
      <c r="AE626" s="380"/>
      <c r="AF626" s="380"/>
      <c r="AG626" s="380"/>
      <c r="AH626" s="380"/>
      <c r="AI626" s="380"/>
      <c r="AJ626" s="380"/>
      <c r="AK626" s="403"/>
      <c r="AL626" s="380"/>
      <c r="AM626" s="380"/>
      <c r="AN626" s="380"/>
      <c r="AO626" s="380"/>
      <c r="AP626" s="380"/>
      <c r="AQ626" s="404"/>
      <c r="AR626" s="380"/>
      <c r="AS626" s="380"/>
      <c r="AT626" s="380"/>
      <c r="AU626" s="380"/>
      <c r="AV626" s="380"/>
      <c r="AW626" s="380"/>
      <c r="AX626" s="380"/>
      <c r="AY626" s="403"/>
      <c r="AZ626" s="380"/>
      <c r="BA626" s="380"/>
      <c r="BB626" s="380"/>
      <c r="BC626" s="380"/>
      <c r="BD626" s="380"/>
      <c r="BE626" s="404"/>
      <c r="BF626" s="380"/>
      <c r="BG626" s="380"/>
      <c r="BH626" s="380"/>
      <c r="BI626" s="380"/>
      <c r="BJ626" s="380"/>
      <c r="BK626" s="380"/>
      <c r="BL626" s="380"/>
      <c r="BM626" s="403"/>
      <c r="BS626" s="83"/>
      <c r="CA626" s="405"/>
      <c r="CG626" s="83"/>
      <c r="CO626" s="405"/>
      <c r="CU626" s="83"/>
      <c r="DC626" s="405"/>
      <c r="DI626" s="83"/>
      <c r="DQ626" s="405"/>
      <c r="DW626" s="83"/>
      <c r="EE626" s="405"/>
      <c r="EK626" s="83"/>
      <c r="ES626" s="405"/>
      <c r="EY626" s="83"/>
      <c r="FG626" s="405"/>
      <c r="FM626" s="83"/>
      <c r="FU626" s="405"/>
      <c r="GA626" s="83"/>
      <c r="GI626" s="405"/>
      <c r="GO626" s="83"/>
      <c r="GW626" s="405"/>
      <c r="HC626" s="83"/>
      <c r="HK626" s="405"/>
      <c r="HQ626" s="83"/>
      <c r="HY626" s="405"/>
      <c r="IE626" s="83"/>
      <c r="IM626" s="405"/>
      <c r="IS626" s="83"/>
      <c r="JA626" s="405"/>
      <c r="JG626" s="83"/>
      <c r="JO626" s="405"/>
      <c r="JU626" s="83"/>
      <c r="KC626" s="405"/>
      <c r="KI626" s="83"/>
      <c r="KQ626" s="405"/>
      <c r="KW626" s="83"/>
      <c r="LE626" s="405"/>
      <c r="LK626" s="83"/>
      <c r="LS626" s="405"/>
      <c r="LY626" s="83"/>
      <c r="MG626" s="405"/>
      <c r="MM626" s="83"/>
      <c r="MU626" s="405"/>
      <c r="NA626" s="83"/>
    </row>
    <row r="627">
      <c r="A627" s="483"/>
      <c r="B627" s="380"/>
      <c r="C627" s="380"/>
      <c r="D627" s="380"/>
      <c r="E627" s="380"/>
      <c r="F627" s="380"/>
      <c r="G627" s="380"/>
      <c r="H627" s="380"/>
      <c r="I627" s="403"/>
      <c r="J627" s="380"/>
      <c r="K627" s="380"/>
      <c r="L627" s="380"/>
      <c r="M627" s="380"/>
      <c r="N627" s="380"/>
      <c r="O627" s="404"/>
      <c r="P627" s="380"/>
      <c r="Q627" s="380"/>
      <c r="R627" s="380"/>
      <c r="S627" s="380"/>
      <c r="T627" s="380"/>
      <c r="U627" s="380"/>
      <c r="V627" s="380"/>
      <c r="W627" s="403"/>
      <c r="X627" s="380"/>
      <c r="Y627" s="380"/>
      <c r="Z627" s="380"/>
      <c r="AA627" s="380"/>
      <c r="AB627" s="380"/>
      <c r="AC627" s="404"/>
      <c r="AD627" s="380"/>
      <c r="AE627" s="380"/>
      <c r="AF627" s="380"/>
      <c r="AG627" s="380"/>
      <c r="AH627" s="380"/>
      <c r="AI627" s="380"/>
      <c r="AJ627" s="380"/>
      <c r="AK627" s="403"/>
      <c r="AL627" s="380"/>
      <c r="AM627" s="380"/>
      <c r="AN627" s="380"/>
      <c r="AO627" s="380"/>
      <c r="AP627" s="380"/>
      <c r="AQ627" s="404"/>
      <c r="AR627" s="380"/>
      <c r="AS627" s="380"/>
      <c r="AT627" s="380"/>
      <c r="AU627" s="380"/>
      <c r="AV627" s="380"/>
      <c r="AW627" s="380"/>
      <c r="AX627" s="380"/>
      <c r="AY627" s="403"/>
      <c r="AZ627" s="380"/>
      <c r="BA627" s="380"/>
      <c r="BB627" s="380"/>
      <c r="BC627" s="380"/>
      <c r="BD627" s="380"/>
      <c r="BE627" s="404"/>
      <c r="BF627" s="380"/>
      <c r="BG627" s="380"/>
      <c r="BH627" s="380"/>
      <c r="BI627" s="380"/>
      <c r="BJ627" s="380"/>
      <c r="BK627" s="380"/>
      <c r="BL627" s="380"/>
      <c r="BM627" s="403"/>
      <c r="BS627" s="83"/>
      <c r="CA627" s="405"/>
      <c r="CG627" s="83"/>
      <c r="CO627" s="405"/>
      <c r="CU627" s="83"/>
      <c r="DC627" s="405"/>
      <c r="DI627" s="83"/>
      <c r="DQ627" s="405"/>
      <c r="DW627" s="83"/>
      <c r="EE627" s="405"/>
      <c r="EK627" s="83"/>
      <c r="ES627" s="405"/>
      <c r="EY627" s="83"/>
      <c r="FG627" s="405"/>
      <c r="FM627" s="83"/>
      <c r="FU627" s="405"/>
      <c r="GA627" s="83"/>
      <c r="GI627" s="405"/>
      <c r="GO627" s="83"/>
      <c r="GW627" s="405"/>
      <c r="HC627" s="83"/>
      <c r="HK627" s="405"/>
      <c r="HQ627" s="83"/>
      <c r="HY627" s="405"/>
      <c r="IE627" s="83"/>
      <c r="IM627" s="405"/>
      <c r="IS627" s="83"/>
      <c r="JA627" s="405"/>
      <c r="JG627" s="83"/>
      <c r="JO627" s="405"/>
      <c r="JU627" s="83"/>
      <c r="KC627" s="405"/>
      <c r="KI627" s="83"/>
      <c r="KQ627" s="405"/>
      <c r="KW627" s="83"/>
      <c r="LE627" s="405"/>
      <c r="LK627" s="83"/>
      <c r="LS627" s="405"/>
      <c r="LY627" s="83"/>
      <c r="MG627" s="405"/>
      <c r="MM627" s="83"/>
      <c r="MU627" s="405"/>
      <c r="NA627" s="83"/>
    </row>
    <row r="628">
      <c r="A628" s="483"/>
      <c r="B628" s="380"/>
      <c r="C628" s="380"/>
      <c r="D628" s="380"/>
      <c r="E628" s="380"/>
      <c r="F628" s="380"/>
      <c r="G628" s="380"/>
      <c r="H628" s="380"/>
      <c r="I628" s="403"/>
      <c r="J628" s="380"/>
      <c r="K628" s="380"/>
      <c r="L628" s="380"/>
      <c r="M628" s="380"/>
      <c r="N628" s="380"/>
      <c r="O628" s="404"/>
      <c r="P628" s="380"/>
      <c r="Q628" s="380"/>
      <c r="R628" s="380"/>
      <c r="S628" s="380"/>
      <c r="T628" s="380"/>
      <c r="U628" s="380"/>
      <c r="V628" s="380"/>
      <c r="W628" s="403"/>
      <c r="X628" s="380"/>
      <c r="Y628" s="380"/>
      <c r="Z628" s="380"/>
      <c r="AA628" s="380"/>
      <c r="AB628" s="380"/>
      <c r="AC628" s="404"/>
      <c r="AD628" s="380"/>
      <c r="AE628" s="380"/>
      <c r="AF628" s="380"/>
      <c r="AG628" s="380"/>
      <c r="AH628" s="380"/>
      <c r="AI628" s="380"/>
      <c r="AJ628" s="380"/>
      <c r="AK628" s="403"/>
      <c r="AL628" s="380"/>
      <c r="AM628" s="380"/>
      <c r="AN628" s="380"/>
      <c r="AO628" s="380"/>
      <c r="AP628" s="380"/>
      <c r="AQ628" s="404"/>
      <c r="AR628" s="380"/>
      <c r="AS628" s="380"/>
      <c r="AT628" s="380"/>
      <c r="AU628" s="380"/>
      <c r="AV628" s="380"/>
      <c r="AW628" s="380"/>
      <c r="AX628" s="380"/>
      <c r="AY628" s="403"/>
      <c r="AZ628" s="380"/>
      <c r="BA628" s="380"/>
      <c r="BB628" s="380"/>
      <c r="BC628" s="380"/>
      <c r="BD628" s="380"/>
      <c r="BE628" s="404"/>
      <c r="BF628" s="380"/>
      <c r="BG628" s="380"/>
      <c r="BH628" s="380"/>
      <c r="BI628" s="380"/>
      <c r="BJ628" s="380"/>
      <c r="BK628" s="380"/>
      <c r="BL628" s="380"/>
      <c r="BM628" s="403"/>
      <c r="BS628" s="83"/>
      <c r="CA628" s="405"/>
      <c r="CG628" s="83"/>
      <c r="CO628" s="405"/>
      <c r="CU628" s="83"/>
      <c r="DC628" s="405"/>
      <c r="DI628" s="83"/>
      <c r="DQ628" s="405"/>
      <c r="DW628" s="83"/>
      <c r="EE628" s="405"/>
      <c r="EK628" s="83"/>
      <c r="ES628" s="405"/>
      <c r="EY628" s="83"/>
      <c r="FG628" s="405"/>
      <c r="FM628" s="83"/>
      <c r="FU628" s="405"/>
      <c r="GA628" s="83"/>
      <c r="GI628" s="405"/>
      <c r="GO628" s="83"/>
      <c r="GW628" s="405"/>
      <c r="HC628" s="83"/>
      <c r="HK628" s="405"/>
      <c r="HQ628" s="83"/>
      <c r="HY628" s="405"/>
      <c r="IE628" s="83"/>
      <c r="IM628" s="405"/>
      <c r="IS628" s="83"/>
      <c r="JA628" s="405"/>
      <c r="JG628" s="83"/>
      <c r="JO628" s="405"/>
      <c r="JU628" s="83"/>
      <c r="KC628" s="405"/>
      <c r="KI628" s="83"/>
      <c r="KQ628" s="405"/>
      <c r="KW628" s="83"/>
      <c r="LE628" s="405"/>
      <c r="LK628" s="83"/>
      <c r="LS628" s="405"/>
      <c r="LY628" s="83"/>
      <c r="MG628" s="405"/>
      <c r="MM628" s="83"/>
      <c r="MU628" s="405"/>
      <c r="NA628" s="83"/>
    </row>
    <row r="629">
      <c r="A629" s="483"/>
      <c r="B629" s="380"/>
      <c r="C629" s="380"/>
      <c r="D629" s="380"/>
      <c r="E629" s="380"/>
      <c r="F629" s="380"/>
      <c r="G629" s="380"/>
      <c r="H629" s="380"/>
      <c r="I629" s="403"/>
      <c r="J629" s="380"/>
      <c r="K629" s="380"/>
      <c r="L629" s="380"/>
      <c r="M629" s="380"/>
      <c r="N629" s="380"/>
      <c r="O629" s="404"/>
      <c r="P629" s="380"/>
      <c r="Q629" s="380"/>
      <c r="R629" s="380"/>
      <c r="S629" s="380"/>
      <c r="T629" s="380"/>
      <c r="U629" s="380"/>
      <c r="V629" s="380"/>
      <c r="W629" s="403"/>
      <c r="X629" s="380"/>
      <c r="Y629" s="380"/>
      <c r="Z629" s="380"/>
      <c r="AA629" s="380"/>
      <c r="AB629" s="380"/>
      <c r="AC629" s="404"/>
      <c r="AD629" s="380"/>
      <c r="AE629" s="380"/>
      <c r="AF629" s="380"/>
      <c r="AG629" s="380"/>
      <c r="AH629" s="380"/>
      <c r="AI629" s="380"/>
      <c r="AJ629" s="380"/>
      <c r="AK629" s="403"/>
      <c r="AL629" s="380"/>
      <c r="AM629" s="380"/>
      <c r="AN629" s="380"/>
      <c r="AO629" s="380"/>
      <c r="AP629" s="380"/>
      <c r="AQ629" s="404"/>
      <c r="AR629" s="380"/>
      <c r="AS629" s="380"/>
      <c r="AT629" s="380"/>
      <c r="AU629" s="380"/>
      <c r="AV629" s="380"/>
      <c r="AW629" s="380"/>
      <c r="AX629" s="380"/>
      <c r="AY629" s="403"/>
      <c r="AZ629" s="380"/>
      <c r="BA629" s="380"/>
      <c r="BB629" s="380"/>
      <c r="BC629" s="380"/>
      <c r="BD629" s="380"/>
      <c r="BE629" s="404"/>
      <c r="BF629" s="380"/>
      <c r="BG629" s="380"/>
      <c r="BH629" s="380"/>
      <c r="BI629" s="380"/>
      <c r="BJ629" s="380"/>
      <c r="BK629" s="380"/>
      <c r="BL629" s="380"/>
      <c r="BM629" s="403"/>
      <c r="BS629" s="83"/>
      <c r="CA629" s="405"/>
      <c r="CG629" s="83"/>
      <c r="CO629" s="405"/>
      <c r="CU629" s="83"/>
      <c r="DC629" s="405"/>
      <c r="DI629" s="83"/>
      <c r="DQ629" s="405"/>
      <c r="DW629" s="83"/>
      <c r="EE629" s="405"/>
      <c r="EK629" s="83"/>
      <c r="ES629" s="405"/>
      <c r="EY629" s="83"/>
      <c r="FG629" s="405"/>
      <c r="FM629" s="83"/>
      <c r="FU629" s="405"/>
      <c r="GA629" s="83"/>
      <c r="GI629" s="405"/>
      <c r="GO629" s="83"/>
      <c r="GW629" s="405"/>
      <c r="HC629" s="83"/>
      <c r="HK629" s="405"/>
      <c r="HQ629" s="83"/>
      <c r="HY629" s="405"/>
      <c r="IE629" s="83"/>
      <c r="IM629" s="405"/>
      <c r="IS629" s="83"/>
      <c r="JA629" s="405"/>
      <c r="JG629" s="83"/>
      <c r="JO629" s="405"/>
      <c r="JU629" s="83"/>
      <c r="KC629" s="405"/>
      <c r="KI629" s="83"/>
      <c r="KQ629" s="405"/>
      <c r="KW629" s="83"/>
      <c r="LE629" s="405"/>
      <c r="LK629" s="83"/>
      <c r="LS629" s="405"/>
      <c r="LY629" s="83"/>
      <c r="MG629" s="405"/>
      <c r="MM629" s="83"/>
      <c r="MU629" s="405"/>
      <c r="NA629" s="83"/>
    </row>
    <row r="630">
      <c r="A630" s="483"/>
      <c r="B630" s="380"/>
      <c r="C630" s="380"/>
      <c r="D630" s="380"/>
      <c r="E630" s="380"/>
      <c r="F630" s="380"/>
      <c r="G630" s="380"/>
      <c r="H630" s="380"/>
      <c r="I630" s="403"/>
      <c r="J630" s="380"/>
      <c r="K630" s="380"/>
      <c r="L630" s="380"/>
      <c r="M630" s="380"/>
      <c r="N630" s="380"/>
      <c r="O630" s="404"/>
      <c r="P630" s="380"/>
      <c r="Q630" s="380"/>
      <c r="R630" s="380"/>
      <c r="S630" s="380"/>
      <c r="T630" s="380"/>
      <c r="U630" s="380"/>
      <c r="V630" s="380"/>
      <c r="W630" s="403"/>
      <c r="X630" s="380"/>
      <c r="Y630" s="380"/>
      <c r="Z630" s="380"/>
      <c r="AA630" s="380"/>
      <c r="AB630" s="380"/>
      <c r="AC630" s="404"/>
      <c r="AD630" s="380"/>
      <c r="AE630" s="380"/>
      <c r="AF630" s="380"/>
      <c r="AG630" s="380"/>
      <c r="AH630" s="380"/>
      <c r="AI630" s="380"/>
      <c r="AJ630" s="380"/>
      <c r="AK630" s="403"/>
      <c r="AL630" s="380"/>
      <c r="AM630" s="380"/>
      <c r="AN630" s="380"/>
      <c r="AO630" s="380"/>
      <c r="AP630" s="380"/>
      <c r="AQ630" s="404"/>
      <c r="AR630" s="380"/>
      <c r="AS630" s="380"/>
      <c r="AT630" s="380"/>
      <c r="AU630" s="380"/>
      <c r="AV630" s="380"/>
      <c r="AW630" s="380"/>
      <c r="AX630" s="380"/>
      <c r="AY630" s="403"/>
      <c r="AZ630" s="380"/>
      <c r="BA630" s="380"/>
      <c r="BB630" s="380"/>
      <c r="BC630" s="380"/>
      <c r="BD630" s="380"/>
      <c r="BE630" s="404"/>
      <c r="BF630" s="380"/>
      <c r="BG630" s="380"/>
      <c r="BH630" s="380"/>
      <c r="BI630" s="380"/>
      <c r="BJ630" s="380"/>
      <c r="BK630" s="380"/>
      <c r="BL630" s="380"/>
      <c r="BM630" s="403"/>
      <c r="BS630" s="83"/>
      <c r="CA630" s="405"/>
      <c r="CG630" s="83"/>
      <c r="CO630" s="405"/>
      <c r="CU630" s="83"/>
      <c r="DC630" s="405"/>
      <c r="DI630" s="83"/>
      <c r="DQ630" s="405"/>
      <c r="DW630" s="83"/>
      <c r="EE630" s="405"/>
      <c r="EK630" s="83"/>
      <c r="ES630" s="405"/>
      <c r="EY630" s="83"/>
      <c r="FG630" s="405"/>
      <c r="FM630" s="83"/>
      <c r="FU630" s="405"/>
      <c r="GA630" s="83"/>
      <c r="GI630" s="405"/>
      <c r="GO630" s="83"/>
      <c r="GW630" s="405"/>
      <c r="HC630" s="83"/>
      <c r="HK630" s="405"/>
      <c r="HQ630" s="83"/>
      <c r="HY630" s="405"/>
      <c r="IE630" s="83"/>
      <c r="IM630" s="405"/>
      <c r="IS630" s="83"/>
      <c r="JA630" s="405"/>
      <c r="JG630" s="83"/>
      <c r="JO630" s="405"/>
      <c r="JU630" s="83"/>
      <c r="KC630" s="405"/>
      <c r="KI630" s="83"/>
      <c r="KQ630" s="405"/>
      <c r="KW630" s="83"/>
      <c r="LE630" s="405"/>
      <c r="LK630" s="83"/>
      <c r="LS630" s="405"/>
      <c r="LY630" s="83"/>
      <c r="MG630" s="405"/>
      <c r="MM630" s="83"/>
      <c r="MU630" s="405"/>
      <c r="NA630" s="83"/>
    </row>
    <row r="631">
      <c r="A631" s="483"/>
      <c r="B631" s="380"/>
      <c r="C631" s="380"/>
      <c r="D631" s="380"/>
      <c r="E631" s="380"/>
      <c r="F631" s="380"/>
      <c r="G631" s="380"/>
      <c r="H631" s="380"/>
      <c r="I631" s="403"/>
      <c r="J631" s="380"/>
      <c r="K631" s="380"/>
      <c r="L631" s="380"/>
      <c r="M631" s="380"/>
      <c r="N631" s="380"/>
      <c r="O631" s="404"/>
      <c r="P631" s="380"/>
      <c r="Q631" s="380"/>
      <c r="R631" s="380"/>
      <c r="S631" s="380"/>
      <c r="T631" s="380"/>
      <c r="U631" s="380"/>
      <c r="V631" s="380"/>
      <c r="W631" s="403"/>
      <c r="X631" s="380"/>
      <c r="Y631" s="380"/>
      <c r="Z631" s="380"/>
      <c r="AA631" s="380"/>
      <c r="AB631" s="380"/>
      <c r="AC631" s="404"/>
      <c r="AD631" s="380"/>
      <c r="AE631" s="380"/>
      <c r="AF631" s="380"/>
      <c r="AG631" s="380"/>
      <c r="AH631" s="380"/>
      <c r="AI631" s="380"/>
      <c r="AJ631" s="380"/>
      <c r="AK631" s="403"/>
      <c r="AL631" s="380"/>
      <c r="AM631" s="380"/>
      <c r="AN631" s="380"/>
      <c r="AO631" s="380"/>
      <c r="AP631" s="380"/>
      <c r="AQ631" s="404"/>
      <c r="AR631" s="380"/>
      <c r="AS631" s="380"/>
      <c r="AT631" s="380"/>
      <c r="AU631" s="380"/>
      <c r="AV631" s="380"/>
      <c r="AW631" s="380"/>
      <c r="AX631" s="380"/>
      <c r="AY631" s="403"/>
      <c r="AZ631" s="380"/>
      <c r="BA631" s="380"/>
      <c r="BB631" s="380"/>
      <c r="BC631" s="380"/>
      <c r="BD631" s="380"/>
      <c r="BE631" s="404"/>
      <c r="BF631" s="380"/>
      <c r="BG631" s="380"/>
      <c r="BH631" s="380"/>
      <c r="BI631" s="380"/>
      <c r="BJ631" s="380"/>
      <c r="BK631" s="380"/>
      <c r="BL631" s="380"/>
      <c r="BM631" s="403"/>
      <c r="BS631" s="83"/>
      <c r="CA631" s="405"/>
      <c r="CG631" s="83"/>
      <c r="CO631" s="405"/>
      <c r="CU631" s="83"/>
      <c r="DC631" s="405"/>
      <c r="DI631" s="83"/>
      <c r="DQ631" s="405"/>
      <c r="DW631" s="83"/>
      <c r="EE631" s="405"/>
      <c r="EK631" s="83"/>
      <c r="ES631" s="405"/>
      <c r="EY631" s="83"/>
      <c r="FG631" s="405"/>
      <c r="FM631" s="83"/>
      <c r="FU631" s="405"/>
      <c r="GA631" s="83"/>
      <c r="GI631" s="405"/>
      <c r="GO631" s="83"/>
      <c r="GW631" s="405"/>
      <c r="HC631" s="83"/>
      <c r="HK631" s="405"/>
      <c r="HQ631" s="83"/>
      <c r="HY631" s="405"/>
      <c r="IE631" s="83"/>
      <c r="IM631" s="405"/>
      <c r="IS631" s="83"/>
      <c r="JA631" s="405"/>
      <c r="JG631" s="83"/>
      <c r="JO631" s="405"/>
      <c r="JU631" s="83"/>
      <c r="KC631" s="405"/>
      <c r="KI631" s="83"/>
      <c r="KQ631" s="405"/>
      <c r="KW631" s="83"/>
      <c r="LE631" s="405"/>
      <c r="LK631" s="83"/>
      <c r="LS631" s="405"/>
      <c r="LY631" s="83"/>
      <c r="MG631" s="405"/>
      <c r="MM631" s="83"/>
      <c r="MU631" s="405"/>
      <c r="NA631" s="83"/>
    </row>
    <row r="632">
      <c r="A632" s="483"/>
      <c r="B632" s="380"/>
      <c r="C632" s="380"/>
      <c r="D632" s="380"/>
      <c r="E632" s="380"/>
      <c r="F632" s="380"/>
      <c r="G632" s="380"/>
      <c r="H632" s="380"/>
      <c r="I632" s="403"/>
      <c r="J632" s="380"/>
      <c r="K632" s="380"/>
      <c r="L632" s="380"/>
      <c r="M632" s="380"/>
      <c r="N632" s="380"/>
      <c r="O632" s="404"/>
      <c r="P632" s="380"/>
      <c r="Q632" s="380"/>
      <c r="R632" s="380"/>
      <c r="S632" s="380"/>
      <c r="T632" s="380"/>
      <c r="U632" s="380"/>
      <c r="V632" s="380"/>
      <c r="W632" s="403"/>
      <c r="X632" s="380"/>
      <c r="Y632" s="380"/>
      <c r="Z632" s="380"/>
      <c r="AA632" s="380"/>
      <c r="AB632" s="380"/>
      <c r="AC632" s="404"/>
      <c r="AD632" s="380"/>
      <c r="AE632" s="380"/>
      <c r="AF632" s="380"/>
      <c r="AG632" s="380"/>
      <c r="AH632" s="380"/>
      <c r="AI632" s="380"/>
      <c r="AJ632" s="380"/>
      <c r="AK632" s="403"/>
      <c r="AL632" s="380"/>
      <c r="AM632" s="380"/>
      <c r="AN632" s="380"/>
      <c r="AO632" s="380"/>
      <c r="AP632" s="380"/>
      <c r="AQ632" s="404"/>
      <c r="AR632" s="380"/>
      <c r="AS632" s="380"/>
      <c r="AT632" s="380"/>
      <c r="AU632" s="380"/>
      <c r="AV632" s="380"/>
      <c r="AW632" s="380"/>
      <c r="AX632" s="380"/>
      <c r="AY632" s="403"/>
      <c r="AZ632" s="380"/>
      <c r="BA632" s="380"/>
      <c r="BB632" s="380"/>
      <c r="BC632" s="380"/>
      <c r="BD632" s="380"/>
      <c r="BE632" s="404"/>
      <c r="BF632" s="380"/>
      <c r="BG632" s="380"/>
      <c r="BH632" s="380"/>
      <c r="BI632" s="380"/>
      <c r="BJ632" s="380"/>
      <c r="BK632" s="380"/>
      <c r="BL632" s="380"/>
      <c r="BM632" s="403"/>
      <c r="BS632" s="83"/>
      <c r="CA632" s="405"/>
      <c r="CG632" s="83"/>
      <c r="CO632" s="405"/>
      <c r="CU632" s="83"/>
      <c r="DC632" s="405"/>
      <c r="DI632" s="83"/>
      <c r="DQ632" s="405"/>
      <c r="DW632" s="83"/>
      <c r="EE632" s="405"/>
      <c r="EK632" s="83"/>
      <c r="ES632" s="405"/>
      <c r="EY632" s="83"/>
      <c r="FG632" s="405"/>
      <c r="FM632" s="83"/>
      <c r="FU632" s="405"/>
      <c r="GA632" s="83"/>
      <c r="GI632" s="405"/>
      <c r="GO632" s="83"/>
      <c r="GW632" s="405"/>
      <c r="HC632" s="83"/>
      <c r="HK632" s="405"/>
      <c r="HQ632" s="83"/>
      <c r="HY632" s="405"/>
      <c r="IE632" s="83"/>
      <c r="IM632" s="405"/>
      <c r="IS632" s="83"/>
      <c r="JA632" s="405"/>
      <c r="JG632" s="83"/>
      <c r="JO632" s="405"/>
      <c r="JU632" s="83"/>
      <c r="KC632" s="405"/>
      <c r="KI632" s="83"/>
      <c r="KQ632" s="405"/>
      <c r="KW632" s="83"/>
      <c r="LE632" s="405"/>
      <c r="LK632" s="83"/>
      <c r="LS632" s="405"/>
      <c r="LY632" s="83"/>
      <c r="MG632" s="405"/>
      <c r="MM632" s="83"/>
      <c r="MU632" s="405"/>
      <c r="NA632" s="83"/>
    </row>
    <row r="633">
      <c r="A633" s="483"/>
      <c r="B633" s="380"/>
      <c r="C633" s="380"/>
      <c r="D633" s="380"/>
      <c r="E633" s="380"/>
      <c r="F633" s="380"/>
      <c r="G633" s="380"/>
      <c r="H633" s="380"/>
      <c r="I633" s="403"/>
      <c r="J633" s="380"/>
      <c r="K633" s="380"/>
      <c r="L633" s="380"/>
      <c r="M633" s="380"/>
      <c r="N633" s="380"/>
      <c r="O633" s="404"/>
      <c r="P633" s="380"/>
      <c r="Q633" s="380"/>
      <c r="R633" s="380"/>
      <c r="S633" s="380"/>
      <c r="T633" s="380"/>
      <c r="U633" s="380"/>
      <c r="V633" s="380"/>
      <c r="W633" s="403"/>
      <c r="X633" s="380"/>
      <c r="Y633" s="380"/>
      <c r="Z633" s="380"/>
      <c r="AA633" s="380"/>
      <c r="AB633" s="380"/>
      <c r="AC633" s="404"/>
      <c r="AD633" s="380"/>
      <c r="AE633" s="380"/>
      <c r="AF633" s="380"/>
      <c r="AG633" s="380"/>
      <c r="AH633" s="380"/>
      <c r="AI633" s="380"/>
      <c r="AJ633" s="380"/>
      <c r="AK633" s="403"/>
      <c r="AL633" s="380"/>
      <c r="AM633" s="380"/>
      <c r="AN633" s="380"/>
      <c r="AO633" s="380"/>
      <c r="AP633" s="380"/>
      <c r="AQ633" s="404"/>
      <c r="AR633" s="380"/>
      <c r="AS633" s="380"/>
      <c r="AT633" s="380"/>
      <c r="AU633" s="380"/>
      <c r="AV633" s="380"/>
      <c r="AW633" s="380"/>
      <c r="AX633" s="380"/>
      <c r="AY633" s="403"/>
      <c r="AZ633" s="380"/>
      <c r="BA633" s="380"/>
      <c r="BB633" s="380"/>
      <c r="BC633" s="380"/>
      <c r="BD633" s="380"/>
      <c r="BE633" s="404"/>
      <c r="BF633" s="380"/>
      <c r="BG633" s="380"/>
      <c r="BH633" s="380"/>
      <c r="BI633" s="380"/>
      <c r="BJ633" s="380"/>
      <c r="BK633" s="380"/>
      <c r="BL633" s="380"/>
      <c r="BM633" s="403"/>
      <c r="BS633" s="83"/>
      <c r="CA633" s="405"/>
      <c r="CG633" s="83"/>
      <c r="CO633" s="405"/>
      <c r="CU633" s="83"/>
      <c r="DC633" s="405"/>
      <c r="DI633" s="83"/>
      <c r="DQ633" s="405"/>
      <c r="DW633" s="83"/>
      <c r="EE633" s="405"/>
      <c r="EK633" s="83"/>
      <c r="ES633" s="405"/>
      <c r="EY633" s="83"/>
      <c r="FG633" s="405"/>
      <c r="FM633" s="83"/>
      <c r="FU633" s="405"/>
      <c r="GA633" s="83"/>
      <c r="GI633" s="405"/>
      <c r="GO633" s="83"/>
      <c r="GW633" s="405"/>
      <c r="HC633" s="83"/>
      <c r="HK633" s="405"/>
      <c r="HQ633" s="83"/>
      <c r="HY633" s="405"/>
      <c r="IE633" s="83"/>
      <c r="IM633" s="405"/>
      <c r="IS633" s="83"/>
      <c r="JA633" s="405"/>
      <c r="JG633" s="83"/>
      <c r="JO633" s="405"/>
      <c r="JU633" s="83"/>
      <c r="KC633" s="405"/>
      <c r="KI633" s="83"/>
      <c r="KQ633" s="405"/>
      <c r="KW633" s="83"/>
      <c r="LE633" s="405"/>
      <c r="LK633" s="83"/>
      <c r="LS633" s="405"/>
      <c r="LY633" s="83"/>
      <c r="MG633" s="405"/>
      <c r="MM633" s="83"/>
      <c r="MU633" s="405"/>
      <c r="NA633" s="83"/>
    </row>
    <row r="634">
      <c r="A634" s="483"/>
      <c r="B634" s="380"/>
      <c r="C634" s="380"/>
      <c r="D634" s="380"/>
      <c r="E634" s="380"/>
      <c r="F634" s="380"/>
      <c r="G634" s="380"/>
      <c r="H634" s="380"/>
      <c r="I634" s="403"/>
      <c r="J634" s="380"/>
      <c r="K634" s="380"/>
      <c r="L634" s="380"/>
      <c r="M634" s="380"/>
      <c r="N634" s="380"/>
      <c r="O634" s="404"/>
      <c r="P634" s="380"/>
      <c r="Q634" s="380"/>
      <c r="R634" s="380"/>
      <c r="S634" s="380"/>
      <c r="T634" s="380"/>
      <c r="U634" s="380"/>
      <c r="V634" s="380"/>
      <c r="W634" s="403"/>
      <c r="X634" s="380"/>
      <c r="Y634" s="380"/>
      <c r="Z634" s="380"/>
      <c r="AA634" s="380"/>
      <c r="AB634" s="380"/>
      <c r="AC634" s="404"/>
      <c r="AD634" s="380"/>
      <c r="AE634" s="380"/>
      <c r="AF634" s="380"/>
      <c r="AG634" s="380"/>
      <c r="AH634" s="380"/>
      <c r="AI634" s="380"/>
      <c r="AJ634" s="380"/>
      <c r="AK634" s="403"/>
      <c r="AL634" s="380"/>
      <c r="AM634" s="380"/>
      <c r="AN634" s="380"/>
      <c r="AO634" s="380"/>
      <c r="AP634" s="380"/>
      <c r="AQ634" s="404"/>
      <c r="AR634" s="380"/>
      <c r="AS634" s="380"/>
      <c r="AT634" s="380"/>
      <c r="AU634" s="380"/>
      <c r="AV634" s="380"/>
      <c r="AW634" s="380"/>
      <c r="AX634" s="380"/>
      <c r="AY634" s="403"/>
      <c r="AZ634" s="380"/>
      <c r="BA634" s="380"/>
      <c r="BB634" s="380"/>
      <c r="BC634" s="380"/>
      <c r="BD634" s="380"/>
      <c r="BE634" s="404"/>
      <c r="BF634" s="380"/>
      <c r="BG634" s="380"/>
      <c r="BH634" s="380"/>
      <c r="BI634" s="380"/>
      <c r="BJ634" s="380"/>
      <c r="BK634" s="380"/>
      <c r="BL634" s="380"/>
      <c r="BM634" s="403"/>
      <c r="BS634" s="83"/>
      <c r="CA634" s="405"/>
      <c r="CG634" s="83"/>
      <c r="CO634" s="405"/>
      <c r="CU634" s="83"/>
      <c r="DC634" s="405"/>
      <c r="DI634" s="83"/>
      <c r="DQ634" s="405"/>
      <c r="DW634" s="83"/>
      <c r="EE634" s="405"/>
      <c r="EK634" s="83"/>
      <c r="ES634" s="405"/>
      <c r="EY634" s="83"/>
      <c r="FG634" s="405"/>
      <c r="FM634" s="83"/>
      <c r="FU634" s="405"/>
      <c r="GA634" s="83"/>
      <c r="GI634" s="405"/>
      <c r="GO634" s="83"/>
      <c r="GW634" s="405"/>
      <c r="HC634" s="83"/>
      <c r="HK634" s="405"/>
      <c r="HQ634" s="83"/>
      <c r="HY634" s="405"/>
      <c r="IE634" s="83"/>
      <c r="IM634" s="405"/>
      <c r="IS634" s="83"/>
      <c r="JA634" s="405"/>
      <c r="JG634" s="83"/>
      <c r="JO634" s="405"/>
      <c r="JU634" s="83"/>
      <c r="KC634" s="405"/>
      <c r="KI634" s="83"/>
      <c r="KQ634" s="405"/>
      <c r="KW634" s="83"/>
      <c r="LE634" s="405"/>
      <c r="LK634" s="83"/>
      <c r="LS634" s="405"/>
      <c r="LY634" s="83"/>
      <c r="MG634" s="405"/>
      <c r="MM634" s="83"/>
      <c r="MU634" s="405"/>
      <c r="NA634" s="83"/>
    </row>
    <row r="635">
      <c r="A635" s="483"/>
      <c r="B635" s="380"/>
      <c r="C635" s="380"/>
      <c r="D635" s="380"/>
      <c r="E635" s="380"/>
      <c r="F635" s="380"/>
      <c r="G635" s="380"/>
      <c r="H635" s="380"/>
      <c r="I635" s="403"/>
      <c r="J635" s="380"/>
      <c r="K635" s="380"/>
      <c r="L635" s="380"/>
      <c r="M635" s="380"/>
      <c r="N635" s="380"/>
      <c r="O635" s="404"/>
      <c r="P635" s="380"/>
      <c r="Q635" s="380"/>
      <c r="R635" s="380"/>
      <c r="S635" s="380"/>
      <c r="T635" s="380"/>
      <c r="U635" s="380"/>
      <c r="V635" s="380"/>
      <c r="W635" s="403"/>
      <c r="X635" s="380"/>
      <c r="Y635" s="380"/>
      <c r="Z635" s="380"/>
      <c r="AA635" s="380"/>
      <c r="AB635" s="380"/>
      <c r="AC635" s="404"/>
      <c r="AD635" s="380"/>
      <c r="AE635" s="380"/>
      <c r="AF635" s="380"/>
      <c r="AG635" s="380"/>
      <c r="AH635" s="380"/>
      <c r="AI635" s="380"/>
      <c r="AJ635" s="380"/>
      <c r="AK635" s="403"/>
      <c r="AL635" s="380"/>
      <c r="AM635" s="380"/>
      <c r="AN635" s="380"/>
      <c r="AO635" s="380"/>
      <c r="AP635" s="380"/>
      <c r="AQ635" s="404"/>
      <c r="AR635" s="380"/>
      <c r="AS635" s="380"/>
      <c r="AT635" s="380"/>
      <c r="AU635" s="380"/>
      <c r="AV635" s="380"/>
      <c r="AW635" s="380"/>
      <c r="AX635" s="380"/>
      <c r="AY635" s="403"/>
      <c r="AZ635" s="380"/>
      <c r="BA635" s="380"/>
      <c r="BB635" s="380"/>
      <c r="BC635" s="380"/>
      <c r="BD635" s="380"/>
      <c r="BE635" s="404"/>
      <c r="BF635" s="380"/>
      <c r="BG635" s="380"/>
      <c r="BH635" s="380"/>
      <c r="BI635" s="380"/>
      <c r="BJ635" s="380"/>
      <c r="BK635" s="380"/>
      <c r="BL635" s="380"/>
      <c r="BM635" s="403"/>
      <c r="BS635" s="83"/>
      <c r="CA635" s="405"/>
      <c r="CG635" s="83"/>
      <c r="CO635" s="405"/>
      <c r="CU635" s="83"/>
      <c r="DC635" s="405"/>
      <c r="DI635" s="83"/>
      <c r="DQ635" s="405"/>
      <c r="DW635" s="83"/>
      <c r="EE635" s="405"/>
      <c r="EK635" s="83"/>
      <c r="ES635" s="405"/>
      <c r="EY635" s="83"/>
      <c r="FG635" s="405"/>
      <c r="FM635" s="83"/>
      <c r="FU635" s="405"/>
      <c r="GA635" s="83"/>
      <c r="GI635" s="405"/>
      <c r="GO635" s="83"/>
      <c r="GW635" s="405"/>
      <c r="HC635" s="83"/>
      <c r="HK635" s="405"/>
      <c r="HQ635" s="83"/>
      <c r="HY635" s="405"/>
      <c r="IE635" s="83"/>
      <c r="IM635" s="405"/>
      <c r="IS635" s="83"/>
      <c r="JA635" s="405"/>
      <c r="JG635" s="83"/>
      <c r="JO635" s="405"/>
      <c r="JU635" s="83"/>
      <c r="KC635" s="405"/>
      <c r="KI635" s="83"/>
      <c r="KQ635" s="405"/>
      <c r="KW635" s="83"/>
      <c r="LE635" s="405"/>
      <c r="LK635" s="83"/>
      <c r="LS635" s="405"/>
      <c r="LY635" s="83"/>
      <c r="MG635" s="405"/>
      <c r="MM635" s="83"/>
      <c r="MU635" s="405"/>
      <c r="NA635" s="83"/>
    </row>
    <row r="636">
      <c r="A636" s="483"/>
      <c r="B636" s="380"/>
      <c r="C636" s="380"/>
      <c r="D636" s="380"/>
      <c r="E636" s="380"/>
      <c r="F636" s="380"/>
      <c r="G636" s="380"/>
      <c r="H636" s="380"/>
      <c r="I636" s="403"/>
      <c r="J636" s="380"/>
      <c r="K636" s="380"/>
      <c r="L636" s="380"/>
      <c r="M636" s="380"/>
      <c r="N636" s="380"/>
      <c r="O636" s="404"/>
      <c r="P636" s="380"/>
      <c r="Q636" s="380"/>
      <c r="R636" s="380"/>
      <c r="S636" s="380"/>
      <c r="T636" s="380"/>
      <c r="U636" s="380"/>
      <c r="V636" s="380"/>
      <c r="W636" s="403"/>
      <c r="X636" s="380"/>
      <c r="Y636" s="380"/>
      <c r="Z636" s="380"/>
      <c r="AA636" s="380"/>
      <c r="AB636" s="380"/>
      <c r="AC636" s="404"/>
      <c r="AD636" s="380"/>
      <c r="AE636" s="380"/>
      <c r="AF636" s="380"/>
      <c r="AG636" s="380"/>
      <c r="AH636" s="380"/>
      <c r="AI636" s="380"/>
      <c r="AJ636" s="380"/>
      <c r="AK636" s="403"/>
      <c r="AL636" s="380"/>
      <c r="AM636" s="380"/>
      <c r="AN636" s="380"/>
      <c r="AO636" s="380"/>
      <c r="AP636" s="380"/>
      <c r="AQ636" s="404"/>
      <c r="AR636" s="380"/>
      <c r="AS636" s="380"/>
      <c r="AT636" s="380"/>
      <c r="AU636" s="380"/>
      <c r="AV636" s="380"/>
      <c r="AW636" s="380"/>
      <c r="AX636" s="380"/>
      <c r="AY636" s="403"/>
      <c r="AZ636" s="380"/>
      <c r="BA636" s="380"/>
      <c r="BB636" s="380"/>
      <c r="BC636" s="380"/>
      <c r="BD636" s="380"/>
      <c r="BE636" s="404"/>
      <c r="BF636" s="380"/>
      <c r="BG636" s="380"/>
      <c r="BH636" s="380"/>
      <c r="BI636" s="380"/>
      <c r="BJ636" s="380"/>
      <c r="BK636" s="380"/>
      <c r="BL636" s="380"/>
      <c r="BM636" s="403"/>
      <c r="BS636" s="83"/>
      <c r="CA636" s="405"/>
      <c r="CG636" s="83"/>
      <c r="CO636" s="405"/>
      <c r="CU636" s="83"/>
      <c r="DC636" s="405"/>
      <c r="DI636" s="83"/>
      <c r="DQ636" s="405"/>
      <c r="DW636" s="83"/>
      <c r="EE636" s="405"/>
      <c r="EK636" s="83"/>
      <c r="ES636" s="405"/>
      <c r="EY636" s="83"/>
      <c r="FG636" s="405"/>
      <c r="FM636" s="83"/>
      <c r="FU636" s="405"/>
      <c r="GA636" s="83"/>
      <c r="GI636" s="405"/>
      <c r="GO636" s="83"/>
      <c r="GW636" s="405"/>
      <c r="HC636" s="83"/>
      <c r="HK636" s="405"/>
      <c r="HQ636" s="83"/>
      <c r="HY636" s="405"/>
      <c r="IE636" s="83"/>
      <c r="IM636" s="405"/>
      <c r="IS636" s="83"/>
      <c r="JA636" s="405"/>
      <c r="JG636" s="83"/>
      <c r="JO636" s="405"/>
      <c r="JU636" s="83"/>
      <c r="KC636" s="405"/>
      <c r="KI636" s="83"/>
      <c r="KQ636" s="405"/>
      <c r="KW636" s="83"/>
      <c r="LE636" s="405"/>
      <c r="LK636" s="83"/>
      <c r="LS636" s="405"/>
      <c r="LY636" s="83"/>
      <c r="MG636" s="405"/>
      <c r="MM636" s="83"/>
      <c r="MU636" s="405"/>
      <c r="NA636" s="83"/>
    </row>
    <row r="637">
      <c r="A637" s="483"/>
      <c r="B637" s="380"/>
      <c r="C637" s="380"/>
      <c r="D637" s="380"/>
      <c r="E637" s="380"/>
      <c r="F637" s="380"/>
      <c r="G637" s="380"/>
      <c r="H637" s="380"/>
      <c r="I637" s="403"/>
      <c r="J637" s="380"/>
      <c r="K637" s="380"/>
      <c r="L637" s="380"/>
      <c r="M637" s="380"/>
      <c r="N637" s="380"/>
      <c r="O637" s="404"/>
      <c r="P637" s="380"/>
      <c r="Q637" s="380"/>
      <c r="R637" s="380"/>
      <c r="S637" s="380"/>
      <c r="T637" s="380"/>
      <c r="U637" s="380"/>
      <c r="V637" s="380"/>
      <c r="W637" s="403"/>
      <c r="X637" s="380"/>
      <c r="Y637" s="380"/>
      <c r="Z637" s="380"/>
      <c r="AA637" s="380"/>
      <c r="AB637" s="380"/>
      <c r="AC637" s="404"/>
      <c r="AD637" s="380"/>
      <c r="AE637" s="380"/>
      <c r="AF637" s="380"/>
      <c r="AG637" s="380"/>
      <c r="AH637" s="380"/>
      <c r="AI637" s="380"/>
      <c r="AJ637" s="380"/>
      <c r="AK637" s="403"/>
      <c r="AL637" s="380"/>
      <c r="AM637" s="380"/>
      <c r="AN637" s="380"/>
      <c r="AO637" s="380"/>
      <c r="AP637" s="380"/>
      <c r="AQ637" s="404"/>
      <c r="AR637" s="380"/>
      <c r="AS637" s="380"/>
      <c r="AT637" s="380"/>
      <c r="AU637" s="380"/>
      <c r="AV637" s="380"/>
      <c r="AW637" s="380"/>
      <c r="AX637" s="380"/>
      <c r="AY637" s="403"/>
      <c r="AZ637" s="380"/>
      <c r="BA637" s="380"/>
      <c r="BB637" s="380"/>
      <c r="BC637" s="380"/>
      <c r="BD637" s="380"/>
      <c r="BE637" s="404"/>
      <c r="BF637" s="380"/>
      <c r="BG637" s="380"/>
      <c r="BH637" s="380"/>
      <c r="BI637" s="380"/>
      <c r="BJ637" s="380"/>
      <c r="BK637" s="380"/>
      <c r="BL637" s="380"/>
      <c r="BM637" s="403"/>
      <c r="BS637" s="83"/>
      <c r="CA637" s="405"/>
      <c r="CG637" s="83"/>
      <c r="CO637" s="405"/>
      <c r="CU637" s="83"/>
      <c r="DC637" s="405"/>
      <c r="DI637" s="83"/>
      <c r="DQ637" s="405"/>
      <c r="DW637" s="83"/>
      <c r="EE637" s="405"/>
      <c r="EK637" s="83"/>
      <c r="ES637" s="405"/>
      <c r="EY637" s="83"/>
      <c r="FG637" s="405"/>
      <c r="FM637" s="83"/>
      <c r="FU637" s="405"/>
      <c r="GA637" s="83"/>
      <c r="GI637" s="405"/>
      <c r="GO637" s="83"/>
      <c r="GW637" s="405"/>
      <c r="HC637" s="83"/>
      <c r="HK637" s="405"/>
      <c r="HQ637" s="83"/>
      <c r="HY637" s="405"/>
      <c r="IE637" s="83"/>
      <c r="IM637" s="405"/>
      <c r="IS637" s="83"/>
      <c r="JA637" s="405"/>
      <c r="JG637" s="83"/>
      <c r="JO637" s="405"/>
      <c r="JU637" s="83"/>
      <c r="KC637" s="405"/>
      <c r="KI637" s="83"/>
      <c r="KQ637" s="405"/>
      <c r="KW637" s="83"/>
      <c r="LE637" s="405"/>
      <c r="LK637" s="83"/>
      <c r="LS637" s="405"/>
      <c r="LY637" s="83"/>
      <c r="MG637" s="405"/>
      <c r="MM637" s="83"/>
      <c r="MU637" s="405"/>
      <c r="NA637" s="83"/>
    </row>
    <row r="638">
      <c r="A638" s="483"/>
      <c r="B638" s="380"/>
      <c r="C638" s="380"/>
      <c r="D638" s="380"/>
      <c r="E638" s="380"/>
      <c r="F638" s="380"/>
      <c r="G638" s="380"/>
      <c r="H638" s="380"/>
      <c r="I638" s="403"/>
      <c r="J638" s="380"/>
      <c r="K638" s="380"/>
      <c r="L638" s="380"/>
      <c r="M638" s="380"/>
      <c r="N638" s="380"/>
      <c r="O638" s="404"/>
      <c r="P638" s="380"/>
      <c r="Q638" s="380"/>
      <c r="R638" s="380"/>
      <c r="S638" s="380"/>
      <c r="T638" s="380"/>
      <c r="U638" s="380"/>
      <c r="V638" s="380"/>
      <c r="W638" s="403"/>
      <c r="X638" s="380"/>
      <c r="Y638" s="380"/>
      <c r="Z638" s="380"/>
      <c r="AA638" s="380"/>
      <c r="AB638" s="380"/>
      <c r="AC638" s="404"/>
      <c r="AD638" s="380"/>
      <c r="AE638" s="380"/>
      <c r="AF638" s="380"/>
      <c r="AG638" s="380"/>
      <c r="AH638" s="380"/>
      <c r="AI638" s="380"/>
      <c r="AJ638" s="380"/>
      <c r="AK638" s="403"/>
      <c r="AL638" s="380"/>
      <c r="AM638" s="380"/>
      <c r="AN638" s="380"/>
      <c r="AO638" s="380"/>
      <c r="AP638" s="380"/>
      <c r="AQ638" s="404"/>
      <c r="AR638" s="380"/>
      <c r="AS638" s="380"/>
      <c r="AT638" s="380"/>
      <c r="AU638" s="380"/>
      <c r="AV638" s="380"/>
      <c r="AW638" s="380"/>
      <c r="AX638" s="380"/>
      <c r="AY638" s="403"/>
      <c r="AZ638" s="380"/>
      <c r="BA638" s="380"/>
      <c r="BB638" s="380"/>
      <c r="BC638" s="380"/>
      <c r="BD638" s="380"/>
      <c r="BE638" s="404"/>
      <c r="BF638" s="380"/>
      <c r="BG638" s="380"/>
      <c r="BH638" s="380"/>
      <c r="BI638" s="380"/>
      <c r="BJ638" s="380"/>
      <c r="BK638" s="380"/>
      <c r="BL638" s="380"/>
      <c r="BM638" s="403"/>
      <c r="BS638" s="83"/>
      <c r="CA638" s="405"/>
      <c r="CG638" s="83"/>
      <c r="CO638" s="405"/>
      <c r="CU638" s="83"/>
      <c r="DC638" s="405"/>
      <c r="DI638" s="83"/>
      <c r="DQ638" s="405"/>
      <c r="DW638" s="83"/>
      <c r="EE638" s="405"/>
      <c r="EK638" s="83"/>
      <c r="ES638" s="405"/>
      <c r="EY638" s="83"/>
      <c r="FG638" s="405"/>
      <c r="FM638" s="83"/>
      <c r="FU638" s="405"/>
      <c r="GA638" s="83"/>
      <c r="GI638" s="405"/>
      <c r="GO638" s="83"/>
      <c r="GW638" s="405"/>
      <c r="HC638" s="83"/>
      <c r="HK638" s="405"/>
      <c r="HQ638" s="83"/>
      <c r="HY638" s="405"/>
      <c r="IE638" s="83"/>
      <c r="IM638" s="405"/>
      <c r="IS638" s="83"/>
      <c r="JA638" s="405"/>
      <c r="JG638" s="83"/>
      <c r="JO638" s="405"/>
      <c r="JU638" s="83"/>
      <c r="KC638" s="405"/>
      <c r="KI638" s="83"/>
      <c r="KQ638" s="405"/>
      <c r="KW638" s="83"/>
      <c r="LE638" s="405"/>
      <c r="LK638" s="83"/>
      <c r="LS638" s="405"/>
      <c r="LY638" s="83"/>
      <c r="MG638" s="405"/>
      <c r="MM638" s="83"/>
      <c r="MU638" s="405"/>
      <c r="NA638" s="83"/>
    </row>
    <row r="639">
      <c r="A639" s="483"/>
      <c r="B639" s="380"/>
      <c r="C639" s="380"/>
      <c r="D639" s="380"/>
      <c r="E639" s="380"/>
      <c r="F639" s="380"/>
      <c r="G639" s="380"/>
      <c r="H639" s="380"/>
      <c r="I639" s="403"/>
      <c r="J639" s="380"/>
      <c r="K639" s="380"/>
      <c r="L639" s="380"/>
      <c r="M639" s="380"/>
      <c r="N639" s="380"/>
      <c r="O639" s="404"/>
      <c r="P639" s="380"/>
      <c r="Q639" s="380"/>
      <c r="R639" s="380"/>
      <c r="S639" s="380"/>
      <c r="T639" s="380"/>
      <c r="U639" s="380"/>
      <c r="V639" s="380"/>
      <c r="W639" s="403"/>
      <c r="X639" s="380"/>
      <c r="Y639" s="380"/>
      <c r="Z639" s="380"/>
      <c r="AA639" s="380"/>
      <c r="AB639" s="380"/>
      <c r="AC639" s="404"/>
      <c r="AD639" s="380"/>
      <c r="AE639" s="380"/>
      <c r="AF639" s="380"/>
      <c r="AG639" s="380"/>
      <c r="AH639" s="380"/>
      <c r="AI639" s="380"/>
      <c r="AJ639" s="380"/>
      <c r="AK639" s="403"/>
      <c r="AL639" s="380"/>
      <c r="AM639" s="380"/>
      <c r="AN639" s="380"/>
      <c r="AO639" s="380"/>
      <c r="AP639" s="380"/>
      <c r="AQ639" s="404"/>
      <c r="AR639" s="380"/>
      <c r="AS639" s="380"/>
      <c r="AT639" s="380"/>
      <c r="AU639" s="380"/>
      <c r="AV639" s="380"/>
      <c r="AW639" s="380"/>
      <c r="AX639" s="380"/>
      <c r="AY639" s="403"/>
      <c r="AZ639" s="380"/>
      <c r="BA639" s="380"/>
      <c r="BB639" s="380"/>
      <c r="BC639" s="380"/>
      <c r="BD639" s="380"/>
      <c r="BE639" s="404"/>
      <c r="BF639" s="380"/>
      <c r="BG639" s="380"/>
      <c r="BH639" s="380"/>
      <c r="BI639" s="380"/>
      <c r="BJ639" s="380"/>
      <c r="BK639" s="380"/>
      <c r="BL639" s="380"/>
      <c r="BM639" s="403"/>
      <c r="BS639" s="83"/>
      <c r="CA639" s="405"/>
      <c r="CG639" s="83"/>
      <c r="CO639" s="405"/>
      <c r="CU639" s="83"/>
      <c r="DC639" s="405"/>
      <c r="DI639" s="83"/>
      <c r="DQ639" s="405"/>
      <c r="DW639" s="83"/>
      <c r="EE639" s="405"/>
      <c r="EK639" s="83"/>
      <c r="ES639" s="405"/>
      <c r="EY639" s="83"/>
      <c r="FG639" s="405"/>
      <c r="FM639" s="83"/>
      <c r="FU639" s="405"/>
      <c r="GA639" s="83"/>
      <c r="GI639" s="405"/>
      <c r="GO639" s="83"/>
      <c r="GW639" s="405"/>
      <c r="HC639" s="83"/>
      <c r="HK639" s="405"/>
      <c r="HQ639" s="83"/>
      <c r="HY639" s="405"/>
      <c r="IE639" s="83"/>
      <c r="IM639" s="405"/>
      <c r="IS639" s="83"/>
      <c r="JA639" s="405"/>
      <c r="JG639" s="83"/>
      <c r="JO639" s="405"/>
      <c r="JU639" s="83"/>
      <c r="KC639" s="405"/>
      <c r="KI639" s="83"/>
      <c r="KQ639" s="405"/>
      <c r="KW639" s="83"/>
      <c r="LE639" s="405"/>
      <c r="LK639" s="83"/>
      <c r="LS639" s="405"/>
      <c r="LY639" s="83"/>
      <c r="MG639" s="405"/>
      <c r="MM639" s="83"/>
      <c r="MU639" s="405"/>
      <c r="NA639" s="83"/>
    </row>
    <row r="640">
      <c r="A640" s="483"/>
      <c r="B640" s="380"/>
      <c r="C640" s="380"/>
      <c r="D640" s="380"/>
      <c r="E640" s="380"/>
      <c r="F640" s="380"/>
      <c r="G640" s="380"/>
      <c r="H640" s="380"/>
      <c r="I640" s="403"/>
      <c r="J640" s="380"/>
      <c r="K640" s="380"/>
      <c r="L640" s="380"/>
      <c r="M640" s="380"/>
      <c r="N640" s="380"/>
      <c r="O640" s="404"/>
      <c r="P640" s="380"/>
      <c r="Q640" s="380"/>
      <c r="R640" s="380"/>
      <c r="S640" s="380"/>
      <c r="T640" s="380"/>
      <c r="U640" s="380"/>
      <c r="V640" s="380"/>
      <c r="W640" s="403"/>
      <c r="X640" s="380"/>
      <c r="Y640" s="380"/>
      <c r="Z640" s="380"/>
      <c r="AA640" s="380"/>
      <c r="AB640" s="380"/>
      <c r="AC640" s="404"/>
      <c r="AD640" s="380"/>
      <c r="AE640" s="380"/>
      <c r="AF640" s="380"/>
      <c r="AG640" s="380"/>
      <c r="AH640" s="380"/>
      <c r="AI640" s="380"/>
      <c r="AJ640" s="380"/>
      <c r="AK640" s="403"/>
      <c r="AL640" s="380"/>
      <c r="AM640" s="380"/>
      <c r="AN640" s="380"/>
      <c r="AO640" s="380"/>
      <c r="AP640" s="380"/>
      <c r="AQ640" s="404"/>
      <c r="AR640" s="380"/>
      <c r="AS640" s="380"/>
      <c r="AT640" s="380"/>
      <c r="AU640" s="380"/>
      <c r="AV640" s="380"/>
      <c r="AW640" s="380"/>
      <c r="AX640" s="380"/>
      <c r="AY640" s="403"/>
      <c r="AZ640" s="380"/>
      <c r="BA640" s="380"/>
      <c r="BB640" s="380"/>
      <c r="BC640" s="380"/>
      <c r="BD640" s="380"/>
      <c r="BE640" s="404"/>
      <c r="BF640" s="380"/>
      <c r="BG640" s="380"/>
      <c r="BH640" s="380"/>
      <c r="BI640" s="380"/>
      <c r="BJ640" s="380"/>
      <c r="BK640" s="380"/>
      <c r="BL640" s="380"/>
      <c r="BM640" s="403"/>
      <c r="BS640" s="83"/>
      <c r="CA640" s="405"/>
      <c r="CG640" s="83"/>
      <c r="CO640" s="405"/>
      <c r="CU640" s="83"/>
      <c r="DC640" s="405"/>
      <c r="DI640" s="83"/>
      <c r="DQ640" s="405"/>
      <c r="DW640" s="83"/>
      <c r="EE640" s="405"/>
      <c r="EK640" s="83"/>
      <c r="ES640" s="405"/>
      <c r="EY640" s="83"/>
      <c r="FG640" s="405"/>
      <c r="FM640" s="83"/>
      <c r="FU640" s="405"/>
      <c r="GA640" s="83"/>
      <c r="GI640" s="405"/>
      <c r="GO640" s="83"/>
      <c r="GW640" s="405"/>
      <c r="HC640" s="83"/>
      <c r="HK640" s="405"/>
      <c r="HQ640" s="83"/>
      <c r="HY640" s="405"/>
      <c r="IE640" s="83"/>
      <c r="IM640" s="405"/>
      <c r="IS640" s="83"/>
      <c r="JA640" s="405"/>
      <c r="JG640" s="83"/>
      <c r="JO640" s="405"/>
      <c r="JU640" s="83"/>
      <c r="KC640" s="405"/>
      <c r="KI640" s="83"/>
      <c r="KQ640" s="405"/>
      <c r="KW640" s="83"/>
      <c r="LE640" s="405"/>
      <c r="LK640" s="83"/>
      <c r="LS640" s="405"/>
      <c r="LY640" s="83"/>
      <c r="MG640" s="405"/>
      <c r="MM640" s="83"/>
      <c r="MU640" s="405"/>
      <c r="NA640" s="83"/>
    </row>
    <row r="641">
      <c r="A641" s="483"/>
      <c r="B641" s="380"/>
      <c r="C641" s="380"/>
      <c r="D641" s="380"/>
      <c r="E641" s="380"/>
      <c r="F641" s="380"/>
      <c r="G641" s="380"/>
      <c r="H641" s="380"/>
      <c r="I641" s="403"/>
      <c r="J641" s="380"/>
      <c r="K641" s="380"/>
      <c r="L641" s="380"/>
      <c r="M641" s="380"/>
      <c r="N641" s="380"/>
      <c r="O641" s="404"/>
      <c r="P641" s="380"/>
      <c r="Q641" s="380"/>
      <c r="R641" s="380"/>
      <c r="S641" s="380"/>
      <c r="T641" s="380"/>
      <c r="U641" s="380"/>
      <c r="V641" s="380"/>
      <c r="W641" s="403"/>
      <c r="X641" s="380"/>
      <c r="Y641" s="380"/>
      <c r="Z641" s="380"/>
      <c r="AA641" s="380"/>
      <c r="AB641" s="380"/>
      <c r="AC641" s="404"/>
      <c r="AD641" s="380"/>
      <c r="AE641" s="380"/>
      <c r="AF641" s="380"/>
      <c r="AG641" s="380"/>
      <c r="AH641" s="380"/>
      <c r="AI641" s="380"/>
      <c r="AJ641" s="380"/>
      <c r="AK641" s="403"/>
      <c r="AL641" s="380"/>
      <c r="AM641" s="380"/>
      <c r="AN641" s="380"/>
      <c r="AO641" s="380"/>
      <c r="AP641" s="380"/>
      <c r="AQ641" s="404"/>
      <c r="AR641" s="380"/>
      <c r="AS641" s="380"/>
      <c r="AT641" s="380"/>
      <c r="AU641" s="380"/>
      <c r="AV641" s="380"/>
      <c r="AW641" s="380"/>
      <c r="AX641" s="380"/>
      <c r="AY641" s="403"/>
      <c r="AZ641" s="380"/>
      <c r="BA641" s="380"/>
      <c r="BB641" s="380"/>
      <c r="BC641" s="380"/>
      <c r="BD641" s="380"/>
      <c r="BE641" s="404"/>
      <c r="BF641" s="380"/>
      <c r="BG641" s="380"/>
      <c r="BH641" s="380"/>
      <c r="BI641" s="380"/>
      <c r="BJ641" s="380"/>
      <c r="BK641" s="380"/>
      <c r="BL641" s="380"/>
      <c r="BM641" s="403"/>
      <c r="BS641" s="83"/>
      <c r="CA641" s="405"/>
      <c r="CG641" s="83"/>
      <c r="CO641" s="405"/>
      <c r="CU641" s="83"/>
      <c r="DC641" s="405"/>
      <c r="DI641" s="83"/>
      <c r="DQ641" s="405"/>
      <c r="DW641" s="83"/>
      <c r="EE641" s="405"/>
      <c r="EK641" s="83"/>
      <c r="ES641" s="405"/>
      <c r="EY641" s="83"/>
      <c r="FG641" s="405"/>
      <c r="FM641" s="83"/>
      <c r="FU641" s="405"/>
      <c r="GA641" s="83"/>
      <c r="GI641" s="405"/>
      <c r="GO641" s="83"/>
      <c r="GW641" s="405"/>
      <c r="HC641" s="83"/>
      <c r="HK641" s="405"/>
      <c r="HQ641" s="83"/>
      <c r="HY641" s="405"/>
      <c r="IE641" s="83"/>
      <c r="IM641" s="405"/>
      <c r="IS641" s="83"/>
      <c r="JA641" s="405"/>
      <c r="JG641" s="83"/>
      <c r="JO641" s="405"/>
      <c r="JU641" s="83"/>
      <c r="KC641" s="405"/>
      <c r="KI641" s="83"/>
      <c r="KQ641" s="405"/>
      <c r="KW641" s="83"/>
      <c r="LE641" s="405"/>
      <c r="LK641" s="83"/>
      <c r="LS641" s="405"/>
      <c r="LY641" s="83"/>
      <c r="MG641" s="405"/>
      <c r="MM641" s="83"/>
      <c r="MU641" s="405"/>
      <c r="NA641" s="83"/>
    </row>
    <row r="642">
      <c r="A642" s="483"/>
      <c r="B642" s="380"/>
      <c r="C642" s="380"/>
      <c r="D642" s="380"/>
      <c r="E642" s="380"/>
      <c r="F642" s="380"/>
      <c r="G642" s="380"/>
      <c r="H642" s="380"/>
      <c r="I642" s="403"/>
      <c r="J642" s="380"/>
      <c r="K642" s="380"/>
      <c r="L642" s="380"/>
      <c r="M642" s="380"/>
      <c r="N642" s="380"/>
      <c r="O642" s="404"/>
      <c r="P642" s="380"/>
      <c r="Q642" s="380"/>
      <c r="R642" s="380"/>
      <c r="S642" s="380"/>
      <c r="T642" s="380"/>
      <c r="U642" s="380"/>
      <c r="V642" s="380"/>
      <c r="W642" s="403"/>
      <c r="X642" s="380"/>
      <c r="Y642" s="380"/>
      <c r="Z642" s="380"/>
      <c r="AA642" s="380"/>
      <c r="AB642" s="380"/>
      <c r="AC642" s="404"/>
      <c r="AD642" s="380"/>
      <c r="AE642" s="380"/>
      <c r="AF642" s="380"/>
      <c r="AG642" s="380"/>
      <c r="AH642" s="380"/>
      <c r="AI642" s="380"/>
      <c r="AJ642" s="380"/>
      <c r="AK642" s="403"/>
      <c r="AL642" s="380"/>
      <c r="AM642" s="380"/>
      <c r="AN642" s="380"/>
      <c r="AO642" s="380"/>
      <c r="AP642" s="380"/>
      <c r="AQ642" s="404"/>
      <c r="AR642" s="380"/>
      <c r="AS642" s="380"/>
      <c r="AT642" s="380"/>
      <c r="AU642" s="380"/>
      <c r="AV642" s="380"/>
      <c r="AW642" s="380"/>
      <c r="AX642" s="380"/>
      <c r="AY642" s="403"/>
      <c r="AZ642" s="380"/>
      <c r="BA642" s="380"/>
      <c r="BB642" s="380"/>
      <c r="BC642" s="380"/>
      <c r="BD642" s="380"/>
      <c r="BE642" s="404"/>
      <c r="BF642" s="380"/>
      <c r="BG642" s="380"/>
      <c r="BH642" s="380"/>
      <c r="BI642" s="380"/>
      <c r="BJ642" s="380"/>
      <c r="BK642" s="380"/>
      <c r="BL642" s="380"/>
      <c r="BM642" s="403"/>
      <c r="BS642" s="83"/>
      <c r="CA642" s="405"/>
      <c r="CG642" s="83"/>
      <c r="CO642" s="405"/>
      <c r="CU642" s="83"/>
      <c r="DC642" s="405"/>
      <c r="DI642" s="83"/>
      <c r="DQ642" s="405"/>
      <c r="DW642" s="83"/>
      <c r="EE642" s="405"/>
      <c r="EK642" s="83"/>
      <c r="ES642" s="405"/>
      <c r="EY642" s="83"/>
      <c r="FG642" s="405"/>
      <c r="FM642" s="83"/>
      <c r="FU642" s="405"/>
      <c r="GA642" s="83"/>
      <c r="GI642" s="405"/>
      <c r="GO642" s="83"/>
      <c r="GW642" s="405"/>
      <c r="HC642" s="83"/>
      <c r="HK642" s="405"/>
      <c r="HQ642" s="83"/>
      <c r="HY642" s="405"/>
      <c r="IE642" s="83"/>
      <c r="IM642" s="405"/>
      <c r="IS642" s="83"/>
      <c r="JA642" s="405"/>
      <c r="JG642" s="83"/>
      <c r="JO642" s="405"/>
      <c r="JU642" s="83"/>
      <c r="KC642" s="405"/>
      <c r="KI642" s="83"/>
      <c r="KQ642" s="405"/>
      <c r="KW642" s="83"/>
      <c r="LE642" s="405"/>
      <c r="LK642" s="83"/>
      <c r="LS642" s="405"/>
      <c r="LY642" s="83"/>
      <c r="MG642" s="405"/>
      <c r="MM642" s="83"/>
      <c r="MU642" s="405"/>
      <c r="NA642" s="83"/>
    </row>
    <row r="643">
      <c r="A643" s="483"/>
      <c r="B643" s="380"/>
      <c r="C643" s="380"/>
      <c r="D643" s="380"/>
      <c r="E643" s="380"/>
      <c r="F643" s="380"/>
      <c r="G643" s="380"/>
      <c r="H643" s="380"/>
      <c r="I643" s="403"/>
      <c r="J643" s="380"/>
      <c r="K643" s="380"/>
      <c r="L643" s="380"/>
      <c r="M643" s="380"/>
      <c r="N643" s="380"/>
      <c r="O643" s="404"/>
      <c r="P643" s="380"/>
      <c r="Q643" s="380"/>
      <c r="R643" s="380"/>
      <c r="S643" s="380"/>
      <c r="T643" s="380"/>
      <c r="U643" s="380"/>
      <c r="V643" s="380"/>
      <c r="W643" s="403"/>
      <c r="X643" s="380"/>
      <c r="Y643" s="380"/>
      <c r="Z643" s="380"/>
      <c r="AA643" s="380"/>
      <c r="AB643" s="380"/>
      <c r="AC643" s="404"/>
      <c r="AD643" s="380"/>
      <c r="AE643" s="380"/>
      <c r="AF643" s="380"/>
      <c r="AG643" s="380"/>
      <c r="AH643" s="380"/>
      <c r="AI643" s="380"/>
      <c r="AJ643" s="380"/>
      <c r="AK643" s="403"/>
      <c r="AL643" s="380"/>
      <c r="AM643" s="380"/>
      <c r="AN643" s="380"/>
      <c r="AO643" s="380"/>
      <c r="AP643" s="380"/>
      <c r="AQ643" s="404"/>
      <c r="AR643" s="380"/>
      <c r="AS643" s="380"/>
      <c r="AT643" s="380"/>
      <c r="AU643" s="380"/>
      <c r="AV643" s="380"/>
      <c r="AW643" s="380"/>
      <c r="AX643" s="380"/>
      <c r="AY643" s="403"/>
      <c r="AZ643" s="380"/>
      <c r="BA643" s="380"/>
      <c r="BB643" s="380"/>
      <c r="BC643" s="380"/>
      <c r="BD643" s="380"/>
      <c r="BE643" s="404"/>
      <c r="BF643" s="380"/>
      <c r="BG643" s="380"/>
      <c r="BH643" s="380"/>
      <c r="BI643" s="380"/>
      <c r="BJ643" s="380"/>
      <c r="BK643" s="380"/>
      <c r="BL643" s="380"/>
      <c r="BM643" s="403"/>
      <c r="BS643" s="83"/>
      <c r="CA643" s="405"/>
      <c r="CG643" s="83"/>
      <c r="CO643" s="405"/>
      <c r="CU643" s="83"/>
      <c r="DC643" s="405"/>
      <c r="DI643" s="83"/>
      <c r="DQ643" s="405"/>
      <c r="DW643" s="83"/>
      <c r="EE643" s="405"/>
      <c r="EK643" s="83"/>
      <c r="ES643" s="405"/>
      <c r="EY643" s="83"/>
      <c r="FG643" s="405"/>
      <c r="FM643" s="83"/>
      <c r="FU643" s="405"/>
      <c r="GA643" s="83"/>
      <c r="GI643" s="405"/>
      <c r="GO643" s="83"/>
      <c r="GW643" s="405"/>
      <c r="HC643" s="83"/>
      <c r="HK643" s="405"/>
      <c r="HQ643" s="83"/>
      <c r="HY643" s="405"/>
      <c r="IE643" s="83"/>
      <c r="IM643" s="405"/>
      <c r="IS643" s="83"/>
      <c r="JA643" s="405"/>
      <c r="JG643" s="83"/>
      <c r="JO643" s="405"/>
      <c r="JU643" s="83"/>
      <c r="KC643" s="405"/>
      <c r="KI643" s="83"/>
      <c r="KQ643" s="405"/>
      <c r="KW643" s="83"/>
      <c r="LE643" s="405"/>
      <c r="LK643" s="83"/>
      <c r="LS643" s="405"/>
      <c r="LY643" s="83"/>
      <c r="MG643" s="405"/>
      <c r="MM643" s="83"/>
      <c r="MU643" s="405"/>
      <c r="NA643" s="83"/>
    </row>
    <row r="644">
      <c r="A644" s="483"/>
      <c r="B644" s="380"/>
      <c r="C644" s="380"/>
      <c r="D644" s="380"/>
      <c r="E644" s="380"/>
      <c r="F644" s="380"/>
      <c r="G644" s="380"/>
      <c r="H644" s="380"/>
      <c r="I644" s="403"/>
      <c r="J644" s="380"/>
      <c r="K644" s="380"/>
      <c r="L644" s="380"/>
      <c r="M644" s="380"/>
      <c r="N644" s="380"/>
      <c r="O644" s="404"/>
      <c r="P644" s="380"/>
      <c r="Q644" s="380"/>
      <c r="R644" s="380"/>
      <c r="S644" s="380"/>
      <c r="T644" s="380"/>
      <c r="U644" s="380"/>
      <c r="V644" s="380"/>
      <c r="W644" s="403"/>
      <c r="X644" s="380"/>
      <c r="Y644" s="380"/>
      <c r="Z644" s="380"/>
      <c r="AA644" s="380"/>
      <c r="AB644" s="380"/>
      <c r="AC644" s="404"/>
      <c r="AD644" s="380"/>
      <c r="AE644" s="380"/>
      <c r="AF644" s="380"/>
      <c r="AG644" s="380"/>
      <c r="AH644" s="380"/>
      <c r="AI644" s="380"/>
      <c r="AJ644" s="380"/>
      <c r="AK644" s="403"/>
      <c r="AL644" s="380"/>
      <c r="AM644" s="380"/>
      <c r="AN644" s="380"/>
      <c r="AO644" s="380"/>
      <c r="AP644" s="380"/>
      <c r="AQ644" s="404"/>
      <c r="AR644" s="380"/>
      <c r="AS644" s="380"/>
      <c r="AT644" s="380"/>
      <c r="AU644" s="380"/>
      <c r="AV644" s="380"/>
      <c r="AW644" s="380"/>
      <c r="AX644" s="380"/>
      <c r="AY644" s="403"/>
      <c r="AZ644" s="380"/>
      <c r="BA644" s="380"/>
      <c r="BB644" s="380"/>
      <c r="BC644" s="380"/>
      <c r="BD644" s="380"/>
      <c r="BE644" s="404"/>
      <c r="BF644" s="380"/>
      <c r="BG644" s="380"/>
      <c r="BH644" s="380"/>
      <c r="BI644" s="380"/>
      <c r="BJ644" s="380"/>
      <c r="BK644" s="380"/>
      <c r="BL644" s="380"/>
      <c r="BM644" s="403"/>
      <c r="BS644" s="83"/>
      <c r="CA644" s="405"/>
      <c r="CG644" s="83"/>
      <c r="CO644" s="405"/>
      <c r="CU644" s="83"/>
      <c r="DC644" s="405"/>
      <c r="DI644" s="83"/>
      <c r="DQ644" s="405"/>
      <c r="DW644" s="83"/>
      <c r="EE644" s="405"/>
      <c r="EK644" s="83"/>
      <c r="ES644" s="405"/>
      <c r="EY644" s="83"/>
      <c r="FG644" s="405"/>
      <c r="FM644" s="83"/>
      <c r="FU644" s="405"/>
      <c r="GA644" s="83"/>
      <c r="GI644" s="405"/>
      <c r="GO644" s="83"/>
      <c r="GW644" s="405"/>
      <c r="HC644" s="83"/>
      <c r="HK644" s="405"/>
      <c r="HQ644" s="83"/>
      <c r="HY644" s="405"/>
      <c r="IE644" s="83"/>
      <c r="IM644" s="405"/>
      <c r="IS644" s="83"/>
      <c r="JA644" s="405"/>
      <c r="JG644" s="83"/>
      <c r="JO644" s="405"/>
      <c r="JU644" s="83"/>
      <c r="KC644" s="405"/>
      <c r="KI644" s="83"/>
      <c r="KQ644" s="405"/>
      <c r="KW644" s="83"/>
      <c r="LE644" s="405"/>
      <c r="LK644" s="83"/>
      <c r="LS644" s="405"/>
      <c r="LY644" s="83"/>
      <c r="MG644" s="405"/>
      <c r="MM644" s="83"/>
      <c r="MU644" s="405"/>
      <c r="NA644" s="83"/>
    </row>
    <row r="645">
      <c r="A645" s="483"/>
      <c r="B645" s="380"/>
      <c r="C645" s="380"/>
      <c r="D645" s="380"/>
      <c r="E645" s="380"/>
      <c r="F645" s="380"/>
      <c r="G645" s="380"/>
      <c r="H645" s="380"/>
      <c r="I645" s="403"/>
      <c r="J645" s="380"/>
      <c r="K645" s="380"/>
      <c r="L645" s="380"/>
      <c r="M645" s="380"/>
      <c r="N645" s="380"/>
      <c r="O645" s="404"/>
      <c r="P645" s="380"/>
      <c r="Q645" s="380"/>
      <c r="R645" s="380"/>
      <c r="S645" s="380"/>
      <c r="T645" s="380"/>
      <c r="U645" s="380"/>
      <c r="V645" s="380"/>
      <c r="W645" s="403"/>
      <c r="X645" s="380"/>
      <c r="Y645" s="380"/>
      <c r="Z645" s="380"/>
      <c r="AA645" s="380"/>
      <c r="AB645" s="380"/>
      <c r="AC645" s="404"/>
      <c r="AD645" s="380"/>
      <c r="AE645" s="380"/>
      <c r="AF645" s="380"/>
      <c r="AG645" s="380"/>
      <c r="AH645" s="380"/>
      <c r="AI645" s="380"/>
      <c r="AJ645" s="380"/>
      <c r="AK645" s="403"/>
      <c r="AL645" s="380"/>
      <c r="AM645" s="380"/>
      <c r="AN645" s="380"/>
      <c r="AO645" s="380"/>
      <c r="AP645" s="380"/>
      <c r="AQ645" s="404"/>
      <c r="AR645" s="380"/>
      <c r="AS645" s="380"/>
      <c r="AT645" s="380"/>
      <c r="AU645" s="380"/>
      <c r="AV645" s="380"/>
      <c r="AW645" s="380"/>
      <c r="AX645" s="380"/>
      <c r="AY645" s="403"/>
      <c r="AZ645" s="380"/>
      <c r="BA645" s="380"/>
      <c r="BB645" s="380"/>
      <c r="BC645" s="380"/>
      <c r="BD645" s="380"/>
      <c r="BE645" s="404"/>
      <c r="BF645" s="380"/>
      <c r="BG645" s="380"/>
      <c r="BH645" s="380"/>
      <c r="BI645" s="380"/>
      <c r="BJ645" s="380"/>
      <c r="BK645" s="380"/>
      <c r="BL645" s="380"/>
      <c r="BM645" s="403"/>
      <c r="BS645" s="83"/>
      <c r="CA645" s="405"/>
      <c r="CG645" s="83"/>
      <c r="CO645" s="405"/>
      <c r="CU645" s="83"/>
      <c r="DC645" s="405"/>
      <c r="DI645" s="83"/>
      <c r="DQ645" s="405"/>
      <c r="DW645" s="83"/>
      <c r="EE645" s="405"/>
      <c r="EK645" s="83"/>
      <c r="ES645" s="405"/>
      <c r="EY645" s="83"/>
      <c r="FG645" s="405"/>
      <c r="FM645" s="83"/>
      <c r="FU645" s="405"/>
      <c r="GA645" s="83"/>
      <c r="GI645" s="405"/>
      <c r="GO645" s="83"/>
      <c r="GW645" s="405"/>
      <c r="HC645" s="83"/>
      <c r="HK645" s="405"/>
      <c r="HQ645" s="83"/>
      <c r="HY645" s="405"/>
      <c r="IE645" s="83"/>
      <c r="IM645" s="405"/>
      <c r="IS645" s="83"/>
      <c r="JA645" s="405"/>
      <c r="JG645" s="83"/>
      <c r="JO645" s="405"/>
      <c r="JU645" s="83"/>
      <c r="KC645" s="405"/>
      <c r="KI645" s="83"/>
      <c r="KQ645" s="405"/>
      <c r="KW645" s="83"/>
      <c r="LE645" s="405"/>
      <c r="LK645" s="83"/>
      <c r="LS645" s="405"/>
      <c r="LY645" s="83"/>
      <c r="MG645" s="405"/>
      <c r="MM645" s="83"/>
      <c r="MU645" s="405"/>
      <c r="NA645" s="83"/>
    </row>
    <row r="646">
      <c r="A646" s="483"/>
      <c r="B646" s="380"/>
      <c r="C646" s="380"/>
      <c r="D646" s="380"/>
      <c r="E646" s="380"/>
      <c r="F646" s="380"/>
      <c r="G646" s="380"/>
      <c r="H646" s="380"/>
      <c r="I646" s="403"/>
      <c r="J646" s="380"/>
      <c r="K646" s="380"/>
      <c r="L646" s="380"/>
      <c r="M646" s="380"/>
      <c r="N646" s="380"/>
      <c r="O646" s="404"/>
      <c r="P646" s="380"/>
      <c r="Q646" s="380"/>
      <c r="R646" s="380"/>
      <c r="S646" s="380"/>
      <c r="T646" s="380"/>
      <c r="U646" s="380"/>
      <c r="V646" s="380"/>
      <c r="W646" s="403"/>
      <c r="X646" s="380"/>
      <c r="Y646" s="380"/>
      <c r="Z646" s="380"/>
      <c r="AA646" s="380"/>
      <c r="AB646" s="380"/>
      <c r="AC646" s="404"/>
      <c r="AD646" s="380"/>
      <c r="AE646" s="380"/>
      <c r="AF646" s="380"/>
      <c r="AG646" s="380"/>
      <c r="AH646" s="380"/>
      <c r="AI646" s="380"/>
      <c r="AJ646" s="380"/>
      <c r="AK646" s="403"/>
      <c r="AL646" s="380"/>
      <c r="AM646" s="380"/>
      <c r="AN646" s="380"/>
      <c r="AO646" s="380"/>
      <c r="AP646" s="380"/>
      <c r="AQ646" s="404"/>
      <c r="AR646" s="380"/>
      <c r="AS646" s="380"/>
      <c r="AT646" s="380"/>
      <c r="AU646" s="380"/>
      <c r="AV646" s="380"/>
      <c r="AW646" s="380"/>
      <c r="AX646" s="380"/>
      <c r="AY646" s="403"/>
      <c r="AZ646" s="380"/>
      <c r="BA646" s="380"/>
      <c r="BB646" s="380"/>
      <c r="BC646" s="380"/>
      <c r="BD646" s="380"/>
      <c r="BE646" s="404"/>
      <c r="BF646" s="380"/>
      <c r="BG646" s="380"/>
      <c r="BH646" s="380"/>
      <c r="BI646" s="380"/>
      <c r="BJ646" s="380"/>
      <c r="BK646" s="380"/>
      <c r="BL646" s="380"/>
      <c r="BM646" s="403"/>
      <c r="BS646" s="83"/>
      <c r="CA646" s="405"/>
      <c r="CG646" s="83"/>
      <c r="CO646" s="405"/>
      <c r="CU646" s="83"/>
      <c r="DC646" s="405"/>
      <c r="DI646" s="83"/>
      <c r="DQ646" s="405"/>
      <c r="DW646" s="83"/>
      <c r="EE646" s="405"/>
      <c r="EK646" s="83"/>
      <c r="ES646" s="405"/>
      <c r="EY646" s="83"/>
      <c r="FG646" s="405"/>
      <c r="FM646" s="83"/>
      <c r="FU646" s="405"/>
      <c r="GA646" s="83"/>
      <c r="GI646" s="405"/>
      <c r="GO646" s="83"/>
      <c r="GW646" s="405"/>
      <c r="HC646" s="83"/>
      <c r="HK646" s="405"/>
      <c r="HQ646" s="83"/>
      <c r="HY646" s="405"/>
      <c r="IE646" s="83"/>
      <c r="IM646" s="405"/>
      <c r="IS646" s="83"/>
      <c r="JA646" s="405"/>
      <c r="JG646" s="83"/>
      <c r="JO646" s="405"/>
      <c r="JU646" s="83"/>
      <c r="KC646" s="405"/>
      <c r="KI646" s="83"/>
      <c r="KQ646" s="405"/>
      <c r="KW646" s="83"/>
      <c r="LE646" s="405"/>
      <c r="LK646" s="83"/>
      <c r="LS646" s="405"/>
      <c r="LY646" s="83"/>
      <c r="MG646" s="405"/>
      <c r="MM646" s="83"/>
      <c r="MU646" s="405"/>
      <c r="NA646" s="83"/>
    </row>
    <row r="647">
      <c r="A647" s="483"/>
      <c r="B647" s="380"/>
      <c r="C647" s="380"/>
      <c r="D647" s="380"/>
      <c r="E647" s="380"/>
      <c r="F647" s="380"/>
      <c r="G647" s="380"/>
      <c r="H647" s="380"/>
      <c r="I647" s="403"/>
      <c r="J647" s="380"/>
      <c r="K647" s="380"/>
      <c r="L647" s="380"/>
      <c r="M647" s="380"/>
      <c r="N647" s="380"/>
      <c r="O647" s="404"/>
      <c r="P647" s="380"/>
      <c r="Q647" s="380"/>
      <c r="R647" s="380"/>
      <c r="S647" s="380"/>
      <c r="T647" s="380"/>
      <c r="U647" s="380"/>
      <c r="V647" s="380"/>
      <c r="W647" s="403"/>
      <c r="X647" s="380"/>
      <c r="Y647" s="380"/>
      <c r="Z647" s="380"/>
      <c r="AA647" s="380"/>
      <c r="AB647" s="380"/>
      <c r="AC647" s="404"/>
      <c r="AD647" s="380"/>
      <c r="AE647" s="380"/>
      <c r="AF647" s="380"/>
      <c r="AG647" s="380"/>
      <c r="AH647" s="380"/>
      <c r="AI647" s="380"/>
      <c r="AJ647" s="380"/>
      <c r="AK647" s="403"/>
      <c r="AL647" s="380"/>
      <c r="AM647" s="380"/>
      <c r="AN647" s="380"/>
      <c r="AO647" s="380"/>
      <c r="AP647" s="380"/>
      <c r="AQ647" s="404"/>
      <c r="AR647" s="380"/>
      <c r="AS647" s="380"/>
      <c r="AT647" s="380"/>
      <c r="AU647" s="380"/>
      <c r="AV647" s="380"/>
      <c r="AW647" s="380"/>
      <c r="AX647" s="380"/>
      <c r="AY647" s="403"/>
      <c r="AZ647" s="380"/>
      <c r="BA647" s="380"/>
      <c r="BB647" s="380"/>
      <c r="BC647" s="380"/>
      <c r="BD647" s="380"/>
      <c r="BE647" s="404"/>
      <c r="BF647" s="380"/>
      <c r="BG647" s="380"/>
      <c r="BH647" s="380"/>
      <c r="BI647" s="380"/>
      <c r="BJ647" s="380"/>
      <c r="BK647" s="380"/>
      <c r="BL647" s="380"/>
      <c r="BM647" s="403"/>
      <c r="BS647" s="83"/>
      <c r="CA647" s="405"/>
      <c r="CG647" s="83"/>
      <c r="CO647" s="405"/>
      <c r="CU647" s="83"/>
      <c r="DC647" s="405"/>
      <c r="DI647" s="83"/>
      <c r="DQ647" s="405"/>
      <c r="DW647" s="83"/>
      <c r="EE647" s="405"/>
      <c r="EK647" s="83"/>
      <c r="ES647" s="405"/>
      <c r="EY647" s="83"/>
      <c r="FG647" s="405"/>
      <c r="FM647" s="83"/>
      <c r="FU647" s="405"/>
      <c r="GA647" s="83"/>
      <c r="GI647" s="405"/>
      <c r="GO647" s="83"/>
      <c r="GW647" s="405"/>
      <c r="HC647" s="83"/>
      <c r="HK647" s="405"/>
      <c r="HQ647" s="83"/>
      <c r="HY647" s="405"/>
      <c r="IE647" s="83"/>
      <c r="IM647" s="405"/>
      <c r="IS647" s="83"/>
      <c r="JA647" s="405"/>
      <c r="JG647" s="83"/>
      <c r="JO647" s="405"/>
      <c r="JU647" s="83"/>
      <c r="KC647" s="405"/>
      <c r="KI647" s="83"/>
      <c r="KQ647" s="405"/>
      <c r="KW647" s="83"/>
      <c r="LE647" s="405"/>
      <c r="LK647" s="83"/>
      <c r="LS647" s="405"/>
      <c r="LY647" s="83"/>
      <c r="MG647" s="405"/>
      <c r="MM647" s="83"/>
      <c r="MU647" s="405"/>
      <c r="NA647" s="83"/>
    </row>
    <row r="648">
      <c r="A648" s="483"/>
      <c r="B648" s="380"/>
      <c r="C648" s="380"/>
      <c r="D648" s="380"/>
      <c r="E648" s="380"/>
      <c r="F648" s="380"/>
      <c r="G648" s="380"/>
      <c r="H648" s="380"/>
      <c r="I648" s="403"/>
      <c r="J648" s="380"/>
      <c r="K648" s="380"/>
      <c r="L648" s="380"/>
      <c r="M648" s="380"/>
      <c r="N648" s="380"/>
      <c r="O648" s="404"/>
      <c r="P648" s="380"/>
      <c r="Q648" s="380"/>
      <c r="R648" s="380"/>
      <c r="S648" s="380"/>
      <c r="T648" s="380"/>
      <c r="U648" s="380"/>
      <c r="V648" s="380"/>
      <c r="W648" s="403"/>
      <c r="X648" s="380"/>
      <c r="Y648" s="380"/>
      <c r="Z648" s="380"/>
      <c r="AA648" s="380"/>
      <c r="AB648" s="380"/>
      <c r="AC648" s="404"/>
      <c r="AD648" s="380"/>
      <c r="AE648" s="380"/>
      <c r="AF648" s="380"/>
      <c r="AG648" s="380"/>
      <c r="AH648" s="380"/>
      <c r="AI648" s="380"/>
      <c r="AJ648" s="380"/>
      <c r="AK648" s="403"/>
      <c r="AL648" s="380"/>
      <c r="AM648" s="380"/>
      <c r="AN648" s="380"/>
      <c r="AO648" s="380"/>
      <c r="AP648" s="380"/>
      <c r="AQ648" s="404"/>
      <c r="AR648" s="380"/>
      <c r="AS648" s="380"/>
      <c r="AT648" s="380"/>
      <c r="AU648" s="380"/>
      <c r="AV648" s="380"/>
      <c r="AW648" s="380"/>
      <c r="AX648" s="380"/>
      <c r="AY648" s="403"/>
      <c r="AZ648" s="380"/>
      <c r="BA648" s="380"/>
      <c r="BB648" s="380"/>
      <c r="BC648" s="380"/>
      <c r="BD648" s="380"/>
      <c r="BE648" s="404"/>
      <c r="BF648" s="380"/>
      <c r="BG648" s="380"/>
      <c r="BH648" s="380"/>
      <c r="BI648" s="380"/>
      <c r="BJ648" s="380"/>
      <c r="BK648" s="380"/>
      <c r="BL648" s="380"/>
      <c r="BM648" s="403"/>
      <c r="BS648" s="83"/>
      <c r="CA648" s="405"/>
      <c r="CG648" s="83"/>
      <c r="CO648" s="405"/>
      <c r="CU648" s="83"/>
      <c r="DC648" s="405"/>
      <c r="DI648" s="83"/>
      <c r="DQ648" s="405"/>
      <c r="DW648" s="83"/>
      <c r="EE648" s="405"/>
      <c r="EK648" s="83"/>
      <c r="ES648" s="405"/>
      <c r="EY648" s="83"/>
      <c r="FG648" s="405"/>
      <c r="FM648" s="83"/>
      <c r="FU648" s="405"/>
      <c r="GA648" s="83"/>
      <c r="GI648" s="405"/>
      <c r="GO648" s="83"/>
      <c r="GW648" s="405"/>
      <c r="HC648" s="83"/>
      <c r="HK648" s="405"/>
      <c r="HQ648" s="83"/>
      <c r="HY648" s="405"/>
      <c r="IE648" s="83"/>
      <c r="IM648" s="405"/>
      <c r="IS648" s="83"/>
      <c r="JA648" s="405"/>
      <c r="JG648" s="83"/>
      <c r="JO648" s="405"/>
      <c r="JU648" s="83"/>
      <c r="KC648" s="405"/>
      <c r="KI648" s="83"/>
      <c r="KQ648" s="405"/>
      <c r="KW648" s="83"/>
      <c r="LE648" s="405"/>
      <c r="LK648" s="83"/>
      <c r="LS648" s="405"/>
      <c r="LY648" s="83"/>
      <c r="MG648" s="405"/>
      <c r="MM648" s="83"/>
      <c r="MU648" s="405"/>
      <c r="NA648" s="83"/>
    </row>
    <row r="649">
      <c r="A649" s="483"/>
      <c r="B649" s="380"/>
      <c r="C649" s="380"/>
      <c r="D649" s="380"/>
      <c r="E649" s="380"/>
      <c r="F649" s="380"/>
      <c r="G649" s="380"/>
      <c r="H649" s="380"/>
      <c r="I649" s="403"/>
      <c r="J649" s="380"/>
      <c r="K649" s="380"/>
      <c r="L649" s="380"/>
      <c r="M649" s="380"/>
      <c r="N649" s="380"/>
      <c r="O649" s="404"/>
      <c r="P649" s="380"/>
      <c r="Q649" s="380"/>
      <c r="R649" s="380"/>
      <c r="S649" s="380"/>
      <c r="T649" s="380"/>
      <c r="U649" s="380"/>
      <c r="V649" s="380"/>
      <c r="W649" s="403"/>
      <c r="X649" s="380"/>
      <c r="Y649" s="380"/>
      <c r="Z649" s="380"/>
      <c r="AA649" s="380"/>
      <c r="AB649" s="380"/>
      <c r="AC649" s="404"/>
      <c r="AD649" s="380"/>
      <c r="AE649" s="380"/>
      <c r="AF649" s="380"/>
      <c r="AG649" s="380"/>
      <c r="AH649" s="380"/>
      <c r="AI649" s="380"/>
      <c r="AJ649" s="380"/>
      <c r="AK649" s="403"/>
      <c r="AL649" s="380"/>
      <c r="AM649" s="380"/>
      <c r="AN649" s="380"/>
      <c r="AO649" s="380"/>
      <c r="AP649" s="380"/>
      <c r="AQ649" s="404"/>
      <c r="AR649" s="380"/>
      <c r="AS649" s="380"/>
      <c r="AT649" s="380"/>
      <c r="AU649" s="380"/>
      <c r="AV649" s="380"/>
      <c r="AW649" s="380"/>
      <c r="AX649" s="380"/>
      <c r="AY649" s="403"/>
      <c r="AZ649" s="380"/>
      <c r="BA649" s="380"/>
      <c r="BB649" s="380"/>
      <c r="BC649" s="380"/>
      <c r="BD649" s="380"/>
      <c r="BE649" s="404"/>
      <c r="BF649" s="380"/>
      <c r="BG649" s="380"/>
      <c r="BH649" s="380"/>
      <c r="BI649" s="380"/>
      <c r="BJ649" s="380"/>
      <c r="BK649" s="380"/>
      <c r="BL649" s="380"/>
      <c r="BM649" s="403"/>
      <c r="BS649" s="83"/>
      <c r="CA649" s="405"/>
      <c r="CG649" s="83"/>
      <c r="CO649" s="405"/>
      <c r="CU649" s="83"/>
      <c r="DC649" s="405"/>
      <c r="DI649" s="83"/>
      <c r="DQ649" s="405"/>
      <c r="DW649" s="83"/>
      <c r="EE649" s="405"/>
      <c r="EK649" s="83"/>
      <c r="ES649" s="405"/>
      <c r="EY649" s="83"/>
      <c r="FG649" s="405"/>
      <c r="FM649" s="83"/>
      <c r="FU649" s="405"/>
      <c r="GA649" s="83"/>
      <c r="GI649" s="405"/>
      <c r="GO649" s="83"/>
      <c r="GW649" s="405"/>
      <c r="HC649" s="83"/>
      <c r="HK649" s="405"/>
      <c r="HQ649" s="83"/>
      <c r="HY649" s="405"/>
      <c r="IE649" s="83"/>
      <c r="IM649" s="405"/>
      <c r="IS649" s="83"/>
      <c r="JA649" s="405"/>
      <c r="JG649" s="83"/>
      <c r="JO649" s="405"/>
      <c r="JU649" s="83"/>
      <c r="KC649" s="405"/>
      <c r="KI649" s="83"/>
      <c r="KQ649" s="405"/>
      <c r="KW649" s="83"/>
      <c r="LE649" s="405"/>
      <c r="LK649" s="83"/>
      <c r="LS649" s="405"/>
      <c r="LY649" s="83"/>
      <c r="MG649" s="405"/>
      <c r="MM649" s="83"/>
      <c r="MU649" s="405"/>
      <c r="NA649" s="83"/>
    </row>
    <row r="650">
      <c r="A650" s="483"/>
      <c r="B650" s="380"/>
      <c r="C650" s="380"/>
      <c r="D650" s="380"/>
      <c r="E650" s="380"/>
      <c r="F650" s="380"/>
      <c r="G650" s="380"/>
      <c r="H650" s="380"/>
      <c r="I650" s="403"/>
      <c r="J650" s="380"/>
      <c r="K650" s="380"/>
      <c r="L650" s="380"/>
      <c r="M650" s="380"/>
      <c r="N650" s="380"/>
      <c r="O650" s="404"/>
      <c r="P650" s="380"/>
      <c r="Q650" s="380"/>
      <c r="R650" s="380"/>
      <c r="S650" s="380"/>
      <c r="T650" s="380"/>
      <c r="U650" s="380"/>
      <c r="V650" s="380"/>
      <c r="W650" s="403"/>
      <c r="X650" s="380"/>
      <c r="Y650" s="380"/>
      <c r="Z650" s="380"/>
      <c r="AA650" s="380"/>
      <c r="AB650" s="380"/>
      <c r="AC650" s="404"/>
      <c r="AD650" s="380"/>
      <c r="AE650" s="380"/>
      <c r="AF650" s="380"/>
      <c r="AG650" s="380"/>
      <c r="AH650" s="380"/>
      <c r="AI650" s="380"/>
      <c r="AJ650" s="380"/>
      <c r="AK650" s="403"/>
      <c r="AL650" s="380"/>
      <c r="AM650" s="380"/>
      <c r="AN650" s="380"/>
      <c r="AO650" s="380"/>
      <c r="AP650" s="380"/>
      <c r="AQ650" s="404"/>
      <c r="AR650" s="380"/>
      <c r="AS650" s="380"/>
      <c r="AT650" s="380"/>
      <c r="AU650" s="380"/>
      <c r="AV650" s="380"/>
      <c r="AW650" s="380"/>
      <c r="AX650" s="380"/>
      <c r="AY650" s="403"/>
      <c r="AZ650" s="380"/>
      <c r="BA650" s="380"/>
      <c r="BB650" s="380"/>
      <c r="BC650" s="380"/>
      <c r="BD650" s="380"/>
      <c r="BE650" s="404"/>
      <c r="BF650" s="380"/>
      <c r="BG650" s="380"/>
      <c r="BH650" s="380"/>
      <c r="BI650" s="380"/>
      <c r="BJ650" s="380"/>
      <c r="BK650" s="380"/>
      <c r="BL650" s="380"/>
      <c r="BM650" s="403"/>
      <c r="BS650" s="83"/>
      <c r="CA650" s="405"/>
      <c r="CG650" s="83"/>
      <c r="CO650" s="405"/>
      <c r="CU650" s="83"/>
      <c r="DC650" s="405"/>
      <c r="DI650" s="83"/>
      <c r="DQ650" s="405"/>
      <c r="DW650" s="83"/>
      <c r="EE650" s="405"/>
      <c r="EK650" s="83"/>
      <c r="ES650" s="405"/>
      <c r="EY650" s="83"/>
      <c r="FG650" s="405"/>
      <c r="FM650" s="83"/>
      <c r="FU650" s="405"/>
      <c r="GA650" s="83"/>
      <c r="GI650" s="405"/>
      <c r="GO650" s="83"/>
      <c r="GW650" s="405"/>
      <c r="HC650" s="83"/>
      <c r="HK650" s="405"/>
      <c r="HQ650" s="83"/>
      <c r="HY650" s="405"/>
      <c r="IE650" s="83"/>
      <c r="IM650" s="405"/>
      <c r="IS650" s="83"/>
      <c r="JA650" s="405"/>
      <c r="JG650" s="83"/>
      <c r="JO650" s="405"/>
      <c r="JU650" s="83"/>
      <c r="KC650" s="405"/>
      <c r="KI650" s="83"/>
      <c r="KQ650" s="405"/>
      <c r="KW650" s="83"/>
      <c r="LE650" s="405"/>
      <c r="LK650" s="83"/>
      <c r="LS650" s="405"/>
      <c r="LY650" s="83"/>
      <c r="MG650" s="405"/>
      <c r="MM650" s="83"/>
      <c r="MU650" s="405"/>
      <c r="NA650" s="83"/>
    </row>
    <row r="651">
      <c r="A651" s="483"/>
      <c r="B651" s="380"/>
      <c r="C651" s="380"/>
      <c r="D651" s="380"/>
      <c r="E651" s="380"/>
      <c r="F651" s="380"/>
      <c r="G651" s="380"/>
      <c r="H651" s="380"/>
      <c r="I651" s="403"/>
      <c r="J651" s="380"/>
      <c r="K651" s="380"/>
      <c r="L651" s="380"/>
      <c r="M651" s="380"/>
      <c r="N651" s="380"/>
      <c r="O651" s="404"/>
      <c r="P651" s="380"/>
      <c r="Q651" s="380"/>
      <c r="R651" s="380"/>
      <c r="S651" s="380"/>
      <c r="T651" s="380"/>
      <c r="U651" s="380"/>
      <c r="V651" s="380"/>
      <c r="W651" s="403"/>
      <c r="X651" s="380"/>
      <c r="Y651" s="380"/>
      <c r="Z651" s="380"/>
      <c r="AA651" s="380"/>
      <c r="AB651" s="380"/>
      <c r="AC651" s="404"/>
      <c r="AD651" s="380"/>
      <c r="AE651" s="380"/>
      <c r="AF651" s="380"/>
      <c r="AG651" s="380"/>
      <c r="AH651" s="380"/>
      <c r="AI651" s="380"/>
      <c r="AJ651" s="380"/>
      <c r="AK651" s="403"/>
      <c r="AL651" s="380"/>
      <c r="AM651" s="380"/>
      <c r="AN651" s="380"/>
      <c r="AO651" s="380"/>
      <c r="AP651" s="380"/>
      <c r="AQ651" s="404"/>
      <c r="AR651" s="380"/>
      <c r="AS651" s="380"/>
      <c r="AT651" s="380"/>
      <c r="AU651" s="380"/>
      <c r="AV651" s="380"/>
      <c r="AW651" s="380"/>
      <c r="AX651" s="380"/>
      <c r="AY651" s="403"/>
      <c r="AZ651" s="380"/>
      <c r="BA651" s="380"/>
      <c r="BB651" s="380"/>
      <c r="BC651" s="380"/>
      <c r="BD651" s="380"/>
      <c r="BE651" s="404"/>
      <c r="BF651" s="380"/>
      <c r="BG651" s="380"/>
      <c r="BH651" s="380"/>
      <c r="BI651" s="380"/>
      <c r="BJ651" s="380"/>
      <c r="BK651" s="380"/>
      <c r="BL651" s="380"/>
      <c r="BM651" s="403"/>
      <c r="BS651" s="83"/>
      <c r="CA651" s="405"/>
      <c r="CG651" s="83"/>
      <c r="CO651" s="405"/>
      <c r="CU651" s="83"/>
      <c r="DC651" s="405"/>
      <c r="DI651" s="83"/>
      <c r="DQ651" s="405"/>
      <c r="DW651" s="83"/>
      <c r="EE651" s="405"/>
      <c r="EK651" s="83"/>
      <c r="ES651" s="405"/>
      <c r="EY651" s="83"/>
      <c r="FG651" s="405"/>
      <c r="FM651" s="83"/>
      <c r="FU651" s="405"/>
      <c r="GA651" s="83"/>
      <c r="GI651" s="405"/>
      <c r="GO651" s="83"/>
      <c r="GW651" s="405"/>
      <c r="HC651" s="83"/>
      <c r="HK651" s="405"/>
      <c r="HQ651" s="83"/>
      <c r="HY651" s="405"/>
      <c r="IE651" s="83"/>
      <c r="IM651" s="405"/>
      <c r="IS651" s="83"/>
      <c r="JA651" s="405"/>
      <c r="JG651" s="83"/>
      <c r="JO651" s="405"/>
      <c r="JU651" s="83"/>
      <c r="KC651" s="405"/>
      <c r="KI651" s="83"/>
      <c r="KQ651" s="405"/>
      <c r="KW651" s="83"/>
      <c r="LE651" s="405"/>
      <c r="LK651" s="83"/>
      <c r="LS651" s="405"/>
      <c r="LY651" s="83"/>
      <c r="MG651" s="405"/>
      <c r="MM651" s="83"/>
      <c r="MU651" s="405"/>
      <c r="NA651" s="83"/>
    </row>
    <row r="652">
      <c r="A652" s="483"/>
      <c r="B652" s="380"/>
      <c r="C652" s="380"/>
      <c r="D652" s="380"/>
      <c r="E652" s="380"/>
      <c r="F652" s="380"/>
      <c r="G652" s="380"/>
      <c r="H652" s="380"/>
      <c r="I652" s="403"/>
      <c r="J652" s="380"/>
      <c r="K652" s="380"/>
      <c r="L652" s="380"/>
      <c r="M652" s="380"/>
      <c r="N652" s="380"/>
      <c r="O652" s="404"/>
      <c r="P652" s="380"/>
      <c r="Q652" s="380"/>
      <c r="R652" s="380"/>
      <c r="S652" s="380"/>
      <c r="T652" s="380"/>
      <c r="U652" s="380"/>
      <c r="V652" s="380"/>
      <c r="W652" s="403"/>
      <c r="X652" s="380"/>
      <c r="Y652" s="380"/>
      <c r="Z652" s="380"/>
      <c r="AA652" s="380"/>
      <c r="AB652" s="380"/>
      <c r="AC652" s="404"/>
      <c r="AD652" s="380"/>
      <c r="AE652" s="380"/>
      <c r="AF652" s="380"/>
      <c r="AG652" s="380"/>
      <c r="AH652" s="380"/>
      <c r="AI652" s="380"/>
      <c r="AJ652" s="380"/>
      <c r="AK652" s="403"/>
      <c r="AL652" s="380"/>
      <c r="AM652" s="380"/>
      <c r="AN652" s="380"/>
      <c r="AO652" s="380"/>
      <c r="AP652" s="380"/>
      <c r="AQ652" s="404"/>
      <c r="AR652" s="380"/>
      <c r="AS652" s="380"/>
      <c r="AT652" s="380"/>
      <c r="AU652" s="380"/>
      <c r="AV652" s="380"/>
      <c r="AW652" s="380"/>
      <c r="AX652" s="380"/>
      <c r="AY652" s="403"/>
      <c r="AZ652" s="380"/>
      <c r="BA652" s="380"/>
      <c r="BB652" s="380"/>
      <c r="BC652" s="380"/>
      <c r="BD652" s="380"/>
      <c r="BE652" s="404"/>
      <c r="BF652" s="380"/>
      <c r="BG652" s="380"/>
      <c r="BH652" s="380"/>
      <c r="BI652" s="380"/>
      <c r="BJ652" s="380"/>
      <c r="BK652" s="380"/>
      <c r="BL652" s="380"/>
      <c r="BM652" s="403"/>
      <c r="BS652" s="83"/>
      <c r="CA652" s="405"/>
      <c r="CG652" s="83"/>
      <c r="CO652" s="405"/>
      <c r="CU652" s="83"/>
      <c r="DC652" s="405"/>
      <c r="DI652" s="83"/>
      <c r="DQ652" s="405"/>
      <c r="DW652" s="83"/>
      <c r="EE652" s="405"/>
      <c r="EK652" s="83"/>
      <c r="ES652" s="405"/>
      <c r="EY652" s="83"/>
      <c r="FG652" s="405"/>
      <c r="FM652" s="83"/>
      <c r="FU652" s="405"/>
      <c r="GA652" s="83"/>
      <c r="GI652" s="405"/>
      <c r="GO652" s="83"/>
      <c r="GW652" s="405"/>
      <c r="HC652" s="83"/>
      <c r="HK652" s="405"/>
      <c r="HQ652" s="83"/>
      <c r="HY652" s="405"/>
      <c r="IE652" s="83"/>
      <c r="IM652" s="405"/>
      <c r="IS652" s="83"/>
      <c r="JA652" s="405"/>
      <c r="JG652" s="83"/>
      <c r="JO652" s="405"/>
      <c r="JU652" s="83"/>
      <c r="KC652" s="405"/>
      <c r="KI652" s="83"/>
      <c r="KQ652" s="405"/>
      <c r="KW652" s="83"/>
      <c r="LE652" s="405"/>
      <c r="LK652" s="83"/>
      <c r="LS652" s="405"/>
      <c r="LY652" s="83"/>
      <c r="MG652" s="405"/>
      <c r="MM652" s="83"/>
      <c r="MU652" s="405"/>
      <c r="NA652" s="83"/>
    </row>
    <row r="653">
      <c r="A653" s="483"/>
      <c r="B653" s="380"/>
      <c r="C653" s="380"/>
      <c r="D653" s="380"/>
      <c r="E653" s="380"/>
      <c r="F653" s="380"/>
      <c r="G653" s="380"/>
      <c r="H653" s="380"/>
      <c r="I653" s="403"/>
      <c r="J653" s="380"/>
      <c r="K653" s="380"/>
      <c r="L653" s="380"/>
      <c r="M653" s="380"/>
      <c r="N653" s="380"/>
      <c r="O653" s="404"/>
      <c r="P653" s="380"/>
      <c r="Q653" s="380"/>
      <c r="R653" s="380"/>
      <c r="S653" s="380"/>
      <c r="T653" s="380"/>
      <c r="U653" s="380"/>
      <c r="V653" s="380"/>
      <c r="W653" s="403"/>
      <c r="X653" s="380"/>
      <c r="Y653" s="380"/>
      <c r="Z653" s="380"/>
      <c r="AA653" s="380"/>
      <c r="AB653" s="380"/>
      <c r="AC653" s="404"/>
      <c r="AD653" s="380"/>
      <c r="AE653" s="380"/>
      <c r="AF653" s="380"/>
      <c r="AG653" s="380"/>
      <c r="AH653" s="380"/>
      <c r="AI653" s="380"/>
      <c r="AJ653" s="380"/>
      <c r="AK653" s="403"/>
      <c r="AL653" s="380"/>
      <c r="AM653" s="380"/>
      <c r="AN653" s="380"/>
      <c r="AO653" s="380"/>
      <c r="AP653" s="380"/>
      <c r="AQ653" s="404"/>
      <c r="AR653" s="380"/>
      <c r="AS653" s="380"/>
      <c r="AT653" s="380"/>
      <c r="AU653" s="380"/>
      <c r="AV653" s="380"/>
      <c r="AW653" s="380"/>
      <c r="AX653" s="380"/>
      <c r="AY653" s="403"/>
      <c r="AZ653" s="380"/>
      <c r="BA653" s="380"/>
      <c r="BB653" s="380"/>
      <c r="BC653" s="380"/>
      <c r="BD653" s="380"/>
      <c r="BE653" s="404"/>
      <c r="BF653" s="380"/>
      <c r="BG653" s="380"/>
      <c r="BH653" s="380"/>
      <c r="BI653" s="380"/>
      <c r="BJ653" s="380"/>
      <c r="BK653" s="380"/>
      <c r="BL653" s="380"/>
      <c r="BM653" s="403"/>
      <c r="BS653" s="83"/>
      <c r="CA653" s="405"/>
      <c r="CG653" s="83"/>
      <c r="CO653" s="405"/>
      <c r="CU653" s="83"/>
      <c r="DC653" s="405"/>
      <c r="DI653" s="83"/>
      <c r="DQ653" s="405"/>
      <c r="DW653" s="83"/>
      <c r="EE653" s="405"/>
      <c r="EK653" s="83"/>
      <c r="ES653" s="405"/>
      <c r="EY653" s="83"/>
      <c r="FG653" s="405"/>
      <c r="FM653" s="83"/>
      <c r="FU653" s="405"/>
      <c r="GA653" s="83"/>
      <c r="GI653" s="405"/>
      <c r="GO653" s="83"/>
      <c r="GW653" s="405"/>
      <c r="HC653" s="83"/>
      <c r="HK653" s="405"/>
      <c r="HQ653" s="83"/>
      <c r="HY653" s="405"/>
      <c r="IE653" s="83"/>
      <c r="IM653" s="405"/>
      <c r="IS653" s="83"/>
      <c r="JA653" s="405"/>
      <c r="JG653" s="83"/>
      <c r="JO653" s="405"/>
      <c r="JU653" s="83"/>
      <c r="KC653" s="405"/>
      <c r="KI653" s="83"/>
      <c r="KQ653" s="405"/>
      <c r="KW653" s="83"/>
      <c r="LE653" s="405"/>
      <c r="LK653" s="83"/>
      <c r="LS653" s="405"/>
      <c r="LY653" s="83"/>
      <c r="MG653" s="405"/>
      <c r="MM653" s="83"/>
      <c r="MU653" s="405"/>
      <c r="NA653" s="83"/>
    </row>
    <row r="654">
      <c r="A654" s="483"/>
      <c r="B654" s="380"/>
      <c r="C654" s="380"/>
      <c r="D654" s="380"/>
      <c r="E654" s="380"/>
      <c r="F654" s="380"/>
      <c r="G654" s="380"/>
      <c r="H654" s="380"/>
      <c r="I654" s="403"/>
      <c r="J654" s="380"/>
      <c r="K654" s="380"/>
      <c r="L654" s="380"/>
      <c r="M654" s="380"/>
      <c r="N654" s="380"/>
      <c r="O654" s="404"/>
      <c r="P654" s="380"/>
      <c r="Q654" s="380"/>
      <c r="R654" s="380"/>
      <c r="S654" s="380"/>
      <c r="T654" s="380"/>
      <c r="U654" s="380"/>
      <c r="V654" s="380"/>
      <c r="W654" s="403"/>
      <c r="X654" s="380"/>
      <c r="Y654" s="380"/>
      <c r="Z654" s="380"/>
      <c r="AA654" s="380"/>
      <c r="AB654" s="380"/>
      <c r="AC654" s="404"/>
      <c r="AD654" s="380"/>
      <c r="AE654" s="380"/>
      <c r="AF654" s="380"/>
      <c r="AG654" s="380"/>
      <c r="AH654" s="380"/>
      <c r="AI654" s="380"/>
      <c r="AJ654" s="380"/>
      <c r="AK654" s="403"/>
      <c r="AL654" s="380"/>
      <c r="AM654" s="380"/>
      <c r="AN654" s="380"/>
      <c r="AO654" s="380"/>
      <c r="AP654" s="380"/>
      <c r="AQ654" s="404"/>
      <c r="AR654" s="380"/>
      <c r="AS654" s="380"/>
      <c r="AT654" s="380"/>
      <c r="AU654" s="380"/>
      <c r="AV654" s="380"/>
      <c r="AW654" s="380"/>
      <c r="AX654" s="380"/>
      <c r="AY654" s="403"/>
      <c r="AZ654" s="380"/>
      <c r="BA654" s="380"/>
      <c r="BB654" s="380"/>
      <c r="BC654" s="380"/>
      <c r="BD654" s="380"/>
      <c r="BE654" s="404"/>
      <c r="BF654" s="380"/>
      <c r="BG654" s="380"/>
      <c r="BH654" s="380"/>
      <c r="BI654" s="380"/>
      <c r="BJ654" s="380"/>
      <c r="BK654" s="380"/>
      <c r="BL654" s="380"/>
      <c r="BM654" s="403"/>
      <c r="BS654" s="83"/>
      <c r="CA654" s="405"/>
      <c r="CG654" s="83"/>
      <c r="CO654" s="405"/>
      <c r="CU654" s="83"/>
      <c r="DC654" s="405"/>
      <c r="DI654" s="83"/>
      <c r="DQ654" s="405"/>
      <c r="DW654" s="83"/>
      <c r="EE654" s="405"/>
      <c r="EK654" s="83"/>
      <c r="ES654" s="405"/>
      <c r="EY654" s="83"/>
      <c r="FG654" s="405"/>
      <c r="FM654" s="83"/>
      <c r="FU654" s="405"/>
      <c r="GA654" s="83"/>
      <c r="GI654" s="405"/>
      <c r="GO654" s="83"/>
      <c r="GW654" s="405"/>
      <c r="HC654" s="83"/>
      <c r="HK654" s="405"/>
      <c r="HQ654" s="83"/>
      <c r="HY654" s="405"/>
      <c r="IE654" s="83"/>
      <c r="IM654" s="405"/>
      <c r="IS654" s="83"/>
      <c r="JA654" s="405"/>
      <c r="JG654" s="83"/>
      <c r="JO654" s="405"/>
      <c r="JU654" s="83"/>
      <c r="KC654" s="405"/>
      <c r="KI654" s="83"/>
      <c r="KQ654" s="405"/>
      <c r="KW654" s="83"/>
      <c r="LE654" s="405"/>
      <c r="LK654" s="83"/>
      <c r="LS654" s="405"/>
      <c r="LY654" s="83"/>
      <c r="MG654" s="405"/>
      <c r="MM654" s="83"/>
      <c r="MU654" s="405"/>
      <c r="NA654" s="83"/>
    </row>
    <row r="655">
      <c r="A655" s="483"/>
      <c r="B655" s="380"/>
      <c r="C655" s="380"/>
      <c r="D655" s="380"/>
      <c r="E655" s="380"/>
      <c r="F655" s="380"/>
      <c r="G655" s="380"/>
      <c r="H655" s="380"/>
      <c r="I655" s="403"/>
      <c r="J655" s="380"/>
      <c r="K655" s="380"/>
      <c r="L655" s="380"/>
      <c r="M655" s="380"/>
      <c r="N655" s="380"/>
      <c r="O655" s="404"/>
      <c r="P655" s="380"/>
      <c r="Q655" s="380"/>
      <c r="R655" s="380"/>
      <c r="S655" s="380"/>
      <c r="T655" s="380"/>
      <c r="U655" s="380"/>
      <c r="V655" s="380"/>
      <c r="W655" s="403"/>
      <c r="X655" s="380"/>
      <c r="Y655" s="380"/>
      <c r="Z655" s="380"/>
      <c r="AA655" s="380"/>
      <c r="AB655" s="380"/>
      <c r="AC655" s="404"/>
      <c r="AD655" s="380"/>
      <c r="AE655" s="380"/>
      <c r="AF655" s="380"/>
      <c r="AG655" s="380"/>
      <c r="AH655" s="380"/>
      <c r="AI655" s="380"/>
      <c r="AJ655" s="380"/>
      <c r="AK655" s="403"/>
      <c r="AL655" s="380"/>
      <c r="AM655" s="380"/>
      <c r="AN655" s="380"/>
      <c r="AO655" s="380"/>
      <c r="AP655" s="380"/>
      <c r="AQ655" s="404"/>
      <c r="AR655" s="380"/>
      <c r="AS655" s="380"/>
      <c r="AT655" s="380"/>
      <c r="AU655" s="380"/>
      <c r="AV655" s="380"/>
      <c r="AW655" s="380"/>
      <c r="AX655" s="380"/>
      <c r="AY655" s="403"/>
      <c r="AZ655" s="380"/>
      <c r="BA655" s="380"/>
      <c r="BB655" s="380"/>
      <c r="BC655" s="380"/>
      <c r="BD655" s="380"/>
      <c r="BE655" s="404"/>
      <c r="BF655" s="380"/>
      <c r="BG655" s="380"/>
      <c r="BH655" s="380"/>
      <c r="BI655" s="380"/>
      <c r="BJ655" s="380"/>
      <c r="BK655" s="380"/>
      <c r="BL655" s="380"/>
      <c r="BM655" s="403"/>
      <c r="BS655" s="83"/>
      <c r="CA655" s="405"/>
      <c r="CG655" s="83"/>
      <c r="CO655" s="405"/>
      <c r="CU655" s="83"/>
      <c r="DC655" s="405"/>
      <c r="DI655" s="83"/>
      <c r="DQ655" s="405"/>
      <c r="DW655" s="83"/>
      <c r="EE655" s="405"/>
      <c r="EK655" s="83"/>
      <c r="ES655" s="405"/>
      <c r="EY655" s="83"/>
      <c r="FG655" s="405"/>
      <c r="FM655" s="83"/>
      <c r="FU655" s="405"/>
      <c r="GA655" s="83"/>
      <c r="GI655" s="405"/>
      <c r="GO655" s="83"/>
      <c r="GW655" s="405"/>
      <c r="HC655" s="83"/>
      <c r="HK655" s="405"/>
      <c r="HQ655" s="83"/>
      <c r="HY655" s="405"/>
      <c r="IE655" s="83"/>
      <c r="IM655" s="405"/>
      <c r="IS655" s="83"/>
      <c r="JA655" s="405"/>
      <c r="JG655" s="83"/>
      <c r="JO655" s="405"/>
      <c r="JU655" s="83"/>
      <c r="KC655" s="405"/>
      <c r="KI655" s="83"/>
      <c r="KQ655" s="405"/>
      <c r="KW655" s="83"/>
      <c r="LE655" s="405"/>
      <c r="LK655" s="83"/>
      <c r="LS655" s="405"/>
      <c r="LY655" s="83"/>
      <c r="MG655" s="405"/>
      <c r="MM655" s="83"/>
      <c r="MU655" s="405"/>
      <c r="NA655" s="83"/>
    </row>
    <row r="656">
      <c r="A656" s="483"/>
      <c r="B656" s="380"/>
      <c r="C656" s="380"/>
      <c r="D656" s="380"/>
      <c r="E656" s="380"/>
      <c r="F656" s="380"/>
      <c r="G656" s="380"/>
      <c r="H656" s="380"/>
      <c r="I656" s="403"/>
      <c r="J656" s="380"/>
      <c r="K656" s="380"/>
      <c r="L656" s="380"/>
      <c r="M656" s="380"/>
      <c r="N656" s="380"/>
      <c r="O656" s="404"/>
      <c r="P656" s="380"/>
      <c r="Q656" s="380"/>
      <c r="R656" s="380"/>
      <c r="S656" s="380"/>
      <c r="T656" s="380"/>
      <c r="U656" s="380"/>
      <c r="V656" s="380"/>
      <c r="W656" s="403"/>
      <c r="X656" s="380"/>
      <c r="Y656" s="380"/>
      <c r="Z656" s="380"/>
      <c r="AA656" s="380"/>
      <c r="AB656" s="380"/>
      <c r="AC656" s="404"/>
      <c r="AD656" s="380"/>
      <c r="AE656" s="380"/>
      <c r="AF656" s="380"/>
      <c r="AG656" s="380"/>
      <c r="AH656" s="380"/>
      <c r="AI656" s="380"/>
      <c r="AJ656" s="380"/>
      <c r="AK656" s="403"/>
      <c r="AL656" s="380"/>
      <c r="AM656" s="380"/>
      <c r="AN656" s="380"/>
      <c r="AO656" s="380"/>
      <c r="AP656" s="380"/>
      <c r="AQ656" s="404"/>
      <c r="AR656" s="380"/>
      <c r="AS656" s="380"/>
      <c r="AT656" s="380"/>
      <c r="AU656" s="380"/>
      <c r="AV656" s="380"/>
      <c r="AW656" s="380"/>
      <c r="AX656" s="380"/>
      <c r="AY656" s="403"/>
      <c r="AZ656" s="380"/>
      <c r="BA656" s="380"/>
      <c r="BB656" s="380"/>
      <c r="BC656" s="380"/>
      <c r="BD656" s="380"/>
      <c r="BE656" s="404"/>
      <c r="BF656" s="380"/>
      <c r="BG656" s="380"/>
      <c r="BH656" s="380"/>
      <c r="BI656" s="380"/>
      <c r="BJ656" s="380"/>
      <c r="BK656" s="380"/>
      <c r="BL656" s="380"/>
      <c r="BM656" s="403"/>
      <c r="BS656" s="83"/>
      <c r="CA656" s="405"/>
      <c r="CG656" s="83"/>
      <c r="CO656" s="405"/>
      <c r="CU656" s="83"/>
      <c r="DC656" s="405"/>
      <c r="DI656" s="83"/>
      <c r="DQ656" s="405"/>
      <c r="DW656" s="83"/>
      <c r="EE656" s="405"/>
      <c r="EK656" s="83"/>
      <c r="ES656" s="405"/>
      <c r="EY656" s="83"/>
      <c r="FG656" s="405"/>
      <c r="FM656" s="83"/>
      <c r="FU656" s="405"/>
      <c r="GA656" s="83"/>
      <c r="GI656" s="405"/>
      <c r="GO656" s="83"/>
      <c r="GW656" s="405"/>
      <c r="HC656" s="83"/>
      <c r="HK656" s="405"/>
      <c r="HQ656" s="83"/>
      <c r="HY656" s="405"/>
      <c r="IE656" s="83"/>
      <c r="IM656" s="405"/>
      <c r="IS656" s="83"/>
      <c r="JA656" s="405"/>
      <c r="JG656" s="83"/>
      <c r="JO656" s="405"/>
      <c r="JU656" s="83"/>
      <c r="KC656" s="405"/>
      <c r="KI656" s="83"/>
      <c r="KQ656" s="405"/>
      <c r="KW656" s="83"/>
      <c r="LE656" s="405"/>
      <c r="LK656" s="83"/>
      <c r="LS656" s="405"/>
      <c r="LY656" s="83"/>
      <c r="MG656" s="405"/>
      <c r="MM656" s="83"/>
      <c r="MU656" s="405"/>
      <c r="NA656" s="83"/>
    </row>
    <row r="657">
      <c r="A657" s="483"/>
      <c r="B657" s="380"/>
      <c r="C657" s="380"/>
      <c r="D657" s="380"/>
      <c r="E657" s="380"/>
      <c r="F657" s="380"/>
      <c r="G657" s="380"/>
      <c r="H657" s="380"/>
      <c r="I657" s="403"/>
      <c r="J657" s="380"/>
      <c r="K657" s="380"/>
      <c r="L657" s="380"/>
      <c r="M657" s="380"/>
      <c r="N657" s="380"/>
      <c r="O657" s="404"/>
      <c r="P657" s="380"/>
      <c r="Q657" s="380"/>
      <c r="R657" s="380"/>
      <c r="S657" s="380"/>
      <c r="T657" s="380"/>
      <c r="U657" s="380"/>
      <c r="V657" s="380"/>
      <c r="W657" s="403"/>
      <c r="X657" s="380"/>
      <c r="Y657" s="380"/>
      <c r="Z657" s="380"/>
      <c r="AA657" s="380"/>
      <c r="AB657" s="380"/>
      <c r="AC657" s="404"/>
      <c r="AD657" s="380"/>
      <c r="AE657" s="380"/>
      <c r="AF657" s="380"/>
      <c r="AG657" s="380"/>
      <c r="AH657" s="380"/>
      <c r="AI657" s="380"/>
      <c r="AJ657" s="380"/>
      <c r="AK657" s="403"/>
      <c r="AL657" s="380"/>
      <c r="AM657" s="380"/>
      <c r="AN657" s="380"/>
      <c r="AO657" s="380"/>
      <c r="AP657" s="380"/>
      <c r="AQ657" s="404"/>
      <c r="AR657" s="380"/>
      <c r="AS657" s="380"/>
      <c r="AT657" s="380"/>
      <c r="AU657" s="380"/>
      <c r="AV657" s="380"/>
      <c r="AW657" s="380"/>
      <c r="AX657" s="380"/>
      <c r="AY657" s="403"/>
      <c r="AZ657" s="380"/>
      <c r="BA657" s="380"/>
      <c r="BB657" s="380"/>
      <c r="BC657" s="380"/>
      <c r="BD657" s="380"/>
      <c r="BE657" s="404"/>
      <c r="BF657" s="380"/>
      <c r="BG657" s="380"/>
      <c r="BH657" s="380"/>
      <c r="BI657" s="380"/>
      <c r="BJ657" s="380"/>
      <c r="BK657" s="380"/>
      <c r="BL657" s="380"/>
      <c r="BM657" s="403"/>
      <c r="BS657" s="83"/>
      <c r="CA657" s="405"/>
      <c r="CG657" s="83"/>
      <c r="CO657" s="405"/>
      <c r="CU657" s="83"/>
      <c r="DC657" s="405"/>
      <c r="DI657" s="83"/>
      <c r="DQ657" s="405"/>
      <c r="DW657" s="83"/>
      <c r="EE657" s="405"/>
      <c r="EK657" s="83"/>
      <c r="ES657" s="405"/>
      <c r="EY657" s="83"/>
      <c r="FG657" s="405"/>
      <c r="FM657" s="83"/>
      <c r="FU657" s="405"/>
      <c r="GA657" s="83"/>
      <c r="GI657" s="405"/>
      <c r="GO657" s="83"/>
      <c r="GW657" s="405"/>
      <c r="HC657" s="83"/>
      <c r="HK657" s="405"/>
      <c r="HQ657" s="83"/>
      <c r="HY657" s="405"/>
      <c r="IE657" s="83"/>
      <c r="IM657" s="405"/>
      <c r="IS657" s="83"/>
      <c r="JA657" s="405"/>
      <c r="JG657" s="83"/>
      <c r="JO657" s="405"/>
      <c r="JU657" s="83"/>
      <c r="KC657" s="405"/>
      <c r="KI657" s="83"/>
      <c r="KQ657" s="405"/>
      <c r="KW657" s="83"/>
      <c r="LE657" s="405"/>
      <c r="LK657" s="83"/>
      <c r="LS657" s="405"/>
      <c r="LY657" s="83"/>
      <c r="MG657" s="405"/>
      <c r="MM657" s="83"/>
      <c r="MU657" s="405"/>
      <c r="NA657" s="83"/>
    </row>
    <row r="658">
      <c r="A658" s="483"/>
      <c r="B658" s="380"/>
      <c r="C658" s="380"/>
      <c r="D658" s="380"/>
      <c r="E658" s="380"/>
      <c r="F658" s="380"/>
      <c r="G658" s="380"/>
      <c r="H658" s="380"/>
      <c r="I658" s="403"/>
      <c r="J658" s="380"/>
      <c r="K658" s="380"/>
      <c r="L658" s="380"/>
      <c r="M658" s="380"/>
      <c r="N658" s="380"/>
      <c r="O658" s="404"/>
      <c r="P658" s="380"/>
      <c r="Q658" s="380"/>
      <c r="R658" s="380"/>
      <c r="S658" s="380"/>
      <c r="T658" s="380"/>
      <c r="U658" s="380"/>
      <c r="V658" s="380"/>
      <c r="W658" s="403"/>
      <c r="X658" s="380"/>
      <c r="Y658" s="380"/>
      <c r="Z658" s="380"/>
      <c r="AA658" s="380"/>
      <c r="AB658" s="380"/>
      <c r="AC658" s="404"/>
      <c r="AD658" s="380"/>
      <c r="AE658" s="380"/>
      <c r="AF658" s="380"/>
      <c r="AG658" s="380"/>
      <c r="AH658" s="380"/>
      <c r="AI658" s="380"/>
      <c r="AJ658" s="380"/>
      <c r="AK658" s="403"/>
      <c r="AL658" s="380"/>
      <c r="AM658" s="380"/>
      <c r="AN658" s="380"/>
      <c r="AO658" s="380"/>
      <c r="AP658" s="380"/>
      <c r="AQ658" s="404"/>
      <c r="AR658" s="380"/>
      <c r="AS658" s="380"/>
      <c r="AT658" s="380"/>
      <c r="AU658" s="380"/>
      <c r="AV658" s="380"/>
      <c r="AW658" s="380"/>
      <c r="AX658" s="380"/>
      <c r="AY658" s="403"/>
      <c r="AZ658" s="380"/>
      <c r="BA658" s="380"/>
      <c r="BB658" s="380"/>
      <c r="BC658" s="380"/>
      <c r="BD658" s="380"/>
      <c r="BE658" s="404"/>
      <c r="BF658" s="380"/>
      <c r="BG658" s="380"/>
      <c r="BH658" s="380"/>
      <c r="BI658" s="380"/>
      <c r="BJ658" s="380"/>
      <c r="BK658" s="380"/>
      <c r="BL658" s="380"/>
      <c r="BM658" s="403"/>
      <c r="BS658" s="83"/>
      <c r="CA658" s="405"/>
      <c r="CG658" s="83"/>
      <c r="CO658" s="405"/>
      <c r="CU658" s="83"/>
      <c r="DC658" s="405"/>
      <c r="DI658" s="83"/>
      <c r="DQ658" s="405"/>
      <c r="DW658" s="83"/>
      <c r="EE658" s="405"/>
      <c r="EK658" s="83"/>
      <c r="ES658" s="405"/>
      <c r="EY658" s="83"/>
      <c r="FG658" s="405"/>
      <c r="FM658" s="83"/>
      <c r="FU658" s="405"/>
      <c r="GA658" s="83"/>
      <c r="GI658" s="405"/>
      <c r="GO658" s="83"/>
      <c r="GW658" s="405"/>
      <c r="HC658" s="83"/>
      <c r="HK658" s="405"/>
      <c r="HQ658" s="83"/>
      <c r="HY658" s="405"/>
      <c r="IE658" s="83"/>
      <c r="IM658" s="405"/>
      <c r="IS658" s="83"/>
      <c r="JA658" s="405"/>
      <c r="JG658" s="83"/>
      <c r="JO658" s="405"/>
      <c r="JU658" s="83"/>
      <c r="KC658" s="405"/>
      <c r="KI658" s="83"/>
      <c r="KQ658" s="405"/>
      <c r="KW658" s="83"/>
      <c r="LE658" s="405"/>
      <c r="LK658" s="83"/>
      <c r="LS658" s="405"/>
      <c r="LY658" s="83"/>
      <c r="MG658" s="405"/>
      <c r="MM658" s="83"/>
      <c r="MU658" s="405"/>
      <c r="NA658" s="83"/>
    </row>
    <row r="659">
      <c r="A659" s="483"/>
      <c r="B659" s="380"/>
      <c r="C659" s="380"/>
      <c r="D659" s="380"/>
      <c r="E659" s="380"/>
      <c r="F659" s="380"/>
      <c r="G659" s="380"/>
      <c r="H659" s="380"/>
      <c r="I659" s="403"/>
      <c r="J659" s="380"/>
      <c r="K659" s="380"/>
      <c r="L659" s="380"/>
      <c r="M659" s="380"/>
      <c r="N659" s="380"/>
      <c r="O659" s="404"/>
      <c r="P659" s="380"/>
      <c r="Q659" s="380"/>
      <c r="R659" s="380"/>
      <c r="S659" s="380"/>
      <c r="T659" s="380"/>
      <c r="U659" s="380"/>
      <c r="V659" s="380"/>
      <c r="W659" s="403"/>
      <c r="X659" s="380"/>
      <c r="Y659" s="380"/>
      <c r="Z659" s="380"/>
      <c r="AA659" s="380"/>
      <c r="AB659" s="380"/>
      <c r="AC659" s="404"/>
      <c r="AD659" s="380"/>
      <c r="AE659" s="380"/>
      <c r="AF659" s="380"/>
      <c r="AG659" s="380"/>
      <c r="AH659" s="380"/>
      <c r="AI659" s="380"/>
      <c r="AJ659" s="380"/>
      <c r="AK659" s="403"/>
      <c r="AL659" s="380"/>
      <c r="AM659" s="380"/>
      <c r="AN659" s="380"/>
      <c r="AO659" s="380"/>
      <c r="AP659" s="380"/>
      <c r="AQ659" s="404"/>
      <c r="AR659" s="380"/>
      <c r="AS659" s="380"/>
      <c r="AT659" s="380"/>
      <c r="AU659" s="380"/>
      <c r="AV659" s="380"/>
      <c r="AW659" s="380"/>
      <c r="AX659" s="380"/>
      <c r="AY659" s="403"/>
      <c r="AZ659" s="380"/>
      <c r="BA659" s="380"/>
      <c r="BB659" s="380"/>
      <c r="BC659" s="380"/>
      <c r="BD659" s="380"/>
      <c r="BE659" s="404"/>
      <c r="BF659" s="380"/>
      <c r="BG659" s="380"/>
      <c r="BH659" s="380"/>
      <c r="BI659" s="380"/>
      <c r="BJ659" s="380"/>
      <c r="BK659" s="380"/>
      <c r="BL659" s="380"/>
      <c r="BM659" s="403"/>
      <c r="BS659" s="83"/>
      <c r="CA659" s="405"/>
      <c r="CG659" s="83"/>
      <c r="CO659" s="405"/>
      <c r="CU659" s="83"/>
      <c r="DC659" s="405"/>
      <c r="DI659" s="83"/>
      <c r="DQ659" s="405"/>
      <c r="DW659" s="83"/>
      <c r="EE659" s="405"/>
      <c r="EK659" s="83"/>
      <c r="ES659" s="405"/>
      <c r="EY659" s="83"/>
      <c r="FG659" s="405"/>
      <c r="FM659" s="83"/>
      <c r="FU659" s="405"/>
      <c r="GA659" s="83"/>
      <c r="GI659" s="405"/>
      <c r="GO659" s="83"/>
      <c r="GW659" s="405"/>
      <c r="HC659" s="83"/>
      <c r="HK659" s="405"/>
      <c r="HQ659" s="83"/>
      <c r="HY659" s="405"/>
      <c r="IE659" s="83"/>
      <c r="IM659" s="405"/>
      <c r="IS659" s="83"/>
      <c r="JA659" s="405"/>
      <c r="JG659" s="83"/>
      <c r="JO659" s="405"/>
      <c r="JU659" s="83"/>
      <c r="KC659" s="405"/>
      <c r="KI659" s="83"/>
      <c r="KQ659" s="405"/>
      <c r="KW659" s="83"/>
      <c r="LE659" s="405"/>
      <c r="LK659" s="83"/>
      <c r="LS659" s="405"/>
      <c r="LY659" s="83"/>
      <c r="MG659" s="405"/>
      <c r="MM659" s="83"/>
      <c r="MU659" s="405"/>
      <c r="NA659" s="83"/>
    </row>
    <row r="660">
      <c r="A660" s="483"/>
      <c r="B660" s="380"/>
      <c r="C660" s="380"/>
      <c r="D660" s="380"/>
      <c r="E660" s="380"/>
      <c r="F660" s="380"/>
      <c r="G660" s="380"/>
      <c r="H660" s="380"/>
      <c r="I660" s="403"/>
      <c r="J660" s="380"/>
      <c r="K660" s="380"/>
      <c r="L660" s="380"/>
      <c r="M660" s="380"/>
      <c r="N660" s="380"/>
      <c r="O660" s="404"/>
      <c r="P660" s="380"/>
      <c r="Q660" s="380"/>
      <c r="R660" s="380"/>
      <c r="S660" s="380"/>
      <c r="T660" s="380"/>
      <c r="U660" s="380"/>
      <c r="V660" s="380"/>
      <c r="W660" s="403"/>
      <c r="X660" s="380"/>
      <c r="Y660" s="380"/>
      <c r="Z660" s="380"/>
      <c r="AA660" s="380"/>
      <c r="AB660" s="380"/>
      <c r="AC660" s="404"/>
      <c r="AD660" s="380"/>
      <c r="AE660" s="380"/>
      <c r="AF660" s="380"/>
      <c r="AG660" s="380"/>
      <c r="AH660" s="380"/>
      <c r="AI660" s="380"/>
      <c r="AJ660" s="380"/>
      <c r="AK660" s="403"/>
      <c r="AL660" s="380"/>
      <c r="AM660" s="380"/>
      <c r="AN660" s="380"/>
      <c r="AO660" s="380"/>
      <c r="AP660" s="380"/>
      <c r="AQ660" s="404"/>
      <c r="AR660" s="380"/>
      <c r="AS660" s="380"/>
      <c r="AT660" s="380"/>
      <c r="AU660" s="380"/>
      <c r="AV660" s="380"/>
      <c r="AW660" s="380"/>
      <c r="AX660" s="380"/>
      <c r="AY660" s="403"/>
      <c r="AZ660" s="380"/>
      <c r="BA660" s="380"/>
      <c r="BB660" s="380"/>
      <c r="BC660" s="380"/>
      <c r="BD660" s="380"/>
      <c r="BE660" s="404"/>
      <c r="BF660" s="380"/>
      <c r="BG660" s="380"/>
      <c r="BH660" s="380"/>
      <c r="BI660" s="380"/>
      <c r="BJ660" s="380"/>
      <c r="BK660" s="380"/>
      <c r="BL660" s="380"/>
      <c r="BM660" s="403"/>
      <c r="BS660" s="83"/>
      <c r="CA660" s="405"/>
      <c r="CG660" s="83"/>
      <c r="CO660" s="405"/>
      <c r="CU660" s="83"/>
      <c r="DC660" s="405"/>
      <c r="DI660" s="83"/>
      <c r="DQ660" s="405"/>
      <c r="DW660" s="83"/>
      <c r="EE660" s="405"/>
      <c r="EK660" s="83"/>
      <c r="ES660" s="405"/>
      <c r="EY660" s="83"/>
      <c r="FG660" s="405"/>
      <c r="FM660" s="83"/>
      <c r="FU660" s="405"/>
      <c r="GA660" s="83"/>
      <c r="GI660" s="405"/>
      <c r="GO660" s="83"/>
      <c r="GW660" s="405"/>
      <c r="HC660" s="83"/>
      <c r="HK660" s="405"/>
      <c r="HQ660" s="83"/>
      <c r="HY660" s="405"/>
      <c r="IE660" s="83"/>
      <c r="IM660" s="405"/>
      <c r="IS660" s="83"/>
      <c r="JA660" s="405"/>
      <c r="JG660" s="83"/>
      <c r="JO660" s="405"/>
      <c r="JU660" s="83"/>
      <c r="KC660" s="405"/>
      <c r="KI660" s="83"/>
      <c r="KQ660" s="405"/>
      <c r="KW660" s="83"/>
      <c r="LE660" s="405"/>
      <c r="LK660" s="83"/>
      <c r="LS660" s="405"/>
      <c r="LY660" s="83"/>
      <c r="MG660" s="405"/>
      <c r="MM660" s="83"/>
      <c r="MU660" s="405"/>
      <c r="NA660" s="83"/>
    </row>
    <row r="661">
      <c r="A661" s="483"/>
      <c r="B661" s="380"/>
      <c r="C661" s="380"/>
      <c r="D661" s="380"/>
      <c r="E661" s="380"/>
      <c r="F661" s="380"/>
      <c r="G661" s="380"/>
      <c r="H661" s="380"/>
      <c r="I661" s="403"/>
      <c r="J661" s="380"/>
      <c r="K661" s="380"/>
      <c r="L661" s="380"/>
      <c r="M661" s="380"/>
      <c r="N661" s="380"/>
      <c r="O661" s="404"/>
      <c r="P661" s="380"/>
      <c r="Q661" s="380"/>
      <c r="R661" s="380"/>
      <c r="S661" s="380"/>
      <c r="T661" s="380"/>
      <c r="U661" s="380"/>
      <c r="V661" s="380"/>
      <c r="W661" s="403"/>
      <c r="X661" s="380"/>
      <c r="Y661" s="380"/>
      <c r="Z661" s="380"/>
      <c r="AA661" s="380"/>
      <c r="AB661" s="380"/>
      <c r="AC661" s="404"/>
      <c r="AD661" s="380"/>
      <c r="AE661" s="380"/>
      <c r="AF661" s="380"/>
      <c r="AG661" s="380"/>
      <c r="AH661" s="380"/>
      <c r="AI661" s="380"/>
      <c r="AJ661" s="380"/>
      <c r="AK661" s="403"/>
      <c r="AL661" s="380"/>
      <c r="AM661" s="380"/>
      <c r="AN661" s="380"/>
      <c r="AO661" s="380"/>
      <c r="AP661" s="380"/>
      <c r="AQ661" s="404"/>
      <c r="AR661" s="380"/>
      <c r="AS661" s="380"/>
      <c r="AT661" s="380"/>
      <c r="AU661" s="380"/>
      <c r="AV661" s="380"/>
      <c r="AW661" s="380"/>
      <c r="AX661" s="380"/>
      <c r="AY661" s="403"/>
      <c r="AZ661" s="380"/>
      <c r="BA661" s="380"/>
      <c r="BB661" s="380"/>
      <c r="BC661" s="380"/>
      <c r="BD661" s="380"/>
      <c r="BE661" s="404"/>
      <c r="BF661" s="380"/>
      <c r="BG661" s="380"/>
      <c r="BH661" s="380"/>
      <c r="BI661" s="380"/>
      <c r="BJ661" s="380"/>
      <c r="BK661" s="380"/>
      <c r="BL661" s="380"/>
      <c r="BM661" s="403"/>
      <c r="BS661" s="83"/>
      <c r="CA661" s="405"/>
      <c r="CG661" s="83"/>
      <c r="CO661" s="405"/>
      <c r="CU661" s="83"/>
      <c r="DC661" s="405"/>
      <c r="DI661" s="83"/>
      <c r="DQ661" s="405"/>
      <c r="DW661" s="83"/>
      <c r="EE661" s="405"/>
      <c r="EK661" s="83"/>
      <c r="ES661" s="405"/>
      <c r="EY661" s="83"/>
      <c r="FG661" s="405"/>
      <c r="FM661" s="83"/>
      <c r="FU661" s="405"/>
      <c r="GA661" s="83"/>
      <c r="GI661" s="405"/>
      <c r="GO661" s="83"/>
      <c r="GW661" s="405"/>
      <c r="HC661" s="83"/>
      <c r="HK661" s="405"/>
      <c r="HQ661" s="83"/>
      <c r="HY661" s="405"/>
      <c r="IE661" s="83"/>
      <c r="IM661" s="405"/>
      <c r="IS661" s="83"/>
      <c r="JA661" s="405"/>
      <c r="JG661" s="83"/>
      <c r="JO661" s="405"/>
      <c r="JU661" s="83"/>
      <c r="KC661" s="405"/>
      <c r="KI661" s="83"/>
      <c r="KQ661" s="405"/>
      <c r="KW661" s="83"/>
      <c r="LE661" s="405"/>
      <c r="LK661" s="83"/>
      <c r="LS661" s="405"/>
      <c r="LY661" s="83"/>
      <c r="MG661" s="405"/>
      <c r="MM661" s="83"/>
      <c r="MU661" s="405"/>
      <c r="NA661" s="83"/>
    </row>
    <row r="662">
      <c r="A662" s="483"/>
      <c r="B662" s="380"/>
      <c r="C662" s="380"/>
      <c r="D662" s="380"/>
      <c r="E662" s="380"/>
      <c r="F662" s="380"/>
      <c r="G662" s="380"/>
      <c r="H662" s="380"/>
      <c r="I662" s="403"/>
      <c r="J662" s="380"/>
      <c r="K662" s="380"/>
      <c r="L662" s="380"/>
      <c r="M662" s="380"/>
      <c r="N662" s="380"/>
      <c r="O662" s="404"/>
      <c r="P662" s="380"/>
      <c r="Q662" s="380"/>
      <c r="R662" s="380"/>
      <c r="S662" s="380"/>
      <c r="T662" s="380"/>
      <c r="U662" s="380"/>
      <c r="V662" s="380"/>
      <c r="W662" s="403"/>
      <c r="X662" s="380"/>
      <c r="Y662" s="380"/>
      <c r="Z662" s="380"/>
      <c r="AA662" s="380"/>
      <c r="AB662" s="380"/>
      <c r="AC662" s="404"/>
      <c r="AD662" s="380"/>
      <c r="AE662" s="380"/>
      <c r="AF662" s="380"/>
      <c r="AG662" s="380"/>
      <c r="AH662" s="380"/>
      <c r="AI662" s="380"/>
      <c r="AJ662" s="380"/>
      <c r="AK662" s="403"/>
      <c r="AL662" s="380"/>
      <c r="AM662" s="380"/>
      <c r="AN662" s="380"/>
      <c r="AO662" s="380"/>
      <c r="AP662" s="380"/>
      <c r="AQ662" s="404"/>
      <c r="AR662" s="380"/>
      <c r="AS662" s="380"/>
      <c r="AT662" s="380"/>
      <c r="AU662" s="380"/>
      <c r="AV662" s="380"/>
      <c r="AW662" s="380"/>
      <c r="AX662" s="380"/>
      <c r="AY662" s="403"/>
      <c r="AZ662" s="380"/>
      <c r="BA662" s="380"/>
      <c r="BB662" s="380"/>
      <c r="BC662" s="380"/>
      <c r="BD662" s="380"/>
      <c r="BE662" s="404"/>
      <c r="BF662" s="380"/>
      <c r="BG662" s="380"/>
      <c r="BH662" s="380"/>
      <c r="BI662" s="380"/>
      <c r="BJ662" s="380"/>
      <c r="BK662" s="380"/>
      <c r="BL662" s="380"/>
      <c r="BM662" s="403"/>
      <c r="BS662" s="83"/>
      <c r="CA662" s="405"/>
      <c r="CG662" s="83"/>
      <c r="CO662" s="405"/>
      <c r="CU662" s="83"/>
      <c r="DC662" s="405"/>
      <c r="DI662" s="83"/>
      <c r="DQ662" s="405"/>
      <c r="DW662" s="83"/>
      <c r="EE662" s="405"/>
      <c r="EK662" s="83"/>
      <c r="ES662" s="405"/>
      <c r="EY662" s="83"/>
      <c r="FG662" s="405"/>
      <c r="FM662" s="83"/>
      <c r="FU662" s="405"/>
      <c r="GA662" s="83"/>
      <c r="GI662" s="405"/>
      <c r="GO662" s="83"/>
      <c r="GW662" s="405"/>
      <c r="HC662" s="83"/>
      <c r="HK662" s="405"/>
      <c r="HQ662" s="83"/>
      <c r="HY662" s="405"/>
      <c r="IE662" s="83"/>
      <c r="IM662" s="405"/>
      <c r="IS662" s="83"/>
      <c r="JA662" s="405"/>
      <c r="JG662" s="83"/>
      <c r="JO662" s="405"/>
      <c r="JU662" s="83"/>
      <c r="KC662" s="405"/>
      <c r="KI662" s="83"/>
      <c r="KQ662" s="405"/>
      <c r="KW662" s="83"/>
      <c r="LE662" s="405"/>
      <c r="LK662" s="83"/>
      <c r="LS662" s="405"/>
      <c r="LY662" s="83"/>
      <c r="MG662" s="405"/>
      <c r="MM662" s="83"/>
      <c r="MU662" s="405"/>
      <c r="NA662" s="83"/>
    </row>
    <row r="663">
      <c r="A663" s="483"/>
      <c r="B663" s="380"/>
      <c r="C663" s="380"/>
      <c r="D663" s="380"/>
      <c r="E663" s="380"/>
      <c r="F663" s="380"/>
      <c r="G663" s="380"/>
      <c r="H663" s="380"/>
      <c r="I663" s="403"/>
      <c r="J663" s="380"/>
      <c r="K663" s="380"/>
      <c r="L663" s="380"/>
      <c r="M663" s="380"/>
      <c r="N663" s="380"/>
      <c r="O663" s="404"/>
      <c r="P663" s="380"/>
      <c r="Q663" s="380"/>
      <c r="R663" s="380"/>
      <c r="S663" s="380"/>
      <c r="T663" s="380"/>
      <c r="U663" s="380"/>
      <c r="V663" s="380"/>
      <c r="W663" s="403"/>
      <c r="X663" s="380"/>
      <c r="Y663" s="380"/>
      <c r="Z663" s="380"/>
      <c r="AA663" s="380"/>
      <c r="AB663" s="380"/>
      <c r="AC663" s="404"/>
      <c r="AD663" s="380"/>
      <c r="AE663" s="380"/>
      <c r="AF663" s="380"/>
      <c r="AG663" s="380"/>
      <c r="AH663" s="380"/>
      <c r="AI663" s="380"/>
      <c r="AJ663" s="380"/>
      <c r="AK663" s="403"/>
      <c r="AL663" s="380"/>
      <c r="AM663" s="380"/>
      <c r="AN663" s="380"/>
      <c r="AO663" s="380"/>
      <c r="AP663" s="380"/>
      <c r="AQ663" s="404"/>
      <c r="AR663" s="380"/>
      <c r="AS663" s="380"/>
      <c r="AT663" s="380"/>
      <c r="AU663" s="380"/>
      <c r="AV663" s="380"/>
      <c r="AW663" s="380"/>
      <c r="AX663" s="380"/>
      <c r="AY663" s="403"/>
      <c r="AZ663" s="380"/>
      <c r="BA663" s="380"/>
      <c r="BB663" s="380"/>
      <c r="BC663" s="380"/>
      <c r="BD663" s="380"/>
      <c r="BE663" s="404"/>
      <c r="BF663" s="380"/>
      <c r="BG663" s="380"/>
      <c r="BH663" s="380"/>
      <c r="BI663" s="380"/>
      <c r="BJ663" s="380"/>
      <c r="BK663" s="380"/>
      <c r="BL663" s="380"/>
      <c r="BM663" s="403"/>
      <c r="BS663" s="83"/>
      <c r="CA663" s="405"/>
      <c r="CG663" s="83"/>
      <c r="CO663" s="405"/>
      <c r="CU663" s="83"/>
      <c r="DC663" s="405"/>
      <c r="DI663" s="83"/>
      <c r="DQ663" s="405"/>
      <c r="DW663" s="83"/>
      <c r="EE663" s="405"/>
      <c r="EK663" s="83"/>
      <c r="ES663" s="405"/>
      <c r="EY663" s="83"/>
      <c r="FG663" s="405"/>
      <c r="FM663" s="83"/>
      <c r="FU663" s="405"/>
      <c r="GA663" s="83"/>
      <c r="GI663" s="405"/>
      <c r="GO663" s="83"/>
      <c r="GW663" s="405"/>
      <c r="HC663" s="83"/>
      <c r="HK663" s="405"/>
      <c r="HQ663" s="83"/>
      <c r="HY663" s="405"/>
      <c r="IE663" s="83"/>
      <c r="IM663" s="405"/>
      <c r="IS663" s="83"/>
      <c r="JA663" s="405"/>
      <c r="JG663" s="83"/>
      <c r="JO663" s="405"/>
      <c r="JU663" s="83"/>
      <c r="KC663" s="405"/>
      <c r="KI663" s="83"/>
      <c r="KQ663" s="405"/>
      <c r="KW663" s="83"/>
      <c r="LE663" s="405"/>
      <c r="LK663" s="83"/>
      <c r="LS663" s="405"/>
      <c r="LY663" s="83"/>
      <c r="MG663" s="405"/>
      <c r="MM663" s="83"/>
      <c r="MU663" s="405"/>
      <c r="NA663" s="83"/>
    </row>
    <row r="664">
      <c r="A664" s="483"/>
      <c r="B664" s="380"/>
      <c r="C664" s="380"/>
      <c r="D664" s="380"/>
      <c r="E664" s="380"/>
      <c r="F664" s="380"/>
      <c r="G664" s="380"/>
      <c r="H664" s="380"/>
      <c r="I664" s="403"/>
      <c r="J664" s="380"/>
      <c r="K664" s="380"/>
      <c r="L664" s="380"/>
      <c r="M664" s="380"/>
      <c r="N664" s="380"/>
      <c r="O664" s="404"/>
      <c r="P664" s="380"/>
      <c r="Q664" s="380"/>
      <c r="R664" s="380"/>
      <c r="S664" s="380"/>
      <c r="T664" s="380"/>
      <c r="U664" s="380"/>
      <c r="V664" s="380"/>
      <c r="W664" s="403"/>
      <c r="X664" s="380"/>
      <c r="Y664" s="380"/>
      <c r="Z664" s="380"/>
      <c r="AA664" s="380"/>
      <c r="AB664" s="380"/>
      <c r="AC664" s="404"/>
      <c r="AD664" s="380"/>
      <c r="AE664" s="380"/>
      <c r="AF664" s="380"/>
      <c r="AG664" s="380"/>
      <c r="AH664" s="380"/>
      <c r="AI664" s="380"/>
      <c r="AJ664" s="380"/>
      <c r="AK664" s="403"/>
      <c r="AL664" s="380"/>
      <c r="AM664" s="380"/>
      <c r="AN664" s="380"/>
      <c r="AO664" s="380"/>
      <c r="AP664" s="380"/>
      <c r="AQ664" s="404"/>
      <c r="AR664" s="380"/>
      <c r="AS664" s="380"/>
      <c r="AT664" s="380"/>
      <c r="AU664" s="380"/>
      <c r="AV664" s="380"/>
      <c r="AW664" s="380"/>
      <c r="AX664" s="380"/>
      <c r="AY664" s="403"/>
      <c r="AZ664" s="380"/>
      <c r="BA664" s="380"/>
      <c r="BB664" s="380"/>
      <c r="BC664" s="380"/>
      <c r="BD664" s="380"/>
      <c r="BE664" s="404"/>
      <c r="BF664" s="380"/>
      <c r="BG664" s="380"/>
      <c r="BH664" s="380"/>
      <c r="BI664" s="380"/>
      <c r="BJ664" s="380"/>
      <c r="BK664" s="380"/>
      <c r="BL664" s="380"/>
      <c r="BM664" s="403"/>
      <c r="BS664" s="83"/>
      <c r="CA664" s="405"/>
      <c r="CG664" s="83"/>
      <c r="CO664" s="405"/>
      <c r="CU664" s="83"/>
      <c r="DC664" s="405"/>
      <c r="DI664" s="83"/>
      <c r="DQ664" s="405"/>
      <c r="DW664" s="83"/>
      <c r="EE664" s="405"/>
      <c r="EK664" s="83"/>
      <c r="ES664" s="405"/>
      <c r="EY664" s="83"/>
      <c r="FG664" s="405"/>
      <c r="FM664" s="83"/>
      <c r="FU664" s="405"/>
      <c r="GA664" s="83"/>
      <c r="GI664" s="405"/>
      <c r="GO664" s="83"/>
      <c r="GW664" s="405"/>
      <c r="HC664" s="83"/>
      <c r="HK664" s="405"/>
      <c r="HQ664" s="83"/>
      <c r="HY664" s="405"/>
      <c r="IE664" s="83"/>
      <c r="IM664" s="405"/>
      <c r="IS664" s="83"/>
      <c r="JA664" s="405"/>
      <c r="JG664" s="83"/>
      <c r="JO664" s="405"/>
      <c r="JU664" s="83"/>
      <c r="KC664" s="405"/>
      <c r="KI664" s="83"/>
      <c r="KQ664" s="405"/>
      <c r="KW664" s="83"/>
      <c r="LE664" s="405"/>
      <c r="LK664" s="83"/>
      <c r="LS664" s="405"/>
      <c r="LY664" s="83"/>
      <c r="MG664" s="405"/>
      <c r="MM664" s="83"/>
      <c r="MU664" s="405"/>
      <c r="NA664" s="83"/>
    </row>
    <row r="665">
      <c r="A665" s="483"/>
      <c r="B665" s="380"/>
      <c r="C665" s="380"/>
      <c r="D665" s="380"/>
      <c r="E665" s="380"/>
      <c r="F665" s="380"/>
      <c r="G665" s="380"/>
      <c r="H665" s="380"/>
      <c r="I665" s="403"/>
      <c r="J665" s="380"/>
      <c r="K665" s="380"/>
      <c r="L665" s="380"/>
      <c r="M665" s="380"/>
      <c r="N665" s="380"/>
      <c r="O665" s="404"/>
      <c r="P665" s="380"/>
      <c r="Q665" s="380"/>
      <c r="R665" s="380"/>
      <c r="S665" s="380"/>
      <c r="T665" s="380"/>
      <c r="U665" s="380"/>
      <c r="V665" s="380"/>
      <c r="W665" s="403"/>
      <c r="X665" s="380"/>
      <c r="Y665" s="380"/>
      <c r="Z665" s="380"/>
      <c r="AA665" s="380"/>
      <c r="AB665" s="380"/>
      <c r="AC665" s="404"/>
      <c r="AD665" s="380"/>
      <c r="AE665" s="380"/>
      <c r="AF665" s="380"/>
      <c r="AG665" s="380"/>
      <c r="AH665" s="380"/>
      <c r="AI665" s="380"/>
      <c r="AJ665" s="380"/>
      <c r="AK665" s="403"/>
      <c r="AL665" s="380"/>
      <c r="AM665" s="380"/>
      <c r="AN665" s="380"/>
      <c r="AO665" s="380"/>
      <c r="AP665" s="380"/>
      <c r="AQ665" s="404"/>
      <c r="AR665" s="380"/>
      <c r="AS665" s="380"/>
      <c r="AT665" s="380"/>
      <c r="AU665" s="380"/>
      <c r="AV665" s="380"/>
      <c r="AW665" s="380"/>
      <c r="AX665" s="380"/>
      <c r="AY665" s="403"/>
      <c r="AZ665" s="380"/>
      <c r="BA665" s="380"/>
      <c r="BB665" s="380"/>
      <c r="BC665" s="380"/>
      <c r="BD665" s="380"/>
      <c r="BE665" s="404"/>
      <c r="BF665" s="380"/>
      <c r="BG665" s="380"/>
      <c r="BH665" s="380"/>
      <c r="BI665" s="380"/>
      <c r="BJ665" s="380"/>
      <c r="BK665" s="380"/>
      <c r="BL665" s="380"/>
      <c r="BM665" s="403"/>
      <c r="BS665" s="83"/>
      <c r="CA665" s="405"/>
      <c r="CG665" s="83"/>
      <c r="CO665" s="405"/>
      <c r="CU665" s="83"/>
      <c r="DC665" s="405"/>
      <c r="DI665" s="83"/>
      <c r="DQ665" s="405"/>
      <c r="DW665" s="83"/>
      <c r="EE665" s="405"/>
      <c r="EK665" s="83"/>
      <c r="ES665" s="405"/>
      <c r="EY665" s="83"/>
      <c r="FG665" s="405"/>
      <c r="FM665" s="83"/>
      <c r="FU665" s="405"/>
      <c r="GA665" s="83"/>
      <c r="GI665" s="405"/>
      <c r="GO665" s="83"/>
      <c r="GW665" s="405"/>
      <c r="HC665" s="83"/>
      <c r="HK665" s="405"/>
      <c r="HQ665" s="83"/>
      <c r="HY665" s="405"/>
      <c r="IE665" s="83"/>
      <c r="IM665" s="405"/>
      <c r="IS665" s="83"/>
      <c r="JA665" s="405"/>
      <c r="JG665" s="83"/>
      <c r="JO665" s="405"/>
      <c r="JU665" s="83"/>
      <c r="KC665" s="405"/>
      <c r="KI665" s="83"/>
      <c r="KQ665" s="405"/>
      <c r="KW665" s="83"/>
      <c r="LE665" s="405"/>
      <c r="LK665" s="83"/>
      <c r="LS665" s="405"/>
      <c r="LY665" s="83"/>
      <c r="MG665" s="405"/>
      <c r="MM665" s="83"/>
      <c r="MU665" s="405"/>
      <c r="NA665" s="83"/>
    </row>
    <row r="666">
      <c r="A666" s="483"/>
      <c r="B666" s="380"/>
      <c r="C666" s="380"/>
      <c r="D666" s="380"/>
      <c r="E666" s="380"/>
      <c r="F666" s="380"/>
      <c r="G666" s="380"/>
      <c r="H666" s="380"/>
      <c r="I666" s="403"/>
      <c r="J666" s="380"/>
      <c r="K666" s="380"/>
      <c r="L666" s="380"/>
      <c r="M666" s="380"/>
      <c r="N666" s="380"/>
      <c r="O666" s="404"/>
      <c r="P666" s="380"/>
      <c r="Q666" s="380"/>
      <c r="R666" s="380"/>
      <c r="S666" s="380"/>
      <c r="T666" s="380"/>
      <c r="U666" s="380"/>
      <c r="V666" s="380"/>
      <c r="W666" s="403"/>
      <c r="X666" s="380"/>
      <c r="Y666" s="380"/>
      <c r="Z666" s="380"/>
      <c r="AA666" s="380"/>
      <c r="AB666" s="380"/>
      <c r="AC666" s="404"/>
      <c r="AD666" s="380"/>
      <c r="AE666" s="380"/>
      <c r="AF666" s="380"/>
      <c r="AG666" s="380"/>
      <c r="AH666" s="380"/>
      <c r="AI666" s="380"/>
      <c r="AJ666" s="380"/>
      <c r="AK666" s="403"/>
      <c r="AL666" s="380"/>
      <c r="AM666" s="380"/>
      <c r="AN666" s="380"/>
      <c r="AO666" s="380"/>
      <c r="AP666" s="380"/>
      <c r="AQ666" s="404"/>
      <c r="AR666" s="380"/>
      <c r="AS666" s="380"/>
      <c r="AT666" s="380"/>
      <c r="AU666" s="380"/>
      <c r="AV666" s="380"/>
      <c r="AW666" s="380"/>
      <c r="AX666" s="380"/>
      <c r="AY666" s="403"/>
      <c r="AZ666" s="380"/>
      <c r="BA666" s="380"/>
      <c r="BB666" s="380"/>
      <c r="BC666" s="380"/>
      <c r="BD666" s="380"/>
      <c r="BE666" s="404"/>
      <c r="BF666" s="380"/>
      <c r="BG666" s="380"/>
      <c r="BH666" s="380"/>
      <c r="BI666" s="380"/>
      <c r="BJ666" s="380"/>
      <c r="BK666" s="380"/>
      <c r="BL666" s="380"/>
      <c r="BM666" s="403"/>
      <c r="BS666" s="83"/>
      <c r="CA666" s="405"/>
      <c r="CG666" s="83"/>
      <c r="CO666" s="405"/>
      <c r="CU666" s="83"/>
      <c r="DC666" s="405"/>
      <c r="DI666" s="83"/>
      <c r="DQ666" s="405"/>
      <c r="DW666" s="83"/>
      <c r="EE666" s="405"/>
      <c r="EK666" s="83"/>
      <c r="ES666" s="405"/>
      <c r="EY666" s="83"/>
      <c r="FG666" s="405"/>
      <c r="FM666" s="83"/>
      <c r="FU666" s="405"/>
      <c r="GA666" s="83"/>
      <c r="GI666" s="405"/>
      <c r="GO666" s="83"/>
      <c r="GW666" s="405"/>
      <c r="HC666" s="83"/>
      <c r="HK666" s="405"/>
      <c r="HQ666" s="83"/>
      <c r="HY666" s="405"/>
      <c r="IE666" s="83"/>
      <c r="IM666" s="405"/>
      <c r="IS666" s="83"/>
      <c r="JA666" s="405"/>
      <c r="JG666" s="83"/>
      <c r="JO666" s="405"/>
      <c r="JU666" s="83"/>
      <c r="KC666" s="405"/>
      <c r="KI666" s="83"/>
      <c r="KQ666" s="405"/>
      <c r="KW666" s="83"/>
      <c r="LE666" s="405"/>
      <c r="LK666" s="83"/>
      <c r="LS666" s="405"/>
      <c r="LY666" s="83"/>
      <c r="MG666" s="405"/>
      <c r="MM666" s="83"/>
      <c r="MU666" s="405"/>
      <c r="NA666" s="83"/>
    </row>
    <row r="667">
      <c r="A667" s="483"/>
      <c r="B667" s="380"/>
      <c r="C667" s="380"/>
      <c r="D667" s="380"/>
      <c r="E667" s="380"/>
      <c r="F667" s="380"/>
      <c r="G667" s="380"/>
      <c r="H667" s="380"/>
      <c r="I667" s="403"/>
      <c r="J667" s="380"/>
      <c r="K667" s="380"/>
      <c r="L667" s="380"/>
      <c r="M667" s="380"/>
      <c r="N667" s="380"/>
      <c r="O667" s="404"/>
      <c r="P667" s="380"/>
      <c r="Q667" s="380"/>
      <c r="R667" s="380"/>
      <c r="S667" s="380"/>
      <c r="T667" s="380"/>
      <c r="U667" s="380"/>
      <c r="V667" s="380"/>
      <c r="W667" s="403"/>
      <c r="X667" s="380"/>
      <c r="Y667" s="380"/>
      <c r="Z667" s="380"/>
      <c r="AA667" s="380"/>
      <c r="AB667" s="380"/>
      <c r="AC667" s="404"/>
      <c r="AD667" s="380"/>
      <c r="AE667" s="380"/>
      <c r="AF667" s="380"/>
      <c r="AG667" s="380"/>
      <c r="AH667" s="380"/>
      <c r="AI667" s="380"/>
      <c r="AJ667" s="380"/>
      <c r="AK667" s="403"/>
      <c r="AL667" s="380"/>
      <c r="AM667" s="380"/>
      <c r="AN667" s="380"/>
      <c r="AO667" s="380"/>
      <c r="AP667" s="380"/>
      <c r="AQ667" s="404"/>
      <c r="AR667" s="380"/>
      <c r="AS667" s="380"/>
      <c r="AT667" s="380"/>
      <c r="AU667" s="380"/>
      <c r="AV667" s="380"/>
      <c r="AW667" s="380"/>
      <c r="AX667" s="380"/>
      <c r="AY667" s="403"/>
      <c r="AZ667" s="380"/>
      <c r="BA667" s="380"/>
      <c r="BB667" s="380"/>
      <c r="BC667" s="380"/>
      <c r="BD667" s="380"/>
      <c r="BE667" s="404"/>
      <c r="BF667" s="380"/>
      <c r="BG667" s="380"/>
      <c r="BH667" s="380"/>
      <c r="BI667" s="380"/>
      <c r="BJ667" s="380"/>
      <c r="BK667" s="380"/>
      <c r="BL667" s="380"/>
      <c r="BM667" s="403"/>
      <c r="BS667" s="83"/>
      <c r="CA667" s="405"/>
      <c r="CG667" s="83"/>
      <c r="CO667" s="405"/>
      <c r="CU667" s="83"/>
      <c r="DC667" s="405"/>
      <c r="DI667" s="83"/>
      <c r="DQ667" s="405"/>
      <c r="DW667" s="83"/>
      <c r="EE667" s="405"/>
      <c r="EK667" s="83"/>
      <c r="ES667" s="405"/>
      <c r="EY667" s="83"/>
      <c r="FG667" s="405"/>
      <c r="FM667" s="83"/>
      <c r="FU667" s="405"/>
      <c r="GA667" s="83"/>
      <c r="GI667" s="405"/>
      <c r="GO667" s="83"/>
      <c r="GW667" s="405"/>
      <c r="HC667" s="83"/>
      <c r="HK667" s="405"/>
      <c r="HQ667" s="83"/>
      <c r="HY667" s="405"/>
      <c r="IE667" s="83"/>
      <c r="IM667" s="405"/>
      <c r="IS667" s="83"/>
      <c r="JA667" s="405"/>
      <c r="JG667" s="83"/>
      <c r="JO667" s="405"/>
      <c r="JU667" s="83"/>
      <c r="KC667" s="405"/>
      <c r="KI667" s="83"/>
      <c r="KQ667" s="405"/>
      <c r="KW667" s="83"/>
      <c r="LE667" s="405"/>
      <c r="LK667" s="83"/>
      <c r="LS667" s="405"/>
      <c r="LY667" s="83"/>
      <c r="MG667" s="405"/>
      <c r="MM667" s="83"/>
      <c r="MU667" s="405"/>
      <c r="NA667" s="83"/>
    </row>
    <row r="668">
      <c r="A668" s="483"/>
      <c r="B668" s="380"/>
      <c r="C668" s="380"/>
      <c r="D668" s="380"/>
      <c r="E668" s="380"/>
      <c r="F668" s="380"/>
      <c r="G668" s="380"/>
      <c r="H668" s="380"/>
      <c r="I668" s="403"/>
      <c r="J668" s="380"/>
      <c r="K668" s="380"/>
      <c r="L668" s="380"/>
      <c r="M668" s="380"/>
      <c r="N668" s="380"/>
      <c r="O668" s="404"/>
      <c r="P668" s="380"/>
      <c r="Q668" s="380"/>
      <c r="R668" s="380"/>
      <c r="S668" s="380"/>
      <c r="T668" s="380"/>
      <c r="U668" s="380"/>
      <c r="V668" s="380"/>
      <c r="W668" s="403"/>
      <c r="X668" s="380"/>
      <c r="Y668" s="380"/>
      <c r="Z668" s="380"/>
      <c r="AA668" s="380"/>
      <c r="AB668" s="380"/>
      <c r="AC668" s="404"/>
      <c r="AD668" s="380"/>
      <c r="AE668" s="380"/>
      <c r="AF668" s="380"/>
      <c r="AG668" s="380"/>
      <c r="AH668" s="380"/>
      <c r="AI668" s="380"/>
      <c r="AJ668" s="380"/>
      <c r="AK668" s="403"/>
      <c r="AL668" s="380"/>
      <c r="AM668" s="380"/>
      <c r="AN668" s="380"/>
      <c r="AO668" s="380"/>
      <c r="AP668" s="380"/>
      <c r="AQ668" s="404"/>
      <c r="AR668" s="380"/>
      <c r="AS668" s="380"/>
      <c r="AT668" s="380"/>
      <c r="AU668" s="380"/>
      <c r="AV668" s="380"/>
      <c r="AW668" s="380"/>
      <c r="AX668" s="380"/>
      <c r="AY668" s="403"/>
      <c r="AZ668" s="380"/>
      <c r="BA668" s="380"/>
      <c r="BB668" s="380"/>
      <c r="BC668" s="380"/>
      <c r="BD668" s="380"/>
      <c r="BE668" s="404"/>
      <c r="BF668" s="380"/>
      <c r="BG668" s="380"/>
      <c r="BH668" s="380"/>
      <c r="BI668" s="380"/>
      <c r="BJ668" s="380"/>
      <c r="BK668" s="380"/>
      <c r="BL668" s="380"/>
      <c r="BM668" s="403"/>
      <c r="BS668" s="83"/>
      <c r="CA668" s="405"/>
      <c r="CG668" s="83"/>
      <c r="CO668" s="405"/>
      <c r="CU668" s="83"/>
      <c r="DC668" s="405"/>
      <c r="DI668" s="83"/>
      <c r="DQ668" s="405"/>
      <c r="DW668" s="83"/>
      <c r="EE668" s="405"/>
      <c r="EK668" s="83"/>
      <c r="ES668" s="405"/>
      <c r="EY668" s="83"/>
      <c r="FG668" s="405"/>
      <c r="FM668" s="83"/>
      <c r="FU668" s="405"/>
      <c r="GA668" s="83"/>
      <c r="GI668" s="405"/>
      <c r="GO668" s="83"/>
      <c r="GW668" s="405"/>
      <c r="HC668" s="83"/>
      <c r="HK668" s="405"/>
      <c r="HQ668" s="83"/>
      <c r="HY668" s="405"/>
      <c r="IE668" s="83"/>
      <c r="IM668" s="405"/>
      <c r="IS668" s="83"/>
      <c r="JA668" s="405"/>
      <c r="JG668" s="83"/>
      <c r="JO668" s="405"/>
      <c r="JU668" s="83"/>
      <c r="KC668" s="405"/>
      <c r="KI668" s="83"/>
      <c r="KQ668" s="405"/>
      <c r="KW668" s="83"/>
      <c r="LE668" s="405"/>
      <c r="LK668" s="83"/>
      <c r="LS668" s="405"/>
      <c r="LY668" s="83"/>
      <c r="MG668" s="405"/>
      <c r="MM668" s="83"/>
      <c r="MU668" s="405"/>
      <c r="NA668" s="83"/>
    </row>
    <row r="669">
      <c r="A669" s="483"/>
      <c r="B669" s="380"/>
      <c r="C669" s="380"/>
      <c r="D669" s="380"/>
      <c r="E669" s="380"/>
      <c r="F669" s="380"/>
      <c r="G669" s="380"/>
      <c r="H669" s="380"/>
      <c r="I669" s="403"/>
      <c r="J669" s="380"/>
      <c r="K669" s="380"/>
      <c r="L669" s="380"/>
      <c r="M669" s="380"/>
      <c r="N669" s="380"/>
      <c r="O669" s="404"/>
      <c r="P669" s="380"/>
      <c r="Q669" s="380"/>
      <c r="R669" s="380"/>
      <c r="S669" s="380"/>
      <c r="T669" s="380"/>
      <c r="U669" s="380"/>
      <c r="V669" s="380"/>
      <c r="W669" s="403"/>
      <c r="X669" s="380"/>
      <c r="Y669" s="380"/>
      <c r="Z669" s="380"/>
      <c r="AA669" s="380"/>
      <c r="AB669" s="380"/>
      <c r="AC669" s="404"/>
      <c r="AD669" s="380"/>
      <c r="AE669" s="380"/>
      <c r="AF669" s="380"/>
      <c r="AG669" s="380"/>
      <c r="AH669" s="380"/>
      <c r="AI669" s="380"/>
      <c r="AJ669" s="380"/>
      <c r="AK669" s="403"/>
      <c r="AL669" s="380"/>
      <c r="AM669" s="380"/>
      <c r="AN669" s="380"/>
      <c r="AO669" s="380"/>
      <c r="AP669" s="380"/>
      <c r="AQ669" s="404"/>
      <c r="AR669" s="380"/>
      <c r="AS669" s="380"/>
      <c r="AT669" s="380"/>
      <c r="AU669" s="380"/>
      <c r="AV669" s="380"/>
      <c r="AW669" s="380"/>
      <c r="AX669" s="380"/>
      <c r="AY669" s="403"/>
      <c r="AZ669" s="380"/>
      <c r="BA669" s="380"/>
      <c r="BB669" s="380"/>
      <c r="BC669" s="380"/>
      <c r="BD669" s="380"/>
      <c r="BE669" s="404"/>
      <c r="BF669" s="380"/>
      <c r="BG669" s="380"/>
      <c r="BH669" s="380"/>
      <c r="BI669" s="380"/>
      <c r="BJ669" s="380"/>
      <c r="BK669" s="380"/>
      <c r="BL669" s="380"/>
      <c r="BM669" s="403"/>
      <c r="BS669" s="83"/>
      <c r="CA669" s="405"/>
      <c r="CG669" s="83"/>
      <c r="CO669" s="405"/>
      <c r="CU669" s="83"/>
      <c r="DC669" s="405"/>
      <c r="DI669" s="83"/>
      <c r="DQ669" s="405"/>
      <c r="DW669" s="83"/>
      <c r="EE669" s="405"/>
      <c r="EK669" s="83"/>
      <c r="ES669" s="405"/>
      <c r="EY669" s="83"/>
      <c r="FG669" s="405"/>
      <c r="FM669" s="83"/>
      <c r="FU669" s="405"/>
      <c r="GA669" s="83"/>
      <c r="GI669" s="405"/>
      <c r="GO669" s="83"/>
      <c r="GW669" s="405"/>
      <c r="HC669" s="83"/>
      <c r="HK669" s="405"/>
      <c r="HQ669" s="83"/>
      <c r="HY669" s="405"/>
      <c r="IE669" s="83"/>
      <c r="IM669" s="405"/>
      <c r="IS669" s="83"/>
      <c r="JA669" s="405"/>
      <c r="JG669" s="83"/>
      <c r="JO669" s="405"/>
      <c r="JU669" s="83"/>
      <c r="KC669" s="405"/>
      <c r="KI669" s="83"/>
      <c r="KQ669" s="405"/>
      <c r="KW669" s="83"/>
      <c r="LE669" s="405"/>
      <c r="LK669" s="83"/>
      <c r="LS669" s="405"/>
      <c r="LY669" s="83"/>
      <c r="MG669" s="405"/>
      <c r="MM669" s="83"/>
      <c r="MU669" s="405"/>
      <c r="NA669" s="83"/>
    </row>
    <row r="670">
      <c r="A670" s="483"/>
      <c r="B670" s="380"/>
      <c r="C670" s="380"/>
      <c r="D670" s="380"/>
      <c r="E670" s="380"/>
      <c r="F670" s="380"/>
      <c r="G670" s="380"/>
      <c r="H670" s="380"/>
      <c r="I670" s="403"/>
      <c r="J670" s="380"/>
      <c r="K670" s="380"/>
      <c r="L670" s="380"/>
      <c r="M670" s="380"/>
      <c r="N670" s="380"/>
      <c r="O670" s="404"/>
      <c r="P670" s="380"/>
      <c r="Q670" s="380"/>
      <c r="R670" s="380"/>
      <c r="S670" s="380"/>
      <c r="T670" s="380"/>
      <c r="U670" s="380"/>
      <c r="V670" s="380"/>
      <c r="W670" s="403"/>
      <c r="X670" s="380"/>
      <c r="Y670" s="380"/>
      <c r="Z670" s="380"/>
      <c r="AA670" s="380"/>
      <c r="AB670" s="380"/>
      <c r="AC670" s="404"/>
      <c r="AD670" s="380"/>
      <c r="AE670" s="380"/>
      <c r="AF670" s="380"/>
      <c r="AG670" s="380"/>
      <c r="AH670" s="380"/>
      <c r="AI670" s="380"/>
      <c r="AJ670" s="380"/>
      <c r="AK670" s="403"/>
      <c r="AL670" s="380"/>
      <c r="AM670" s="380"/>
      <c r="AN670" s="380"/>
      <c r="AO670" s="380"/>
      <c r="AP670" s="380"/>
      <c r="AQ670" s="404"/>
      <c r="AR670" s="380"/>
      <c r="AS670" s="380"/>
      <c r="AT670" s="380"/>
      <c r="AU670" s="380"/>
      <c r="AV670" s="380"/>
      <c r="AW670" s="380"/>
      <c r="AX670" s="380"/>
      <c r="AY670" s="403"/>
      <c r="AZ670" s="380"/>
      <c r="BA670" s="380"/>
      <c r="BB670" s="380"/>
      <c r="BC670" s="380"/>
      <c r="BD670" s="380"/>
      <c r="BE670" s="404"/>
      <c r="BF670" s="380"/>
      <c r="BG670" s="380"/>
      <c r="BH670" s="380"/>
      <c r="BI670" s="380"/>
      <c r="BJ670" s="380"/>
      <c r="BK670" s="380"/>
      <c r="BL670" s="380"/>
      <c r="BM670" s="403"/>
      <c r="BS670" s="83"/>
      <c r="CA670" s="405"/>
      <c r="CG670" s="83"/>
      <c r="CO670" s="405"/>
      <c r="CU670" s="83"/>
      <c r="DC670" s="405"/>
      <c r="DI670" s="83"/>
      <c r="DQ670" s="405"/>
      <c r="DW670" s="83"/>
      <c r="EE670" s="405"/>
      <c r="EK670" s="83"/>
      <c r="ES670" s="405"/>
      <c r="EY670" s="83"/>
      <c r="FG670" s="405"/>
      <c r="FM670" s="83"/>
      <c r="FU670" s="405"/>
      <c r="GA670" s="83"/>
      <c r="GI670" s="405"/>
      <c r="GO670" s="83"/>
      <c r="GW670" s="405"/>
      <c r="HC670" s="83"/>
      <c r="HK670" s="405"/>
      <c r="HQ670" s="83"/>
      <c r="HY670" s="405"/>
      <c r="IE670" s="83"/>
      <c r="IM670" s="405"/>
      <c r="IS670" s="83"/>
      <c r="JA670" s="405"/>
      <c r="JG670" s="83"/>
      <c r="JO670" s="405"/>
      <c r="JU670" s="83"/>
      <c r="KC670" s="405"/>
      <c r="KI670" s="83"/>
      <c r="KQ670" s="405"/>
      <c r="KW670" s="83"/>
      <c r="LE670" s="405"/>
      <c r="LK670" s="83"/>
      <c r="LS670" s="405"/>
      <c r="LY670" s="83"/>
      <c r="MG670" s="405"/>
      <c r="MM670" s="83"/>
      <c r="MU670" s="405"/>
      <c r="NA670" s="83"/>
    </row>
    <row r="671">
      <c r="A671" s="483"/>
      <c r="B671" s="380"/>
      <c r="C671" s="380"/>
      <c r="D671" s="380"/>
      <c r="E671" s="380"/>
      <c r="F671" s="380"/>
      <c r="G671" s="380"/>
      <c r="H671" s="380"/>
      <c r="I671" s="403"/>
      <c r="J671" s="380"/>
      <c r="K671" s="380"/>
      <c r="L671" s="380"/>
      <c r="M671" s="380"/>
      <c r="N671" s="380"/>
      <c r="O671" s="404"/>
      <c r="P671" s="380"/>
      <c r="Q671" s="380"/>
      <c r="R671" s="380"/>
      <c r="S671" s="380"/>
      <c r="T671" s="380"/>
      <c r="U671" s="380"/>
      <c r="V671" s="380"/>
      <c r="W671" s="403"/>
      <c r="X671" s="380"/>
      <c r="Y671" s="380"/>
      <c r="Z671" s="380"/>
      <c r="AA671" s="380"/>
      <c r="AB671" s="380"/>
      <c r="AC671" s="404"/>
      <c r="AD671" s="380"/>
      <c r="AE671" s="380"/>
      <c r="AF671" s="380"/>
      <c r="AG671" s="380"/>
      <c r="AH671" s="380"/>
      <c r="AI671" s="380"/>
      <c r="AJ671" s="380"/>
      <c r="AK671" s="403"/>
      <c r="AL671" s="380"/>
      <c r="AM671" s="380"/>
      <c r="AN671" s="380"/>
      <c r="AO671" s="380"/>
      <c r="AP671" s="380"/>
      <c r="AQ671" s="404"/>
      <c r="AR671" s="380"/>
      <c r="AS671" s="380"/>
      <c r="AT671" s="380"/>
      <c r="AU671" s="380"/>
      <c r="AV671" s="380"/>
      <c r="AW671" s="380"/>
      <c r="AX671" s="380"/>
      <c r="AY671" s="403"/>
      <c r="AZ671" s="380"/>
      <c r="BA671" s="380"/>
      <c r="BB671" s="380"/>
      <c r="BC671" s="380"/>
      <c r="BD671" s="380"/>
      <c r="BE671" s="404"/>
      <c r="BF671" s="380"/>
      <c r="BG671" s="380"/>
      <c r="BH671" s="380"/>
      <c r="BI671" s="380"/>
      <c r="BJ671" s="380"/>
      <c r="BK671" s="380"/>
      <c r="BL671" s="380"/>
      <c r="BM671" s="403"/>
      <c r="BS671" s="83"/>
      <c r="CA671" s="405"/>
      <c r="CG671" s="83"/>
      <c r="CO671" s="405"/>
      <c r="CU671" s="83"/>
      <c r="DC671" s="405"/>
      <c r="DI671" s="83"/>
      <c r="DQ671" s="405"/>
      <c r="DW671" s="83"/>
      <c r="EE671" s="405"/>
      <c r="EK671" s="83"/>
      <c r="ES671" s="405"/>
      <c r="EY671" s="83"/>
      <c r="FG671" s="405"/>
      <c r="FM671" s="83"/>
      <c r="FU671" s="405"/>
      <c r="GA671" s="83"/>
      <c r="GI671" s="405"/>
      <c r="GO671" s="83"/>
      <c r="GW671" s="405"/>
      <c r="HC671" s="83"/>
      <c r="HK671" s="405"/>
      <c r="HQ671" s="83"/>
      <c r="HY671" s="405"/>
      <c r="IE671" s="83"/>
      <c r="IM671" s="405"/>
      <c r="IS671" s="83"/>
      <c r="JA671" s="405"/>
      <c r="JG671" s="83"/>
      <c r="JO671" s="405"/>
      <c r="JU671" s="83"/>
      <c r="KC671" s="405"/>
      <c r="KI671" s="83"/>
      <c r="KQ671" s="405"/>
      <c r="KW671" s="83"/>
      <c r="LE671" s="405"/>
      <c r="LK671" s="83"/>
      <c r="LS671" s="405"/>
      <c r="LY671" s="83"/>
      <c r="MG671" s="405"/>
      <c r="MM671" s="83"/>
      <c r="MU671" s="405"/>
      <c r="NA671" s="83"/>
    </row>
    <row r="672">
      <c r="A672" s="483"/>
      <c r="B672" s="380"/>
      <c r="C672" s="380"/>
      <c r="D672" s="380"/>
      <c r="E672" s="380"/>
      <c r="F672" s="380"/>
      <c r="G672" s="380"/>
      <c r="H672" s="380"/>
      <c r="I672" s="403"/>
      <c r="J672" s="380"/>
      <c r="K672" s="380"/>
      <c r="L672" s="380"/>
      <c r="M672" s="380"/>
      <c r="N672" s="380"/>
      <c r="O672" s="404"/>
      <c r="P672" s="380"/>
      <c r="Q672" s="380"/>
      <c r="R672" s="380"/>
      <c r="S672" s="380"/>
      <c r="T672" s="380"/>
      <c r="U672" s="380"/>
      <c r="V672" s="380"/>
      <c r="W672" s="403"/>
      <c r="X672" s="380"/>
      <c r="Y672" s="380"/>
      <c r="Z672" s="380"/>
      <c r="AA672" s="380"/>
      <c r="AB672" s="380"/>
      <c r="AC672" s="404"/>
      <c r="AD672" s="380"/>
      <c r="AE672" s="380"/>
      <c r="AF672" s="380"/>
      <c r="AG672" s="380"/>
      <c r="AH672" s="380"/>
      <c r="AI672" s="380"/>
      <c r="AJ672" s="380"/>
      <c r="AK672" s="403"/>
      <c r="AL672" s="380"/>
      <c r="AM672" s="380"/>
      <c r="AN672" s="380"/>
      <c r="AO672" s="380"/>
      <c r="AP672" s="380"/>
      <c r="AQ672" s="404"/>
      <c r="AR672" s="380"/>
      <c r="AS672" s="380"/>
      <c r="AT672" s="380"/>
      <c r="AU672" s="380"/>
      <c r="AV672" s="380"/>
      <c r="AW672" s="380"/>
      <c r="AX672" s="380"/>
      <c r="AY672" s="403"/>
      <c r="AZ672" s="380"/>
      <c r="BA672" s="380"/>
      <c r="BB672" s="380"/>
      <c r="BC672" s="380"/>
      <c r="BD672" s="380"/>
      <c r="BE672" s="404"/>
      <c r="BF672" s="380"/>
      <c r="BG672" s="380"/>
      <c r="BH672" s="380"/>
      <c r="BI672" s="380"/>
      <c r="BJ672" s="380"/>
      <c r="BK672" s="380"/>
      <c r="BL672" s="380"/>
      <c r="BM672" s="403"/>
      <c r="BS672" s="83"/>
      <c r="CA672" s="405"/>
      <c r="CG672" s="83"/>
      <c r="CO672" s="405"/>
      <c r="CU672" s="83"/>
      <c r="DC672" s="405"/>
      <c r="DI672" s="83"/>
      <c r="DQ672" s="405"/>
      <c r="DW672" s="83"/>
      <c r="EE672" s="405"/>
      <c r="EK672" s="83"/>
      <c r="ES672" s="405"/>
      <c r="EY672" s="83"/>
      <c r="FG672" s="405"/>
      <c r="FM672" s="83"/>
      <c r="FU672" s="405"/>
      <c r="GA672" s="83"/>
      <c r="GI672" s="405"/>
      <c r="GO672" s="83"/>
      <c r="GW672" s="405"/>
      <c r="HC672" s="83"/>
      <c r="HK672" s="405"/>
      <c r="HQ672" s="83"/>
      <c r="HY672" s="405"/>
      <c r="IE672" s="83"/>
      <c r="IM672" s="405"/>
      <c r="IS672" s="83"/>
      <c r="JA672" s="405"/>
      <c r="JG672" s="83"/>
      <c r="JO672" s="405"/>
      <c r="JU672" s="83"/>
      <c r="KC672" s="405"/>
      <c r="KI672" s="83"/>
      <c r="KQ672" s="405"/>
      <c r="KW672" s="83"/>
      <c r="LE672" s="405"/>
      <c r="LK672" s="83"/>
      <c r="LS672" s="405"/>
      <c r="LY672" s="83"/>
      <c r="MG672" s="405"/>
      <c r="MM672" s="83"/>
      <c r="MU672" s="405"/>
      <c r="NA672" s="83"/>
    </row>
    <row r="673">
      <c r="A673" s="483"/>
      <c r="B673" s="380"/>
      <c r="C673" s="380"/>
      <c r="D673" s="380"/>
      <c r="E673" s="380"/>
      <c r="F673" s="380"/>
      <c r="G673" s="380"/>
      <c r="H673" s="380"/>
      <c r="I673" s="403"/>
      <c r="J673" s="380"/>
      <c r="K673" s="380"/>
      <c r="L673" s="380"/>
      <c r="M673" s="380"/>
      <c r="N673" s="380"/>
      <c r="O673" s="404"/>
      <c r="P673" s="380"/>
      <c r="Q673" s="380"/>
      <c r="R673" s="380"/>
      <c r="S673" s="380"/>
      <c r="T673" s="380"/>
      <c r="U673" s="380"/>
      <c r="V673" s="380"/>
      <c r="W673" s="403"/>
      <c r="X673" s="380"/>
      <c r="Y673" s="380"/>
      <c r="Z673" s="380"/>
      <c r="AA673" s="380"/>
      <c r="AB673" s="380"/>
      <c r="AC673" s="404"/>
      <c r="AD673" s="380"/>
      <c r="AE673" s="380"/>
      <c r="AF673" s="380"/>
      <c r="AG673" s="380"/>
      <c r="AH673" s="380"/>
      <c r="AI673" s="380"/>
      <c r="AJ673" s="380"/>
      <c r="AK673" s="403"/>
      <c r="AL673" s="380"/>
      <c r="AM673" s="380"/>
      <c r="AN673" s="380"/>
      <c r="AO673" s="380"/>
      <c r="AP673" s="380"/>
      <c r="AQ673" s="404"/>
      <c r="AR673" s="380"/>
      <c r="AS673" s="380"/>
      <c r="AT673" s="380"/>
      <c r="AU673" s="380"/>
      <c r="AV673" s="380"/>
      <c r="AW673" s="380"/>
      <c r="AX673" s="380"/>
      <c r="AY673" s="403"/>
      <c r="AZ673" s="380"/>
      <c r="BA673" s="380"/>
      <c r="BB673" s="380"/>
      <c r="BC673" s="380"/>
      <c r="BD673" s="380"/>
      <c r="BE673" s="404"/>
      <c r="BF673" s="380"/>
      <c r="BG673" s="380"/>
      <c r="BH673" s="380"/>
      <c r="BI673" s="380"/>
      <c r="BJ673" s="380"/>
      <c r="BK673" s="380"/>
      <c r="BL673" s="380"/>
      <c r="BM673" s="403"/>
      <c r="BS673" s="83"/>
      <c r="CA673" s="405"/>
      <c r="CG673" s="83"/>
      <c r="CO673" s="405"/>
      <c r="CU673" s="83"/>
      <c r="DC673" s="405"/>
      <c r="DI673" s="83"/>
      <c r="DQ673" s="405"/>
      <c r="DW673" s="83"/>
      <c r="EE673" s="405"/>
      <c r="EK673" s="83"/>
      <c r="ES673" s="405"/>
      <c r="EY673" s="83"/>
      <c r="FG673" s="405"/>
      <c r="FM673" s="83"/>
      <c r="FU673" s="405"/>
      <c r="GA673" s="83"/>
      <c r="GI673" s="405"/>
      <c r="GO673" s="83"/>
      <c r="GW673" s="405"/>
      <c r="HC673" s="83"/>
      <c r="HK673" s="405"/>
      <c r="HQ673" s="83"/>
      <c r="HY673" s="405"/>
      <c r="IE673" s="83"/>
      <c r="IM673" s="405"/>
      <c r="IS673" s="83"/>
      <c r="JA673" s="405"/>
      <c r="JG673" s="83"/>
      <c r="JO673" s="405"/>
      <c r="JU673" s="83"/>
      <c r="KC673" s="405"/>
      <c r="KI673" s="83"/>
      <c r="KQ673" s="405"/>
      <c r="KW673" s="83"/>
      <c r="LE673" s="405"/>
      <c r="LK673" s="83"/>
      <c r="LS673" s="405"/>
      <c r="LY673" s="83"/>
      <c r="MG673" s="405"/>
      <c r="MM673" s="83"/>
      <c r="MU673" s="405"/>
      <c r="NA673" s="83"/>
    </row>
    <row r="674">
      <c r="A674" s="483"/>
      <c r="B674" s="380"/>
      <c r="C674" s="380"/>
      <c r="D674" s="380"/>
      <c r="E674" s="380"/>
      <c r="F674" s="380"/>
      <c r="G674" s="380"/>
      <c r="H674" s="380"/>
      <c r="I674" s="403"/>
      <c r="J674" s="380"/>
      <c r="K674" s="380"/>
      <c r="L674" s="380"/>
      <c r="M674" s="380"/>
      <c r="N674" s="380"/>
      <c r="O674" s="404"/>
      <c r="P674" s="380"/>
      <c r="Q674" s="380"/>
      <c r="R674" s="380"/>
      <c r="S674" s="380"/>
      <c r="T674" s="380"/>
      <c r="U674" s="380"/>
      <c r="V674" s="380"/>
      <c r="W674" s="403"/>
      <c r="X674" s="380"/>
      <c r="Y674" s="380"/>
      <c r="Z674" s="380"/>
      <c r="AA674" s="380"/>
      <c r="AB674" s="380"/>
      <c r="AC674" s="404"/>
      <c r="AD674" s="380"/>
      <c r="AE674" s="380"/>
      <c r="AF674" s="380"/>
      <c r="AG674" s="380"/>
      <c r="AH674" s="380"/>
      <c r="AI674" s="380"/>
      <c r="AJ674" s="380"/>
      <c r="AK674" s="403"/>
      <c r="AL674" s="380"/>
      <c r="AM674" s="380"/>
      <c r="AN674" s="380"/>
      <c r="AO674" s="380"/>
      <c r="AP674" s="380"/>
      <c r="AQ674" s="404"/>
      <c r="AR674" s="380"/>
      <c r="AS674" s="380"/>
      <c r="AT674" s="380"/>
      <c r="AU674" s="380"/>
      <c r="AV674" s="380"/>
      <c r="AW674" s="380"/>
      <c r="AX674" s="380"/>
      <c r="AY674" s="403"/>
      <c r="AZ674" s="380"/>
      <c r="BA674" s="380"/>
      <c r="BB674" s="380"/>
      <c r="BC674" s="380"/>
      <c r="BD674" s="380"/>
      <c r="BE674" s="404"/>
      <c r="BF674" s="380"/>
      <c r="BG674" s="380"/>
      <c r="BH674" s="380"/>
      <c r="BI674" s="380"/>
      <c r="BJ674" s="380"/>
      <c r="BK674" s="380"/>
      <c r="BL674" s="380"/>
      <c r="BM674" s="403"/>
      <c r="BS674" s="83"/>
      <c r="CA674" s="405"/>
      <c r="CG674" s="83"/>
      <c r="CO674" s="405"/>
      <c r="CU674" s="83"/>
      <c r="DC674" s="405"/>
      <c r="DI674" s="83"/>
      <c r="DQ674" s="405"/>
      <c r="DW674" s="83"/>
      <c r="EE674" s="405"/>
      <c r="EK674" s="83"/>
      <c r="ES674" s="405"/>
      <c r="EY674" s="83"/>
      <c r="FG674" s="405"/>
      <c r="FM674" s="83"/>
      <c r="FU674" s="405"/>
      <c r="GA674" s="83"/>
      <c r="GI674" s="405"/>
      <c r="GO674" s="83"/>
      <c r="GW674" s="405"/>
      <c r="HC674" s="83"/>
      <c r="HK674" s="405"/>
      <c r="HQ674" s="83"/>
      <c r="HY674" s="405"/>
      <c r="IE674" s="83"/>
      <c r="IM674" s="405"/>
      <c r="IS674" s="83"/>
      <c r="JA674" s="405"/>
      <c r="JG674" s="83"/>
      <c r="JO674" s="405"/>
      <c r="JU674" s="83"/>
      <c r="KC674" s="405"/>
      <c r="KI674" s="83"/>
      <c r="KQ674" s="405"/>
      <c r="KW674" s="83"/>
      <c r="LE674" s="405"/>
      <c r="LK674" s="83"/>
      <c r="LS674" s="405"/>
      <c r="LY674" s="83"/>
      <c r="MG674" s="405"/>
      <c r="MM674" s="83"/>
      <c r="MU674" s="405"/>
      <c r="NA674" s="83"/>
    </row>
    <row r="675">
      <c r="A675" s="483"/>
      <c r="B675" s="380"/>
      <c r="C675" s="380"/>
      <c r="D675" s="380"/>
      <c r="E675" s="380"/>
      <c r="F675" s="380"/>
      <c r="G675" s="380"/>
      <c r="H675" s="380"/>
      <c r="I675" s="403"/>
      <c r="J675" s="380"/>
      <c r="K675" s="380"/>
      <c r="L675" s="380"/>
      <c r="M675" s="380"/>
      <c r="N675" s="380"/>
      <c r="O675" s="404"/>
      <c r="P675" s="380"/>
      <c r="Q675" s="380"/>
      <c r="R675" s="380"/>
      <c r="S675" s="380"/>
      <c r="T675" s="380"/>
      <c r="U675" s="380"/>
      <c r="V675" s="380"/>
      <c r="W675" s="403"/>
      <c r="X675" s="380"/>
      <c r="Y675" s="380"/>
      <c r="Z675" s="380"/>
      <c r="AA675" s="380"/>
      <c r="AB675" s="380"/>
      <c r="AC675" s="404"/>
      <c r="AD675" s="380"/>
      <c r="AE675" s="380"/>
      <c r="AF675" s="380"/>
      <c r="AG675" s="380"/>
      <c r="AH675" s="380"/>
      <c r="AI675" s="380"/>
      <c r="AJ675" s="380"/>
      <c r="AK675" s="403"/>
      <c r="AL675" s="380"/>
      <c r="AM675" s="380"/>
      <c r="AN675" s="380"/>
      <c r="AO675" s="380"/>
      <c r="AP675" s="380"/>
      <c r="AQ675" s="404"/>
      <c r="AR675" s="380"/>
      <c r="AS675" s="380"/>
      <c r="AT675" s="380"/>
      <c r="AU675" s="380"/>
      <c r="AV675" s="380"/>
      <c r="AW675" s="380"/>
      <c r="AX675" s="380"/>
      <c r="AY675" s="403"/>
      <c r="AZ675" s="380"/>
      <c r="BA675" s="380"/>
      <c r="BB675" s="380"/>
      <c r="BC675" s="380"/>
      <c r="BD675" s="380"/>
      <c r="BE675" s="404"/>
      <c r="BF675" s="380"/>
      <c r="BG675" s="380"/>
      <c r="BH675" s="380"/>
      <c r="BI675" s="380"/>
      <c r="BJ675" s="380"/>
      <c r="BK675" s="380"/>
      <c r="BL675" s="380"/>
      <c r="BM675" s="403"/>
      <c r="BS675" s="83"/>
      <c r="CA675" s="405"/>
      <c r="CG675" s="83"/>
      <c r="CO675" s="405"/>
      <c r="CU675" s="83"/>
      <c r="DC675" s="405"/>
      <c r="DI675" s="83"/>
      <c r="DQ675" s="405"/>
      <c r="DW675" s="83"/>
      <c r="EE675" s="405"/>
      <c r="EK675" s="83"/>
      <c r="ES675" s="405"/>
      <c r="EY675" s="83"/>
      <c r="FG675" s="405"/>
      <c r="FM675" s="83"/>
      <c r="FU675" s="405"/>
      <c r="GA675" s="83"/>
      <c r="GI675" s="405"/>
      <c r="GO675" s="83"/>
      <c r="GW675" s="405"/>
      <c r="HC675" s="83"/>
      <c r="HK675" s="405"/>
      <c r="HQ675" s="83"/>
      <c r="HY675" s="405"/>
      <c r="IE675" s="83"/>
      <c r="IM675" s="405"/>
      <c r="IS675" s="83"/>
      <c r="JA675" s="405"/>
      <c r="JG675" s="83"/>
      <c r="JO675" s="405"/>
      <c r="JU675" s="83"/>
      <c r="KC675" s="405"/>
      <c r="KI675" s="83"/>
      <c r="KQ675" s="405"/>
      <c r="KW675" s="83"/>
      <c r="LE675" s="405"/>
      <c r="LK675" s="83"/>
      <c r="LS675" s="405"/>
      <c r="LY675" s="83"/>
      <c r="MG675" s="405"/>
      <c r="MM675" s="83"/>
      <c r="MU675" s="405"/>
      <c r="NA675" s="83"/>
    </row>
    <row r="676">
      <c r="A676" s="483"/>
      <c r="B676" s="380"/>
      <c r="C676" s="380"/>
      <c r="D676" s="380"/>
      <c r="E676" s="380"/>
      <c r="F676" s="380"/>
      <c r="G676" s="380"/>
      <c r="H676" s="380"/>
      <c r="I676" s="403"/>
      <c r="J676" s="380"/>
      <c r="K676" s="380"/>
      <c r="L676" s="380"/>
      <c r="M676" s="380"/>
      <c r="N676" s="380"/>
      <c r="O676" s="404"/>
      <c r="P676" s="380"/>
      <c r="Q676" s="380"/>
      <c r="R676" s="380"/>
      <c r="S676" s="380"/>
      <c r="T676" s="380"/>
      <c r="U676" s="380"/>
      <c r="V676" s="380"/>
      <c r="W676" s="403"/>
      <c r="X676" s="380"/>
      <c r="Y676" s="380"/>
      <c r="Z676" s="380"/>
      <c r="AA676" s="380"/>
      <c r="AB676" s="380"/>
      <c r="AC676" s="404"/>
      <c r="AD676" s="380"/>
      <c r="AE676" s="380"/>
      <c r="AF676" s="380"/>
      <c r="AG676" s="380"/>
      <c r="AH676" s="380"/>
      <c r="AI676" s="380"/>
      <c r="AJ676" s="380"/>
      <c r="AK676" s="403"/>
      <c r="AL676" s="380"/>
      <c r="AM676" s="380"/>
      <c r="AN676" s="380"/>
      <c r="AO676" s="380"/>
      <c r="AP676" s="380"/>
      <c r="AQ676" s="404"/>
      <c r="AR676" s="380"/>
      <c r="AS676" s="380"/>
      <c r="AT676" s="380"/>
      <c r="AU676" s="380"/>
      <c r="AV676" s="380"/>
      <c r="AW676" s="380"/>
      <c r="AX676" s="380"/>
      <c r="AY676" s="403"/>
      <c r="AZ676" s="380"/>
      <c r="BA676" s="380"/>
      <c r="BB676" s="380"/>
      <c r="BC676" s="380"/>
      <c r="BD676" s="380"/>
      <c r="BE676" s="404"/>
      <c r="BF676" s="380"/>
      <c r="BG676" s="380"/>
      <c r="BH676" s="380"/>
      <c r="BI676" s="380"/>
      <c r="BJ676" s="380"/>
      <c r="BK676" s="380"/>
      <c r="BL676" s="380"/>
      <c r="BM676" s="403"/>
      <c r="BS676" s="83"/>
      <c r="CA676" s="405"/>
      <c r="CG676" s="83"/>
      <c r="CO676" s="405"/>
      <c r="CU676" s="83"/>
      <c r="DC676" s="405"/>
      <c r="DI676" s="83"/>
      <c r="DQ676" s="405"/>
      <c r="DW676" s="83"/>
      <c r="EE676" s="405"/>
      <c r="EK676" s="83"/>
      <c r="ES676" s="405"/>
      <c r="EY676" s="83"/>
      <c r="FG676" s="405"/>
      <c r="FM676" s="83"/>
      <c r="FU676" s="405"/>
      <c r="GA676" s="83"/>
      <c r="GI676" s="405"/>
      <c r="GO676" s="83"/>
      <c r="GW676" s="405"/>
      <c r="HC676" s="83"/>
      <c r="HK676" s="405"/>
      <c r="HQ676" s="83"/>
      <c r="HY676" s="405"/>
      <c r="IE676" s="83"/>
      <c r="IM676" s="405"/>
      <c r="IS676" s="83"/>
      <c r="JA676" s="405"/>
      <c r="JG676" s="83"/>
      <c r="JO676" s="405"/>
      <c r="JU676" s="83"/>
      <c r="KC676" s="405"/>
      <c r="KI676" s="83"/>
      <c r="KQ676" s="405"/>
      <c r="KW676" s="83"/>
      <c r="LE676" s="405"/>
      <c r="LK676" s="83"/>
      <c r="LS676" s="405"/>
      <c r="LY676" s="83"/>
      <c r="MG676" s="405"/>
      <c r="MM676" s="83"/>
      <c r="MU676" s="405"/>
      <c r="NA676" s="83"/>
    </row>
    <row r="677">
      <c r="A677" s="483"/>
      <c r="B677" s="380"/>
      <c r="C677" s="380"/>
      <c r="D677" s="380"/>
      <c r="E677" s="380"/>
      <c r="F677" s="380"/>
      <c r="G677" s="380"/>
      <c r="H677" s="380"/>
      <c r="I677" s="403"/>
      <c r="J677" s="380"/>
      <c r="K677" s="380"/>
      <c r="L677" s="380"/>
      <c r="M677" s="380"/>
      <c r="N677" s="380"/>
      <c r="O677" s="404"/>
      <c r="P677" s="380"/>
      <c r="Q677" s="380"/>
      <c r="R677" s="380"/>
      <c r="S677" s="380"/>
      <c r="T677" s="380"/>
      <c r="U677" s="380"/>
      <c r="V677" s="380"/>
      <c r="W677" s="403"/>
      <c r="X677" s="380"/>
      <c r="Y677" s="380"/>
      <c r="Z677" s="380"/>
      <c r="AA677" s="380"/>
      <c r="AB677" s="380"/>
      <c r="AC677" s="404"/>
      <c r="AD677" s="380"/>
      <c r="AE677" s="380"/>
      <c r="AF677" s="380"/>
      <c r="AG677" s="380"/>
      <c r="AH677" s="380"/>
      <c r="AI677" s="380"/>
      <c r="AJ677" s="380"/>
      <c r="AK677" s="403"/>
      <c r="AL677" s="380"/>
      <c r="AM677" s="380"/>
      <c r="AN677" s="380"/>
      <c r="AO677" s="380"/>
      <c r="AP677" s="380"/>
      <c r="AQ677" s="404"/>
      <c r="AR677" s="380"/>
      <c r="AS677" s="380"/>
      <c r="AT677" s="380"/>
      <c r="AU677" s="380"/>
      <c r="AV677" s="380"/>
      <c r="AW677" s="380"/>
      <c r="AX677" s="380"/>
      <c r="AY677" s="403"/>
      <c r="AZ677" s="380"/>
      <c r="BA677" s="380"/>
      <c r="BB677" s="380"/>
      <c r="BC677" s="380"/>
      <c r="BD677" s="380"/>
      <c r="BE677" s="404"/>
      <c r="BF677" s="380"/>
      <c r="BG677" s="380"/>
      <c r="BH677" s="380"/>
      <c r="BI677" s="380"/>
      <c r="BJ677" s="380"/>
      <c r="BK677" s="380"/>
      <c r="BL677" s="380"/>
      <c r="BM677" s="403"/>
      <c r="BS677" s="83"/>
      <c r="CA677" s="405"/>
      <c r="CG677" s="83"/>
      <c r="CO677" s="405"/>
      <c r="CU677" s="83"/>
      <c r="DC677" s="405"/>
      <c r="DI677" s="83"/>
      <c r="DQ677" s="405"/>
      <c r="DW677" s="83"/>
      <c r="EE677" s="405"/>
      <c r="EK677" s="83"/>
      <c r="ES677" s="405"/>
      <c r="EY677" s="83"/>
      <c r="FG677" s="405"/>
      <c r="FM677" s="83"/>
      <c r="FU677" s="405"/>
      <c r="GA677" s="83"/>
      <c r="GI677" s="405"/>
      <c r="GO677" s="83"/>
      <c r="GW677" s="405"/>
      <c r="HC677" s="83"/>
      <c r="HK677" s="405"/>
      <c r="HQ677" s="83"/>
      <c r="HY677" s="405"/>
      <c r="IE677" s="83"/>
      <c r="IM677" s="405"/>
      <c r="IS677" s="83"/>
      <c r="JA677" s="405"/>
      <c r="JG677" s="83"/>
      <c r="JO677" s="405"/>
      <c r="JU677" s="83"/>
      <c r="KC677" s="405"/>
      <c r="KI677" s="83"/>
      <c r="KQ677" s="405"/>
      <c r="KW677" s="83"/>
      <c r="LE677" s="405"/>
      <c r="LK677" s="83"/>
      <c r="LS677" s="405"/>
      <c r="LY677" s="83"/>
      <c r="MG677" s="405"/>
      <c r="MM677" s="83"/>
      <c r="MU677" s="405"/>
      <c r="NA677" s="83"/>
    </row>
    <row r="678">
      <c r="A678" s="483"/>
      <c r="B678" s="380"/>
      <c r="C678" s="380"/>
      <c r="D678" s="380"/>
      <c r="E678" s="380"/>
      <c r="F678" s="380"/>
      <c r="G678" s="380"/>
      <c r="H678" s="380"/>
      <c r="I678" s="403"/>
      <c r="J678" s="380"/>
      <c r="K678" s="380"/>
      <c r="L678" s="380"/>
      <c r="M678" s="380"/>
      <c r="N678" s="380"/>
      <c r="O678" s="404"/>
      <c r="P678" s="380"/>
      <c r="Q678" s="380"/>
      <c r="R678" s="380"/>
      <c r="S678" s="380"/>
      <c r="T678" s="380"/>
      <c r="U678" s="380"/>
      <c r="V678" s="380"/>
      <c r="W678" s="403"/>
      <c r="X678" s="380"/>
      <c r="Y678" s="380"/>
      <c r="Z678" s="380"/>
      <c r="AA678" s="380"/>
      <c r="AB678" s="380"/>
      <c r="AC678" s="404"/>
      <c r="AD678" s="380"/>
      <c r="AE678" s="380"/>
      <c r="AF678" s="380"/>
      <c r="AG678" s="380"/>
      <c r="AH678" s="380"/>
      <c r="AI678" s="380"/>
      <c r="AJ678" s="380"/>
      <c r="AK678" s="403"/>
      <c r="AL678" s="380"/>
      <c r="AM678" s="380"/>
      <c r="AN678" s="380"/>
      <c r="AO678" s="380"/>
      <c r="AP678" s="380"/>
      <c r="AQ678" s="404"/>
      <c r="AR678" s="380"/>
      <c r="AS678" s="380"/>
      <c r="AT678" s="380"/>
      <c r="AU678" s="380"/>
      <c r="AV678" s="380"/>
      <c r="AW678" s="380"/>
      <c r="AX678" s="380"/>
      <c r="AY678" s="403"/>
      <c r="AZ678" s="380"/>
      <c r="BA678" s="380"/>
      <c r="BB678" s="380"/>
      <c r="BC678" s="380"/>
      <c r="BD678" s="380"/>
      <c r="BE678" s="404"/>
      <c r="BF678" s="380"/>
      <c r="BG678" s="380"/>
      <c r="BH678" s="380"/>
      <c r="BI678" s="380"/>
      <c r="BJ678" s="380"/>
      <c r="BK678" s="380"/>
      <c r="BL678" s="380"/>
      <c r="BM678" s="403"/>
      <c r="BS678" s="83"/>
      <c r="CA678" s="405"/>
      <c r="CG678" s="83"/>
      <c r="CO678" s="405"/>
      <c r="CU678" s="83"/>
      <c r="DC678" s="405"/>
      <c r="DI678" s="83"/>
      <c r="DQ678" s="405"/>
      <c r="DW678" s="83"/>
      <c r="EE678" s="405"/>
      <c r="EK678" s="83"/>
      <c r="ES678" s="405"/>
      <c r="EY678" s="83"/>
      <c r="FG678" s="405"/>
      <c r="FM678" s="83"/>
      <c r="FU678" s="405"/>
      <c r="GA678" s="83"/>
      <c r="GI678" s="405"/>
      <c r="GO678" s="83"/>
      <c r="GW678" s="405"/>
      <c r="HC678" s="83"/>
      <c r="HK678" s="405"/>
      <c r="HQ678" s="83"/>
      <c r="HY678" s="405"/>
      <c r="IE678" s="83"/>
      <c r="IM678" s="405"/>
      <c r="IS678" s="83"/>
      <c r="JA678" s="405"/>
      <c r="JG678" s="83"/>
      <c r="JO678" s="405"/>
      <c r="JU678" s="83"/>
      <c r="KC678" s="405"/>
      <c r="KI678" s="83"/>
      <c r="KQ678" s="405"/>
      <c r="KW678" s="83"/>
      <c r="LE678" s="405"/>
      <c r="LK678" s="83"/>
      <c r="LS678" s="405"/>
      <c r="LY678" s="83"/>
      <c r="MG678" s="405"/>
      <c r="MM678" s="83"/>
      <c r="MU678" s="405"/>
      <c r="NA678" s="83"/>
    </row>
    <row r="679">
      <c r="A679" s="483"/>
      <c r="B679" s="380"/>
      <c r="C679" s="380"/>
      <c r="D679" s="380"/>
      <c r="E679" s="380"/>
      <c r="F679" s="380"/>
      <c r="G679" s="380"/>
      <c r="H679" s="380"/>
      <c r="I679" s="403"/>
      <c r="J679" s="380"/>
      <c r="K679" s="380"/>
      <c r="L679" s="380"/>
      <c r="M679" s="380"/>
      <c r="N679" s="380"/>
      <c r="O679" s="404"/>
      <c r="P679" s="380"/>
      <c r="Q679" s="380"/>
      <c r="R679" s="380"/>
      <c r="S679" s="380"/>
      <c r="T679" s="380"/>
      <c r="U679" s="380"/>
      <c r="V679" s="380"/>
      <c r="W679" s="403"/>
      <c r="X679" s="380"/>
      <c r="Y679" s="380"/>
      <c r="Z679" s="380"/>
      <c r="AA679" s="380"/>
      <c r="AB679" s="380"/>
      <c r="AC679" s="404"/>
      <c r="AD679" s="380"/>
      <c r="AE679" s="380"/>
      <c r="AF679" s="380"/>
      <c r="AG679" s="380"/>
      <c r="AH679" s="380"/>
      <c r="AI679" s="380"/>
      <c r="AJ679" s="380"/>
      <c r="AK679" s="403"/>
      <c r="AL679" s="380"/>
      <c r="AM679" s="380"/>
      <c r="AN679" s="380"/>
      <c r="AO679" s="380"/>
      <c r="AP679" s="380"/>
      <c r="AQ679" s="404"/>
      <c r="AR679" s="380"/>
      <c r="AS679" s="380"/>
      <c r="AT679" s="380"/>
      <c r="AU679" s="380"/>
      <c r="AV679" s="380"/>
      <c r="AW679" s="380"/>
      <c r="AX679" s="380"/>
      <c r="AY679" s="403"/>
      <c r="AZ679" s="380"/>
      <c r="BA679" s="380"/>
      <c r="BB679" s="380"/>
      <c r="BC679" s="380"/>
      <c r="BD679" s="380"/>
      <c r="BE679" s="404"/>
      <c r="BF679" s="380"/>
      <c r="BG679" s="380"/>
      <c r="BH679" s="380"/>
      <c r="BI679" s="380"/>
      <c r="BJ679" s="380"/>
      <c r="BK679" s="380"/>
      <c r="BL679" s="380"/>
      <c r="BM679" s="403"/>
      <c r="BS679" s="83"/>
      <c r="CA679" s="405"/>
      <c r="CG679" s="83"/>
      <c r="CO679" s="405"/>
      <c r="CU679" s="83"/>
      <c r="DC679" s="405"/>
      <c r="DI679" s="83"/>
      <c r="DQ679" s="405"/>
      <c r="DW679" s="83"/>
      <c r="EE679" s="405"/>
      <c r="EK679" s="83"/>
      <c r="ES679" s="405"/>
      <c r="EY679" s="83"/>
      <c r="FG679" s="405"/>
      <c r="FM679" s="83"/>
      <c r="FU679" s="405"/>
      <c r="GA679" s="83"/>
      <c r="GI679" s="405"/>
      <c r="GO679" s="83"/>
      <c r="GW679" s="405"/>
      <c r="HC679" s="83"/>
      <c r="HK679" s="405"/>
      <c r="HQ679" s="83"/>
      <c r="HY679" s="405"/>
      <c r="IE679" s="83"/>
      <c r="IM679" s="405"/>
      <c r="IS679" s="83"/>
      <c r="JA679" s="405"/>
      <c r="JG679" s="83"/>
      <c r="JO679" s="405"/>
      <c r="JU679" s="83"/>
      <c r="KC679" s="405"/>
      <c r="KI679" s="83"/>
      <c r="KQ679" s="405"/>
      <c r="KW679" s="83"/>
      <c r="LE679" s="405"/>
      <c r="LK679" s="83"/>
      <c r="LS679" s="405"/>
      <c r="LY679" s="83"/>
      <c r="MG679" s="405"/>
      <c r="MM679" s="83"/>
      <c r="MU679" s="405"/>
      <c r="NA679" s="83"/>
    </row>
    <row r="680">
      <c r="A680" s="483"/>
      <c r="B680" s="380"/>
      <c r="C680" s="380"/>
      <c r="D680" s="380"/>
      <c r="E680" s="380"/>
      <c r="F680" s="380"/>
      <c r="G680" s="380"/>
      <c r="H680" s="380"/>
      <c r="I680" s="403"/>
      <c r="J680" s="380"/>
      <c r="K680" s="380"/>
      <c r="L680" s="380"/>
      <c r="M680" s="380"/>
      <c r="N680" s="380"/>
      <c r="O680" s="404"/>
      <c r="P680" s="380"/>
      <c r="Q680" s="380"/>
      <c r="R680" s="380"/>
      <c r="S680" s="380"/>
      <c r="T680" s="380"/>
      <c r="U680" s="380"/>
      <c r="V680" s="380"/>
      <c r="W680" s="403"/>
      <c r="X680" s="380"/>
      <c r="Y680" s="380"/>
      <c r="Z680" s="380"/>
      <c r="AA680" s="380"/>
      <c r="AB680" s="380"/>
      <c r="AC680" s="404"/>
      <c r="AD680" s="380"/>
      <c r="AE680" s="380"/>
      <c r="AF680" s="380"/>
      <c r="AG680" s="380"/>
      <c r="AH680" s="380"/>
      <c r="AI680" s="380"/>
      <c r="AJ680" s="380"/>
      <c r="AK680" s="403"/>
      <c r="AL680" s="380"/>
      <c r="AM680" s="380"/>
      <c r="AN680" s="380"/>
      <c r="AO680" s="380"/>
      <c r="AP680" s="380"/>
      <c r="AQ680" s="404"/>
      <c r="AR680" s="380"/>
      <c r="AS680" s="380"/>
      <c r="AT680" s="380"/>
      <c r="AU680" s="380"/>
      <c r="AV680" s="380"/>
      <c r="AW680" s="380"/>
      <c r="AX680" s="380"/>
      <c r="AY680" s="403"/>
      <c r="AZ680" s="380"/>
      <c r="BA680" s="380"/>
      <c r="BB680" s="380"/>
      <c r="BC680" s="380"/>
      <c r="BD680" s="380"/>
      <c r="BE680" s="404"/>
      <c r="BF680" s="380"/>
      <c r="BG680" s="380"/>
      <c r="BH680" s="380"/>
      <c r="BI680" s="380"/>
      <c r="BJ680" s="380"/>
      <c r="BK680" s="380"/>
      <c r="BL680" s="380"/>
      <c r="BM680" s="403"/>
      <c r="BS680" s="83"/>
      <c r="CA680" s="405"/>
      <c r="CG680" s="83"/>
      <c r="CO680" s="405"/>
      <c r="CU680" s="83"/>
      <c r="DC680" s="405"/>
      <c r="DI680" s="83"/>
      <c r="DQ680" s="405"/>
      <c r="DW680" s="83"/>
      <c r="EE680" s="405"/>
      <c r="EK680" s="83"/>
      <c r="ES680" s="405"/>
      <c r="EY680" s="83"/>
      <c r="FG680" s="405"/>
      <c r="FM680" s="83"/>
      <c r="FU680" s="405"/>
      <c r="GA680" s="83"/>
      <c r="GI680" s="405"/>
      <c r="GO680" s="83"/>
      <c r="GW680" s="405"/>
      <c r="HC680" s="83"/>
      <c r="HK680" s="405"/>
      <c r="HQ680" s="83"/>
      <c r="HY680" s="405"/>
      <c r="IE680" s="83"/>
      <c r="IM680" s="405"/>
      <c r="IS680" s="83"/>
      <c r="JA680" s="405"/>
      <c r="JG680" s="83"/>
      <c r="JO680" s="405"/>
      <c r="JU680" s="83"/>
      <c r="KC680" s="405"/>
      <c r="KI680" s="83"/>
      <c r="KQ680" s="405"/>
      <c r="KW680" s="83"/>
      <c r="LE680" s="405"/>
      <c r="LK680" s="83"/>
      <c r="LS680" s="405"/>
      <c r="LY680" s="83"/>
      <c r="MG680" s="405"/>
      <c r="MM680" s="83"/>
      <c r="MU680" s="405"/>
      <c r="NA680" s="83"/>
    </row>
    <row r="681">
      <c r="A681" s="483"/>
      <c r="B681" s="380"/>
      <c r="C681" s="380"/>
      <c r="D681" s="380"/>
      <c r="E681" s="380"/>
      <c r="F681" s="380"/>
      <c r="G681" s="380"/>
      <c r="H681" s="380"/>
      <c r="I681" s="403"/>
      <c r="J681" s="380"/>
      <c r="K681" s="380"/>
      <c r="L681" s="380"/>
      <c r="M681" s="380"/>
      <c r="N681" s="380"/>
      <c r="O681" s="404"/>
      <c r="P681" s="380"/>
      <c r="Q681" s="380"/>
      <c r="R681" s="380"/>
      <c r="S681" s="380"/>
      <c r="T681" s="380"/>
      <c r="U681" s="380"/>
      <c r="V681" s="380"/>
      <c r="W681" s="403"/>
      <c r="X681" s="380"/>
      <c r="Y681" s="380"/>
      <c r="Z681" s="380"/>
      <c r="AA681" s="380"/>
      <c r="AB681" s="380"/>
      <c r="AC681" s="404"/>
      <c r="AD681" s="380"/>
      <c r="AE681" s="380"/>
      <c r="AF681" s="380"/>
      <c r="AG681" s="380"/>
      <c r="AH681" s="380"/>
      <c r="AI681" s="380"/>
      <c r="AJ681" s="380"/>
      <c r="AK681" s="403"/>
      <c r="AL681" s="380"/>
      <c r="AM681" s="380"/>
      <c r="AN681" s="380"/>
      <c r="AO681" s="380"/>
      <c r="AP681" s="380"/>
      <c r="AQ681" s="404"/>
      <c r="AR681" s="380"/>
      <c r="AS681" s="380"/>
      <c r="AT681" s="380"/>
      <c r="AU681" s="380"/>
      <c r="AV681" s="380"/>
      <c r="AW681" s="380"/>
      <c r="AX681" s="380"/>
      <c r="AY681" s="403"/>
      <c r="AZ681" s="380"/>
      <c r="BA681" s="380"/>
      <c r="BB681" s="380"/>
      <c r="BC681" s="380"/>
      <c r="BD681" s="380"/>
      <c r="BE681" s="404"/>
      <c r="BF681" s="380"/>
      <c r="BG681" s="380"/>
      <c r="BH681" s="380"/>
      <c r="BI681" s="380"/>
      <c r="BJ681" s="380"/>
      <c r="BK681" s="380"/>
      <c r="BL681" s="380"/>
      <c r="BM681" s="403"/>
      <c r="BS681" s="83"/>
      <c r="CA681" s="405"/>
      <c r="CG681" s="83"/>
      <c r="CO681" s="405"/>
      <c r="CU681" s="83"/>
      <c r="DC681" s="405"/>
      <c r="DI681" s="83"/>
      <c r="DQ681" s="405"/>
      <c r="DW681" s="83"/>
      <c r="EE681" s="405"/>
      <c r="EK681" s="83"/>
      <c r="ES681" s="405"/>
      <c r="EY681" s="83"/>
      <c r="FG681" s="405"/>
      <c r="FM681" s="83"/>
      <c r="FU681" s="405"/>
      <c r="GA681" s="83"/>
      <c r="GI681" s="405"/>
      <c r="GO681" s="83"/>
      <c r="GW681" s="405"/>
      <c r="HC681" s="83"/>
      <c r="HK681" s="405"/>
      <c r="HQ681" s="83"/>
      <c r="HY681" s="405"/>
      <c r="IE681" s="83"/>
      <c r="IM681" s="405"/>
      <c r="IS681" s="83"/>
      <c r="JA681" s="405"/>
      <c r="JG681" s="83"/>
      <c r="JO681" s="405"/>
      <c r="JU681" s="83"/>
      <c r="KC681" s="405"/>
      <c r="KI681" s="83"/>
      <c r="KQ681" s="405"/>
      <c r="KW681" s="83"/>
      <c r="LE681" s="405"/>
      <c r="LK681" s="83"/>
      <c r="LS681" s="405"/>
      <c r="LY681" s="83"/>
      <c r="MG681" s="405"/>
      <c r="MM681" s="83"/>
      <c r="MU681" s="405"/>
      <c r="NA681" s="83"/>
    </row>
    <row r="682">
      <c r="A682" s="483"/>
      <c r="B682" s="380"/>
      <c r="C682" s="380"/>
      <c r="D682" s="380"/>
      <c r="E682" s="380"/>
      <c r="F682" s="380"/>
      <c r="G682" s="380"/>
      <c r="H682" s="380"/>
      <c r="I682" s="403"/>
      <c r="J682" s="380"/>
      <c r="K682" s="380"/>
      <c r="L682" s="380"/>
      <c r="M682" s="380"/>
      <c r="N682" s="380"/>
      <c r="O682" s="404"/>
      <c r="P682" s="380"/>
      <c r="Q682" s="380"/>
      <c r="R682" s="380"/>
      <c r="S682" s="380"/>
      <c r="T682" s="380"/>
      <c r="U682" s="380"/>
      <c r="V682" s="380"/>
      <c r="W682" s="403"/>
      <c r="X682" s="380"/>
      <c r="Y682" s="380"/>
      <c r="Z682" s="380"/>
      <c r="AA682" s="380"/>
      <c r="AB682" s="380"/>
      <c r="AC682" s="404"/>
      <c r="AD682" s="380"/>
      <c r="AE682" s="380"/>
      <c r="AF682" s="380"/>
      <c r="AG682" s="380"/>
      <c r="AH682" s="380"/>
      <c r="AI682" s="380"/>
      <c r="AJ682" s="380"/>
      <c r="AK682" s="403"/>
      <c r="AL682" s="380"/>
      <c r="AM682" s="380"/>
      <c r="AN682" s="380"/>
      <c r="AO682" s="380"/>
      <c r="AP682" s="380"/>
      <c r="AQ682" s="404"/>
      <c r="AR682" s="380"/>
      <c r="AS682" s="380"/>
      <c r="AT682" s="380"/>
      <c r="AU682" s="380"/>
      <c r="AV682" s="380"/>
      <c r="AW682" s="380"/>
      <c r="AX682" s="380"/>
      <c r="AY682" s="403"/>
      <c r="AZ682" s="380"/>
      <c r="BA682" s="380"/>
      <c r="BB682" s="380"/>
      <c r="BC682" s="380"/>
      <c r="BD682" s="380"/>
      <c r="BE682" s="404"/>
      <c r="BF682" s="380"/>
      <c r="BG682" s="380"/>
      <c r="BH682" s="380"/>
      <c r="BI682" s="380"/>
      <c r="BJ682" s="380"/>
      <c r="BK682" s="380"/>
      <c r="BL682" s="380"/>
      <c r="BM682" s="403"/>
      <c r="BS682" s="83"/>
      <c r="CA682" s="405"/>
      <c r="CG682" s="83"/>
      <c r="CO682" s="405"/>
      <c r="CU682" s="83"/>
      <c r="DC682" s="405"/>
      <c r="DI682" s="83"/>
      <c r="DQ682" s="405"/>
      <c r="DW682" s="83"/>
      <c r="EE682" s="405"/>
      <c r="EK682" s="83"/>
      <c r="ES682" s="405"/>
      <c r="EY682" s="83"/>
      <c r="FG682" s="405"/>
      <c r="FM682" s="83"/>
      <c r="FU682" s="405"/>
      <c r="GA682" s="83"/>
      <c r="GI682" s="405"/>
      <c r="GO682" s="83"/>
      <c r="GW682" s="405"/>
      <c r="HC682" s="83"/>
      <c r="HK682" s="405"/>
      <c r="HQ682" s="83"/>
      <c r="HY682" s="405"/>
      <c r="IE682" s="83"/>
      <c r="IM682" s="405"/>
      <c r="IS682" s="83"/>
      <c r="JA682" s="405"/>
      <c r="JG682" s="83"/>
      <c r="JO682" s="405"/>
      <c r="JU682" s="83"/>
      <c r="KC682" s="405"/>
      <c r="KI682" s="83"/>
      <c r="KQ682" s="405"/>
      <c r="KW682" s="83"/>
      <c r="LE682" s="405"/>
      <c r="LK682" s="83"/>
      <c r="LS682" s="405"/>
      <c r="LY682" s="83"/>
      <c r="MG682" s="405"/>
      <c r="MM682" s="83"/>
      <c r="MU682" s="405"/>
      <c r="NA682" s="83"/>
    </row>
    <row r="683">
      <c r="A683" s="483"/>
      <c r="B683" s="380"/>
      <c r="C683" s="380"/>
      <c r="D683" s="380"/>
      <c r="E683" s="380"/>
      <c r="F683" s="380"/>
      <c r="G683" s="380"/>
      <c r="H683" s="380"/>
      <c r="I683" s="403"/>
      <c r="J683" s="380"/>
      <c r="K683" s="380"/>
      <c r="L683" s="380"/>
      <c r="M683" s="380"/>
      <c r="N683" s="380"/>
      <c r="O683" s="404"/>
      <c r="P683" s="380"/>
      <c r="Q683" s="380"/>
      <c r="R683" s="380"/>
      <c r="S683" s="380"/>
      <c r="T683" s="380"/>
      <c r="U683" s="380"/>
      <c r="V683" s="380"/>
      <c r="W683" s="403"/>
      <c r="X683" s="380"/>
      <c r="Y683" s="380"/>
      <c r="Z683" s="380"/>
      <c r="AA683" s="380"/>
      <c r="AB683" s="380"/>
      <c r="AC683" s="404"/>
      <c r="AD683" s="380"/>
      <c r="AE683" s="380"/>
      <c r="AF683" s="380"/>
      <c r="AG683" s="380"/>
      <c r="AH683" s="380"/>
      <c r="AI683" s="380"/>
      <c r="AJ683" s="380"/>
      <c r="AK683" s="403"/>
      <c r="AL683" s="380"/>
      <c r="AM683" s="380"/>
      <c r="AN683" s="380"/>
      <c r="AO683" s="380"/>
      <c r="AP683" s="380"/>
      <c r="AQ683" s="404"/>
      <c r="AR683" s="380"/>
      <c r="AS683" s="380"/>
      <c r="AT683" s="380"/>
      <c r="AU683" s="380"/>
      <c r="AV683" s="380"/>
      <c r="AW683" s="380"/>
      <c r="AX683" s="380"/>
      <c r="AY683" s="403"/>
      <c r="AZ683" s="380"/>
      <c r="BA683" s="380"/>
      <c r="BB683" s="380"/>
      <c r="BC683" s="380"/>
      <c r="BD683" s="380"/>
      <c r="BE683" s="404"/>
      <c r="BF683" s="380"/>
      <c r="BG683" s="380"/>
      <c r="BH683" s="380"/>
      <c r="BI683" s="380"/>
      <c r="BJ683" s="380"/>
      <c r="BK683" s="380"/>
      <c r="BL683" s="380"/>
      <c r="BM683" s="403"/>
      <c r="BS683" s="83"/>
      <c r="CA683" s="405"/>
      <c r="CG683" s="83"/>
      <c r="CO683" s="405"/>
      <c r="CU683" s="83"/>
      <c r="DC683" s="405"/>
      <c r="DI683" s="83"/>
      <c r="DQ683" s="405"/>
      <c r="DW683" s="83"/>
      <c r="EE683" s="405"/>
      <c r="EK683" s="83"/>
      <c r="ES683" s="405"/>
      <c r="EY683" s="83"/>
      <c r="FG683" s="405"/>
      <c r="FM683" s="83"/>
      <c r="FU683" s="405"/>
      <c r="GA683" s="83"/>
      <c r="GI683" s="405"/>
      <c r="GO683" s="83"/>
      <c r="GW683" s="405"/>
      <c r="HC683" s="83"/>
      <c r="HK683" s="405"/>
      <c r="HQ683" s="83"/>
      <c r="HY683" s="405"/>
      <c r="IE683" s="83"/>
      <c r="IM683" s="405"/>
      <c r="IS683" s="83"/>
      <c r="JA683" s="405"/>
      <c r="JG683" s="83"/>
      <c r="JO683" s="405"/>
      <c r="JU683" s="83"/>
      <c r="KC683" s="405"/>
      <c r="KI683" s="83"/>
      <c r="KQ683" s="405"/>
      <c r="KW683" s="83"/>
      <c r="LE683" s="405"/>
      <c r="LK683" s="83"/>
      <c r="LS683" s="405"/>
      <c r="LY683" s="83"/>
      <c r="MG683" s="405"/>
      <c r="MM683" s="83"/>
      <c r="MU683" s="405"/>
      <c r="NA683" s="83"/>
    </row>
    <row r="684">
      <c r="A684" s="483"/>
      <c r="B684" s="380"/>
      <c r="C684" s="380"/>
      <c r="D684" s="380"/>
      <c r="E684" s="380"/>
      <c r="F684" s="380"/>
      <c r="G684" s="380"/>
      <c r="H684" s="380"/>
      <c r="I684" s="403"/>
      <c r="J684" s="380"/>
      <c r="K684" s="380"/>
      <c r="L684" s="380"/>
      <c r="M684" s="380"/>
      <c r="N684" s="380"/>
      <c r="O684" s="404"/>
      <c r="P684" s="380"/>
      <c r="Q684" s="380"/>
      <c r="R684" s="380"/>
      <c r="S684" s="380"/>
      <c r="T684" s="380"/>
      <c r="U684" s="380"/>
      <c r="V684" s="380"/>
      <c r="W684" s="403"/>
      <c r="X684" s="380"/>
      <c r="Y684" s="380"/>
      <c r="Z684" s="380"/>
      <c r="AA684" s="380"/>
      <c r="AB684" s="380"/>
      <c r="AC684" s="404"/>
      <c r="AD684" s="380"/>
      <c r="AE684" s="380"/>
      <c r="AF684" s="380"/>
      <c r="AG684" s="380"/>
      <c r="AH684" s="380"/>
      <c r="AI684" s="380"/>
      <c r="AJ684" s="380"/>
      <c r="AK684" s="403"/>
      <c r="AL684" s="380"/>
      <c r="AM684" s="380"/>
      <c r="AN684" s="380"/>
      <c r="AO684" s="380"/>
      <c r="AP684" s="380"/>
      <c r="AQ684" s="404"/>
      <c r="AR684" s="380"/>
      <c r="AS684" s="380"/>
      <c r="AT684" s="380"/>
      <c r="AU684" s="380"/>
      <c r="AV684" s="380"/>
      <c r="AW684" s="380"/>
      <c r="AX684" s="380"/>
      <c r="AY684" s="403"/>
      <c r="AZ684" s="380"/>
      <c r="BA684" s="380"/>
      <c r="BB684" s="380"/>
      <c r="BC684" s="380"/>
      <c r="BD684" s="380"/>
      <c r="BE684" s="404"/>
      <c r="BF684" s="380"/>
      <c r="BG684" s="380"/>
      <c r="BH684" s="380"/>
      <c r="BI684" s="380"/>
      <c r="BJ684" s="380"/>
      <c r="BK684" s="380"/>
      <c r="BL684" s="380"/>
      <c r="BM684" s="403"/>
      <c r="BS684" s="83"/>
      <c r="CA684" s="405"/>
      <c r="CG684" s="83"/>
      <c r="CO684" s="405"/>
      <c r="CU684" s="83"/>
      <c r="DC684" s="405"/>
      <c r="DI684" s="83"/>
      <c r="DQ684" s="405"/>
      <c r="DW684" s="83"/>
      <c r="EE684" s="405"/>
      <c r="EK684" s="83"/>
      <c r="ES684" s="405"/>
      <c r="EY684" s="83"/>
      <c r="FG684" s="405"/>
      <c r="FM684" s="83"/>
      <c r="FU684" s="405"/>
      <c r="GA684" s="83"/>
      <c r="GI684" s="405"/>
      <c r="GO684" s="83"/>
      <c r="GW684" s="405"/>
      <c r="HC684" s="83"/>
      <c r="HK684" s="405"/>
      <c r="HQ684" s="83"/>
      <c r="HY684" s="405"/>
      <c r="IE684" s="83"/>
      <c r="IM684" s="405"/>
      <c r="IS684" s="83"/>
      <c r="JA684" s="405"/>
      <c r="JG684" s="83"/>
      <c r="JO684" s="405"/>
      <c r="JU684" s="83"/>
      <c r="KC684" s="405"/>
      <c r="KI684" s="83"/>
      <c r="KQ684" s="405"/>
      <c r="KW684" s="83"/>
      <c r="LE684" s="405"/>
      <c r="LK684" s="83"/>
      <c r="LS684" s="405"/>
      <c r="LY684" s="83"/>
      <c r="MG684" s="405"/>
      <c r="MM684" s="83"/>
      <c r="MU684" s="405"/>
      <c r="NA684" s="83"/>
    </row>
    <row r="685">
      <c r="A685" s="483"/>
      <c r="B685" s="380"/>
      <c r="C685" s="380"/>
      <c r="D685" s="380"/>
      <c r="E685" s="380"/>
      <c r="F685" s="380"/>
      <c r="G685" s="380"/>
      <c r="H685" s="380"/>
      <c r="I685" s="403"/>
      <c r="J685" s="380"/>
      <c r="K685" s="380"/>
      <c r="L685" s="380"/>
      <c r="M685" s="380"/>
      <c r="N685" s="380"/>
      <c r="O685" s="404"/>
      <c r="P685" s="380"/>
      <c r="Q685" s="380"/>
      <c r="R685" s="380"/>
      <c r="S685" s="380"/>
      <c r="T685" s="380"/>
      <c r="U685" s="380"/>
      <c r="V685" s="380"/>
      <c r="W685" s="403"/>
      <c r="X685" s="380"/>
      <c r="Y685" s="380"/>
      <c r="Z685" s="380"/>
      <c r="AA685" s="380"/>
      <c r="AB685" s="380"/>
      <c r="AC685" s="404"/>
      <c r="AD685" s="380"/>
      <c r="AE685" s="380"/>
      <c r="AF685" s="380"/>
      <c r="AG685" s="380"/>
      <c r="AH685" s="380"/>
      <c r="AI685" s="380"/>
      <c r="AJ685" s="380"/>
      <c r="AK685" s="403"/>
      <c r="AL685" s="380"/>
      <c r="AM685" s="380"/>
      <c r="AN685" s="380"/>
      <c r="AO685" s="380"/>
      <c r="AP685" s="380"/>
      <c r="AQ685" s="404"/>
      <c r="AR685" s="380"/>
      <c r="AS685" s="380"/>
      <c r="AT685" s="380"/>
      <c r="AU685" s="380"/>
      <c r="AV685" s="380"/>
      <c r="AW685" s="380"/>
      <c r="AX685" s="380"/>
      <c r="AY685" s="403"/>
      <c r="AZ685" s="380"/>
      <c r="BA685" s="380"/>
      <c r="BB685" s="380"/>
      <c r="BC685" s="380"/>
      <c r="BD685" s="380"/>
      <c r="BE685" s="404"/>
      <c r="BF685" s="380"/>
      <c r="BG685" s="380"/>
      <c r="BH685" s="380"/>
      <c r="BI685" s="380"/>
      <c r="BJ685" s="380"/>
      <c r="BK685" s="380"/>
      <c r="BL685" s="380"/>
      <c r="BM685" s="403"/>
      <c r="BS685" s="83"/>
      <c r="CA685" s="405"/>
      <c r="CG685" s="83"/>
      <c r="CO685" s="405"/>
      <c r="CU685" s="83"/>
      <c r="DC685" s="405"/>
      <c r="DI685" s="83"/>
      <c r="DQ685" s="405"/>
      <c r="DW685" s="83"/>
      <c r="EE685" s="405"/>
      <c r="EK685" s="83"/>
      <c r="ES685" s="405"/>
      <c r="EY685" s="83"/>
      <c r="FG685" s="405"/>
      <c r="FM685" s="83"/>
      <c r="FU685" s="405"/>
      <c r="GA685" s="83"/>
      <c r="GI685" s="405"/>
      <c r="GO685" s="83"/>
      <c r="GW685" s="405"/>
      <c r="HC685" s="83"/>
      <c r="HK685" s="405"/>
      <c r="HQ685" s="83"/>
      <c r="HY685" s="405"/>
      <c r="IE685" s="83"/>
      <c r="IM685" s="405"/>
      <c r="IS685" s="83"/>
      <c r="JA685" s="405"/>
      <c r="JG685" s="83"/>
      <c r="JO685" s="405"/>
      <c r="JU685" s="83"/>
      <c r="KC685" s="405"/>
      <c r="KI685" s="83"/>
      <c r="KQ685" s="405"/>
      <c r="KW685" s="83"/>
      <c r="LE685" s="405"/>
      <c r="LK685" s="83"/>
      <c r="LS685" s="405"/>
      <c r="LY685" s="83"/>
      <c r="MG685" s="405"/>
      <c r="MM685" s="83"/>
      <c r="MU685" s="405"/>
      <c r="NA685" s="83"/>
    </row>
    <row r="686">
      <c r="A686" s="483"/>
      <c r="B686" s="380"/>
      <c r="C686" s="380"/>
      <c r="D686" s="380"/>
      <c r="E686" s="380"/>
      <c r="F686" s="380"/>
      <c r="G686" s="380"/>
      <c r="H686" s="380"/>
      <c r="I686" s="403"/>
      <c r="J686" s="380"/>
      <c r="K686" s="380"/>
      <c r="L686" s="380"/>
      <c r="M686" s="380"/>
      <c r="N686" s="380"/>
      <c r="O686" s="404"/>
      <c r="P686" s="380"/>
      <c r="Q686" s="380"/>
      <c r="R686" s="380"/>
      <c r="S686" s="380"/>
      <c r="T686" s="380"/>
      <c r="U686" s="380"/>
      <c r="V686" s="380"/>
      <c r="W686" s="403"/>
      <c r="X686" s="380"/>
      <c r="Y686" s="380"/>
      <c r="Z686" s="380"/>
      <c r="AA686" s="380"/>
      <c r="AB686" s="380"/>
      <c r="AC686" s="404"/>
      <c r="AD686" s="380"/>
      <c r="AE686" s="380"/>
      <c r="AF686" s="380"/>
      <c r="AG686" s="380"/>
      <c r="AH686" s="380"/>
      <c r="AI686" s="380"/>
      <c r="AJ686" s="380"/>
      <c r="AK686" s="403"/>
      <c r="AL686" s="380"/>
      <c r="AM686" s="380"/>
      <c r="AN686" s="380"/>
      <c r="AO686" s="380"/>
      <c r="AP686" s="380"/>
      <c r="AQ686" s="404"/>
      <c r="AR686" s="380"/>
      <c r="AS686" s="380"/>
      <c r="AT686" s="380"/>
      <c r="AU686" s="380"/>
      <c r="AV686" s="380"/>
      <c r="AW686" s="380"/>
      <c r="AX686" s="380"/>
      <c r="AY686" s="403"/>
      <c r="AZ686" s="380"/>
      <c r="BA686" s="380"/>
      <c r="BB686" s="380"/>
      <c r="BC686" s="380"/>
      <c r="BD686" s="380"/>
      <c r="BE686" s="404"/>
      <c r="BF686" s="380"/>
      <c r="BG686" s="380"/>
      <c r="BH686" s="380"/>
      <c r="BI686" s="380"/>
      <c r="BJ686" s="380"/>
      <c r="BK686" s="380"/>
      <c r="BL686" s="380"/>
      <c r="BM686" s="403"/>
      <c r="BS686" s="83"/>
      <c r="CA686" s="405"/>
      <c r="CG686" s="83"/>
      <c r="CO686" s="405"/>
      <c r="CU686" s="83"/>
      <c r="DC686" s="405"/>
      <c r="DI686" s="83"/>
      <c r="DQ686" s="405"/>
      <c r="DW686" s="83"/>
      <c r="EE686" s="405"/>
      <c r="EK686" s="83"/>
      <c r="ES686" s="405"/>
      <c r="EY686" s="83"/>
      <c r="FG686" s="405"/>
      <c r="FM686" s="83"/>
      <c r="FU686" s="405"/>
      <c r="GA686" s="83"/>
      <c r="GI686" s="405"/>
      <c r="GO686" s="83"/>
      <c r="GW686" s="405"/>
      <c r="HC686" s="83"/>
      <c r="HK686" s="405"/>
      <c r="HQ686" s="83"/>
      <c r="HY686" s="405"/>
      <c r="IE686" s="83"/>
      <c r="IM686" s="405"/>
      <c r="IS686" s="83"/>
      <c r="JA686" s="405"/>
      <c r="JG686" s="83"/>
      <c r="JO686" s="405"/>
      <c r="JU686" s="83"/>
      <c r="KC686" s="405"/>
      <c r="KI686" s="83"/>
      <c r="KQ686" s="405"/>
      <c r="KW686" s="83"/>
      <c r="LE686" s="405"/>
      <c r="LK686" s="83"/>
      <c r="LS686" s="405"/>
      <c r="LY686" s="83"/>
      <c r="MG686" s="405"/>
      <c r="MM686" s="83"/>
      <c r="MU686" s="405"/>
      <c r="NA686" s="83"/>
    </row>
    <row r="687">
      <c r="A687" s="483"/>
      <c r="B687" s="380"/>
      <c r="C687" s="380"/>
      <c r="D687" s="380"/>
      <c r="E687" s="380"/>
      <c r="F687" s="380"/>
      <c r="G687" s="380"/>
      <c r="H687" s="380"/>
      <c r="I687" s="403"/>
      <c r="J687" s="380"/>
      <c r="K687" s="380"/>
      <c r="L687" s="380"/>
      <c r="M687" s="380"/>
      <c r="N687" s="380"/>
      <c r="O687" s="404"/>
      <c r="P687" s="380"/>
      <c r="Q687" s="380"/>
      <c r="R687" s="380"/>
      <c r="S687" s="380"/>
      <c r="T687" s="380"/>
      <c r="U687" s="380"/>
      <c r="V687" s="380"/>
      <c r="W687" s="403"/>
      <c r="X687" s="380"/>
      <c r="Y687" s="380"/>
      <c r="Z687" s="380"/>
      <c r="AA687" s="380"/>
      <c r="AB687" s="380"/>
      <c r="AC687" s="404"/>
      <c r="AD687" s="380"/>
      <c r="AE687" s="380"/>
      <c r="AF687" s="380"/>
      <c r="AG687" s="380"/>
      <c r="AH687" s="380"/>
      <c r="AI687" s="380"/>
      <c r="AJ687" s="380"/>
      <c r="AK687" s="403"/>
      <c r="AL687" s="380"/>
      <c r="AM687" s="380"/>
      <c r="AN687" s="380"/>
      <c r="AO687" s="380"/>
      <c r="AP687" s="380"/>
      <c r="AQ687" s="404"/>
      <c r="AR687" s="380"/>
      <c r="AS687" s="380"/>
      <c r="AT687" s="380"/>
      <c r="AU687" s="380"/>
      <c r="AV687" s="380"/>
      <c r="AW687" s="380"/>
      <c r="AX687" s="380"/>
      <c r="AY687" s="403"/>
      <c r="AZ687" s="380"/>
      <c r="BA687" s="380"/>
      <c r="BB687" s="380"/>
      <c r="BC687" s="380"/>
      <c r="BD687" s="380"/>
      <c r="BE687" s="404"/>
      <c r="BF687" s="380"/>
      <c r="BG687" s="380"/>
      <c r="BH687" s="380"/>
      <c r="BI687" s="380"/>
      <c r="BJ687" s="380"/>
      <c r="BK687" s="380"/>
      <c r="BL687" s="380"/>
      <c r="BM687" s="403"/>
      <c r="BS687" s="83"/>
      <c r="CA687" s="405"/>
      <c r="CG687" s="83"/>
      <c r="CO687" s="405"/>
      <c r="CU687" s="83"/>
      <c r="DC687" s="405"/>
      <c r="DI687" s="83"/>
      <c r="DQ687" s="405"/>
      <c r="DW687" s="83"/>
      <c r="EE687" s="405"/>
      <c r="EK687" s="83"/>
      <c r="ES687" s="405"/>
      <c r="EY687" s="83"/>
      <c r="FG687" s="405"/>
      <c r="FM687" s="83"/>
      <c r="FU687" s="405"/>
      <c r="GA687" s="83"/>
      <c r="GI687" s="405"/>
      <c r="GO687" s="83"/>
      <c r="GW687" s="405"/>
      <c r="HC687" s="83"/>
      <c r="HK687" s="405"/>
      <c r="HQ687" s="83"/>
      <c r="HY687" s="405"/>
      <c r="IE687" s="83"/>
      <c r="IM687" s="405"/>
      <c r="IS687" s="83"/>
      <c r="JA687" s="405"/>
      <c r="JG687" s="83"/>
      <c r="JO687" s="405"/>
      <c r="JU687" s="83"/>
      <c r="KC687" s="405"/>
      <c r="KI687" s="83"/>
      <c r="KQ687" s="405"/>
      <c r="KW687" s="83"/>
      <c r="LE687" s="405"/>
      <c r="LK687" s="83"/>
      <c r="LS687" s="405"/>
      <c r="LY687" s="83"/>
      <c r="MG687" s="405"/>
      <c r="MM687" s="83"/>
      <c r="MU687" s="405"/>
      <c r="NA687" s="83"/>
    </row>
    <row r="688">
      <c r="A688" s="483"/>
      <c r="B688" s="380"/>
      <c r="C688" s="380"/>
      <c r="D688" s="380"/>
      <c r="E688" s="380"/>
      <c r="F688" s="380"/>
      <c r="G688" s="380"/>
      <c r="H688" s="380"/>
      <c r="I688" s="403"/>
      <c r="J688" s="380"/>
      <c r="K688" s="380"/>
      <c r="L688" s="380"/>
      <c r="M688" s="380"/>
      <c r="N688" s="380"/>
      <c r="O688" s="404"/>
      <c r="P688" s="380"/>
      <c r="Q688" s="380"/>
      <c r="R688" s="380"/>
      <c r="S688" s="380"/>
      <c r="T688" s="380"/>
      <c r="U688" s="380"/>
      <c r="V688" s="380"/>
      <c r="W688" s="403"/>
      <c r="X688" s="380"/>
      <c r="Y688" s="380"/>
      <c r="Z688" s="380"/>
      <c r="AA688" s="380"/>
      <c r="AB688" s="380"/>
      <c r="AC688" s="404"/>
      <c r="AD688" s="380"/>
      <c r="AE688" s="380"/>
      <c r="AF688" s="380"/>
      <c r="AG688" s="380"/>
      <c r="AH688" s="380"/>
      <c r="AI688" s="380"/>
      <c r="AJ688" s="380"/>
      <c r="AK688" s="403"/>
      <c r="AL688" s="380"/>
      <c r="AM688" s="380"/>
      <c r="AN688" s="380"/>
      <c r="AO688" s="380"/>
      <c r="AP688" s="380"/>
      <c r="AQ688" s="404"/>
      <c r="AR688" s="380"/>
      <c r="AS688" s="380"/>
      <c r="AT688" s="380"/>
      <c r="AU688" s="380"/>
      <c r="AV688" s="380"/>
      <c r="AW688" s="380"/>
      <c r="AX688" s="380"/>
      <c r="AY688" s="403"/>
      <c r="AZ688" s="380"/>
      <c r="BA688" s="380"/>
      <c r="BB688" s="380"/>
      <c r="BC688" s="380"/>
      <c r="BD688" s="380"/>
      <c r="BE688" s="404"/>
      <c r="BF688" s="380"/>
      <c r="BG688" s="380"/>
      <c r="BH688" s="380"/>
      <c r="BI688" s="380"/>
      <c r="BJ688" s="380"/>
      <c r="BK688" s="380"/>
      <c r="BL688" s="380"/>
      <c r="BM688" s="403"/>
      <c r="BS688" s="83"/>
      <c r="CA688" s="405"/>
      <c r="CG688" s="83"/>
      <c r="CO688" s="405"/>
      <c r="CU688" s="83"/>
      <c r="DC688" s="405"/>
      <c r="DI688" s="83"/>
      <c r="DQ688" s="405"/>
      <c r="DW688" s="83"/>
      <c r="EE688" s="405"/>
      <c r="EK688" s="83"/>
      <c r="ES688" s="405"/>
      <c r="EY688" s="83"/>
      <c r="FG688" s="405"/>
      <c r="FM688" s="83"/>
      <c r="FU688" s="405"/>
      <c r="GA688" s="83"/>
      <c r="GI688" s="405"/>
      <c r="GO688" s="83"/>
      <c r="GW688" s="405"/>
      <c r="HC688" s="83"/>
      <c r="HK688" s="405"/>
      <c r="HQ688" s="83"/>
      <c r="HY688" s="405"/>
      <c r="IE688" s="83"/>
      <c r="IM688" s="405"/>
      <c r="IS688" s="83"/>
      <c r="JA688" s="405"/>
      <c r="JG688" s="83"/>
      <c r="JO688" s="405"/>
      <c r="JU688" s="83"/>
      <c r="KC688" s="405"/>
      <c r="KI688" s="83"/>
      <c r="KQ688" s="405"/>
      <c r="KW688" s="83"/>
      <c r="LE688" s="405"/>
      <c r="LK688" s="83"/>
      <c r="LS688" s="405"/>
      <c r="LY688" s="83"/>
      <c r="MG688" s="405"/>
      <c r="MM688" s="83"/>
      <c r="MU688" s="405"/>
      <c r="NA688" s="83"/>
    </row>
    <row r="689">
      <c r="A689" s="483"/>
      <c r="B689" s="380"/>
      <c r="C689" s="380"/>
      <c r="D689" s="380"/>
      <c r="E689" s="380"/>
      <c r="F689" s="380"/>
      <c r="G689" s="380"/>
      <c r="H689" s="380"/>
      <c r="I689" s="403"/>
      <c r="J689" s="380"/>
      <c r="K689" s="380"/>
      <c r="L689" s="380"/>
      <c r="M689" s="380"/>
      <c r="N689" s="380"/>
      <c r="O689" s="404"/>
      <c r="P689" s="380"/>
      <c r="Q689" s="380"/>
      <c r="R689" s="380"/>
      <c r="S689" s="380"/>
      <c r="T689" s="380"/>
      <c r="U689" s="380"/>
      <c r="V689" s="380"/>
      <c r="W689" s="403"/>
      <c r="X689" s="380"/>
      <c r="Y689" s="380"/>
      <c r="Z689" s="380"/>
      <c r="AA689" s="380"/>
      <c r="AB689" s="380"/>
      <c r="AC689" s="404"/>
      <c r="AD689" s="380"/>
      <c r="AE689" s="380"/>
      <c r="AF689" s="380"/>
      <c r="AG689" s="380"/>
      <c r="AH689" s="380"/>
      <c r="AI689" s="380"/>
      <c r="AJ689" s="380"/>
      <c r="AK689" s="403"/>
      <c r="AL689" s="380"/>
      <c r="AM689" s="380"/>
      <c r="AN689" s="380"/>
      <c r="AO689" s="380"/>
      <c r="AP689" s="380"/>
      <c r="AQ689" s="404"/>
      <c r="AR689" s="380"/>
      <c r="AS689" s="380"/>
      <c r="AT689" s="380"/>
      <c r="AU689" s="380"/>
      <c r="AV689" s="380"/>
      <c r="AW689" s="380"/>
      <c r="AX689" s="380"/>
      <c r="AY689" s="403"/>
      <c r="AZ689" s="380"/>
      <c r="BA689" s="380"/>
      <c r="BB689" s="380"/>
      <c r="BC689" s="380"/>
      <c r="BD689" s="380"/>
      <c r="BE689" s="404"/>
      <c r="BF689" s="380"/>
      <c r="BG689" s="380"/>
      <c r="BH689" s="380"/>
      <c r="BI689" s="380"/>
      <c r="BJ689" s="380"/>
      <c r="BK689" s="380"/>
      <c r="BL689" s="380"/>
      <c r="BM689" s="403"/>
      <c r="BS689" s="83"/>
      <c r="CA689" s="405"/>
      <c r="CG689" s="83"/>
      <c r="CO689" s="405"/>
      <c r="CU689" s="83"/>
      <c r="DC689" s="405"/>
      <c r="DI689" s="83"/>
      <c r="DQ689" s="405"/>
      <c r="DW689" s="83"/>
      <c r="EE689" s="405"/>
      <c r="EK689" s="83"/>
      <c r="ES689" s="405"/>
      <c r="EY689" s="83"/>
      <c r="FG689" s="405"/>
      <c r="FM689" s="83"/>
      <c r="FU689" s="405"/>
      <c r="GA689" s="83"/>
      <c r="GI689" s="405"/>
      <c r="GO689" s="83"/>
      <c r="GW689" s="405"/>
      <c r="HC689" s="83"/>
      <c r="HK689" s="405"/>
      <c r="HQ689" s="83"/>
      <c r="HY689" s="405"/>
      <c r="IE689" s="83"/>
      <c r="IM689" s="405"/>
      <c r="IS689" s="83"/>
      <c r="JA689" s="405"/>
      <c r="JG689" s="83"/>
      <c r="JO689" s="405"/>
      <c r="JU689" s="83"/>
      <c r="KC689" s="405"/>
      <c r="KI689" s="83"/>
      <c r="KQ689" s="405"/>
      <c r="KW689" s="83"/>
      <c r="LE689" s="405"/>
      <c r="LK689" s="83"/>
      <c r="LS689" s="405"/>
      <c r="LY689" s="83"/>
      <c r="MG689" s="405"/>
      <c r="MM689" s="83"/>
      <c r="MU689" s="405"/>
      <c r="NA689" s="83"/>
    </row>
    <row r="690">
      <c r="A690" s="483"/>
      <c r="B690" s="380"/>
      <c r="C690" s="380"/>
      <c r="D690" s="380"/>
      <c r="E690" s="380"/>
      <c r="F690" s="380"/>
      <c r="G690" s="380"/>
      <c r="H690" s="380"/>
      <c r="I690" s="403"/>
      <c r="J690" s="380"/>
      <c r="K690" s="380"/>
      <c r="L690" s="380"/>
      <c r="M690" s="380"/>
      <c r="N690" s="380"/>
      <c r="O690" s="404"/>
      <c r="P690" s="380"/>
      <c r="Q690" s="380"/>
      <c r="R690" s="380"/>
      <c r="S690" s="380"/>
      <c r="T690" s="380"/>
      <c r="U690" s="380"/>
      <c r="V690" s="380"/>
      <c r="W690" s="403"/>
      <c r="X690" s="380"/>
      <c r="Y690" s="380"/>
      <c r="Z690" s="380"/>
      <c r="AA690" s="380"/>
      <c r="AB690" s="380"/>
      <c r="AC690" s="404"/>
      <c r="AD690" s="380"/>
      <c r="AE690" s="380"/>
      <c r="AF690" s="380"/>
      <c r="AG690" s="380"/>
      <c r="AH690" s="380"/>
      <c r="AI690" s="380"/>
      <c r="AJ690" s="380"/>
      <c r="AK690" s="403"/>
      <c r="AL690" s="380"/>
      <c r="AM690" s="380"/>
      <c r="AN690" s="380"/>
      <c r="AO690" s="380"/>
      <c r="AP690" s="380"/>
      <c r="AQ690" s="404"/>
      <c r="AR690" s="380"/>
      <c r="AS690" s="380"/>
      <c r="AT690" s="380"/>
      <c r="AU690" s="380"/>
      <c r="AV690" s="380"/>
      <c r="AW690" s="380"/>
      <c r="AX690" s="380"/>
      <c r="AY690" s="403"/>
      <c r="AZ690" s="380"/>
      <c r="BA690" s="380"/>
      <c r="BB690" s="380"/>
      <c r="BC690" s="380"/>
      <c r="BD690" s="380"/>
      <c r="BE690" s="404"/>
      <c r="BF690" s="380"/>
      <c r="BG690" s="380"/>
      <c r="BH690" s="380"/>
      <c r="BI690" s="380"/>
      <c r="BJ690" s="380"/>
      <c r="BK690" s="380"/>
      <c r="BL690" s="380"/>
      <c r="BM690" s="403"/>
      <c r="BS690" s="83"/>
      <c r="CA690" s="405"/>
      <c r="CG690" s="83"/>
      <c r="CO690" s="405"/>
      <c r="CU690" s="83"/>
      <c r="DC690" s="405"/>
      <c r="DI690" s="83"/>
      <c r="DQ690" s="405"/>
      <c r="DW690" s="83"/>
      <c r="EE690" s="405"/>
      <c r="EK690" s="83"/>
      <c r="ES690" s="405"/>
      <c r="EY690" s="83"/>
      <c r="FG690" s="405"/>
      <c r="FM690" s="83"/>
      <c r="FU690" s="405"/>
      <c r="GA690" s="83"/>
      <c r="GI690" s="405"/>
      <c r="GO690" s="83"/>
      <c r="GW690" s="405"/>
      <c r="HC690" s="83"/>
      <c r="HK690" s="405"/>
      <c r="HQ690" s="83"/>
      <c r="HY690" s="405"/>
      <c r="IE690" s="83"/>
      <c r="IM690" s="405"/>
      <c r="IS690" s="83"/>
      <c r="JA690" s="405"/>
      <c r="JG690" s="83"/>
      <c r="JO690" s="405"/>
      <c r="JU690" s="83"/>
      <c r="KC690" s="405"/>
      <c r="KI690" s="83"/>
      <c r="KQ690" s="405"/>
      <c r="KW690" s="83"/>
      <c r="LE690" s="405"/>
      <c r="LK690" s="83"/>
      <c r="LS690" s="405"/>
      <c r="LY690" s="83"/>
      <c r="MG690" s="405"/>
      <c r="MM690" s="83"/>
      <c r="MU690" s="405"/>
      <c r="NA690" s="83"/>
    </row>
    <row r="691">
      <c r="A691" s="483"/>
      <c r="B691" s="380"/>
      <c r="C691" s="380"/>
      <c r="D691" s="380"/>
      <c r="E691" s="380"/>
      <c r="F691" s="380"/>
      <c r="G691" s="380"/>
      <c r="H691" s="380"/>
      <c r="I691" s="403"/>
      <c r="J691" s="380"/>
      <c r="K691" s="380"/>
      <c r="L691" s="380"/>
      <c r="M691" s="380"/>
      <c r="N691" s="380"/>
      <c r="O691" s="404"/>
      <c r="P691" s="380"/>
      <c r="Q691" s="380"/>
      <c r="R691" s="380"/>
      <c r="S691" s="380"/>
      <c r="T691" s="380"/>
      <c r="U691" s="380"/>
      <c r="V691" s="380"/>
      <c r="W691" s="403"/>
      <c r="X691" s="380"/>
      <c r="Y691" s="380"/>
      <c r="Z691" s="380"/>
      <c r="AA691" s="380"/>
      <c r="AB691" s="380"/>
      <c r="AC691" s="404"/>
      <c r="AD691" s="380"/>
      <c r="AE691" s="380"/>
      <c r="AF691" s="380"/>
      <c r="AG691" s="380"/>
      <c r="AH691" s="380"/>
      <c r="AI691" s="380"/>
      <c r="AJ691" s="380"/>
      <c r="AK691" s="403"/>
      <c r="AL691" s="380"/>
      <c r="AM691" s="380"/>
      <c r="AN691" s="380"/>
      <c r="AO691" s="380"/>
      <c r="AP691" s="380"/>
      <c r="AQ691" s="404"/>
      <c r="AR691" s="380"/>
      <c r="AS691" s="380"/>
      <c r="AT691" s="380"/>
      <c r="AU691" s="380"/>
      <c r="AV691" s="380"/>
      <c r="AW691" s="380"/>
      <c r="AX691" s="380"/>
      <c r="AY691" s="403"/>
      <c r="AZ691" s="380"/>
      <c r="BA691" s="380"/>
      <c r="BB691" s="380"/>
      <c r="BC691" s="380"/>
      <c r="BD691" s="380"/>
      <c r="BE691" s="404"/>
      <c r="BF691" s="380"/>
      <c r="BG691" s="380"/>
      <c r="BH691" s="380"/>
      <c r="BI691" s="380"/>
      <c r="BJ691" s="380"/>
      <c r="BK691" s="380"/>
      <c r="BL691" s="380"/>
      <c r="BM691" s="403"/>
      <c r="BS691" s="83"/>
      <c r="CA691" s="405"/>
      <c r="CG691" s="83"/>
      <c r="CO691" s="405"/>
      <c r="CU691" s="83"/>
      <c r="DC691" s="405"/>
      <c r="DI691" s="83"/>
      <c r="DQ691" s="405"/>
      <c r="DW691" s="83"/>
      <c r="EE691" s="405"/>
      <c r="EK691" s="83"/>
      <c r="ES691" s="405"/>
      <c r="EY691" s="83"/>
      <c r="FG691" s="405"/>
      <c r="FM691" s="83"/>
      <c r="FU691" s="405"/>
      <c r="GA691" s="83"/>
      <c r="GI691" s="405"/>
      <c r="GO691" s="83"/>
      <c r="GW691" s="405"/>
      <c r="HC691" s="83"/>
      <c r="HK691" s="405"/>
      <c r="HQ691" s="83"/>
      <c r="HY691" s="405"/>
      <c r="IE691" s="83"/>
      <c r="IM691" s="405"/>
      <c r="IS691" s="83"/>
      <c r="JA691" s="405"/>
      <c r="JG691" s="83"/>
      <c r="JO691" s="405"/>
      <c r="JU691" s="83"/>
      <c r="KC691" s="405"/>
      <c r="KI691" s="83"/>
      <c r="KQ691" s="405"/>
      <c r="KW691" s="83"/>
      <c r="LE691" s="405"/>
      <c r="LK691" s="83"/>
      <c r="LS691" s="405"/>
      <c r="LY691" s="83"/>
      <c r="MG691" s="405"/>
      <c r="MM691" s="83"/>
      <c r="MU691" s="405"/>
      <c r="NA691" s="83"/>
    </row>
    <row r="692">
      <c r="A692" s="483"/>
      <c r="B692" s="380"/>
      <c r="C692" s="380"/>
      <c r="D692" s="380"/>
      <c r="E692" s="380"/>
      <c r="F692" s="380"/>
      <c r="G692" s="380"/>
      <c r="H692" s="380"/>
      <c r="I692" s="403"/>
      <c r="J692" s="380"/>
      <c r="K692" s="380"/>
      <c r="L692" s="380"/>
      <c r="M692" s="380"/>
      <c r="N692" s="380"/>
      <c r="O692" s="404"/>
      <c r="P692" s="380"/>
      <c r="Q692" s="380"/>
      <c r="R692" s="380"/>
      <c r="S692" s="380"/>
      <c r="T692" s="380"/>
      <c r="U692" s="380"/>
      <c r="V692" s="380"/>
      <c r="W692" s="403"/>
      <c r="X692" s="380"/>
      <c r="Y692" s="380"/>
      <c r="Z692" s="380"/>
      <c r="AA692" s="380"/>
      <c r="AB692" s="380"/>
      <c r="AC692" s="404"/>
      <c r="AD692" s="380"/>
      <c r="AE692" s="380"/>
      <c r="AF692" s="380"/>
      <c r="AG692" s="380"/>
      <c r="AH692" s="380"/>
      <c r="AI692" s="380"/>
      <c r="AJ692" s="380"/>
      <c r="AK692" s="403"/>
      <c r="AL692" s="380"/>
      <c r="AM692" s="380"/>
      <c r="AN692" s="380"/>
      <c r="AO692" s="380"/>
      <c r="AP692" s="380"/>
      <c r="AQ692" s="404"/>
      <c r="AR692" s="380"/>
      <c r="AS692" s="380"/>
      <c r="AT692" s="380"/>
      <c r="AU692" s="380"/>
      <c r="AV692" s="380"/>
      <c r="AW692" s="380"/>
      <c r="AX692" s="380"/>
      <c r="AY692" s="403"/>
      <c r="AZ692" s="380"/>
      <c r="BA692" s="380"/>
      <c r="BB692" s="380"/>
      <c r="BC692" s="380"/>
      <c r="BD692" s="380"/>
      <c r="BE692" s="404"/>
      <c r="BF692" s="380"/>
      <c r="BG692" s="380"/>
      <c r="BH692" s="380"/>
      <c r="BI692" s="380"/>
      <c r="BJ692" s="380"/>
      <c r="BK692" s="380"/>
      <c r="BL692" s="380"/>
      <c r="BM692" s="403"/>
      <c r="BS692" s="83"/>
      <c r="CA692" s="405"/>
      <c r="CG692" s="83"/>
      <c r="CO692" s="405"/>
      <c r="CU692" s="83"/>
      <c r="DC692" s="405"/>
      <c r="DI692" s="83"/>
      <c r="DQ692" s="405"/>
      <c r="DW692" s="83"/>
      <c r="EE692" s="405"/>
      <c r="EK692" s="83"/>
      <c r="ES692" s="405"/>
      <c r="EY692" s="83"/>
      <c r="FG692" s="405"/>
      <c r="FM692" s="83"/>
      <c r="FU692" s="405"/>
      <c r="GA692" s="83"/>
      <c r="GI692" s="405"/>
      <c r="GO692" s="83"/>
      <c r="GW692" s="405"/>
      <c r="HC692" s="83"/>
      <c r="HK692" s="405"/>
      <c r="HQ692" s="83"/>
      <c r="HY692" s="405"/>
      <c r="IE692" s="83"/>
      <c r="IM692" s="405"/>
      <c r="IS692" s="83"/>
      <c r="JA692" s="405"/>
      <c r="JG692" s="83"/>
      <c r="JO692" s="405"/>
      <c r="JU692" s="83"/>
      <c r="KC692" s="405"/>
      <c r="KI692" s="83"/>
      <c r="KQ692" s="405"/>
      <c r="KW692" s="83"/>
      <c r="LE692" s="405"/>
      <c r="LK692" s="83"/>
      <c r="LS692" s="405"/>
      <c r="LY692" s="83"/>
      <c r="MG692" s="405"/>
      <c r="MM692" s="83"/>
      <c r="MU692" s="405"/>
      <c r="NA692" s="83"/>
    </row>
    <row r="693">
      <c r="A693" s="483"/>
      <c r="B693" s="380"/>
      <c r="C693" s="380"/>
      <c r="D693" s="380"/>
      <c r="E693" s="380"/>
      <c r="F693" s="380"/>
      <c r="G693" s="380"/>
      <c r="H693" s="380"/>
      <c r="I693" s="403"/>
      <c r="J693" s="380"/>
      <c r="K693" s="380"/>
      <c r="L693" s="380"/>
      <c r="M693" s="380"/>
      <c r="N693" s="380"/>
      <c r="O693" s="404"/>
      <c r="P693" s="380"/>
      <c r="Q693" s="380"/>
      <c r="R693" s="380"/>
      <c r="S693" s="380"/>
      <c r="T693" s="380"/>
      <c r="U693" s="380"/>
      <c r="V693" s="380"/>
      <c r="W693" s="403"/>
      <c r="X693" s="380"/>
      <c r="Y693" s="380"/>
      <c r="Z693" s="380"/>
      <c r="AA693" s="380"/>
      <c r="AB693" s="380"/>
      <c r="AC693" s="404"/>
      <c r="AD693" s="380"/>
      <c r="AE693" s="380"/>
      <c r="AF693" s="380"/>
      <c r="AG693" s="380"/>
      <c r="AH693" s="380"/>
      <c r="AI693" s="380"/>
      <c r="AJ693" s="380"/>
      <c r="AK693" s="403"/>
      <c r="AL693" s="380"/>
      <c r="AM693" s="380"/>
      <c r="AN693" s="380"/>
      <c r="AO693" s="380"/>
      <c r="AP693" s="380"/>
      <c r="AQ693" s="404"/>
      <c r="AR693" s="380"/>
      <c r="AS693" s="380"/>
      <c r="AT693" s="380"/>
      <c r="AU693" s="380"/>
      <c r="AV693" s="380"/>
      <c r="AW693" s="380"/>
      <c r="AX693" s="380"/>
      <c r="AY693" s="403"/>
      <c r="AZ693" s="380"/>
      <c r="BA693" s="380"/>
      <c r="BB693" s="380"/>
      <c r="BC693" s="380"/>
      <c r="BD693" s="380"/>
      <c r="BE693" s="404"/>
      <c r="BF693" s="380"/>
      <c r="BG693" s="380"/>
      <c r="BH693" s="380"/>
      <c r="BI693" s="380"/>
      <c r="BJ693" s="380"/>
      <c r="BK693" s="380"/>
      <c r="BL693" s="380"/>
      <c r="BM693" s="403"/>
      <c r="BS693" s="83"/>
      <c r="CA693" s="405"/>
      <c r="CG693" s="83"/>
      <c r="CO693" s="405"/>
      <c r="CU693" s="83"/>
      <c r="DC693" s="405"/>
      <c r="DI693" s="83"/>
      <c r="DQ693" s="405"/>
      <c r="DW693" s="83"/>
      <c r="EE693" s="405"/>
      <c r="EK693" s="83"/>
      <c r="ES693" s="405"/>
      <c r="EY693" s="83"/>
      <c r="FG693" s="405"/>
      <c r="FM693" s="83"/>
      <c r="FU693" s="405"/>
      <c r="GA693" s="83"/>
      <c r="GI693" s="405"/>
      <c r="GO693" s="83"/>
      <c r="GW693" s="405"/>
      <c r="HC693" s="83"/>
      <c r="HK693" s="405"/>
      <c r="HQ693" s="83"/>
      <c r="HY693" s="405"/>
      <c r="IE693" s="83"/>
      <c r="IM693" s="405"/>
      <c r="IS693" s="83"/>
      <c r="JA693" s="405"/>
      <c r="JG693" s="83"/>
      <c r="JO693" s="405"/>
      <c r="JU693" s="83"/>
      <c r="KC693" s="405"/>
      <c r="KI693" s="83"/>
      <c r="KQ693" s="405"/>
      <c r="KW693" s="83"/>
      <c r="LE693" s="405"/>
      <c r="LK693" s="83"/>
      <c r="LS693" s="405"/>
      <c r="LY693" s="83"/>
      <c r="MG693" s="405"/>
      <c r="MM693" s="83"/>
      <c r="MU693" s="405"/>
      <c r="NA693" s="83"/>
    </row>
    <row r="694">
      <c r="A694" s="483"/>
      <c r="B694" s="380"/>
      <c r="C694" s="380"/>
      <c r="D694" s="380"/>
      <c r="E694" s="380"/>
      <c r="F694" s="380"/>
      <c r="G694" s="380"/>
      <c r="H694" s="380"/>
      <c r="I694" s="403"/>
      <c r="J694" s="380"/>
      <c r="K694" s="380"/>
      <c r="L694" s="380"/>
      <c r="M694" s="380"/>
      <c r="N694" s="380"/>
      <c r="O694" s="404"/>
      <c r="P694" s="380"/>
      <c r="Q694" s="380"/>
      <c r="R694" s="380"/>
      <c r="S694" s="380"/>
      <c r="T694" s="380"/>
      <c r="U694" s="380"/>
      <c r="V694" s="380"/>
      <c r="W694" s="403"/>
      <c r="X694" s="380"/>
      <c r="Y694" s="380"/>
      <c r="Z694" s="380"/>
      <c r="AA694" s="380"/>
      <c r="AB694" s="380"/>
      <c r="AC694" s="404"/>
      <c r="AD694" s="380"/>
      <c r="AE694" s="380"/>
      <c r="AF694" s="380"/>
      <c r="AG694" s="380"/>
      <c r="AH694" s="380"/>
      <c r="AI694" s="380"/>
      <c r="AJ694" s="380"/>
      <c r="AK694" s="403"/>
      <c r="AL694" s="380"/>
      <c r="AM694" s="380"/>
      <c r="AN694" s="380"/>
      <c r="AO694" s="380"/>
      <c r="AP694" s="380"/>
      <c r="AQ694" s="404"/>
      <c r="AR694" s="380"/>
      <c r="AS694" s="380"/>
      <c r="AT694" s="380"/>
      <c r="AU694" s="380"/>
      <c r="AV694" s="380"/>
      <c r="AW694" s="380"/>
      <c r="AX694" s="380"/>
      <c r="AY694" s="403"/>
      <c r="AZ694" s="380"/>
      <c r="BA694" s="380"/>
      <c r="BB694" s="380"/>
      <c r="BC694" s="380"/>
      <c r="BD694" s="380"/>
      <c r="BE694" s="404"/>
      <c r="BF694" s="380"/>
      <c r="BG694" s="380"/>
      <c r="BH694" s="380"/>
      <c r="BI694" s="380"/>
      <c r="BJ694" s="380"/>
      <c r="BK694" s="380"/>
      <c r="BL694" s="380"/>
      <c r="BM694" s="403"/>
      <c r="BS694" s="83"/>
      <c r="CA694" s="405"/>
      <c r="CG694" s="83"/>
      <c r="CO694" s="405"/>
      <c r="CU694" s="83"/>
      <c r="DC694" s="405"/>
      <c r="DI694" s="83"/>
      <c r="DQ694" s="405"/>
      <c r="DW694" s="83"/>
      <c r="EE694" s="405"/>
      <c r="EK694" s="83"/>
      <c r="ES694" s="405"/>
      <c r="EY694" s="83"/>
      <c r="FG694" s="405"/>
      <c r="FM694" s="83"/>
      <c r="FU694" s="405"/>
      <c r="GA694" s="83"/>
      <c r="GI694" s="405"/>
      <c r="GO694" s="83"/>
      <c r="GW694" s="405"/>
      <c r="HC694" s="83"/>
      <c r="HK694" s="405"/>
      <c r="HQ694" s="83"/>
      <c r="HY694" s="405"/>
      <c r="IE694" s="83"/>
      <c r="IM694" s="405"/>
      <c r="IS694" s="83"/>
      <c r="JA694" s="405"/>
      <c r="JG694" s="83"/>
      <c r="JO694" s="405"/>
      <c r="JU694" s="83"/>
      <c r="KC694" s="405"/>
      <c r="KI694" s="83"/>
      <c r="KQ694" s="405"/>
      <c r="KW694" s="83"/>
      <c r="LE694" s="405"/>
      <c r="LK694" s="83"/>
      <c r="LS694" s="405"/>
      <c r="LY694" s="83"/>
      <c r="MG694" s="405"/>
      <c r="MM694" s="83"/>
      <c r="MU694" s="405"/>
      <c r="NA694" s="83"/>
    </row>
    <row r="695">
      <c r="A695" s="483"/>
      <c r="B695" s="380"/>
      <c r="C695" s="380"/>
      <c r="D695" s="380"/>
      <c r="E695" s="380"/>
      <c r="F695" s="380"/>
      <c r="G695" s="380"/>
      <c r="H695" s="380"/>
      <c r="I695" s="403"/>
      <c r="J695" s="380"/>
      <c r="K695" s="380"/>
      <c r="L695" s="380"/>
      <c r="M695" s="380"/>
      <c r="N695" s="380"/>
      <c r="O695" s="404"/>
      <c r="P695" s="380"/>
      <c r="Q695" s="380"/>
      <c r="R695" s="380"/>
      <c r="S695" s="380"/>
      <c r="T695" s="380"/>
      <c r="U695" s="380"/>
      <c r="V695" s="380"/>
      <c r="W695" s="403"/>
      <c r="X695" s="380"/>
      <c r="Y695" s="380"/>
      <c r="Z695" s="380"/>
      <c r="AA695" s="380"/>
      <c r="AB695" s="380"/>
      <c r="AC695" s="404"/>
      <c r="AD695" s="380"/>
      <c r="AE695" s="380"/>
      <c r="AF695" s="380"/>
      <c r="AG695" s="380"/>
      <c r="AH695" s="380"/>
      <c r="AI695" s="380"/>
      <c r="AJ695" s="380"/>
      <c r="AK695" s="403"/>
      <c r="AL695" s="380"/>
      <c r="AM695" s="380"/>
      <c r="AN695" s="380"/>
      <c r="AO695" s="380"/>
      <c r="AP695" s="380"/>
      <c r="AQ695" s="404"/>
      <c r="AR695" s="380"/>
      <c r="AS695" s="380"/>
      <c r="AT695" s="380"/>
      <c r="AU695" s="380"/>
      <c r="AV695" s="380"/>
      <c r="AW695" s="380"/>
      <c r="AX695" s="380"/>
      <c r="AY695" s="403"/>
      <c r="AZ695" s="380"/>
      <c r="BA695" s="380"/>
      <c r="BB695" s="380"/>
      <c r="BC695" s="380"/>
      <c r="BD695" s="380"/>
      <c r="BE695" s="404"/>
      <c r="BF695" s="380"/>
      <c r="BG695" s="380"/>
      <c r="BH695" s="380"/>
      <c r="BI695" s="380"/>
      <c r="BJ695" s="380"/>
      <c r="BK695" s="380"/>
      <c r="BL695" s="380"/>
      <c r="BM695" s="403"/>
      <c r="BS695" s="83"/>
      <c r="CA695" s="405"/>
      <c r="CG695" s="83"/>
      <c r="CO695" s="405"/>
      <c r="CU695" s="83"/>
      <c r="DC695" s="405"/>
      <c r="DI695" s="83"/>
      <c r="DQ695" s="405"/>
      <c r="DW695" s="83"/>
      <c r="EE695" s="405"/>
      <c r="EK695" s="83"/>
      <c r="ES695" s="405"/>
      <c r="EY695" s="83"/>
      <c r="FG695" s="405"/>
      <c r="FM695" s="83"/>
      <c r="FU695" s="405"/>
      <c r="GA695" s="83"/>
      <c r="GI695" s="405"/>
      <c r="GO695" s="83"/>
      <c r="GW695" s="405"/>
      <c r="HC695" s="83"/>
      <c r="HK695" s="405"/>
      <c r="HQ695" s="83"/>
      <c r="HY695" s="405"/>
      <c r="IE695" s="83"/>
      <c r="IM695" s="405"/>
      <c r="IS695" s="83"/>
      <c r="JA695" s="405"/>
      <c r="JG695" s="83"/>
      <c r="JO695" s="405"/>
      <c r="JU695" s="83"/>
      <c r="KC695" s="405"/>
      <c r="KI695" s="83"/>
      <c r="KQ695" s="405"/>
      <c r="KW695" s="83"/>
      <c r="LE695" s="405"/>
      <c r="LK695" s="83"/>
      <c r="LS695" s="405"/>
      <c r="LY695" s="83"/>
      <c r="MG695" s="405"/>
      <c r="MM695" s="83"/>
      <c r="MU695" s="405"/>
      <c r="NA695" s="83"/>
    </row>
    <row r="696">
      <c r="A696" s="483"/>
      <c r="B696" s="380"/>
      <c r="C696" s="380"/>
      <c r="D696" s="380"/>
      <c r="E696" s="380"/>
      <c r="F696" s="380"/>
      <c r="G696" s="380"/>
      <c r="H696" s="380"/>
      <c r="I696" s="403"/>
      <c r="J696" s="380"/>
      <c r="K696" s="380"/>
      <c r="L696" s="380"/>
      <c r="M696" s="380"/>
      <c r="N696" s="380"/>
      <c r="O696" s="404"/>
      <c r="P696" s="380"/>
      <c r="Q696" s="380"/>
      <c r="R696" s="380"/>
      <c r="S696" s="380"/>
      <c r="T696" s="380"/>
      <c r="U696" s="380"/>
      <c r="V696" s="380"/>
      <c r="W696" s="403"/>
      <c r="X696" s="380"/>
      <c r="Y696" s="380"/>
      <c r="Z696" s="380"/>
      <c r="AA696" s="380"/>
      <c r="AB696" s="380"/>
      <c r="AC696" s="404"/>
      <c r="AD696" s="380"/>
      <c r="AE696" s="380"/>
      <c r="AF696" s="380"/>
      <c r="AG696" s="380"/>
      <c r="AH696" s="380"/>
      <c r="AI696" s="380"/>
      <c r="AJ696" s="380"/>
      <c r="AK696" s="403"/>
      <c r="AL696" s="380"/>
      <c r="AM696" s="380"/>
      <c r="AN696" s="380"/>
      <c r="AO696" s="380"/>
      <c r="AP696" s="380"/>
      <c r="AQ696" s="404"/>
      <c r="AR696" s="380"/>
      <c r="AS696" s="380"/>
      <c r="AT696" s="380"/>
      <c r="AU696" s="380"/>
      <c r="AV696" s="380"/>
      <c r="AW696" s="380"/>
      <c r="AX696" s="380"/>
      <c r="AY696" s="403"/>
      <c r="AZ696" s="380"/>
      <c r="BA696" s="380"/>
      <c r="BB696" s="380"/>
      <c r="BC696" s="380"/>
      <c r="BD696" s="380"/>
      <c r="BE696" s="404"/>
      <c r="BF696" s="380"/>
      <c r="BG696" s="380"/>
      <c r="BH696" s="380"/>
      <c r="BI696" s="380"/>
      <c r="BJ696" s="380"/>
      <c r="BK696" s="380"/>
      <c r="BL696" s="380"/>
      <c r="BM696" s="403"/>
      <c r="BS696" s="83"/>
      <c r="CA696" s="405"/>
      <c r="CG696" s="83"/>
      <c r="CO696" s="405"/>
      <c r="CU696" s="83"/>
      <c r="DC696" s="405"/>
      <c r="DI696" s="83"/>
      <c r="DQ696" s="405"/>
      <c r="DW696" s="83"/>
      <c r="EE696" s="405"/>
      <c r="EK696" s="83"/>
      <c r="ES696" s="405"/>
      <c r="EY696" s="83"/>
      <c r="FG696" s="405"/>
      <c r="FM696" s="83"/>
      <c r="FU696" s="405"/>
      <c r="GA696" s="83"/>
      <c r="GI696" s="405"/>
      <c r="GO696" s="83"/>
      <c r="GW696" s="405"/>
      <c r="HC696" s="83"/>
      <c r="HK696" s="405"/>
      <c r="HQ696" s="83"/>
      <c r="HY696" s="405"/>
      <c r="IE696" s="83"/>
      <c r="IM696" s="405"/>
      <c r="IS696" s="83"/>
      <c r="JA696" s="405"/>
      <c r="JG696" s="83"/>
      <c r="JO696" s="405"/>
      <c r="JU696" s="83"/>
      <c r="KC696" s="405"/>
      <c r="KI696" s="83"/>
      <c r="KQ696" s="405"/>
      <c r="KW696" s="83"/>
      <c r="LE696" s="405"/>
      <c r="LK696" s="83"/>
      <c r="LS696" s="405"/>
      <c r="LY696" s="83"/>
      <c r="MG696" s="405"/>
      <c r="MM696" s="83"/>
      <c r="MU696" s="405"/>
      <c r="NA696" s="83"/>
    </row>
    <row r="697">
      <c r="A697" s="483"/>
      <c r="B697" s="380"/>
      <c r="C697" s="380"/>
      <c r="D697" s="380"/>
      <c r="E697" s="380"/>
      <c r="F697" s="380"/>
      <c r="G697" s="380"/>
      <c r="H697" s="380"/>
      <c r="I697" s="403"/>
      <c r="J697" s="380"/>
      <c r="K697" s="380"/>
      <c r="L697" s="380"/>
      <c r="M697" s="380"/>
      <c r="N697" s="380"/>
      <c r="O697" s="404"/>
      <c r="P697" s="380"/>
      <c r="Q697" s="380"/>
      <c r="R697" s="380"/>
      <c r="S697" s="380"/>
      <c r="T697" s="380"/>
      <c r="U697" s="380"/>
      <c r="V697" s="380"/>
      <c r="W697" s="403"/>
      <c r="X697" s="380"/>
      <c r="Y697" s="380"/>
      <c r="Z697" s="380"/>
      <c r="AA697" s="380"/>
      <c r="AB697" s="380"/>
      <c r="AC697" s="404"/>
      <c r="AD697" s="380"/>
      <c r="AE697" s="380"/>
      <c r="AF697" s="380"/>
      <c r="AG697" s="380"/>
      <c r="AH697" s="380"/>
      <c r="AI697" s="380"/>
      <c r="AJ697" s="380"/>
      <c r="AK697" s="403"/>
      <c r="AL697" s="380"/>
      <c r="AM697" s="380"/>
      <c r="AN697" s="380"/>
      <c r="AO697" s="380"/>
      <c r="AP697" s="380"/>
      <c r="AQ697" s="404"/>
      <c r="AR697" s="380"/>
      <c r="AS697" s="380"/>
      <c r="AT697" s="380"/>
      <c r="AU697" s="380"/>
      <c r="AV697" s="380"/>
      <c r="AW697" s="380"/>
      <c r="AX697" s="380"/>
      <c r="AY697" s="403"/>
      <c r="AZ697" s="380"/>
      <c r="BA697" s="380"/>
      <c r="BB697" s="380"/>
      <c r="BC697" s="380"/>
      <c r="BD697" s="380"/>
      <c r="BE697" s="404"/>
      <c r="BF697" s="380"/>
      <c r="BG697" s="380"/>
      <c r="BH697" s="380"/>
      <c r="BI697" s="380"/>
      <c r="BJ697" s="380"/>
      <c r="BK697" s="380"/>
      <c r="BL697" s="380"/>
      <c r="BM697" s="403"/>
      <c r="BS697" s="83"/>
      <c r="CA697" s="405"/>
      <c r="CG697" s="83"/>
      <c r="CO697" s="405"/>
      <c r="CU697" s="83"/>
      <c r="DC697" s="405"/>
      <c r="DI697" s="83"/>
      <c r="DQ697" s="405"/>
      <c r="DW697" s="83"/>
      <c r="EE697" s="405"/>
      <c r="EK697" s="83"/>
      <c r="ES697" s="405"/>
      <c r="EY697" s="83"/>
      <c r="FG697" s="405"/>
      <c r="FM697" s="83"/>
      <c r="FU697" s="405"/>
      <c r="GA697" s="83"/>
      <c r="GI697" s="405"/>
      <c r="GO697" s="83"/>
      <c r="GW697" s="405"/>
      <c r="HC697" s="83"/>
      <c r="HK697" s="405"/>
      <c r="HQ697" s="83"/>
      <c r="HY697" s="405"/>
      <c r="IE697" s="83"/>
      <c r="IM697" s="405"/>
      <c r="IS697" s="83"/>
      <c r="JA697" s="405"/>
      <c r="JG697" s="83"/>
      <c r="JO697" s="405"/>
      <c r="JU697" s="83"/>
      <c r="KC697" s="405"/>
      <c r="KI697" s="83"/>
      <c r="KQ697" s="405"/>
      <c r="KW697" s="83"/>
      <c r="LE697" s="405"/>
      <c r="LK697" s="83"/>
      <c r="LS697" s="405"/>
      <c r="LY697" s="83"/>
      <c r="MG697" s="405"/>
      <c r="MM697" s="83"/>
      <c r="MU697" s="405"/>
      <c r="NA697" s="83"/>
    </row>
    <row r="698">
      <c r="A698" s="483"/>
      <c r="B698" s="380"/>
      <c r="C698" s="380"/>
      <c r="D698" s="380"/>
      <c r="E698" s="380"/>
      <c r="F698" s="380"/>
      <c r="G698" s="380"/>
      <c r="H698" s="380"/>
      <c r="I698" s="403"/>
      <c r="J698" s="380"/>
      <c r="K698" s="380"/>
      <c r="L698" s="380"/>
      <c r="M698" s="380"/>
      <c r="N698" s="380"/>
      <c r="O698" s="404"/>
      <c r="P698" s="380"/>
      <c r="Q698" s="380"/>
      <c r="R698" s="380"/>
      <c r="S698" s="380"/>
      <c r="T698" s="380"/>
      <c r="U698" s="380"/>
      <c r="V698" s="380"/>
      <c r="W698" s="403"/>
      <c r="X698" s="380"/>
      <c r="Y698" s="380"/>
      <c r="Z698" s="380"/>
      <c r="AA698" s="380"/>
      <c r="AB698" s="380"/>
      <c r="AC698" s="404"/>
      <c r="AD698" s="380"/>
      <c r="AE698" s="380"/>
      <c r="AF698" s="380"/>
      <c r="AG698" s="380"/>
      <c r="AH698" s="380"/>
      <c r="AI698" s="380"/>
      <c r="AJ698" s="380"/>
      <c r="AK698" s="403"/>
      <c r="AL698" s="380"/>
      <c r="AM698" s="380"/>
      <c r="AN698" s="380"/>
      <c r="AO698" s="380"/>
      <c r="AP698" s="380"/>
      <c r="AQ698" s="404"/>
      <c r="AR698" s="380"/>
      <c r="AS698" s="380"/>
      <c r="AT698" s="380"/>
      <c r="AU698" s="380"/>
      <c r="AV698" s="380"/>
      <c r="AW698" s="380"/>
      <c r="AX698" s="380"/>
      <c r="AY698" s="403"/>
      <c r="AZ698" s="380"/>
      <c r="BA698" s="380"/>
      <c r="BB698" s="380"/>
      <c r="BC698" s="380"/>
      <c r="BD698" s="380"/>
      <c r="BE698" s="404"/>
      <c r="BF698" s="380"/>
      <c r="BG698" s="380"/>
      <c r="BH698" s="380"/>
      <c r="BI698" s="380"/>
      <c r="BJ698" s="380"/>
      <c r="BK698" s="380"/>
      <c r="BL698" s="380"/>
      <c r="BM698" s="403"/>
      <c r="BS698" s="83"/>
      <c r="CA698" s="405"/>
      <c r="CG698" s="83"/>
      <c r="CO698" s="405"/>
      <c r="CU698" s="83"/>
      <c r="DC698" s="405"/>
      <c r="DI698" s="83"/>
      <c r="DQ698" s="405"/>
      <c r="DW698" s="83"/>
      <c r="EE698" s="405"/>
      <c r="EK698" s="83"/>
      <c r="ES698" s="405"/>
      <c r="EY698" s="83"/>
      <c r="FG698" s="405"/>
      <c r="FM698" s="83"/>
      <c r="FU698" s="405"/>
      <c r="GA698" s="83"/>
      <c r="GI698" s="405"/>
      <c r="GO698" s="83"/>
      <c r="GW698" s="405"/>
      <c r="HC698" s="83"/>
      <c r="HK698" s="405"/>
      <c r="HQ698" s="83"/>
      <c r="HY698" s="405"/>
      <c r="IE698" s="83"/>
      <c r="IM698" s="405"/>
      <c r="IS698" s="83"/>
      <c r="JA698" s="405"/>
      <c r="JG698" s="83"/>
      <c r="JO698" s="405"/>
      <c r="JU698" s="83"/>
      <c r="KC698" s="405"/>
      <c r="KI698" s="83"/>
      <c r="KQ698" s="405"/>
      <c r="KW698" s="83"/>
      <c r="LE698" s="405"/>
      <c r="LK698" s="83"/>
      <c r="LS698" s="405"/>
      <c r="LY698" s="83"/>
      <c r="MG698" s="405"/>
      <c r="MM698" s="83"/>
      <c r="MU698" s="405"/>
      <c r="NA698" s="83"/>
    </row>
    <row r="699">
      <c r="A699" s="483"/>
      <c r="B699" s="380"/>
      <c r="C699" s="380"/>
      <c r="D699" s="380"/>
      <c r="E699" s="380"/>
      <c r="F699" s="380"/>
      <c r="G699" s="380"/>
      <c r="H699" s="380"/>
      <c r="I699" s="403"/>
      <c r="J699" s="380"/>
      <c r="K699" s="380"/>
      <c r="L699" s="380"/>
      <c r="M699" s="380"/>
      <c r="N699" s="380"/>
      <c r="O699" s="404"/>
      <c r="P699" s="380"/>
      <c r="Q699" s="380"/>
      <c r="R699" s="380"/>
      <c r="S699" s="380"/>
      <c r="T699" s="380"/>
      <c r="U699" s="380"/>
      <c r="V699" s="380"/>
      <c r="W699" s="403"/>
      <c r="X699" s="380"/>
      <c r="Y699" s="380"/>
      <c r="Z699" s="380"/>
      <c r="AA699" s="380"/>
      <c r="AB699" s="380"/>
      <c r="AC699" s="404"/>
      <c r="AD699" s="380"/>
      <c r="AE699" s="380"/>
      <c r="AF699" s="380"/>
      <c r="AG699" s="380"/>
      <c r="AH699" s="380"/>
      <c r="AI699" s="380"/>
      <c r="AJ699" s="380"/>
      <c r="AK699" s="403"/>
      <c r="AL699" s="380"/>
      <c r="AM699" s="380"/>
      <c r="AN699" s="380"/>
      <c r="AO699" s="380"/>
      <c r="AP699" s="380"/>
      <c r="AQ699" s="404"/>
      <c r="AR699" s="380"/>
      <c r="AS699" s="380"/>
      <c r="AT699" s="380"/>
      <c r="AU699" s="380"/>
      <c r="AV699" s="380"/>
      <c r="AW699" s="380"/>
      <c r="AX699" s="380"/>
      <c r="AY699" s="403"/>
      <c r="AZ699" s="380"/>
      <c r="BA699" s="380"/>
      <c r="BB699" s="380"/>
      <c r="BC699" s="380"/>
      <c r="BD699" s="380"/>
      <c r="BE699" s="404"/>
      <c r="BF699" s="380"/>
      <c r="BG699" s="380"/>
      <c r="BH699" s="380"/>
      <c r="BI699" s="380"/>
      <c r="BJ699" s="380"/>
      <c r="BK699" s="380"/>
      <c r="BL699" s="380"/>
      <c r="BM699" s="403"/>
      <c r="BS699" s="83"/>
      <c r="CA699" s="405"/>
      <c r="CG699" s="83"/>
      <c r="CO699" s="405"/>
      <c r="CU699" s="83"/>
      <c r="DC699" s="405"/>
      <c r="DI699" s="83"/>
      <c r="DQ699" s="405"/>
      <c r="DW699" s="83"/>
      <c r="EE699" s="405"/>
      <c r="EK699" s="83"/>
      <c r="ES699" s="405"/>
      <c r="EY699" s="83"/>
      <c r="FG699" s="405"/>
      <c r="FM699" s="83"/>
      <c r="FU699" s="405"/>
      <c r="GA699" s="83"/>
      <c r="GI699" s="405"/>
      <c r="GO699" s="83"/>
      <c r="GW699" s="405"/>
      <c r="HC699" s="83"/>
      <c r="HK699" s="405"/>
      <c r="HQ699" s="83"/>
      <c r="HY699" s="405"/>
      <c r="IE699" s="83"/>
      <c r="IM699" s="405"/>
      <c r="IS699" s="83"/>
      <c r="JA699" s="405"/>
      <c r="JG699" s="83"/>
      <c r="JO699" s="405"/>
      <c r="JU699" s="83"/>
      <c r="KC699" s="405"/>
      <c r="KI699" s="83"/>
      <c r="KQ699" s="405"/>
      <c r="KW699" s="83"/>
      <c r="LE699" s="405"/>
      <c r="LK699" s="83"/>
      <c r="LS699" s="405"/>
      <c r="LY699" s="83"/>
      <c r="MG699" s="405"/>
      <c r="MM699" s="83"/>
      <c r="MU699" s="405"/>
      <c r="NA699" s="83"/>
    </row>
    <row r="700">
      <c r="A700" s="483"/>
      <c r="B700" s="380"/>
      <c r="C700" s="380"/>
      <c r="D700" s="380"/>
      <c r="E700" s="380"/>
      <c r="F700" s="380"/>
      <c r="G700" s="380"/>
      <c r="H700" s="380"/>
      <c r="I700" s="403"/>
      <c r="J700" s="380"/>
      <c r="K700" s="380"/>
      <c r="L700" s="380"/>
      <c r="M700" s="380"/>
      <c r="N700" s="380"/>
      <c r="O700" s="404"/>
      <c r="P700" s="380"/>
      <c r="Q700" s="380"/>
      <c r="R700" s="380"/>
      <c r="S700" s="380"/>
      <c r="T700" s="380"/>
      <c r="U700" s="380"/>
      <c r="V700" s="380"/>
      <c r="W700" s="403"/>
      <c r="X700" s="380"/>
      <c r="Y700" s="380"/>
      <c r="Z700" s="380"/>
      <c r="AA700" s="380"/>
      <c r="AB700" s="380"/>
      <c r="AC700" s="404"/>
      <c r="AD700" s="380"/>
      <c r="AE700" s="380"/>
      <c r="AF700" s="380"/>
      <c r="AG700" s="380"/>
      <c r="AH700" s="380"/>
      <c r="AI700" s="380"/>
      <c r="AJ700" s="380"/>
      <c r="AK700" s="403"/>
      <c r="AL700" s="380"/>
      <c r="AM700" s="380"/>
      <c r="AN700" s="380"/>
      <c r="AO700" s="380"/>
      <c r="AP700" s="380"/>
      <c r="AQ700" s="404"/>
      <c r="AR700" s="380"/>
      <c r="AS700" s="380"/>
      <c r="AT700" s="380"/>
      <c r="AU700" s="380"/>
      <c r="AV700" s="380"/>
      <c r="AW700" s="380"/>
      <c r="AX700" s="380"/>
      <c r="AY700" s="403"/>
      <c r="AZ700" s="380"/>
      <c r="BA700" s="380"/>
      <c r="BB700" s="380"/>
      <c r="BC700" s="380"/>
      <c r="BD700" s="380"/>
      <c r="BE700" s="404"/>
      <c r="BF700" s="380"/>
      <c r="BG700" s="380"/>
      <c r="BH700" s="380"/>
      <c r="BI700" s="380"/>
      <c r="BJ700" s="380"/>
      <c r="BK700" s="380"/>
      <c r="BL700" s="380"/>
      <c r="BM700" s="403"/>
      <c r="BS700" s="83"/>
      <c r="CA700" s="405"/>
      <c r="CG700" s="83"/>
      <c r="CO700" s="405"/>
      <c r="CU700" s="83"/>
      <c r="DC700" s="405"/>
      <c r="DI700" s="83"/>
      <c r="DQ700" s="405"/>
      <c r="DW700" s="83"/>
      <c r="EE700" s="405"/>
      <c r="EK700" s="83"/>
      <c r="ES700" s="405"/>
      <c r="EY700" s="83"/>
      <c r="FG700" s="405"/>
      <c r="FM700" s="83"/>
      <c r="FU700" s="405"/>
      <c r="GA700" s="83"/>
      <c r="GI700" s="405"/>
      <c r="GO700" s="83"/>
      <c r="GW700" s="405"/>
      <c r="HC700" s="83"/>
      <c r="HK700" s="405"/>
      <c r="HQ700" s="83"/>
      <c r="HY700" s="405"/>
      <c r="IE700" s="83"/>
      <c r="IM700" s="405"/>
      <c r="IS700" s="83"/>
      <c r="JA700" s="405"/>
      <c r="JG700" s="83"/>
      <c r="JO700" s="405"/>
      <c r="JU700" s="83"/>
      <c r="KC700" s="405"/>
      <c r="KI700" s="83"/>
      <c r="KQ700" s="405"/>
      <c r="KW700" s="83"/>
      <c r="LE700" s="405"/>
      <c r="LK700" s="83"/>
      <c r="LS700" s="405"/>
      <c r="LY700" s="83"/>
      <c r="MG700" s="405"/>
      <c r="MM700" s="83"/>
      <c r="MU700" s="405"/>
      <c r="NA700" s="83"/>
    </row>
    <row r="701">
      <c r="A701" s="483"/>
      <c r="B701" s="380"/>
      <c r="C701" s="380"/>
      <c r="D701" s="380"/>
      <c r="E701" s="380"/>
      <c r="F701" s="380"/>
      <c r="G701" s="380"/>
      <c r="H701" s="380"/>
      <c r="I701" s="403"/>
      <c r="J701" s="380"/>
      <c r="K701" s="380"/>
      <c r="L701" s="380"/>
      <c r="M701" s="380"/>
      <c r="N701" s="380"/>
      <c r="O701" s="404"/>
      <c r="P701" s="380"/>
      <c r="Q701" s="380"/>
      <c r="R701" s="380"/>
      <c r="S701" s="380"/>
      <c r="T701" s="380"/>
      <c r="U701" s="380"/>
      <c r="V701" s="380"/>
      <c r="W701" s="403"/>
      <c r="X701" s="380"/>
      <c r="Y701" s="380"/>
      <c r="Z701" s="380"/>
      <c r="AA701" s="380"/>
      <c r="AB701" s="380"/>
      <c r="AC701" s="404"/>
      <c r="AD701" s="380"/>
      <c r="AE701" s="380"/>
      <c r="AF701" s="380"/>
      <c r="AG701" s="380"/>
      <c r="AH701" s="380"/>
      <c r="AI701" s="380"/>
      <c r="AJ701" s="380"/>
      <c r="AK701" s="403"/>
      <c r="AL701" s="380"/>
      <c r="AM701" s="380"/>
      <c r="AN701" s="380"/>
      <c r="AO701" s="380"/>
      <c r="AP701" s="380"/>
      <c r="AQ701" s="404"/>
      <c r="AR701" s="380"/>
      <c r="AS701" s="380"/>
      <c r="AT701" s="380"/>
      <c r="AU701" s="380"/>
      <c r="AV701" s="380"/>
      <c r="AW701" s="380"/>
      <c r="AX701" s="380"/>
      <c r="AY701" s="403"/>
      <c r="AZ701" s="380"/>
      <c r="BA701" s="380"/>
      <c r="BB701" s="380"/>
      <c r="BC701" s="380"/>
      <c r="BD701" s="380"/>
      <c r="BE701" s="404"/>
      <c r="BF701" s="380"/>
      <c r="BG701" s="380"/>
      <c r="BH701" s="380"/>
      <c r="BI701" s="380"/>
      <c r="BJ701" s="380"/>
      <c r="BK701" s="380"/>
      <c r="BL701" s="380"/>
      <c r="BM701" s="403"/>
      <c r="BS701" s="83"/>
      <c r="CA701" s="405"/>
      <c r="CG701" s="83"/>
      <c r="CO701" s="405"/>
      <c r="CU701" s="83"/>
      <c r="DC701" s="405"/>
      <c r="DI701" s="83"/>
      <c r="DQ701" s="405"/>
      <c r="DW701" s="83"/>
      <c r="EE701" s="405"/>
      <c r="EK701" s="83"/>
      <c r="ES701" s="405"/>
      <c r="EY701" s="83"/>
      <c r="FG701" s="405"/>
      <c r="FM701" s="83"/>
      <c r="FU701" s="405"/>
      <c r="GA701" s="83"/>
      <c r="GI701" s="405"/>
      <c r="GO701" s="83"/>
      <c r="GW701" s="405"/>
      <c r="HC701" s="83"/>
      <c r="HK701" s="405"/>
      <c r="HQ701" s="83"/>
      <c r="HY701" s="405"/>
      <c r="IE701" s="83"/>
      <c r="IM701" s="405"/>
      <c r="IS701" s="83"/>
      <c r="JA701" s="405"/>
      <c r="JG701" s="83"/>
      <c r="JO701" s="405"/>
      <c r="JU701" s="83"/>
      <c r="KC701" s="405"/>
      <c r="KI701" s="83"/>
      <c r="KQ701" s="405"/>
      <c r="KW701" s="83"/>
      <c r="LE701" s="405"/>
      <c r="LK701" s="83"/>
      <c r="LS701" s="405"/>
      <c r="LY701" s="83"/>
      <c r="MG701" s="405"/>
      <c r="MM701" s="83"/>
      <c r="MU701" s="405"/>
      <c r="NA701" s="83"/>
    </row>
    <row r="702">
      <c r="A702" s="483"/>
      <c r="B702" s="380"/>
      <c r="C702" s="380"/>
      <c r="D702" s="380"/>
      <c r="E702" s="380"/>
      <c r="F702" s="380"/>
      <c r="G702" s="380"/>
      <c r="H702" s="380"/>
      <c r="I702" s="403"/>
      <c r="J702" s="380"/>
      <c r="K702" s="380"/>
      <c r="L702" s="380"/>
      <c r="M702" s="380"/>
      <c r="N702" s="380"/>
      <c r="O702" s="404"/>
      <c r="P702" s="380"/>
      <c r="Q702" s="380"/>
      <c r="R702" s="380"/>
      <c r="S702" s="380"/>
      <c r="T702" s="380"/>
      <c r="U702" s="380"/>
      <c r="V702" s="380"/>
      <c r="W702" s="403"/>
      <c r="X702" s="380"/>
      <c r="Y702" s="380"/>
      <c r="Z702" s="380"/>
      <c r="AA702" s="380"/>
      <c r="AB702" s="380"/>
      <c r="AC702" s="404"/>
      <c r="AD702" s="380"/>
      <c r="AE702" s="380"/>
      <c r="AF702" s="380"/>
      <c r="AG702" s="380"/>
      <c r="AH702" s="380"/>
      <c r="AI702" s="380"/>
      <c r="AJ702" s="380"/>
      <c r="AK702" s="403"/>
      <c r="AL702" s="380"/>
      <c r="AM702" s="380"/>
      <c r="AN702" s="380"/>
      <c r="AO702" s="380"/>
      <c r="AP702" s="380"/>
      <c r="AQ702" s="404"/>
      <c r="AR702" s="380"/>
      <c r="AS702" s="380"/>
      <c r="AT702" s="380"/>
      <c r="AU702" s="380"/>
      <c r="AV702" s="380"/>
      <c r="AW702" s="380"/>
      <c r="AX702" s="380"/>
      <c r="AY702" s="403"/>
      <c r="AZ702" s="380"/>
      <c r="BA702" s="380"/>
      <c r="BB702" s="380"/>
      <c r="BC702" s="380"/>
      <c r="BD702" s="380"/>
      <c r="BE702" s="404"/>
      <c r="BF702" s="380"/>
      <c r="BG702" s="380"/>
      <c r="BH702" s="380"/>
      <c r="BI702" s="380"/>
      <c r="BJ702" s="380"/>
      <c r="BK702" s="380"/>
      <c r="BL702" s="380"/>
      <c r="BM702" s="403"/>
      <c r="BS702" s="83"/>
      <c r="CA702" s="405"/>
      <c r="CG702" s="83"/>
      <c r="CO702" s="405"/>
      <c r="CU702" s="83"/>
      <c r="DC702" s="405"/>
      <c r="DI702" s="83"/>
      <c r="DQ702" s="405"/>
      <c r="DW702" s="83"/>
      <c r="EE702" s="405"/>
      <c r="EK702" s="83"/>
      <c r="ES702" s="405"/>
      <c r="EY702" s="83"/>
      <c r="FG702" s="405"/>
      <c r="FM702" s="83"/>
      <c r="FU702" s="405"/>
      <c r="GA702" s="83"/>
      <c r="GI702" s="405"/>
      <c r="GO702" s="83"/>
      <c r="GW702" s="405"/>
      <c r="HC702" s="83"/>
      <c r="HK702" s="405"/>
      <c r="HQ702" s="83"/>
      <c r="HY702" s="405"/>
      <c r="IE702" s="83"/>
      <c r="IM702" s="405"/>
      <c r="IS702" s="83"/>
      <c r="JA702" s="405"/>
      <c r="JG702" s="83"/>
      <c r="JO702" s="405"/>
      <c r="JU702" s="83"/>
      <c r="KC702" s="405"/>
      <c r="KI702" s="83"/>
      <c r="KQ702" s="405"/>
      <c r="KW702" s="83"/>
      <c r="LE702" s="405"/>
      <c r="LK702" s="83"/>
      <c r="LS702" s="405"/>
      <c r="LY702" s="83"/>
      <c r="MG702" s="405"/>
      <c r="MM702" s="83"/>
      <c r="MU702" s="405"/>
      <c r="NA702" s="83"/>
    </row>
    <row r="703">
      <c r="A703" s="483"/>
      <c r="B703" s="380"/>
      <c r="C703" s="380"/>
      <c r="D703" s="380"/>
      <c r="E703" s="380"/>
      <c r="F703" s="380"/>
      <c r="G703" s="380"/>
      <c r="H703" s="380"/>
      <c r="I703" s="403"/>
      <c r="J703" s="380"/>
      <c r="K703" s="380"/>
      <c r="L703" s="380"/>
      <c r="M703" s="380"/>
      <c r="N703" s="380"/>
      <c r="O703" s="404"/>
      <c r="P703" s="380"/>
      <c r="Q703" s="380"/>
      <c r="R703" s="380"/>
      <c r="S703" s="380"/>
      <c r="T703" s="380"/>
      <c r="U703" s="380"/>
      <c r="V703" s="380"/>
      <c r="W703" s="403"/>
      <c r="X703" s="380"/>
      <c r="Y703" s="380"/>
      <c r="Z703" s="380"/>
      <c r="AA703" s="380"/>
      <c r="AB703" s="380"/>
      <c r="AC703" s="404"/>
      <c r="AD703" s="380"/>
      <c r="AE703" s="380"/>
      <c r="AF703" s="380"/>
      <c r="AG703" s="380"/>
      <c r="AH703" s="380"/>
      <c r="AI703" s="380"/>
      <c r="AJ703" s="380"/>
      <c r="AK703" s="403"/>
      <c r="AL703" s="380"/>
      <c r="AM703" s="380"/>
      <c r="AN703" s="380"/>
      <c r="AO703" s="380"/>
      <c r="AP703" s="380"/>
      <c r="AQ703" s="404"/>
      <c r="AR703" s="380"/>
      <c r="AS703" s="380"/>
      <c r="AT703" s="380"/>
      <c r="AU703" s="380"/>
      <c r="AV703" s="380"/>
      <c r="AW703" s="380"/>
      <c r="AX703" s="380"/>
      <c r="AY703" s="403"/>
      <c r="AZ703" s="380"/>
      <c r="BA703" s="380"/>
      <c r="BB703" s="380"/>
      <c r="BC703" s="380"/>
      <c r="BD703" s="380"/>
      <c r="BE703" s="404"/>
      <c r="BF703" s="380"/>
      <c r="BG703" s="380"/>
      <c r="BH703" s="380"/>
      <c r="BI703" s="380"/>
      <c r="BJ703" s="380"/>
      <c r="BK703" s="380"/>
      <c r="BL703" s="380"/>
      <c r="BM703" s="403"/>
      <c r="BS703" s="83"/>
      <c r="CA703" s="405"/>
      <c r="CG703" s="83"/>
      <c r="CO703" s="405"/>
      <c r="CU703" s="83"/>
      <c r="DC703" s="405"/>
      <c r="DI703" s="83"/>
      <c r="DQ703" s="405"/>
      <c r="DW703" s="83"/>
      <c r="EE703" s="405"/>
      <c r="EK703" s="83"/>
      <c r="ES703" s="405"/>
      <c r="EY703" s="83"/>
      <c r="FG703" s="405"/>
      <c r="FM703" s="83"/>
      <c r="FU703" s="405"/>
      <c r="GA703" s="83"/>
      <c r="GI703" s="405"/>
      <c r="GO703" s="83"/>
      <c r="GW703" s="405"/>
      <c r="HC703" s="83"/>
      <c r="HK703" s="405"/>
      <c r="HQ703" s="83"/>
      <c r="HY703" s="405"/>
      <c r="IE703" s="83"/>
      <c r="IM703" s="405"/>
      <c r="IS703" s="83"/>
      <c r="JA703" s="405"/>
      <c r="JG703" s="83"/>
      <c r="JO703" s="405"/>
      <c r="JU703" s="83"/>
      <c r="KC703" s="405"/>
      <c r="KI703" s="83"/>
      <c r="KQ703" s="405"/>
      <c r="KW703" s="83"/>
      <c r="LE703" s="405"/>
      <c r="LK703" s="83"/>
      <c r="LS703" s="405"/>
      <c r="LY703" s="83"/>
      <c r="MG703" s="405"/>
      <c r="MM703" s="83"/>
      <c r="MU703" s="405"/>
      <c r="NA703" s="83"/>
    </row>
    <row r="704">
      <c r="A704" s="483"/>
      <c r="B704" s="380"/>
      <c r="C704" s="380"/>
      <c r="D704" s="380"/>
      <c r="E704" s="380"/>
      <c r="F704" s="380"/>
      <c r="G704" s="380"/>
      <c r="H704" s="380"/>
      <c r="I704" s="403"/>
      <c r="J704" s="380"/>
      <c r="K704" s="380"/>
      <c r="L704" s="380"/>
      <c r="M704" s="380"/>
      <c r="N704" s="380"/>
      <c r="O704" s="404"/>
      <c r="P704" s="380"/>
      <c r="Q704" s="380"/>
      <c r="R704" s="380"/>
      <c r="S704" s="380"/>
      <c r="T704" s="380"/>
      <c r="U704" s="380"/>
      <c r="V704" s="380"/>
      <c r="W704" s="403"/>
      <c r="X704" s="380"/>
      <c r="Y704" s="380"/>
      <c r="Z704" s="380"/>
      <c r="AA704" s="380"/>
      <c r="AB704" s="380"/>
      <c r="AC704" s="404"/>
      <c r="AD704" s="380"/>
      <c r="AE704" s="380"/>
      <c r="AF704" s="380"/>
      <c r="AG704" s="380"/>
      <c r="AH704" s="380"/>
      <c r="AI704" s="380"/>
      <c r="AJ704" s="380"/>
      <c r="AK704" s="403"/>
      <c r="AL704" s="380"/>
      <c r="AM704" s="380"/>
      <c r="AN704" s="380"/>
      <c r="AO704" s="380"/>
      <c r="AP704" s="380"/>
      <c r="AQ704" s="404"/>
      <c r="AR704" s="380"/>
      <c r="AS704" s="380"/>
      <c r="AT704" s="380"/>
      <c r="AU704" s="380"/>
      <c r="AV704" s="380"/>
      <c r="AW704" s="380"/>
      <c r="AX704" s="380"/>
      <c r="AY704" s="403"/>
      <c r="AZ704" s="380"/>
      <c r="BA704" s="380"/>
      <c r="BB704" s="380"/>
      <c r="BC704" s="380"/>
      <c r="BD704" s="380"/>
      <c r="BE704" s="404"/>
      <c r="BF704" s="380"/>
      <c r="BG704" s="380"/>
      <c r="BH704" s="380"/>
      <c r="BI704" s="380"/>
      <c r="BJ704" s="380"/>
      <c r="BK704" s="380"/>
      <c r="BL704" s="380"/>
      <c r="BM704" s="403"/>
      <c r="BS704" s="83"/>
      <c r="CA704" s="405"/>
      <c r="CG704" s="83"/>
      <c r="CO704" s="405"/>
      <c r="CU704" s="83"/>
      <c r="DC704" s="405"/>
      <c r="DI704" s="83"/>
      <c r="DQ704" s="405"/>
      <c r="DW704" s="83"/>
      <c r="EE704" s="405"/>
      <c r="EK704" s="83"/>
      <c r="ES704" s="405"/>
      <c r="EY704" s="83"/>
      <c r="FG704" s="405"/>
      <c r="FM704" s="83"/>
      <c r="FU704" s="405"/>
      <c r="GA704" s="83"/>
      <c r="GI704" s="405"/>
      <c r="GO704" s="83"/>
      <c r="GW704" s="405"/>
      <c r="HC704" s="83"/>
      <c r="HK704" s="405"/>
      <c r="HQ704" s="83"/>
      <c r="HY704" s="405"/>
      <c r="IE704" s="83"/>
      <c r="IM704" s="405"/>
      <c r="IS704" s="83"/>
      <c r="JA704" s="405"/>
      <c r="JG704" s="83"/>
      <c r="JO704" s="405"/>
      <c r="JU704" s="83"/>
      <c r="KC704" s="405"/>
      <c r="KI704" s="83"/>
      <c r="KQ704" s="405"/>
      <c r="KW704" s="83"/>
      <c r="LE704" s="405"/>
      <c r="LK704" s="83"/>
      <c r="LS704" s="405"/>
      <c r="LY704" s="83"/>
      <c r="MG704" s="405"/>
      <c r="MM704" s="83"/>
      <c r="MU704" s="405"/>
      <c r="NA704" s="83"/>
    </row>
    <row r="705">
      <c r="A705" s="483"/>
      <c r="B705" s="380"/>
      <c r="C705" s="380"/>
      <c r="D705" s="380"/>
      <c r="E705" s="380"/>
      <c r="F705" s="380"/>
      <c r="G705" s="380"/>
      <c r="H705" s="380"/>
      <c r="I705" s="403"/>
      <c r="J705" s="380"/>
      <c r="K705" s="380"/>
      <c r="L705" s="380"/>
      <c r="M705" s="380"/>
      <c r="N705" s="380"/>
      <c r="O705" s="404"/>
      <c r="P705" s="380"/>
      <c r="Q705" s="380"/>
      <c r="R705" s="380"/>
      <c r="S705" s="380"/>
      <c r="T705" s="380"/>
      <c r="U705" s="380"/>
      <c r="V705" s="380"/>
      <c r="W705" s="403"/>
      <c r="X705" s="380"/>
      <c r="Y705" s="380"/>
      <c r="Z705" s="380"/>
      <c r="AA705" s="380"/>
      <c r="AB705" s="380"/>
      <c r="AC705" s="404"/>
      <c r="AD705" s="380"/>
      <c r="AE705" s="380"/>
      <c r="AF705" s="380"/>
      <c r="AG705" s="380"/>
      <c r="AH705" s="380"/>
      <c r="AI705" s="380"/>
      <c r="AJ705" s="380"/>
      <c r="AK705" s="403"/>
      <c r="AL705" s="380"/>
      <c r="AM705" s="380"/>
      <c r="AN705" s="380"/>
      <c r="AO705" s="380"/>
      <c r="AP705" s="380"/>
      <c r="AQ705" s="404"/>
      <c r="AR705" s="380"/>
      <c r="AS705" s="380"/>
      <c r="AT705" s="380"/>
      <c r="AU705" s="380"/>
      <c r="AV705" s="380"/>
      <c r="AW705" s="380"/>
      <c r="AX705" s="380"/>
      <c r="AY705" s="403"/>
      <c r="AZ705" s="380"/>
      <c r="BA705" s="380"/>
      <c r="BB705" s="380"/>
      <c r="BC705" s="380"/>
      <c r="BD705" s="380"/>
      <c r="BE705" s="404"/>
      <c r="BF705" s="380"/>
      <c r="BG705" s="380"/>
      <c r="BH705" s="380"/>
      <c r="BI705" s="380"/>
      <c r="BJ705" s="380"/>
      <c r="BK705" s="380"/>
      <c r="BL705" s="380"/>
      <c r="BM705" s="403"/>
      <c r="BS705" s="83"/>
      <c r="CA705" s="405"/>
      <c r="CG705" s="83"/>
      <c r="CO705" s="405"/>
      <c r="CU705" s="83"/>
      <c r="DC705" s="405"/>
      <c r="DI705" s="83"/>
      <c r="DQ705" s="405"/>
      <c r="DW705" s="83"/>
      <c r="EE705" s="405"/>
      <c r="EK705" s="83"/>
      <c r="ES705" s="405"/>
      <c r="EY705" s="83"/>
      <c r="FG705" s="405"/>
      <c r="FM705" s="83"/>
      <c r="FU705" s="405"/>
      <c r="GA705" s="83"/>
      <c r="GI705" s="405"/>
      <c r="GO705" s="83"/>
      <c r="GW705" s="405"/>
      <c r="HC705" s="83"/>
      <c r="HK705" s="405"/>
      <c r="HQ705" s="83"/>
      <c r="HY705" s="405"/>
      <c r="IE705" s="83"/>
      <c r="IM705" s="405"/>
      <c r="IS705" s="83"/>
      <c r="JA705" s="405"/>
      <c r="JG705" s="83"/>
      <c r="JO705" s="405"/>
      <c r="JU705" s="83"/>
      <c r="KC705" s="405"/>
      <c r="KI705" s="83"/>
      <c r="KQ705" s="405"/>
      <c r="KW705" s="83"/>
      <c r="LE705" s="405"/>
      <c r="LK705" s="83"/>
      <c r="LS705" s="405"/>
      <c r="LY705" s="83"/>
      <c r="MG705" s="405"/>
      <c r="MM705" s="83"/>
      <c r="MU705" s="405"/>
      <c r="NA705" s="83"/>
    </row>
    <row r="706">
      <c r="A706" s="483"/>
      <c r="B706" s="380"/>
      <c r="C706" s="380"/>
      <c r="D706" s="380"/>
      <c r="E706" s="380"/>
      <c r="F706" s="380"/>
      <c r="G706" s="380"/>
      <c r="H706" s="380"/>
      <c r="I706" s="403"/>
      <c r="J706" s="380"/>
      <c r="K706" s="380"/>
      <c r="L706" s="380"/>
      <c r="M706" s="380"/>
      <c r="N706" s="380"/>
      <c r="O706" s="404"/>
      <c r="P706" s="380"/>
      <c r="Q706" s="380"/>
      <c r="R706" s="380"/>
      <c r="S706" s="380"/>
      <c r="T706" s="380"/>
      <c r="U706" s="380"/>
      <c r="V706" s="380"/>
      <c r="W706" s="403"/>
      <c r="X706" s="380"/>
      <c r="Y706" s="380"/>
      <c r="Z706" s="380"/>
      <c r="AA706" s="380"/>
      <c r="AB706" s="380"/>
      <c r="AC706" s="404"/>
      <c r="AD706" s="380"/>
      <c r="AE706" s="380"/>
      <c r="AF706" s="380"/>
      <c r="AG706" s="380"/>
      <c r="AH706" s="380"/>
      <c r="AI706" s="380"/>
      <c r="AJ706" s="380"/>
      <c r="AK706" s="403"/>
      <c r="AL706" s="380"/>
      <c r="AM706" s="380"/>
      <c r="AN706" s="380"/>
      <c r="AO706" s="380"/>
      <c r="AP706" s="380"/>
      <c r="AQ706" s="404"/>
      <c r="AR706" s="380"/>
      <c r="AS706" s="380"/>
      <c r="AT706" s="380"/>
      <c r="AU706" s="380"/>
      <c r="AV706" s="380"/>
      <c r="AW706" s="380"/>
      <c r="AX706" s="380"/>
      <c r="AY706" s="403"/>
      <c r="AZ706" s="380"/>
      <c r="BA706" s="380"/>
      <c r="BB706" s="380"/>
      <c r="BC706" s="380"/>
      <c r="BD706" s="380"/>
      <c r="BE706" s="404"/>
      <c r="BF706" s="380"/>
      <c r="BG706" s="380"/>
      <c r="BH706" s="380"/>
      <c r="BI706" s="380"/>
      <c r="BJ706" s="380"/>
      <c r="BK706" s="380"/>
      <c r="BL706" s="380"/>
      <c r="BM706" s="403"/>
      <c r="BS706" s="83"/>
      <c r="CA706" s="405"/>
      <c r="CG706" s="83"/>
      <c r="CO706" s="405"/>
      <c r="CU706" s="83"/>
      <c r="DC706" s="405"/>
      <c r="DI706" s="83"/>
      <c r="DQ706" s="405"/>
      <c r="DW706" s="83"/>
      <c r="EE706" s="405"/>
      <c r="EK706" s="83"/>
      <c r="ES706" s="405"/>
      <c r="EY706" s="83"/>
      <c r="FG706" s="405"/>
      <c r="FM706" s="83"/>
      <c r="FU706" s="405"/>
      <c r="GA706" s="83"/>
      <c r="GI706" s="405"/>
      <c r="GO706" s="83"/>
      <c r="GW706" s="405"/>
      <c r="HC706" s="83"/>
      <c r="HK706" s="405"/>
      <c r="HQ706" s="83"/>
      <c r="HY706" s="405"/>
      <c r="IE706" s="83"/>
      <c r="IM706" s="405"/>
      <c r="IS706" s="83"/>
      <c r="JA706" s="405"/>
      <c r="JG706" s="83"/>
      <c r="JO706" s="405"/>
      <c r="JU706" s="83"/>
      <c r="KC706" s="405"/>
      <c r="KI706" s="83"/>
      <c r="KQ706" s="405"/>
      <c r="KW706" s="83"/>
      <c r="LE706" s="405"/>
      <c r="LK706" s="83"/>
      <c r="LS706" s="405"/>
      <c r="LY706" s="83"/>
      <c r="MG706" s="405"/>
      <c r="MM706" s="83"/>
      <c r="MU706" s="405"/>
      <c r="NA706" s="83"/>
    </row>
    <row r="707">
      <c r="A707" s="483"/>
      <c r="B707" s="380"/>
      <c r="C707" s="380"/>
      <c r="D707" s="380"/>
      <c r="E707" s="380"/>
      <c r="F707" s="380"/>
      <c r="G707" s="380"/>
      <c r="H707" s="380"/>
      <c r="I707" s="403"/>
      <c r="J707" s="380"/>
      <c r="K707" s="380"/>
      <c r="L707" s="380"/>
      <c r="M707" s="380"/>
      <c r="N707" s="380"/>
      <c r="O707" s="404"/>
      <c r="P707" s="380"/>
      <c r="Q707" s="380"/>
      <c r="R707" s="380"/>
      <c r="S707" s="380"/>
      <c r="T707" s="380"/>
      <c r="U707" s="380"/>
      <c r="V707" s="380"/>
      <c r="W707" s="403"/>
      <c r="X707" s="380"/>
      <c r="Y707" s="380"/>
      <c r="Z707" s="380"/>
      <c r="AA707" s="380"/>
      <c r="AB707" s="380"/>
      <c r="AC707" s="404"/>
      <c r="AD707" s="380"/>
      <c r="AE707" s="380"/>
      <c r="AF707" s="380"/>
      <c r="AG707" s="380"/>
      <c r="AH707" s="380"/>
      <c r="AI707" s="380"/>
      <c r="AJ707" s="380"/>
      <c r="AK707" s="403"/>
      <c r="AL707" s="380"/>
      <c r="AM707" s="380"/>
      <c r="AN707" s="380"/>
      <c r="AO707" s="380"/>
      <c r="AP707" s="380"/>
      <c r="AQ707" s="404"/>
      <c r="AR707" s="380"/>
      <c r="AS707" s="380"/>
      <c r="AT707" s="380"/>
      <c r="AU707" s="380"/>
      <c r="AV707" s="380"/>
      <c r="AW707" s="380"/>
      <c r="AX707" s="380"/>
      <c r="AY707" s="403"/>
      <c r="AZ707" s="380"/>
      <c r="BA707" s="380"/>
      <c r="BB707" s="380"/>
      <c r="BC707" s="380"/>
      <c r="BD707" s="380"/>
      <c r="BE707" s="404"/>
      <c r="BF707" s="380"/>
      <c r="BG707" s="380"/>
      <c r="BH707" s="380"/>
      <c r="BI707" s="380"/>
      <c r="BJ707" s="380"/>
      <c r="BK707" s="380"/>
      <c r="BL707" s="380"/>
      <c r="BM707" s="403"/>
      <c r="BS707" s="83"/>
      <c r="CA707" s="405"/>
      <c r="CG707" s="83"/>
      <c r="CO707" s="405"/>
      <c r="CU707" s="83"/>
      <c r="DC707" s="405"/>
      <c r="DI707" s="83"/>
      <c r="DQ707" s="405"/>
      <c r="DW707" s="83"/>
      <c r="EE707" s="405"/>
      <c r="EK707" s="83"/>
      <c r="ES707" s="405"/>
      <c r="EY707" s="83"/>
      <c r="FG707" s="405"/>
      <c r="FM707" s="83"/>
      <c r="FU707" s="405"/>
      <c r="GA707" s="83"/>
      <c r="GI707" s="405"/>
      <c r="GO707" s="83"/>
      <c r="GW707" s="405"/>
      <c r="HC707" s="83"/>
      <c r="HK707" s="405"/>
      <c r="HQ707" s="83"/>
      <c r="HY707" s="405"/>
      <c r="IE707" s="83"/>
      <c r="IM707" s="405"/>
      <c r="IS707" s="83"/>
      <c r="JA707" s="405"/>
      <c r="JG707" s="83"/>
      <c r="JO707" s="405"/>
      <c r="JU707" s="83"/>
      <c r="KC707" s="405"/>
      <c r="KI707" s="83"/>
      <c r="KQ707" s="405"/>
      <c r="KW707" s="83"/>
      <c r="LE707" s="405"/>
      <c r="LK707" s="83"/>
      <c r="LS707" s="405"/>
      <c r="LY707" s="83"/>
      <c r="MG707" s="405"/>
      <c r="MM707" s="83"/>
      <c r="MU707" s="405"/>
      <c r="NA707" s="83"/>
    </row>
    <row r="708">
      <c r="A708" s="483"/>
      <c r="B708" s="380"/>
      <c r="C708" s="380"/>
      <c r="D708" s="380"/>
      <c r="E708" s="380"/>
      <c r="F708" s="380"/>
      <c r="G708" s="380"/>
      <c r="H708" s="380"/>
      <c r="I708" s="403"/>
      <c r="J708" s="380"/>
      <c r="K708" s="380"/>
      <c r="L708" s="380"/>
      <c r="M708" s="380"/>
      <c r="N708" s="380"/>
      <c r="O708" s="404"/>
      <c r="P708" s="380"/>
      <c r="Q708" s="380"/>
      <c r="R708" s="380"/>
      <c r="S708" s="380"/>
      <c r="T708" s="380"/>
      <c r="U708" s="380"/>
      <c r="V708" s="380"/>
      <c r="W708" s="403"/>
      <c r="X708" s="380"/>
      <c r="Y708" s="380"/>
      <c r="Z708" s="380"/>
      <c r="AA708" s="380"/>
      <c r="AB708" s="380"/>
      <c r="AC708" s="404"/>
      <c r="AD708" s="380"/>
      <c r="AE708" s="380"/>
      <c r="AF708" s="380"/>
      <c r="AG708" s="380"/>
      <c r="AH708" s="380"/>
      <c r="AI708" s="380"/>
      <c r="AJ708" s="380"/>
      <c r="AK708" s="403"/>
      <c r="AL708" s="380"/>
      <c r="AM708" s="380"/>
      <c r="AN708" s="380"/>
      <c r="AO708" s="380"/>
      <c r="AP708" s="380"/>
      <c r="AQ708" s="404"/>
      <c r="AR708" s="380"/>
      <c r="AS708" s="380"/>
      <c r="AT708" s="380"/>
      <c r="AU708" s="380"/>
      <c r="AV708" s="380"/>
      <c r="AW708" s="380"/>
      <c r="AX708" s="380"/>
      <c r="AY708" s="403"/>
      <c r="AZ708" s="380"/>
      <c r="BA708" s="380"/>
      <c r="BB708" s="380"/>
      <c r="BC708" s="380"/>
      <c r="BD708" s="380"/>
      <c r="BE708" s="404"/>
      <c r="BF708" s="380"/>
      <c r="BG708" s="380"/>
      <c r="BH708" s="380"/>
      <c r="BI708" s="380"/>
      <c r="BJ708" s="380"/>
      <c r="BK708" s="380"/>
      <c r="BL708" s="380"/>
      <c r="BM708" s="403"/>
      <c r="BS708" s="83"/>
      <c r="CA708" s="405"/>
      <c r="CG708" s="83"/>
      <c r="CO708" s="405"/>
      <c r="CU708" s="83"/>
      <c r="DC708" s="405"/>
      <c r="DI708" s="83"/>
      <c r="DQ708" s="405"/>
      <c r="DW708" s="83"/>
      <c r="EE708" s="405"/>
      <c r="EK708" s="83"/>
      <c r="ES708" s="405"/>
      <c r="EY708" s="83"/>
      <c r="FG708" s="405"/>
      <c r="FM708" s="83"/>
      <c r="FU708" s="405"/>
      <c r="GA708" s="83"/>
      <c r="GI708" s="405"/>
      <c r="GO708" s="83"/>
      <c r="GW708" s="405"/>
      <c r="HC708" s="83"/>
      <c r="HK708" s="405"/>
      <c r="HQ708" s="83"/>
      <c r="HY708" s="405"/>
      <c r="IE708" s="83"/>
      <c r="IM708" s="405"/>
      <c r="IS708" s="83"/>
      <c r="JA708" s="405"/>
      <c r="JG708" s="83"/>
      <c r="JO708" s="405"/>
      <c r="JU708" s="83"/>
      <c r="KC708" s="405"/>
      <c r="KI708" s="83"/>
      <c r="KQ708" s="405"/>
      <c r="KW708" s="83"/>
      <c r="LE708" s="405"/>
      <c r="LK708" s="83"/>
      <c r="LS708" s="405"/>
      <c r="LY708" s="83"/>
      <c r="MG708" s="405"/>
      <c r="MM708" s="83"/>
      <c r="MU708" s="405"/>
      <c r="NA708" s="83"/>
    </row>
    <row r="709">
      <c r="A709" s="483"/>
      <c r="B709" s="380"/>
      <c r="C709" s="380"/>
      <c r="D709" s="380"/>
      <c r="E709" s="380"/>
      <c r="F709" s="380"/>
      <c r="G709" s="380"/>
      <c r="H709" s="380"/>
      <c r="I709" s="403"/>
      <c r="J709" s="380"/>
      <c r="K709" s="380"/>
      <c r="L709" s="380"/>
      <c r="M709" s="380"/>
      <c r="N709" s="380"/>
      <c r="O709" s="404"/>
      <c r="P709" s="380"/>
      <c r="Q709" s="380"/>
      <c r="R709" s="380"/>
      <c r="S709" s="380"/>
      <c r="T709" s="380"/>
      <c r="U709" s="380"/>
      <c r="V709" s="380"/>
      <c r="W709" s="403"/>
      <c r="X709" s="380"/>
      <c r="Y709" s="380"/>
      <c r="Z709" s="380"/>
      <c r="AA709" s="380"/>
      <c r="AB709" s="380"/>
      <c r="AC709" s="404"/>
      <c r="AD709" s="380"/>
      <c r="AE709" s="380"/>
      <c r="AF709" s="380"/>
      <c r="AG709" s="380"/>
      <c r="AH709" s="380"/>
      <c r="AI709" s="380"/>
      <c r="AJ709" s="380"/>
      <c r="AK709" s="403"/>
      <c r="AL709" s="380"/>
      <c r="AM709" s="380"/>
      <c r="AN709" s="380"/>
      <c r="AO709" s="380"/>
      <c r="AP709" s="380"/>
      <c r="AQ709" s="404"/>
      <c r="AR709" s="380"/>
      <c r="AS709" s="380"/>
      <c r="AT709" s="380"/>
      <c r="AU709" s="380"/>
      <c r="AV709" s="380"/>
      <c r="AW709" s="380"/>
      <c r="AX709" s="380"/>
      <c r="AY709" s="403"/>
      <c r="AZ709" s="380"/>
      <c r="BA709" s="380"/>
      <c r="BB709" s="380"/>
      <c r="BC709" s="380"/>
      <c r="BD709" s="380"/>
      <c r="BE709" s="404"/>
      <c r="BF709" s="380"/>
      <c r="BG709" s="380"/>
      <c r="BH709" s="380"/>
      <c r="BI709" s="380"/>
      <c r="BJ709" s="380"/>
      <c r="BK709" s="380"/>
      <c r="BL709" s="380"/>
      <c r="BM709" s="403"/>
      <c r="BS709" s="83"/>
      <c r="CA709" s="405"/>
      <c r="CG709" s="83"/>
      <c r="CO709" s="405"/>
      <c r="CU709" s="83"/>
      <c r="DC709" s="405"/>
      <c r="DI709" s="83"/>
      <c r="DQ709" s="405"/>
      <c r="DW709" s="83"/>
      <c r="EE709" s="405"/>
      <c r="EK709" s="83"/>
      <c r="ES709" s="405"/>
      <c r="EY709" s="83"/>
      <c r="FG709" s="405"/>
      <c r="FM709" s="83"/>
      <c r="FU709" s="405"/>
      <c r="GA709" s="83"/>
      <c r="GI709" s="405"/>
      <c r="GO709" s="83"/>
      <c r="GW709" s="405"/>
      <c r="HC709" s="83"/>
      <c r="HK709" s="405"/>
      <c r="HQ709" s="83"/>
      <c r="HY709" s="405"/>
      <c r="IE709" s="83"/>
      <c r="IM709" s="405"/>
      <c r="IS709" s="83"/>
      <c r="JA709" s="405"/>
      <c r="JG709" s="83"/>
      <c r="JO709" s="405"/>
      <c r="JU709" s="83"/>
      <c r="KC709" s="405"/>
      <c r="KI709" s="83"/>
      <c r="KQ709" s="405"/>
      <c r="KW709" s="83"/>
      <c r="LE709" s="405"/>
      <c r="LK709" s="83"/>
      <c r="LS709" s="405"/>
      <c r="LY709" s="83"/>
      <c r="MG709" s="405"/>
      <c r="MM709" s="83"/>
      <c r="MU709" s="405"/>
      <c r="NA709" s="83"/>
    </row>
    <row r="710">
      <c r="A710" s="483"/>
      <c r="B710" s="380"/>
      <c r="C710" s="380"/>
      <c r="D710" s="380"/>
      <c r="E710" s="380"/>
      <c r="F710" s="380"/>
      <c r="G710" s="380"/>
      <c r="H710" s="380"/>
      <c r="I710" s="403"/>
      <c r="J710" s="380"/>
      <c r="K710" s="380"/>
      <c r="L710" s="380"/>
      <c r="M710" s="380"/>
      <c r="N710" s="380"/>
      <c r="O710" s="404"/>
      <c r="P710" s="380"/>
      <c r="Q710" s="380"/>
      <c r="R710" s="380"/>
      <c r="S710" s="380"/>
      <c r="T710" s="380"/>
      <c r="U710" s="380"/>
      <c r="V710" s="380"/>
      <c r="W710" s="403"/>
      <c r="X710" s="380"/>
      <c r="Y710" s="380"/>
      <c r="Z710" s="380"/>
      <c r="AA710" s="380"/>
      <c r="AB710" s="380"/>
      <c r="AC710" s="404"/>
      <c r="AD710" s="380"/>
      <c r="AE710" s="380"/>
      <c r="AF710" s="380"/>
      <c r="AG710" s="380"/>
      <c r="AH710" s="380"/>
      <c r="AI710" s="380"/>
      <c r="AJ710" s="380"/>
      <c r="AK710" s="403"/>
      <c r="AL710" s="380"/>
      <c r="AM710" s="380"/>
      <c r="AN710" s="380"/>
      <c r="AO710" s="380"/>
      <c r="AP710" s="380"/>
      <c r="AQ710" s="404"/>
      <c r="AR710" s="380"/>
      <c r="AS710" s="380"/>
      <c r="AT710" s="380"/>
      <c r="AU710" s="380"/>
      <c r="AV710" s="380"/>
      <c r="AW710" s="380"/>
      <c r="AX710" s="380"/>
      <c r="AY710" s="403"/>
      <c r="AZ710" s="380"/>
      <c r="BA710" s="380"/>
      <c r="BB710" s="380"/>
      <c r="BC710" s="380"/>
      <c r="BD710" s="380"/>
      <c r="BE710" s="404"/>
      <c r="BF710" s="380"/>
      <c r="BG710" s="380"/>
      <c r="BH710" s="380"/>
      <c r="BI710" s="380"/>
      <c r="BJ710" s="380"/>
      <c r="BK710" s="380"/>
      <c r="BL710" s="380"/>
      <c r="BM710" s="403"/>
      <c r="BS710" s="83"/>
      <c r="CA710" s="405"/>
      <c r="CG710" s="83"/>
      <c r="CO710" s="405"/>
      <c r="CU710" s="83"/>
      <c r="DC710" s="405"/>
      <c r="DI710" s="83"/>
      <c r="DQ710" s="405"/>
      <c r="DW710" s="83"/>
      <c r="EE710" s="405"/>
      <c r="EK710" s="83"/>
      <c r="ES710" s="405"/>
      <c r="EY710" s="83"/>
      <c r="FG710" s="405"/>
      <c r="FM710" s="83"/>
      <c r="FU710" s="405"/>
      <c r="GA710" s="83"/>
      <c r="GI710" s="405"/>
      <c r="GO710" s="83"/>
      <c r="GW710" s="405"/>
      <c r="HC710" s="83"/>
      <c r="HK710" s="405"/>
      <c r="HQ710" s="83"/>
      <c r="HY710" s="405"/>
      <c r="IE710" s="83"/>
      <c r="IM710" s="405"/>
      <c r="IS710" s="83"/>
      <c r="JA710" s="405"/>
      <c r="JG710" s="83"/>
      <c r="JO710" s="405"/>
      <c r="JU710" s="83"/>
      <c r="KC710" s="405"/>
      <c r="KI710" s="83"/>
      <c r="KQ710" s="405"/>
      <c r="KW710" s="83"/>
      <c r="LE710" s="405"/>
      <c r="LK710" s="83"/>
      <c r="LS710" s="405"/>
      <c r="LY710" s="83"/>
      <c r="MG710" s="405"/>
      <c r="MM710" s="83"/>
      <c r="MU710" s="405"/>
      <c r="NA710" s="83"/>
    </row>
    <row r="711">
      <c r="A711" s="483"/>
      <c r="B711" s="380"/>
      <c r="C711" s="380"/>
      <c r="D711" s="380"/>
      <c r="E711" s="380"/>
      <c r="F711" s="380"/>
      <c r="G711" s="380"/>
      <c r="H711" s="380"/>
      <c r="I711" s="403"/>
      <c r="J711" s="380"/>
      <c r="K711" s="380"/>
      <c r="L711" s="380"/>
      <c r="M711" s="380"/>
      <c r="N711" s="380"/>
      <c r="O711" s="404"/>
      <c r="P711" s="380"/>
      <c r="Q711" s="380"/>
      <c r="R711" s="380"/>
      <c r="S711" s="380"/>
      <c r="T711" s="380"/>
      <c r="U711" s="380"/>
      <c r="V711" s="380"/>
      <c r="W711" s="403"/>
      <c r="X711" s="380"/>
      <c r="Y711" s="380"/>
      <c r="Z711" s="380"/>
      <c r="AA711" s="380"/>
      <c r="AB711" s="380"/>
      <c r="AC711" s="404"/>
      <c r="AD711" s="380"/>
      <c r="AE711" s="380"/>
      <c r="AF711" s="380"/>
      <c r="AG711" s="380"/>
      <c r="AH711" s="380"/>
      <c r="AI711" s="380"/>
      <c r="AJ711" s="380"/>
      <c r="AK711" s="403"/>
      <c r="AL711" s="380"/>
      <c r="AM711" s="380"/>
      <c r="AN711" s="380"/>
      <c r="AO711" s="380"/>
      <c r="AP711" s="380"/>
      <c r="AQ711" s="404"/>
      <c r="AR711" s="380"/>
      <c r="AS711" s="380"/>
      <c r="AT711" s="380"/>
      <c r="AU711" s="380"/>
      <c r="AV711" s="380"/>
      <c r="AW711" s="380"/>
      <c r="AX711" s="380"/>
      <c r="AY711" s="403"/>
      <c r="AZ711" s="380"/>
      <c r="BA711" s="380"/>
      <c r="BB711" s="380"/>
      <c r="BC711" s="380"/>
      <c r="BD711" s="380"/>
      <c r="BE711" s="404"/>
      <c r="BF711" s="380"/>
      <c r="BG711" s="380"/>
      <c r="BH711" s="380"/>
      <c r="BI711" s="380"/>
      <c r="BJ711" s="380"/>
      <c r="BK711" s="380"/>
      <c r="BL711" s="380"/>
      <c r="BM711" s="403"/>
      <c r="BS711" s="83"/>
      <c r="CA711" s="405"/>
      <c r="CG711" s="83"/>
      <c r="CO711" s="405"/>
      <c r="CU711" s="83"/>
      <c r="DC711" s="405"/>
      <c r="DI711" s="83"/>
      <c r="DQ711" s="405"/>
      <c r="DW711" s="83"/>
      <c r="EE711" s="405"/>
      <c r="EK711" s="83"/>
      <c r="ES711" s="405"/>
      <c r="EY711" s="83"/>
      <c r="FG711" s="405"/>
      <c r="FM711" s="83"/>
      <c r="FU711" s="405"/>
      <c r="GA711" s="83"/>
      <c r="GI711" s="405"/>
      <c r="GO711" s="83"/>
      <c r="GW711" s="405"/>
      <c r="HC711" s="83"/>
      <c r="HK711" s="405"/>
      <c r="HQ711" s="83"/>
      <c r="HY711" s="405"/>
      <c r="IE711" s="83"/>
      <c r="IM711" s="405"/>
      <c r="IS711" s="83"/>
      <c r="JA711" s="405"/>
      <c r="JG711" s="83"/>
      <c r="JO711" s="405"/>
      <c r="JU711" s="83"/>
      <c r="KC711" s="405"/>
      <c r="KI711" s="83"/>
      <c r="KQ711" s="405"/>
      <c r="KW711" s="83"/>
      <c r="LE711" s="405"/>
      <c r="LK711" s="83"/>
      <c r="LS711" s="405"/>
      <c r="LY711" s="83"/>
      <c r="MG711" s="405"/>
      <c r="MM711" s="83"/>
      <c r="MU711" s="405"/>
      <c r="NA711" s="83"/>
    </row>
    <row r="712">
      <c r="A712" s="483"/>
      <c r="B712" s="380"/>
      <c r="C712" s="380"/>
      <c r="D712" s="380"/>
      <c r="E712" s="380"/>
      <c r="F712" s="380"/>
      <c r="G712" s="380"/>
      <c r="H712" s="380"/>
      <c r="I712" s="403"/>
      <c r="J712" s="380"/>
      <c r="K712" s="380"/>
      <c r="L712" s="380"/>
      <c r="M712" s="380"/>
      <c r="N712" s="380"/>
      <c r="O712" s="404"/>
      <c r="P712" s="380"/>
      <c r="Q712" s="380"/>
      <c r="R712" s="380"/>
      <c r="S712" s="380"/>
      <c r="T712" s="380"/>
      <c r="U712" s="380"/>
      <c r="V712" s="380"/>
      <c r="W712" s="403"/>
      <c r="X712" s="380"/>
      <c r="Y712" s="380"/>
      <c r="Z712" s="380"/>
      <c r="AA712" s="380"/>
      <c r="AB712" s="380"/>
      <c r="AC712" s="404"/>
      <c r="AD712" s="380"/>
      <c r="AE712" s="380"/>
      <c r="AF712" s="380"/>
      <c r="AG712" s="380"/>
      <c r="AH712" s="380"/>
      <c r="AI712" s="380"/>
      <c r="AJ712" s="380"/>
      <c r="AK712" s="403"/>
      <c r="AL712" s="380"/>
      <c r="AM712" s="380"/>
      <c r="AN712" s="380"/>
      <c r="AO712" s="380"/>
      <c r="AP712" s="380"/>
      <c r="AQ712" s="404"/>
      <c r="AR712" s="380"/>
      <c r="AS712" s="380"/>
      <c r="AT712" s="380"/>
      <c r="AU712" s="380"/>
      <c r="AV712" s="380"/>
      <c r="AW712" s="380"/>
      <c r="AX712" s="380"/>
      <c r="AY712" s="403"/>
      <c r="AZ712" s="380"/>
      <c r="BA712" s="380"/>
      <c r="BB712" s="380"/>
      <c r="BC712" s="380"/>
      <c r="BD712" s="380"/>
      <c r="BE712" s="404"/>
      <c r="BF712" s="380"/>
      <c r="BG712" s="380"/>
      <c r="BH712" s="380"/>
      <c r="BI712" s="380"/>
      <c r="BJ712" s="380"/>
      <c r="BK712" s="380"/>
      <c r="BL712" s="380"/>
      <c r="BM712" s="403"/>
      <c r="BS712" s="83"/>
      <c r="CA712" s="405"/>
      <c r="CG712" s="83"/>
      <c r="CO712" s="405"/>
      <c r="CU712" s="83"/>
      <c r="DC712" s="405"/>
      <c r="DI712" s="83"/>
      <c r="DQ712" s="405"/>
      <c r="DW712" s="83"/>
      <c r="EE712" s="405"/>
      <c r="EK712" s="83"/>
      <c r="ES712" s="405"/>
      <c r="EY712" s="83"/>
      <c r="FG712" s="405"/>
      <c r="FM712" s="83"/>
      <c r="FU712" s="405"/>
      <c r="GA712" s="83"/>
      <c r="GI712" s="405"/>
      <c r="GO712" s="83"/>
      <c r="GW712" s="405"/>
      <c r="HC712" s="83"/>
      <c r="HK712" s="405"/>
      <c r="HQ712" s="83"/>
      <c r="HY712" s="405"/>
      <c r="IE712" s="83"/>
      <c r="IM712" s="405"/>
      <c r="IS712" s="83"/>
      <c r="JA712" s="405"/>
      <c r="JG712" s="83"/>
      <c r="JO712" s="405"/>
      <c r="JU712" s="83"/>
      <c r="KC712" s="405"/>
      <c r="KI712" s="83"/>
      <c r="KQ712" s="405"/>
      <c r="KW712" s="83"/>
      <c r="LE712" s="405"/>
      <c r="LK712" s="83"/>
      <c r="LS712" s="405"/>
      <c r="LY712" s="83"/>
      <c r="MG712" s="405"/>
      <c r="MM712" s="83"/>
      <c r="MU712" s="405"/>
      <c r="NA712" s="83"/>
    </row>
    <row r="713">
      <c r="A713" s="483"/>
      <c r="B713" s="380"/>
      <c r="C713" s="380"/>
      <c r="D713" s="380"/>
      <c r="E713" s="380"/>
      <c r="F713" s="380"/>
      <c r="G713" s="380"/>
      <c r="H713" s="380"/>
      <c r="I713" s="403"/>
      <c r="J713" s="380"/>
      <c r="K713" s="380"/>
      <c r="L713" s="380"/>
      <c r="M713" s="380"/>
      <c r="N713" s="380"/>
      <c r="O713" s="404"/>
      <c r="P713" s="380"/>
      <c r="Q713" s="380"/>
      <c r="R713" s="380"/>
      <c r="S713" s="380"/>
      <c r="T713" s="380"/>
      <c r="U713" s="380"/>
      <c r="V713" s="380"/>
      <c r="W713" s="403"/>
      <c r="X713" s="380"/>
      <c r="Y713" s="380"/>
      <c r="Z713" s="380"/>
      <c r="AA713" s="380"/>
      <c r="AB713" s="380"/>
      <c r="AC713" s="404"/>
      <c r="AD713" s="380"/>
      <c r="AE713" s="380"/>
      <c r="AF713" s="380"/>
      <c r="AG713" s="380"/>
      <c r="AH713" s="380"/>
      <c r="AI713" s="380"/>
      <c r="AJ713" s="380"/>
      <c r="AK713" s="403"/>
      <c r="AL713" s="380"/>
      <c r="AM713" s="380"/>
      <c r="AN713" s="380"/>
      <c r="AO713" s="380"/>
      <c r="AP713" s="380"/>
      <c r="AQ713" s="404"/>
      <c r="AR713" s="380"/>
      <c r="AS713" s="380"/>
      <c r="AT713" s="380"/>
      <c r="AU713" s="380"/>
      <c r="AV713" s="380"/>
      <c r="AW713" s="380"/>
      <c r="AX713" s="380"/>
      <c r="AY713" s="403"/>
      <c r="AZ713" s="380"/>
      <c r="BA713" s="380"/>
      <c r="BB713" s="380"/>
      <c r="BC713" s="380"/>
      <c r="BD713" s="380"/>
      <c r="BE713" s="404"/>
      <c r="BF713" s="380"/>
      <c r="BG713" s="380"/>
      <c r="BH713" s="380"/>
      <c r="BI713" s="380"/>
      <c r="BJ713" s="380"/>
      <c r="BK713" s="380"/>
      <c r="BL713" s="380"/>
      <c r="BM713" s="403"/>
      <c r="BS713" s="83"/>
      <c r="CA713" s="405"/>
      <c r="CG713" s="83"/>
      <c r="CO713" s="405"/>
      <c r="CU713" s="83"/>
      <c r="DC713" s="405"/>
      <c r="DI713" s="83"/>
      <c r="DQ713" s="405"/>
      <c r="DW713" s="83"/>
      <c r="EE713" s="405"/>
      <c r="EK713" s="83"/>
      <c r="ES713" s="405"/>
      <c r="EY713" s="83"/>
      <c r="FG713" s="405"/>
      <c r="FM713" s="83"/>
      <c r="FU713" s="405"/>
      <c r="GA713" s="83"/>
      <c r="GI713" s="405"/>
      <c r="GO713" s="83"/>
      <c r="GW713" s="405"/>
      <c r="HC713" s="83"/>
      <c r="HK713" s="405"/>
      <c r="HQ713" s="83"/>
      <c r="HY713" s="405"/>
      <c r="IE713" s="83"/>
      <c r="IM713" s="405"/>
      <c r="IS713" s="83"/>
      <c r="JA713" s="405"/>
      <c r="JG713" s="83"/>
      <c r="JO713" s="405"/>
      <c r="JU713" s="83"/>
      <c r="KC713" s="405"/>
      <c r="KI713" s="83"/>
      <c r="KQ713" s="405"/>
      <c r="KW713" s="83"/>
      <c r="LE713" s="405"/>
      <c r="LK713" s="83"/>
      <c r="LS713" s="405"/>
      <c r="LY713" s="83"/>
      <c r="MG713" s="405"/>
      <c r="MM713" s="83"/>
      <c r="MU713" s="405"/>
      <c r="NA713" s="83"/>
    </row>
    <row r="714">
      <c r="A714" s="483"/>
      <c r="B714" s="380"/>
      <c r="C714" s="380"/>
      <c r="D714" s="380"/>
      <c r="E714" s="380"/>
      <c r="F714" s="380"/>
      <c r="G714" s="380"/>
      <c r="H714" s="380"/>
      <c r="I714" s="403"/>
      <c r="J714" s="380"/>
      <c r="K714" s="380"/>
      <c r="L714" s="380"/>
      <c r="M714" s="380"/>
      <c r="N714" s="380"/>
      <c r="O714" s="404"/>
      <c r="P714" s="380"/>
      <c r="Q714" s="380"/>
      <c r="R714" s="380"/>
      <c r="S714" s="380"/>
      <c r="T714" s="380"/>
      <c r="U714" s="380"/>
      <c r="V714" s="380"/>
      <c r="W714" s="403"/>
      <c r="X714" s="380"/>
      <c r="Y714" s="380"/>
      <c r="Z714" s="380"/>
      <c r="AA714" s="380"/>
      <c r="AB714" s="380"/>
      <c r="AC714" s="404"/>
      <c r="AD714" s="380"/>
      <c r="AE714" s="380"/>
      <c r="AF714" s="380"/>
      <c r="AG714" s="380"/>
      <c r="AH714" s="380"/>
      <c r="AI714" s="380"/>
      <c r="AJ714" s="380"/>
      <c r="AK714" s="403"/>
      <c r="AL714" s="380"/>
      <c r="AM714" s="380"/>
      <c r="AN714" s="380"/>
      <c r="AO714" s="380"/>
      <c r="AP714" s="380"/>
      <c r="AQ714" s="404"/>
      <c r="AR714" s="380"/>
      <c r="AS714" s="380"/>
      <c r="AT714" s="380"/>
      <c r="AU714" s="380"/>
      <c r="AV714" s="380"/>
      <c r="AW714" s="380"/>
      <c r="AX714" s="380"/>
      <c r="AY714" s="403"/>
      <c r="AZ714" s="380"/>
      <c r="BA714" s="380"/>
      <c r="BB714" s="380"/>
      <c r="BC714" s="380"/>
      <c r="BD714" s="380"/>
      <c r="BE714" s="404"/>
      <c r="BF714" s="380"/>
      <c r="BG714" s="380"/>
      <c r="BH714" s="380"/>
      <c r="BI714" s="380"/>
      <c r="BJ714" s="380"/>
      <c r="BK714" s="380"/>
      <c r="BL714" s="380"/>
      <c r="BM714" s="403"/>
      <c r="BS714" s="83"/>
      <c r="CA714" s="405"/>
      <c r="CG714" s="83"/>
      <c r="CO714" s="405"/>
      <c r="CU714" s="83"/>
      <c r="DC714" s="405"/>
      <c r="DI714" s="83"/>
      <c r="DQ714" s="405"/>
      <c r="DW714" s="83"/>
      <c r="EE714" s="405"/>
      <c r="EK714" s="83"/>
      <c r="ES714" s="405"/>
      <c r="EY714" s="83"/>
      <c r="FG714" s="405"/>
      <c r="FM714" s="83"/>
      <c r="FU714" s="405"/>
      <c r="GA714" s="83"/>
      <c r="GI714" s="405"/>
      <c r="GO714" s="83"/>
      <c r="GW714" s="405"/>
      <c r="HC714" s="83"/>
      <c r="HK714" s="405"/>
      <c r="HQ714" s="83"/>
      <c r="HY714" s="405"/>
      <c r="IE714" s="83"/>
      <c r="IM714" s="405"/>
      <c r="IS714" s="83"/>
      <c r="JA714" s="405"/>
      <c r="JG714" s="83"/>
      <c r="JO714" s="405"/>
      <c r="JU714" s="83"/>
      <c r="KC714" s="405"/>
      <c r="KI714" s="83"/>
      <c r="KQ714" s="405"/>
      <c r="KW714" s="83"/>
      <c r="LE714" s="405"/>
      <c r="LK714" s="83"/>
      <c r="LS714" s="405"/>
      <c r="LY714" s="83"/>
      <c r="MG714" s="405"/>
      <c r="MM714" s="83"/>
      <c r="MU714" s="405"/>
      <c r="NA714" s="83"/>
    </row>
    <row r="715">
      <c r="A715" s="483"/>
      <c r="B715" s="380"/>
      <c r="C715" s="380"/>
      <c r="D715" s="380"/>
      <c r="E715" s="380"/>
      <c r="F715" s="380"/>
      <c r="G715" s="380"/>
      <c r="H715" s="380"/>
      <c r="I715" s="403"/>
      <c r="J715" s="380"/>
      <c r="K715" s="380"/>
      <c r="L715" s="380"/>
      <c r="M715" s="380"/>
      <c r="N715" s="380"/>
      <c r="O715" s="404"/>
      <c r="P715" s="380"/>
      <c r="Q715" s="380"/>
      <c r="R715" s="380"/>
      <c r="S715" s="380"/>
      <c r="T715" s="380"/>
      <c r="U715" s="380"/>
      <c r="V715" s="380"/>
      <c r="W715" s="403"/>
      <c r="X715" s="380"/>
      <c r="Y715" s="380"/>
      <c r="Z715" s="380"/>
      <c r="AA715" s="380"/>
      <c r="AB715" s="380"/>
      <c r="AC715" s="404"/>
      <c r="AD715" s="380"/>
      <c r="AE715" s="380"/>
      <c r="AF715" s="380"/>
      <c r="AG715" s="380"/>
      <c r="AH715" s="380"/>
      <c r="AI715" s="380"/>
      <c r="AJ715" s="380"/>
      <c r="AK715" s="403"/>
      <c r="AL715" s="380"/>
      <c r="AM715" s="380"/>
      <c r="AN715" s="380"/>
      <c r="AO715" s="380"/>
      <c r="AP715" s="380"/>
      <c r="AQ715" s="404"/>
      <c r="AR715" s="380"/>
      <c r="AS715" s="380"/>
      <c r="AT715" s="380"/>
      <c r="AU715" s="380"/>
      <c r="AV715" s="380"/>
      <c r="AW715" s="380"/>
      <c r="AX715" s="380"/>
      <c r="AY715" s="403"/>
      <c r="AZ715" s="380"/>
      <c r="BA715" s="380"/>
      <c r="BB715" s="380"/>
      <c r="BC715" s="380"/>
      <c r="BD715" s="380"/>
      <c r="BE715" s="404"/>
      <c r="BF715" s="380"/>
      <c r="BG715" s="380"/>
      <c r="BH715" s="380"/>
      <c r="BI715" s="380"/>
      <c r="BJ715" s="380"/>
      <c r="BK715" s="380"/>
      <c r="BL715" s="380"/>
      <c r="BM715" s="403"/>
      <c r="BS715" s="83"/>
      <c r="CA715" s="405"/>
      <c r="CG715" s="83"/>
      <c r="CO715" s="405"/>
      <c r="CU715" s="83"/>
      <c r="DC715" s="405"/>
      <c r="DI715" s="83"/>
      <c r="DQ715" s="405"/>
      <c r="DW715" s="83"/>
      <c r="EE715" s="405"/>
      <c r="EK715" s="83"/>
      <c r="ES715" s="405"/>
      <c r="EY715" s="83"/>
      <c r="FG715" s="405"/>
      <c r="FM715" s="83"/>
      <c r="FU715" s="405"/>
      <c r="GA715" s="83"/>
      <c r="GI715" s="405"/>
      <c r="GO715" s="83"/>
      <c r="GW715" s="405"/>
      <c r="HC715" s="83"/>
      <c r="HK715" s="405"/>
      <c r="HQ715" s="83"/>
      <c r="HY715" s="405"/>
      <c r="IE715" s="83"/>
      <c r="IM715" s="405"/>
      <c r="IS715" s="83"/>
      <c r="JA715" s="405"/>
      <c r="JG715" s="83"/>
      <c r="JO715" s="405"/>
      <c r="JU715" s="83"/>
      <c r="KC715" s="405"/>
      <c r="KI715" s="83"/>
      <c r="KQ715" s="405"/>
      <c r="KW715" s="83"/>
      <c r="LE715" s="405"/>
      <c r="LK715" s="83"/>
      <c r="LS715" s="405"/>
      <c r="LY715" s="83"/>
      <c r="MG715" s="405"/>
      <c r="MM715" s="83"/>
      <c r="MU715" s="405"/>
      <c r="NA715" s="83"/>
    </row>
    <row r="716">
      <c r="A716" s="483"/>
      <c r="B716" s="380"/>
      <c r="C716" s="380"/>
      <c r="D716" s="380"/>
      <c r="E716" s="380"/>
      <c r="F716" s="380"/>
      <c r="G716" s="380"/>
      <c r="H716" s="380"/>
      <c r="I716" s="403"/>
      <c r="J716" s="380"/>
      <c r="K716" s="380"/>
      <c r="L716" s="380"/>
      <c r="M716" s="380"/>
      <c r="N716" s="380"/>
      <c r="O716" s="404"/>
      <c r="P716" s="380"/>
      <c r="Q716" s="380"/>
      <c r="R716" s="380"/>
      <c r="S716" s="380"/>
      <c r="T716" s="380"/>
      <c r="U716" s="380"/>
      <c r="V716" s="380"/>
      <c r="W716" s="403"/>
      <c r="X716" s="380"/>
      <c r="Y716" s="380"/>
      <c r="Z716" s="380"/>
      <c r="AA716" s="380"/>
      <c r="AB716" s="380"/>
      <c r="AC716" s="404"/>
      <c r="AD716" s="380"/>
      <c r="AE716" s="380"/>
      <c r="AF716" s="380"/>
      <c r="AG716" s="380"/>
      <c r="AH716" s="380"/>
      <c r="AI716" s="380"/>
      <c r="AJ716" s="380"/>
      <c r="AK716" s="403"/>
      <c r="AL716" s="380"/>
      <c r="AM716" s="380"/>
      <c r="AN716" s="380"/>
      <c r="AO716" s="380"/>
      <c r="AP716" s="380"/>
      <c r="AQ716" s="404"/>
      <c r="AR716" s="380"/>
      <c r="AS716" s="380"/>
      <c r="AT716" s="380"/>
      <c r="AU716" s="380"/>
      <c r="AV716" s="380"/>
      <c r="AW716" s="380"/>
      <c r="AX716" s="380"/>
      <c r="AY716" s="403"/>
      <c r="AZ716" s="380"/>
      <c r="BA716" s="380"/>
      <c r="BB716" s="380"/>
      <c r="BC716" s="380"/>
      <c r="BD716" s="380"/>
      <c r="BE716" s="404"/>
      <c r="BF716" s="380"/>
      <c r="BG716" s="380"/>
      <c r="BH716" s="380"/>
      <c r="BI716" s="380"/>
      <c r="BJ716" s="380"/>
      <c r="BK716" s="380"/>
      <c r="BL716" s="380"/>
      <c r="BM716" s="403"/>
      <c r="BS716" s="83"/>
      <c r="CA716" s="405"/>
      <c r="CG716" s="83"/>
      <c r="CO716" s="405"/>
      <c r="CU716" s="83"/>
      <c r="DC716" s="405"/>
      <c r="DI716" s="83"/>
      <c r="DQ716" s="405"/>
      <c r="DW716" s="83"/>
      <c r="EE716" s="405"/>
      <c r="EK716" s="83"/>
      <c r="ES716" s="405"/>
      <c r="EY716" s="83"/>
      <c r="FG716" s="405"/>
      <c r="FM716" s="83"/>
      <c r="FU716" s="405"/>
      <c r="GA716" s="83"/>
      <c r="GI716" s="405"/>
      <c r="GO716" s="83"/>
      <c r="GW716" s="405"/>
      <c r="HC716" s="83"/>
      <c r="HK716" s="405"/>
      <c r="HQ716" s="83"/>
      <c r="HY716" s="405"/>
      <c r="IE716" s="83"/>
      <c r="IM716" s="405"/>
      <c r="IS716" s="83"/>
      <c r="JA716" s="405"/>
      <c r="JG716" s="83"/>
      <c r="JO716" s="405"/>
      <c r="JU716" s="83"/>
      <c r="KC716" s="405"/>
      <c r="KI716" s="83"/>
      <c r="KQ716" s="405"/>
      <c r="KW716" s="83"/>
      <c r="LE716" s="405"/>
      <c r="LK716" s="83"/>
      <c r="LS716" s="405"/>
      <c r="LY716" s="83"/>
      <c r="MG716" s="405"/>
      <c r="MM716" s="83"/>
      <c r="MU716" s="405"/>
      <c r="NA716" s="83"/>
    </row>
    <row r="717">
      <c r="A717" s="483"/>
      <c r="B717" s="380"/>
      <c r="C717" s="380"/>
      <c r="D717" s="380"/>
      <c r="E717" s="380"/>
      <c r="F717" s="380"/>
      <c r="G717" s="380"/>
      <c r="H717" s="380"/>
      <c r="I717" s="403"/>
      <c r="J717" s="380"/>
      <c r="K717" s="380"/>
      <c r="L717" s="380"/>
      <c r="M717" s="380"/>
      <c r="N717" s="380"/>
      <c r="O717" s="404"/>
      <c r="P717" s="380"/>
      <c r="Q717" s="380"/>
      <c r="R717" s="380"/>
      <c r="S717" s="380"/>
      <c r="T717" s="380"/>
      <c r="U717" s="380"/>
      <c r="V717" s="380"/>
      <c r="W717" s="403"/>
      <c r="X717" s="380"/>
      <c r="Y717" s="380"/>
      <c r="Z717" s="380"/>
      <c r="AA717" s="380"/>
      <c r="AB717" s="380"/>
      <c r="AC717" s="404"/>
      <c r="AD717" s="380"/>
      <c r="AE717" s="380"/>
      <c r="AF717" s="380"/>
      <c r="AG717" s="380"/>
      <c r="AH717" s="380"/>
      <c r="AI717" s="380"/>
      <c r="AJ717" s="380"/>
      <c r="AK717" s="403"/>
      <c r="AL717" s="380"/>
      <c r="AM717" s="380"/>
      <c r="AN717" s="380"/>
      <c r="AO717" s="380"/>
      <c r="AP717" s="380"/>
      <c r="AQ717" s="404"/>
      <c r="AR717" s="380"/>
      <c r="AS717" s="380"/>
      <c r="AT717" s="380"/>
      <c r="AU717" s="380"/>
      <c r="AV717" s="380"/>
      <c r="AW717" s="380"/>
      <c r="AX717" s="380"/>
      <c r="AY717" s="403"/>
      <c r="AZ717" s="380"/>
      <c r="BA717" s="380"/>
      <c r="BB717" s="380"/>
      <c r="BC717" s="380"/>
      <c r="BD717" s="380"/>
      <c r="BE717" s="404"/>
      <c r="BF717" s="380"/>
      <c r="BG717" s="380"/>
      <c r="BH717" s="380"/>
      <c r="BI717" s="380"/>
      <c r="BJ717" s="380"/>
      <c r="BK717" s="380"/>
      <c r="BL717" s="380"/>
      <c r="BM717" s="403"/>
      <c r="BS717" s="83"/>
      <c r="CA717" s="405"/>
      <c r="CG717" s="83"/>
      <c r="CO717" s="405"/>
      <c r="CU717" s="83"/>
      <c r="DC717" s="405"/>
      <c r="DI717" s="83"/>
      <c r="DQ717" s="405"/>
      <c r="DW717" s="83"/>
      <c r="EE717" s="405"/>
      <c r="EK717" s="83"/>
      <c r="ES717" s="405"/>
      <c r="EY717" s="83"/>
      <c r="FG717" s="405"/>
      <c r="FM717" s="83"/>
      <c r="FU717" s="405"/>
      <c r="GA717" s="83"/>
      <c r="GI717" s="405"/>
      <c r="GO717" s="83"/>
      <c r="GW717" s="405"/>
      <c r="HC717" s="83"/>
      <c r="HK717" s="405"/>
      <c r="HQ717" s="83"/>
      <c r="HY717" s="405"/>
      <c r="IE717" s="83"/>
      <c r="IM717" s="405"/>
      <c r="IS717" s="83"/>
      <c r="JA717" s="405"/>
      <c r="JG717" s="83"/>
      <c r="JO717" s="405"/>
      <c r="JU717" s="83"/>
      <c r="KC717" s="405"/>
      <c r="KI717" s="83"/>
      <c r="KQ717" s="405"/>
      <c r="KW717" s="83"/>
      <c r="LE717" s="405"/>
      <c r="LK717" s="83"/>
      <c r="LS717" s="405"/>
      <c r="LY717" s="83"/>
      <c r="MG717" s="405"/>
      <c r="MM717" s="83"/>
      <c r="MU717" s="405"/>
      <c r="NA717" s="83"/>
    </row>
    <row r="718">
      <c r="A718" s="483"/>
      <c r="B718" s="380"/>
      <c r="C718" s="380"/>
      <c r="D718" s="380"/>
      <c r="E718" s="380"/>
      <c r="F718" s="380"/>
      <c r="G718" s="380"/>
      <c r="H718" s="380"/>
      <c r="I718" s="403"/>
      <c r="J718" s="380"/>
      <c r="K718" s="380"/>
      <c r="L718" s="380"/>
      <c r="M718" s="380"/>
      <c r="N718" s="380"/>
      <c r="O718" s="404"/>
      <c r="P718" s="380"/>
      <c r="Q718" s="380"/>
      <c r="R718" s="380"/>
      <c r="S718" s="380"/>
      <c r="T718" s="380"/>
      <c r="U718" s="380"/>
      <c r="V718" s="380"/>
      <c r="W718" s="403"/>
      <c r="X718" s="380"/>
      <c r="Y718" s="380"/>
      <c r="Z718" s="380"/>
      <c r="AA718" s="380"/>
      <c r="AB718" s="380"/>
      <c r="AC718" s="404"/>
      <c r="AD718" s="380"/>
      <c r="AE718" s="380"/>
      <c r="AF718" s="380"/>
      <c r="AG718" s="380"/>
      <c r="AH718" s="380"/>
      <c r="AI718" s="380"/>
      <c r="AJ718" s="380"/>
      <c r="AK718" s="403"/>
      <c r="AL718" s="380"/>
      <c r="AM718" s="380"/>
      <c r="AN718" s="380"/>
      <c r="AO718" s="380"/>
      <c r="AP718" s="380"/>
      <c r="AQ718" s="404"/>
      <c r="AR718" s="380"/>
      <c r="AS718" s="380"/>
      <c r="AT718" s="380"/>
      <c r="AU718" s="380"/>
      <c r="AV718" s="380"/>
      <c r="AW718" s="380"/>
      <c r="AX718" s="380"/>
      <c r="AY718" s="403"/>
      <c r="AZ718" s="380"/>
      <c r="BA718" s="380"/>
      <c r="BB718" s="380"/>
      <c r="BC718" s="380"/>
      <c r="BD718" s="380"/>
      <c r="BE718" s="404"/>
      <c r="BF718" s="380"/>
      <c r="BG718" s="380"/>
      <c r="BH718" s="380"/>
      <c r="BI718" s="380"/>
      <c r="BJ718" s="380"/>
      <c r="BK718" s="380"/>
      <c r="BL718" s="380"/>
      <c r="BM718" s="403"/>
      <c r="BS718" s="83"/>
      <c r="CA718" s="405"/>
      <c r="CG718" s="83"/>
      <c r="CO718" s="405"/>
      <c r="CU718" s="83"/>
      <c r="DC718" s="405"/>
      <c r="DI718" s="83"/>
      <c r="DQ718" s="405"/>
      <c r="DW718" s="83"/>
      <c r="EE718" s="405"/>
      <c r="EK718" s="83"/>
      <c r="ES718" s="405"/>
      <c r="EY718" s="83"/>
      <c r="FG718" s="405"/>
      <c r="FM718" s="83"/>
      <c r="FU718" s="405"/>
      <c r="GA718" s="83"/>
      <c r="GI718" s="405"/>
      <c r="GO718" s="83"/>
      <c r="GW718" s="405"/>
      <c r="HC718" s="83"/>
      <c r="HK718" s="405"/>
      <c r="HQ718" s="83"/>
      <c r="HY718" s="405"/>
      <c r="IE718" s="83"/>
      <c r="IM718" s="405"/>
      <c r="IS718" s="83"/>
      <c r="JA718" s="405"/>
      <c r="JG718" s="83"/>
      <c r="JO718" s="405"/>
      <c r="JU718" s="83"/>
      <c r="KC718" s="405"/>
      <c r="KI718" s="83"/>
      <c r="KQ718" s="405"/>
      <c r="KW718" s="83"/>
      <c r="LE718" s="405"/>
      <c r="LK718" s="83"/>
      <c r="LS718" s="405"/>
      <c r="LY718" s="83"/>
      <c r="MG718" s="405"/>
      <c r="MM718" s="83"/>
      <c r="MU718" s="405"/>
      <c r="NA718" s="83"/>
    </row>
    <row r="719">
      <c r="A719" s="483"/>
      <c r="B719" s="380"/>
      <c r="C719" s="380"/>
      <c r="D719" s="380"/>
      <c r="E719" s="380"/>
      <c r="F719" s="380"/>
      <c r="G719" s="380"/>
      <c r="H719" s="380"/>
      <c r="I719" s="403"/>
      <c r="J719" s="380"/>
      <c r="K719" s="380"/>
      <c r="L719" s="380"/>
      <c r="M719" s="380"/>
      <c r="N719" s="380"/>
      <c r="O719" s="404"/>
      <c r="P719" s="380"/>
      <c r="Q719" s="380"/>
      <c r="R719" s="380"/>
      <c r="S719" s="380"/>
      <c r="T719" s="380"/>
      <c r="U719" s="380"/>
      <c r="V719" s="380"/>
      <c r="W719" s="403"/>
      <c r="X719" s="380"/>
      <c r="Y719" s="380"/>
      <c r="Z719" s="380"/>
      <c r="AA719" s="380"/>
      <c r="AB719" s="380"/>
      <c r="AC719" s="404"/>
      <c r="AD719" s="380"/>
      <c r="AE719" s="380"/>
      <c r="AF719" s="380"/>
      <c r="AG719" s="380"/>
      <c r="AH719" s="380"/>
      <c r="AI719" s="380"/>
      <c r="AJ719" s="380"/>
      <c r="AK719" s="403"/>
      <c r="AL719" s="380"/>
      <c r="AM719" s="380"/>
      <c r="AN719" s="380"/>
      <c r="AO719" s="380"/>
      <c r="AP719" s="380"/>
      <c r="AQ719" s="404"/>
      <c r="AR719" s="380"/>
      <c r="AS719" s="380"/>
      <c r="AT719" s="380"/>
      <c r="AU719" s="380"/>
      <c r="AV719" s="380"/>
      <c r="AW719" s="380"/>
      <c r="AX719" s="380"/>
      <c r="AY719" s="403"/>
      <c r="AZ719" s="380"/>
      <c r="BA719" s="380"/>
      <c r="BB719" s="380"/>
      <c r="BC719" s="380"/>
      <c r="BD719" s="380"/>
      <c r="BE719" s="404"/>
      <c r="BF719" s="380"/>
      <c r="BG719" s="380"/>
      <c r="BH719" s="380"/>
      <c r="BI719" s="380"/>
      <c r="BJ719" s="380"/>
      <c r="BK719" s="380"/>
      <c r="BL719" s="380"/>
      <c r="BM719" s="403"/>
      <c r="BS719" s="83"/>
      <c r="CA719" s="405"/>
      <c r="CG719" s="83"/>
      <c r="CO719" s="405"/>
      <c r="CU719" s="83"/>
      <c r="DC719" s="405"/>
      <c r="DI719" s="83"/>
      <c r="DQ719" s="405"/>
      <c r="DW719" s="83"/>
      <c r="EE719" s="405"/>
      <c r="EK719" s="83"/>
      <c r="ES719" s="405"/>
      <c r="EY719" s="83"/>
      <c r="FG719" s="405"/>
      <c r="FM719" s="83"/>
      <c r="FU719" s="405"/>
      <c r="GA719" s="83"/>
      <c r="GI719" s="405"/>
      <c r="GO719" s="83"/>
      <c r="GW719" s="405"/>
      <c r="HC719" s="83"/>
      <c r="HK719" s="405"/>
      <c r="HQ719" s="83"/>
      <c r="HY719" s="405"/>
      <c r="IE719" s="83"/>
      <c r="IM719" s="405"/>
      <c r="IS719" s="83"/>
      <c r="JA719" s="405"/>
      <c r="JG719" s="83"/>
      <c r="JO719" s="405"/>
      <c r="JU719" s="83"/>
      <c r="KC719" s="405"/>
      <c r="KI719" s="83"/>
      <c r="KQ719" s="405"/>
      <c r="KW719" s="83"/>
      <c r="LE719" s="405"/>
      <c r="LK719" s="83"/>
      <c r="LS719" s="405"/>
      <c r="LY719" s="83"/>
      <c r="MG719" s="405"/>
      <c r="MM719" s="83"/>
      <c r="MU719" s="405"/>
      <c r="NA719" s="83"/>
    </row>
    <row r="720">
      <c r="A720" s="483"/>
      <c r="B720" s="380"/>
      <c r="C720" s="380"/>
      <c r="D720" s="380"/>
      <c r="E720" s="380"/>
      <c r="F720" s="380"/>
      <c r="G720" s="380"/>
      <c r="H720" s="380"/>
      <c r="I720" s="403"/>
      <c r="J720" s="380"/>
      <c r="K720" s="380"/>
      <c r="L720" s="380"/>
      <c r="M720" s="380"/>
      <c r="N720" s="380"/>
      <c r="O720" s="404"/>
      <c r="P720" s="380"/>
      <c r="Q720" s="380"/>
      <c r="R720" s="380"/>
      <c r="S720" s="380"/>
      <c r="T720" s="380"/>
      <c r="U720" s="380"/>
      <c r="V720" s="380"/>
      <c r="W720" s="403"/>
      <c r="X720" s="380"/>
      <c r="Y720" s="380"/>
      <c r="Z720" s="380"/>
      <c r="AA720" s="380"/>
      <c r="AB720" s="380"/>
      <c r="AC720" s="404"/>
      <c r="AD720" s="380"/>
      <c r="AE720" s="380"/>
      <c r="AF720" s="380"/>
      <c r="AG720" s="380"/>
      <c r="AH720" s="380"/>
      <c r="AI720" s="380"/>
      <c r="AJ720" s="380"/>
      <c r="AK720" s="403"/>
      <c r="AL720" s="380"/>
      <c r="AM720" s="380"/>
      <c r="AN720" s="380"/>
      <c r="AO720" s="380"/>
      <c r="AP720" s="380"/>
      <c r="AQ720" s="404"/>
      <c r="AR720" s="380"/>
      <c r="AS720" s="380"/>
      <c r="AT720" s="380"/>
      <c r="AU720" s="380"/>
      <c r="AV720" s="380"/>
      <c r="AW720" s="380"/>
      <c r="AX720" s="380"/>
      <c r="AY720" s="403"/>
      <c r="AZ720" s="380"/>
      <c r="BA720" s="380"/>
      <c r="BB720" s="380"/>
      <c r="BC720" s="380"/>
      <c r="BD720" s="380"/>
      <c r="BE720" s="404"/>
      <c r="BF720" s="380"/>
      <c r="BG720" s="380"/>
      <c r="BH720" s="380"/>
      <c r="BI720" s="380"/>
      <c r="BJ720" s="380"/>
      <c r="BK720" s="380"/>
      <c r="BL720" s="380"/>
      <c r="BM720" s="403"/>
      <c r="BS720" s="83"/>
      <c r="CA720" s="405"/>
      <c r="CG720" s="83"/>
      <c r="CO720" s="405"/>
      <c r="CU720" s="83"/>
      <c r="DC720" s="405"/>
      <c r="DI720" s="83"/>
      <c r="DQ720" s="405"/>
      <c r="DW720" s="83"/>
      <c r="EE720" s="405"/>
      <c r="EK720" s="83"/>
      <c r="ES720" s="405"/>
      <c r="EY720" s="83"/>
      <c r="FG720" s="405"/>
      <c r="FM720" s="83"/>
      <c r="FU720" s="405"/>
      <c r="GA720" s="83"/>
      <c r="GI720" s="405"/>
      <c r="GO720" s="83"/>
      <c r="GW720" s="405"/>
      <c r="HC720" s="83"/>
      <c r="HK720" s="405"/>
      <c r="HQ720" s="83"/>
      <c r="HY720" s="405"/>
      <c r="IE720" s="83"/>
      <c r="IM720" s="405"/>
      <c r="IS720" s="83"/>
      <c r="JA720" s="405"/>
      <c r="JG720" s="83"/>
      <c r="JO720" s="405"/>
      <c r="JU720" s="83"/>
      <c r="KC720" s="405"/>
      <c r="KI720" s="83"/>
      <c r="KQ720" s="405"/>
      <c r="KW720" s="83"/>
      <c r="LE720" s="405"/>
      <c r="LK720" s="83"/>
      <c r="LS720" s="405"/>
      <c r="LY720" s="83"/>
      <c r="MG720" s="405"/>
      <c r="MM720" s="83"/>
      <c r="MU720" s="405"/>
      <c r="NA720" s="83"/>
    </row>
    <row r="721">
      <c r="A721" s="483"/>
      <c r="B721" s="380"/>
      <c r="C721" s="380"/>
      <c r="D721" s="380"/>
      <c r="E721" s="380"/>
      <c r="F721" s="380"/>
      <c r="G721" s="380"/>
      <c r="H721" s="380"/>
      <c r="I721" s="403"/>
      <c r="J721" s="380"/>
      <c r="K721" s="380"/>
      <c r="L721" s="380"/>
      <c r="M721" s="380"/>
      <c r="N721" s="380"/>
      <c r="O721" s="404"/>
      <c r="P721" s="380"/>
      <c r="Q721" s="380"/>
      <c r="R721" s="380"/>
      <c r="S721" s="380"/>
      <c r="T721" s="380"/>
      <c r="U721" s="380"/>
      <c r="V721" s="380"/>
      <c r="W721" s="403"/>
      <c r="X721" s="380"/>
      <c r="Y721" s="380"/>
      <c r="Z721" s="380"/>
      <c r="AA721" s="380"/>
      <c r="AB721" s="380"/>
      <c r="AC721" s="404"/>
      <c r="AD721" s="380"/>
      <c r="AE721" s="380"/>
      <c r="AF721" s="380"/>
      <c r="AG721" s="380"/>
      <c r="AH721" s="380"/>
      <c r="AI721" s="380"/>
      <c r="AJ721" s="380"/>
      <c r="AK721" s="403"/>
      <c r="AL721" s="380"/>
      <c r="AM721" s="380"/>
      <c r="AN721" s="380"/>
      <c r="AO721" s="380"/>
      <c r="AP721" s="380"/>
      <c r="AQ721" s="404"/>
      <c r="AR721" s="380"/>
      <c r="AS721" s="380"/>
      <c r="AT721" s="380"/>
      <c r="AU721" s="380"/>
      <c r="AV721" s="380"/>
      <c r="AW721" s="380"/>
      <c r="AX721" s="380"/>
      <c r="AY721" s="403"/>
      <c r="AZ721" s="380"/>
      <c r="BA721" s="380"/>
      <c r="BB721" s="380"/>
      <c r="BC721" s="380"/>
      <c r="BD721" s="380"/>
      <c r="BE721" s="404"/>
      <c r="BF721" s="380"/>
      <c r="BG721" s="380"/>
      <c r="BH721" s="380"/>
      <c r="BI721" s="380"/>
      <c r="BJ721" s="380"/>
      <c r="BK721" s="380"/>
      <c r="BL721" s="380"/>
      <c r="BM721" s="403"/>
      <c r="BS721" s="83"/>
      <c r="CA721" s="405"/>
      <c r="CG721" s="83"/>
      <c r="CO721" s="405"/>
      <c r="CU721" s="83"/>
      <c r="DC721" s="405"/>
      <c r="DI721" s="83"/>
      <c r="DQ721" s="405"/>
      <c r="DW721" s="83"/>
      <c r="EE721" s="405"/>
      <c r="EK721" s="83"/>
      <c r="ES721" s="405"/>
      <c r="EY721" s="83"/>
      <c r="FG721" s="405"/>
      <c r="FM721" s="83"/>
      <c r="FU721" s="405"/>
      <c r="GA721" s="83"/>
      <c r="GI721" s="405"/>
      <c r="GO721" s="83"/>
      <c r="GW721" s="405"/>
      <c r="HC721" s="83"/>
      <c r="HK721" s="405"/>
      <c r="HQ721" s="83"/>
      <c r="HY721" s="405"/>
      <c r="IE721" s="83"/>
      <c r="IM721" s="405"/>
      <c r="IS721" s="83"/>
      <c r="JA721" s="405"/>
      <c r="JG721" s="83"/>
      <c r="JO721" s="405"/>
      <c r="JU721" s="83"/>
      <c r="KC721" s="405"/>
      <c r="KI721" s="83"/>
      <c r="KQ721" s="405"/>
      <c r="KW721" s="83"/>
      <c r="LE721" s="405"/>
      <c r="LK721" s="83"/>
      <c r="LS721" s="405"/>
      <c r="LY721" s="83"/>
      <c r="MG721" s="405"/>
      <c r="MM721" s="83"/>
      <c r="MU721" s="405"/>
      <c r="NA721" s="83"/>
    </row>
    <row r="722">
      <c r="A722" s="483"/>
      <c r="B722" s="380"/>
      <c r="C722" s="380"/>
      <c r="D722" s="380"/>
      <c r="E722" s="380"/>
      <c r="F722" s="380"/>
      <c r="G722" s="380"/>
      <c r="H722" s="380"/>
      <c r="I722" s="403"/>
      <c r="J722" s="380"/>
      <c r="K722" s="380"/>
      <c r="L722" s="380"/>
      <c r="M722" s="380"/>
      <c r="N722" s="380"/>
      <c r="O722" s="404"/>
      <c r="P722" s="380"/>
      <c r="Q722" s="380"/>
      <c r="R722" s="380"/>
      <c r="S722" s="380"/>
      <c r="T722" s="380"/>
      <c r="U722" s="380"/>
      <c r="V722" s="380"/>
      <c r="W722" s="403"/>
      <c r="X722" s="380"/>
      <c r="Y722" s="380"/>
      <c r="Z722" s="380"/>
      <c r="AA722" s="380"/>
      <c r="AB722" s="380"/>
      <c r="AC722" s="404"/>
      <c r="AD722" s="380"/>
      <c r="AE722" s="380"/>
      <c r="AF722" s="380"/>
      <c r="AG722" s="380"/>
      <c r="AH722" s="380"/>
      <c r="AI722" s="380"/>
      <c r="AJ722" s="380"/>
      <c r="AK722" s="403"/>
      <c r="AL722" s="380"/>
      <c r="AM722" s="380"/>
      <c r="AN722" s="380"/>
      <c r="AO722" s="380"/>
      <c r="AP722" s="380"/>
      <c r="AQ722" s="404"/>
      <c r="AR722" s="380"/>
      <c r="AS722" s="380"/>
      <c r="AT722" s="380"/>
      <c r="AU722" s="380"/>
      <c r="AV722" s="380"/>
      <c r="AW722" s="380"/>
      <c r="AX722" s="380"/>
      <c r="AY722" s="403"/>
      <c r="AZ722" s="380"/>
      <c r="BA722" s="380"/>
      <c r="BB722" s="380"/>
      <c r="BC722" s="380"/>
      <c r="BD722" s="380"/>
      <c r="BE722" s="404"/>
      <c r="BF722" s="380"/>
      <c r="BG722" s="380"/>
      <c r="BH722" s="380"/>
      <c r="BI722" s="380"/>
      <c r="BJ722" s="380"/>
      <c r="BK722" s="380"/>
      <c r="BL722" s="380"/>
      <c r="BM722" s="403"/>
      <c r="BS722" s="83"/>
      <c r="CA722" s="405"/>
      <c r="CG722" s="83"/>
      <c r="CO722" s="405"/>
      <c r="CU722" s="83"/>
      <c r="DC722" s="405"/>
      <c r="DI722" s="83"/>
      <c r="DQ722" s="405"/>
      <c r="DW722" s="83"/>
      <c r="EE722" s="405"/>
      <c r="EK722" s="83"/>
      <c r="ES722" s="405"/>
      <c r="EY722" s="83"/>
      <c r="FG722" s="405"/>
      <c r="FM722" s="83"/>
      <c r="FU722" s="405"/>
      <c r="GA722" s="83"/>
      <c r="GI722" s="405"/>
      <c r="GO722" s="83"/>
      <c r="GW722" s="405"/>
      <c r="HC722" s="83"/>
      <c r="HK722" s="405"/>
      <c r="HQ722" s="83"/>
      <c r="HY722" s="405"/>
      <c r="IE722" s="83"/>
      <c r="IM722" s="405"/>
      <c r="IS722" s="83"/>
      <c r="JA722" s="405"/>
      <c r="JG722" s="83"/>
      <c r="JO722" s="405"/>
      <c r="JU722" s="83"/>
      <c r="KC722" s="405"/>
      <c r="KI722" s="83"/>
      <c r="KQ722" s="405"/>
      <c r="KW722" s="83"/>
      <c r="LE722" s="405"/>
      <c r="LK722" s="83"/>
      <c r="LS722" s="405"/>
      <c r="LY722" s="83"/>
      <c r="MG722" s="405"/>
      <c r="MM722" s="83"/>
      <c r="MU722" s="405"/>
      <c r="NA722" s="83"/>
    </row>
    <row r="723">
      <c r="A723" s="483"/>
      <c r="B723" s="380"/>
      <c r="C723" s="380"/>
      <c r="D723" s="380"/>
      <c r="E723" s="380"/>
      <c r="F723" s="380"/>
      <c r="G723" s="380"/>
      <c r="H723" s="380"/>
      <c r="I723" s="403"/>
      <c r="J723" s="380"/>
      <c r="K723" s="380"/>
      <c r="L723" s="380"/>
      <c r="M723" s="380"/>
      <c r="N723" s="380"/>
      <c r="O723" s="404"/>
      <c r="P723" s="380"/>
      <c r="Q723" s="380"/>
      <c r="R723" s="380"/>
      <c r="S723" s="380"/>
      <c r="T723" s="380"/>
      <c r="U723" s="380"/>
      <c r="V723" s="380"/>
      <c r="W723" s="403"/>
      <c r="X723" s="380"/>
      <c r="Y723" s="380"/>
      <c r="Z723" s="380"/>
      <c r="AA723" s="380"/>
      <c r="AB723" s="380"/>
      <c r="AC723" s="404"/>
      <c r="AD723" s="380"/>
      <c r="AE723" s="380"/>
      <c r="AF723" s="380"/>
      <c r="AG723" s="380"/>
      <c r="AH723" s="380"/>
      <c r="AI723" s="380"/>
      <c r="AJ723" s="380"/>
      <c r="AK723" s="403"/>
      <c r="AL723" s="380"/>
      <c r="AM723" s="380"/>
      <c r="AN723" s="380"/>
      <c r="AO723" s="380"/>
      <c r="AP723" s="380"/>
      <c r="AQ723" s="404"/>
      <c r="AR723" s="380"/>
      <c r="AS723" s="380"/>
      <c r="AT723" s="380"/>
      <c r="AU723" s="380"/>
      <c r="AV723" s="380"/>
      <c r="AW723" s="380"/>
      <c r="AX723" s="380"/>
      <c r="AY723" s="403"/>
      <c r="AZ723" s="380"/>
      <c r="BA723" s="380"/>
      <c r="BB723" s="380"/>
      <c r="BC723" s="380"/>
      <c r="BD723" s="380"/>
      <c r="BE723" s="404"/>
      <c r="BF723" s="380"/>
      <c r="BG723" s="380"/>
      <c r="BH723" s="380"/>
      <c r="BI723" s="380"/>
      <c r="BJ723" s="380"/>
      <c r="BK723" s="380"/>
      <c r="BL723" s="380"/>
      <c r="BM723" s="403"/>
      <c r="BS723" s="83"/>
      <c r="CA723" s="405"/>
      <c r="CG723" s="83"/>
      <c r="CO723" s="405"/>
      <c r="CU723" s="83"/>
      <c r="DC723" s="405"/>
      <c r="DI723" s="83"/>
      <c r="DQ723" s="405"/>
      <c r="DW723" s="83"/>
      <c r="EE723" s="405"/>
      <c r="EK723" s="83"/>
      <c r="ES723" s="405"/>
      <c r="EY723" s="83"/>
      <c r="FG723" s="405"/>
      <c r="FM723" s="83"/>
      <c r="FU723" s="405"/>
      <c r="GA723" s="83"/>
      <c r="GI723" s="405"/>
      <c r="GO723" s="83"/>
      <c r="GW723" s="405"/>
      <c r="HC723" s="83"/>
      <c r="HK723" s="405"/>
      <c r="HQ723" s="83"/>
      <c r="HY723" s="405"/>
      <c r="IE723" s="83"/>
      <c r="IM723" s="405"/>
      <c r="IS723" s="83"/>
      <c r="JA723" s="405"/>
      <c r="JG723" s="83"/>
      <c r="JO723" s="405"/>
      <c r="JU723" s="83"/>
      <c r="KC723" s="405"/>
      <c r="KI723" s="83"/>
      <c r="KQ723" s="405"/>
      <c r="KW723" s="83"/>
      <c r="LE723" s="405"/>
      <c r="LK723" s="83"/>
      <c r="LS723" s="405"/>
      <c r="LY723" s="83"/>
      <c r="MG723" s="405"/>
      <c r="MM723" s="83"/>
      <c r="MU723" s="405"/>
      <c r="NA723" s="83"/>
    </row>
    <row r="724">
      <c r="A724" s="483"/>
      <c r="B724" s="380"/>
      <c r="C724" s="380"/>
      <c r="D724" s="380"/>
      <c r="E724" s="380"/>
      <c r="F724" s="380"/>
      <c r="G724" s="380"/>
      <c r="H724" s="380"/>
      <c r="I724" s="403"/>
      <c r="J724" s="380"/>
      <c r="K724" s="380"/>
      <c r="L724" s="380"/>
      <c r="M724" s="380"/>
      <c r="N724" s="380"/>
      <c r="O724" s="404"/>
      <c r="P724" s="380"/>
      <c r="Q724" s="380"/>
      <c r="R724" s="380"/>
      <c r="S724" s="380"/>
      <c r="T724" s="380"/>
      <c r="U724" s="380"/>
      <c r="V724" s="380"/>
      <c r="W724" s="403"/>
      <c r="X724" s="380"/>
      <c r="Y724" s="380"/>
      <c r="Z724" s="380"/>
      <c r="AA724" s="380"/>
      <c r="AB724" s="380"/>
      <c r="AC724" s="404"/>
      <c r="AD724" s="380"/>
      <c r="AE724" s="380"/>
      <c r="AF724" s="380"/>
      <c r="AG724" s="380"/>
      <c r="AH724" s="380"/>
      <c r="AI724" s="380"/>
      <c r="AJ724" s="380"/>
      <c r="AK724" s="403"/>
      <c r="AL724" s="380"/>
      <c r="AM724" s="380"/>
      <c r="AN724" s="380"/>
      <c r="AO724" s="380"/>
      <c r="AP724" s="380"/>
      <c r="AQ724" s="404"/>
      <c r="AR724" s="380"/>
      <c r="AS724" s="380"/>
      <c r="AT724" s="380"/>
      <c r="AU724" s="380"/>
      <c r="AV724" s="380"/>
      <c r="AW724" s="380"/>
      <c r="AX724" s="380"/>
      <c r="AY724" s="403"/>
      <c r="AZ724" s="380"/>
      <c r="BA724" s="380"/>
      <c r="BB724" s="380"/>
      <c r="BC724" s="380"/>
      <c r="BD724" s="380"/>
      <c r="BE724" s="404"/>
      <c r="BF724" s="380"/>
      <c r="BG724" s="380"/>
      <c r="BH724" s="380"/>
      <c r="BI724" s="380"/>
      <c r="BJ724" s="380"/>
      <c r="BK724" s="380"/>
      <c r="BL724" s="380"/>
      <c r="BM724" s="403"/>
      <c r="BS724" s="83"/>
      <c r="CA724" s="405"/>
      <c r="CG724" s="83"/>
      <c r="CO724" s="405"/>
      <c r="CU724" s="83"/>
      <c r="DC724" s="405"/>
      <c r="DI724" s="83"/>
      <c r="DQ724" s="405"/>
      <c r="DW724" s="83"/>
      <c r="EE724" s="405"/>
      <c r="EK724" s="83"/>
      <c r="ES724" s="405"/>
      <c r="EY724" s="83"/>
      <c r="FG724" s="405"/>
      <c r="FM724" s="83"/>
      <c r="FU724" s="405"/>
      <c r="GA724" s="83"/>
      <c r="GI724" s="405"/>
      <c r="GO724" s="83"/>
      <c r="GW724" s="405"/>
      <c r="HC724" s="83"/>
      <c r="HK724" s="405"/>
      <c r="HQ724" s="83"/>
      <c r="HY724" s="405"/>
      <c r="IE724" s="83"/>
      <c r="IM724" s="405"/>
      <c r="IS724" s="83"/>
      <c r="JA724" s="405"/>
      <c r="JG724" s="83"/>
      <c r="JO724" s="405"/>
      <c r="JU724" s="83"/>
      <c r="KC724" s="405"/>
      <c r="KI724" s="83"/>
      <c r="KQ724" s="405"/>
      <c r="KW724" s="83"/>
      <c r="LE724" s="405"/>
      <c r="LK724" s="83"/>
      <c r="LS724" s="405"/>
      <c r="LY724" s="83"/>
      <c r="MG724" s="405"/>
      <c r="MM724" s="83"/>
      <c r="MU724" s="405"/>
      <c r="NA724" s="83"/>
    </row>
    <row r="725">
      <c r="A725" s="483"/>
      <c r="B725" s="380"/>
      <c r="C725" s="380"/>
      <c r="D725" s="380"/>
      <c r="E725" s="380"/>
      <c r="F725" s="380"/>
      <c r="G725" s="380"/>
      <c r="H725" s="380"/>
      <c r="I725" s="403"/>
      <c r="J725" s="380"/>
      <c r="K725" s="380"/>
      <c r="L725" s="380"/>
      <c r="M725" s="380"/>
      <c r="N725" s="380"/>
      <c r="O725" s="404"/>
      <c r="P725" s="380"/>
      <c r="Q725" s="380"/>
      <c r="R725" s="380"/>
      <c r="S725" s="380"/>
      <c r="T725" s="380"/>
      <c r="U725" s="380"/>
      <c r="V725" s="380"/>
      <c r="W725" s="403"/>
      <c r="X725" s="380"/>
      <c r="Y725" s="380"/>
      <c r="Z725" s="380"/>
      <c r="AA725" s="380"/>
      <c r="AB725" s="380"/>
      <c r="AC725" s="404"/>
      <c r="AD725" s="380"/>
      <c r="AE725" s="380"/>
      <c r="AF725" s="380"/>
      <c r="AG725" s="380"/>
      <c r="AH725" s="380"/>
      <c r="AI725" s="380"/>
      <c r="AJ725" s="380"/>
      <c r="AK725" s="403"/>
      <c r="AL725" s="380"/>
      <c r="AM725" s="380"/>
      <c r="AN725" s="380"/>
      <c r="AO725" s="380"/>
      <c r="AP725" s="380"/>
      <c r="AQ725" s="404"/>
      <c r="AR725" s="380"/>
      <c r="AS725" s="380"/>
      <c r="AT725" s="380"/>
      <c r="AU725" s="380"/>
      <c r="AV725" s="380"/>
      <c r="AW725" s="380"/>
      <c r="AX725" s="380"/>
      <c r="AY725" s="403"/>
      <c r="AZ725" s="380"/>
      <c r="BA725" s="380"/>
      <c r="BB725" s="380"/>
      <c r="BC725" s="380"/>
      <c r="BD725" s="380"/>
      <c r="BE725" s="404"/>
      <c r="BF725" s="380"/>
      <c r="BG725" s="380"/>
      <c r="BH725" s="380"/>
      <c r="BI725" s="380"/>
      <c r="BJ725" s="380"/>
      <c r="BK725" s="380"/>
      <c r="BL725" s="380"/>
      <c r="BM725" s="403"/>
      <c r="BS725" s="83"/>
      <c r="CA725" s="405"/>
      <c r="CG725" s="83"/>
      <c r="CO725" s="405"/>
      <c r="CU725" s="83"/>
      <c r="DC725" s="405"/>
      <c r="DI725" s="83"/>
      <c r="DQ725" s="405"/>
      <c r="DW725" s="83"/>
      <c r="EE725" s="405"/>
      <c r="EK725" s="83"/>
      <c r="ES725" s="405"/>
      <c r="EY725" s="83"/>
      <c r="FG725" s="405"/>
      <c r="FM725" s="83"/>
      <c r="FU725" s="405"/>
      <c r="GA725" s="83"/>
      <c r="GI725" s="405"/>
      <c r="GO725" s="83"/>
      <c r="GW725" s="405"/>
      <c r="HC725" s="83"/>
      <c r="HK725" s="405"/>
      <c r="HQ725" s="83"/>
      <c r="HY725" s="405"/>
      <c r="IE725" s="83"/>
      <c r="IM725" s="405"/>
      <c r="IS725" s="83"/>
      <c r="JA725" s="405"/>
      <c r="JG725" s="83"/>
      <c r="JO725" s="405"/>
      <c r="JU725" s="83"/>
      <c r="KC725" s="405"/>
      <c r="KI725" s="83"/>
      <c r="KQ725" s="405"/>
      <c r="KW725" s="83"/>
      <c r="LE725" s="405"/>
      <c r="LK725" s="83"/>
      <c r="LS725" s="405"/>
      <c r="LY725" s="83"/>
      <c r="MG725" s="405"/>
      <c r="MM725" s="83"/>
      <c r="MU725" s="405"/>
      <c r="NA725" s="83"/>
    </row>
    <row r="726">
      <c r="A726" s="483"/>
      <c r="B726" s="380"/>
      <c r="C726" s="380"/>
      <c r="D726" s="380"/>
      <c r="E726" s="380"/>
      <c r="F726" s="380"/>
      <c r="G726" s="380"/>
      <c r="H726" s="380"/>
      <c r="I726" s="403"/>
      <c r="J726" s="380"/>
      <c r="K726" s="380"/>
      <c r="L726" s="380"/>
      <c r="M726" s="380"/>
      <c r="N726" s="380"/>
      <c r="O726" s="404"/>
      <c r="P726" s="380"/>
      <c r="Q726" s="380"/>
      <c r="R726" s="380"/>
      <c r="S726" s="380"/>
      <c r="T726" s="380"/>
      <c r="U726" s="380"/>
      <c r="V726" s="380"/>
      <c r="W726" s="403"/>
      <c r="X726" s="380"/>
      <c r="Y726" s="380"/>
      <c r="Z726" s="380"/>
      <c r="AA726" s="380"/>
      <c r="AB726" s="380"/>
      <c r="AC726" s="404"/>
      <c r="AD726" s="380"/>
      <c r="AE726" s="380"/>
      <c r="AF726" s="380"/>
      <c r="AG726" s="380"/>
      <c r="AH726" s="380"/>
      <c r="AI726" s="380"/>
      <c r="AJ726" s="380"/>
      <c r="AK726" s="403"/>
      <c r="AL726" s="380"/>
      <c r="AM726" s="380"/>
      <c r="AN726" s="380"/>
      <c r="AO726" s="380"/>
      <c r="AP726" s="380"/>
      <c r="AQ726" s="404"/>
      <c r="AR726" s="380"/>
      <c r="AS726" s="380"/>
      <c r="AT726" s="380"/>
      <c r="AU726" s="380"/>
      <c r="AV726" s="380"/>
      <c r="AW726" s="380"/>
      <c r="AX726" s="380"/>
      <c r="AY726" s="403"/>
      <c r="AZ726" s="380"/>
      <c r="BA726" s="380"/>
      <c r="BB726" s="380"/>
      <c r="BC726" s="380"/>
      <c r="BD726" s="380"/>
      <c r="BE726" s="404"/>
      <c r="BF726" s="380"/>
      <c r="BG726" s="380"/>
      <c r="BH726" s="380"/>
      <c r="BI726" s="380"/>
      <c r="BJ726" s="380"/>
      <c r="BK726" s="380"/>
      <c r="BL726" s="380"/>
      <c r="BM726" s="403"/>
      <c r="BS726" s="83"/>
      <c r="CA726" s="405"/>
      <c r="CG726" s="83"/>
      <c r="CO726" s="405"/>
      <c r="CU726" s="83"/>
      <c r="DC726" s="405"/>
      <c r="DI726" s="83"/>
      <c r="DQ726" s="405"/>
      <c r="DW726" s="83"/>
      <c r="EE726" s="405"/>
      <c r="EK726" s="83"/>
      <c r="ES726" s="405"/>
      <c r="EY726" s="83"/>
      <c r="FG726" s="405"/>
      <c r="FM726" s="83"/>
      <c r="FU726" s="405"/>
      <c r="GA726" s="83"/>
      <c r="GI726" s="405"/>
      <c r="GO726" s="83"/>
      <c r="GW726" s="405"/>
      <c r="HC726" s="83"/>
      <c r="HK726" s="405"/>
      <c r="HQ726" s="83"/>
      <c r="HY726" s="405"/>
      <c r="IE726" s="83"/>
      <c r="IM726" s="405"/>
      <c r="IS726" s="83"/>
      <c r="JA726" s="405"/>
      <c r="JG726" s="83"/>
      <c r="JO726" s="405"/>
      <c r="JU726" s="83"/>
      <c r="KC726" s="405"/>
      <c r="KI726" s="83"/>
      <c r="KQ726" s="405"/>
      <c r="KW726" s="83"/>
      <c r="LE726" s="405"/>
      <c r="LK726" s="83"/>
      <c r="LS726" s="405"/>
      <c r="LY726" s="83"/>
      <c r="MG726" s="405"/>
      <c r="MM726" s="83"/>
      <c r="MU726" s="405"/>
      <c r="NA726" s="83"/>
    </row>
    <row r="727">
      <c r="A727" s="483"/>
      <c r="B727" s="380"/>
      <c r="C727" s="380"/>
      <c r="D727" s="380"/>
      <c r="E727" s="380"/>
      <c r="F727" s="380"/>
      <c r="G727" s="380"/>
      <c r="H727" s="380"/>
      <c r="I727" s="403"/>
      <c r="J727" s="380"/>
      <c r="K727" s="380"/>
      <c r="L727" s="380"/>
      <c r="M727" s="380"/>
      <c r="N727" s="380"/>
      <c r="O727" s="404"/>
      <c r="P727" s="380"/>
      <c r="Q727" s="380"/>
      <c r="R727" s="380"/>
      <c r="S727" s="380"/>
      <c r="T727" s="380"/>
      <c r="U727" s="380"/>
      <c r="V727" s="380"/>
      <c r="W727" s="403"/>
      <c r="X727" s="380"/>
      <c r="Y727" s="380"/>
      <c r="Z727" s="380"/>
      <c r="AA727" s="380"/>
      <c r="AB727" s="380"/>
      <c r="AC727" s="404"/>
      <c r="AD727" s="380"/>
      <c r="AE727" s="380"/>
      <c r="AF727" s="380"/>
      <c r="AG727" s="380"/>
      <c r="AH727" s="380"/>
      <c r="AI727" s="380"/>
      <c r="AJ727" s="380"/>
      <c r="AK727" s="403"/>
      <c r="AL727" s="380"/>
      <c r="AM727" s="380"/>
      <c r="AN727" s="380"/>
      <c r="AO727" s="380"/>
      <c r="AP727" s="380"/>
      <c r="AQ727" s="404"/>
      <c r="AR727" s="380"/>
      <c r="AS727" s="380"/>
      <c r="AT727" s="380"/>
      <c r="AU727" s="380"/>
      <c r="AV727" s="380"/>
      <c r="AW727" s="380"/>
      <c r="AX727" s="380"/>
      <c r="AY727" s="403"/>
      <c r="AZ727" s="380"/>
      <c r="BA727" s="380"/>
      <c r="BB727" s="380"/>
      <c r="BC727" s="380"/>
      <c r="BD727" s="380"/>
      <c r="BE727" s="404"/>
      <c r="BF727" s="380"/>
      <c r="BG727" s="380"/>
      <c r="BH727" s="380"/>
      <c r="BI727" s="380"/>
      <c r="BJ727" s="380"/>
      <c r="BK727" s="380"/>
      <c r="BL727" s="380"/>
      <c r="BM727" s="403"/>
      <c r="BS727" s="83"/>
      <c r="CA727" s="405"/>
      <c r="CG727" s="83"/>
      <c r="CO727" s="405"/>
      <c r="CU727" s="83"/>
      <c r="DC727" s="405"/>
      <c r="DI727" s="83"/>
      <c r="DQ727" s="405"/>
      <c r="DW727" s="83"/>
      <c r="EE727" s="405"/>
      <c r="EK727" s="83"/>
      <c r="ES727" s="405"/>
      <c r="EY727" s="83"/>
      <c r="FG727" s="405"/>
      <c r="FM727" s="83"/>
      <c r="FU727" s="405"/>
      <c r="GA727" s="83"/>
      <c r="GI727" s="405"/>
      <c r="GO727" s="83"/>
      <c r="GW727" s="405"/>
      <c r="HC727" s="83"/>
      <c r="HK727" s="405"/>
      <c r="HQ727" s="83"/>
      <c r="HY727" s="405"/>
      <c r="IE727" s="83"/>
      <c r="IM727" s="405"/>
      <c r="IS727" s="83"/>
      <c r="JA727" s="405"/>
      <c r="JG727" s="83"/>
      <c r="JO727" s="405"/>
      <c r="JU727" s="83"/>
      <c r="KC727" s="405"/>
      <c r="KI727" s="83"/>
      <c r="KQ727" s="405"/>
      <c r="KW727" s="83"/>
      <c r="LE727" s="405"/>
      <c r="LK727" s="83"/>
      <c r="LS727" s="405"/>
      <c r="LY727" s="83"/>
      <c r="MG727" s="405"/>
      <c r="MM727" s="83"/>
      <c r="MU727" s="405"/>
      <c r="NA727" s="83"/>
    </row>
    <row r="728">
      <c r="A728" s="483"/>
      <c r="B728" s="380"/>
      <c r="C728" s="380"/>
      <c r="D728" s="380"/>
      <c r="E728" s="380"/>
      <c r="F728" s="380"/>
      <c r="G728" s="380"/>
      <c r="H728" s="380"/>
      <c r="I728" s="403"/>
      <c r="J728" s="380"/>
      <c r="K728" s="380"/>
      <c r="L728" s="380"/>
      <c r="M728" s="380"/>
      <c r="N728" s="380"/>
      <c r="O728" s="404"/>
      <c r="P728" s="380"/>
      <c r="Q728" s="380"/>
      <c r="R728" s="380"/>
      <c r="S728" s="380"/>
      <c r="T728" s="380"/>
      <c r="U728" s="380"/>
      <c r="V728" s="380"/>
      <c r="W728" s="403"/>
      <c r="X728" s="380"/>
      <c r="Y728" s="380"/>
      <c r="Z728" s="380"/>
      <c r="AA728" s="380"/>
      <c r="AB728" s="380"/>
      <c r="AC728" s="404"/>
      <c r="AD728" s="380"/>
      <c r="AE728" s="380"/>
      <c r="AF728" s="380"/>
      <c r="AG728" s="380"/>
      <c r="AH728" s="380"/>
      <c r="AI728" s="380"/>
      <c r="AJ728" s="380"/>
      <c r="AK728" s="403"/>
      <c r="AL728" s="380"/>
      <c r="AM728" s="380"/>
      <c r="AN728" s="380"/>
      <c r="AO728" s="380"/>
      <c r="AP728" s="380"/>
      <c r="AQ728" s="404"/>
      <c r="AR728" s="380"/>
      <c r="AS728" s="380"/>
      <c r="AT728" s="380"/>
      <c r="AU728" s="380"/>
      <c r="AV728" s="380"/>
      <c r="AW728" s="380"/>
      <c r="AX728" s="380"/>
      <c r="AY728" s="403"/>
      <c r="AZ728" s="380"/>
      <c r="BA728" s="380"/>
      <c r="BB728" s="380"/>
      <c r="BC728" s="380"/>
      <c r="BD728" s="380"/>
      <c r="BE728" s="404"/>
      <c r="BF728" s="380"/>
      <c r="BG728" s="380"/>
      <c r="BH728" s="380"/>
      <c r="BI728" s="380"/>
      <c r="BJ728" s="380"/>
      <c r="BK728" s="380"/>
      <c r="BL728" s="380"/>
      <c r="BM728" s="403"/>
      <c r="BS728" s="83"/>
      <c r="CA728" s="405"/>
      <c r="CG728" s="83"/>
      <c r="CO728" s="405"/>
      <c r="CU728" s="83"/>
      <c r="DC728" s="405"/>
      <c r="DI728" s="83"/>
      <c r="DQ728" s="405"/>
      <c r="DW728" s="83"/>
      <c r="EE728" s="405"/>
      <c r="EK728" s="83"/>
      <c r="ES728" s="405"/>
      <c r="EY728" s="83"/>
      <c r="FG728" s="405"/>
      <c r="FM728" s="83"/>
      <c r="FU728" s="405"/>
      <c r="GA728" s="83"/>
      <c r="GI728" s="405"/>
      <c r="GO728" s="83"/>
      <c r="GW728" s="405"/>
      <c r="HC728" s="83"/>
      <c r="HK728" s="405"/>
      <c r="HQ728" s="83"/>
      <c r="HY728" s="405"/>
      <c r="IE728" s="83"/>
      <c r="IM728" s="405"/>
      <c r="IS728" s="83"/>
      <c r="JA728" s="405"/>
      <c r="JG728" s="83"/>
      <c r="JO728" s="405"/>
      <c r="JU728" s="83"/>
      <c r="KC728" s="405"/>
      <c r="KI728" s="83"/>
      <c r="KQ728" s="405"/>
      <c r="KW728" s="83"/>
      <c r="LE728" s="405"/>
      <c r="LK728" s="83"/>
      <c r="LS728" s="405"/>
      <c r="LY728" s="83"/>
      <c r="MG728" s="405"/>
      <c r="MM728" s="83"/>
      <c r="MU728" s="405"/>
      <c r="NA728" s="83"/>
    </row>
    <row r="729">
      <c r="A729" s="483"/>
      <c r="B729" s="380"/>
      <c r="C729" s="380"/>
      <c r="D729" s="380"/>
      <c r="E729" s="380"/>
      <c r="F729" s="380"/>
      <c r="G729" s="380"/>
      <c r="H729" s="380"/>
      <c r="I729" s="403"/>
      <c r="J729" s="380"/>
      <c r="K729" s="380"/>
      <c r="L729" s="380"/>
      <c r="M729" s="380"/>
      <c r="N729" s="380"/>
      <c r="O729" s="404"/>
      <c r="P729" s="380"/>
      <c r="Q729" s="380"/>
      <c r="R729" s="380"/>
      <c r="S729" s="380"/>
      <c r="T729" s="380"/>
      <c r="U729" s="380"/>
      <c r="V729" s="380"/>
      <c r="W729" s="403"/>
      <c r="X729" s="380"/>
      <c r="Y729" s="380"/>
      <c r="Z729" s="380"/>
      <c r="AA729" s="380"/>
      <c r="AB729" s="380"/>
      <c r="AC729" s="404"/>
      <c r="AD729" s="380"/>
      <c r="AE729" s="380"/>
      <c r="AF729" s="380"/>
      <c r="AG729" s="380"/>
      <c r="AH729" s="380"/>
      <c r="AI729" s="380"/>
      <c r="AJ729" s="380"/>
      <c r="AK729" s="403"/>
      <c r="AL729" s="380"/>
      <c r="AM729" s="380"/>
      <c r="AN729" s="380"/>
      <c r="AO729" s="380"/>
      <c r="AP729" s="380"/>
      <c r="AQ729" s="404"/>
      <c r="AR729" s="380"/>
      <c r="AS729" s="380"/>
      <c r="AT729" s="380"/>
      <c r="AU729" s="380"/>
      <c r="AV729" s="380"/>
      <c r="AW729" s="380"/>
      <c r="AX729" s="380"/>
      <c r="AY729" s="403"/>
      <c r="AZ729" s="380"/>
      <c r="BA729" s="380"/>
      <c r="BB729" s="380"/>
      <c r="BC729" s="380"/>
      <c r="BD729" s="380"/>
      <c r="BE729" s="404"/>
      <c r="BF729" s="380"/>
      <c r="BG729" s="380"/>
      <c r="BH729" s="380"/>
      <c r="BI729" s="380"/>
      <c r="BJ729" s="380"/>
      <c r="BK729" s="380"/>
      <c r="BL729" s="380"/>
      <c r="BM729" s="403"/>
      <c r="BS729" s="83"/>
      <c r="CA729" s="405"/>
      <c r="CG729" s="83"/>
      <c r="CO729" s="405"/>
      <c r="CU729" s="83"/>
      <c r="DC729" s="405"/>
      <c r="DI729" s="83"/>
      <c r="DQ729" s="405"/>
      <c r="DW729" s="83"/>
      <c r="EE729" s="405"/>
      <c r="EK729" s="83"/>
      <c r="ES729" s="405"/>
      <c r="EY729" s="83"/>
      <c r="FG729" s="405"/>
      <c r="FM729" s="83"/>
      <c r="FU729" s="405"/>
      <c r="GA729" s="83"/>
      <c r="GI729" s="405"/>
      <c r="GO729" s="83"/>
      <c r="GW729" s="405"/>
      <c r="HC729" s="83"/>
      <c r="HK729" s="405"/>
      <c r="HQ729" s="83"/>
      <c r="HY729" s="405"/>
      <c r="IE729" s="83"/>
      <c r="IM729" s="405"/>
      <c r="IS729" s="83"/>
      <c r="JA729" s="405"/>
      <c r="JG729" s="83"/>
      <c r="JO729" s="405"/>
      <c r="JU729" s="83"/>
      <c r="KC729" s="405"/>
      <c r="KI729" s="83"/>
      <c r="KQ729" s="405"/>
      <c r="KW729" s="83"/>
      <c r="LE729" s="405"/>
      <c r="LK729" s="83"/>
      <c r="LS729" s="405"/>
      <c r="LY729" s="83"/>
      <c r="MG729" s="405"/>
      <c r="MM729" s="83"/>
      <c r="MU729" s="405"/>
      <c r="NA729" s="83"/>
    </row>
    <row r="730">
      <c r="A730" s="483"/>
      <c r="B730" s="380"/>
      <c r="C730" s="380"/>
      <c r="D730" s="380"/>
      <c r="E730" s="380"/>
      <c r="F730" s="380"/>
      <c r="G730" s="380"/>
      <c r="H730" s="380"/>
      <c r="I730" s="403"/>
      <c r="J730" s="380"/>
      <c r="K730" s="380"/>
      <c r="L730" s="380"/>
      <c r="M730" s="380"/>
      <c r="N730" s="380"/>
      <c r="O730" s="404"/>
      <c r="P730" s="380"/>
      <c r="Q730" s="380"/>
      <c r="R730" s="380"/>
      <c r="S730" s="380"/>
      <c r="T730" s="380"/>
      <c r="U730" s="380"/>
      <c r="V730" s="380"/>
      <c r="W730" s="403"/>
      <c r="X730" s="380"/>
      <c r="Y730" s="380"/>
      <c r="Z730" s="380"/>
      <c r="AA730" s="380"/>
      <c r="AB730" s="380"/>
      <c r="AC730" s="404"/>
      <c r="AD730" s="380"/>
      <c r="AE730" s="380"/>
      <c r="AF730" s="380"/>
      <c r="AG730" s="380"/>
      <c r="AH730" s="380"/>
      <c r="AI730" s="380"/>
      <c r="AJ730" s="380"/>
      <c r="AK730" s="403"/>
      <c r="AL730" s="380"/>
      <c r="AM730" s="380"/>
      <c r="AN730" s="380"/>
      <c r="AO730" s="380"/>
      <c r="AP730" s="380"/>
      <c r="AQ730" s="404"/>
      <c r="AR730" s="380"/>
      <c r="AS730" s="380"/>
      <c r="AT730" s="380"/>
      <c r="AU730" s="380"/>
      <c r="AV730" s="380"/>
      <c r="AW730" s="380"/>
      <c r="AX730" s="380"/>
      <c r="AY730" s="403"/>
      <c r="AZ730" s="380"/>
      <c r="BA730" s="380"/>
      <c r="BB730" s="380"/>
      <c r="BC730" s="380"/>
      <c r="BD730" s="380"/>
      <c r="BE730" s="404"/>
      <c r="BF730" s="380"/>
      <c r="BG730" s="380"/>
      <c r="BH730" s="380"/>
      <c r="BI730" s="380"/>
      <c r="BJ730" s="380"/>
      <c r="BK730" s="380"/>
      <c r="BL730" s="380"/>
      <c r="BM730" s="403"/>
      <c r="BS730" s="83"/>
      <c r="CA730" s="405"/>
      <c r="CG730" s="83"/>
      <c r="CO730" s="405"/>
      <c r="CU730" s="83"/>
      <c r="DC730" s="405"/>
      <c r="DI730" s="83"/>
      <c r="DQ730" s="405"/>
      <c r="DW730" s="83"/>
      <c r="EE730" s="405"/>
      <c r="EK730" s="83"/>
      <c r="ES730" s="405"/>
      <c r="EY730" s="83"/>
      <c r="FG730" s="405"/>
      <c r="FM730" s="83"/>
      <c r="FU730" s="405"/>
      <c r="GA730" s="83"/>
      <c r="GI730" s="405"/>
      <c r="GO730" s="83"/>
      <c r="GW730" s="405"/>
      <c r="HC730" s="83"/>
      <c r="HK730" s="405"/>
      <c r="HQ730" s="83"/>
      <c r="HY730" s="405"/>
      <c r="IE730" s="83"/>
      <c r="IM730" s="405"/>
      <c r="IS730" s="83"/>
      <c r="JA730" s="405"/>
      <c r="JG730" s="83"/>
      <c r="JO730" s="405"/>
      <c r="JU730" s="83"/>
      <c r="KC730" s="405"/>
      <c r="KI730" s="83"/>
      <c r="KQ730" s="405"/>
      <c r="KW730" s="83"/>
      <c r="LE730" s="405"/>
      <c r="LK730" s="83"/>
      <c r="LS730" s="405"/>
      <c r="LY730" s="83"/>
      <c r="MG730" s="405"/>
      <c r="MM730" s="83"/>
      <c r="MU730" s="405"/>
      <c r="NA730" s="83"/>
    </row>
    <row r="731">
      <c r="A731" s="483"/>
      <c r="B731" s="380"/>
      <c r="C731" s="380"/>
      <c r="D731" s="380"/>
      <c r="E731" s="380"/>
      <c r="F731" s="380"/>
      <c r="G731" s="380"/>
      <c r="H731" s="380"/>
      <c r="I731" s="403"/>
      <c r="J731" s="380"/>
      <c r="K731" s="380"/>
      <c r="L731" s="380"/>
      <c r="M731" s="380"/>
      <c r="N731" s="380"/>
      <c r="O731" s="404"/>
      <c r="P731" s="380"/>
      <c r="Q731" s="380"/>
      <c r="R731" s="380"/>
      <c r="S731" s="380"/>
      <c r="T731" s="380"/>
      <c r="U731" s="380"/>
      <c r="V731" s="380"/>
      <c r="W731" s="403"/>
      <c r="X731" s="380"/>
      <c r="Y731" s="380"/>
      <c r="Z731" s="380"/>
      <c r="AA731" s="380"/>
      <c r="AB731" s="380"/>
      <c r="AC731" s="404"/>
      <c r="AD731" s="380"/>
      <c r="AE731" s="380"/>
      <c r="AF731" s="380"/>
      <c r="AG731" s="380"/>
      <c r="AH731" s="380"/>
      <c r="AI731" s="380"/>
      <c r="AJ731" s="380"/>
      <c r="AK731" s="403"/>
      <c r="AL731" s="380"/>
      <c r="AM731" s="380"/>
      <c r="AN731" s="380"/>
      <c r="AO731" s="380"/>
      <c r="AP731" s="380"/>
      <c r="AQ731" s="404"/>
      <c r="AR731" s="380"/>
      <c r="AS731" s="380"/>
      <c r="AT731" s="380"/>
      <c r="AU731" s="380"/>
      <c r="AV731" s="380"/>
      <c r="AW731" s="380"/>
      <c r="AX731" s="380"/>
      <c r="AY731" s="403"/>
      <c r="AZ731" s="380"/>
      <c r="BA731" s="380"/>
      <c r="BB731" s="380"/>
      <c r="BC731" s="380"/>
      <c r="BD731" s="380"/>
      <c r="BE731" s="404"/>
      <c r="BF731" s="380"/>
      <c r="BG731" s="380"/>
      <c r="BH731" s="380"/>
      <c r="BI731" s="380"/>
      <c r="BJ731" s="380"/>
      <c r="BK731" s="380"/>
      <c r="BL731" s="380"/>
      <c r="BM731" s="403"/>
      <c r="BS731" s="83"/>
      <c r="CA731" s="405"/>
      <c r="CG731" s="83"/>
      <c r="CO731" s="405"/>
      <c r="CU731" s="83"/>
      <c r="DC731" s="405"/>
      <c r="DI731" s="83"/>
      <c r="DQ731" s="405"/>
      <c r="DW731" s="83"/>
      <c r="EE731" s="405"/>
      <c r="EK731" s="83"/>
      <c r="ES731" s="405"/>
      <c r="EY731" s="83"/>
      <c r="FG731" s="405"/>
      <c r="FM731" s="83"/>
      <c r="FU731" s="405"/>
      <c r="GA731" s="83"/>
      <c r="GI731" s="405"/>
      <c r="GO731" s="83"/>
      <c r="GW731" s="405"/>
      <c r="HC731" s="83"/>
      <c r="HK731" s="405"/>
      <c r="HQ731" s="83"/>
      <c r="HY731" s="405"/>
      <c r="IE731" s="83"/>
      <c r="IM731" s="405"/>
      <c r="IS731" s="83"/>
      <c r="JA731" s="405"/>
      <c r="JG731" s="83"/>
      <c r="JO731" s="405"/>
      <c r="JU731" s="83"/>
      <c r="KC731" s="405"/>
      <c r="KI731" s="83"/>
      <c r="KQ731" s="405"/>
      <c r="KW731" s="83"/>
      <c r="LE731" s="405"/>
      <c r="LK731" s="83"/>
      <c r="LS731" s="405"/>
      <c r="LY731" s="83"/>
      <c r="MG731" s="405"/>
      <c r="MM731" s="83"/>
      <c r="MU731" s="405"/>
      <c r="NA731" s="83"/>
    </row>
    <row r="732">
      <c r="A732" s="483"/>
      <c r="B732" s="380"/>
      <c r="C732" s="380"/>
      <c r="D732" s="380"/>
      <c r="E732" s="380"/>
      <c r="F732" s="380"/>
      <c r="G732" s="380"/>
      <c r="H732" s="380"/>
      <c r="I732" s="403"/>
      <c r="J732" s="380"/>
      <c r="K732" s="380"/>
      <c r="L732" s="380"/>
      <c r="M732" s="380"/>
      <c r="N732" s="380"/>
      <c r="O732" s="404"/>
      <c r="P732" s="380"/>
      <c r="Q732" s="380"/>
      <c r="R732" s="380"/>
      <c r="S732" s="380"/>
      <c r="T732" s="380"/>
      <c r="U732" s="380"/>
      <c r="V732" s="380"/>
      <c r="W732" s="403"/>
      <c r="X732" s="380"/>
      <c r="Y732" s="380"/>
      <c r="Z732" s="380"/>
      <c r="AA732" s="380"/>
      <c r="AB732" s="380"/>
      <c r="AC732" s="404"/>
      <c r="AD732" s="380"/>
      <c r="AE732" s="380"/>
      <c r="AF732" s="380"/>
      <c r="AG732" s="380"/>
      <c r="AH732" s="380"/>
      <c r="AI732" s="380"/>
      <c r="AJ732" s="380"/>
      <c r="AK732" s="403"/>
      <c r="AL732" s="380"/>
      <c r="AM732" s="380"/>
      <c r="AN732" s="380"/>
      <c r="AO732" s="380"/>
      <c r="AP732" s="380"/>
      <c r="AQ732" s="404"/>
      <c r="AR732" s="380"/>
      <c r="AS732" s="380"/>
      <c r="AT732" s="380"/>
      <c r="AU732" s="380"/>
      <c r="AV732" s="380"/>
      <c r="AW732" s="380"/>
      <c r="AX732" s="380"/>
      <c r="AY732" s="403"/>
      <c r="AZ732" s="380"/>
      <c r="BA732" s="380"/>
      <c r="BB732" s="380"/>
      <c r="BC732" s="380"/>
      <c r="BD732" s="380"/>
      <c r="BE732" s="404"/>
      <c r="BF732" s="380"/>
      <c r="BG732" s="380"/>
      <c r="BH732" s="380"/>
      <c r="BI732" s="380"/>
      <c r="BJ732" s="380"/>
      <c r="BK732" s="380"/>
      <c r="BL732" s="380"/>
      <c r="BM732" s="403"/>
      <c r="BS732" s="83"/>
      <c r="CA732" s="405"/>
      <c r="CG732" s="83"/>
      <c r="CO732" s="405"/>
      <c r="CU732" s="83"/>
      <c r="DC732" s="405"/>
      <c r="DI732" s="83"/>
      <c r="DQ732" s="405"/>
      <c r="DW732" s="83"/>
      <c r="EE732" s="405"/>
      <c r="EK732" s="83"/>
      <c r="ES732" s="405"/>
      <c r="EY732" s="83"/>
      <c r="FG732" s="405"/>
      <c r="FM732" s="83"/>
      <c r="FU732" s="405"/>
      <c r="GA732" s="83"/>
      <c r="GI732" s="405"/>
      <c r="GO732" s="83"/>
      <c r="GW732" s="405"/>
      <c r="HC732" s="83"/>
      <c r="HK732" s="405"/>
      <c r="HQ732" s="83"/>
      <c r="HY732" s="405"/>
      <c r="IE732" s="83"/>
      <c r="IM732" s="405"/>
      <c r="IS732" s="83"/>
      <c r="JA732" s="405"/>
      <c r="JG732" s="83"/>
      <c r="JO732" s="405"/>
      <c r="JU732" s="83"/>
      <c r="KC732" s="405"/>
      <c r="KI732" s="83"/>
      <c r="KQ732" s="405"/>
      <c r="KW732" s="83"/>
      <c r="LE732" s="405"/>
      <c r="LK732" s="83"/>
      <c r="LS732" s="405"/>
      <c r="LY732" s="83"/>
      <c r="MG732" s="405"/>
      <c r="MM732" s="83"/>
      <c r="MU732" s="405"/>
      <c r="NA732" s="83"/>
    </row>
    <row r="733">
      <c r="A733" s="483"/>
      <c r="B733" s="380"/>
      <c r="C733" s="380"/>
      <c r="D733" s="380"/>
      <c r="E733" s="380"/>
      <c r="F733" s="380"/>
      <c r="G733" s="380"/>
      <c r="H733" s="380"/>
      <c r="I733" s="403"/>
      <c r="J733" s="380"/>
      <c r="K733" s="380"/>
      <c r="L733" s="380"/>
      <c r="M733" s="380"/>
      <c r="N733" s="380"/>
      <c r="O733" s="404"/>
      <c r="P733" s="380"/>
      <c r="Q733" s="380"/>
      <c r="R733" s="380"/>
      <c r="S733" s="380"/>
      <c r="T733" s="380"/>
      <c r="U733" s="380"/>
      <c r="V733" s="380"/>
      <c r="W733" s="403"/>
      <c r="X733" s="380"/>
      <c r="Y733" s="380"/>
      <c r="Z733" s="380"/>
      <c r="AA733" s="380"/>
      <c r="AB733" s="380"/>
      <c r="AC733" s="404"/>
      <c r="AD733" s="380"/>
      <c r="AE733" s="380"/>
      <c r="AF733" s="380"/>
      <c r="AG733" s="380"/>
      <c r="AH733" s="380"/>
      <c r="AI733" s="380"/>
      <c r="AJ733" s="380"/>
      <c r="AK733" s="403"/>
      <c r="AL733" s="380"/>
      <c r="AM733" s="380"/>
      <c r="AN733" s="380"/>
      <c r="AO733" s="380"/>
      <c r="AP733" s="380"/>
      <c r="AQ733" s="404"/>
      <c r="AR733" s="380"/>
      <c r="AS733" s="380"/>
      <c r="AT733" s="380"/>
      <c r="AU733" s="380"/>
      <c r="AV733" s="380"/>
      <c r="AW733" s="380"/>
      <c r="AX733" s="380"/>
      <c r="AY733" s="403"/>
      <c r="AZ733" s="380"/>
      <c r="BA733" s="380"/>
      <c r="BB733" s="380"/>
      <c r="BC733" s="380"/>
      <c r="BD733" s="380"/>
      <c r="BE733" s="404"/>
      <c r="BF733" s="380"/>
      <c r="BG733" s="380"/>
      <c r="BH733" s="380"/>
      <c r="BI733" s="380"/>
      <c r="BJ733" s="380"/>
      <c r="BK733" s="380"/>
      <c r="BL733" s="380"/>
      <c r="BM733" s="403"/>
      <c r="BS733" s="83"/>
      <c r="CA733" s="405"/>
      <c r="CG733" s="83"/>
      <c r="CO733" s="405"/>
      <c r="CU733" s="83"/>
      <c r="DC733" s="405"/>
      <c r="DI733" s="83"/>
      <c r="DQ733" s="405"/>
      <c r="DW733" s="83"/>
      <c r="EE733" s="405"/>
      <c r="EK733" s="83"/>
      <c r="ES733" s="405"/>
      <c r="EY733" s="83"/>
      <c r="FG733" s="405"/>
      <c r="FM733" s="83"/>
      <c r="FU733" s="405"/>
      <c r="GA733" s="83"/>
      <c r="GI733" s="405"/>
      <c r="GO733" s="83"/>
      <c r="GW733" s="405"/>
      <c r="HC733" s="83"/>
      <c r="HK733" s="405"/>
      <c r="HQ733" s="83"/>
      <c r="HY733" s="405"/>
      <c r="IE733" s="83"/>
      <c r="IM733" s="405"/>
      <c r="IS733" s="83"/>
      <c r="JA733" s="405"/>
      <c r="JG733" s="83"/>
      <c r="JO733" s="405"/>
      <c r="JU733" s="83"/>
      <c r="KC733" s="405"/>
      <c r="KI733" s="83"/>
      <c r="KQ733" s="405"/>
      <c r="KW733" s="83"/>
      <c r="LE733" s="405"/>
      <c r="LK733" s="83"/>
      <c r="LS733" s="405"/>
      <c r="LY733" s="83"/>
      <c r="MG733" s="405"/>
      <c r="MM733" s="83"/>
      <c r="MU733" s="405"/>
      <c r="NA733" s="83"/>
    </row>
    <row r="734">
      <c r="A734" s="483"/>
      <c r="B734" s="380"/>
      <c r="C734" s="380"/>
      <c r="D734" s="380"/>
      <c r="E734" s="380"/>
      <c r="F734" s="380"/>
      <c r="G734" s="380"/>
      <c r="H734" s="380"/>
      <c r="I734" s="403"/>
      <c r="J734" s="380"/>
      <c r="K734" s="380"/>
      <c r="L734" s="380"/>
      <c r="M734" s="380"/>
      <c r="N734" s="380"/>
      <c r="O734" s="404"/>
      <c r="P734" s="380"/>
      <c r="Q734" s="380"/>
      <c r="R734" s="380"/>
      <c r="S734" s="380"/>
      <c r="T734" s="380"/>
      <c r="U734" s="380"/>
      <c r="V734" s="380"/>
      <c r="W734" s="403"/>
      <c r="X734" s="380"/>
      <c r="Y734" s="380"/>
      <c r="Z734" s="380"/>
      <c r="AA734" s="380"/>
      <c r="AB734" s="380"/>
      <c r="AC734" s="404"/>
      <c r="AD734" s="380"/>
      <c r="AE734" s="380"/>
      <c r="AF734" s="380"/>
      <c r="AG734" s="380"/>
      <c r="AH734" s="380"/>
      <c r="AI734" s="380"/>
      <c r="AJ734" s="380"/>
      <c r="AK734" s="403"/>
      <c r="AL734" s="380"/>
      <c r="AM734" s="380"/>
      <c r="AN734" s="380"/>
      <c r="AO734" s="380"/>
      <c r="AP734" s="380"/>
      <c r="AQ734" s="404"/>
      <c r="AR734" s="380"/>
      <c r="AS734" s="380"/>
      <c r="AT734" s="380"/>
      <c r="AU734" s="380"/>
      <c r="AV734" s="380"/>
      <c r="AW734" s="380"/>
      <c r="AX734" s="380"/>
      <c r="AY734" s="403"/>
      <c r="AZ734" s="380"/>
      <c r="BA734" s="380"/>
      <c r="BB734" s="380"/>
      <c r="BC734" s="380"/>
      <c r="BD734" s="380"/>
      <c r="BE734" s="404"/>
      <c r="BF734" s="380"/>
      <c r="BG734" s="380"/>
      <c r="BH734" s="380"/>
      <c r="BI734" s="380"/>
      <c r="BJ734" s="380"/>
      <c r="BK734" s="380"/>
      <c r="BL734" s="380"/>
      <c r="BM734" s="403"/>
      <c r="BS734" s="83"/>
      <c r="CA734" s="405"/>
      <c r="CG734" s="83"/>
      <c r="CO734" s="405"/>
      <c r="CU734" s="83"/>
      <c r="DC734" s="405"/>
      <c r="DI734" s="83"/>
      <c r="DQ734" s="405"/>
      <c r="DW734" s="83"/>
      <c r="EE734" s="405"/>
      <c r="EK734" s="83"/>
      <c r="ES734" s="405"/>
      <c r="EY734" s="83"/>
      <c r="FG734" s="405"/>
      <c r="FM734" s="83"/>
      <c r="FU734" s="405"/>
      <c r="GA734" s="83"/>
      <c r="GI734" s="405"/>
      <c r="GO734" s="83"/>
      <c r="GW734" s="405"/>
      <c r="HC734" s="83"/>
      <c r="HK734" s="405"/>
      <c r="HQ734" s="83"/>
      <c r="HY734" s="405"/>
      <c r="IE734" s="83"/>
      <c r="IM734" s="405"/>
      <c r="IS734" s="83"/>
      <c r="JA734" s="405"/>
      <c r="JG734" s="83"/>
      <c r="JO734" s="405"/>
      <c r="JU734" s="83"/>
      <c r="KC734" s="405"/>
      <c r="KI734" s="83"/>
      <c r="KQ734" s="405"/>
      <c r="KW734" s="83"/>
      <c r="LE734" s="405"/>
      <c r="LK734" s="83"/>
      <c r="LS734" s="405"/>
      <c r="LY734" s="83"/>
      <c r="MG734" s="405"/>
      <c r="MM734" s="83"/>
      <c r="MU734" s="405"/>
      <c r="NA734" s="83"/>
    </row>
    <row r="735">
      <c r="A735" s="483"/>
      <c r="B735" s="380"/>
      <c r="C735" s="380"/>
      <c r="D735" s="380"/>
      <c r="E735" s="380"/>
      <c r="F735" s="380"/>
      <c r="G735" s="380"/>
      <c r="H735" s="380"/>
      <c r="I735" s="403"/>
      <c r="J735" s="380"/>
      <c r="K735" s="380"/>
      <c r="L735" s="380"/>
      <c r="M735" s="380"/>
      <c r="N735" s="380"/>
      <c r="O735" s="404"/>
      <c r="P735" s="380"/>
      <c r="Q735" s="380"/>
      <c r="R735" s="380"/>
      <c r="S735" s="380"/>
      <c r="T735" s="380"/>
      <c r="U735" s="380"/>
      <c r="V735" s="380"/>
      <c r="W735" s="403"/>
      <c r="X735" s="380"/>
      <c r="Y735" s="380"/>
      <c r="Z735" s="380"/>
      <c r="AA735" s="380"/>
      <c r="AB735" s="380"/>
      <c r="AC735" s="404"/>
      <c r="AD735" s="380"/>
      <c r="AE735" s="380"/>
      <c r="AF735" s="380"/>
      <c r="AG735" s="380"/>
      <c r="AH735" s="380"/>
      <c r="AI735" s="380"/>
      <c r="AJ735" s="380"/>
      <c r="AK735" s="403"/>
      <c r="AL735" s="380"/>
      <c r="AM735" s="380"/>
      <c r="AN735" s="380"/>
      <c r="AO735" s="380"/>
      <c r="AP735" s="380"/>
      <c r="AQ735" s="404"/>
      <c r="AR735" s="380"/>
      <c r="AS735" s="380"/>
      <c r="AT735" s="380"/>
      <c r="AU735" s="380"/>
      <c r="AV735" s="380"/>
      <c r="AW735" s="380"/>
      <c r="AX735" s="380"/>
      <c r="AY735" s="403"/>
      <c r="AZ735" s="380"/>
      <c r="BA735" s="380"/>
      <c r="BB735" s="380"/>
      <c r="BC735" s="380"/>
      <c r="BD735" s="380"/>
      <c r="BE735" s="404"/>
      <c r="BF735" s="380"/>
      <c r="BG735" s="380"/>
      <c r="BH735" s="380"/>
      <c r="BI735" s="380"/>
      <c r="BJ735" s="380"/>
      <c r="BK735" s="380"/>
      <c r="BL735" s="380"/>
      <c r="BM735" s="403"/>
      <c r="BS735" s="83"/>
      <c r="CA735" s="405"/>
      <c r="CG735" s="83"/>
      <c r="CO735" s="405"/>
      <c r="CU735" s="83"/>
      <c r="DC735" s="405"/>
      <c r="DI735" s="83"/>
      <c r="DQ735" s="405"/>
      <c r="DW735" s="83"/>
      <c r="EE735" s="405"/>
      <c r="EK735" s="83"/>
      <c r="ES735" s="405"/>
      <c r="EY735" s="83"/>
      <c r="FG735" s="405"/>
      <c r="FM735" s="83"/>
      <c r="FU735" s="405"/>
      <c r="GA735" s="83"/>
      <c r="GI735" s="405"/>
      <c r="GO735" s="83"/>
      <c r="GW735" s="405"/>
      <c r="HC735" s="83"/>
      <c r="HK735" s="405"/>
      <c r="HQ735" s="83"/>
      <c r="HY735" s="405"/>
      <c r="IE735" s="83"/>
      <c r="IM735" s="405"/>
      <c r="IS735" s="83"/>
      <c r="JA735" s="405"/>
      <c r="JG735" s="83"/>
      <c r="JO735" s="405"/>
      <c r="JU735" s="83"/>
      <c r="KC735" s="405"/>
      <c r="KI735" s="83"/>
      <c r="KQ735" s="405"/>
      <c r="KW735" s="83"/>
      <c r="LE735" s="405"/>
      <c r="LK735" s="83"/>
      <c r="LS735" s="405"/>
      <c r="LY735" s="83"/>
      <c r="MG735" s="405"/>
      <c r="MM735" s="83"/>
      <c r="MU735" s="405"/>
      <c r="NA735" s="83"/>
    </row>
    <row r="736">
      <c r="A736" s="483"/>
      <c r="B736" s="380"/>
      <c r="C736" s="380"/>
      <c r="D736" s="380"/>
      <c r="E736" s="380"/>
      <c r="F736" s="380"/>
      <c r="G736" s="380"/>
      <c r="H736" s="380"/>
      <c r="I736" s="403"/>
      <c r="J736" s="380"/>
      <c r="K736" s="380"/>
      <c r="L736" s="380"/>
      <c r="M736" s="380"/>
      <c r="N736" s="380"/>
      <c r="O736" s="404"/>
      <c r="P736" s="380"/>
      <c r="Q736" s="380"/>
      <c r="R736" s="380"/>
      <c r="S736" s="380"/>
      <c r="T736" s="380"/>
      <c r="U736" s="380"/>
      <c r="V736" s="380"/>
      <c r="W736" s="403"/>
      <c r="X736" s="380"/>
      <c r="Y736" s="380"/>
      <c r="Z736" s="380"/>
      <c r="AA736" s="380"/>
      <c r="AB736" s="380"/>
      <c r="AC736" s="404"/>
      <c r="AD736" s="380"/>
      <c r="AE736" s="380"/>
      <c r="AF736" s="380"/>
      <c r="AG736" s="380"/>
      <c r="AH736" s="380"/>
      <c r="AI736" s="380"/>
      <c r="AJ736" s="380"/>
      <c r="AK736" s="403"/>
      <c r="AL736" s="380"/>
      <c r="AM736" s="380"/>
      <c r="AN736" s="380"/>
      <c r="AO736" s="380"/>
      <c r="AP736" s="380"/>
      <c r="AQ736" s="404"/>
      <c r="AR736" s="380"/>
      <c r="AS736" s="380"/>
      <c r="AT736" s="380"/>
      <c r="AU736" s="380"/>
      <c r="AV736" s="380"/>
      <c r="AW736" s="380"/>
      <c r="AX736" s="380"/>
      <c r="AY736" s="403"/>
      <c r="AZ736" s="380"/>
      <c r="BA736" s="380"/>
      <c r="BB736" s="380"/>
      <c r="BC736" s="380"/>
      <c r="BD736" s="380"/>
      <c r="BE736" s="404"/>
      <c r="BF736" s="380"/>
      <c r="BG736" s="380"/>
      <c r="BH736" s="380"/>
      <c r="BI736" s="380"/>
      <c r="BJ736" s="380"/>
      <c r="BK736" s="380"/>
      <c r="BL736" s="380"/>
      <c r="BM736" s="403"/>
      <c r="BS736" s="83"/>
      <c r="CA736" s="405"/>
      <c r="CG736" s="83"/>
      <c r="CO736" s="405"/>
      <c r="CU736" s="83"/>
      <c r="DC736" s="405"/>
      <c r="DI736" s="83"/>
      <c r="DQ736" s="405"/>
      <c r="DW736" s="83"/>
      <c r="EE736" s="405"/>
      <c r="EK736" s="83"/>
      <c r="ES736" s="405"/>
      <c r="EY736" s="83"/>
      <c r="FG736" s="405"/>
      <c r="FM736" s="83"/>
      <c r="FU736" s="405"/>
      <c r="GA736" s="83"/>
      <c r="GI736" s="405"/>
      <c r="GO736" s="83"/>
      <c r="GW736" s="405"/>
      <c r="HC736" s="83"/>
      <c r="HK736" s="405"/>
      <c r="HQ736" s="83"/>
      <c r="HY736" s="405"/>
      <c r="IE736" s="83"/>
      <c r="IM736" s="405"/>
      <c r="IS736" s="83"/>
      <c r="JA736" s="405"/>
      <c r="JG736" s="83"/>
      <c r="JO736" s="405"/>
      <c r="JU736" s="83"/>
      <c r="KC736" s="405"/>
      <c r="KI736" s="83"/>
      <c r="KQ736" s="405"/>
      <c r="KW736" s="83"/>
      <c r="LE736" s="405"/>
      <c r="LK736" s="83"/>
      <c r="LS736" s="405"/>
      <c r="LY736" s="83"/>
      <c r="MG736" s="405"/>
      <c r="MM736" s="83"/>
      <c r="MU736" s="405"/>
      <c r="NA736" s="83"/>
    </row>
    <row r="737">
      <c r="A737" s="483"/>
      <c r="B737" s="380"/>
      <c r="C737" s="380"/>
      <c r="D737" s="380"/>
      <c r="E737" s="380"/>
      <c r="F737" s="380"/>
      <c r="G737" s="380"/>
      <c r="H737" s="380"/>
      <c r="I737" s="403"/>
      <c r="J737" s="380"/>
      <c r="K737" s="380"/>
      <c r="L737" s="380"/>
      <c r="M737" s="380"/>
      <c r="N737" s="380"/>
      <c r="O737" s="404"/>
      <c r="P737" s="380"/>
      <c r="Q737" s="380"/>
      <c r="R737" s="380"/>
      <c r="S737" s="380"/>
      <c r="T737" s="380"/>
      <c r="U737" s="380"/>
      <c r="V737" s="380"/>
      <c r="W737" s="403"/>
      <c r="X737" s="380"/>
      <c r="Y737" s="380"/>
      <c r="Z737" s="380"/>
      <c r="AA737" s="380"/>
      <c r="AB737" s="380"/>
      <c r="AC737" s="404"/>
      <c r="AD737" s="380"/>
      <c r="AE737" s="380"/>
      <c r="AF737" s="380"/>
      <c r="AG737" s="380"/>
      <c r="AH737" s="380"/>
      <c r="AI737" s="380"/>
      <c r="AJ737" s="380"/>
      <c r="AK737" s="403"/>
      <c r="AL737" s="380"/>
      <c r="AM737" s="380"/>
      <c r="AN737" s="380"/>
      <c r="AO737" s="380"/>
      <c r="AP737" s="380"/>
      <c r="AQ737" s="404"/>
      <c r="AR737" s="380"/>
      <c r="AS737" s="380"/>
      <c r="AT737" s="380"/>
      <c r="AU737" s="380"/>
      <c r="AV737" s="380"/>
      <c r="AW737" s="380"/>
      <c r="AX737" s="380"/>
      <c r="AY737" s="403"/>
      <c r="AZ737" s="380"/>
      <c r="BA737" s="380"/>
      <c r="BB737" s="380"/>
      <c r="BC737" s="380"/>
      <c r="BD737" s="380"/>
      <c r="BE737" s="404"/>
      <c r="BF737" s="380"/>
      <c r="BG737" s="380"/>
      <c r="BH737" s="380"/>
      <c r="BI737" s="380"/>
      <c r="BJ737" s="380"/>
      <c r="BK737" s="380"/>
      <c r="BL737" s="380"/>
      <c r="BM737" s="403"/>
      <c r="BS737" s="83"/>
      <c r="CA737" s="405"/>
      <c r="CG737" s="83"/>
      <c r="CO737" s="405"/>
      <c r="CU737" s="83"/>
      <c r="DC737" s="405"/>
      <c r="DI737" s="83"/>
      <c r="DQ737" s="405"/>
      <c r="DW737" s="83"/>
      <c r="EE737" s="405"/>
      <c r="EK737" s="83"/>
      <c r="ES737" s="405"/>
      <c r="EY737" s="83"/>
      <c r="FG737" s="405"/>
      <c r="FM737" s="83"/>
      <c r="FU737" s="405"/>
      <c r="GA737" s="83"/>
      <c r="GI737" s="405"/>
      <c r="GO737" s="83"/>
      <c r="GW737" s="405"/>
      <c r="HC737" s="83"/>
      <c r="HK737" s="405"/>
      <c r="HQ737" s="83"/>
      <c r="HY737" s="405"/>
      <c r="IE737" s="83"/>
      <c r="IM737" s="405"/>
      <c r="IS737" s="83"/>
      <c r="JA737" s="405"/>
      <c r="JG737" s="83"/>
      <c r="JO737" s="405"/>
      <c r="JU737" s="83"/>
      <c r="KC737" s="405"/>
      <c r="KI737" s="83"/>
      <c r="KQ737" s="405"/>
      <c r="KW737" s="83"/>
      <c r="LE737" s="405"/>
      <c r="LK737" s="83"/>
      <c r="LS737" s="405"/>
      <c r="LY737" s="83"/>
      <c r="MG737" s="405"/>
      <c r="MM737" s="83"/>
      <c r="MU737" s="405"/>
      <c r="NA737" s="83"/>
    </row>
    <row r="738">
      <c r="A738" s="483"/>
      <c r="B738" s="380"/>
      <c r="C738" s="380"/>
      <c r="D738" s="380"/>
      <c r="E738" s="380"/>
      <c r="F738" s="380"/>
      <c r="G738" s="380"/>
      <c r="H738" s="380"/>
      <c r="I738" s="403"/>
      <c r="J738" s="380"/>
      <c r="K738" s="380"/>
      <c r="L738" s="380"/>
      <c r="M738" s="380"/>
      <c r="N738" s="380"/>
      <c r="O738" s="404"/>
      <c r="P738" s="380"/>
      <c r="Q738" s="380"/>
      <c r="R738" s="380"/>
      <c r="S738" s="380"/>
      <c r="T738" s="380"/>
      <c r="U738" s="380"/>
      <c r="V738" s="380"/>
      <c r="W738" s="403"/>
      <c r="X738" s="380"/>
      <c r="Y738" s="380"/>
      <c r="Z738" s="380"/>
      <c r="AA738" s="380"/>
      <c r="AB738" s="380"/>
      <c r="AC738" s="404"/>
      <c r="AD738" s="380"/>
      <c r="AE738" s="380"/>
      <c r="AF738" s="380"/>
      <c r="AG738" s="380"/>
      <c r="AH738" s="380"/>
      <c r="AI738" s="380"/>
      <c r="AJ738" s="380"/>
      <c r="AK738" s="403"/>
      <c r="AL738" s="380"/>
      <c r="AM738" s="380"/>
      <c r="AN738" s="380"/>
      <c r="AO738" s="380"/>
      <c r="AP738" s="380"/>
      <c r="AQ738" s="404"/>
      <c r="AR738" s="380"/>
      <c r="AS738" s="380"/>
      <c r="AT738" s="380"/>
      <c r="AU738" s="380"/>
      <c r="AV738" s="380"/>
      <c r="AW738" s="380"/>
      <c r="AX738" s="380"/>
      <c r="AY738" s="403"/>
      <c r="AZ738" s="380"/>
      <c r="BA738" s="380"/>
      <c r="BB738" s="380"/>
      <c r="BC738" s="380"/>
      <c r="BD738" s="380"/>
      <c r="BE738" s="404"/>
      <c r="BF738" s="380"/>
      <c r="BG738" s="380"/>
      <c r="BH738" s="380"/>
      <c r="BI738" s="380"/>
      <c r="BJ738" s="380"/>
      <c r="BK738" s="380"/>
      <c r="BL738" s="380"/>
      <c r="BM738" s="403"/>
      <c r="BS738" s="83"/>
      <c r="CA738" s="405"/>
      <c r="CG738" s="83"/>
      <c r="CO738" s="405"/>
      <c r="CU738" s="83"/>
      <c r="DC738" s="405"/>
      <c r="DI738" s="83"/>
      <c r="DQ738" s="405"/>
      <c r="DW738" s="83"/>
      <c r="EE738" s="405"/>
      <c r="EK738" s="83"/>
      <c r="ES738" s="405"/>
      <c r="EY738" s="83"/>
      <c r="FG738" s="405"/>
      <c r="FM738" s="83"/>
      <c r="FU738" s="405"/>
      <c r="GA738" s="83"/>
      <c r="GI738" s="405"/>
      <c r="GO738" s="83"/>
      <c r="GW738" s="405"/>
      <c r="HC738" s="83"/>
      <c r="HK738" s="405"/>
      <c r="HQ738" s="83"/>
      <c r="HY738" s="405"/>
      <c r="IE738" s="83"/>
      <c r="IM738" s="405"/>
      <c r="IS738" s="83"/>
      <c r="JA738" s="405"/>
      <c r="JG738" s="83"/>
      <c r="JO738" s="405"/>
      <c r="JU738" s="83"/>
      <c r="KC738" s="405"/>
      <c r="KI738" s="83"/>
      <c r="KQ738" s="405"/>
      <c r="KW738" s="83"/>
      <c r="LE738" s="405"/>
      <c r="LK738" s="83"/>
      <c r="LS738" s="405"/>
      <c r="LY738" s="83"/>
      <c r="MG738" s="405"/>
      <c r="MM738" s="83"/>
      <c r="MU738" s="405"/>
      <c r="NA738" s="83"/>
    </row>
    <row r="739">
      <c r="A739" s="483"/>
      <c r="B739" s="380"/>
      <c r="C739" s="380"/>
      <c r="D739" s="380"/>
      <c r="E739" s="380"/>
      <c r="F739" s="380"/>
      <c r="G739" s="380"/>
      <c r="H739" s="380"/>
      <c r="I739" s="403"/>
      <c r="J739" s="380"/>
      <c r="K739" s="380"/>
      <c r="L739" s="380"/>
      <c r="M739" s="380"/>
      <c r="N739" s="380"/>
      <c r="O739" s="404"/>
      <c r="P739" s="380"/>
      <c r="Q739" s="380"/>
      <c r="R739" s="380"/>
      <c r="S739" s="380"/>
      <c r="T739" s="380"/>
      <c r="U739" s="380"/>
      <c r="V739" s="380"/>
      <c r="W739" s="403"/>
      <c r="X739" s="380"/>
      <c r="Y739" s="380"/>
      <c r="Z739" s="380"/>
      <c r="AA739" s="380"/>
      <c r="AB739" s="380"/>
      <c r="AC739" s="404"/>
      <c r="AD739" s="380"/>
      <c r="AE739" s="380"/>
      <c r="AF739" s="380"/>
      <c r="AG739" s="380"/>
      <c r="AH739" s="380"/>
      <c r="AI739" s="380"/>
      <c r="AJ739" s="380"/>
      <c r="AK739" s="403"/>
      <c r="AL739" s="380"/>
      <c r="AM739" s="380"/>
      <c r="AN739" s="380"/>
      <c r="AO739" s="380"/>
      <c r="AP739" s="380"/>
      <c r="AQ739" s="404"/>
      <c r="AR739" s="380"/>
      <c r="AS739" s="380"/>
      <c r="AT739" s="380"/>
      <c r="AU739" s="380"/>
      <c r="AV739" s="380"/>
      <c r="AW739" s="380"/>
      <c r="AX739" s="380"/>
      <c r="AY739" s="403"/>
      <c r="AZ739" s="380"/>
      <c r="BA739" s="380"/>
      <c r="BB739" s="380"/>
      <c r="BC739" s="380"/>
      <c r="BD739" s="380"/>
      <c r="BE739" s="404"/>
      <c r="BF739" s="380"/>
      <c r="BG739" s="380"/>
      <c r="BH739" s="380"/>
      <c r="BI739" s="380"/>
      <c r="BJ739" s="380"/>
      <c r="BK739" s="380"/>
      <c r="BL739" s="380"/>
      <c r="BM739" s="403"/>
      <c r="BS739" s="83"/>
      <c r="CA739" s="405"/>
      <c r="CG739" s="83"/>
      <c r="CO739" s="405"/>
      <c r="CU739" s="83"/>
      <c r="DC739" s="405"/>
      <c r="DI739" s="83"/>
      <c r="DQ739" s="405"/>
      <c r="DW739" s="83"/>
      <c r="EE739" s="405"/>
      <c r="EK739" s="83"/>
      <c r="ES739" s="405"/>
      <c r="EY739" s="83"/>
      <c r="FG739" s="405"/>
      <c r="FM739" s="83"/>
      <c r="FU739" s="405"/>
      <c r="GA739" s="83"/>
      <c r="GI739" s="405"/>
      <c r="GO739" s="83"/>
      <c r="GW739" s="405"/>
      <c r="HC739" s="83"/>
      <c r="HK739" s="405"/>
      <c r="HQ739" s="83"/>
      <c r="HY739" s="405"/>
      <c r="IE739" s="83"/>
      <c r="IM739" s="405"/>
      <c r="IS739" s="83"/>
      <c r="JA739" s="405"/>
      <c r="JG739" s="83"/>
      <c r="JO739" s="405"/>
      <c r="JU739" s="83"/>
      <c r="KC739" s="405"/>
      <c r="KI739" s="83"/>
      <c r="KQ739" s="405"/>
      <c r="KW739" s="83"/>
      <c r="LE739" s="405"/>
      <c r="LK739" s="83"/>
      <c r="LS739" s="405"/>
      <c r="LY739" s="83"/>
      <c r="MG739" s="405"/>
      <c r="MM739" s="83"/>
      <c r="MU739" s="405"/>
      <c r="NA739" s="83"/>
    </row>
    <row r="740">
      <c r="A740" s="483"/>
      <c r="B740" s="380"/>
      <c r="C740" s="380"/>
      <c r="D740" s="380"/>
      <c r="E740" s="380"/>
      <c r="F740" s="380"/>
      <c r="G740" s="380"/>
      <c r="H740" s="380"/>
      <c r="I740" s="403"/>
      <c r="J740" s="380"/>
      <c r="K740" s="380"/>
      <c r="L740" s="380"/>
      <c r="M740" s="380"/>
      <c r="N740" s="380"/>
      <c r="O740" s="404"/>
      <c r="P740" s="380"/>
      <c r="Q740" s="380"/>
      <c r="R740" s="380"/>
      <c r="S740" s="380"/>
      <c r="T740" s="380"/>
      <c r="U740" s="380"/>
      <c r="V740" s="380"/>
      <c r="W740" s="403"/>
      <c r="X740" s="380"/>
      <c r="Y740" s="380"/>
      <c r="Z740" s="380"/>
      <c r="AA740" s="380"/>
      <c r="AB740" s="380"/>
      <c r="AC740" s="404"/>
      <c r="AD740" s="380"/>
      <c r="AE740" s="380"/>
      <c r="AF740" s="380"/>
      <c r="AG740" s="380"/>
      <c r="AH740" s="380"/>
      <c r="AI740" s="380"/>
      <c r="AJ740" s="380"/>
      <c r="AK740" s="403"/>
      <c r="AL740" s="380"/>
      <c r="AM740" s="380"/>
      <c r="AN740" s="380"/>
      <c r="AO740" s="380"/>
      <c r="AP740" s="380"/>
      <c r="AQ740" s="404"/>
      <c r="AR740" s="380"/>
      <c r="AS740" s="380"/>
      <c r="AT740" s="380"/>
      <c r="AU740" s="380"/>
      <c r="AV740" s="380"/>
      <c r="AW740" s="380"/>
      <c r="AX740" s="380"/>
      <c r="AY740" s="403"/>
      <c r="AZ740" s="380"/>
      <c r="BA740" s="380"/>
      <c r="BB740" s="380"/>
      <c r="BC740" s="380"/>
      <c r="BD740" s="380"/>
      <c r="BE740" s="404"/>
      <c r="BF740" s="380"/>
      <c r="BG740" s="380"/>
      <c r="BH740" s="380"/>
      <c r="BI740" s="380"/>
      <c r="BJ740" s="380"/>
      <c r="BK740" s="380"/>
      <c r="BL740" s="380"/>
      <c r="BM740" s="403"/>
      <c r="BS740" s="83"/>
      <c r="CA740" s="405"/>
      <c r="CG740" s="83"/>
      <c r="CO740" s="405"/>
      <c r="CU740" s="83"/>
      <c r="DC740" s="405"/>
      <c r="DI740" s="83"/>
      <c r="DQ740" s="405"/>
      <c r="DW740" s="83"/>
      <c r="EE740" s="405"/>
      <c r="EK740" s="83"/>
      <c r="ES740" s="405"/>
      <c r="EY740" s="83"/>
      <c r="FG740" s="405"/>
      <c r="FM740" s="83"/>
      <c r="FU740" s="405"/>
      <c r="GA740" s="83"/>
      <c r="GI740" s="405"/>
      <c r="GO740" s="83"/>
      <c r="GW740" s="405"/>
      <c r="HC740" s="83"/>
      <c r="HK740" s="405"/>
      <c r="HQ740" s="83"/>
      <c r="HY740" s="405"/>
      <c r="IE740" s="83"/>
      <c r="IM740" s="405"/>
      <c r="IS740" s="83"/>
      <c r="JA740" s="405"/>
      <c r="JG740" s="83"/>
      <c r="JO740" s="405"/>
      <c r="JU740" s="83"/>
      <c r="KC740" s="405"/>
      <c r="KI740" s="83"/>
      <c r="KQ740" s="405"/>
      <c r="KW740" s="83"/>
      <c r="LE740" s="405"/>
      <c r="LK740" s="83"/>
      <c r="LS740" s="405"/>
      <c r="LY740" s="83"/>
      <c r="MG740" s="405"/>
      <c r="MM740" s="83"/>
      <c r="MU740" s="405"/>
      <c r="NA740" s="83"/>
    </row>
    <row r="741">
      <c r="A741" s="483"/>
      <c r="B741" s="380"/>
      <c r="C741" s="380"/>
      <c r="D741" s="380"/>
      <c r="E741" s="380"/>
      <c r="F741" s="380"/>
      <c r="G741" s="380"/>
      <c r="H741" s="380"/>
      <c r="I741" s="403"/>
      <c r="J741" s="380"/>
      <c r="K741" s="380"/>
      <c r="L741" s="380"/>
      <c r="M741" s="380"/>
      <c r="N741" s="380"/>
      <c r="O741" s="404"/>
      <c r="P741" s="380"/>
      <c r="Q741" s="380"/>
      <c r="R741" s="380"/>
      <c r="S741" s="380"/>
      <c r="T741" s="380"/>
      <c r="U741" s="380"/>
      <c r="V741" s="380"/>
      <c r="W741" s="403"/>
      <c r="X741" s="380"/>
      <c r="Y741" s="380"/>
      <c r="Z741" s="380"/>
      <c r="AA741" s="380"/>
      <c r="AB741" s="380"/>
      <c r="AC741" s="404"/>
      <c r="AD741" s="380"/>
      <c r="AE741" s="380"/>
      <c r="AF741" s="380"/>
      <c r="AG741" s="380"/>
      <c r="AH741" s="380"/>
      <c r="AI741" s="380"/>
      <c r="AJ741" s="380"/>
      <c r="AK741" s="403"/>
      <c r="AL741" s="380"/>
      <c r="AM741" s="380"/>
      <c r="AN741" s="380"/>
      <c r="AO741" s="380"/>
      <c r="AP741" s="380"/>
      <c r="AQ741" s="404"/>
      <c r="AR741" s="380"/>
      <c r="AS741" s="380"/>
      <c r="AT741" s="380"/>
      <c r="AU741" s="380"/>
      <c r="AV741" s="380"/>
      <c r="AW741" s="380"/>
      <c r="AX741" s="380"/>
      <c r="AY741" s="403"/>
      <c r="AZ741" s="380"/>
      <c r="BA741" s="380"/>
      <c r="BB741" s="380"/>
      <c r="BC741" s="380"/>
      <c r="BD741" s="380"/>
      <c r="BE741" s="404"/>
      <c r="BF741" s="380"/>
      <c r="BG741" s="380"/>
      <c r="BH741" s="380"/>
      <c r="BI741" s="380"/>
      <c r="BJ741" s="380"/>
      <c r="BK741" s="380"/>
      <c r="BL741" s="380"/>
      <c r="BM741" s="403"/>
      <c r="BS741" s="83"/>
      <c r="CA741" s="405"/>
      <c r="CG741" s="83"/>
      <c r="CO741" s="405"/>
      <c r="CU741" s="83"/>
      <c r="DC741" s="405"/>
      <c r="DI741" s="83"/>
      <c r="DQ741" s="405"/>
      <c r="DW741" s="83"/>
      <c r="EE741" s="405"/>
      <c r="EK741" s="83"/>
      <c r="ES741" s="405"/>
      <c r="EY741" s="83"/>
      <c r="FG741" s="405"/>
      <c r="FM741" s="83"/>
      <c r="FU741" s="405"/>
      <c r="GA741" s="83"/>
      <c r="GI741" s="405"/>
      <c r="GO741" s="83"/>
      <c r="GW741" s="405"/>
      <c r="HC741" s="83"/>
      <c r="HK741" s="405"/>
      <c r="HQ741" s="83"/>
      <c r="HY741" s="405"/>
      <c r="IE741" s="83"/>
      <c r="IM741" s="405"/>
      <c r="IS741" s="83"/>
      <c r="JA741" s="405"/>
      <c r="JG741" s="83"/>
      <c r="JO741" s="405"/>
      <c r="JU741" s="83"/>
      <c r="KC741" s="405"/>
      <c r="KI741" s="83"/>
      <c r="KQ741" s="405"/>
      <c r="KW741" s="83"/>
      <c r="LE741" s="405"/>
      <c r="LK741" s="83"/>
      <c r="LS741" s="405"/>
      <c r="LY741" s="83"/>
      <c r="MG741" s="405"/>
      <c r="MM741" s="83"/>
      <c r="MU741" s="405"/>
      <c r="NA741" s="83"/>
    </row>
    <row r="742">
      <c r="A742" s="483"/>
      <c r="B742" s="380"/>
      <c r="C742" s="380"/>
      <c r="D742" s="380"/>
      <c r="E742" s="380"/>
      <c r="F742" s="380"/>
      <c r="G742" s="380"/>
      <c r="H742" s="380"/>
      <c r="I742" s="403"/>
      <c r="J742" s="380"/>
      <c r="K742" s="380"/>
      <c r="L742" s="380"/>
      <c r="M742" s="380"/>
      <c r="N742" s="380"/>
      <c r="O742" s="404"/>
      <c r="P742" s="380"/>
      <c r="Q742" s="380"/>
      <c r="R742" s="380"/>
      <c r="S742" s="380"/>
      <c r="T742" s="380"/>
      <c r="U742" s="380"/>
      <c r="V742" s="380"/>
      <c r="W742" s="403"/>
      <c r="X742" s="380"/>
      <c r="Y742" s="380"/>
      <c r="Z742" s="380"/>
      <c r="AA742" s="380"/>
      <c r="AB742" s="380"/>
      <c r="AC742" s="404"/>
      <c r="AD742" s="380"/>
      <c r="AE742" s="380"/>
      <c r="AF742" s="380"/>
      <c r="AG742" s="380"/>
      <c r="AH742" s="380"/>
      <c r="AI742" s="380"/>
      <c r="AJ742" s="380"/>
      <c r="AK742" s="403"/>
      <c r="AL742" s="380"/>
      <c r="AM742" s="380"/>
      <c r="AN742" s="380"/>
      <c r="AO742" s="380"/>
      <c r="AP742" s="380"/>
      <c r="AQ742" s="404"/>
      <c r="AR742" s="380"/>
      <c r="AS742" s="380"/>
      <c r="AT742" s="380"/>
      <c r="AU742" s="380"/>
      <c r="AV742" s="380"/>
      <c r="AW742" s="380"/>
      <c r="AX742" s="380"/>
      <c r="AY742" s="403"/>
      <c r="AZ742" s="380"/>
      <c r="BA742" s="380"/>
      <c r="BB742" s="380"/>
      <c r="BC742" s="380"/>
      <c r="BD742" s="380"/>
      <c r="BE742" s="404"/>
      <c r="BF742" s="380"/>
      <c r="BG742" s="380"/>
      <c r="BH742" s="380"/>
      <c r="BI742" s="380"/>
      <c r="BJ742" s="380"/>
      <c r="BK742" s="380"/>
      <c r="BL742" s="380"/>
      <c r="BM742" s="403"/>
      <c r="BS742" s="83"/>
      <c r="CA742" s="405"/>
      <c r="CG742" s="83"/>
      <c r="CO742" s="405"/>
      <c r="CU742" s="83"/>
      <c r="DC742" s="405"/>
      <c r="DI742" s="83"/>
      <c r="DQ742" s="405"/>
      <c r="DW742" s="83"/>
      <c r="EE742" s="405"/>
      <c r="EK742" s="83"/>
      <c r="ES742" s="405"/>
      <c r="EY742" s="83"/>
      <c r="FG742" s="405"/>
      <c r="FM742" s="83"/>
      <c r="FU742" s="405"/>
      <c r="GA742" s="83"/>
      <c r="GI742" s="405"/>
      <c r="GO742" s="83"/>
      <c r="GW742" s="405"/>
      <c r="HC742" s="83"/>
      <c r="HK742" s="405"/>
      <c r="HQ742" s="83"/>
      <c r="HY742" s="405"/>
      <c r="IE742" s="83"/>
      <c r="IM742" s="405"/>
      <c r="IS742" s="83"/>
      <c r="JA742" s="405"/>
      <c r="JG742" s="83"/>
      <c r="JO742" s="405"/>
      <c r="JU742" s="83"/>
      <c r="KC742" s="405"/>
      <c r="KI742" s="83"/>
      <c r="KQ742" s="405"/>
      <c r="KW742" s="83"/>
      <c r="LE742" s="405"/>
      <c r="LK742" s="83"/>
      <c r="LS742" s="405"/>
      <c r="LY742" s="83"/>
      <c r="MG742" s="405"/>
      <c r="MM742" s="83"/>
      <c r="MU742" s="405"/>
      <c r="NA742" s="83"/>
    </row>
    <row r="743">
      <c r="A743" s="483"/>
      <c r="B743" s="380"/>
      <c r="C743" s="380"/>
      <c r="D743" s="380"/>
      <c r="E743" s="380"/>
      <c r="F743" s="380"/>
      <c r="G743" s="380"/>
      <c r="H743" s="380"/>
      <c r="I743" s="403"/>
      <c r="J743" s="380"/>
      <c r="K743" s="380"/>
      <c r="L743" s="380"/>
      <c r="M743" s="380"/>
      <c r="N743" s="380"/>
      <c r="O743" s="404"/>
      <c r="P743" s="380"/>
      <c r="Q743" s="380"/>
      <c r="R743" s="380"/>
      <c r="S743" s="380"/>
      <c r="T743" s="380"/>
      <c r="U743" s="380"/>
      <c r="V743" s="380"/>
      <c r="W743" s="403"/>
      <c r="X743" s="380"/>
      <c r="Y743" s="380"/>
      <c r="Z743" s="380"/>
      <c r="AA743" s="380"/>
      <c r="AB743" s="380"/>
      <c r="AC743" s="404"/>
      <c r="AD743" s="380"/>
      <c r="AE743" s="380"/>
      <c r="AF743" s="380"/>
      <c r="AG743" s="380"/>
      <c r="AH743" s="380"/>
      <c r="AI743" s="380"/>
      <c r="AJ743" s="380"/>
      <c r="AK743" s="403"/>
      <c r="AL743" s="380"/>
      <c r="AM743" s="380"/>
      <c r="AN743" s="380"/>
      <c r="AO743" s="380"/>
      <c r="AP743" s="380"/>
      <c r="AQ743" s="404"/>
      <c r="AR743" s="380"/>
      <c r="AS743" s="380"/>
      <c r="AT743" s="380"/>
      <c r="AU743" s="380"/>
      <c r="AV743" s="380"/>
      <c r="AW743" s="380"/>
      <c r="AX743" s="380"/>
      <c r="AY743" s="403"/>
      <c r="AZ743" s="380"/>
      <c r="BA743" s="380"/>
      <c r="BB743" s="380"/>
      <c r="BC743" s="380"/>
      <c r="BD743" s="380"/>
      <c r="BE743" s="404"/>
      <c r="BF743" s="380"/>
      <c r="BG743" s="380"/>
      <c r="BH743" s="380"/>
      <c r="BI743" s="380"/>
      <c r="BJ743" s="380"/>
      <c r="BK743" s="380"/>
      <c r="BL743" s="380"/>
      <c r="BM743" s="403"/>
      <c r="BS743" s="83"/>
      <c r="CA743" s="405"/>
      <c r="CG743" s="83"/>
      <c r="CO743" s="405"/>
      <c r="CU743" s="83"/>
      <c r="DC743" s="405"/>
      <c r="DI743" s="83"/>
      <c r="DQ743" s="405"/>
      <c r="DW743" s="83"/>
      <c r="EE743" s="405"/>
      <c r="EK743" s="83"/>
      <c r="ES743" s="405"/>
      <c r="EY743" s="83"/>
      <c r="FG743" s="405"/>
      <c r="FM743" s="83"/>
      <c r="FU743" s="405"/>
      <c r="GA743" s="83"/>
      <c r="GI743" s="405"/>
      <c r="GO743" s="83"/>
      <c r="GW743" s="405"/>
      <c r="HC743" s="83"/>
      <c r="HK743" s="405"/>
      <c r="HQ743" s="83"/>
      <c r="HY743" s="405"/>
      <c r="IE743" s="83"/>
      <c r="IM743" s="405"/>
      <c r="IS743" s="83"/>
      <c r="JA743" s="405"/>
      <c r="JG743" s="83"/>
      <c r="JO743" s="405"/>
      <c r="JU743" s="83"/>
      <c r="KC743" s="405"/>
      <c r="KI743" s="83"/>
      <c r="KQ743" s="405"/>
      <c r="KW743" s="83"/>
      <c r="LE743" s="405"/>
      <c r="LK743" s="83"/>
      <c r="LS743" s="405"/>
      <c r="LY743" s="83"/>
      <c r="MG743" s="405"/>
      <c r="MM743" s="83"/>
      <c r="MU743" s="405"/>
      <c r="NA743" s="83"/>
    </row>
    <row r="744">
      <c r="A744" s="483"/>
      <c r="B744" s="380"/>
      <c r="C744" s="380"/>
      <c r="D744" s="380"/>
      <c r="E744" s="380"/>
      <c r="F744" s="380"/>
      <c r="G744" s="380"/>
      <c r="H744" s="380"/>
      <c r="I744" s="403"/>
      <c r="J744" s="380"/>
      <c r="K744" s="380"/>
      <c r="L744" s="380"/>
      <c r="M744" s="380"/>
      <c r="N744" s="380"/>
      <c r="O744" s="404"/>
      <c r="P744" s="380"/>
      <c r="Q744" s="380"/>
      <c r="R744" s="380"/>
      <c r="S744" s="380"/>
      <c r="T744" s="380"/>
      <c r="U744" s="380"/>
      <c r="V744" s="380"/>
      <c r="W744" s="403"/>
      <c r="X744" s="380"/>
      <c r="Y744" s="380"/>
      <c r="Z744" s="380"/>
      <c r="AA744" s="380"/>
      <c r="AB744" s="380"/>
      <c r="AC744" s="404"/>
      <c r="AD744" s="380"/>
      <c r="AE744" s="380"/>
      <c r="AF744" s="380"/>
      <c r="AG744" s="380"/>
      <c r="AH744" s="380"/>
      <c r="AI744" s="380"/>
      <c r="AJ744" s="380"/>
      <c r="AK744" s="403"/>
      <c r="AL744" s="380"/>
      <c r="AM744" s="380"/>
      <c r="AN744" s="380"/>
      <c r="AO744" s="380"/>
      <c r="AP744" s="380"/>
      <c r="AQ744" s="404"/>
      <c r="AR744" s="380"/>
      <c r="AS744" s="380"/>
      <c r="AT744" s="380"/>
      <c r="AU744" s="380"/>
      <c r="AV744" s="380"/>
      <c r="AW744" s="380"/>
      <c r="AX744" s="380"/>
      <c r="AY744" s="403"/>
      <c r="AZ744" s="380"/>
      <c r="BA744" s="380"/>
      <c r="BB744" s="380"/>
      <c r="BC744" s="380"/>
      <c r="BD744" s="380"/>
      <c r="BE744" s="404"/>
      <c r="BF744" s="380"/>
      <c r="BG744" s="380"/>
      <c r="BH744" s="380"/>
      <c r="BI744" s="380"/>
      <c r="BJ744" s="380"/>
      <c r="BK744" s="380"/>
      <c r="BL744" s="380"/>
      <c r="BM744" s="403"/>
      <c r="BS744" s="83"/>
      <c r="CA744" s="405"/>
      <c r="CG744" s="83"/>
      <c r="CO744" s="405"/>
      <c r="CU744" s="83"/>
      <c r="DC744" s="405"/>
      <c r="DI744" s="83"/>
      <c r="DQ744" s="405"/>
      <c r="DW744" s="83"/>
      <c r="EE744" s="405"/>
      <c r="EK744" s="83"/>
      <c r="ES744" s="405"/>
      <c r="EY744" s="83"/>
      <c r="FG744" s="405"/>
      <c r="FM744" s="83"/>
      <c r="FU744" s="405"/>
      <c r="GA744" s="83"/>
      <c r="GI744" s="405"/>
      <c r="GO744" s="83"/>
      <c r="GW744" s="405"/>
      <c r="HC744" s="83"/>
      <c r="HK744" s="405"/>
      <c r="HQ744" s="83"/>
      <c r="HY744" s="405"/>
      <c r="IE744" s="83"/>
      <c r="IM744" s="405"/>
      <c r="IS744" s="83"/>
      <c r="JA744" s="405"/>
      <c r="JG744" s="83"/>
      <c r="JO744" s="405"/>
      <c r="JU744" s="83"/>
      <c r="KC744" s="405"/>
      <c r="KI744" s="83"/>
      <c r="KQ744" s="405"/>
      <c r="KW744" s="83"/>
      <c r="LE744" s="405"/>
      <c r="LK744" s="83"/>
      <c r="LS744" s="405"/>
      <c r="LY744" s="83"/>
      <c r="MG744" s="405"/>
      <c r="MM744" s="83"/>
      <c r="MU744" s="405"/>
      <c r="NA744" s="83"/>
    </row>
    <row r="745">
      <c r="A745" s="483"/>
      <c r="B745" s="380"/>
      <c r="C745" s="380"/>
      <c r="D745" s="380"/>
      <c r="E745" s="380"/>
      <c r="F745" s="380"/>
      <c r="G745" s="380"/>
      <c r="H745" s="380"/>
      <c r="I745" s="403"/>
      <c r="J745" s="380"/>
      <c r="K745" s="380"/>
      <c r="L745" s="380"/>
      <c r="M745" s="380"/>
      <c r="N745" s="380"/>
      <c r="O745" s="404"/>
      <c r="P745" s="380"/>
      <c r="Q745" s="380"/>
      <c r="R745" s="380"/>
      <c r="S745" s="380"/>
      <c r="T745" s="380"/>
      <c r="U745" s="380"/>
      <c r="V745" s="380"/>
      <c r="W745" s="403"/>
      <c r="X745" s="380"/>
      <c r="Y745" s="380"/>
      <c r="Z745" s="380"/>
      <c r="AA745" s="380"/>
      <c r="AB745" s="380"/>
      <c r="AC745" s="404"/>
      <c r="AD745" s="380"/>
      <c r="AE745" s="380"/>
      <c r="AF745" s="380"/>
      <c r="AG745" s="380"/>
      <c r="AH745" s="380"/>
      <c r="AI745" s="380"/>
      <c r="AJ745" s="380"/>
      <c r="AK745" s="403"/>
      <c r="AL745" s="380"/>
      <c r="AM745" s="380"/>
      <c r="AN745" s="380"/>
      <c r="AO745" s="380"/>
      <c r="AP745" s="380"/>
      <c r="AQ745" s="404"/>
      <c r="AR745" s="380"/>
      <c r="AS745" s="380"/>
      <c r="AT745" s="380"/>
      <c r="AU745" s="380"/>
      <c r="AV745" s="380"/>
      <c r="AW745" s="380"/>
      <c r="AX745" s="380"/>
      <c r="AY745" s="403"/>
      <c r="AZ745" s="380"/>
      <c r="BA745" s="380"/>
      <c r="BB745" s="380"/>
      <c r="BC745" s="380"/>
      <c r="BD745" s="380"/>
      <c r="BE745" s="404"/>
      <c r="BF745" s="380"/>
      <c r="BG745" s="380"/>
      <c r="BH745" s="380"/>
      <c r="BI745" s="380"/>
      <c r="BJ745" s="380"/>
      <c r="BK745" s="380"/>
      <c r="BL745" s="380"/>
      <c r="BM745" s="403"/>
      <c r="BS745" s="83"/>
      <c r="CA745" s="405"/>
      <c r="CG745" s="83"/>
      <c r="CO745" s="405"/>
      <c r="CU745" s="83"/>
      <c r="DC745" s="405"/>
      <c r="DI745" s="83"/>
      <c r="DQ745" s="405"/>
      <c r="DW745" s="83"/>
      <c r="EE745" s="405"/>
      <c r="EK745" s="83"/>
      <c r="ES745" s="405"/>
      <c r="EY745" s="83"/>
      <c r="FG745" s="405"/>
      <c r="FM745" s="83"/>
      <c r="FU745" s="405"/>
      <c r="GA745" s="83"/>
      <c r="GI745" s="405"/>
      <c r="GO745" s="83"/>
      <c r="GW745" s="405"/>
      <c r="HC745" s="83"/>
      <c r="HK745" s="405"/>
      <c r="HQ745" s="83"/>
      <c r="HY745" s="405"/>
      <c r="IE745" s="83"/>
      <c r="IM745" s="405"/>
      <c r="IS745" s="83"/>
      <c r="JA745" s="405"/>
      <c r="JG745" s="83"/>
      <c r="JO745" s="405"/>
      <c r="JU745" s="83"/>
      <c r="KC745" s="405"/>
      <c r="KI745" s="83"/>
      <c r="KQ745" s="405"/>
      <c r="KW745" s="83"/>
      <c r="LE745" s="405"/>
      <c r="LK745" s="83"/>
      <c r="LS745" s="405"/>
      <c r="LY745" s="83"/>
      <c r="MG745" s="405"/>
      <c r="MM745" s="83"/>
      <c r="MU745" s="405"/>
      <c r="NA745" s="83"/>
    </row>
    <row r="746">
      <c r="A746" s="483"/>
      <c r="B746" s="380"/>
      <c r="C746" s="380"/>
      <c r="D746" s="380"/>
      <c r="E746" s="380"/>
      <c r="F746" s="380"/>
      <c r="G746" s="380"/>
      <c r="H746" s="380"/>
      <c r="I746" s="403"/>
      <c r="J746" s="380"/>
      <c r="K746" s="380"/>
      <c r="L746" s="380"/>
      <c r="M746" s="380"/>
      <c r="N746" s="380"/>
      <c r="O746" s="404"/>
      <c r="P746" s="380"/>
      <c r="Q746" s="380"/>
      <c r="R746" s="380"/>
      <c r="S746" s="380"/>
      <c r="T746" s="380"/>
      <c r="U746" s="380"/>
      <c r="V746" s="380"/>
      <c r="W746" s="403"/>
      <c r="X746" s="380"/>
      <c r="Y746" s="380"/>
      <c r="Z746" s="380"/>
      <c r="AA746" s="380"/>
      <c r="AB746" s="380"/>
      <c r="AC746" s="404"/>
      <c r="AD746" s="380"/>
      <c r="AE746" s="380"/>
      <c r="AF746" s="380"/>
      <c r="AG746" s="380"/>
      <c r="AH746" s="380"/>
      <c r="AI746" s="380"/>
      <c r="AJ746" s="380"/>
      <c r="AK746" s="403"/>
      <c r="AL746" s="380"/>
      <c r="AM746" s="380"/>
      <c r="AN746" s="380"/>
      <c r="AO746" s="380"/>
      <c r="AP746" s="380"/>
      <c r="AQ746" s="404"/>
      <c r="AR746" s="380"/>
      <c r="AS746" s="380"/>
      <c r="AT746" s="380"/>
      <c r="AU746" s="380"/>
      <c r="AV746" s="380"/>
      <c r="AW746" s="380"/>
      <c r="AX746" s="380"/>
      <c r="AY746" s="403"/>
      <c r="AZ746" s="380"/>
      <c r="BA746" s="380"/>
      <c r="BB746" s="380"/>
      <c r="BC746" s="380"/>
      <c r="BD746" s="380"/>
      <c r="BE746" s="404"/>
      <c r="BF746" s="380"/>
      <c r="BG746" s="380"/>
      <c r="BH746" s="380"/>
      <c r="BI746" s="380"/>
      <c r="BJ746" s="380"/>
      <c r="BK746" s="380"/>
      <c r="BL746" s="380"/>
      <c r="BM746" s="403"/>
      <c r="BS746" s="83"/>
      <c r="CA746" s="405"/>
      <c r="CG746" s="83"/>
      <c r="CO746" s="405"/>
      <c r="CU746" s="83"/>
      <c r="DC746" s="405"/>
      <c r="DI746" s="83"/>
      <c r="DQ746" s="405"/>
      <c r="DW746" s="83"/>
      <c r="EE746" s="405"/>
      <c r="EK746" s="83"/>
      <c r="ES746" s="405"/>
      <c r="EY746" s="83"/>
      <c r="FG746" s="405"/>
      <c r="FM746" s="83"/>
      <c r="FU746" s="405"/>
      <c r="GA746" s="83"/>
      <c r="GI746" s="405"/>
      <c r="GO746" s="83"/>
      <c r="GW746" s="405"/>
      <c r="HC746" s="83"/>
      <c r="HK746" s="405"/>
      <c r="HQ746" s="83"/>
      <c r="HY746" s="405"/>
      <c r="IE746" s="83"/>
      <c r="IM746" s="405"/>
      <c r="IS746" s="83"/>
      <c r="JA746" s="405"/>
      <c r="JG746" s="83"/>
      <c r="JO746" s="405"/>
      <c r="JU746" s="83"/>
      <c r="KC746" s="405"/>
      <c r="KI746" s="83"/>
      <c r="KQ746" s="405"/>
      <c r="KW746" s="83"/>
      <c r="LE746" s="405"/>
      <c r="LK746" s="83"/>
      <c r="LS746" s="405"/>
      <c r="LY746" s="83"/>
      <c r="MG746" s="405"/>
      <c r="MM746" s="83"/>
      <c r="MU746" s="405"/>
      <c r="NA746" s="83"/>
    </row>
    <row r="747">
      <c r="A747" s="483"/>
      <c r="B747" s="380"/>
      <c r="C747" s="380"/>
      <c r="D747" s="380"/>
      <c r="E747" s="380"/>
      <c r="F747" s="380"/>
      <c r="G747" s="380"/>
      <c r="H747" s="380"/>
      <c r="I747" s="403"/>
      <c r="J747" s="380"/>
      <c r="K747" s="380"/>
      <c r="L747" s="380"/>
      <c r="M747" s="380"/>
      <c r="N747" s="380"/>
      <c r="O747" s="404"/>
      <c r="P747" s="380"/>
      <c r="Q747" s="380"/>
      <c r="R747" s="380"/>
      <c r="S747" s="380"/>
      <c r="T747" s="380"/>
      <c r="U747" s="380"/>
      <c r="V747" s="380"/>
      <c r="W747" s="403"/>
      <c r="X747" s="380"/>
      <c r="Y747" s="380"/>
      <c r="Z747" s="380"/>
      <c r="AA747" s="380"/>
      <c r="AB747" s="380"/>
      <c r="AC747" s="404"/>
      <c r="AD747" s="380"/>
      <c r="AE747" s="380"/>
      <c r="AF747" s="380"/>
      <c r="AG747" s="380"/>
      <c r="AH747" s="380"/>
      <c r="AI747" s="380"/>
      <c r="AJ747" s="380"/>
      <c r="AK747" s="403"/>
      <c r="AL747" s="380"/>
      <c r="AM747" s="380"/>
      <c r="AN747" s="380"/>
      <c r="AO747" s="380"/>
      <c r="AP747" s="380"/>
      <c r="AQ747" s="404"/>
      <c r="AR747" s="380"/>
      <c r="AS747" s="380"/>
      <c r="AT747" s="380"/>
      <c r="AU747" s="380"/>
      <c r="AV747" s="380"/>
      <c r="AW747" s="380"/>
      <c r="AX747" s="380"/>
      <c r="AY747" s="403"/>
      <c r="AZ747" s="380"/>
      <c r="BA747" s="380"/>
      <c r="BB747" s="380"/>
      <c r="BC747" s="380"/>
      <c r="BD747" s="380"/>
      <c r="BE747" s="404"/>
      <c r="BF747" s="380"/>
      <c r="BG747" s="380"/>
      <c r="BH747" s="380"/>
      <c r="BI747" s="380"/>
      <c r="BJ747" s="380"/>
      <c r="BK747" s="380"/>
      <c r="BL747" s="380"/>
      <c r="BM747" s="403"/>
      <c r="BS747" s="83"/>
      <c r="CA747" s="405"/>
      <c r="CG747" s="83"/>
      <c r="CO747" s="405"/>
      <c r="CU747" s="83"/>
      <c r="DC747" s="405"/>
      <c r="DI747" s="83"/>
      <c r="DQ747" s="405"/>
      <c r="DW747" s="83"/>
      <c r="EE747" s="405"/>
      <c r="EK747" s="83"/>
      <c r="ES747" s="405"/>
      <c r="EY747" s="83"/>
      <c r="FG747" s="405"/>
      <c r="FM747" s="83"/>
      <c r="FU747" s="405"/>
      <c r="GA747" s="83"/>
      <c r="GI747" s="405"/>
      <c r="GO747" s="83"/>
      <c r="GW747" s="405"/>
      <c r="HC747" s="83"/>
      <c r="HK747" s="405"/>
      <c r="HQ747" s="83"/>
      <c r="HY747" s="405"/>
      <c r="IE747" s="83"/>
      <c r="IM747" s="405"/>
      <c r="IS747" s="83"/>
      <c r="JA747" s="405"/>
      <c r="JG747" s="83"/>
      <c r="JO747" s="405"/>
      <c r="JU747" s="83"/>
      <c r="KC747" s="405"/>
      <c r="KI747" s="83"/>
      <c r="KQ747" s="405"/>
      <c r="KW747" s="83"/>
      <c r="LE747" s="405"/>
      <c r="LK747" s="83"/>
      <c r="LS747" s="405"/>
      <c r="LY747" s="83"/>
      <c r="MG747" s="405"/>
      <c r="MM747" s="83"/>
      <c r="MU747" s="405"/>
      <c r="NA747" s="83"/>
    </row>
    <row r="748">
      <c r="A748" s="483"/>
      <c r="B748" s="380"/>
      <c r="C748" s="380"/>
      <c r="D748" s="380"/>
      <c r="E748" s="380"/>
      <c r="F748" s="380"/>
      <c r="G748" s="380"/>
      <c r="H748" s="380"/>
      <c r="I748" s="403"/>
      <c r="J748" s="380"/>
      <c r="K748" s="380"/>
      <c r="L748" s="380"/>
      <c r="M748" s="380"/>
      <c r="N748" s="380"/>
      <c r="O748" s="404"/>
      <c r="P748" s="380"/>
      <c r="Q748" s="380"/>
      <c r="R748" s="380"/>
      <c r="S748" s="380"/>
      <c r="T748" s="380"/>
      <c r="U748" s="380"/>
      <c r="V748" s="380"/>
      <c r="W748" s="403"/>
      <c r="X748" s="380"/>
      <c r="Y748" s="380"/>
      <c r="Z748" s="380"/>
      <c r="AA748" s="380"/>
      <c r="AB748" s="380"/>
      <c r="AC748" s="404"/>
      <c r="AD748" s="380"/>
      <c r="AE748" s="380"/>
      <c r="AF748" s="380"/>
      <c r="AG748" s="380"/>
      <c r="AH748" s="380"/>
      <c r="AI748" s="380"/>
      <c r="AJ748" s="380"/>
      <c r="AK748" s="403"/>
      <c r="AL748" s="380"/>
      <c r="AM748" s="380"/>
      <c r="AN748" s="380"/>
      <c r="AO748" s="380"/>
      <c r="AP748" s="380"/>
      <c r="AQ748" s="404"/>
      <c r="AR748" s="380"/>
      <c r="AS748" s="380"/>
      <c r="AT748" s="380"/>
      <c r="AU748" s="380"/>
      <c r="AV748" s="380"/>
      <c r="AW748" s="380"/>
      <c r="AX748" s="380"/>
      <c r="AY748" s="403"/>
      <c r="AZ748" s="380"/>
      <c r="BA748" s="380"/>
      <c r="BB748" s="380"/>
      <c r="BC748" s="380"/>
      <c r="BD748" s="380"/>
      <c r="BE748" s="404"/>
      <c r="BF748" s="380"/>
      <c r="BG748" s="380"/>
      <c r="BH748" s="380"/>
      <c r="BI748" s="380"/>
      <c r="BJ748" s="380"/>
      <c r="BK748" s="380"/>
      <c r="BL748" s="380"/>
      <c r="BM748" s="403"/>
      <c r="BS748" s="83"/>
      <c r="CA748" s="405"/>
      <c r="CG748" s="83"/>
      <c r="CO748" s="405"/>
      <c r="CU748" s="83"/>
      <c r="DC748" s="405"/>
      <c r="DI748" s="83"/>
      <c r="DQ748" s="405"/>
      <c r="DW748" s="83"/>
      <c r="EE748" s="405"/>
      <c r="EK748" s="83"/>
      <c r="ES748" s="405"/>
      <c r="EY748" s="83"/>
      <c r="FG748" s="405"/>
      <c r="FM748" s="83"/>
      <c r="FU748" s="405"/>
      <c r="GA748" s="83"/>
      <c r="GI748" s="405"/>
      <c r="GO748" s="83"/>
      <c r="GW748" s="405"/>
      <c r="HC748" s="83"/>
      <c r="HK748" s="405"/>
      <c r="HQ748" s="83"/>
      <c r="HY748" s="405"/>
      <c r="IE748" s="83"/>
      <c r="IM748" s="405"/>
      <c r="IS748" s="83"/>
      <c r="JA748" s="405"/>
      <c r="JG748" s="83"/>
      <c r="JO748" s="405"/>
      <c r="JU748" s="83"/>
      <c r="KC748" s="405"/>
      <c r="KI748" s="83"/>
      <c r="KQ748" s="405"/>
      <c r="KW748" s="83"/>
      <c r="LE748" s="405"/>
      <c r="LK748" s="83"/>
      <c r="LS748" s="405"/>
      <c r="LY748" s="83"/>
      <c r="MG748" s="405"/>
      <c r="MM748" s="83"/>
      <c r="MU748" s="405"/>
      <c r="NA748" s="83"/>
    </row>
    <row r="749">
      <c r="A749" s="483"/>
      <c r="B749" s="380"/>
      <c r="C749" s="380"/>
      <c r="D749" s="380"/>
      <c r="E749" s="380"/>
      <c r="F749" s="380"/>
      <c r="G749" s="380"/>
      <c r="H749" s="380"/>
      <c r="I749" s="403"/>
      <c r="J749" s="380"/>
      <c r="K749" s="380"/>
      <c r="L749" s="380"/>
      <c r="M749" s="380"/>
      <c r="N749" s="380"/>
      <c r="O749" s="404"/>
      <c r="P749" s="380"/>
      <c r="Q749" s="380"/>
      <c r="R749" s="380"/>
      <c r="S749" s="380"/>
      <c r="T749" s="380"/>
      <c r="U749" s="380"/>
      <c r="V749" s="380"/>
      <c r="W749" s="403"/>
      <c r="X749" s="380"/>
      <c r="Y749" s="380"/>
      <c r="Z749" s="380"/>
      <c r="AA749" s="380"/>
      <c r="AB749" s="380"/>
      <c r="AC749" s="404"/>
      <c r="AD749" s="380"/>
      <c r="AE749" s="380"/>
      <c r="AF749" s="380"/>
      <c r="AG749" s="380"/>
      <c r="AH749" s="380"/>
      <c r="AI749" s="380"/>
      <c r="AJ749" s="380"/>
      <c r="AK749" s="403"/>
      <c r="AL749" s="380"/>
      <c r="AM749" s="380"/>
      <c r="AN749" s="380"/>
      <c r="AO749" s="380"/>
      <c r="AP749" s="380"/>
      <c r="AQ749" s="404"/>
      <c r="AR749" s="380"/>
      <c r="AS749" s="380"/>
      <c r="AT749" s="380"/>
      <c r="AU749" s="380"/>
      <c r="AV749" s="380"/>
      <c r="AW749" s="380"/>
      <c r="AX749" s="380"/>
      <c r="AY749" s="403"/>
      <c r="AZ749" s="380"/>
      <c r="BA749" s="380"/>
      <c r="BB749" s="380"/>
      <c r="BC749" s="380"/>
      <c r="BD749" s="380"/>
      <c r="BE749" s="404"/>
      <c r="BF749" s="380"/>
      <c r="BG749" s="380"/>
      <c r="BH749" s="380"/>
      <c r="BI749" s="380"/>
      <c r="BJ749" s="380"/>
      <c r="BK749" s="380"/>
      <c r="BL749" s="380"/>
      <c r="BM749" s="403"/>
      <c r="BS749" s="83"/>
      <c r="CA749" s="405"/>
      <c r="CG749" s="83"/>
      <c r="CO749" s="405"/>
      <c r="CU749" s="83"/>
      <c r="DC749" s="405"/>
      <c r="DI749" s="83"/>
      <c r="DQ749" s="405"/>
      <c r="DW749" s="83"/>
      <c r="EE749" s="405"/>
      <c r="EK749" s="83"/>
      <c r="ES749" s="405"/>
      <c r="EY749" s="83"/>
      <c r="FG749" s="405"/>
      <c r="FM749" s="83"/>
      <c r="FU749" s="405"/>
      <c r="GA749" s="83"/>
      <c r="GI749" s="405"/>
      <c r="GO749" s="83"/>
      <c r="GW749" s="405"/>
      <c r="HC749" s="83"/>
      <c r="HK749" s="405"/>
      <c r="HQ749" s="83"/>
      <c r="HY749" s="405"/>
      <c r="IE749" s="83"/>
      <c r="IM749" s="405"/>
      <c r="IS749" s="83"/>
      <c r="JA749" s="405"/>
      <c r="JG749" s="83"/>
      <c r="JO749" s="405"/>
      <c r="JU749" s="83"/>
      <c r="KC749" s="405"/>
      <c r="KI749" s="83"/>
      <c r="KQ749" s="405"/>
      <c r="KW749" s="83"/>
      <c r="LE749" s="405"/>
      <c r="LK749" s="83"/>
      <c r="LS749" s="405"/>
      <c r="LY749" s="83"/>
      <c r="MG749" s="405"/>
      <c r="MM749" s="83"/>
      <c r="MU749" s="405"/>
      <c r="NA749" s="83"/>
    </row>
    <row r="750">
      <c r="A750" s="483"/>
      <c r="B750" s="380"/>
      <c r="C750" s="380"/>
      <c r="D750" s="380"/>
      <c r="E750" s="380"/>
      <c r="F750" s="380"/>
      <c r="G750" s="380"/>
      <c r="H750" s="380"/>
      <c r="I750" s="403"/>
      <c r="J750" s="380"/>
      <c r="K750" s="380"/>
      <c r="L750" s="380"/>
      <c r="M750" s="380"/>
      <c r="N750" s="380"/>
      <c r="O750" s="404"/>
      <c r="P750" s="380"/>
      <c r="Q750" s="380"/>
      <c r="R750" s="380"/>
      <c r="S750" s="380"/>
      <c r="T750" s="380"/>
      <c r="U750" s="380"/>
      <c r="V750" s="380"/>
      <c r="W750" s="403"/>
      <c r="X750" s="380"/>
      <c r="Y750" s="380"/>
      <c r="Z750" s="380"/>
      <c r="AA750" s="380"/>
      <c r="AB750" s="380"/>
      <c r="AC750" s="404"/>
      <c r="AD750" s="380"/>
      <c r="AE750" s="380"/>
      <c r="AF750" s="380"/>
      <c r="AG750" s="380"/>
      <c r="AH750" s="380"/>
      <c r="AI750" s="380"/>
      <c r="AJ750" s="380"/>
      <c r="AK750" s="403"/>
      <c r="AL750" s="380"/>
      <c r="AM750" s="380"/>
      <c r="AN750" s="380"/>
      <c r="AO750" s="380"/>
      <c r="AP750" s="380"/>
      <c r="AQ750" s="404"/>
      <c r="AR750" s="380"/>
      <c r="AS750" s="380"/>
      <c r="AT750" s="380"/>
      <c r="AU750" s="380"/>
      <c r="AV750" s="380"/>
      <c r="AW750" s="380"/>
      <c r="AX750" s="380"/>
      <c r="AY750" s="403"/>
      <c r="AZ750" s="380"/>
      <c r="BA750" s="380"/>
      <c r="BB750" s="380"/>
      <c r="BC750" s="380"/>
      <c r="BD750" s="380"/>
      <c r="BE750" s="404"/>
      <c r="BF750" s="380"/>
      <c r="BG750" s="380"/>
      <c r="BH750" s="380"/>
      <c r="BI750" s="380"/>
      <c r="BJ750" s="380"/>
      <c r="BK750" s="380"/>
      <c r="BL750" s="380"/>
      <c r="BM750" s="403"/>
      <c r="BS750" s="83"/>
      <c r="CA750" s="405"/>
      <c r="CG750" s="83"/>
      <c r="CO750" s="405"/>
      <c r="CU750" s="83"/>
      <c r="DC750" s="405"/>
      <c r="DI750" s="83"/>
      <c r="DQ750" s="405"/>
      <c r="DW750" s="83"/>
      <c r="EE750" s="405"/>
      <c r="EK750" s="83"/>
      <c r="ES750" s="405"/>
      <c r="EY750" s="83"/>
      <c r="FG750" s="405"/>
      <c r="FM750" s="83"/>
      <c r="FU750" s="405"/>
      <c r="GA750" s="83"/>
      <c r="GI750" s="405"/>
      <c r="GO750" s="83"/>
      <c r="GW750" s="405"/>
      <c r="HC750" s="83"/>
      <c r="HK750" s="405"/>
      <c r="HQ750" s="83"/>
      <c r="HY750" s="405"/>
      <c r="IE750" s="83"/>
      <c r="IM750" s="405"/>
      <c r="IS750" s="83"/>
      <c r="JA750" s="405"/>
      <c r="JG750" s="83"/>
      <c r="JO750" s="405"/>
      <c r="JU750" s="83"/>
      <c r="KC750" s="405"/>
      <c r="KI750" s="83"/>
      <c r="KQ750" s="405"/>
      <c r="KW750" s="83"/>
      <c r="LE750" s="405"/>
      <c r="LK750" s="83"/>
      <c r="LS750" s="405"/>
      <c r="LY750" s="83"/>
      <c r="MG750" s="405"/>
      <c r="MM750" s="83"/>
      <c r="MU750" s="405"/>
      <c r="NA750" s="83"/>
    </row>
    <row r="751">
      <c r="A751" s="483"/>
      <c r="B751" s="380"/>
      <c r="C751" s="380"/>
      <c r="D751" s="380"/>
      <c r="E751" s="380"/>
      <c r="F751" s="380"/>
      <c r="G751" s="380"/>
      <c r="H751" s="380"/>
      <c r="I751" s="403"/>
      <c r="J751" s="380"/>
      <c r="K751" s="380"/>
      <c r="L751" s="380"/>
      <c r="M751" s="380"/>
      <c r="N751" s="380"/>
      <c r="O751" s="404"/>
      <c r="P751" s="380"/>
      <c r="Q751" s="380"/>
      <c r="R751" s="380"/>
      <c r="S751" s="380"/>
      <c r="T751" s="380"/>
      <c r="U751" s="380"/>
      <c r="V751" s="380"/>
      <c r="W751" s="403"/>
      <c r="X751" s="380"/>
      <c r="Y751" s="380"/>
      <c r="Z751" s="380"/>
      <c r="AA751" s="380"/>
      <c r="AB751" s="380"/>
      <c r="AC751" s="404"/>
      <c r="AD751" s="380"/>
      <c r="AE751" s="380"/>
      <c r="AF751" s="380"/>
      <c r="AG751" s="380"/>
      <c r="AH751" s="380"/>
      <c r="AI751" s="380"/>
      <c r="AJ751" s="380"/>
      <c r="AK751" s="403"/>
      <c r="AL751" s="380"/>
      <c r="AM751" s="380"/>
      <c r="AN751" s="380"/>
      <c r="AO751" s="380"/>
      <c r="AP751" s="380"/>
      <c r="AQ751" s="404"/>
      <c r="AR751" s="380"/>
      <c r="AS751" s="380"/>
      <c r="AT751" s="380"/>
      <c r="AU751" s="380"/>
      <c r="AV751" s="380"/>
      <c r="AW751" s="380"/>
      <c r="AX751" s="380"/>
      <c r="AY751" s="403"/>
      <c r="AZ751" s="380"/>
      <c r="BA751" s="380"/>
      <c r="BB751" s="380"/>
      <c r="BC751" s="380"/>
      <c r="BD751" s="380"/>
      <c r="BE751" s="404"/>
      <c r="BF751" s="380"/>
      <c r="BG751" s="380"/>
      <c r="BH751" s="380"/>
      <c r="BI751" s="380"/>
      <c r="BJ751" s="380"/>
      <c r="BK751" s="380"/>
      <c r="BL751" s="380"/>
      <c r="BM751" s="403"/>
      <c r="BS751" s="83"/>
      <c r="CA751" s="405"/>
      <c r="CG751" s="83"/>
      <c r="CO751" s="405"/>
      <c r="CU751" s="83"/>
      <c r="DC751" s="405"/>
      <c r="DI751" s="83"/>
      <c r="DQ751" s="405"/>
      <c r="DW751" s="83"/>
      <c r="EE751" s="405"/>
      <c r="EK751" s="83"/>
      <c r="ES751" s="405"/>
      <c r="EY751" s="83"/>
      <c r="FG751" s="405"/>
      <c r="FM751" s="83"/>
      <c r="FU751" s="405"/>
      <c r="GA751" s="83"/>
      <c r="GI751" s="405"/>
      <c r="GO751" s="83"/>
      <c r="GW751" s="405"/>
      <c r="HC751" s="83"/>
      <c r="HK751" s="405"/>
      <c r="HQ751" s="83"/>
      <c r="HY751" s="405"/>
      <c r="IE751" s="83"/>
      <c r="IM751" s="405"/>
      <c r="IS751" s="83"/>
      <c r="JA751" s="405"/>
      <c r="JG751" s="83"/>
      <c r="JO751" s="405"/>
      <c r="JU751" s="83"/>
      <c r="KC751" s="405"/>
      <c r="KI751" s="83"/>
      <c r="KQ751" s="405"/>
      <c r="KW751" s="83"/>
      <c r="LE751" s="405"/>
      <c r="LK751" s="83"/>
      <c r="LS751" s="405"/>
      <c r="LY751" s="83"/>
      <c r="MG751" s="405"/>
      <c r="MM751" s="83"/>
      <c r="MU751" s="405"/>
      <c r="NA751" s="83"/>
    </row>
    <row r="752">
      <c r="A752" s="483"/>
      <c r="B752" s="380"/>
      <c r="C752" s="380"/>
      <c r="D752" s="380"/>
      <c r="E752" s="380"/>
      <c r="F752" s="380"/>
      <c r="G752" s="380"/>
      <c r="H752" s="380"/>
      <c r="I752" s="403"/>
      <c r="J752" s="380"/>
      <c r="K752" s="380"/>
      <c r="L752" s="380"/>
      <c r="M752" s="380"/>
      <c r="N752" s="380"/>
      <c r="O752" s="404"/>
      <c r="P752" s="380"/>
      <c r="Q752" s="380"/>
      <c r="R752" s="380"/>
      <c r="S752" s="380"/>
      <c r="T752" s="380"/>
      <c r="U752" s="380"/>
      <c r="V752" s="380"/>
      <c r="W752" s="403"/>
      <c r="X752" s="380"/>
      <c r="Y752" s="380"/>
      <c r="Z752" s="380"/>
      <c r="AA752" s="380"/>
      <c r="AB752" s="380"/>
      <c r="AC752" s="404"/>
      <c r="AD752" s="380"/>
      <c r="AE752" s="380"/>
      <c r="AF752" s="380"/>
      <c r="AG752" s="380"/>
      <c r="AH752" s="380"/>
      <c r="AI752" s="380"/>
      <c r="AJ752" s="380"/>
      <c r="AK752" s="403"/>
      <c r="AL752" s="380"/>
      <c r="AM752" s="380"/>
      <c r="AN752" s="380"/>
      <c r="AO752" s="380"/>
      <c r="AP752" s="380"/>
      <c r="AQ752" s="404"/>
      <c r="AR752" s="380"/>
      <c r="AS752" s="380"/>
      <c r="AT752" s="380"/>
      <c r="AU752" s="380"/>
      <c r="AV752" s="380"/>
      <c r="AW752" s="380"/>
      <c r="AX752" s="380"/>
      <c r="AY752" s="403"/>
      <c r="AZ752" s="380"/>
      <c r="BA752" s="380"/>
      <c r="BB752" s="380"/>
      <c r="BC752" s="380"/>
      <c r="BD752" s="380"/>
      <c r="BE752" s="404"/>
      <c r="BF752" s="380"/>
      <c r="BG752" s="380"/>
      <c r="BH752" s="380"/>
      <c r="BI752" s="380"/>
      <c r="BJ752" s="380"/>
      <c r="BK752" s="380"/>
      <c r="BL752" s="380"/>
      <c r="BM752" s="403"/>
      <c r="BS752" s="83"/>
      <c r="CA752" s="405"/>
      <c r="CG752" s="83"/>
      <c r="CO752" s="405"/>
      <c r="CU752" s="83"/>
      <c r="DC752" s="405"/>
      <c r="DI752" s="83"/>
      <c r="DQ752" s="405"/>
      <c r="DW752" s="83"/>
      <c r="EE752" s="405"/>
      <c r="EK752" s="83"/>
      <c r="ES752" s="405"/>
      <c r="EY752" s="83"/>
      <c r="FG752" s="405"/>
      <c r="FM752" s="83"/>
      <c r="FU752" s="405"/>
      <c r="GA752" s="83"/>
      <c r="GI752" s="405"/>
      <c r="GO752" s="83"/>
      <c r="GW752" s="405"/>
      <c r="HC752" s="83"/>
      <c r="HK752" s="405"/>
      <c r="HQ752" s="83"/>
      <c r="HY752" s="405"/>
      <c r="IE752" s="83"/>
      <c r="IM752" s="405"/>
      <c r="IS752" s="83"/>
      <c r="JA752" s="405"/>
      <c r="JG752" s="83"/>
      <c r="JO752" s="405"/>
      <c r="JU752" s="83"/>
      <c r="KC752" s="405"/>
      <c r="KI752" s="83"/>
      <c r="KQ752" s="405"/>
      <c r="KW752" s="83"/>
      <c r="LE752" s="405"/>
      <c r="LK752" s="83"/>
      <c r="LS752" s="405"/>
      <c r="LY752" s="83"/>
      <c r="MG752" s="405"/>
      <c r="MM752" s="83"/>
      <c r="MU752" s="405"/>
      <c r="NA752" s="83"/>
    </row>
    <row r="753">
      <c r="A753" s="483"/>
      <c r="B753" s="380"/>
      <c r="C753" s="380"/>
      <c r="D753" s="380"/>
      <c r="E753" s="380"/>
      <c r="F753" s="380"/>
      <c r="G753" s="380"/>
      <c r="H753" s="380"/>
      <c r="I753" s="403"/>
      <c r="J753" s="380"/>
      <c r="K753" s="380"/>
      <c r="L753" s="380"/>
      <c r="M753" s="380"/>
      <c r="N753" s="380"/>
      <c r="O753" s="404"/>
      <c r="P753" s="380"/>
      <c r="Q753" s="380"/>
      <c r="R753" s="380"/>
      <c r="S753" s="380"/>
      <c r="T753" s="380"/>
      <c r="U753" s="380"/>
      <c r="V753" s="380"/>
      <c r="W753" s="403"/>
      <c r="X753" s="380"/>
      <c r="Y753" s="380"/>
      <c r="Z753" s="380"/>
      <c r="AA753" s="380"/>
      <c r="AB753" s="380"/>
      <c r="AC753" s="404"/>
      <c r="AD753" s="380"/>
      <c r="AE753" s="380"/>
      <c r="AF753" s="380"/>
      <c r="AG753" s="380"/>
      <c r="AH753" s="380"/>
      <c r="AI753" s="380"/>
      <c r="AJ753" s="380"/>
      <c r="AK753" s="403"/>
      <c r="AL753" s="380"/>
      <c r="AM753" s="380"/>
      <c r="AN753" s="380"/>
      <c r="AO753" s="380"/>
      <c r="AP753" s="380"/>
      <c r="AQ753" s="404"/>
      <c r="AR753" s="380"/>
      <c r="AS753" s="380"/>
      <c r="AT753" s="380"/>
      <c r="AU753" s="380"/>
      <c r="AV753" s="380"/>
      <c r="AW753" s="380"/>
      <c r="AX753" s="380"/>
      <c r="AY753" s="403"/>
      <c r="AZ753" s="380"/>
      <c r="BA753" s="380"/>
      <c r="BB753" s="380"/>
      <c r="BC753" s="380"/>
      <c r="BD753" s="380"/>
      <c r="BE753" s="404"/>
      <c r="BF753" s="380"/>
      <c r="BG753" s="380"/>
      <c r="BH753" s="380"/>
      <c r="BI753" s="380"/>
      <c r="BJ753" s="380"/>
      <c r="BK753" s="380"/>
      <c r="BL753" s="380"/>
      <c r="BM753" s="403"/>
      <c r="BS753" s="83"/>
      <c r="CA753" s="405"/>
      <c r="CG753" s="83"/>
      <c r="CO753" s="405"/>
      <c r="CU753" s="83"/>
      <c r="DC753" s="405"/>
      <c r="DI753" s="83"/>
      <c r="DQ753" s="405"/>
      <c r="DW753" s="83"/>
      <c r="EE753" s="405"/>
      <c r="EK753" s="83"/>
      <c r="ES753" s="405"/>
      <c r="EY753" s="83"/>
      <c r="FG753" s="405"/>
      <c r="FM753" s="83"/>
      <c r="FU753" s="405"/>
      <c r="GA753" s="83"/>
      <c r="GI753" s="405"/>
      <c r="GO753" s="83"/>
      <c r="GW753" s="405"/>
      <c r="HC753" s="83"/>
      <c r="HK753" s="405"/>
      <c r="HQ753" s="83"/>
      <c r="HY753" s="405"/>
      <c r="IE753" s="83"/>
      <c r="IM753" s="405"/>
      <c r="IS753" s="83"/>
      <c r="JA753" s="405"/>
      <c r="JG753" s="83"/>
      <c r="JO753" s="405"/>
      <c r="JU753" s="83"/>
      <c r="KC753" s="405"/>
      <c r="KI753" s="83"/>
      <c r="KQ753" s="405"/>
      <c r="KW753" s="83"/>
      <c r="LE753" s="405"/>
      <c r="LK753" s="83"/>
      <c r="LS753" s="405"/>
      <c r="LY753" s="83"/>
      <c r="MG753" s="405"/>
      <c r="MM753" s="83"/>
      <c r="MU753" s="405"/>
      <c r="NA753" s="83"/>
    </row>
    <row r="754">
      <c r="A754" s="483"/>
      <c r="B754" s="380"/>
      <c r="C754" s="380"/>
      <c r="D754" s="380"/>
      <c r="E754" s="380"/>
      <c r="F754" s="380"/>
      <c r="G754" s="380"/>
      <c r="H754" s="380"/>
      <c r="I754" s="403"/>
      <c r="J754" s="380"/>
      <c r="K754" s="380"/>
      <c r="L754" s="380"/>
      <c r="M754" s="380"/>
      <c r="N754" s="380"/>
      <c r="O754" s="404"/>
      <c r="P754" s="380"/>
      <c r="Q754" s="380"/>
      <c r="R754" s="380"/>
      <c r="S754" s="380"/>
      <c r="T754" s="380"/>
      <c r="U754" s="380"/>
      <c r="V754" s="380"/>
      <c r="W754" s="403"/>
      <c r="X754" s="380"/>
      <c r="Y754" s="380"/>
      <c r="Z754" s="380"/>
      <c r="AA754" s="380"/>
      <c r="AB754" s="380"/>
      <c r="AC754" s="404"/>
      <c r="AD754" s="380"/>
      <c r="AE754" s="380"/>
      <c r="AF754" s="380"/>
      <c r="AG754" s="380"/>
      <c r="AH754" s="380"/>
      <c r="AI754" s="380"/>
      <c r="AJ754" s="380"/>
      <c r="AK754" s="403"/>
      <c r="AL754" s="380"/>
      <c r="AM754" s="380"/>
      <c r="AN754" s="380"/>
      <c r="AO754" s="380"/>
      <c r="AP754" s="380"/>
      <c r="AQ754" s="404"/>
      <c r="AR754" s="380"/>
      <c r="AS754" s="380"/>
      <c r="AT754" s="380"/>
      <c r="AU754" s="380"/>
      <c r="AV754" s="380"/>
      <c r="AW754" s="380"/>
      <c r="AX754" s="380"/>
      <c r="AY754" s="403"/>
      <c r="AZ754" s="380"/>
      <c r="BA754" s="380"/>
      <c r="BB754" s="380"/>
      <c r="BC754" s="380"/>
      <c r="BD754" s="380"/>
      <c r="BE754" s="404"/>
      <c r="BF754" s="380"/>
      <c r="BG754" s="380"/>
      <c r="BH754" s="380"/>
      <c r="BI754" s="380"/>
      <c r="BJ754" s="380"/>
      <c r="BK754" s="380"/>
      <c r="BL754" s="380"/>
      <c r="BM754" s="403"/>
      <c r="BS754" s="83"/>
      <c r="CA754" s="405"/>
      <c r="CG754" s="83"/>
      <c r="CO754" s="405"/>
      <c r="CU754" s="83"/>
      <c r="DC754" s="405"/>
      <c r="DI754" s="83"/>
      <c r="DQ754" s="405"/>
      <c r="DW754" s="83"/>
      <c r="EE754" s="405"/>
      <c r="EK754" s="83"/>
      <c r="ES754" s="405"/>
      <c r="EY754" s="83"/>
      <c r="FG754" s="405"/>
      <c r="FM754" s="83"/>
      <c r="FU754" s="405"/>
      <c r="GA754" s="83"/>
      <c r="GI754" s="405"/>
      <c r="GO754" s="83"/>
      <c r="GW754" s="405"/>
      <c r="HC754" s="83"/>
      <c r="HK754" s="405"/>
      <c r="HQ754" s="83"/>
      <c r="HY754" s="405"/>
      <c r="IE754" s="83"/>
      <c r="IM754" s="405"/>
      <c r="IS754" s="83"/>
      <c r="JA754" s="405"/>
      <c r="JG754" s="83"/>
      <c r="JO754" s="405"/>
      <c r="JU754" s="83"/>
      <c r="KC754" s="405"/>
      <c r="KI754" s="83"/>
      <c r="KQ754" s="405"/>
      <c r="KW754" s="83"/>
      <c r="LE754" s="405"/>
      <c r="LK754" s="83"/>
      <c r="LS754" s="405"/>
      <c r="LY754" s="83"/>
      <c r="MG754" s="405"/>
      <c r="MM754" s="83"/>
      <c r="MU754" s="405"/>
      <c r="NA754" s="83"/>
    </row>
    <row r="755">
      <c r="A755" s="483"/>
      <c r="B755" s="380"/>
      <c r="C755" s="380"/>
      <c r="D755" s="380"/>
      <c r="E755" s="380"/>
      <c r="F755" s="380"/>
      <c r="G755" s="380"/>
      <c r="H755" s="380"/>
      <c r="I755" s="403"/>
      <c r="J755" s="380"/>
      <c r="K755" s="380"/>
      <c r="L755" s="380"/>
      <c r="M755" s="380"/>
      <c r="N755" s="380"/>
      <c r="O755" s="404"/>
      <c r="P755" s="380"/>
      <c r="Q755" s="380"/>
      <c r="R755" s="380"/>
      <c r="S755" s="380"/>
      <c r="T755" s="380"/>
      <c r="U755" s="380"/>
      <c r="V755" s="380"/>
      <c r="W755" s="403"/>
      <c r="X755" s="380"/>
      <c r="Y755" s="380"/>
      <c r="Z755" s="380"/>
      <c r="AA755" s="380"/>
      <c r="AB755" s="380"/>
      <c r="AC755" s="404"/>
      <c r="AD755" s="380"/>
      <c r="AE755" s="380"/>
      <c r="AF755" s="380"/>
      <c r="AG755" s="380"/>
      <c r="AH755" s="380"/>
      <c r="AI755" s="380"/>
      <c r="AJ755" s="380"/>
      <c r="AK755" s="403"/>
      <c r="AL755" s="380"/>
      <c r="AM755" s="380"/>
      <c r="AN755" s="380"/>
      <c r="AO755" s="380"/>
      <c r="AP755" s="380"/>
      <c r="AQ755" s="404"/>
      <c r="AR755" s="380"/>
      <c r="AS755" s="380"/>
      <c r="AT755" s="380"/>
      <c r="AU755" s="380"/>
      <c r="AV755" s="380"/>
      <c r="AW755" s="380"/>
      <c r="AX755" s="380"/>
      <c r="AY755" s="403"/>
      <c r="AZ755" s="380"/>
      <c r="BA755" s="380"/>
      <c r="BB755" s="380"/>
      <c r="BC755" s="380"/>
      <c r="BD755" s="380"/>
      <c r="BE755" s="404"/>
      <c r="BF755" s="380"/>
      <c r="BG755" s="380"/>
      <c r="BH755" s="380"/>
      <c r="BI755" s="380"/>
      <c r="BJ755" s="380"/>
      <c r="BK755" s="380"/>
      <c r="BL755" s="380"/>
      <c r="BM755" s="403"/>
      <c r="BS755" s="83"/>
      <c r="CA755" s="405"/>
      <c r="CG755" s="83"/>
      <c r="CO755" s="405"/>
      <c r="CU755" s="83"/>
      <c r="DC755" s="405"/>
      <c r="DI755" s="83"/>
      <c r="DQ755" s="405"/>
      <c r="DW755" s="83"/>
      <c r="EE755" s="405"/>
      <c r="EK755" s="83"/>
      <c r="ES755" s="405"/>
      <c r="EY755" s="83"/>
      <c r="FG755" s="405"/>
      <c r="FM755" s="83"/>
      <c r="FU755" s="405"/>
      <c r="GA755" s="83"/>
      <c r="GI755" s="405"/>
      <c r="GO755" s="83"/>
      <c r="GW755" s="405"/>
      <c r="HC755" s="83"/>
      <c r="HK755" s="405"/>
      <c r="HQ755" s="83"/>
      <c r="HY755" s="405"/>
      <c r="IE755" s="83"/>
      <c r="IM755" s="405"/>
      <c r="IS755" s="83"/>
      <c r="JA755" s="405"/>
      <c r="JG755" s="83"/>
      <c r="JO755" s="405"/>
      <c r="JU755" s="83"/>
      <c r="KC755" s="405"/>
      <c r="KI755" s="83"/>
      <c r="KQ755" s="405"/>
      <c r="KW755" s="83"/>
      <c r="LE755" s="405"/>
      <c r="LK755" s="83"/>
      <c r="LS755" s="405"/>
      <c r="LY755" s="83"/>
      <c r="MG755" s="405"/>
      <c r="MM755" s="83"/>
      <c r="MU755" s="405"/>
      <c r="NA755" s="83"/>
    </row>
    <row r="756">
      <c r="A756" s="483"/>
      <c r="B756" s="380"/>
      <c r="C756" s="380"/>
      <c r="D756" s="380"/>
      <c r="E756" s="380"/>
      <c r="F756" s="380"/>
      <c r="G756" s="380"/>
      <c r="H756" s="380"/>
      <c r="I756" s="403"/>
      <c r="J756" s="380"/>
      <c r="K756" s="380"/>
      <c r="L756" s="380"/>
      <c r="M756" s="380"/>
      <c r="N756" s="380"/>
      <c r="O756" s="404"/>
      <c r="P756" s="380"/>
      <c r="Q756" s="380"/>
      <c r="R756" s="380"/>
      <c r="S756" s="380"/>
      <c r="T756" s="380"/>
      <c r="U756" s="380"/>
      <c r="V756" s="380"/>
      <c r="W756" s="403"/>
      <c r="X756" s="380"/>
      <c r="Y756" s="380"/>
      <c r="Z756" s="380"/>
      <c r="AA756" s="380"/>
      <c r="AB756" s="380"/>
      <c r="AC756" s="404"/>
      <c r="AD756" s="380"/>
      <c r="AE756" s="380"/>
      <c r="AF756" s="380"/>
      <c r="AG756" s="380"/>
      <c r="AH756" s="380"/>
      <c r="AI756" s="380"/>
      <c r="AJ756" s="380"/>
      <c r="AK756" s="403"/>
      <c r="AL756" s="380"/>
      <c r="AM756" s="380"/>
      <c r="AN756" s="380"/>
      <c r="AO756" s="380"/>
      <c r="AP756" s="380"/>
      <c r="AQ756" s="404"/>
      <c r="AR756" s="380"/>
      <c r="AS756" s="380"/>
      <c r="AT756" s="380"/>
      <c r="AU756" s="380"/>
      <c r="AV756" s="380"/>
      <c r="AW756" s="380"/>
      <c r="AX756" s="380"/>
      <c r="AY756" s="403"/>
      <c r="AZ756" s="380"/>
      <c r="BA756" s="380"/>
      <c r="BB756" s="380"/>
      <c r="BC756" s="380"/>
      <c r="BD756" s="380"/>
      <c r="BE756" s="404"/>
      <c r="BF756" s="380"/>
      <c r="BG756" s="380"/>
      <c r="BH756" s="380"/>
      <c r="BI756" s="380"/>
      <c r="BJ756" s="380"/>
      <c r="BK756" s="380"/>
      <c r="BL756" s="380"/>
      <c r="BM756" s="403"/>
      <c r="BS756" s="83"/>
      <c r="CA756" s="405"/>
      <c r="CG756" s="83"/>
      <c r="CO756" s="405"/>
      <c r="CU756" s="83"/>
      <c r="DC756" s="405"/>
      <c r="DI756" s="83"/>
      <c r="DQ756" s="405"/>
      <c r="DW756" s="83"/>
      <c r="EE756" s="405"/>
      <c r="EK756" s="83"/>
      <c r="ES756" s="405"/>
      <c r="EY756" s="83"/>
      <c r="FG756" s="405"/>
      <c r="FM756" s="83"/>
      <c r="FU756" s="405"/>
      <c r="GA756" s="83"/>
      <c r="GI756" s="405"/>
      <c r="GO756" s="83"/>
      <c r="GW756" s="405"/>
      <c r="HC756" s="83"/>
      <c r="HK756" s="405"/>
      <c r="HQ756" s="83"/>
      <c r="HY756" s="405"/>
      <c r="IE756" s="83"/>
      <c r="IM756" s="405"/>
      <c r="IS756" s="83"/>
      <c r="JA756" s="405"/>
      <c r="JG756" s="83"/>
      <c r="JO756" s="405"/>
      <c r="JU756" s="83"/>
      <c r="KC756" s="405"/>
      <c r="KI756" s="83"/>
      <c r="KQ756" s="405"/>
      <c r="KW756" s="83"/>
      <c r="LE756" s="405"/>
      <c r="LK756" s="83"/>
      <c r="LS756" s="405"/>
      <c r="LY756" s="83"/>
      <c r="MG756" s="405"/>
      <c r="MM756" s="83"/>
      <c r="MU756" s="405"/>
      <c r="NA756" s="83"/>
    </row>
    <row r="757">
      <c r="A757" s="483"/>
      <c r="B757" s="380"/>
      <c r="C757" s="380"/>
      <c r="D757" s="380"/>
      <c r="E757" s="380"/>
      <c r="F757" s="380"/>
      <c r="G757" s="380"/>
      <c r="H757" s="380"/>
      <c r="I757" s="403"/>
      <c r="J757" s="380"/>
      <c r="K757" s="380"/>
      <c r="L757" s="380"/>
      <c r="M757" s="380"/>
      <c r="N757" s="380"/>
      <c r="O757" s="404"/>
      <c r="P757" s="380"/>
      <c r="Q757" s="380"/>
      <c r="R757" s="380"/>
      <c r="S757" s="380"/>
      <c r="T757" s="380"/>
      <c r="U757" s="380"/>
      <c r="V757" s="380"/>
      <c r="W757" s="403"/>
      <c r="X757" s="380"/>
      <c r="Y757" s="380"/>
      <c r="Z757" s="380"/>
      <c r="AA757" s="380"/>
      <c r="AB757" s="380"/>
      <c r="AC757" s="404"/>
      <c r="AD757" s="380"/>
      <c r="AE757" s="380"/>
      <c r="AF757" s="380"/>
      <c r="AG757" s="380"/>
      <c r="AH757" s="380"/>
      <c r="AI757" s="380"/>
      <c r="AJ757" s="380"/>
      <c r="AK757" s="403"/>
      <c r="AL757" s="380"/>
      <c r="AM757" s="380"/>
      <c r="AN757" s="380"/>
      <c r="AO757" s="380"/>
      <c r="AP757" s="380"/>
      <c r="AQ757" s="404"/>
      <c r="AR757" s="380"/>
      <c r="AS757" s="380"/>
      <c r="AT757" s="380"/>
      <c r="AU757" s="380"/>
      <c r="AV757" s="380"/>
      <c r="AW757" s="380"/>
      <c r="AX757" s="380"/>
      <c r="AY757" s="403"/>
      <c r="AZ757" s="380"/>
      <c r="BA757" s="380"/>
      <c r="BB757" s="380"/>
      <c r="BC757" s="380"/>
      <c r="BD757" s="380"/>
      <c r="BE757" s="404"/>
      <c r="BF757" s="380"/>
      <c r="BG757" s="380"/>
      <c r="BH757" s="380"/>
      <c r="BI757" s="380"/>
      <c r="BJ757" s="380"/>
      <c r="BK757" s="380"/>
      <c r="BL757" s="380"/>
      <c r="BM757" s="403"/>
      <c r="BS757" s="83"/>
      <c r="CA757" s="405"/>
      <c r="CG757" s="83"/>
      <c r="CO757" s="405"/>
      <c r="CU757" s="83"/>
      <c r="DC757" s="405"/>
      <c r="DI757" s="83"/>
      <c r="DQ757" s="405"/>
      <c r="DW757" s="83"/>
      <c r="EE757" s="405"/>
      <c r="EK757" s="83"/>
      <c r="ES757" s="405"/>
      <c r="EY757" s="83"/>
      <c r="FG757" s="405"/>
      <c r="FM757" s="83"/>
      <c r="FU757" s="405"/>
      <c r="GA757" s="83"/>
      <c r="GI757" s="405"/>
      <c r="GO757" s="83"/>
      <c r="GW757" s="405"/>
      <c r="HC757" s="83"/>
      <c r="HK757" s="405"/>
      <c r="HQ757" s="83"/>
      <c r="HY757" s="405"/>
      <c r="IE757" s="83"/>
      <c r="IM757" s="405"/>
      <c r="IS757" s="83"/>
      <c r="JA757" s="405"/>
      <c r="JG757" s="83"/>
      <c r="JO757" s="405"/>
      <c r="JU757" s="83"/>
      <c r="KC757" s="405"/>
      <c r="KI757" s="83"/>
      <c r="KQ757" s="405"/>
      <c r="KW757" s="83"/>
      <c r="LE757" s="405"/>
      <c r="LK757" s="83"/>
      <c r="LS757" s="405"/>
      <c r="LY757" s="83"/>
      <c r="MG757" s="405"/>
      <c r="MM757" s="83"/>
      <c r="MU757" s="405"/>
      <c r="NA757" s="83"/>
    </row>
    <row r="758">
      <c r="A758" s="483"/>
      <c r="B758" s="380"/>
      <c r="C758" s="380"/>
      <c r="D758" s="380"/>
      <c r="E758" s="380"/>
      <c r="F758" s="380"/>
      <c r="G758" s="380"/>
      <c r="H758" s="380"/>
      <c r="I758" s="403"/>
      <c r="J758" s="380"/>
      <c r="K758" s="380"/>
      <c r="L758" s="380"/>
      <c r="M758" s="380"/>
      <c r="N758" s="380"/>
      <c r="O758" s="404"/>
      <c r="P758" s="380"/>
      <c r="Q758" s="380"/>
      <c r="R758" s="380"/>
      <c r="S758" s="380"/>
      <c r="T758" s="380"/>
      <c r="U758" s="380"/>
      <c r="V758" s="380"/>
      <c r="W758" s="403"/>
      <c r="X758" s="380"/>
      <c r="Y758" s="380"/>
      <c r="Z758" s="380"/>
      <c r="AA758" s="380"/>
      <c r="AB758" s="380"/>
      <c r="AC758" s="404"/>
      <c r="AD758" s="380"/>
      <c r="AE758" s="380"/>
      <c r="AF758" s="380"/>
      <c r="AG758" s="380"/>
      <c r="AH758" s="380"/>
      <c r="AI758" s="380"/>
      <c r="AJ758" s="380"/>
      <c r="AK758" s="403"/>
      <c r="AL758" s="380"/>
      <c r="AM758" s="380"/>
      <c r="AN758" s="380"/>
      <c r="AO758" s="380"/>
      <c r="AP758" s="380"/>
      <c r="AQ758" s="404"/>
      <c r="AR758" s="380"/>
      <c r="AS758" s="380"/>
      <c r="AT758" s="380"/>
      <c r="AU758" s="380"/>
      <c r="AV758" s="380"/>
      <c r="AW758" s="380"/>
      <c r="AX758" s="380"/>
      <c r="AY758" s="403"/>
      <c r="AZ758" s="380"/>
      <c r="BA758" s="380"/>
      <c r="BB758" s="380"/>
      <c r="BC758" s="380"/>
      <c r="BD758" s="380"/>
      <c r="BE758" s="404"/>
      <c r="BF758" s="380"/>
      <c r="BG758" s="380"/>
      <c r="BH758" s="380"/>
      <c r="BI758" s="380"/>
      <c r="BJ758" s="380"/>
      <c r="BK758" s="380"/>
      <c r="BL758" s="380"/>
      <c r="BM758" s="403"/>
      <c r="BS758" s="83"/>
      <c r="CA758" s="405"/>
      <c r="CG758" s="83"/>
      <c r="CO758" s="405"/>
      <c r="CU758" s="83"/>
      <c r="DC758" s="405"/>
      <c r="DI758" s="83"/>
      <c r="DQ758" s="405"/>
      <c r="DW758" s="83"/>
      <c r="EE758" s="405"/>
      <c r="EK758" s="83"/>
      <c r="ES758" s="405"/>
      <c r="EY758" s="83"/>
      <c r="FG758" s="405"/>
      <c r="FM758" s="83"/>
      <c r="FU758" s="405"/>
      <c r="GA758" s="83"/>
      <c r="GI758" s="405"/>
      <c r="GO758" s="83"/>
      <c r="GW758" s="405"/>
      <c r="HC758" s="83"/>
      <c r="HK758" s="405"/>
      <c r="HQ758" s="83"/>
      <c r="HY758" s="405"/>
      <c r="IE758" s="83"/>
      <c r="IM758" s="405"/>
      <c r="IS758" s="83"/>
      <c r="JA758" s="405"/>
      <c r="JG758" s="83"/>
      <c r="JO758" s="405"/>
      <c r="JU758" s="83"/>
      <c r="KC758" s="405"/>
      <c r="KI758" s="83"/>
      <c r="KQ758" s="405"/>
      <c r="KW758" s="83"/>
      <c r="LE758" s="405"/>
      <c r="LK758" s="83"/>
      <c r="LS758" s="405"/>
      <c r="LY758" s="83"/>
      <c r="MG758" s="405"/>
      <c r="MM758" s="83"/>
      <c r="MU758" s="405"/>
      <c r="NA758" s="83"/>
    </row>
    <row r="759">
      <c r="A759" s="483"/>
      <c r="B759" s="380"/>
      <c r="C759" s="380"/>
      <c r="D759" s="380"/>
      <c r="E759" s="380"/>
      <c r="F759" s="380"/>
      <c r="G759" s="380"/>
      <c r="H759" s="380"/>
      <c r="I759" s="403"/>
      <c r="J759" s="380"/>
      <c r="K759" s="380"/>
      <c r="L759" s="380"/>
      <c r="M759" s="380"/>
      <c r="N759" s="380"/>
      <c r="O759" s="404"/>
      <c r="P759" s="380"/>
      <c r="Q759" s="380"/>
      <c r="R759" s="380"/>
      <c r="S759" s="380"/>
      <c r="T759" s="380"/>
      <c r="U759" s="380"/>
      <c r="V759" s="380"/>
      <c r="W759" s="403"/>
      <c r="X759" s="380"/>
      <c r="Y759" s="380"/>
      <c r="Z759" s="380"/>
      <c r="AA759" s="380"/>
      <c r="AB759" s="380"/>
      <c r="AC759" s="404"/>
      <c r="AD759" s="380"/>
      <c r="AE759" s="380"/>
      <c r="AF759" s="380"/>
      <c r="AG759" s="380"/>
      <c r="AH759" s="380"/>
      <c r="AI759" s="380"/>
      <c r="AJ759" s="380"/>
      <c r="AK759" s="403"/>
      <c r="AL759" s="380"/>
      <c r="AM759" s="380"/>
      <c r="AN759" s="380"/>
      <c r="AO759" s="380"/>
      <c r="AP759" s="380"/>
      <c r="AQ759" s="404"/>
      <c r="AR759" s="380"/>
      <c r="AS759" s="380"/>
      <c r="AT759" s="380"/>
      <c r="AU759" s="380"/>
      <c r="AV759" s="380"/>
      <c r="AW759" s="380"/>
      <c r="AX759" s="380"/>
      <c r="AY759" s="403"/>
      <c r="AZ759" s="380"/>
      <c r="BA759" s="380"/>
      <c r="BB759" s="380"/>
      <c r="BC759" s="380"/>
      <c r="BD759" s="380"/>
      <c r="BE759" s="404"/>
      <c r="BF759" s="380"/>
      <c r="BG759" s="380"/>
      <c r="BH759" s="380"/>
      <c r="BI759" s="380"/>
      <c r="BJ759" s="380"/>
      <c r="BK759" s="380"/>
      <c r="BL759" s="380"/>
      <c r="BM759" s="403"/>
      <c r="BS759" s="83"/>
      <c r="CA759" s="405"/>
      <c r="CG759" s="83"/>
      <c r="CO759" s="405"/>
      <c r="CU759" s="83"/>
      <c r="DC759" s="405"/>
      <c r="DI759" s="83"/>
      <c r="DQ759" s="405"/>
      <c r="DW759" s="83"/>
      <c r="EE759" s="405"/>
      <c r="EK759" s="83"/>
      <c r="ES759" s="405"/>
      <c r="EY759" s="83"/>
      <c r="FG759" s="405"/>
      <c r="FM759" s="83"/>
      <c r="FU759" s="405"/>
      <c r="GA759" s="83"/>
      <c r="GI759" s="405"/>
      <c r="GO759" s="83"/>
      <c r="GW759" s="405"/>
      <c r="HC759" s="83"/>
      <c r="HK759" s="405"/>
      <c r="HQ759" s="83"/>
      <c r="HY759" s="405"/>
      <c r="IE759" s="83"/>
      <c r="IM759" s="405"/>
      <c r="IS759" s="83"/>
      <c r="JA759" s="405"/>
      <c r="JG759" s="83"/>
      <c r="JO759" s="405"/>
      <c r="JU759" s="83"/>
      <c r="KC759" s="405"/>
      <c r="KI759" s="83"/>
      <c r="KQ759" s="405"/>
      <c r="KW759" s="83"/>
      <c r="LE759" s="405"/>
      <c r="LK759" s="83"/>
      <c r="LS759" s="405"/>
      <c r="LY759" s="83"/>
      <c r="MG759" s="405"/>
      <c r="MM759" s="83"/>
      <c r="MU759" s="405"/>
      <c r="NA759" s="83"/>
    </row>
    <row r="760">
      <c r="A760" s="483"/>
      <c r="B760" s="380"/>
      <c r="C760" s="380"/>
      <c r="D760" s="380"/>
      <c r="E760" s="380"/>
      <c r="F760" s="380"/>
      <c r="G760" s="380"/>
      <c r="H760" s="380"/>
      <c r="I760" s="403"/>
      <c r="J760" s="380"/>
      <c r="K760" s="380"/>
      <c r="L760" s="380"/>
      <c r="M760" s="380"/>
      <c r="N760" s="380"/>
      <c r="O760" s="404"/>
      <c r="P760" s="380"/>
      <c r="Q760" s="380"/>
      <c r="R760" s="380"/>
      <c r="S760" s="380"/>
      <c r="T760" s="380"/>
      <c r="U760" s="380"/>
      <c r="V760" s="380"/>
      <c r="W760" s="403"/>
      <c r="X760" s="380"/>
      <c r="Y760" s="380"/>
      <c r="Z760" s="380"/>
      <c r="AA760" s="380"/>
      <c r="AB760" s="380"/>
      <c r="AC760" s="404"/>
      <c r="AD760" s="380"/>
      <c r="AE760" s="380"/>
      <c r="AF760" s="380"/>
      <c r="AG760" s="380"/>
      <c r="AH760" s="380"/>
      <c r="AI760" s="380"/>
      <c r="AJ760" s="380"/>
      <c r="AK760" s="403"/>
      <c r="AL760" s="380"/>
      <c r="AM760" s="380"/>
      <c r="AN760" s="380"/>
      <c r="AO760" s="380"/>
      <c r="AP760" s="380"/>
      <c r="AQ760" s="404"/>
      <c r="AR760" s="380"/>
      <c r="AS760" s="380"/>
      <c r="AT760" s="380"/>
      <c r="AU760" s="380"/>
      <c r="AV760" s="380"/>
      <c r="AW760" s="380"/>
      <c r="AX760" s="380"/>
      <c r="AY760" s="403"/>
      <c r="AZ760" s="380"/>
      <c r="BA760" s="380"/>
      <c r="BB760" s="380"/>
      <c r="BC760" s="380"/>
      <c r="BD760" s="380"/>
      <c r="BE760" s="404"/>
      <c r="BF760" s="380"/>
      <c r="BG760" s="380"/>
      <c r="BH760" s="380"/>
      <c r="BI760" s="380"/>
      <c r="BJ760" s="380"/>
      <c r="BK760" s="380"/>
      <c r="BL760" s="380"/>
      <c r="BM760" s="403"/>
      <c r="BS760" s="83"/>
      <c r="CA760" s="405"/>
      <c r="CG760" s="83"/>
      <c r="CO760" s="405"/>
      <c r="CU760" s="83"/>
      <c r="DC760" s="405"/>
      <c r="DI760" s="83"/>
      <c r="DQ760" s="405"/>
      <c r="DW760" s="83"/>
      <c r="EE760" s="405"/>
      <c r="EK760" s="83"/>
      <c r="ES760" s="405"/>
      <c r="EY760" s="83"/>
      <c r="FG760" s="405"/>
      <c r="FM760" s="83"/>
      <c r="FU760" s="405"/>
      <c r="GA760" s="83"/>
      <c r="GI760" s="405"/>
      <c r="GO760" s="83"/>
      <c r="GW760" s="405"/>
      <c r="HC760" s="83"/>
      <c r="HK760" s="405"/>
      <c r="HQ760" s="83"/>
      <c r="HY760" s="405"/>
      <c r="IE760" s="83"/>
      <c r="IM760" s="405"/>
      <c r="IS760" s="83"/>
      <c r="JA760" s="405"/>
      <c r="JG760" s="83"/>
      <c r="JO760" s="405"/>
      <c r="JU760" s="83"/>
      <c r="KC760" s="405"/>
      <c r="KI760" s="83"/>
      <c r="KQ760" s="405"/>
      <c r="KW760" s="83"/>
      <c r="LE760" s="405"/>
      <c r="LK760" s="83"/>
      <c r="LS760" s="405"/>
      <c r="LY760" s="83"/>
      <c r="MG760" s="405"/>
      <c r="MM760" s="83"/>
      <c r="MU760" s="405"/>
      <c r="NA760" s="83"/>
    </row>
    <row r="761">
      <c r="A761" s="483"/>
      <c r="B761" s="380"/>
      <c r="C761" s="380"/>
      <c r="D761" s="380"/>
      <c r="E761" s="380"/>
      <c r="F761" s="380"/>
      <c r="G761" s="380"/>
      <c r="H761" s="380"/>
      <c r="I761" s="403"/>
      <c r="J761" s="380"/>
      <c r="K761" s="380"/>
      <c r="L761" s="380"/>
      <c r="M761" s="380"/>
      <c r="N761" s="380"/>
      <c r="O761" s="404"/>
      <c r="P761" s="380"/>
      <c r="Q761" s="380"/>
      <c r="R761" s="380"/>
      <c r="S761" s="380"/>
      <c r="T761" s="380"/>
      <c r="U761" s="380"/>
      <c r="V761" s="380"/>
      <c r="W761" s="403"/>
      <c r="X761" s="380"/>
      <c r="Y761" s="380"/>
      <c r="Z761" s="380"/>
      <c r="AA761" s="380"/>
      <c r="AB761" s="380"/>
      <c r="AC761" s="404"/>
      <c r="AD761" s="380"/>
      <c r="AE761" s="380"/>
      <c r="AF761" s="380"/>
      <c r="AG761" s="380"/>
      <c r="AH761" s="380"/>
      <c r="AI761" s="380"/>
      <c r="AJ761" s="380"/>
      <c r="AK761" s="403"/>
      <c r="AL761" s="380"/>
      <c r="AM761" s="380"/>
      <c r="AN761" s="380"/>
      <c r="AO761" s="380"/>
      <c r="AP761" s="380"/>
      <c r="AQ761" s="404"/>
      <c r="AR761" s="380"/>
      <c r="AS761" s="380"/>
      <c r="AT761" s="380"/>
      <c r="AU761" s="380"/>
      <c r="AV761" s="380"/>
      <c r="AW761" s="380"/>
      <c r="AX761" s="380"/>
      <c r="AY761" s="403"/>
      <c r="AZ761" s="380"/>
      <c r="BA761" s="380"/>
      <c r="BB761" s="380"/>
      <c r="BC761" s="380"/>
      <c r="BD761" s="380"/>
      <c r="BE761" s="404"/>
      <c r="BF761" s="380"/>
      <c r="BG761" s="380"/>
      <c r="BH761" s="380"/>
      <c r="BI761" s="380"/>
      <c r="BJ761" s="380"/>
      <c r="BK761" s="380"/>
      <c r="BL761" s="380"/>
      <c r="BM761" s="403"/>
      <c r="BS761" s="83"/>
      <c r="CA761" s="405"/>
      <c r="CG761" s="83"/>
      <c r="CO761" s="405"/>
      <c r="CU761" s="83"/>
      <c r="DC761" s="405"/>
      <c r="DI761" s="83"/>
      <c r="DQ761" s="405"/>
      <c r="DW761" s="83"/>
      <c r="EE761" s="405"/>
      <c r="EK761" s="83"/>
      <c r="ES761" s="405"/>
      <c r="EY761" s="83"/>
      <c r="FG761" s="405"/>
      <c r="FM761" s="83"/>
      <c r="FU761" s="405"/>
      <c r="GA761" s="83"/>
      <c r="GI761" s="405"/>
      <c r="GO761" s="83"/>
      <c r="GW761" s="405"/>
      <c r="HC761" s="83"/>
      <c r="HK761" s="405"/>
      <c r="HQ761" s="83"/>
      <c r="HY761" s="405"/>
      <c r="IE761" s="83"/>
      <c r="IM761" s="405"/>
      <c r="IS761" s="83"/>
      <c r="JA761" s="405"/>
      <c r="JG761" s="83"/>
      <c r="JO761" s="405"/>
      <c r="JU761" s="83"/>
      <c r="KC761" s="405"/>
      <c r="KI761" s="83"/>
      <c r="KQ761" s="405"/>
      <c r="KW761" s="83"/>
      <c r="LE761" s="405"/>
      <c r="LK761" s="83"/>
      <c r="LS761" s="405"/>
      <c r="LY761" s="83"/>
      <c r="MG761" s="405"/>
      <c r="MM761" s="83"/>
      <c r="MU761" s="405"/>
      <c r="NA761" s="83"/>
    </row>
    <row r="762">
      <c r="A762" s="483"/>
      <c r="B762" s="380"/>
      <c r="C762" s="380"/>
      <c r="D762" s="380"/>
      <c r="E762" s="380"/>
      <c r="F762" s="380"/>
      <c r="G762" s="380"/>
      <c r="H762" s="380"/>
      <c r="I762" s="403"/>
      <c r="J762" s="380"/>
      <c r="K762" s="380"/>
      <c r="L762" s="380"/>
      <c r="M762" s="380"/>
      <c r="N762" s="380"/>
      <c r="O762" s="404"/>
      <c r="P762" s="380"/>
      <c r="Q762" s="380"/>
      <c r="R762" s="380"/>
      <c r="S762" s="380"/>
      <c r="T762" s="380"/>
      <c r="U762" s="380"/>
      <c r="V762" s="380"/>
      <c r="W762" s="403"/>
      <c r="X762" s="380"/>
      <c r="Y762" s="380"/>
      <c r="Z762" s="380"/>
      <c r="AA762" s="380"/>
      <c r="AB762" s="380"/>
      <c r="AC762" s="404"/>
      <c r="AD762" s="380"/>
      <c r="AE762" s="380"/>
      <c r="AF762" s="380"/>
      <c r="AG762" s="380"/>
      <c r="AH762" s="380"/>
      <c r="AI762" s="380"/>
      <c r="AJ762" s="380"/>
      <c r="AK762" s="403"/>
      <c r="AL762" s="380"/>
      <c r="AM762" s="380"/>
      <c r="AN762" s="380"/>
      <c r="AO762" s="380"/>
      <c r="AP762" s="380"/>
      <c r="AQ762" s="404"/>
      <c r="AR762" s="380"/>
      <c r="AS762" s="380"/>
      <c r="AT762" s="380"/>
      <c r="AU762" s="380"/>
      <c r="AV762" s="380"/>
      <c r="AW762" s="380"/>
      <c r="AX762" s="380"/>
      <c r="AY762" s="403"/>
      <c r="AZ762" s="380"/>
      <c r="BA762" s="380"/>
      <c r="BB762" s="380"/>
      <c r="BC762" s="380"/>
      <c r="BD762" s="380"/>
      <c r="BE762" s="404"/>
      <c r="BF762" s="380"/>
      <c r="BG762" s="380"/>
      <c r="BH762" s="380"/>
      <c r="BI762" s="380"/>
      <c r="BJ762" s="380"/>
      <c r="BK762" s="380"/>
      <c r="BL762" s="380"/>
      <c r="BM762" s="403"/>
      <c r="BS762" s="83"/>
      <c r="CA762" s="405"/>
      <c r="CG762" s="83"/>
      <c r="CO762" s="405"/>
      <c r="CU762" s="83"/>
      <c r="DC762" s="405"/>
      <c r="DI762" s="83"/>
      <c r="DQ762" s="405"/>
      <c r="DW762" s="83"/>
      <c r="EE762" s="405"/>
      <c r="EK762" s="83"/>
      <c r="ES762" s="405"/>
      <c r="EY762" s="83"/>
      <c r="FG762" s="405"/>
      <c r="FM762" s="83"/>
      <c r="FU762" s="405"/>
      <c r="GA762" s="83"/>
      <c r="GI762" s="405"/>
      <c r="GO762" s="83"/>
      <c r="GW762" s="405"/>
      <c r="HC762" s="83"/>
      <c r="HK762" s="405"/>
      <c r="HQ762" s="83"/>
      <c r="HY762" s="405"/>
      <c r="IE762" s="83"/>
      <c r="IM762" s="405"/>
      <c r="IS762" s="83"/>
      <c r="JA762" s="405"/>
      <c r="JG762" s="83"/>
      <c r="JO762" s="405"/>
      <c r="JU762" s="83"/>
      <c r="KC762" s="405"/>
      <c r="KI762" s="83"/>
      <c r="KQ762" s="405"/>
      <c r="KW762" s="83"/>
      <c r="LE762" s="405"/>
      <c r="LK762" s="83"/>
      <c r="LS762" s="405"/>
      <c r="LY762" s="83"/>
      <c r="MG762" s="405"/>
      <c r="MM762" s="83"/>
      <c r="MU762" s="405"/>
      <c r="NA762" s="83"/>
    </row>
    <row r="763">
      <c r="A763" s="483"/>
      <c r="B763" s="380"/>
      <c r="C763" s="380"/>
      <c r="D763" s="380"/>
      <c r="E763" s="380"/>
      <c r="F763" s="380"/>
      <c r="G763" s="380"/>
      <c r="H763" s="380"/>
      <c r="I763" s="403"/>
      <c r="J763" s="380"/>
      <c r="K763" s="380"/>
      <c r="L763" s="380"/>
      <c r="M763" s="380"/>
      <c r="N763" s="380"/>
      <c r="O763" s="404"/>
      <c r="P763" s="380"/>
      <c r="Q763" s="380"/>
      <c r="R763" s="380"/>
      <c r="S763" s="380"/>
      <c r="T763" s="380"/>
      <c r="U763" s="380"/>
      <c r="V763" s="380"/>
      <c r="W763" s="403"/>
      <c r="X763" s="380"/>
      <c r="Y763" s="380"/>
      <c r="Z763" s="380"/>
      <c r="AA763" s="380"/>
      <c r="AB763" s="380"/>
      <c r="AC763" s="404"/>
      <c r="AD763" s="380"/>
      <c r="AE763" s="380"/>
      <c r="AF763" s="380"/>
      <c r="AG763" s="380"/>
      <c r="AH763" s="380"/>
      <c r="AI763" s="380"/>
      <c r="AJ763" s="380"/>
      <c r="AK763" s="403"/>
      <c r="AL763" s="380"/>
      <c r="AM763" s="380"/>
      <c r="AN763" s="380"/>
      <c r="AO763" s="380"/>
      <c r="AP763" s="380"/>
      <c r="AQ763" s="404"/>
      <c r="AR763" s="380"/>
      <c r="AS763" s="380"/>
      <c r="AT763" s="380"/>
      <c r="AU763" s="380"/>
      <c r="AV763" s="380"/>
      <c r="AW763" s="380"/>
      <c r="AX763" s="380"/>
      <c r="AY763" s="403"/>
      <c r="AZ763" s="380"/>
      <c r="BA763" s="380"/>
      <c r="BB763" s="380"/>
      <c r="BC763" s="380"/>
      <c r="BD763" s="380"/>
      <c r="BE763" s="404"/>
      <c r="BF763" s="380"/>
      <c r="BG763" s="380"/>
      <c r="BH763" s="380"/>
      <c r="BI763" s="380"/>
      <c r="BJ763" s="380"/>
      <c r="BK763" s="380"/>
      <c r="BL763" s="380"/>
      <c r="BM763" s="403"/>
      <c r="BS763" s="83"/>
      <c r="CA763" s="405"/>
      <c r="CG763" s="83"/>
      <c r="CO763" s="405"/>
      <c r="CU763" s="83"/>
      <c r="DC763" s="405"/>
      <c r="DI763" s="83"/>
      <c r="DQ763" s="405"/>
      <c r="DW763" s="83"/>
      <c r="EE763" s="405"/>
      <c r="EK763" s="83"/>
      <c r="ES763" s="405"/>
      <c r="EY763" s="83"/>
      <c r="FG763" s="405"/>
      <c r="FM763" s="83"/>
      <c r="FU763" s="405"/>
      <c r="GA763" s="83"/>
      <c r="GI763" s="405"/>
      <c r="GO763" s="83"/>
      <c r="GW763" s="405"/>
      <c r="HC763" s="83"/>
      <c r="HK763" s="405"/>
      <c r="HQ763" s="83"/>
      <c r="HY763" s="405"/>
      <c r="IE763" s="83"/>
      <c r="IM763" s="405"/>
      <c r="IS763" s="83"/>
      <c r="JA763" s="405"/>
      <c r="JG763" s="83"/>
      <c r="JO763" s="405"/>
      <c r="JU763" s="83"/>
      <c r="KC763" s="405"/>
      <c r="KI763" s="83"/>
      <c r="KQ763" s="405"/>
      <c r="KW763" s="83"/>
      <c r="LE763" s="405"/>
      <c r="LK763" s="83"/>
      <c r="LS763" s="405"/>
      <c r="LY763" s="83"/>
      <c r="MG763" s="405"/>
      <c r="MM763" s="83"/>
      <c r="MU763" s="405"/>
      <c r="NA763" s="83"/>
    </row>
    <row r="764">
      <c r="A764" s="483"/>
      <c r="B764" s="380"/>
      <c r="C764" s="380"/>
      <c r="D764" s="380"/>
      <c r="E764" s="380"/>
      <c r="F764" s="380"/>
      <c r="G764" s="380"/>
      <c r="H764" s="380"/>
      <c r="I764" s="403"/>
      <c r="J764" s="380"/>
      <c r="K764" s="380"/>
      <c r="L764" s="380"/>
      <c r="M764" s="380"/>
      <c r="N764" s="380"/>
      <c r="O764" s="404"/>
      <c r="P764" s="380"/>
      <c r="Q764" s="380"/>
      <c r="R764" s="380"/>
      <c r="S764" s="380"/>
      <c r="T764" s="380"/>
      <c r="U764" s="380"/>
      <c r="V764" s="380"/>
      <c r="W764" s="403"/>
      <c r="X764" s="380"/>
      <c r="Y764" s="380"/>
      <c r="Z764" s="380"/>
      <c r="AA764" s="380"/>
      <c r="AB764" s="380"/>
      <c r="AC764" s="404"/>
      <c r="AD764" s="380"/>
      <c r="AE764" s="380"/>
      <c r="AF764" s="380"/>
      <c r="AG764" s="380"/>
      <c r="AH764" s="380"/>
      <c r="AI764" s="380"/>
      <c r="AJ764" s="380"/>
      <c r="AK764" s="403"/>
      <c r="AL764" s="380"/>
      <c r="AM764" s="380"/>
      <c r="AN764" s="380"/>
      <c r="AO764" s="380"/>
      <c r="AP764" s="380"/>
      <c r="AQ764" s="404"/>
      <c r="AR764" s="380"/>
      <c r="AS764" s="380"/>
      <c r="AT764" s="380"/>
      <c r="AU764" s="380"/>
      <c r="AV764" s="380"/>
      <c r="AW764" s="380"/>
      <c r="AX764" s="380"/>
      <c r="AY764" s="403"/>
      <c r="AZ764" s="380"/>
      <c r="BA764" s="380"/>
      <c r="BB764" s="380"/>
      <c r="BC764" s="380"/>
      <c r="BD764" s="380"/>
      <c r="BE764" s="404"/>
      <c r="BF764" s="380"/>
      <c r="BG764" s="380"/>
      <c r="BH764" s="380"/>
      <c r="BI764" s="380"/>
      <c r="BJ764" s="380"/>
      <c r="BK764" s="380"/>
      <c r="BL764" s="380"/>
      <c r="BM764" s="403"/>
      <c r="BS764" s="83"/>
      <c r="CA764" s="405"/>
      <c r="CG764" s="83"/>
      <c r="CO764" s="405"/>
      <c r="CU764" s="83"/>
      <c r="DC764" s="405"/>
      <c r="DI764" s="83"/>
      <c r="DQ764" s="405"/>
      <c r="DW764" s="83"/>
      <c r="EE764" s="405"/>
      <c r="EK764" s="83"/>
      <c r="ES764" s="405"/>
      <c r="EY764" s="83"/>
      <c r="FG764" s="405"/>
      <c r="FM764" s="83"/>
      <c r="FU764" s="405"/>
      <c r="GA764" s="83"/>
      <c r="GI764" s="405"/>
      <c r="GO764" s="83"/>
      <c r="GW764" s="405"/>
      <c r="HC764" s="83"/>
      <c r="HK764" s="405"/>
      <c r="HQ764" s="83"/>
      <c r="HY764" s="405"/>
      <c r="IE764" s="83"/>
      <c r="IM764" s="405"/>
      <c r="IS764" s="83"/>
      <c r="JA764" s="405"/>
      <c r="JG764" s="83"/>
      <c r="JO764" s="405"/>
      <c r="JU764" s="83"/>
      <c r="KC764" s="405"/>
      <c r="KI764" s="83"/>
      <c r="KQ764" s="405"/>
      <c r="KW764" s="83"/>
      <c r="LE764" s="405"/>
      <c r="LK764" s="83"/>
      <c r="LS764" s="405"/>
      <c r="LY764" s="83"/>
      <c r="MG764" s="405"/>
      <c r="MM764" s="83"/>
      <c r="MU764" s="405"/>
      <c r="NA764" s="83"/>
    </row>
    <row r="765">
      <c r="A765" s="483"/>
      <c r="B765" s="380"/>
      <c r="C765" s="380"/>
      <c r="D765" s="380"/>
      <c r="E765" s="380"/>
      <c r="F765" s="380"/>
      <c r="G765" s="380"/>
      <c r="H765" s="380"/>
      <c r="I765" s="403"/>
      <c r="J765" s="380"/>
      <c r="K765" s="380"/>
      <c r="L765" s="380"/>
      <c r="M765" s="380"/>
      <c r="N765" s="380"/>
      <c r="O765" s="404"/>
      <c r="P765" s="380"/>
      <c r="Q765" s="380"/>
      <c r="R765" s="380"/>
      <c r="S765" s="380"/>
      <c r="T765" s="380"/>
      <c r="U765" s="380"/>
      <c r="V765" s="380"/>
      <c r="W765" s="403"/>
      <c r="X765" s="380"/>
      <c r="Y765" s="380"/>
      <c r="Z765" s="380"/>
      <c r="AA765" s="380"/>
      <c r="AB765" s="380"/>
      <c r="AC765" s="404"/>
      <c r="AD765" s="380"/>
      <c r="AE765" s="380"/>
      <c r="AF765" s="380"/>
      <c r="AG765" s="380"/>
      <c r="AH765" s="380"/>
      <c r="AI765" s="380"/>
      <c r="AJ765" s="380"/>
      <c r="AK765" s="403"/>
      <c r="AL765" s="380"/>
      <c r="AM765" s="380"/>
      <c r="AN765" s="380"/>
      <c r="AO765" s="380"/>
      <c r="AP765" s="380"/>
      <c r="AQ765" s="404"/>
      <c r="AR765" s="380"/>
      <c r="AS765" s="380"/>
      <c r="AT765" s="380"/>
      <c r="AU765" s="380"/>
      <c r="AV765" s="380"/>
      <c r="AW765" s="380"/>
      <c r="AX765" s="380"/>
      <c r="AY765" s="403"/>
      <c r="AZ765" s="380"/>
      <c r="BA765" s="380"/>
      <c r="BB765" s="380"/>
      <c r="BC765" s="380"/>
      <c r="BD765" s="380"/>
      <c r="BE765" s="404"/>
      <c r="BF765" s="380"/>
      <c r="BG765" s="380"/>
      <c r="BH765" s="380"/>
      <c r="BI765" s="380"/>
      <c r="BJ765" s="380"/>
      <c r="BK765" s="380"/>
      <c r="BL765" s="380"/>
      <c r="BM765" s="403"/>
      <c r="BS765" s="83"/>
      <c r="CA765" s="405"/>
      <c r="CG765" s="83"/>
      <c r="CO765" s="405"/>
      <c r="CU765" s="83"/>
      <c r="DC765" s="405"/>
      <c r="DI765" s="83"/>
      <c r="DQ765" s="405"/>
      <c r="DW765" s="83"/>
      <c r="EE765" s="405"/>
      <c r="EK765" s="83"/>
      <c r="ES765" s="405"/>
      <c r="EY765" s="83"/>
      <c r="FG765" s="405"/>
      <c r="FM765" s="83"/>
      <c r="FU765" s="405"/>
      <c r="GA765" s="83"/>
      <c r="GI765" s="405"/>
      <c r="GO765" s="83"/>
      <c r="GW765" s="405"/>
      <c r="HC765" s="83"/>
      <c r="HK765" s="405"/>
      <c r="HQ765" s="83"/>
      <c r="HY765" s="405"/>
      <c r="IE765" s="83"/>
      <c r="IM765" s="405"/>
      <c r="IS765" s="83"/>
      <c r="JA765" s="405"/>
      <c r="JG765" s="83"/>
      <c r="JO765" s="405"/>
      <c r="JU765" s="83"/>
      <c r="KC765" s="405"/>
      <c r="KI765" s="83"/>
      <c r="KQ765" s="405"/>
      <c r="KW765" s="83"/>
      <c r="LE765" s="405"/>
      <c r="LK765" s="83"/>
      <c r="LS765" s="405"/>
      <c r="LY765" s="83"/>
      <c r="MG765" s="405"/>
      <c r="MM765" s="83"/>
      <c r="MU765" s="405"/>
      <c r="NA765" s="83"/>
    </row>
    <row r="766">
      <c r="A766" s="483"/>
      <c r="B766" s="380"/>
      <c r="C766" s="380"/>
      <c r="D766" s="380"/>
      <c r="E766" s="380"/>
      <c r="F766" s="380"/>
      <c r="G766" s="380"/>
      <c r="H766" s="380"/>
      <c r="I766" s="403"/>
      <c r="J766" s="380"/>
      <c r="K766" s="380"/>
      <c r="L766" s="380"/>
      <c r="M766" s="380"/>
      <c r="N766" s="380"/>
      <c r="O766" s="404"/>
      <c r="P766" s="380"/>
      <c r="Q766" s="380"/>
      <c r="R766" s="380"/>
      <c r="S766" s="380"/>
      <c r="T766" s="380"/>
      <c r="U766" s="380"/>
      <c r="V766" s="380"/>
      <c r="W766" s="403"/>
      <c r="X766" s="380"/>
      <c r="Y766" s="380"/>
      <c r="Z766" s="380"/>
      <c r="AA766" s="380"/>
      <c r="AB766" s="380"/>
      <c r="AC766" s="404"/>
      <c r="AD766" s="380"/>
      <c r="AE766" s="380"/>
      <c r="AF766" s="380"/>
      <c r="AG766" s="380"/>
      <c r="AH766" s="380"/>
      <c r="AI766" s="380"/>
      <c r="AJ766" s="380"/>
      <c r="AK766" s="403"/>
      <c r="AL766" s="380"/>
      <c r="AM766" s="380"/>
      <c r="AN766" s="380"/>
      <c r="AO766" s="380"/>
      <c r="AP766" s="380"/>
      <c r="AQ766" s="404"/>
      <c r="AR766" s="380"/>
      <c r="AS766" s="380"/>
      <c r="AT766" s="380"/>
      <c r="AU766" s="380"/>
      <c r="AV766" s="380"/>
      <c r="AW766" s="380"/>
      <c r="AX766" s="380"/>
      <c r="AY766" s="403"/>
      <c r="AZ766" s="380"/>
      <c r="BA766" s="380"/>
      <c r="BB766" s="380"/>
      <c r="BC766" s="380"/>
      <c r="BD766" s="380"/>
      <c r="BE766" s="404"/>
      <c r="BF766" s="380"/>
      <c r="BG766" s="380"/>
      <c r="BH766" s="380"/>
      <c r="BI766" s="380"/>
      <c r="BJ766" s="380"/>
      <c r="BK766" s="380"/>
      <c r="BL766" s="380"/>
      <c r="BM766" s="403"/>
      <c r="BS766" s="83"/>
      <c r="CA766" s="405"/>
      <c r="CG766" s="83"/>
      <c r="CO766" s="405"/>
      <c r="CU766" s="83"/>
      <c r="DC766" s="405"/>
      <c r="DI766" s="83"/>
      <c r="DQ766" s="405"/>
      <c r="DW766" s="83"/>
      <c r="EE766" s="405"/>
      <c r="EK766" s="83"/>
      <c r="ES766" s="405"/>
      <c r="EY766" s="83"/>
      <c r="FG766" s="405"/>
      <c r="FM766" s="83"/>
      <c r="FU766" s="405"/>
      <c r="GA766" s="83"/>
      <c r="GI766" s="405"/>
      <c r="GO766" s="83"/>
      <c r="GW766" s="405"/>
      <c r="HC766" s="83"/>
      <c r="HK766" s="405"/>
      <c r="HQ766" s="83"/>
      <c r="HY766" s="405"/>
      <c r="IE766" s="83"/>
      <c r="IM766" s="405"/>
      <c r="IS766" s="83"/>
      <c r="JA766" s="405"/>
      <c r="JG766" s="83"/>
      <c r="JO766" s="405"/>
      <c r="JU766" s="83"/>
      <c r="KC766" s="405"/>
      <c r="KI766" s="83"/>
      <c r="KQ766" s="405"/>
      <c r="KW766" s="83"/>
      <c r="LE766" s="405"/>
      <c r="LK766" s="83"/>
      <c r="LS766" s="405"/>
      <c r="LY766" s="83"/>
      <c r="MG766" s="405"/>
      <c r="MM766" s="83"/>
      <c r="MU766" s="405"/>
      <c r="NA766" s="83"/>
    </row>
    <row r="767">
      <c r="A767" s="483"/>
      <c r="B767" s="380"/>
      <c r="C767" s="380"/>
      <c r="D767" s="380"/>
      <c r="E767" s="380"/>
      <c r="F767" s="380"/>
      <c r="G767" s="380"/>
      <c r="H767" s="380"/>
      <c r="I767" s="403"/>
      <c r="J767" s="380"/>
      <c r="K767" s="380"/>
      <c r="L767" s="380"/>
      <c r="M767" s="380"/>
      <c r="N767" s="380"/>
      <c r="O767" s="404"/>
      <c r="P767" s="380"/>
      <c r="Q767" s="380"/>
      <c r="R767" s="380"/>
      <c r="S767" s="380"/>
      <c r="T767" s="380"/>
      <c r="U767" s="380"/>
      <c r="V767" s="380"/>
      <c r="W767" s="403"/>
      <c r="X767" s="380"/>
      <c r="Y767" s="380"/>
      <c r="Z767" s="380"/>
      <c r="AA767" s="380"/>
      <c r="AB767" s="380"/>
      <c r="AC767" s="404"/>
      <c r="AD767" s="380"/>
      <c r="AE767" s="380"/>
      <c r="AF767" s="380"/>
      <c r="AG767" s="380"/>
      <c r="AH767" s="380"/>
      <c r="AI767" s="380"/>
      <c r="AJ767" s="380"/>
      <c r="AK767" s="403"/>
      <c r="AL767" s="380"/>
      <c r="AM767" s="380"/>
      <c r="AN767" s="380"/>
      <c r="AO767" s="380"/>
      <c r="AP767" s="380"/>
      <c r="AQ767" s="404"/>
      <c r="AR767" s="380"/>
      <c r="AS767" s="380"/>
      <c r="AT767" s="380"/>
      <c r="AU767" s="380"/>
      <c r="AV767" s="380"/>
      <c r="AW767" s="380"/>
      <c r="AX767" s="380"/>
      <c r="AY767" s="403"/>
      <c r="AZ767" s="380"/>
      <c r="BA767" s="380"/>
      <c r="BB767" s="380"/>
      <c r="BC767" s="380"/>
      <c r="BD767" s="380"/>
      <c r="BE767" s="404"/>
      <c r="BF767" s="380"/>
      <c r="BG767" s="380"/>
      <c r="BH767" s="380"/>
      <c r="BI767" s="380"/>
      <c r="BJ767" s="380"/>
      <c r="BK767" s="380"/>
      <c r="BL767" s="380"/>
      <c r="BM767" s="403"/>
      <c r="BS767" s="83"/>
      <c r="CA767" s="405"/>
      <c r="CG767" s="83"/>
      <c r="CO767" s="405"/>
      <c r="CU767" s="83"/>
      <c r="DC767" s="405"/>
      <c r="DI767" s="83"/>
      <c r="DQ767" s="405"/>
      <c r="DW767" s="83"/>
      <c r="EE767" s="405"/>
      <c r="EK767" s="83"/>
      <c r="ES767" s="405"/>
      <c r="EY767" s="83"/>
      <c r="FG767" s="405"/>
      <c r="FM767" s="83"/>
      <c r="FU767" s="405"/>
      <c r="GA767" s="83"/>
      <c r="GI767" s="405"/>
      <c r="GO767" s="83"/>
      <c r="GW767" s="405"/>
      <c r="HC767" s="83"/>
      <c r="HK767" s="405"/>
      <c r="HQ767" s="83"/>
      <c r="HY767" s="405"/>
      <c r="IE767" s="83"/>
      <c r="IM767" s="405"/>
      <c r="IS767" s="83"/>
      <c r="JA767" s="405"/>
      <c r="JG767" s="83"/>
      <c r="JO767" s="405"/>
      <c r="JU767" s="83"/>
      <c r="KC767" s="405"/>
      <c r="KI767" s="83"/>
      <c r="KQ767" s="405"/>
      <c r="KW767" s="83"/>
      <c r="LE767" s="405"/>
      <c r="LK767" s="83"/>
      <c r="LS767" s="405"/>
      <c r="LY767" s="83"/>
      <c r="MG767" s="405"/>
      <c r="MM767" s="83"/>
      <c r="MU767" s="405"/>
      <c r="NA767" s="83"/>
    </row>
    <row r="768">
      <c r="A768" s="483"/>
      <c r="B768" s="380"/>
      <c r="C768" s="380"/>
      <c r="D768" s="380"/>
      <c r="E768" s="380"/>
      <c r="F768" s="380"/>
      <c r="G768" s="380"/>
      <c r="H768" s="380"/>
      <c r="I768" s="403"/>
      <c r="J768" s="380"/>
      <c r="K768" s="380"/>
      <c r="L768" s="380"/>
      <c r="M768" s="380"/>
      <c r="N768" s="380"/>
      <c r="O768" s="404"/>
      <c r="P768" s="380"/>
      <c r="Q768" s="380"/>
      <c r="R768" s="380"/>
      <c r="S768" s="380"/>
      <c r="T768" s="380"/>
      <c r="U768" s="380"/>
      <c r="V768" s="380"/>
      <c r="W768" s="403"/>
      <c r="X768" s="380"/>
      <c r="Y768" s="380"/>
      <c r="Z768" s="380"/>
      <c r="AA768" s="380"/>
      <c r="AB768" s="380"/>
      <c r="AC768" s="404"/>
      <c r="AD768" s="380"/>
      <c r="AE768" s="380"/>
      <c r="AF768" s="380"/>
      <c r="AG768" s="380"/>
      <c r="AH768" s="380"/>
      <c r="AI768" s="380"/>
      <c r="AJ768" s="380"/>
      <c r="AK768" s="403"/>
      <c r="AL768" s="380"/>
      <c r="AM768" s="380"/>
      <c r="AN768" s="380"/>
      <c r="AO768" s="380"/>
      <c r="AP768" s="380"/>
      <c r="AQ768" s="404"/>
      <c r="AR768" s="380"/>
      <c r="AS768" s="380"/>
      <c r="AT768" s="380"/>
      <c r="AU768" s="380"/>
      <c r="AV768" s="380"/>
      <c r="AW768" s="380"/>
      <c r="AX768" s="380"/>
      <c r="AY768" s="403"/>
      <c r="AZ768" s="380"/>
      <c r="BA768" s="380"/>
      <c r="BB768" s="380"/>
      <c r="BC768" s="380"/>
      <c r="BD768" s="380"/>
      <c r="BE768" s="404"/>
      <c r="BF768" s="380"/>
      <c r="BG768" s="380"/>
      <c r="BH768" s="380"/>
      <c r="BI768" s="380"/>
      <c r="BJ768" s="380"/>
      <c r="BK768" s="380"/>
      <c r="BL768" s="380"/>
      <c r="BM768" s="403"/>
      <c r="BS768" s="83"/>
      <c r="CA768" s="405"/>
      <c r="CG768" s="83"/>
      <c r="CO768" s="405"/>
      <c r="CU768" s="83"/>
      <c r="DC768" s="405"/>
      <c r="DI768" s="83"/>
      <c r="DQ768" s="405"/>
      <c r="DW768" s="83"/>
      <c r="EE768" s="405"/>
      <c r="EK768" s="83"/>
      <c r="ES768" s="405"/>
      <c r="EY768" s="83"/>
      <c r="FG768" s="405"/>
      <c r="FM768" s="83"/>
      <c r="FU768" s="405"/>
      <c r="GA768" s="83"/>
      <c r="GI768" s="405"/>
      <c r="GO768" s="83"/>
      <c r="GW768" s="405"/>
      <c r="HC768" s="83"/>
      <c r="HK768" s="405"/>
      <c r="HQ768" s="83"/>
      <c r="HY768" s="405"/>
      <c r="IE768" s="83"/>
      <c r="IM768" s="405"/>
      <c r="IS768" s="83"/>
      <c r="JA768" s="405"/>
      <c r="JG768" s="83"/>
      <c r="JO768" s="405"/>
      <c r="JU768" s="83"/>
      <c r="KC768" s="405"/>
      <c r="KI768" s="83"/>
      <c r="KQ768" s="405"/>
      <c r="KW768" s="83"/>
      <c r="LE768" s="405"/>
      <c r="LK768" s="83"/>
      <c r="LS768" s="405"/>
      <c r="LY768" s="83"/>
      <c r="MG768" s="405"/>
      <c r="MM768" s="83"/>
      <c r="MU768" s="405"/>
      <c r="NA768" s="83"/>
    </row>
    <row r="769">
      <c r="A769" s="483"/>
      <c r="B769" s="380"/>
      <c r="C769" s="380"/>
      <c r="D769" s="380"/>
      <c r="E769" s="380"/>
      <c r="F769" s="380"/>
      <c r="G769" s="380"/>
      <c r="H769" s="380"/>
      <c r="I769" s="403"/>
      <c r="J769" s="380"/>
      <c r="K769" s="380"/>
      <c r="L769" s="380"/>
      <c r="M769" s="380"/>
      <c r="N769" s="380"/>
      <c r="O769" s="404"/>
      <c r="P769" s="380"/>
      <c r="Q769" s="380"/>
      <c r="R769" s="380"/>
      <c r="S769" s="380"/>
      <c r="T769" s="380"/>
      <c r="U769" s="380"/>
      <c r="V769" s="380"/>
      <c r="W769" s="403"/>
      <c r="X769" s="380"/>
      <c r="Y769" s="380"/>
      <c r="Z769" s="380"/>
      <c r="AA769" s="380"/>
      <c r="AB769" s="380"/>
      <c r="AC769" s="404"/>
      <c r="AD769" s="380"/>
      <c r="AE769" s="380"/>
      <c r="AF769" s="380"/>
      <c r="AG769" s="380"/>
      <c r="AH769" s="380"/>
      <c r="AI769" s="380"/>
      <c r="AJ769" s="380"/>
      <c r="AK769" s="403"/>
      <c r="AL769" s="380"/>
      <c r="AM769" s="380"/>
      <c r="AN769" s="380"/>
      <c r="AO769" s="380"/>
      <c r="AP769" s="380"/>
      <c r="AQ769" s="404"/>
      <c r="AR769" s="380"/>
      <c r="AS769" s="380"/>
      <c r="AT769" s="380"/>
      <c r="AU769" s="380"/>
      <c r="AV769" s="380"/>
      <c r="AW769" s="380"/>
      <c r="AX769" s="380"/>
      <c r="AY769" s="403"/>
      <c r="AZ769" s="380"/>
      <c r="BA769" s="380"/>
      <c r="BB769" s="380"/>
      <c r="BC769" s="380"/>
      <c r="BD769" s="380"/>
      <c r="BE769" s="404"/>
      <c r="BF769" s="380"/>
      <c r="BG769" s="380"/>
      <c r="BH769" s="380"/>
      <c r="BI769" s="380"/>
      <c r="BJ769" s="380"/>
      <c r="BK769" s="380"/>
      <c r="BL769" s="380"/>
      <c r="BM769" s="403"/>
      <c r="BS769" s="83"/>
      <c r="CA769" s="405"/>
      <c r="CG769" s="83"/>
      <c r="CO769" s="405"/>
      <c r="CU769" s="83"/>
      <c r="DC769" s="405"/>
      <c r="DI769" s="83"/>
      <c r="DQ769" s="405"/>
      <c r="DW769" s="83"/>
      <c r="EE769" s="405"/>
      <c r="EK769" s="83"/>
      <c r="ES769" s="405"/>
      <c r="EY769" s="83"/>
      <c r="FG769" s="405"/>
      <c r="FM769" s="83"/>
      <c r="FU769" s="405"/>
      <c r="GA769" s="83"/>
      <c r="GI769" s="405"/>
      <c r="GO769" s="83"/>
      <c r="GW769" s="405"/>
      <c r="HC769" s="83"/>
      <c r="HK769" s="405"/>
      <c r="HQ769" s="83"/>
      <c r="HY769" s="405"/>
      <c r="IE769" s="83"/>
      <c r="IM769" s="405"/>
      <c r="IS769" s="83"/>
      <c r="JA769" s="405"/>
      <c r="JG769" s="83"/>
      <c r="JO769" s="405"/>
      <c r="JU769" s="83"/>
      <c r="KC769" s="405"/>
      <c r="KI769" s="83"/>
      <c r="KQ769" s="405"/>
      <c r="KW769" s="83"/>
      <c r="LE769" s="405"/>
      <c r="LK769" s="83"/>
      <c r="LS769" s="405"/>
      <c r="LY769" s="83"/>
      <c r="MG769" s="405"/>
      <c r="MM769" s="83"/>
      <c r="MU769" s="405"/>
      <c r="NA769" s="83"/>
    </row>
    <row r="770">
      <c r="A770" s="483"/>
      <c r="B770" s="380"/>
      <c r="C770" s="380"/>
      <c r="D770" s="380"/>
      <c r="E770" s="380"/>
      <c r="F770" s="380"/>
      <c r="G770" s="380"/>
      <c r="H770" s="380"/>
      <c r="I770" s="403"/>
      <c r="J770" s="380"/>
      <c r="K770" s="380"/>
      <c r="L770" s="380"/>
      <c r="M770" s="380"/>
      <c r="N770" s="380"/>
      <c r="O770" s="404"/>
      <c r="P770" s="380"/>
      <c r="Q770" s="380"/>
      <c r="R770" s="380"/>
      <c r="S770" s="380"/>
      <c r="T770" s="380"/>
      <c r="U770" s="380"/>
      <c r="V770" s="380"/>
      <c r="W770" s="403"/>
      <c r="X770" s="380"/>
      <c r="Y770" s="380"/>
      <c r="Z770" s="380"/>
      <c r="AA770" s="380"/>
      <c r="AB770" s="380"/>
      <c r="AC770" s="404"/>
      <c r="AD770" s="380"/>
      <c r="AE770" s="380"/>
      <c r="AF770" s="380"/>
      <c r="AG770" s="380"/>
      <c r="AH770" s="380"/>
      <c r="AI770" s="380"/>
      <c r="AJ770" s="380"/>
      <c r="AK770" s="403"/>
      <c r="AL770" s="380"/>
      <c r="AM770" s="380"/>
      <c r="AN770" s="380"/>
      <c r="AO770" s="380"/>
      <c r="AP770" s="380"/>
      <c r="AQ770" s="404"/>
      <c r="AR770" s="380"/>
      <c r="AS770" s="380"/>
      <c r="AT770" s="380"/>
      <c r="AU770" s="380"/>
      <c r="AV770" s="380"/>
      <c r="AW770" s="380"/>
      <c r="AX770" s="380"/>
      <c r="AY770" s="403"/>
      <c r="AZ770" s="380"/>
      <c r="BA770" s="380"/>
      <c r="BB770" s="380"/>
      <c r="BC770" s="380"/>
      <c r="BD770" s="380"/>
      <c r="BE770" s="404"/>
      <c r="BF770" s="380"/>
      <c r="BG770" s="380"/>
      <c r="BH770" s="380"/>
      <c r="BI770" s="380"/>
      <c r="BJ770" s="380"/>
      <c r="BK770" s="380"/>
      <c r="BL770" s="380"/>
      <c r="BM770" s="403"/>
      <c r="BS770" s="83"/>
      <c r="CA770" s="405"/>
      <c r="CG770" s="83"/>
      <c r="CO770" s="405"/>
      <c r="CU770" s="83"/>
      <c r="DC770" s="405"/>
      <c r="DI770" s="83"/>
      <c r="DQ770" s="405"/>
      <c r="DW770" s="83"/>
      <c r="EE770" s="405"/>
      <c r="EK770" s="83"/>
      <c r="ES770" s="405"/>
      <c r="EY770" s="83"/>
      <c r="FG770" s="405"/>
      <c r="FM770" s="83"/>
      <c r="FU770" s="405"/>
      <c r="GA770" s="83"/>
      <c r="GI770" s="405"/>
      <c r="GO770" s="83"/>
      <c r="GW770" s="405"/>
      <c r="HC770" s="83"/>
      <c r="HK770" s="405"/>
      <c r="HQ770" s="83"/>
      <c r="HY770" s="405"/>
      <c r="IE770" s="83"/>
      <c r="IM770" s="405"/>
      <c r="IS770" s="83"/>
      <c r="JA770" s="405"/>
      <c r="JG770" s="83"/>
      <c r="JO770" s="405"/>
      <c r="JU770" s="83"/>
      <c r="KC770" s="405"/>
      <c r="KI770" s="83"/>
      <c r="KQ770" s="405"/>
      <c r="KW770" s="83"/>
      <c r="LE770" s="405"/>
      <c r="LK770" s="83"/>
      <c r="LS770" s="405"/>
      <c r="LY770" s="83"/>
      <c r="MG770" s="405"/>
      <c r="MM770" s="83"/>
      <c r="MU770" s="405"/>
      <c r="NA770" s="83"/>
    </row>
    <row r="771">
      <c r="A771" s="483"/>
      <c r="B771" s="380"/>
      <c r="C771" s="380"/>
      <c r="D771" s="380"/>
      <c r="E771" s="380"/>
      <c r="F771" s="380"/>
      <c r="G771" s="380"/>
      <c r="H771" s="380"/>
      <c r="I771" s="403"/>
      <c r="J771" s="380"/>
      <c r="K771" s="380"/>
      <c r="L771" s="380"/>
      <c r="M771" s="380"/>
      <c r="N771" s="380"/>
      <c r="O771" s="404"/>
      <c r="P771" s="380"/>
      <c r="Q771" s="380"/>
      <c r="R771" s="380"/>
      <c r="S771" s="380"/>
      <c r="T771" s="380"/>
      <c r="U771" s="380"/>
      <c r="V771" s="380"/>
      <c r="W771" s="403"/>
      <c r="X771" s="380"/>
      <c r="Y771" s="380"/>
      <c r="Z771" s="380"/>
      <c r="AA771" s="380"/>
      <c r="AB771" s="380"/>
      <c r="AC771" s="404"/>
      <c r="AD771" s="380"/>
      <c r="AE771" s="380"/>
      <c r="AF771" s="380"/>
      <c r="AG771" s="380"/>
      <c r="AH771" s="380"/>
      <c r="AI771" s="380"/>
      <c r="AJ771" s="380"/>
      <c r="AK771" s="403"/>
      <c r="AL771" s="380"/>
      <c r="AM771" s="380"/>
      <c r="AN771" s="380"/>
      <c r="AO771" s="380"/>
      <c r="AP771" s="380"/>
      <c r="AQ771" s="404"/>
      <c r="AR771" s="380"/>
      <c r="AS771" s="380"/>
      <c r="AT771" s="380"/>
      <c r="AU771" s="380"/>
      <c r="AV771" s="380"/>
      <c r="AW771" s="380"/>
      <c r="AX771" s="380"/>
      <c r="AY771" s="403"/>
      <c r="AZ771" s="380"/>
      <c r="BA771" s="380"/>
      <c r="BB771" s="380"/>
      <c r="BC771" s="380"/>
      <c r="BD771" s="380"/>
      <c r="BE771" s="404"/>
      <c r="BF771" s="380"/>
      <c r="BG771" s="380"/>
      <c r="BH771" s="380"/>
      <c r="BI771" s="380"/>
      <c r="BJ771" s="380"/>
      <c r="BK771" s="380"/>
      <c r="BL771" s="380"/>
      <c r="BM771" s="403"/>
      <c r="BS771" s="83"/>
      <c r="CA771" s="405"/>
      <c r="CG771" s="83"/>
      <c r="CO771" s="405"/>
      <c r="CU771" s="83"/>
      <c r="DC771" s="405"/>
      <c r="DI771" s="83"/>
      <c r="DQ771" s="405"/>
      <c r="DW771" s="83"/>
      <c r="EE771" s="405"/>
      <c r="EK771" s="83"/>
      <c r="ES771" s="405"/>
      <c r="EY771" s="83"/>
      <c r="FG771" s="405"/>
      <c r="FM771" s="83"/>
      <c r="FU771" s="405"/>
      <c r="GA771" s="83"/>
      <c r="GI771" s="405"/>
      <c r="GO771" s="83"/>
      <c r="GW771" s="405"/>
      <c r="HC771" s="83"/>
      <c r="HK771" s="405"/>
      <c r="HQ771" s="83"/>
      <c r="HY771" s="405"/>
      <c r="IE771" s="83"/>
      <c r="IM771" s="405"/>
      <c r="IS771" s="83"/>
      <c r="JA771" s="405"/>
      <c r="JG771" s="83"/>
      <c r="JO771" s="405"/>
      <c r="JU771" s="83"/>
      <c r="KC771" s="405"/>
      <c r="KI771" s="83"/>
      <c r="KQ771" s="405"/>
      <c r="KW771" s="83"/>
      <c r="LE771" s="405"/>
      <c r="LK771" s="83"/>
      <c r="LS771" s="405"/>
      <c r="LY771" s="83"/>
      <c r="MG771" s="405"/>
      <c r="MM771" s="83"/>
      <c r="MU771" s="405"/>
      <c r="NA771" s="83"/>
    </row>
    <row r="772">
      <c r="A772" s="483"/>
      <c r="B772" s="380"/>
      <c r="C772" s="380"/>
      <c r="D772" s="380"/>
      <c r="E772" s="380"/>
      <c r="F772" s="380"/>
      <c r="G772" s="380"/>
      <c r="H772" s="380"/>
      <c r="I772" s="403"/>
      <c r="J772" s="380"/>
      <c r="K772" s="380"/>
      <c r="L772" s="380"/>
      <c r="M772" s="380"/>
      <c r="N772" s="380"/>
      <c r="O772" s="404"/>
      <c r="P772" s="380"/>
      <c r="Q772" s="380"/>
      <c r="R772" s="380"/>
      <c r="S772" s="380"/>
      <c r="T772" s="380"/>
      <c r="U772" s="380"/>
      <c r="V772" s="380"/>
      <c r="W772" s="403"/>
      <c r="X772" s="380"/>
      <c r="Y772" s="380"/>
      <c r="Z772" s="380"/>
      <c r="AA772" s="380"/>
      <c r="AB772" s="380"/>
      <c r="AC772" s="404"/>
      <c r="AD772" s="380"/>
      <c r="AE772" s="380"/>
      <c r="AF772" s="380"/>
      <c r="AG772" s="380"/>
      <c r="AH772" s="380"/>
      <c r="AI772" s="380"/>
      <c r="AJ772" s="380"/>
      <c r="AK772" s="403"/>
      <c r="AL772" s="380"/>
      <c r="AM772" s="380"/>
      <c r="AN772" s="380"/>
      <c r="AO772" s="380"/>
      <c r="AP772" s="380"/>
      <c r="AQ772" s="404"/>
      <c r="AR772" s="380"/>
      <c r="AS772" s="380"/>
      <c r="AT772" s="380"/>
      <c r="AU772" s="380"/>
      <c r="AV772" s="380"/>
      <c r="AW772" s="380"/>
      <c r="AX772" s="380"/>
      <c r="AY772" s="403"/>
      <c r="AZ772" s="380"/>
      <c r="BA772" s="380"/>
      <c r="BB772" s="380"/>
      <c r="BC772" s="380"/>
      <c r="BD772" s="380"/>
      <c r="BE772" s="404"/>
      <c r="BF772" s="380"/>
      <c r="BG772" s="380"/>
      <c r="BH772" s="380"/>
      <c r="BI772" s="380"/>
      <c r="BJ772" s="380"/>
      <c r="BK772" s="380"/>
      <c r="BL772" s="380"/>
      <c r="BM772" s="403"/>
      <c r="BS772" s="83"/>
      <c r="CA772" s="405"/>
      <c r="CG772" s="83"/>
      <c r="CO772" s="405"/>
      <c r="CU772" s="83"/>
      <c r="DC772" s="405"/>
      <c r="DI772" s="83"/>
      <c r="DQ772" s="405"/>
      <c r="DW772" s="83"/>
      <c r="EE772" s="405"/>
      <c r="EK772" s="83"/>
      <c r="ES772" s="405"/>
      <c r="EY772" s="83"/>
      <c r="FG772" s="405"/>
      <c r="FM772" s="83"/>
      <c r="FU772" s="405"/>
      <c r="GA772" s="83"/>
      <c r="GI772" s="405"/>
      <c r="GO772" s="83"/>
      <c r="GW772" s="405"/>
      <c r="HC772" s="83"/>
      <c r="HK772" s="405"/>
      <c r="HQ772" s="83"/>
      <c r="HY772" s="405"/>
      <c r="IE772" s="83"/>
      <c r="IM772" s="405"/>
      <c r="IS772" s="83"/>
      <c r="JA772" s="405"/>
      <c r="JG772" s="83"/>
      <c r="JO772" s="405"/>
      <c r="JU772" s="83"/>
      <c r="KC772" s="405"/>
      <c r="KI772" s="83"/>
      <c r="KQ772" s="405"/>
      <c r="KW772" s="83"/>
      <c r="LE772" s="405"/>
      <c r="LK772" s="83"/>
      <c r="LS772" s="405"/>
      <c r="LY772" s="83"/>
      <c r="MG772" s="405"/>
      <c r="MM772" s="83"/>
      <c r="MU772" s="405"/>
      <c r="NA772" s="83"/>
    </row>
    <row r="773">
      <c r="A773" s="483"/>
      <c r="B773" s="380"/>
      <c r="C773" s="380"/>
      <c r="D773" s="380"/>
      <c r="E773" s="380"/>
      <c r="F773" s="380"/>
      <c r="G773" s="380"/>
      <c r="H773" s="380"/>
      <c r="I773" s="403"/>
      <c r="J773" s="380"/>
      <c r="K773" s="380"/>
      <c r="L773" s="380"/>
      <c r="M773" s="380"/>
      <c r="N773" s="380"/>
      <c r="O773" s="404"/>
      <c r="P773" s="380"/>
      <c r="Q773" s="380"/>
      <c r="R773" s="380"/>
      <c r="S773" s="380"/>
      <c r="T773" s="380"/>
      <c r="U773" s="380"/>
      <c r="V773" s="380"/>
      <c r="W773" s="403"/>
      <c r="X773" s="380"/>
      <c r="Y773" s="380"/>
      <c r="Z773" s="380"/>
      <c r="AA773" s="380"/>
      <c r="AB773" s="380"/>
      <c r="AC773" s="404"/>
      <c r="AD773" s="380"/>
      <c r="AE773" s="380"/>
      <c r="AF773" s="380"/>
      <c r="AG773" s="380"/>
      <c r="AH773" s="380"/>
      <c r="AI773" s="380"/>
      <c r="AJ773" s="380"/>
      <c r="AK773" s="403"/>
      <c r="AL773" s="380"/>
      <c r="AM773" s="380"/>
      <c r="AN773" s="380"/>
      <c r="AO773" s="380"/>
      <c r="AP773" s="380"/>
      <c r="AQ773" s="404"/>
      <c r="AR773" s="380"/>
      <c r="AS773" s="380"/>
      <c r="AT773" s="380"/>
      <c r="AU773" s="380"/>
      <c r="AV773" s="380"/>
      <c r="AW773" s="380"/>
      <c r="AX773" s="380"/>
      <c r="AY773" s="403"/>
      <c r="AZ773" s="380"/>
      <c r="BA773" s="380"/>
      <c r="BB773" s="380"/>
      <c r="BC773" s="380"/>
      <c r="BD773" s="380"/>
      <c r="BE773" s="404"/>
      <c r="BF773" s="380"/>
      <c r="BG773" s="380"/>
      <c r="BH773" s="380"/>
      <c r="BI773" s="380"/>
      <c r="BJ773" s="380"/>
      <c r="BK773" s="380"/>
      <c r="BL773" s="380"/>
      <c r="BM773" s="403"/>
      <c r="BS773" s="83"/>
      <c r="CA773" s="405"/>
      <c r="CG773" s="83"/>
      <c r="CO773" s="405"/>
      <c r="CU773" s="83"/>
      <c r="DC773" s="405"/>
      <c r="DI773" s="83"/>
      <c r="DQ773" s="405"/>
      <c r="DW773" s="83"/>
      <c r="EE773" s="405"/>
      <c r="EK773" s="83"/>
      <c r="ES773" s="405"/>
      <c r="EY773" s="83"/>
      <c r="FG773" s="405"/>
      <c r="FM773" s="83"/>
      <c r="FU773" s="405"/>
      <c r="GA773" s="83"/>
      <c r="GI773" s="405"/>
      <c r="GO773" s="83"/>
      <c r="GW773" s="405"/>
      <c r="HC773" s="83"/>
      <c r="HK773" s="405"/>
      <c r="HQ773" s="83"/>
      <c r="HY773" s="405"/>
      <c r="IE773" s="83"/>
      <c r="IM773" s="405"/>
      <c r="IS773" s="83"/>
      <c r="JA773" s="405"/>
      <c r="JG773" s="83"/>
      <c r="JO773" s="405"/>
      <c r="JU773" s="83"/>
      <c r="KC773" s="405"/>
      <c r="KI773" s="83"/>
      <c r="KQ773" s="405"/>
      <c r="KW773" s="83"/>
      <c r="LE773" s="405"/>
      <c r="LK773" s="83"/>
      <c r="LS773" s="405"/>
      <c r="LY773" s="83"/>
      <c r="MG773" s="405"/>
      <c r="MM773" s="83"/>
      <c r="MU773" s="405"/>
      <c r="NA773" s="83"/>
    </row>
    <row r="774">
      <c r="A774" s="483"/>
      <c r="B774" s="380"/>
      <c r="C774" s="380"/>
      <c r="D774" s="380"/>
      <c r="E774" s="380"/>
      <c r="F774" s="380"/>
      <c r="G774" s="380"/>
      <c r="H774" s="380"/>
      <c r="I774" s="403"/>
      <c r="J774" s="380"/>
      <c r="K774" s="380"/>
      <c r="L774" s="380"/>
      <c r="M774" s="380"/>
      <c r="N774" s="380"/>
      <c r="O774" s="404"/>
      <c r="P774" s="380"/>
      <c r="Q774" s="380"/>
      <c r="R774" s="380"/>
      <c r="S774" s="380"/>
      <c r="T774" s="380"/>
      <c r="U774" s="380"/>
      <c r="V774" s="380"/>
      <c r="W774" s="403"/>
      <c r="X774" s="380"/>
      <c r="Y774" s="380"/>
      <c r="Z774" s="380"/>
      <c r="AA774" s="380"/>
      <c r="AB774" s="380"/>
      <c r="AC774" s="404"/>
      <c r="AD774" s="380"/>
      <c r="AE774" s="380"/>
      <c r="AF774" s="380"/>
      <c r="AG774" s="380"/>
      <c r="AH774" s="380"/>
      <c r="AI774" s="380"/>
      <c r="AJ774" s="380"/>
      <c r="AK774" s="403"/>
      <c r="AL774" s="380"/>
      <c r="AM774" s="380"/>
      <c r="AN774" s="380"/>
      <c r="AO774" s="380"/>
      <c r="AP774" s="380"/>
      <c r="AQ774" s="404"/>
      <c r="AR774" s="380"/>
      <c r="AS774" s="380"/>
      <c r="AT774" s="380"/>
      <c r="AU774" s="380"/>
      <c r="AV774" s="380"/>
      <c r="AW774" s="380"/>
      <c r="AX774" s="380"/>
      <c r="AY774" s="403"/>
      <c r="AZ774" s="380"/>
      <c r="BA774" s="380"/>
      <c r="BB774" s="380"/>
      <c r="BC774" s="380"/>
      <c r="BD774" s="380"/>
      <c r="BE774" s="404"/>
      <c r="BF774" s="380"/>
      <c r="BG774" s="380"/>
      <c r="BH774" s="380"/>
      <c r="BI774" s="380"/>
      <c r="BJ774" s="380"/>
      <c r="BK774" s="380"/>
      <c r="BL774" s="380"/>
      <c r="BM774" s="403"/>
      <c r="BS774" s="83"/>
      <c r="CA774" s="405"/>
      <c r="CG774" s="83"/>
      <c r="CO774" s="405"/>
      <c r="CU774" s="83"/>
      <c r="DC774" s="405"/>
      <c r="DI774" s="83"/>
      <c r="DQ774" s="405"/>
      <c r="DW774" s="83"/>
      <c r="EE774" s="405"/>
      <c r="EK774" s="83"/>
      <c r="ES774" s="405"/>
      <c r="EY774" s="83"/>
      <c r="FG774" s="405"/>
      <c r="FM774" s="83"/>
      <c r="FU774" s="405"/>
      <c r="GA774" s="83"/>
      <c r="GI774" s="405"/>
      <c r="GO774" s="83"/>
      <c r="GW774" s="405"/>
      <c r="HC774" s="83"/>
      <c r="HK774" s="405"/>
      <c r="HQ774" s="83"/>
      <c r="HY774" s="405"/>
      <c r="IE774" s="83"/>
      <c r="IM774" s="405"/>
      <c r="IS774" s="83"/>
      <c r="JA774" s="405"/>
      <c r="JG774" s="83"/>
      <c r="JO774" s="405"/>
      <c r="JU774" s="83"/>
      <c r="KC774" s="405"/>
      <c r="KI774" s="83"/>
      <c r="KQ774" s="405"/>
      <c r="KW774" s="83"/>
      <c r="LE774" s="405"/>
      <c r="LK774" s="83"/>
      <c r="LS774" s="405"/>
      <c r="LY774" s="83"/>
      <c r="MG774" s="405"/>
      <c r="MM774" s="83"/>
      <c r="MU774" s="405"/>
      <c r="NA774" s="83"/>
    </row>
    <row r="775">
      <c r="A775" s="483"/>
      <c r="B775" s="380"/>
      <c r="C775" s="380"/>
      <c r="D775" s="380"/>
      <c r="E775" s="380"/>
      <c r="F775" s="380"/>
      <c r="G775" s="380"/>
      <c r="H775" s="380"/>
      <c r="I775" s="403"/>
      <c r="J775" s="380"/>
      <c r="K775" s="380"/>
      <c r="L775" s="380"/>
      <c r="M775" s="380"/>
      <c r="N775" s="380"/>
      <c r="O775" s="404"/>
      <c r="P775" s="380"/>
      <c r="Q775" s="380"/>
      <c r="R775" s="380"/>
      <c r="S775" s="380"/>
      <c r="T775" s="380"/>
      <c r="U775" s="380"/>
      <c r="V775" s="380"/>
      <c r="W775" s="403"/>
      <c r="X775" s="380"/>
      <c r="Y775" s="380"/>
      <c r="Z775" s="380"/>
      <c r="AA775" s="380"/>
      <c r="AB775" s="380"/>
      <c r="AC775" s="404"/>
      <c r="AD775" s="380"/>
      <c r="AE775" s="380"/>
      <c r="AF775" s="380"/>
      <c r="AG775" s="380"/>
      <c r="AH775" s="380"/>
      <c r="AI775" s="380"/>
      <c r="AJ775" s="380"/>
      <c r="AK775" s="403"/>
      <c r="AL775" s="380"/>
      <c r="AM775" s="380"/>
      <c r="AN775" s="380"/>
      <c r="AO775" s="380"/>
      <c r="AP775" s="380"/>
      <c r="AQ775" s="404"/>
      <c r="AR775" s="380"/>
      <c r="AS775" s="380"/>
      <c r="AT775" s="380"/>
      <c r="AU775" s="380"/>
      <c r="AV775" s="380"/>
      <c r="AW775" s="380"/>
      <c r="AX775" s="380"/>
      <c r="AY775" s="403"/>
      <c r="AZ775" s="380"/>
      <c r="BA775" s="380"/>
      <c r="BB775" s="380"/>
      <c r="BC775" s="380"/>
      <c r="BD775" s="380"/>
      <c r="BE775" s="404"/>
      <c r="BF775" s="380"/>
      <c r="BG775" s="380"/>
      <c r="BH775" s="380"/>
      <c r="BI775" s="380"/>
      <c r="BJ775" s="380"/>
      <c r="BK775" s="380"/>
      <c r="BL775" s="380"/>
      <c r="BM775" s="403"/>
      <c r="BS775" s="83"/>
      <c r="CA775" s="405"/>
      <c r="CG775" s="83"/>
      <c r="CO775" s="405"/>
      <c r="CU775" s="83"/>
      <c r="DC775" s="405"/>
      <c r="DI775" s="83"/>
      <c r="DQ775" s="405"/>
      <c r="DW775" s="83"/>
      <c r="EE775" s="405"/>
      <c r="EK775" s="83"/>
      <c r="ES775" s="405"/>
      <c r="EY775" s="83"/>
      <c r="FG775" s="405"/>
      <c r="FM775" s="83"/>
      <c r="FU775" s="405"/>
      <c r="GA775" s="83"/>
      <c r="GI775" s="405"/>
      <c r="GO775" s="83"/>
      <c r="GW775" s="405"/>
      <c r="HC775" s="83"/>
      <c r="HK775" s="405"/>
      <c r="HQ775" s="83"/>
      <c r="HY775" s="405"/>
      <c r="IE775" s="83"/>
      <c r="IM775" s="405"/>
      <c r="IS775" s="83"/>
      <c r="JA775" s="405"/>
      <c r="JG775" s="83"/>
      <c r="JO775" s="405"/>
      <c r="JU775" s="83"/>
      <c r="KC775" s="405"/>
      <c r="KI775" s="83"/>
      <c r="KQ775" s="405"/>
      <c r="KW775" s="83"/>
      <c r="LE775" s="405"/>
      <c r="LK775" s="83"/>
      <c r="LS775" s="405"/>
      <c r="LY775" s="83"/>
      <c r="MG775" s="405"/>
      <c r="MM775" s="83"/>
      <c r="MU775" s="405"/>
      <c r="NA775" s="83"/>
    </row>
    <row r="776">
      <c r="A776" s="483"/>
      <c r="B776" s="380"/>
      <c r="C776" s="380"/>
      <c r="D776" s="380"/>
      <c r="E776" s="380"/>
      <c r="F776" s="380"/>
      <c r="G776" s="380"/>
      <c r="H776" s="380"/>
      <c r="I776" s="403"/>
      <c r="J776" s="380"/>
      <c r="K776" s="380"/>
      <c r="L776" s="380"/>
      <c r="M776" s="380"/>
      <c r="N776" s="380"/>
      <c r="O776" s="404"/>
      <c r="P776" s="380"/>
      <c r="Q776" s="380"/>
      <c r="R776" s="380"/>
      <c r="S776" s="380"/>
      <c r="T776" s="380"/>
      <c r="U776" s="380"/>
      <c r="V776" s="380"/>
      <c r="W776" s="403"/>
      <c r="X776" s="380"/>
      <c r="Y776" s="380"/>
      <c r="Z776" s="380"/>
      <c r="AA776" s="380"/>
      <c r="AB776" s="380"/>
      <c r="AC776" s="404"/>
      <c r="AD776" s="380"/>
      <c r="AE776" s="380"/>
      <c r="AF776" s="380"/>
      <c r="AG776" s="380"/>
      <c r="AH776" s="380"/>
      <c r="AI776" s="380"/>
      <c r="AJ776" s="380"/>
      <c r="AK776" s="403"/>
      <c r="AL776" s="380"/>
      <c r="AM776" s="380"/>
      <c r="AN776" s="380"/>
      <c r="AO776" s="380"/>
      <c r="AP776" s="380"/>
      <c r="AQ776" s="404"/>
      <c r="AR776" s="380"/>
      <c r="AS776" s="380"/>
      <c r="AT776" s="380"/>
      <c r="AU776" s="380"/>
      <c r="AV776" s="380"/>
      <c r="AW776" s="380"/>
      <c r="AX776" s="380"/>
      <c r="AY776" s="403"/>
      <c r="AZ776" s="380"/>
      <c r="BA776" s="380"/>
      <c r="BB776" s="380"/>
      <c r="BC776" s="380"/>
      <c r="BD776" s="380"/>
      <c r="BE776" s="404"/>
      <c r="BF776" s="380"/>
      <c r="BG776" s="380"/>
      <c r="BH776" s="380"/>
      <c r="BI776" s="380"/>
      <c r="BJ776" s="380"/>
      <c r="BK776" s="380"/>
      <c r="BL776" s="380"/>
      <c r="BM776" s="403"/>
      <c r="BS776" s="83"/>
      <c r="CA776" s="405"/>
      <c r="CG776" s="83"/>
      <c r="CO776" s="405"/>
      <c r="CU776" s="83"/>
      <c r="DC776" s="405"/>
      <c r="DI776" s="83"/>
      <c r="DQ776" s="405"/>
      <c r="DW776" s="83"/>
      <c r="EE776" s="405"/>
      <c r="EK776" s="83"/>
      <c r="ES776" s="405"/>
      <c r="EY776" s="83"/>
      <c r="FG776" s="405"/>
      <c r="FM776" s="83"/>
      <c r="FU776" s="405"/>
      <c r="GA776" s="83"/>
      <c r="GI776" s="405"/>
      <c r="GO776" s="83"/>
      <c r="GW776" s="405"/>
      <c r="HC776" s="83"/>
      <c r="HK776" s="405"/>
      <c r="HQ776" s="83"/>
      <c r="HY776" s="405"/>
      <c r="IE776" s="83"/>
      <c r="IM776" s="405"/>
      <c r="IS776" s="83"/>
      <c r="JA776" s="405"/>
      <c r="JG776" s="83"/>
      <c r="JO776" s="405"/>
      <c r="JU776" s="83"/>
      <c r="KC776" s="405"/>
      <c r="KI776" s="83"/>
      <c r="KQ776" s="405"/>
      <c r="KW776" s="83"/>
      <c r="LE776" s="405"/>
      <c r="LK776" s="83"/>
      <c r="LS776" s="405"/>
      <c r="LY776" s="83"/>
      <c r="MG776" s="405"/>
      <c r="MM776" s="83"/>
      <c r="MU776" s="405"/>
      <c r="NA776" s="83"/>
    </row>
    <row r="777">
      <c r="A777" s="483"/>
      <c r="B777" s="380"/>
      <c r="C777" s="380"/>
      <c r="D777" s="380"/>
      <c r="E777" s="380"/>
      <c r="F777" s="380"/>
      <c r="G777" s="380"/>
      <c r="H777" s="380"/>
      <c r="I777" s="403"/>
      <c r="J777" s="380"/>
      <c r="K777" s="380"/>
      <c r="L777" s="380"/>
      <c r="M777" s="380"/>
      <c r="N777" s="380"/>
      <c r="O777" s="404"/>
      <c r="P777" s="380"/>
      <c r="Q777" s="380"/>
      <c r="R777" s="380"/>
      <c r="S777" s="380"/>
      <c r="T777" s="380"/>
      <c r="U777" s="380"/>
      <c r="V777" s="380"/>
      <c r="W777" s="403"/>
      <c r="X777" s="380"/>
      <c r="Y777" s="380"/>
      <c r="Z777" s="380"/>
      <c r="AA777" s="380"/>
      <c r="AB777" s="380"/>
      <c r="AC777" s="404"/>
      <c r="AD777" s="380"/>
      <c r="AE777" s="380"/>
      <c r="AF777" s="380"/>
      <c r="AG777" s="380"/>
      <c r="AH777" s="380"/>
      <c r="AI777" s="380"/>
      <c r="AJ777" s="380"/>
      <c r="AK777" s="403"/>
      <c r="AL777" s="380"/>
      <c r="AM777" s="380"/>
      <c r="AN777" s="380"/>
      <c r="AO777" s="380"/>
      <c r="AP777" s="380"/>
      <c r="AQ777" s="404"/>
      <c r="AR777" s="380"/>
      <c r="AS777" s="380"/>
      <c r="AT777" s="380"/>
      <c r="AU777" s="380"/>
      <c r="AV777" s="380"/>
      <c r="AW777" s="380"/>
      <c r="AX777" s="380"/>
      <c r="AY777" s="403"/>
      <c r="AZ777" s="380"/>
      <c r="BA777" s="380"/>
      <c r="BB777" s="380"/>
      <c r="BC777" s="380"/>
      <c r="BD777" s="380"/>
      <c r="BE777" s="404"/>
      <c r="BF777" s="380"/>
      <c r="BG777" s="380"/>
      <c r="BH777" s="380"/>
      <c r="BI777" s="380"/>
      <c r="BJ777" s="380"/>
      <c r="BK777" s="380"/>
      <c r="BL777" s="380"/>
      <c r="BM777" s="403"/>
      <c r="BS777" s="83"/>
      <c r="CA777" s="405"/>
      <c r="CG777" s="83"/>
      <c r="CO777" s="405"/>
      <c r="CU777" s="83"/>
      <c r="DC777" s="405"/>
      <c r="DI777" s="83"/>
      <c r="DQ777" s="405"/>
      <c r="DW777" s="83"/>
      <c r="EE777" s="405"/>
      <c r="EK777" s="83"/>
      <c r="ES777" s="405"/>
      <c r="EY777" s="83"/>
      <c r="FG777" s="405"/>
      <c r="FM777" s="83"/>
      <c r="FU777" s="405"/>
      <c r="GA777" s="83"/>
      <c r="GI777" s="405"/>
      <c r="GO777" s="83"/>
      <c r="GW777" s="405"/>
      <c r="HC777" s="83"/>
      <c r="HK777" s="405"/>
      <c r="HQ777" s="83"/>
      <c r="HY777" s="405"/>
      <c r="IE777" s="83"/>
      <c r="IM777" s="405"/>
      <c r="IS777" s="83"/>
      <c r="JA777" s="405"/>
      <c r="JG777" s="83"/>
      <c r="JO777" s="405"/>
      <c r="JU777" s="83"/>
      <c r="KC777" s="405"/>
      <c r="KI777" s="83"/>
      <c r="KQ777" s="405"/>
      <c r="KW777" s="83"/>
      <c r="LE777" s="405"/>
      <c r="LK777" s="83"/>
      <c r="LS777" s="405"/>
      <c r="LY777" s="83"/>
      <c r="MG777" s="405"/>
      <c r="MM777" s="83"/>
      <c r="MU777" s="405"/>
      <c r="NA777" s="83"/>
    </row>
    <row r="778">
      <c r="A778" s="483"/>
      <c r="B778" s="380"/>
      <c r="C778" s="380"/>
      <c r="D778" s="380"/>
      <c r="E778" s="380"/>
      <c r="F778" s="380"/>
      <c r="G778" s="380"/>
      <c r="H778" s="380"/>
      <c r="I778" s="403"/>
      <c r="J778" s="380"/>
      <c r="K778" s="380"/>
      <c r="L778" s="380"/>
      <c r="M778" s="380"/>
      <c r="N778" s="380"/>
      <c r="O778" s="404"/>
      <c r="P778" s="380"/>
      <c r="Q778" s="380"/>
      <c r="R778" s="380"/>
      <c r="S778" s="380"/>
      <c r="T778" s="380"/>
      <c r="U778" s="380"/>
      <c r="V778" s="380"/>
      <c r="W778" s="403"/>
      <c r="X778" s="380"/>
      <c r="Y778" s="380"/>
      <c r="Z778" s="380"/>
      <c r="AA778" s="380"/>
      <c r="AB778" s="380"/>
      <c r="AC778" s="404"/>
      <c r="AD778" s="380"/>
      <c r="AE778" s="380"/>
      <c r="AF778" s="380"/>
      <c r="AG778" s="380"/>
      <c r="AH778" s="380"/>
      <c r="AI778" s="380"/>
      <c r="AJ778" s="380"/>
      <c r="AK778" s="403"/>
      <c r="AL778" s="380"/>
      <c r="AM778" s="380"/>
      <c r="AN778" s="380"/>
      <c r="AO778" s="380"/>
      <c r="AP778" s="380"/>
      <c r="AQ778" s="404"/>
      <c r="AR778" s="380"/>
      <c r="AS778" s="380"/>
      <c r="AT778" s="380"/>
      <c r="AU778" s="380"/>
      <c r="AV778" s="380"/>
      <c r="AW778" s="380"/>
      <c r="AX778" s="380"/>
      <c r="AY778" s="403"/>
      <c r="AZ778" s="380"/>
      <c r="BA778" s="380"/>
      <c r="BB778" s="380"/>
      <c r="BC778" s="380"/>
      <c r="BD778" s="380"/>
      <c r="BE778" s="404"/>
      <c r="BF778" s="380"/>
      <c r="BG778" s="380"/>
      <c r="BH778" s="380"/>
      <c r="BI778" s="380"/>
      <c r="BJ778" s="380"/>
      <c r="BK778" s="380"/>
      <c r="BL778" s="380"/>
      <c r="BM778" s="403"/>
      <c r="BS778" s="83"/>
      <c r="CA778" s="405"/>
      <c r="CG778" s="83"/>
      <c r="CO778" s="405"/>
      <c r="CU778" s="83"/>
      <c r="DC778" s="405"/>
      <c r="DI778" s="83"/>
      <c r="DQ778" s="405"/>
      <c r="DW778" s="83"/>
      <c r="EE778" s="405"/>
      <c r="EK778" s="83"/>
      <c r="ES778" s="405"/>
      <c r="EY778" s="83"/>
      <c r="FG778" s="405"/>
      <c r="FM778" s="83"/>
      <c r="FU778" s="405"/>
      <c r="GA778" s="83"/>
      <c r="GI778" s="405"/>
      <c r="GO778" s="83"/>
      <c r="GW778" s="405"/>
      <c r="HC778" s="83"/>
      <c r="HK778" s="405"/>
      <c r="HQ778" s="83"/>
      <c r="HY778" s="405"/>
      <c r="IE778" s="83"/>
      <c r="IM778" s="405"/>
      <c r="IS778" s="83"/>
      <c r="JA778" s="405"/>
      <c r="JG778" s="83"/>
      <c r="JO778" s="405"/>
      <c r="JU778" s="83"/>
      <c r="KC778" s="405"/>
      <c r="KI778" s="83"/>
      <c r="KQ778" s="405"/>
      <c r="KW778" s="83"/>
      <c r="LE778" s="405"/>
      <c r="LK778" s="83"/>
      <c r="LS778" s="405"/>
      <c r="LY778" s="83"/>
      <c r="MG778" s="405"/>
      <c r="MM778" s="83"/>
      <c r="MU778" s="405"/>
      <c r="NA778" s="83"/>
    </row>
    <row r="779">
      <c r="A779" s="483"/>
      <c r="B779" s="380"/>
      <c r="C779" s="380"/>
      <c r="D779" s="380"/>
      <c r="E779" s="380"/>
      <c r="F779" s="380"/>
      <c r="G779" s="380"/>
      <c r="H779" s="380"/>
      <c r="I779" s="403"/>
      <c r="J779" s="380"/>
      <c r="K779" s="380"/>
      <c r="L779" s="380"/>
      <c r="M779" s="380"/>
      <c r="N779" s="380"/>
      <c r="O779" s="404"/>
      <c r="P779" s="380"/>
      <c r="Q779" s="380"/>
      <c r="R779" s="380"/>
      <c r="S779" s="380"/>
      <c r="T779" s="380"/>
      <c r="U779" s="380"/>
      <c r="V779" s="380"/>
      <c r="W779" s="403"/>
      <c r="X779" s="380"/>
      <c r="Y779" s="380"/>
      <c r="Z779" s="380"/>
      <c r="AA779" s="380"/>
      <c r="AB779" s="380"/>
      <c r="AC779" s="404"/>
      <c r="AD779" s="380"/>
      <c r="AE779" s="380"/>
      <c r="AF779" s="380"/>
      <c r="AG779" s="380"/>
      <c r="AH779" s="380"/>
      <c r="AI779" s="380"/>
      <c r="AJ779" s="380"/>
      <c r="AK779" s="403"/>
      <c r="AL779" s="380"/>
      <c r="AM779" s="380"/>
      <c r="AN779" s="380"/>
      <c r="AO779" s="380"/>
      <c r="AP779" s="380"/>
      <c r="AQ779" s="404"/>
      <c r="AR779" s="380"/>
      <c r="AS779" s="380"/>
      <c r="AT779" s="380"/>
      <c r="AU779" s="380"/>
      <c r="AV779" s="380"/>
      <c r="AW779" s="380"/>
      <c r="AX779" s="380"/>
      <c r="AY779" s="403"/>
      <c r="AZ779" s="380"/>
      <c r="BA779" s="380"/>
      <c r="BB779" s="380"/>
      <c r="BC779" s="380"/>
      <c r="BD779" s="380"/>
      <c r="BE779" s="404"/>
      <c r="BF779" s="380"/>
      <c r="BG779" s="380"/>
      <c r="BH779" s="380"/>
      <c r="BI779" s="380"/>
      <c r="BJ779" s="380"/>
      <c r="BK779" s="380"/>
      <c r="BL779" s="380"/>
      <c r="BM779" s="403"/>
      <c r="BS779" s="83"/>
      <c r="CA779" s="405"/>
      <c r="CG779" s="83"/>
      <c r="CO779" s="405"/>
      <c r="CU779" s="83"/>
      <c r="DC779" s="405"/>
      <c r="DI779" s="83"/>
      <c r="DQ779" s="405"/>
      <c r="DW779" s="83"/>
      <c r="EE779" s="405"/>
      <c r="EK779" s="83"/>
      <c r="ES779" s="405"/>
      <c r="EY779" s="83"/>
      <c r="FG779" s="405"/>
      <c r="FM779" s="83"/>
      <c r="FU779" s="405"/>
      <c r="GA779" s="83"/>
      <c r="GI779" s="405"/>
      <c r="GO779" s="83"/>
      <c r="GW779" s="405"/>
      <c r="HC779" s="83"/>
      <c r="HK779" s="405"/>
      <c r="HQ779" s="83"/>
      <c r="HY779" s="405"/>
      <c r="IE779" s="83"/>
      <c r="IM779" s="405"/>
      <c r="IS779" s="83"/>
      <c r="JA779" s="405"/>
      <c r="JG779" s="83"/>
      <c r="JO779" s="405"/>
      <c r="JU779" s="83"/>
      <c r="KC779" s="405"/>
      <c r="KI779" s="83"/>
      <c r="KQ779" s="405"/>
      <c r="KW779" s="83"/>
      <c r="LE779" s="405"/>
      <c r="LK779" s="83"/>
      <c r="LS779" s="405"/>
      <c r="LY779" s="83"/>
      <c r="MG779" s="405"/>
      <c r="MM779" s="83"/>
      <c r="MU779" s="405"/>
      <c r="NA779" s="83"/>
    </row>
    <row r="780">
      <c r="A780" s="483"/>
      <c r="B780" s="380"/>
      <c r="C780" s="380"/>
      <c r="D780" s="380"/>
      <c r="E780" s="380"/>
      <c r="F780" s="380"/>
      <c r="G780" s="380"/>
      <c r="H780" s="380"/>
      <c r="I780" s="403"/>
      <c r="J780" s="380"/>
      <c r="K780" s="380"/>
      <c r="L780" s="380"/>
      <c r="M780" s="380"/>
      <c r="N780" s="380"/>
      <c r="O780" s="404"/>
      <c r="P780" s="380"/>
      <c r="Q780" s="380"/>
      <c r="R780" s="380"/>
      <c r="S780" s="380"/>
      <c r="T780" s="380"/>
      <c r="U780" s="380"/>
      <c r="V780" s="380"/>
      <c r="W780" s="403"/>
      <c r="X780" s="380"/>
      <c r="Y780" s="380"/>
      <c r="Z780" s="380"/>
      <c r="AA780" s="380"/>
      <c r="AB780" s="380"/>
      <c r="AC780" s="404"/>
      <c r="AD780" s="380"/>
      <c r="AE780" s="380"/>
      <c r="AF780" s="380"/>
      <c r="AG780" s="380"/>
      <c r="AH780" s="380"/>
      <c r="AI780" s="380"/>
      <c r="AJ780" s="380"/>
      <c r="AK780" s="403"/>
      <c r="AL780" s="380"/>
      <c r="AM780" s="380"/>
      <c r="AN780" s="380"/>
      <c r="AO780" s="380"/>
      <c r="AP780" s="380"/>
      <c r="AQ780" s="404"/>
      <c r="AR780" s="380"/>
      <c r="AS780" s="380"/>
      <c r="AT780" s="380"/>
      <c r="AU780" s="380"/>
      <c r="AV780" s="380"/>
      <c r="AW780" s="380"/>
      <c r="AX780" s="380"/>
      <c r="AY780" s="403"/>
      <c r="AZ780" s="380"/>
      <c r="BA780" s="380"/>
      <c r="BB780" s="380"/>
      <c r="BC780" s="380"/>
      <c r="BD780" s="380"/>
      <c r="BE780" s="404"/>
      <c r="BF780" s="380"/>
      <c r="BG780" s="380"/>
      <c r="BH780" s="380"/>
      <c r="BI780" s="380"/>
      <c r="BJ780" s="380"/>
      <c r="BK780" s="380"/>
      <c r="BL780" s="380"/>
      <c r="BM780" s="403"/>
      <c r="BS780" s="83"/>
      <c r="CA780" s="405"/>
      <c r="CG780" s="83"/>
      <c r="CO780" s="405"/>
      <c r="CU780" s="83"/>
      <c r="DC780" s="405"/>
      <c r="DI780" s="83"/>
      <c r="DQ780" s="405"/>
      <c r="DW780" s="83"/>
      <c r="EE780" s="405"/>
      <c r="EK780" s="83"/>
      <c r="ES780" s="405"/>
      <c r="EY780" s="83"/>
      <c r="FG780" s="405"/>
      <c r="FM780" s="83"/>
      <c r="FU780" s="405"/>
      <c r="GA780" s="83"/>
      <c r="GI780" s="405"/>
      <c r="GO780" s="83"/>
      <c r="GW780" s="405"/>
      <c r="HC780" s="83"/>
      <c r="HK780" s="405"/>
      <c r="HQ780" s="83"/>
      <c r="HY780" s="405"/>
      <c r="IE780" s="83"/>
      <c r="IM780" s="405"/>
      <c r="IS780" s="83"/>
      <c r="JA780" s="405"/>
      <c r="JG780" s="83"/>
      <c r="JO780" s="405"/>
      <c r="JU780" s="83"/>
      <c r="KC780" s="405"/>
      <c r="KI780" s="83"/>
      <c r="KQ780" s="405"/>
      <c r="KW780" s="83"/>
      <c r="LE780" s="405"/>
      <c r="LK780" s="83"/>
      <c r="LS780" s="405"/>
      <c r="LY780" s="83"/>
      <c r="MG780" s="405"/>
      <c r="MM780" s="83"/>
      <c r="MU780" s="405"/>
      <c r="NA780" s="83"/>
    </row>
    <row r="781">
      <c r="A781" s="483"/>
      <c r="B781" s="380"/>
      <c r="C781" s="380"/>
      <c r="D781" s="380"/>
      <c r="E781" s="380"/>
      <c r="F781" s="380"/>
      <c r="G781" s="380"/>
      <c r="H781" s="380"/>
      <c r="I781" s="403"/>
      <c r="J781" s="380"/>
      <c r="K781" s="380"/>
      <c r="L781" s="380"/>
      <c r="M781" s="380"/>
      <c r="N781" s="380"/>
      <c r="O781" s="404"/>
      <c r="P781" s="380"/>
      <c r="Q781" s="380"/>
      <c r="R781" s="380"/>
      <c r="S781" s="380"/>
      <c r="T781" s="380"/>
      <c r="U781" s="380"/>
      <c r="V781" s="380"/>
      <c r="W781" s="403"/>
      <c r="X781" s="380"/>
      <c r="Y781" s="380"/>
      <c r="Z781" s="380"/>
      <c r="AA781" s="380"/>
      <c r="AB781" s="380"/>
      <c r="AC781" s="404"/>
      <c r="AD781" s="380"/>
      <c r="AE781" s="380"/>
      <c r="AF781" s="380"/>
      <c r="AG781" s="380"/>
      <c r="AH781" s="380"/>
      <c r="AI781" s="380"/>
      <c r="AJ781" s="380"/>
      <c r="AK781" s="403"/>
      <c r="AL781" s="380"/>
      <c r="AM781" s="380"/>
      <c r="AN781" s="380"/>
      <c r="AO781" s="380"/>
      <c r="AP781" s="380"/>
      <c r="AQ781" s="404"/>
      <c r="AR781" s="380"/>
      <c r="AS781" s="380"/>
      <c r="AT781" s="380"/>
      <c r="AU781" s="380"/>
      <c r="AV781" s="380"/>
      <c r="AW781" s="380"/>
      <c r="AX781" s="380"/>
      <c r="AY781" s="403"/>
      <c r="AZ781" s="380"/>
      <c r="BA781" s="380"/>
      <c r="BB781" s="380"/>
      <c r="BC781" s="380"/>
      <c r="BD781" s="380"/>
      <c r="BE781" s="404"/>
      <c r="BF781" s="380"/>
      <c r="BG781" s="380"/>
      <c r="BH781" s="380"/>
      <c r="BI781" s="380"/>
      <c r="BJ781" s="380"/>
      <c r="BK781" s="380"/>
      <c r="BL781" s="380"/>
      <c r="BM781" s="403"/>
      <c r="BS781" s="83"/>
      <c r="CA781" s="405"/>
      <c r="CG781" s="83"/>
      <c r="CO781" s="405"/>
      <c r="CU781" s="83"/>
      <c r="DC781" s="405"/>
      <c r="DI781" s="83"/>
      <c r="DQ781" s="405"/>
      <c r="DW781" s="83"/>
      <c r="EE781" s="405"/>
      <c r="EK781" s="83"/>
      <c r="ES781" s="405"/>
      <c r="EY781" s="83"/>
      <c r="FG781" s="405"/>
      <c r="FM781" s="83"/>
      <c r="FU781" s="405"/>
      <c r="GA781" s="83"/>
      <c r="GI781" s="405"/>
      <c r="GO781" s="83"/>
      <c r="GW781" s="405"/>
      <c r="HC781" s="83"/>
      <c r="HK781" s="405"/>
      <c r="HQ781" s="83"/>
      <c r="HY781" s="405"/>
      <c r="IE781" s="83"/>
      <c r="IM781" s="405"/>
      <c r="IS781" s="83"/>
      <c r="JA781" s="405"/>
      <c r="JG781" s="83"/>
      <c r="JO781" s="405"/>
      <c r="JU781" s="83"/>
      <c r="KC781" s="405"/>
      <c r="KI781" s="83"/>
      <c r="KQ781" s="405"/>
      <c r="KW781" s="83"/>
      <c r="LE781" s="405"/>
      <c r="LK781" s="83"/>
      <c r="LS781" s="405"/>
      <c r="LY781" s="83"/>
      <c r="MG781" s="405"/>
      <c r="MM781" s="83"/>
      <c r="MU781" s="405"/>
      <c r="NA781" s="83"/>
    </row>
    <row r="782">
      <c r="A782" s="483"/>
      <c r="B782" s="380"/>
      <c r="C782" s="380"/>
      <c r="D782" s="380"/>
      <c r="E782" s="380"/>
      <c r="F782" s="380"/>
      <c r="G782" s="380"/>
      <c r="H782" s="380"/>
      <c r="I782" s="403"/>
      <c r="J782" s="380"/>
      <c r="K782" s="380"/>
      <c r="L782" s="380"/>
      <c r="M782" s="380"/>
      <c r="N782" s="380"/>
      <c r="O782" s="404"/>
      <c r="P782" s="380"/>
      <c r="Q782" s="380"/>
      <c r="R782" s="380"/>
      <c r="S782" s="380"/>
      <c r="T782" s="380"/>
      <c r="U782" s="380"/>
      <c r="V782" s="380"/>
      <c r="W782" s="403"/>
      <c r="X782" s="380"/>
      <c r="Y782" s="380"/>
      <c r="Z782" s="380"/>
      <c r="AA782" s="380"/>
      <c r="AB782" s="380"/>
      <c r="AC782" s="404"/>
      <c r="AD782" s="380"/>
      <c r="AE782" s="380"/>
      <c r="AF782" s="380"/>
      <c r="AG782" s="380"/>
      <c r="AH782" s="380"/>
      <c r="AI782" s="380"/>
      <c r="AJ782" s="380"/>
      <c r="AK782" s="403"/>
      <c r="AL782" s="380"/>
      <c r="AM782" s="380"/>
      <c r="AN782" s="380"/>
      <c r="AO782" s="380"/>
      <c r="AP782" s="380"/>
      <c r="AQ782" s="404"/>
      <c r="AR782" s="380"/>
      <c r="AS782" s="380"/>
      <c r="AT782" s="380"/>
      <c r="AU782" s="380"/>
      <c r="AV782" s="380"/>
      <c r="AW782" s="380"/>
      <c r="AX782" s="380"/>
      <c r="AY782" s="403"/>
      <c r="AZ782" s="380"/>
      <c r="BA782" s="380"/>
      <c r="BB782" s="380"/>
      <c r="BC782" s="380"/>
      <c r="BD782" s="380"/>
      <c r="BE782" s="404"/>
      <c r="BF782" s="380"/>
      <c r="BG782" s="380"/>
      <c r="BH782" s="380"/>
      <c r="BI782" s="380"/>
      <c r="BJ782" s="380"/>
      <c r="BK782" s="380"/>
      <c r="BL782" s="380"/>
      <c r="BM782" s="403"/>
      <c r="BS782" s="83"/>
      <c r="CA782" s="405"/>
      <c r="CG782" s="83"/>
      <c r="CO782" s="405"/>
      <c r="CU782" s="83"/>
      <c r="DC782" s="405"/>
      <c r="DI782" s="83"/>
      <c r="DQ782" s="405"/>
      <c r="DW782" s="83"/>
      <c r="EE782" s="405"/>
      <c r="EK782" s="83"/>
      <c r="ES782" s="405"/>
      <c r="EY782" s="83"/>
      <c r="FG782" s="405"/>
      <c r="FM782" s="83"/>
      <c r="FU782" s="405"/>
      <c r="GA782" s="83"/>
      <c r="GI782" s="405"/>
      <c r="GO782" s="83"/>
      <c r="GW782" s="405"/>
      <c r="HC782" s="83"/>
      <c r="HK782" s="405"/>
      <c r="HQ782" s="83"/>
      <c r="HY782" s="405"/>
      <c r="IE782" s="83"/>
      <c r="IM782" s="405"/>
      <c r="IS782" s="83"/>
      <c r="JA782" s="405"/>
      <c r="JG782" s="83"/>
      <c r="JO782" s="405"/>
      <c r="JU782" s="83"/>
      <c r="KC782" s="405"/>
      <c r="KI782" s="83"/>
      <c r="KQ782" s="405"/>
      <c r="KW782" s="83"/>
      <c r="LE782" s="405"/>
      <c r="LK782" s="83"/>
      <c r="LS782" s="405"/>
      <c r="LY782" s="83"/>
      <c r="MG782" s="405"/>
      <c r="MM782" s="83"/>
      <c r="MU782" s="405"/>
      <c r="NA782" s="83"/>
    </row>
    <row r="783">
      <c r="A783" s="483"/>
      <c r="B783" s="380"/>
      <c r="C783" s="380"/>
      <c r="D783" s="380"/>
      <c r="E783" s="380"/>
      <c r="F783" s="380"/>
      <c r="G783" s="380"/>
      <c r="H783" s="380"/>
      <c r="I783" s="403"/>
      <c r="J783" s="380"/>
      <c r="K783" s="380"/>
      <c r="L783" s="380"/>
      <c r="M783" s="380"/>
      <c r="N783" s="380"/>
      <c r="O783" s="404"/>
      <c r="P783" s="380"/>
      <c r="Q783" s="380"/>
      <c r="R783" s="380"/>
      <c r="S783" s="380"/>
      <c r="T783" s="380"/>
      <c r="U783" s="380"/>
      <c r="V783" s="380"/>
      <c r="W783" s="403"/>
      <c r="X783" s="380"/>
      <c r="Y783" s="380"/>
      <c r="Z783" s="380"/>
      <c r="AA783" s="380"/>
      <c r="AB783" s="380"/>
      <c r="AC783" s="404"/>
      <c r="AD783" s="380"/>
      <c r="AE783" s="380"/>
      <c r="AF783" s="380"/>
      <c r="AG783" s="380"/>
      <c r="AH783" s="380"/>
      <c r="AI783" s="380"/>
      <c r="AJ783" s="380"/>
      <c r="AK783" s="403"/>
      <c r="AL783" s="380"/>
      <c r="AM783" s="380"/>
      <c r="AN783" s="380"/>
      <c r="AO783" s="380"/>
      <c r="AP783" s="380"/>
      <c r="AQ783" s="404"/>
      <c r="AR783" s="380"/>
      <c r="AS783" s="380"/>
      <c r="AT783" s="380"/>
      <c r="AU783" s="380"/>
      <c r="AV783" s="380"/>
      <c r="AW783" s="380"/>
      <c r="AX783" s="380"/>
      <c r="AY783" s="403"/>
      <c r="AZ783" s="380"/>
      <c r="BA783" s="380"/>
      <c r="BB783" s="380"/>
      <c r="BC783" s="380"/>
      <c r="BD783" s="380"/>
      <c r="BE783" s="404"/>
      <c r="BF783" s="380"/>
      <c r="BG783" s="380"/>
      <c r="BH783" s="380"/>
      <c r="BI783" s="380"/>
      <c r="BJ783" s="380"/>
      <c r="BK783" s="380"/>
      <c r="BL783" s="380"/>
      <c r="BM783" s="403"/>
      <c r="BS783" s="83"/>
      <c r="CA783" s="405"/>
      <c r="CG783" s="83"/>
      <c r="CO783" s="405"/>
      <c r="CU783" s="83"/>
      <c r="DC783" s="405"/>
      <c r="DI783" s="83"/>
      <c r="DQ783" s="405"/>
      <c r="DW783" s="83"/>
      <c r="EE783" s="405"/>
      <c r="EK783" s="83"/>
      <c r="ES783" s="405"/>
      <c r="EY783" s="83"/>
      <c r="FG783" s="405"/>
      <c r="FM783" s="83"/>
      <c r="FU783" s="405"/>
      <c r="GA783" s="83"/>
      <c r="GI783" s="405"/>
      <c r="GO783" s="83"/>
      <c r="GW783" s="405"/>
      <c r="HC783" s="83"/>
      <c r="HK783" s="405"/>
      <c r="HQ783" s="83"/>
      <c r="HY783" s="405"/>
      <c r="IE783" s="83"/>
      <c r="IM783" s="405"/>
      <c r="IS783" s="83"/>
      <c r="JA783" s="405"/>
      <c r="JG783" s="83"/>
      <c r="JO783" s="405"/>
      <c r="JU783" s="83"/>
      <c r="KC783" s="405"/>
      <c r="KI783" s="83"/>
      <c r="KQ783" s="405"/>
      <c r="KW783" s="83"/>
      <c r="LE783" s="405"/>
      <c r="LK783" s="83"/>
      <c r="LS783" s="405"/>
      <c r="LY783" s="83"/>
      <c r="MG783" s="405"/>
      <c r="MM783" s="83"/>
      <c r="MU783" s="405"/>
      <c r="NA783" s="83"/>
    </row>
    <row r="784">
      <c r="A784" s="483"/>
      <c r="B784" s="380"/>
      <c r="C784" s="380"/>
      <c r="D784" s="380"/>
      <c r="E784" s="380"/>
      <c r="F784" s="380"/>
      <c r="G784" s="380"/>
      <c r="H784" s="380"/>
      <c r="I784" s="403"/>
      <c r="J784" s="380"/>
      <c r="K784" s="380"/>
      <c r="L784" s="380"/>
      <c r="M784" s="380"/>
      <c r="N784" s="380"/>
      <c r="O784" s="404"/>
      <c r="P784" s="380"/>
      <c r="Q784" s="380"/>
      <c r="R784" s="380"/>
      <c r="S784" s="380"/>
      <c r="T784" s="380"/>
      <c r="U784" s="380"/>
      <c r="V784" s="380"/>
      <c r="W784" s="403"/>
      <c r="X784" s="380"/>
      <c r="Y784" s="380"/>
      <c r="Z784" s="380"/>
      <c r="AA784" s="380"/>
      <c r="AB784" s="380"/>
      <c r="AC784" s="404"/>
      <c r="AD784" s="380"/>
      <c r="AE784" s="380"/>
      <c r="AF784" s="380"/>
      <c r="AG784" s="380"/>
      <c r="AH784" s="380"/>
      <c r="AI784" s="380"/>
      <c r="AJ784" s="380"/>
      <c r="AK784" s="403"/>
      <c r="AL784" s="380"/>
      <c r="AM784" s="380"/>
      <c r="AN784" s="380"/>
      <c r="AO784" s="380"/>
      <c r="AP784" s="380"/>
      <c r="AQ784" s="404"/>
      <c r="AR784" s="380"/>
      <c r="AS784" s="380"/>
      <c r="AT784" s="380"/>
      <c r="AU784" s="380"/>
      <c r="AV784" s="380"/>
      <c r="AW784" s="380"/>
      <c r="AX784" s="380"/>
      <c r="AY784" s="403"/>
      <c r="AZ784" s="380"/>
      <c r="BA784" s="380"/>
      <c r="BB784" s="380"/>
      <c r="BC784" s="380"/>
      <c r="BD784" s="380"/>
      <c r="BE784" s="404"/>
      <c r="BF784" s="380"/>
      <c r="BG784" s="380"/>
      <c r="BH784" s="380"/>
      <c r="BI784" s="380"/>
      <c r="BJ784" s="380"/>
      <c r="BK784" s="380"/>
      <c r="BL784" s="380"/>
      <c r="BM784" s="403"/>
      <c r="BS784" s="83"/>
      <c r="CA784" s="405"/>
      <c r="CG784" s="83"/>
      <c r="CO784" s="405"/>
      <c r="CU784" s="83"/>
      <c r="DC784" s="405"/>
      <c r="DI784" s="83"/>
      <c r="DQ784" s="405"/>
      <c r="DW784" s="83"/>
      <c r="EE784" s="405"/>
      <c r="EK784" s="83"/>
      <c r="ES784" s="405"/>
      <c r="EY784" s="83"/>
      <c r="FG784" s="405"/>
      <c r="FM784" s="83"/>
      <c r="FU784" s="405"/>
      <c r="GA784" s="83"/>
      <c r="GI784" s="405"/>
      <c r="GO784" s="83"/>
      <c r="GW784" s="405"/>
      <c r="HC784" s="83"/>
      <c r="HK784" s="405"/>
      <c r="HQ784" s="83"/>
      <c r="HY784" s="405"/>
      <c r="IE784" s="83"/>
      <c r="IM784" s="405"/>
      <c r="IS784" s="83"/>
      <c r="JA784" s="405"/>
      <c r="JG784" s="83"/>
      <c r="JO784" s="405"/>
      <c r="JU784" s="83"/>
      <c r="KC784" s="405"/>
      <c r="KI784" s="83"/>
      <c r="KQ784" s="405"/>
      <c r="KW784" s="83"/>
      <c r="LE784" s="405"/>
      <c r="LK784" s="83"/>
      <c r="LS784" s="405"/>
      <c r="LY784" s="83"/>
      <c r="MG784" s="405"/>
      <c r="MM784" s="83"/>
      <c r="MU784" s="405"/>
      <c r="NA784" s="83"/>
    </row>
    <row r="785">
      <c r="A785" s="483"/>
      <c r="B785" s="380"/>
      <c r="C785" s="380"/>
      <c r="D785" s="380"/>
      <c r="E785" s="380"/>
      <c r="F785" s="380"/>
      <c r="G785" s="380"/>
      <c r="H785" s="380"/>
      <c r="I785" s="403"/>
      <c r="J785" s="380"/>
      <c r="K785" s="380"/>
      <c r="L785" s="380"/>
      <c r="M785" s="380"/>
      <c r="N785" s="380"/>
      <c r="O785" s="404"/>
      <c r="P785" s="380"/>
      <c r="Q785" s="380"/>
      <c r="R785" s="380"/>
      <c r="S785" s="380"/>
      <c r="T785" s="380"/>
      <c r="U785" s="380"/>
      <c r="V785" s="380"/>
      <c r="W785" s="403"/>
      <c r="X785" s="380"/>
      <c r="Y785" s="380"/>
      <c r="Z785" s="380"/>
      <c r="AA785" s="380"/>
      <c r="AB785" s="380"/>
      <c r="AC785" s="404"/>
      <c r="AD785" s="380"/>
      <c r="AE785" s="380"/>
      <c r="AF785" s="380"/>
      <c r="AG785" s="380"/>
      <c r="AH785" s="380"/>
      <c r="AI785" s="380"/>
      <c r="AJ785" s="380"/>
      <c r="AK785" s="403"/>
      <c r="AL785" s="380"/>
      <c r="AM785" s="380"/>
      <c r="AN785" s="380"/>
      <c r="AO785" s="380"/>
      <c r="AP785" s="380"/>
      <c r="AQ785" s="404"/>
      <c r="AR785" s="380"/>
      <c r="AS785" s="380"/>
      <c r="AT785" s="380"/>
      <c r="AU785" s="380"/>
      <c r="AV785" s="380"/>
      <c r="AW785" s="380"/>
      <c r="AX785" s="380"/>
      <c r="AY785" s="403"/>
      <c r="AZ785" s="380"/>
      <c r="BA785" s="380"/>
      <c r="BB785" s="380"/>
      <c r="BC785" s="380"/>
      <c r="BD785" s="380"/>
      <c r="BE785" s="404"/>
      <c r="BF785" s="380"/>
      <c r="BG785" s="380"/>
      <c r="BH785" s="380"/>
      <c r="BI785" s="380"/>
      <c r="BJ785" s="380"/>
      <c r="BK785" s="380"/>
      <c r="BL785" s="380"/>
      <c r="BM785" s="403"/>
      <c r="BS785" s="83"/>
      <c r="CA785" s="405"/>
      <c r="CG785" s="83"/>
      <c r="CO785" s="405"/>
      <c r="CU785" s="83"/>
      <c r="DC785" s="405"/>
      <c r="DI785" s="83"/>
      <c r="DQ785" s="405"/>
      <c r="DW785" s="83"/>
      <c r="EE785" s="405"/>
      <c r="EK785" s="83"/>
      <c r="ES785" s="405"/>
      <c r="EY785" s="83"/>
      <c r="FG785" s="405"/>
      <c r="FM785" s="83"/>
      <c r="FU785" s="405"/>
      <c r="GA785" s="83"/>
      <c r="GI785" s="405"/>
      <c r="GO785" s="83"/>
      <c r="GW785" s="405"/>
      <c r="HC785" s="83"/>
      <c r="HK785" s="405"/>
      <c r="HQ785" s="83"/>
      <c r="HY785" s="405"/>
      <c r="IE785" s="83"/>
      <c r="IM785" s="405"/>
      <c r="IS785" s="83"/>
      <c r="JA785" s="405"/>
      <c r="JG785" s="83"/>
      <c r="JO785" s="405"/>
      <c r="JU785" s="83"/>
      <c r="KC785" s="405"/>
      <c r="KI785" s="83"/>
      <c r="KQ785" s="405"/>
      <c r="KW785" s="83"/>
      <c r="LE785" s="405"/>
      <c r="LK785" s="83"/>
      <c r="LS785" s="405"/>
      <c r="LY785" s="83"/>
      <c r="MG785" s="405"/>
      <c r="MM785" s="83"/>
      <c r="MU785" s="405"/>
      <c r="NA785" s="83"/>
    </row>
    <row r="786">
      <c r="A786" s="483"/>
      <c r="B786" s="380"/>
      <c r="C786" s="380"/>
      <c r="D786" s="380"/>
      <c r="E786" s="380"/>
      <c r="F786" s="380"/>
      <c r="G786" s="380"/>
      <c r="H786" s="380"/>
      <c r="I786" s="403"/>
      <c r="J786" s="380"/>
      <c r="K786" s="380"/>
      <c r="L786" s="380"/>
      <c r="M786" s="380"/>
      <c r="N786" s="380"/>
      <c r="O786" s="404"/>
      <c r="P786" s="380"/>
      <c r="Q786" s="380"/>
      <c r="R786" s="380"/>
      <c r="S786" s="380"/>
      <c r="T786" s="380"/>
      <c r="U786" s="380"/>
      <c r="V786" s="380"/>
      <c r="W786" s="403"/>
      <c r="X786" s="380"/>
      <c r="Y786" s="380"/>
      <c r="Z786" s="380"/>
      <c r="AA786" s="380"/>
      <c r="AB786" s="380"/>
      <c r="AC786" s="404"/>
      <c r="AD786" s="380"/>
      <c r="AE786" s="380"/>
      <c r="AF786" s="380"/>
      <c r="AG786" s="380"/>
      <c r="AH786" s="380"/>
      <c r="AI786" s="380"/>
      <c r="AJ786" s="380"/>
      <c r="AK786" s="403"/>
      <c r="AL786" s="380"/>
      <c r="AM786" s="380"/>
      <c r="AN786" s="380"/>
      <c r="AO786" s="380"/>
      <c r="AP786" s="380"/>
      <c r="AQ786" s="404"/>
      <c r="AR786" s="380"/>
      <c r="AS786" s="380"/>
      <c r="AT786" s="380"/>
      <c r="AU786" s="380"/>
      <c r="AV786" s="380"/>
      <c r="AW786" s="380"/>
      <c r="AX786" s="380"/>
      <c r="AY786" s="403"/>
      <c r="AZ786" s="380"/>
      <c r="BA786" s="380"/>
      <c r="BB786" s="380"/>
      <c r="BC786" s="380"/>
      <c r="BD786" s="380"/>
      <c r="BE786" s="404"/>
      <c r="BF786" s="380"/>
      <c r="BG786" s="380"/>
      <c r="BH786" s="380"/>
      <c r="BI786" s="380"/>
      <c r="BJ786" s="380"/>
      <c r="BK786" s="380"/>
      <c r="BL786" s="380"/>
      <c r="BM786" s="403"/>
      <c r="BS786" s="83"/>
      <c r="CA786" s="405"/>
      <c r="CG786" s="83"/>
      <c r="CO786" s="405"/>
      <c r="CU786" s="83"/>
      <c r="DC786" s="405"/>
      <c r="DI786" s="83"/>
      <c r="DQ786" s="405"/>
      <c r="DW786" s="83"/>
      <c r="EE786" s="405"/>
      <c r="EK786" s="83"/>
      <c r="ES786" s="405"/>
      <c r="EY786" s="83"/>
      <c r="FG786" s="405"/>
      <c r="FM786" s="83"/>
      <c r="FU786" s="405"/>
      <c r="GA786" s="83"/>
      <c r="GI786" s="405"/>
      <c r="GO786" s="83"/>
      <c r="GW786" s="405"/>
      <c r="HC786" s="83"/>
      <c r="HK786" s="405"/>
      <c r="HQ786" s="83"/>
      <c r="HY786" s="405"/>
      <c r="IE786" s="83"/>
      <c r="IM786" s="405"/>
      <c r="IS786" s="83"/>
      <c r="JA786" s="405"/>
      <c r="JG786" s="83"/>
      <c r="JO786" s="405"/>
      <c r="JU786" s="83"/>
      <c r="KC786" s="405"/>
      <c r="KI786" s="83"/>
      <c r="KQ786" s="405"/>
      <c r="KW786" s="83"/>
      <c r="LE786" s="405"/>
      <c r="LK786" s="83"/>
      <c r="LS786" s="405"/>
      <c r="LY786" s="83"/>
      <c r="MG786" s="405"/>
      <c r="MM786" s="83"/>
      <c r="MU786" s="405"/>
      <c r="NA786" s="83"/>
    </row>
    <row r="787">
      <c r="A787" s="483"/>
      <c r="B787" s="380"/>
      <c r="C787" s="380"/>
      <c r="D787" s="380"/>
      <c r="E787" s="380"/>
      <c r="F787" s="380"/>
      <c r="G787" s="380"/>
      <c r="H787" s="380"/>
      <c r="I787" s="403"/>
      <c r="J787" s="380"/>
      <c r="K787" s="380"/>
      <c r="L787" s="380"/>
      <c r="M787" s="380"/>
      <c r="N787" s="380"/>
      <c r="O787" s="404"/>
      <c r="P787" s="380"/>
      <c r="Q787" s="380"/>
      <c r="R787" s="380"/>
      <c r="S787" s="380"/>
      <c r="T787" s="380"/>
      <c r="U787" s="380"/>
      <c r="V787" s="380"/>
      <c r="W787" s="403"/>
      <c r="X787" s="380"/>
      <c r="Y787" s="380"/>
      <c r="Z787" s="380"/>
      <c r="AA787" s="380"/>
      <c r="AB787" s="380"/>
      <c r="AC787" s="404"/>
      <c r="AD787" s="380"/>
      <c r="AE787" s="380"/>
      <c r="AF787" s="380"/>
      <c r="AG787" s="380"/>
      <c r="AH787" s="380"/>
      <c r="AI787" s="380"/>
      <c r="AJ787" s="380"/>
      <c r="AK787" s="403"/>
      <c r="AL787" s="380"/>
      <c r="AM787" s="380"/>
      <c r="AN787" s="380"/>
      <c r="AO787" s="380"/>
      <c r="AP787" s="380"/>
      <c r="AQ787" s="404"/>
      <c r="AR787" s="380"/>
      <c r="AS787" s="380"/>
      <c r="AT787" s="380"/>
      <c r="AU787" s="380"/>
      <c r="AV787" s="380"/>
      <c r="AW787" s="380"/>
      <c r="AX787" s="380"/>
      <c r="AY787" s="403"/>
      <c r="AZ787" s="380"/>
      <c r="BA787" s="380"/>
      <c r="BB787" s="380"/>
      <c r="BC787" s="380"/>
      <c r="BD787" s="380"/>
      <c r="BE787" s="404"/>
      <c r="BF787" s="380"/>
      <c r="BG787" s="380"/>
      <c r="BH787" s="380"/>
      <c r="BI787" s="380"/>
      <c r="BJ787" s="380"/>
      <c r="BK787" s="380"/>
      <c r="BL787" s="380"/>
      <c r="BM787" s="403"/>
      <c r="BS787" s="83"/>
      <c r="CA787" s="405"/>
      <c r="CG787" s="83"/>
      <c r="CO787" s="405"/>
      <c r="CU787" s="83"/>
      <c r="DC787" s="405"/>
      <c r="DI787" s="83"/>
      <c r="DQ787" s="405"/>
      <c r="DW787" s="83"/>
      <c r="EE787" s="405"/>
      <c r="EK787" s="83"/>
      <c r="ES787" s="405"/>
      <c r="EY787" s="83"/>
      <c r="FG787" s="405"/>
      <c r="FM787" s="83"/>
      <c r="FU787" s="405"/>
      <c r="GA787" s="83"/>
      <c r="GI787" s="405"/>
      <c r="GO787" s="83"/>
      <c r="GW787" s="405"/>
      <c r="HC787" s="83"/>
      <c r="HK787" s="405"/>
      <c r="HQ787" s="83"/>
      <c r="HY787" s="405"/>
      <c r="IE787" s="83"/>
      <c r="IM787" s="405"/>
      <c r="IS787" s="83"/>
      <c r="JA787" s="405"/>
      <c r="JG787" s="83"/>
      <c r="JO787" s="405"/>
      <c r="JU787" s="83"/>
      <c r="KC787" s="405"/>
      <c r="KI787" s="83"/>
      <c r="KQ787" s="405"/>
      <c r="KW787" s="83"/>
      <c r="LE787" s="405"/>
      <c r="LK787" s="83"/>
      <c r="LS787" s="405"/>
      <c r="LY787" s="83"/>
      <c r="MG787" s="405"/>
      <c r="MM787" s="83"/>
      <c r="MU787" s="405"/>
      <c r="NA787" s="83"/>
    </row>
    <row r="788">
      <c r="A788" s="483"/>
      <c r="B788" s="380"/>
      <c r="C788" s="380"/>
      <c r="D788" s="380"/>
      <c r="E788" s="380"/>
      <c r="F788" s="380"/>
      <c r="G788" s="380"/>
      <c r="H788" s="380"/>
      <c r="I788" s="403"/>
      <c r="J788" s="380"/>
      <c r="K788" s="380"/>
      <c r="L788" s="380"/>
      <c r="M788" s="380"/>
      <c r="N788" s="380"/>
      <c r="O788" s="404"/>
      <c r="P788" s="380"/>
      <c r="Q788" s="380"/>
      <c r="R788" s="380"/>
      <c r="S788" s="380"/>
      <c r="T788" s="380"/>
      <c r="U788" s="380"/>
      <c r="V788" s="380"/>
      <c r="W788" s="403"/>
      <c r="X788" s="380"/>
      <c r="Y788" s="380"/>
      <c r="Z788" s="380"/>
      <c r="AA788" s="380"/>
      <c r="AB788" s="380"/>
      <c r="AC788" s="404"/>
      <c r="AD788" s="380"/>
      <c r="AE788" s="380"/>
      <c r="AF788" s="380"/>
      <c r="AG788" s="380"/>
      <c r="AH788" s="380"/>
      <c r="AI788" s="380"/>
      <c r="AJ788" s="380"/>
      <c r="AK788" s="403"/>
      <c r="AL788" s="380"/>
      <c r="AM788" s="380"/>
      <c r="AN788" s="380"/>
      <c r="AO788" s="380"/>
      <c r="AP788" s="380"/>
      <c r="AQ788" s="404"/>
      <c r="AR788" s="380"/>
      <c r="AS788" s="380"/>
      <c r="AT788" s="380"/>
      <c r="AU788" s="380"/>
      <c r="AV788" s="380"/>
      <c r="AW788" s="380"/>
      <c r="AX788" s="380"/>
      <c r="AY788" s="403"/>
      <c r="AZ788" s="380"/>
      <c r="BA788" s="380"/>
      <c r="BB788" s="380"/>
      <c r="BC788" s="380"/>
      <c r="BD788" s="380"/>
      <c r="BE788" s="404"/>
      <c r="BF788" s="380"/>
      <c r="BG788" s="380"/>
      <c r="BH788" s="380"/>
      <c r="BI788" s="380"/>
      <c r="BJ788" s="380"/>
      <c r="BK788" s="380"/>
      <c r="BL788" s="380"/>
      <c r="BM788" s="403"/>
      <c r="BS788" s="83"/>
      <c r="CA788" s="405"/>
      <c r="CG788" s="83"/>
      <c r="CO788" s="405"/>
      <c r="CU788" s="83"/>
      <c r="DC788" s="405"/>
      <c r="DI788" s="83"/>
      <c r="DQ788" s="405"/>
      <c r="DW788" s="83"/>
      <c r="EE788" s="405"/>
      <c r="EK788" s="83"/>
      <c r="ES788" s="405"/>
      <c r="EY788" s="83"/>
      <c r="FG788" s="405"/>
      <c r="FM788" s="83"/>
      <c r="FU788" s="405"/>
      <c r="GA788" s="83"/>
      <c r="GI788" s="405"/>
      <c r="GO788" s="83"/>
      <c r="GW788" s="405"/>
      <c r="HC788" s="83"/>
      <c r="HK788" s="405"/>
      <c r="HQ788" s="83"/>
      <c r="HY788" s="405"/>
      <c r="IE788" s="83"/>
      <c r="IM788" s="405"/>
      <c r="IS788" s="83"/>
      <c r="JA788" s="405"/>
      <c r="JG788" s="83"/>
      <c r="JO788" s="405"/>
      <c r="JU788" s="83"/>
      <c r="KC788" s="405"/>
      <c r="KI788" s="83"/>
      <c r="KQ788" s="405"/>
      <c r="KW788" s="83"/>
      <c r="LE788" s="405"/>
      <c r="LK788" s="83"/>
      <c r="LS788" s="405"/>
      <c r="LY788" s="83"/>
      <c r="MG788" s="405"/>
      <c r="MM788" s="83"/>
      <c r="MU788" s="405"/>
      <c r="NA788" s="83"/>
    </row>
    <row r="789">
      <c r="A789" s="483"/>
      <c r="B789" s="380"/>
      <c r="C789" s="380"/>
      <c r="D789" s="380"/>
      <c r="E789" s="380"/>
      <c r="F789" s="380"/>
      <c r="G789" s="380"/>
      <c r="H789" s="380"/>
      <c r="I789" s="403"/>
      <c r="J789" s="380"/>
      <c r="K789" s="380"/>
      <c r="L789" s="380"/>
      <c r="M789" s="380"/>
      <c r="N789" s="380"/>
      <c r="O789" s="404"/>
      <c r="P789" s="380"/>
      <c r="Q789" s="380"/>
      <c r="R789" s="380"/>
      <c r="S789" s="380"/>
      <c r="T789" s="380"/>
      <c r="U789" s="380"/>
      <c r="V789" s="380"/>
      <c r="W789" s="403"/>
      <c r="X789" s="380"/>
      <c r="Y789" s="380"/>
      <c r="Z789" s="380"/>
      <c r="AA789" s="380"/>
      <c r="AB789" s="380"/>
      <c r="AC789" s="404"/>
      <c r="AD789" s="380"/>
      <c r="AE789" s="380"/>
      <c r="AF789" s="380"/>
      <c r="AG789" s="380"/>
      <c r="AH789" s="380"/>
      <c r="AI789" s="380"/>
      <c r="AJ789" s="380"/>
      <c r="AK789" s="403"/>
      <c r="AL789" s="380"/>
      <c r="AM789" s="380"/>
      <c r="AN789" s="380"/>
      <c r="AO789" s="380"/>
      <c r="AP789" s="380"/>
      <c r="AQ789" s="404"/>
      <c r="AR789" s="380"/>
      <c r="AS789" s="380"/>
      <c r="AT789" s="380"/>
      <c r="AU789" s="380"/>
      <c r="AV789" s="380"/>
      <c r="AW789" s="380"/>
      <c r="AX789" s="380"/>
      <c r="AY789" s="403"/>
      <c r="AZ789" s="380"/>
      <c r="BA789" s="380"/>
      <c r="BB789" s="380"/>
      <c r="BC789" s="380"/>
      <c r="BD789" s="380"/>
      <c r="BE789" s="404"/>
      <c r="BF789" s="380"/>
      <c r="BG789" s="380"/>
      <c r="BH789" s="380"/>
      <c r="BI789" s="380"/>
      <c r="BJ789" s="380"/>
      <c r="BK789" s="380"/>
      <c r="BL789" s="380"/>
      <c r="BM789" s="403"/>
      <c r="BS789" s="83"/>
      <c r="CA789" s="405"/>
      <c r="CG789" s="83"/>
      <c r="CO789" s="405"/>
      <c r="CU789" s="83"/>
      <c r="DC789" s="405"/>
      <c r="DI789" s="83"/>
      <c r="DQ789" s="405"/>
      <c r="DW789" s="83"/>
      <c r="EE789" s="405"/>
      <c r="EK789" s="83"/>
      <c r="ES789" s="405"/>
      <c r="EY789" s="83"/>
      <c r="FG789" s="405"/>
      <c r="FM789" s="83"/>
      <c r="FU789" s="405"/>
      <c r="GA789" s="83"/>
      <c r="GI789" s="405"/>
      <c r="GO789" s="83"/>
      <c r="GW789" s="405"/>
      <c r="HC789" s="83"/>
      <c r="HK789" s="405"/>
      <c r="HQ789" s="83"/>
      <c r="HY789" s="405"/>
      <c r="IE789" s="83"/>
      <c r="IM789" s="405"/>
      <c r="IS789" s="83"/>
      <c r="JA789" s="405"/>
      <c r="JG789" s="83"/>
      <c r="JO789" s="405"/>
      <c r="JU789" s="83"/>
      <c r="KC789" s="405"/>
      <c r="KI789" s="83"/>
      <c r="KQ789" s="405"/>
      <c r="KW789" s="83"/>
      <c r="LE789" s="405"/>
      <c r="LK789" s="83"/>
      <c r="LS789" s="405"/>
      <c r="LY789" s="83"/>
      <c r="MG789" s="405"/>
      <c r="MM789" s="83"/>
      <c r="MU789" s="405"/>
      <c r="NA789" s="83"/>
    </row>
    <row r="790">
      <c r="A790" s="483"/>
      <c r="B790" s="380"/>
      <c r="C790" s="380"/>
      <c r="D790" s="380"/>
      <c r="E790" s="380"/>
      <c r="F790" s="380"/>
      <c r="G790" s="380"/>
      <c r="H790" s="380"/>
      <c r="I790" s="403"/>
      <c r="J790" s="380"/>
      <c r="K790" s="380"/>
      <c r="L790" s="380"/>
      <c r="M790" s="380"/>
      <c r="N790" s="380"/>
      <c r="O790" s="404"/>
      <c r="P790" s="380"/>
      <c r="Q790" s="380"/>
      <c r="R790" s="380"/>
      <c r="S790" s="380"/>
      <c r="T790" s="380"/>
      <c r="U790" s="380"/>
      <c r="V790" s="380"/>
      <c r="W790" s="403"/>
      <c r="X790" s="380"/>
      <c r="Y790" s="380"/>
      <c r="Z790" s="380"/>
      <c r="AA790" s="380"/>
      <c r="AB790" s="380"/>
      <c r="AC790" s="404"/>
      <c r="AD790" s="380"/>
      <c r="AE790" s="380"/>
      <c r="AF790" s="380"/>
      <c r="AG790" s="380"/>
      <c r="AH790" s="380"/>
      <c r="AI790" s="380"/>
      <c r="AJ790" s="380"/>
      <c r="AK790" s="403"/>
      <c r="AL790" s="380"/>
      <c r="AM790" s="380"/>
      <c r="AN790" s="380"/>
      <c r="AO790" s="380"/>
      <c r="AP790" s="380"/>
      <c r="AQ790" s="404"/>
      <c r="AR790" s="380"/>
      <c r="AS790" s="380"/>
      <c r="AT790" s="380"/>
      <c r="AU790" s="380"/>
      <c r="AV790" s="380"/>
      <c r="AW790" s="380"/>
      <c r="AX790" s="380"/>
      <c r="AY790" s="403"/>
      <c r="AZ790" s="380"/>
      <c r="BA790" s="380"/>
      <c r="BB790" s="380"/>
      <c r="BC790" s="380"/>
      <c r="BD790" s="380"/>
      <c r="BE790" s="404"/>
      <c r="BF790" s="380"/>
      <c r="BG790" s="380"/>
      <c r="BH790" s="380"/>
      <c r="BI790" s="380"/>
      <c r="BJ790" s="380"/>
      <c r="BK790" s="380"/>
      <c r="BL790" s="380"/>
      <c r="BM790" s="403"/>
      <c r="BS790" s="83"/>
      <c r="CA790" s="405"/>
      <c r="CG790" s="83"/>
      <c r="CO790" s="405"/>
      <c r="CU790" s="83"/>
      <c r="DC790" s="405"/>
      <c r="DI790" s="83"/>
      <c r="DQ790" s="405"/>
      <c r="DW790" s="83"/>
      <c r="EE790" s="405"/>
      <c r="EK790" s="83"/>
      <c r="ES790" s="405"/>
      <c r="EY790" s="83"/>
      <c r="FG790" s="405"/>
      <c r="FM790" s="83"/>
      <c r="FU790" s="405"/>
      <c r="GA790" s="83"/>
      <c r="GI790" s="405"/>
      <c r="GO790" s="83"/>
      <c r="GW790" s="405"/>
      <c r="HC790" s="83"/>
      <c r="HK790" s="405"/>
      <c r="HQ790" s="83"/>
      <c r="HY790" s="405"/>
      <c r="IE790" s="83"/>
      <c r="IM790" s="405"/>
      <c r="IS790" s="83"/>
      <c r="JA790" s="405"/>
      <c r="JG790" s="83"/>
      <c r="JO790" s="405"/>
      <c r="JU790" s="83"/>
      <c r="KC790" s="405"/>
      <c r="KI790" s="83"/>
      <c r="KQ790" s="405"/>
      <c r="KW790" s="83"/>
      <c r="LE790" s="405"/>
      <c r="LK790" s="83"/>
      <c r="LS790" s="405"/>
      <c r="LY790" s="83"/>
      <c r="MG790" s="405"/>
      <c r="MM790" s="83"/>
      <c r="MU790" s="405"/>
      <c r="NA790" s="83"/>
    </row>
    <row r="791">
      <c r="A791" s="483"/>
      <c r="B791" s="380"/>
      <c r="C791" s="380"/>
      <c r="D791" s="380"/>
      <c r="E791" s="380"/>
      <c r="F791" s="380"/>
      <c r="G791" s="380"/>
      <c r="H791" s="380"/>
      <c r="I791" s="403"/>
      <c r="J791" s="380"/>
      <c r="K791" s="380"/>
      <c r="L791" s="380"/>
      <c r="M791" s="380"/>
      <c r="N791" s="380"/>
      <c r="O791" s="404"/>
      <c r="P791" s="380"/>
      <c r="Q791" s="380"/>
      <c r="R791" s="380"/>
      <c r="S791" s="380"/>
      <c r="T791" s="380"/>
      <c r="U791" s="380"/>
      <c r="V791" s="380"/>
      <c r="W791" s="403"/>
      <c r="X791" s="380"/>
      <c r="Y791" s="380"/>
      <c r="Z791" s="380"/>
      <c r="AA791" s="380"/>
      <c r="AB791" s="380"/>
      <c r="AC791" s="404"/>
      <c r="AD791" s="380"/>
      <c r="AE791" s="380"/>
      <c r="AF791" s="380"/>
      <c r="AG791" s="380"/>
      <c r="AH791" s="380"/>
      <c r="AI791" s="380"/>
      <c r="AJ791" s="380"/>
      <c r="AK791" s="403"/>
      <c r="AL791" s="380"/>
      <c r="AM791" s="380"/>
      <c r="AN791" s="380"/>
      <c r="AO791" s="380"/>
      <c r="AP791" s="380"/>
      <c r="AQ791" s="404"/>
      <c r="AR791" s="380"/>
      <c r="AS791" s="380"/>
      <c r="AT791" s="380"/>
      <c r="AU791" s="380"/>
      <c r="AV791" s="380"/>
      <c r="AW791" s="380"/>
      <c r="AX791" s="380"/>
      <c r="AY791" s="403"/>
      <c r="AZ791" s="380"/>
      <c r="BA791" s="380"/>
      <c r="BB791" s="380"/>
      <c r="BC791" s="380"/>
      <c r="BD791" s="380"/>
      <c r="BE791" s="404"/>
      <c r="BF791" s="380"/>
      <c r="BG791" s="380"/>
      <c r="BH791" s="380"/>
      <c r="BI791" s="380"/>
      <c r="BJ791" s="380"/>
      <c r="BK791" s="380"/>
      <c r="BL791" s="380"/>
      <c r="BM791" s="403"/>
      <c r="BS791" s="83"/>
      <c r="CA791" s="405"/>
      <c r="CG791" s="83"/>
      <c r="CO791" s="405"/>
      <c r="CU791" s="83"/>
      <c r="DC791" s="405"/>
      <c r="DI791" s="83"/>
      <c r="DQ791" s="405"/>
      <c r="DW791" s="83"/>
      <c r="EE791" s="405"/>
      <c r="EK791" s="83"/>
      <c r="ES791" s="405"/>
      <c r="EY791" s="83"/>
      <c r="FG791" s="405"/>
      <c r="FM791" s="83"/>
      <c r="FU791" s="405"/>
      <c r="GA791" s="83"/>
      <c r="GI791" s="405"/>
      <c r="GO791" s="83"/>
      <c r="GW791" s="405"/>
      <c r="HC791" s="83"/>
      <c r="HK791" s="405"/>
      <c r="HQ791" s="83"/>
      <c r="HY791" s="405"/>
      <c r="IE791" s="83"/>
      <c r="IM791" s="405"/>
      <c r="IS791" s="83"/>
      <c r="JA791" s="405"/>
      <c r="JG791" s="83"/>
      <c r="JO791" s="405"/>
      <c r="JU791" s="83"/>
      <c r="KC791" s="405"/>
      <c r="KI791" s="83"/>
      <c r="KQ791" s="405"/>
      <c r="KW791" s="83"/>
      <c r="LE791" s="405"/>
      <c r="LK791" s="83"/>
      <c r="LS791" s="405"/>
      <c r="LY791" s="83"/>
      <c r="MG791" s="405"/>
      <c r="MM791" s="83"/>
      <c r="MU791" s="405"/>
      <c r="NA791" s="83"/>
    </row>
    <row r="792">
      <c r="A792" s="483"/>
      <c r="B792" s="380"/>
      <c r="C792" s="380"/>
      <c r="D792" s="380"/>
      <c r="E792" s="380"/>
      <c r="F792" s="380"/>
      <c r="G792" s="380"/>
      <c r="H792" s="380"/>
      <c r="I792" s="403"/>
      <c r="J792" s="380"/>
      <c r="K792" s="380"/>
      <c r="L792" s="380"/>
      <c r="M792" s="380"/>
      <c r="N792" s="380"/>
      <c r="O792" s="404"/>
      <c r="P792" s="380"/>
      <c r="Q792" s="380"/>
      <c r="R792" s="380"/>
      <c r="S792" s="380"/>
      <c r="T792" s="380"/>
      <c r="U792" s="380"/>
      <c r="V792" s="380"/>
      <c r="W792" s="403"/>
      <c r="X792" s="380"/>
      <c r="Y792" s="380"/>
      <c r="Z792" s="380"/>
      <c r="AA792" s="380"/>
      <c r="AB792" s="380"/>
      <c r="AC792" s="404"/>
      <c r="AD792" s="380"/>
      <c r="AE792" s="380"/>
      <c r="AF792" s="380"/>
      <c r="AG792" s="380"/>
      <c r="AH792" s="380"/>
      <c r="AI792" s="380"/>
      <c r="AJ792" s="380"/>
      <c r="AK792" s="403"/>
      <c r="AL792" s="380"/>
      <c r="AM792" s="380"/>
      <c r="AN792" s="380"/>
      <c r="AO792" s="380"/>
      <c r="AP792" s="380"/>
      <c r="AQ792" s="404"/>
      <c r="AR792" s="380"/>
      <c r="AS792" s="380"/>
      <c r="AT792" s="380"/>
      <c r="AU792" s="380"/>
      <c r="AV792" s="380"/>
      <c r="AW792" s="380"/>
      <c r="AX792" s="380"/>
      <c r="AY792" s="403"/>
      <c r="AZ792" s="380"/>
      <c r="BA792" s="380"/>
      <c r="BB792" s="380"/>
      <c r="BC792" s="380"/>
      <c r="BD792" s="380"/>
      <c r="BE792" s="404"/>
      <c r="BF792" s="380"/>
      <c r="BG792" s="380"/>
      <c r="BH792" s="380"/>
      <c r="BI792" s="380"/>
      <c r="BJ792" s="380"/>
      <c r="BK792" s="380"/>
      <c r="BL792" s="380"/>
      <c r="BM792" s="403"/>
      <c r="BS792" s="83"/>
      <c r="CA792" s="405"/>
      <c r="CG792" s="83"/>
      <c r="CO792" s="405"/>
      <c r="CU792" s="83"/>
      <c r="DC792" s="405"/>
      <c r="DI792" s="83"/>
      <c r="DQ792" s="405"/>
      <c r="DW792" s="83"/>
      <c r="EE792" s="405"/>
      <c r="EK792" s="83"/>
      <c r="ES792" s="405"/>
      <c r="EY792" s="83"/>
      <c r="FG792" s="405"/>
      <c r="FM792" s="83"/>
      <c r="FU792" s="405"/>
      <c r="GA792" s="83"/>
      <c r="GI792" s="405"/>
      <c r="GO792" s="83"/>
      <c r="GW792" s="405"/>
      <c r="HC792" s="83"/>
      <c r="HK792" s="405"/>
      <c r="HQ792" s="83"/>
      <c r="HY792" s="405"/>
      <c r="IE792" s="83"/>
      <c r="IM792" s="405"/>
      <c r="IS792" s="83"/>
      <c r="JA792" s="405"/>
      <c r="JG792" s="83"/>
      <c r="JO792" s="405"/>
      <c r="JU792" s="83"/>
      <c r="KC792" s="405"/>
      <c r="KI792" s="83"/>
      <c r="KQ792" s="405"/>
      <c r="KW792" s="83"/>
      <c r="LE792" s="405"/>
      <c r="LK792" s="83"/>
      <c r="LS792" s="405"/>
      <c r="LY792" s="83"/>
      <c r="MG792" s="405"/>
      <c r="MM792" s="83"/>
      <c r="MU792" s="405"/>
      <c r="NA792" s="83"/>
    </row>
    <row r="793">
      <c r="A793" s="483"/>
      <c r="B793" s="380"/>
      <c r="C793" s="380"/>
      <c r="D793" s="380"/>
      <c r="E793" s="380"/>
      <c r="F793" s="380"/>
      <c r="G793" s="380"/>
      <c r="H793" s="380"/>
      <c r="I793" s="403"/>
      <c r="J793" s="380"/>
      <c r="K793" s="380"/>
      <c r="L793" s="380"/>
      <c r="M793" s="380"/>
      <c r="N793" s="380"/>
      <c r="O793" s="404"/>
      <c r="P793" s="380"/>
      <c r="Q793" s="380"/>
      <c r="R793" s="380"/>
      <c r="S793" s="380"/>
      <c r="T793" s="380"/>
      <c r="U793" s="380"/>
      <c r="V793" s="380"/>
      <c r="W793" s="403"/>
      <c r="X793" s="380"/>
      <c r="Y793" s="380"/>
      <c r="Z793" s="380"/>
      <c r="AA793" s="380"/>
      <c r="AB793" s="380"/>
      <c r="AC793" s="404"/>
      <c r="AD793" s="380"/>
      <c r="AE793" s="380"/>
      <c r="AF793" s="380"/>
      <c r="AG793" s="380"/>
      <c r="AH793" s="380"/>
      <c r="AI793" s="380"/>
      <c r="AJ793" s="380"/>
      <c r="AK793" s="403"/>
      <c r="AL793" s="380"/>
      <c r="AM793" s="380"/>
      <c r="AN793" s="380"/>
      <c r="AO793" s="380"/>
      <c r="AP793" s="380"/>
      <c r="AQ793" s="404"/>
      <c r="AR793" s="380"/>
      <c r="AS793" s="380"/>
      <c r="AT793" s="380"/>
      <c r="AU793" s="380"/>
      <c r="AV793" s="380"/>
      <c r="AW793" s="380"/>
      <c r="AX793" s="380"/>
      <c r="AY793" s="403"/>
      <c r="AZ793" s="380"/>
      <c r="BA793" s="380"/>
      <c r="BB793" s="380"/>
      <c r="BC793" s="380"/>
      <c r="BD793" s="380"/>
      <c r="BE793" s="404"/>
      <c r="BF793" s="380"/>
      <c r="BG793" s="380"/>
      <c r="BH793" s="380"/>
      <c r="BI793" s="380"/>
      <c r="BJ793" s="380"/>
      <c r="BK793" s="380"/>
      <c r="BL793" s="380"/>
      <c r="BM793" s="403"/>
      <c r="BS793" s="83"/>
      <c r="CA793" s="405"/>
      <c r="CG793" s="83"/>
      <c r="CO793" s="405"/>
      <c r="CU793" s="83"/>
      <c r="DC793" s="405"/>
      <c r="DI793" s="83"/>
      <c r="DQ793" s="405"/>
      <c r="DW793" s="83"/>
      <c r="EE793" s="405"/>
      <c r="EK793" s="83"/>
      <c r="ES793" s="405"/>
      <c r="EY793" s="83"/>
      <c r="FG793" s="405"/>
      <c r="FM793" s="83"/>
      <c r="FU793" s="405"/>
      <c r="GA793" s="83"/>
      <c r="GI793" s="405"/>
      <c r="GO793" s="83"/>
      <c r="GW793" s="405"/>
      <c r="HC793" s="83"/>
      <c r="HK793" s="405"/>
      <c r="HQ793" s="83"/>
      <c r="HY793" s="405"/>
      <c r="IE793" s="83"/>
      <c r="IM793" s="405"/>
      <c r="IS793" s="83"/>
      <c r="JA793" s="405"/>
      <c r="JG793" s="83"/>
      <c r="JO793" s="405"/>
      <c r="JU793" s="83"/>
      <c r="KC793" s="405"/>
      <c r="KI793" s="83"/>
      <c r="KQ793" s="405"/>
      <c r="KW793" s="83"/>
      <c r="LE793" s="405"/>
      <c r="LK793" s="83"/>
      <c r="LS793" s="405"/>
      <c r="LY793" s="83"/>
      <c r="MG793" s="405"/>
      <c r="MM793" s="83"/>
      <c r="MU793" s="405"/>
      <c r="NA793" s="83"/>
    </row>
    <row r="794">
      <c r="A794" s="483"/>
      <c r="B794" s="380"/>
      <c r="C794" s="380"/>
      <c r="D794" s="380"/>
      <c r="E794" s="380"/>
      <c r="F794" s="380"/>
      <c r="G794" s="380"/>
      <c r="H794" s="380"/>
      <c r="I794" s="403"/>
      <c r="J794" s="380"/>
      <c r="K794" s="380"/>
      <c r="L794" s="380"/>
      <c r="M794" s="380"/>
      <c r="N794" s="380"/>
      <c r="O794" s="404"/>
      <c r="P794" s="380"/>
      <c r="Q794" s="380"/>
      <c r="R794" s="380"/>
      <c r="S794" s="380"/>
      <c r="T794" s="380"/>
      <c r="U794" s="380"/>
      <c r="V794" s="380"/>
      <c r="W794" s="403"/>
      <c r="X794" s="380"/>
      <c r="Y794" s="380"/>
      <c r="Z794" s="380"/>
      <c r="AA794" s="380"/>
      <c r="AB794" s="380"/>
      <c r="AC794" s="404"/>
      <c r="AD794" s="380"/>
      <c r="AE794" s="380"/>
      <c r="AF794" s="380"/>
      <c r="AG794" s="380"/>
      <c r="AH794" s="380"/>
      <c r="AI794" s="380"/>
      <c r="AJ794" s="380"/>
      <c r="AK794" s="403"/>
      <c r="AL794" s="380"/>
      <c r="AM794" s="380"/>
      <c r="AN794" s="380"/>
      <c r="AO794" s="380"/>
      <c r="AP794" s="380"/>
      <c r="AQ794" s="404"/>
      <c r="AR794" s="380"/>
      <c r="AS794" s="380"/>
      <c r="AT794" s="380"/>
      <c r="AU794" s="380"/>
      <c r="AV794" s="380"/>
      <c r="AW794" s="380"/>
      <c r="AX794" s="380"/>
      <c r="AY794" s="403"/>
      <c r="AZ794" s="380"/>
      <c r="BA794" s="380"/>
      <c r="BB794" s="380"/>
      <c r="BC794" s="380"/>
      <c r="BD794" s="380"/>
      <c r="BE794" s="404"/>
      <c r="BF794" s="380"/>
      <c r="BG794" s="380"/>
      <c r="BH794" s="380"/>
      <c r="BI794" s="380"/>
      <c r="BJ794" s="380"/>
      <c r="BK794" s="380"/>
      <c r="BL794" s="380"/>
      <c r="BM794" s="403"/>
      <c r="BS794" s="83"/>
      <c r="CA794" s="405"/>
      <c r="CG794" s="83"/>
      <c r="CO794" s="405"/>
      <c r="CU794" s="83"/>
      <c r="DC794" s="405"/>
      <c r="DI794" s="83"/>
      <c r="DQ794" s="405"/>
      <c r="DW794" s="83"/>
      <c r="EE794" s="405"/>
      <c r="EK794" s="83"/>
      <c r="ES794" s="405"/>
      <c r="EY794" s="83"/>
      <c r="FG794" s="405"/>
      <c r="FM794" s="83"/>
      <c r="FU794" s="405"/>
      <c r="GA794" s="83"/>
      <c r="GI794" s="405"/>
      <c r="GO794" s="83"/>
      <c r="GW794" s="405"/>
      <c r="HC794" s="83"/>
      <c r="HK794" s="405"/>
      <c r="HQ794" s="83"/>
      <c r="HY794" s="405"/>
      <c r="IE794" s="83"/>
      <c r="IM794" s="405"/>
      <c r="IS794" s="83"/>
      <c r="JA794" s="405"/>
      <c r="JG794" s="83"/>
      <c r="JO794" s="405"/>
      <c r="JU794" s="83"/>
      <c r="KC794" s="405"/>
      <c r="KI794" s="83"/>
      <c r="KQ794" s="405"/>
      <c r="KW794" s="83"/>
      <c r="LE794" s="405"/>
      <c r="LK794" s="83"/>
      <c r="LS794" s="405"/>
      <c r="LY794" s="83"/>
      <c r="MG794" s="405"/>
      <c r="MM794" s="83"/>
      <c r="MU794" s="405"/>
      <c r="NA794" s="83"/>
    </row>
    <row r="795">
      <c r="A795" s="483"/>
      <c r="B795" s="380"/>
      <c r="C795" s="380"/>
      <c r="D795" s="380"/>
      <c r="E795" s="380"/>
      <c r="F795" s="380"/>
      <c r="G795" s="380"/>
      <c r="H795" s="380"/>
      <c r="I795" s="403"/>
      <c r="J795" s="380"/>
      <c r="K795" s="380"/>
      <c r="L795" s="380"/>
      <c r="M795" s="380"/>
      <c r="N795" s="380"/>
      <c r="O795" s="404"/>
      <c r="P795" s="380"/>
      <c r="Q795" s="380"/>
      <c r="R795" s="380"/>
      <c r="S795" s="380"/>
      <c r="T795" s="380"/>
      <c r="U795" s="380"/>
      <c r="V795" s="380"/>
      <c r="W795" s="403"/>
      <c r="X795" s="380"/>
      <c r="Y795" s="380"/>
      <c r="Z795" s="380"/>
      <c r="AA795" s="380"/>
      <c r="AB795" s="380"/>
      <c r="AC795" s="404"/>
      <c r="AD795" s="380"/>
      <c r="AE795" s="380"/>
      <c r="AF795" s="380"/>
      <c r="AG795" s="380"/>
      <c r="AH795" s="380"/>
      <c r="AI795" s="380"/>
      <c r="AJ795" s="380"/>
      <c r="AK795" s="403"/>
      <c r="AL795" s="380"/>
      <c r="AM795" s="380"/>
      <c r="AN795" s="380"/>
      <c r="AO795" s="380"/>
      <c r="AP795" s="380"/>
      <c r="AQ795" s="404"/>
      <c r="AR795" s="380"/>
      <c r="AS795" s="380"/>
      <c r="AT795" s="380"/>
      <c r="AU795" s="380"/>
      <c r="AV795" s="380"/>
      <c r="AW795" s="380"/>
      <c r="AX795" s="380"/>
      <c r="AY795" s="403"/>
      <c r="AZ795" s="380"/>
      <c r="BA795" s="380"/>
      <c r="BB795" s="380"/>
      <c r="BC795" s="380"/>
      <c r="BD795" s="380"/>
      <c r="BE795" s="404"/>
      <c r="BF795" s="380"/>
      <c r="BG795" s="380"/>
      <c r="BH795" s="380"/>
      <c r="BI795" s="380"/>
      <c r="BJ795" s="380"/>
      <c r="BK795" s="380"/>
      <c r="BL795" s="380"/>
      <c r="BM795" s="403"/>
      <c r="BS795" s="83"/>
      <c r="CA795" s="405"/>
      <c r="CG795" s="83"/>
      <c r="CO795" s="405"/>
      <c r="CU795" s="83"/>
      <c r="DC795" s="405"/>
      <c r="DI795" s="83"/>
      <c r="DQ795" s="405"/>
      <c r="DW795" s="83"/>
      <c r="EE795" s="405"/>
      <c r="EK795" s="83"/>
      <c r="ES795" s="405"/>
      <c r="EY795" s="83"/>
      <c r="FG795" s="405"/>
      <c r="FM795" s="83"/>
      <c r="FU795" s="405"/>
      <c r="GA795" s="83"/>
      <c r="GI795" s="405"/>
      <c r="GO795" s="83"/>
      <c r="GW795" s="405"/>
      <c r="HC795" s="83"/>
      <c r="HK795" s="405"/>
      <c r="HQ795" s="83"/>
      <c r="HY795" s="405"/>
      <c r="IE795" s="83"/>
      <c r="IM795" s="405"/>
      <c r="IS795" s="83"/>
      <c r="JA795" s="405"/>
      <c r="JG795" s="83"/>
      <c r="JO795" s="405"/>
      <c r="JU795" s="83"/>
      <c r="KC795" s="405"/>
      <c r="KI795" s="83"/>
      <c r="KQ795" s="405"/>
      <c r="KW795" s="83"/>
      <c r="LE795" s="405"/>
      <c r="LK795" s="83"/>
      <c r="LS795" s="405"/>
      <c r="LY795" s="83"/>
      <c r="MG795" s="405"/>
      <c r="MM795" s="83"/>
      <c r="MU795" s="405"/>
      <c r="NA795" s="83"/>
    </row>
    <row r="796">
      <c r="A796" s="483"/>
      <c r="B796" s="380"/>
      <c r="C796" s="380"/>
      <c r="D796" s="380"/>
      <c r="E796" s="380"/>
      <c r="F796" s="380"/>
      <c r="G796" s="380"/>
      <c r="H796" s="380"/>
      <c r="I796" s="403"/>
      <c r="J796" s="380"/>
      <c r="K796" s="380"/>
      <c r="L796" s="380"/>
      <c r="M796" s="380"/>
      <c r="N796" s="380"/>
      <c r="O796" s="404"/>
      <c r="P796" s="380"/>
      <c r="Q796" s="380"/>
      <c r="R796" s="380"/>
      <c r="S796" s="380"/>
      <c r="T796" s="380"/>
      <c r="U796" s="380"/>
      <c r="V796" s="380"/>
      <c r="W796" s="403"/>
      <c r="X796" s="380"/>
      <c r="Y796" s="380"/>
      <c r="Z796" s="380"/>
      <c r="AA796" s="380"/>
      <c r="AB796" s="380"/>
      <c r="AC796" s="404"/>
      <c r="AD796" s="380"/>
      <c r="AE796" s="380"/>
      <c r="AF796" s="380"/>
      <c r="AG796" s="380"/>
      <c r="AH796" s="380"/>
      <c r="AI796" s="380"/>
      <c r="AJ796" s="380"/>
      <c r="AK796" s="403"/>
      <c r="AL796" s="380"/>
      <c r="AM796" s="380"/>
      <c r="AN796" s="380"/>
      <c r="AO796" s="380"/>
      <c r="AP796" s="380"/>
      <c r="AQ796" s="404"/>
      <c r="AR796" s="380"/>
      <c r="AS796" s="380"/>
      <c r="AT796" s="380"/>
      <c r="AU796" s="380"/>
      <c r="AV796" s="380"/>
      <c r="AW796" s="380"/>
      <c r="AX796" s="380"/>
      <c r="AY796" s="403"/>
      <c r="AZ796" s="380"/>
      <c r="BA796" s="380"/>
      <c r="BB796" s="380"/>
      <c r="BC796" s="380"/>
      <c r="BD796" s="380"/>
      <c r="BE796" s="404"/>
      <c r="BF796" s="380"/>
      <c r="BG796" s="380"/>
      <c r="BH796" s="380"/>
      <c r="BI796" s="380"/>
      <c r="BJ796" s="380"/>
      <c r="BK796" s="380"/>
      <c r="BL796" s="380"/>
      <c r="BM796" s="403"/>
      <c r="BS796" s="83"/>
      <c r="CA796" s="405"/>
      <c r="CG796" s="83"/>
      <c r="CO796" s="405"/>
      <c r="CU796" s="83"/>
      <c r="DC796" s="405"/>
      <c r="DI796" s="83"/>
      <c r="DQ796" s="405"/>
      <c r="DW796" s="83"/>
      <c r="EE796" s="405"/>
      <c r="EK796" s="83"/>
      <c r="ES796" s="405"/>
      <c r="EY796" s="83"/>
      <c r="FG796" s="405"/>
      <c r="FM796" s="83"/>
      <c r="FU796" s="405"/>
      <c r="GA796" s="83"/>
      <c r="GI796" s="405"/>
      <c r="GO796" s="83"/>
      <c r="GW796" s="405"/>
      <c r="HC796" s="83"/>
      <c r="HK796" s="405"/>
      <c r="HQ796" s="83"/>
      <c r="HY796" s="405"/>
      <c r="IE796" s="83"/>
      <c r="IM796" s="405"/>
      <c r="IS796" s="83"/>
      <c r="JA796" s="405"/>
      <c r="JG796" s="83"/>
      <c r="JO796" s="405"/>
      <c r="JU796" s="83"/>
      <c r="KC796" s="405"/>
      <c r="KI796" s="83"/>
      <c r="KQ796" s="405"/>
      <c r="KW796" s="83"/>
      <c r="LE796" s="405"/>
      <c r="LK796" s="83"/>
      <c r="LS796" s="405"/>
      <c r="LY796" s="83"/>
      <c r="MG796" s="405"/>
      <c r="MM796" s="83"/>
      <c r="MU796" s="405"/>
      <c r="NA796" s="83"/>
    </row>
    <row r="797">
      <c r="A797" s="483"/>
      <c r="B797" s="380"/>
      <c r="C797" s="380"/>
      <c r="D797" s="380"/>
      <c r="E797" s="380"/>
      <c r="F797" s="380"/>
      <c r="G797" s="380"/>
      <c r="H797" s="380"/>
      <c r="I797" s="403"/>
      <c r="J797" s="380"/>
      <c r="K797" s="380"/>
      <c r="L797" s="380"/>
      <c r="M797" s="380"/>
      <c r="N797" s="380"/>
      <c r="O797" s="404"/>
      <c r="P797" s="380"/>
      <c r="Q797" s="380"/>
      <c r="R797" s="380"/>
      <c r="S797" s="380"/>
      <c r="T797" s="380"/>
      <c r="U797" s="380"/>
      <c r="V797" s="380"/>
      <c r="W797" s="403"/>
      <c r="X797" s="380"/>
      <c r="Y797" s="380"/>
      <c r="Z797" s="380"/>
      <c r="AA797" s="380"/>
      <c r="AB797" s="380"/>
      <c r="AC797" s="404"/>
      <c r="AD797" s="380"/>
      <c r="AE797" s="380"/>
      <c r="AF797" s="380"/>
      <c r="AG797" s="380"/>
      <c r="AH797" s="380"/>
      <c r="AI797" s="380"/>
      <c r="AJ797" s="380"/>
      <c r="AK797" s="403"/>
      <c r="AL797" s="380"/>
      <c r="AM797" s="380"/>
      <c r="AN797" s="380"/>
      <c r="AO797" s="380"/>
      <c r="AP797" s="380"/>
      <c r="AQ797" s="404"/>
      <c r="AR797" s="380"/>
      <c r="AS797" s="380"/>
      <c r="AT797" s="380"/>
      <c r="AU797" s="380"/>
      <c r="AV797" s="380"/>
      <c r="AW797" s="380"/>
      <c r="AX797" s="380"/>
      <c r="AY797" s="403"/>
      <c r="AZ797" s="380"/>
      <c r="BA797" s="380"/>
      <c r="BB797" s="380"/>
      <c r="BC797" s="380"/>
      <c r="BD797" s="380"/>
      <c r="BE797" s="404"/>
      <c r="BF797" s="380"/>
      <c r="BG797" s="380"/>
      <c r="BH797" s="380"/>
      <c r="BI797" s="380"/>
      <c r="BJ797" s="380"/>
      <c r="BK797" s="380"/>
      <c r="BL797" s="380"/>
      <c r="BM797" s="403"/>
      <c r="BS797" s="83"/>
      <c r="CA797" s="405"/>
      <c r="CG797" s="83"/>
      <c r="CO797" s="405"/>
      <c r="CU797" s="83"/>
      <c r="DC797" s="405"/>
      <c r="DI797" s="83"/>
      <c r="DQ797" s="405"/>
      <c r="DW797" s="83"/>
      <c r="EE797" s="405"/>
      <c r="EK797" s="83"/>
      <c r="ES797" s="405"/>
      <c r="EY797" s="83"/>
      <c r="FG797" s="405"/>
      <c r="FM797" s="83"/>
      <c r="FU797" s="405"/>
      <c r="GA797" s="83"/>
      <c r="GI797" s="405"/>
      <c r="GO797" s="83"/>
      <c r="GW797" s="405"/>
      <c r="HC797" s="83"/>
      <c r="HK797" s="405"/>
      <c r="HQ797" s="83"/>
      <c r="HY797" s="405"/>
      <c r="IE797" s="83"/>
      <c r="IM797" s="405"/>
      <c r="IS797" s="83"/>
      <c r="JA797" s="405"/>
      <c r="JG797" s="83"/>
      <c r="JO797" s="405"/>
      <c r="JU797" s="83"/>
      <c r="KC797" s="405"/>
      <c r="KI797" s="83"/>
      <c r="KQ797" s="405"/>
      <c r="KW797" s="83"/>
      <c r="LE797" s="405"/>
      <c r="LK797" s="83"/>
      <c r="LS797" s="405"/>
      <c r="LY797" s="83"/>
      <c r="MG797" s="405"/>
      <c r="MM797" s="83"/>
      <c r="MU797" s="405"/>
      <c r="NA797" s="83"/>
    </row>
    <row r="798">
      <c r="A798" s="483"/>
      <c r="B798" s="380"/>
      <c r="C798" s="380"/>
      <c r="D798" s="380"/>
      <c r="E798" s="380"/>
      <c r="F798" s="380"/>
      <c r="G798" s="380"/>
      <c r="H798" s="380"/>
      <c r="I798" s="403"/>
      <c r="J798" s="380"/>
      <c r="K798" s="380"/>
      <c r="L798" s="380"/>
      <c r="M798" s="380"/>
      <c r="N798" s="380"/>
      <c r="O798" s="404"/>
      <c r="P798" s="380"/>
      <c r="Q798" s="380"/>
      <c r="R798" s="380"/>
      <c r="S798" s="380"/>
      <c r="T798" s="380"/>
      <c r="U798" s="380"/>
      <c r="V798" s="380"/>
      <c r="W798" s="403"/>
      <c r="X798" s="380"/>
      <c r="Y798" s="380"/>
      <c r="Z798" s="380"/>
      <c r="AA798" s="380"/>
      <c r="AB798" s="380"/>
      <c r="AC798" s="404"/>
      <c r="AD798" s="380"/>
      <c r="AE798" s="380"/>
      <c r="AF798" s="380"/>
      <c r="AG798" s="380"/>
      <c r="AH798" s="380"/>
      <c r="AI798" s="380"/>
      <c r="AJ798" s="380"/>
      <c r="AK798" s="403"/>
      <c r="AL798" s="380"/>
      <c r="AM798" s="380"/>
      <c r="AN798" s="380"/>
      <c r="AO798" s="380"/>
      <c r="AP798" s="380"/>
      <c r="AQ798" s="404"/>
      <c r="AR798" s="380"/>
      <c r="AS798" s="380"/>
      <c r="AT798" s="380"/>
      <c r="AU798" s="380"/>
      <c r="AV798" s="380"/>
      <c r="AW798" s="380"/>
      <c r="AX798" s="380"/>
      <c r="AY798" s="403"/>
      <c r="AZ798" s="380"/>
      <c r="BA798" s="380"/>
      <c r="BB798" s="380"/>
      <c r="BC798" s="380"/>
      <c r="BD798" s="380"/>
      <c r="BE798" s="404"/>
      <c r="BF798" s="380"/>
      <c r="BG798" s="380"/>
      <c r="BH798" s="380"/>
      <c r="BI798" s="380"/>
      <c r="BJ798" s="380"/>
      <c r="BK798" s="380"/>
      <c r="BL798" s="380"/>
      <c r="BM798" s="403"/>
      <c r="BS798" s="83"/>
      <c r="CA798" s="405"/>
      <c r="CG798" s="83"/>
      <c r="CO798" s="405"/>
      <c r="CU798" s="83"/>
      <c r="DC798" s="405"/>
      <c r="DI798" s="83"/>
      <c r="DQ798" s="405"/>
      <c r="DW798" s="83"/>
      <c r="EE798" s="405"/>
      <c r="EK798" s="83"/>
      <c r="ES798" s="405"/>
      <c r="EY798" s="83"/>
      <c r="FG798" s="405"/>
      <c r="FM798" s="83"/>
      <c r="FU798" s="405"/>
      <c r="GA798" s="83"/>
      <c r="GI798" s="405"/>
      <c r="GO798" s="83"/>
      <c r="GW798" s="405"/>
      <c r="HC798" s="83"/>
      <c r="HK798" s="405"/>
      <c r="HQ798" s="83"/>
      <c r="HY798" s="405"/>
      <c r="IE798" s="83"/>
      <c r="IM798" s="405"/>
      <c r="IS798" s="83"/>
      <c r="JA798" s="405"/>
      <c r="JG798" s="83"/>
      <c r="JO798" s="405"/>
      <c r="JU798" s="83"/>
      <c r="KC798" s="405"/>
      <c r="KI798" s="83"/>
      <c r="KQ798" s="405"/>
      <c r="KW798" s="83"/>
      <c r="LE798" s="405"/>
      <c r="LK798" s="83"/>
      <c r="LS798" s="405"/>
      <c r="LY798" s="83"/>
      <c r="MG798" s="405"/>
      <c r="MM798" s="83"/>
      <c r="MU798" s="405"/>
      <c r="NA798" s="83"/>
    </row>
    <row r="799">
      <c r="A799" s="483"/>
      <c r="B799" s="380"/>
      <c r="C799" s="380"/>
      <c r="D799" s="380"/>
      <c r="E799" s="380"/>
      <c r="F799" s="380"/>
      <c r="G799" s="380"/>
      <c r="H799" s="380"/>
      <c r="I799" s="403"/>
      <c r="J799" s="380"/>
      <c r="K799" s="380"/>
      <c r="L799" s="380"/>
      <c r="M799" s="380"/>
      <c r="N799" s="380"/>
      <c r="O799" s="404"/>
      <c r="P799" s="380"/>
      <c r="Q799" s="380"/>
      <c r="R799" s="380"/>
      <c r="S799" s="380"/>
      <c r="T799" s="380"/>
      <c r="U799" s="380"/>
      <c r="V799" s="380"/>
      <c r="W799" s="403"/>
      <c r="X799" s="380"/>
      <c r="Y799" s="380"/>
      <c r="Z799" s="380"/>
      <c r="AA799" s="380"/>
      <c r="AB799" s="380"/>
      <c r="AC799" s="404"/>
      <c r="AD799" s="380"/>
      <c r="AE799" s="380"/>
      <c r="AF799" s="380"/>
      <c r="AG799" s="380"/>
      <c r="AH799" s="380"/>
      <c r="AI799" s="380"/>
      <c r="AJ799" s="380"/>
      <c r="AK799" s="403"/>
      <c r="AL799" s="380"/>
      <c r="AM799" s="380"/>
      <c r="AN799" s="380"/>
      <c r="AO799" s="380"/>
      <c r="AP799" s="380"/>
      <c r="AQ799" s="404"/>
      <c r="AR799" s="380"/>
      <c r="AS799" s="380"/>
      <c r="AT799" s="380"/>
      <c r="AU799" s="380"/>
      <c r="AV799" s="380"/>
      <c r="AW799" s="380"/>
      <c r="AX799" s="380"/>
      <c r="AY799" s="403"/>
      <c r="AZ799" s="380"/>
      <c r="BA799" s="380"/>
      <c r="BB799" s="380"/>
      <c r="BC799" s="380"/>
      <c r="BD799" s="380"/>
      <c r="BE799" s="404"/>
      <c r="BF799" s="380"/>
      <c r="BG799" s="380"/>
      <c r="BH799" s="380"/>
      <c r="BI799" s="380"/>
      <c r="BJ799" s="380"/>
      <c r="BK799" s="380"/>
      <c r="BL799" s="380"/>
      <c r="BM799" s="403"/>
      <c r="BS799" s="83"/>
      <c r="CA799" s="405"/>
      <c r="CG799" s="83"/>
      <c r="CO799" s="405"/>
      <c r="CU799" s="83"/>
      <c r="DC799" s="405"/>
      <c r="DI799" s="83"/>
      <c r="DQ799" s="405"/>
      <c r="DW799" s="83"/>
      <c r="EE799" s="405"/>
      <c r="EK799" s="83"/>
      <c r="ES799" s="405"/>
      <c r="EY799" s="83"/>
      <c r="FG799" s="405"/>
      <c r="FM799" s="83"/>
      <c r="FU799" s="405"/>
      <c r="GA799" s="83"/>
      <c r="GI799" s="405"/>
      <c r="GO799" s="83"/>
      <c r="GW799" s="405"/>
      <c r="HC799" s="83"/>
      <c r="HK799" s="405"/>
      <c r="HQ799" s="83"/>
      <c r="HY799" s="405"/>
      <c r="IE799" s="83"/>
      <c r="IM799" s="405"/>
      <c r="IS799" s="83"/>
      <c r="JA799" s="405"/>
      <c r="JG799" s="83"/>
      <c r="JO799" s="405"/>
      <c r="JU799" s="83"/>
      <c r="KC799" s="405"/>
      <c r="KI799" s="83"/>
      <c r="KQ799" s="405"/>
      <c r="KW799" s="83"/>
      <c r="LE799" s="405"/>
      <c r="LK799" s="83"/>
      <c r="LS799" s="405"/>
      <c r="LY799" s="83"/>
      <c r="MG799" s="405"/>
      <c r="MM799" s="83"/>
      <c r="MU799" s="405"/>
      <c r="NA799" s="83"/>
    </row>
    <row r="800">
      <c r="A800" s="483"/>
      <c r="B800" s="380"/>
      <c r="C800" s="380"/>
      <c r="D800" s="380"/>
      <c r="E800" s="380"/>
      <c r="F800" s="380"/>
      <c r="G800" s="380"/>
      <c r="H800" s="380"/>
      <c r="I800" s="403"/>
      <c r="J800" s="380"/>
      <c r="K800" s="380"/>
      <c r="L800" s="380"/>
      <c r="M800" s="380"/>
      <c r="N800" s="380"/>
      <c r="O800" s="404"/>
      <c r="P800" s="380"/>
      <c r="Q800" s="380"/>
      <c r="R800" s="380"/>
      <c r="S800" s="380"/>
      <c r="T800" s="380"/>
      <c r="U800" s="380"/>
      <c r="V800" s="380"/>
      <c r="W800" s="403"/>
      <c r="X800" s="380"/>
      <c r="Y800" s="380"/>
      <c r="Z800" s="380"/>
      <c r="AA800" s="380"/>
      <c r="AB800" s="380"/>
      <c r="AC800" s="404"/>
      <c r="AD800" s="380"/>
      <c r="AE800" s="380"/>
      <c r="AF800" s="380"/>
      <c r="AG800" s="380"/>
      <c r="AH800" s="380"/>
      <c r="AI800" s="380"/>
      <c r="AJ800" s="380"/>
      <c r="AK800" s="403"/>
      <c r="AL800" s="380"/>
      <c r="AM800" s="380"/>
      <c r="AN800" s="380"/>
      <c r="AO800" s="380"/>
      <c r="AP800" s="380"/>
      <c r="AQ800" s="404"/>
      <c r="AR800" s="380"/>
      <c r="AS800" s="380"/>
      <c r="AT800" s="380"/>
      <c r="AU800" s="380"/>
      <c r="AV800" s="380"/>
      <c r="AW800" s="380"/>
      <c r="AX800" s="380"/>
      <c r="AY800" s="403"/>
      <c r="AZ800" s="380"/>
      <c r="BA800" s="380"/>
      <c r="BB800" s="380"/>
      <c r="BC800" s="380"/>
      <c r="BD800" s="380"/>
      <c r="BE800" s="404"/>
      <c r="BF800" s="380"/>
      <c r="BG800" s="380"/>
      <c r="BH800" s="380"/>
      <c r="BI800" s="380"/>
      <c r="BJ800" s="380"/>
      <c r="BK800" s="380"/>
      <c r="BL800" s="380"/>
      <c r="BM800" s="403"/>
      <c r="BS800" s="83"/>
      <c r="CA800" s="405"/>
      <c r="CG800" s="83"/>
      <c r="CO800" s="405"/>
      <c r="CU800" s="83"/>
      <c r="DC800" s="405"/>
      <c r="DI800" s="83"/>
      <c r="DQ800" s="405"/>
      <c r="DW800" s="83"/>
      <c r="EE800" s="405"/>
      <c r="EK800" s="83"/>
      <c r="ES800" s="405"/>
      <c r="EY800" s="83"/>
      <c r="FG800" s="405"/>
      <c r="FM800" s="83"/>
      <c r="FU800" s="405"/>
      <c r="GA800" s="83"/>
      <c r="GI800" s="405"/>
      <c r="GO800" s="83"/>
      <c r="GW800" s="405"/>
      <c r="HC800" s="83"/>
      <c r="HK800" s="405"/>
      <c r="HQ800" s="83"/>
      <c r="HY800" s="405"/>
      <c r="IE800" s="83"/>
      <c r="IM800" s="405"/>
      <c r="IS800" s="83"/>
      <c r="JA800" s="405"/>
      <c r="JG800" s="83"/>
      <c r="JO800" s="405"/>
      <c r="JU800" s="83"/>
      <c r="KC800" s="405"/>
      <c r="KI800" s="83"/>
      <c r="KQ800" s="405"/>
      <c r="KW800" s="83"/>
      <c r="LE800" s="405"/>
      <c r="LK800" s="83"/>
      <c r="LS800" s="405"/>
      <c r="LY800" s="83"/>
      <c r="MG800" s="405"/>
      <c r="MM800" s="83"/>
      <c r="MU800" s="405"/>
      <c r="NA800" s="83"/>
    </row>
    <row r="801">
      <c r="A801" s="483"/>
      <c r="B801" s="380"/>
      <c r="C801" s="380"/>
      <c r="D801" s="380"/>
      <c r="E801" s="380"/>
      <c r="F801" s="380"/>
      <c r="G801" s="380"/>
      <c r="H801" s="380"/>
      <c r="I801" s="403"/>
      <c r="J801" s="380"/>
      <c r="K801" s="380"/>
      <c r="L801" s="380"/>
      <c r="M801" s="380"/>
      <c r="N801" s="380"/>
      <c r="O801" s="404"/>
      <c r="P801" s="380"/>
      <c r="Q801" s="380"/>
      <c r="R801" s="380"/>
      <c r="S801" s="380"/>
      <c r="T801" s="380"/>
      <c r="U801" s="380"/>
      <c r="V801" s="380"/>
      <c r="W801" s="403"/>
      <c r="X801" s="380"/>
      <c r="Y801" s="380"/>
      <c r="Z801" s="380"/>
      <c r="AA801" s="380"/>
      <c r="AB801" s="380"/>
      <c r="AC801" s="404"/>
      <c r="AD801" s="380"/>
      <c r="AE801" s="380"/>
      <c r="AF801" s="380"/>
      <c r="AG801" s="380"/>
      <c r="AH801" s="380"/>
      <c r="AI801" s="380"/>
      <c r="AJ801" s="380"/>
      <c r="AK801" s="403"/>
      <c r="AL801" s="380"/>
      <c r="AM801" s="380"/>
      <c r="AN801" s="380"/>
      <c r="AO801" s="380"/>
      <c r="AP801" s="380"/>
      <c r="AQ801" s="404"/>
      <c r="AR801" s="380"/>
      <c r="AS801" s="380"/>
      <c r="AT801" s="380"/>
      <c r="AU801" s="380"/>
      <c r="AV801" s="380"/>
      <c r="AW801" s="380"/>
      <c r="AX801" s="380"/>
      <c r="AY801" s="403"/>
      <c r="AZ801" s="380"/>
      <c r="BA801" s="380"/>
      <c r="BB801" s="380"/>
      <c r="BC801" s="380"/>
      <c r="BD801" s="380"/>
      <c r="BE801" s="404"/>
      <c r="BF801" s="380"/>
      <c r="BG801" s="380"/>
      <c r="BH801" s="380"/>
      <c r="BI801" s="380"/>
      <c r="BJ801" s="380"/>
      <c r="BK801" s="380"/>
      <c r="BL801" s="380"/>
      <c r="BM801" s="403"/>
      <c r="BS801" s="83"/>
      <c r="CA801" s="405"/>
      <c r="CG801" s="83"/>
      <c r="CO801" s="405"/>
      <c r="CU801" s="83"/>
      <c r="DC801" s="405"/>
      <c r="DI801" s="83"/>
      <c r="DQ801" s="405"/>
      <c r="DW801" s="83"/>
      <c r="EE801" s="405"/>
      <c r="EK801" s="83"/>
      <c r="ES801" s="405"/>
      <c r="EY801" s="83"/>
      <c r="FG801" s="405"/>
      <c r="FM801" s="83"/>
      <c r="FU801" s="405"/>
      <c r="GA801" s="83"/>
      <c r="GI801" s="405"/>
      <c r="GO801" s="83"/>
      <c r="GW801" s="405"/>
      <c r="HC801" s="83"/>
      <c r="HK801" s="405"/>
      <c r="HQ801" s="83"/>
      <c r="HY801" s="405"/>
      <c r="IE801" s="83"/>
      <c r="IM801" s="405"/>
      <c r="IS801" s="83"/>
      <c r="JA801" s="405"/>
      <c r="JG801" s="83"/>
      <c r="JO801" s="405"/>
      <c r="JU801" s="83"/>
      <c r="KC801" s="405"/>
      <c r="KI801" s="83"/>
      <c r="KQ801" s="405"/>
      <c r="KW801" s="83"/>
      <c r="LE801" s="405"/>
      <c r="LK801" s="83"/>
      <c r="LS801" s="405"/>
      <c r="LY801" s="83"/>
      <c r="MG801" s="405"/>
      <c r="MM801" s="83"/>
      <c r="MU801" s="405"/>
      <c r="NA801" s="83"/>
    </row>
    <row r="802">
      <c r="A802" s="483"/>
      <c r="B802" s="380"/>
      <c r="C802" s="380"/>
      <c r="D802" s="380"/>
      <c r="E802" s="380"/>
      <c r="F802" s="380"/>
      <c r="G802" s="380"/>
      <c r="H802" s="380"/>
      <c r="I802" s="403"/>
      <c r="J802" s="380"/>
      <c r="K802" s="380"/>
      <c r="L802" s="380"/>
      <c r="M802" s="380"/>
      <c r="N802" s="380"/>
      <c r="O802" s="404"/>
      <c r="P802" s="380"/>
      <c r="Q802" s="380"/>
      <c r="R802" s="380"/>
      <c r="S802" s="380"/>
      <c r="T802" s="380"/>
      <c r="U802" s="380"/>
      <c r="V802" s="380"/>
      <c r="W802" s="403"/>
      <c r="X802" s="380"/>
      <c r="Y802" s="380"/>
      <c r="Z802" s="380"/>
      <c r="AA802" s="380"/>
      <c r="AB802" s="380"/>
      <c r="AC802" s="404"/>
      <c r="AD802" s="380"/>
      <c r="AE802" s="380"/>
      <c r="AF802" s="380"/>
      <c r="AG802" s="380"/>
      <c r="AH802" s="380"/>
      <c r="AI802" s="380"/>
      <c r="AJ802" s="380"/>
      <c r="AK802" s="403"/>
      <c r="AL802" s="380"/>
      <c r="AM802" s="380"/>
      <c r="AN802" s="380"/>
      <c r="AO802" s="380"/>
      <c r="AP802" s="380"/>
      <c r="AQ802" s="404"/>
      <c r="AR802" s="380"/>
      <c r="AS802" s="380"/>
      <c r="AT802" s="380"/>
      <c r="AU802" s="380"/>
      <c r="AV802" s="380"/>
      <c r="AW802" s="380"/>
      <c r="AX802" s="380"/>
      <c r="AY802" s="403"/>
      <c r="AZ802" s="380"/>
      <c r="BA802" s="380"/>
      <c r="BB802" s="380"/>
      <c r="BC802" s="380"/>
      <c r="BD802" s="380"/>
      <c r="BE802" s="404"/>
      <c r="BF802" s="380"/>
      <c r="BG802" s="380"/>
      <c r="BH802" s="380"/>
      <c r="BI802" s="380"/>
      <c r="BJ802" s="380"/>
      <c r="BK802" s="380"/>
      <c r="BL802" s="380"/>
      <c r="BM802" s="403"/>
      <c r="BS802" s="83"/>
      <c r="CA802" s="405"/>
      <c r="CG802" s="83"/>
      <c r="CO802" s="405"/>
      <c r="CU802" s="83"/>
      <c r="DC802" s="405"/>
      <c r="DI802" s="83"/>
      <c r="DQ802" s="405"/>
      <c r="DW802" s="83"/>
      <c r="EE802" s="405"/>
      <c r="EK802" s="83"/>
      <c r="ES802" s="405"/>
      <c r="EY802" s="83"/>
      <c r="FG802" s="405"/>
      <c r="FM802" s="83"/>
      <c r="FU802" s="405"/>
      <c r="GA802" s="83"/>
      <c r="GI802" s="405"/>
      <c r="GO802" s="83"/>
      <c r="GW802" s="405"/>
      <c r="HC802" s="83"/>
      <c r="HK802" s="405"/>
      <c r="HQ802" s="83"/>
      <c r="HY802" s="405"/>
      <c r="IE802" s="83"/>
      <c r="IM802" s="405"/>
      <c r="IS802" s="83"/>
      <c r="JA802" s="405"/>
      <c r="JG802" s="83"/>
      <c r="JO802" s="405"/>
      <c r="JU802" s="83"/>
      <c r="KC802" s="405"/>
      <c r="KI802" s="83"/>
      <c r="KQ802" s="405"/>
      <c r="KW802" s="83"/>
      <c r="LE802" s="405"/>
      <c r="LK802" s="83"/>
      <c r="LS802" s="405"/>
      <c r="LY802" s="83"/>
      <c r="MG802" s="405"/>
      <c r="MM802" s="83"/>
      <c r="MU802" s="405"/>
      <c r="NA802" s="83"/>
    </row>
    <row r="803">
      <c r="A803" s="483"/>
      <c r="B803" s="380"/>
      <c r="C803" s="380"/>
      <c r="D803" s="380"/>
      <c r="E803" s="380"/>
      <c r="F803" s="380"/>
      <c r="G803" s="380"/>
      <c r="H803" s="380"/>
      <c r="I803" s="403"/>
      <c r="J803" s="380"/>
      <c r="K803" s="380"/>
      <c r="L803" s="380"/>
      <c r="M803" s="380"/>
      <c r="N803" s="380"/>
      <c r="O803" s="404"/>
      <c r="P803" s="380"/>
      <c r="Q803" s="380"/>
      <c r="R803" s="380"/>
      <c r="S803" s="380"/>
      <c r="T803" s="380"/>
      <c r="U803" s="380"/>
      <c r="V803" s="380"/>
      <c r="W803" s="403"/>
      <c r="X803" s="380"/>
      <c r="Y803" s="380"/>
      <c r="Z803" s="380"/>
      <c r="AA803" s="380"/>
      <c r="AB803" s="380"/>
      <c r="AC803" s="404"/>
      <c r="AD803" s="380"/>
      <c r="AE803" s="380"/>
      <c r="AF803" s="380"/>
      <c r="AG803" s="380"/>
      <c r="AH803" s="380"/>
      <c r="AI803" s="380"/>
      <c r="AJ803" s="380"/>
      <c r="AK803" s="403"/>
      <c r="AL803" s="380"/>
      <c r="AM803" s="380"/>
      <c r="AN803" s="380"/>
      <c r="AO803" s="380"/>
      <c r="AP803" s="380"/>
      <c r="AQ803" s="404"/>
      <c r="AR803" s="380"/>
      <c r="AS803" s="380"/>
      <c r="AT803" s="380"/>
      <c r="AU803" s="380"/>
      <c r="AV803" s="380"/>
      <c r="AW803" s="380"/>
      <c r="AX803" s="380"/>
      <c r="AY803" s="403"/>
      <c r="AZ803" s="380"/>
      <c r="BA803" s="380"/>
      <c r="BB803" s="380"/>
      <c r="BC803" s="380"/>
      <c r="BD803" s="380"/>
      <c r="BE803" s="404"/>
      <c r="BF803" s="380"/>
      <c r="BG803" s="380"/>
      <c r="BH803" s="380"/>
      <c r="BI803" s="380"/>
      <c r="BJ803" s="380"/>
      <c r="BK803" s="380"/>
      <c r="BL803" s="380"/>
      <c r="BM803" s="403"/>
      <c r="BS803" s="83"/>
      <c r="CA803" s="405"/>
      <c r="CG803" s="83"/>
      <c r="CO803" s="405"/>
      <c r="CU803" s="83"/>
      <c r="DC803" s="405"/>
      <c r="DI803" s="83"/>
      <c r="DQ803" s="405"/>
      <c r="DW803" s="83"/>
      <c r="EE803" s="405"/>
      <c r="EK803" s="83"/>
      <c r="ES803" s="405"/>
      <c r="EY803" s="83"/>
      <c r="FG803" s="405"/>
      <c r="FM803" s="83"/>
      <c r="FU803" s="405"/>
      <c r="GA803" s="83"/>
      <c r="GI803" s="405"/>
      <c r="GO803" s="83"/>
      <c r="GW803" s="405"/>
      <c r="HC803" s="83"/>
      <c r="HK803" s="405"/>
      <c r="HQ803" s="83"/>
      <c r="HY803" s="405"/>
      <c r="IE803" s="83"/>
      <c r="IM803" s="405"/>
      <c r="IS803" s="83"/>
      <c r="JA803" s="405"/>
      <c r="JG803" s="83"/>
      <c r="JO803" s="405"/>
      <c r="JU803" s="83"/>
      <c r="KC803" s="405"/>
      <c r="KI803" s="83"/>
      <c r="KQ803" s="405"/>
      <c r="KW803" s="83"/>
      <c r="LE803" s="405"/>
      <c r="LK803" s="83"/>
      <c r="LS803" s="405"/>
      <c r="LY803" s="83"/>
      <c r="MG803" s="405"/>
      <c r="MM803" s="83"/>
      <c r="MU803" s="405"/>
      <c r="NA803" s="83"/>
    </row>
    <row r="804">
      <c r="A804" s="483"/>
      <c r="B804" s="380"/>
      <c r="C804" s="380"/>
      <c r="D804" s="380"/>
      <c r="E804" s="380"/>
      <c r="F804" s="380"/>
      <c r="G804" s="380"/>
      <c r="H804" s="380"/>
      <c r="I804" s="403"/>
      <c r="J804" s="380"/>
      <c r="K804" s="380"/>
      <c r="L804" s="380"/>
      <c r="M804" s="380"/>
      <c r="N804" s="380"/>
      <c r="O804" s="404"/>
      <c r="P804" s="380"/>
      <c r="Q804" s="380"/>
      <c r="R804" s="380"/>
      <c r="S804" s="380"/>
      <c r="T804" s="380"/>
      <c r="U804" s="380"/>
      <c r="V804" s="380"/>
      <c r="W804" s="403"/>
      <c r="X804" s="380"/>
      <c r="Y804" s="380"/>
      <c r="Z804" s="380"/>
      <c r="AA804" s="380"/>
      <c r="AB804" s="380"/>
      <c r="AC804" s="404"/>
      <c r="AD804" s="380"/>
      <c r="AE804" s="380"/>
      <c r="AF804" s="380"/>
      <c r="AG804" s="380"/>
      <c r="AH804" s="380"/>
      <c r="AI804" s="380"/>
      <c r="AJ804" s="380"/>
      <c r="AK804" s="403"/>
      <c r="AL804" s="380"/>
      <c r="AM804" s="380"/>
      <c r="AN804" s="380"/>
      <c r="AO804" s="380"/>
      <c r="AP804" s="380"/>
      <c r="AQ804" s="404"/>
      <c r="AR804" s="380"/>
      <c r="AS804" s="380"/>
      <c r="AT804" s="380"/>
      <c r="AU804" s="380"/>
      <c r="AV804" s="380"/>
      <c r="AW804" s="380"/>
      <c r="AX804" s="380"/>
      <c r="AY804" s="403"/>
      <c r="AZ804" s="380"/>
      <c r="BA804" s="380"/>
      <c r="BB804" s="380"/>
      <c r="BC804" s="380"/>
      <c r="BD804" s="380"/>
      <c r="BE804" s="404"/>
      <c r="BF804" s="380"/>
      <c r="BG804" s="380"/>
      <c r="BH804" s="380"/>
      <c r="BI804" s="380"/>
      <c r="BJ804" s="380"/>
      <c r="BK804" s="380"/>
      <c r="BL804" s="380"/>
      <c r="BM804" s="403"/>
      <c r="BS804" s="83"/>
      <c r="CA804" s="405"/>
      <c r="CG804" s="83"/>
      <c r="CO804" s="405"/>
      <c r="CU804" s="83"/>
      <c r="DC804" s="405"/>
      <c r="DI804" s="83"/>
      <c r="DQ804" s="405"/>
      <c r="DW804" s="83"/>
      <c r="EE804" s="405"/>
      <c r="EK804" s="83"/>
      <c r="ES804" s="405"/>
      <c r="EY804" s="83"/>
      <c r="FG804" s="405"/>
      <c r="FM804" s="83"/>
      <c r="FU804" s="405"/>
      <c r="GA804" s="83"/>
      <c r="GI804" s="405"/>
      <c r="GO804" s="83"/>
      <c r="GW804" s="405"/>
      <c r="HC804" s="83"/>
      <c r="HK804" s="405"/>
      <c r="HQ804" s="83"/>
      <c r="HY804" s="405"/>
      <c r="IE804" s="83"/>
      <c r="IM804" s="405"/>
      <c r="IS804" s="83"/>
      <c r="JA804" s="405"/>
      <c r="JG804" s="83"/>
      <c r="JO804" s="405"/>
      <c r="JU804" s="83"/>
      <c r="KC804" s="405"/>
      <c r="KI804" s="83"/>
      <c r="KQ804" s="405"/>
      <c r="KW804" s="83"/>
      <c r="LE804" s="405"/>
      <c r="LK804" s="83"/>
      <c r="LS804" s="405"/>
      <c r="LY804" s="83"/>
      <c r="MG804" s="405"/>
      <c r="MM804" s="83"/>
      <c r="MU804" s="405"/>
      <c r="NA804" s="83"/>
    </row>
    <row r="805">
      <c r="A805" s="483"/>
      <c r="B805" s="380"/>
      <c r="C805" s="380"/>
      <c r="D805" s="380"/>
      <c r="E805" s="380"/>
      <c r="F805" s="380"/>
      <c r="G805" s="380"/>
      <c r="H805" s="380"/>
      <c r="I805" s="403"/>
      <c r="J805" s="380"/>
      <c r="K805" s="380"/>
      <c r="L805" s="380"/>
      <c r="M805" s="380"/>
      <c r="N805" s="380"/>
      <c r="O805" s="404"/>
      <c r="P805" s="380"/>
      <c r="Q805" s="380"/>
      <c r="R805" s="380"/>
      <c r="S805" s="380"/>
      <c r="T805" s="380"/>
      <c r="U805" s="380"/>
      <c r="V805" s="380"/>
      <c r="W805" s="403"/>
      <c r="X805" s="380"/>
      <c r="Y805" s="380"/>
      <c r="Z805" s="380"/>
      <c r="AA805" s="380"/>
      <c r="AB805" s="380"/>
      <c r="AC805" s="404"/>
      <c r="AD805" s="380"/>
      <c r="AE805" s="380"/>
      <c r="AF805" s="380"/>
      <c r="AG805" s="380"/>
      <c r="AH805" s="380"/>
      <c r="AI805" s="380"/>
      <c r="AJ805" s="380"/>
      <c r="AK805" s="403"/>
      <c r="AL805" s="380"/>
      <c r="AM805" s="380"/>
      <c r="AN805" s="380"/>
      <c r="AO805" s="380"/>
      <c r="AP805" s="380"/>
      <c r="AQ805" s="404"/>
      <c r="AR805" s="380"/>
      <c r="AS805" s="380"/>
      <c r="AT805" s="380"/>
      <c r="AU805" s="380"/>
      <c r="AV805" s="380"/>
      <c r="AW805" s="380"/>
      <c r="AX805" s="380"/>
      <c r="AY805" s="403"/>
      <c r="AZ805" s="380"/>
      <c r="BA805" s="380"/>
      <c r="BB805" s="380"/>
      <c r="BC805" s="380"/>
      <c r="BD805" s="380"/>
      <c r="BE805" s="404"/>
      <c r="BF805" s="380"/>
      <c r="BG805" s="380"/>
      <c r="BH805" s="380"/>
      <c r="BI805" s="380"/>
      <c r="BJ805" s="380"/>
      <c r="BK805" s="380"/>
      <c r="BL805" s="380"/>
      <c r="BM805" s="403"/>
      <c r="BS805" s="83"/>
      <c r="CA805" s="405"/>
      <c r="CG805" s="83"/>
      <c r="CO805" s="405"/>
      <c r="CU805" s="83"/>
      <c r="DC805" s="405"/>
      <c r="DI805" s="83"/>
      <c r="DQ805" s="405"/>
      <c r="DW805" s="83"/>
      <c r="EE805" s="405"/>
      <c r="EK805" s="83"/>
      <c r="ES805" s="405"/>
      <c r="EY805" s="83"/>
      <c r="FG805" s="405"/>
      <c r="FM805" s="83"/>
      <c r="FU805" s="405"/>
      <c r="GA805" s="83"/>
      <c r="GI805" s="405"/>
      <c r="GO805" s="83"/>
      <c r="GW805" s="405"/>
      <c r="HC805" s="83"/>
      <c r="HK805" s="405"/>
      <c r="HQ805" s="83"/>
      <c r="HY805" s="405"/>
      <c r="IE805" s="83"/>
      <c r="IM805" s="405"/>
      <c r="IS805" s="83"/>
      <c r="JA805" s="405"/>
      <c r="JG805" s="83"/>
      <c r="JO805" s="405"/>
      <c r="JU805" s="83"/>
      <c r="KC805" s="405"/>
      <c r="KI805" s="83"/>
      <c r="KQ805" s="405"/>
      <c r="KW805" s="83"/>
      <c r="LE805" s="405"/>
      <c r="LK805" s="83"/>
      <c r="LS805" s="405"/>
      <c r="LY805" s="83"/>
      <c r="MG805" s="405"/>
      <c r="MM805" s="83"/>
      <c r="MU805" s="405"/>
      <c r="NA805" s="83"/>
    </row>
    <row r="806">
      <c r="A806" s="483"/>
      <c r="B806" s="380"/>
      <c r="C806" s="380"/>
      <c r="D806" s="380"/>
      <c r="E806" s="380"/>
      <c r="F806" s="380"/>
      <c r="G806" s="380"/>
      <c r="H806" s="380"/>
      <c r="I806" s="403"/>
      <c r="J806" s="380"/>
      <c r="K806" s="380"/>
      <c r="L806" s="380"/>
      <c r="M806" s="380"/>
      <c r="N806" s="380"/>
      <c r="O806" s="404"/>
      <c r="P806" s="380"/>
      <c r="Q806" s="380"/>
      <c r="R806" s="380"/>
      <c r="S806" s="380"/>
      <c r="T806" s="380"/>
      <c r="U806" s="380"/>
      <c r="V806" s="380"/>
      <c r="W806" s="403"/>
      <c r="X806" s="380"/>
      <c r="Y806" s="380"/>
      <c r="Z806" s="380"/>
      <c r="AA806" s="380"/>
      <c r="AB806" s="380"/>
      <c r="AC806" s="404"/>
      <c r="AD806" s="380"/>
      <c r="AE806" s="380"/>
      <c r="AF806" s="380"/>
      <c r="AG806" s="380"/>
      <c r="AH806" s="380"/>
      <c r="AI806" s="380"/>
      <c r="AJ806" s="380"/>
      <c r="AK806" s="403"/>
      <c r="AL806" s="380"/>
      <c r="AM806" s="380"/>
      <c r="AN806" s="380"/>
      <c r="AO806" s="380"/>
      <c r="AP806" s="380"/>
      <c r="AQ806" s="404"/>
      <c r="AR806" s="380"/>
      <c r="AS806" s="380"/>
      <c r="AT806" s="380"/>
      <c r="AU806" s="380"/>
      <c r="AV806" s="380"/>
      <c r="AW806" s="380"/>
      <c r="AX806" s="380"/>
      <c r="AY806" s="403"/>
      <c r="AZ806" s="380"/>
      <c r="BA806" s="380"/>
      <c r="BB806" s="380"/>
      <c r="BC806" s="380"/>
      <c r="BD806" s="380"/>
      <c r="BE806" s="404"/>
      <c r="BF806" s="380"/>
      <c r="BG806" s="380"/>
      <c r="BH806" s="380"/>
      <c r="BI806" s="380"/>
      <c r="BJ806" s="380"/>
      <c r="BK806" s="380"/>
      <c r="BL806" s="380"/>
      <c r="BM806" s="403"/>
      <c r="BS806" s="83"/>
      <c r="CA806" s="405"/>
      <c r="CG806" s="83"/>
      <c r="CO806" s="405"/>
      <c r="CU806" s="83"/>
      <c r="DC806" s="405"/>
      <c r="DI806" s="83"/>
      <c r="DQ806" s="405"/>
      <c r="DW806" s="83"/>
      <c r="EE806" s="405"/>
      <c r="EK806" s="83"/>
      <c r="ES806" s="405"/>
      <c r="EY806" s="83"/>
      <c r="FG806" s="405"/>
      <c r="FM806" s="83"/>
      <c r="FU806" s="405"/>
      <c r="GA806" s="83"/>
      <c r="GI806" s="405"/>
      <c r="GO806" s="83"/>
      <c r="GW806" s="405"/>
      <c r="HC806" s="83"/>
      <c r="HK806" s="405"/>
      <c r="HQ806" s="83"/>
      <c r="HY806" s="405"/>
      <c r="IE806" s="83"/>
      <c r="IM806" s="405"/>
      <c r="IS806" s="83"/>
      <c r="JA806" s="405"/>
      <c r="JG806" s="83"/>
      <c r="JO806" s="405"/>
      <c r="JU806" s="83"/>
      <c r="KC806" s="405"/>
      <c r="KI806" s="83"/>
      <c r="KQ806" s="405"/>
      <c r="KW806" s="83"/>
      <c r="LE806" s="405"/>
      <c r="LK806" s="83"/>
      <c r="LS806" s="405"/>
      <c r="LY806" s="83"/>
      <c r="MG806" s="405"/>
      <c r="MM806" s="83"/>
      <c r="MU806" s="405"/>
      <c r="NA806" s="83"/>
    </row>
    <row r="807">
      <c r="A807" s="483"/>
      <c r="B807" s="380"/>
      <c r="C807" s="380"/>
      <c r="D807" s="380"/>
      <c r="E807" s="380"/>
      <c r="F807" s="380"/>
      <c r="G807" s="380"/>
      <c r="H807" s="380"/>
      <c r="I807" s="403"/>
      <c r="J807" s="380"/>
      <c r="K807" s="380"/>
      <c r="L807" s="380"/>
      <c r="M807" s="380"/>
      <c r="N807" s="380"/>
      <c r="O807" s="404"/>
      <c r="P807" s="380"/>
      <c r="Q807" s="380"/>
      <c r="R807" s="380"/>
      <c r="S807" s="380"/>
      <c r="T807" s="380"/>
      <c r="U807" s="380"/>
      <c r="V807" s="380"/>
      <c r="W807" s="403"/>
      <c r="X807" s="380"/>
      <c r="Y807" s="380"/>
      <c r="Z807" s="380"/>
      <c r="AA807" s="380"/>
      <c r="AB807" s="380"/>
      <c r="AC807" s="404"/>
      <c r="AD807" s="380"/>
      <c r="AE807" s="380"/>
      <c r="AF807" s="380"/>
      <c r="AG807" s="380"/>
      <c r="AH807" s="380"/>
      <c r="AI807" s="380"/>
      <c r="AJ807" s="380"/>
      <c r="AK807" s="403"/>
      <c r="AL807" s="380"/>
      <c r="AM807" s="380"/>
      <c r="AN807" s="380"/>
      <c r="AO807" s="380"/>
      <c r="AP807" s="380"/>
      <c r="AQ807" s="404"/>
      <c r="AR807" s="380"/>
      <c r="AS807" s="380"/>
      <c r="AT807" s="380"/>
      <c r="AU807" s="380"/>
      <c r="AV807" s="380"/>
      <c r="AW807" s="380"/>
      <c r="AX807" s="380"/>
      <c r="AY807" s="403"/>
      <c r="AZ807" s="380"/>
      <c r="BA807" s="380"/>
      <c r="BB807" s="380"/>
      <c r="BC807" s="380"/>
      <c r="BD807" s="380"/>
      <c r="BE807" s="404"/>
      <c r="BF807" s="380"/>
      <c r="BG807" s="380"/>
      <c r="BH807" s="380"/>
      <c r="BI807" s="380"/>
      <c r="BJ807" s="380"/>
      <c r="BK807" s="380"/>
      <c r="BL807" s="380"/>
      <c r="BM807" s="403"/>
      <c r="BS807" s="83"/>
      <c r="CA807" s="405"/>
      <c r="CG807" s="83"/>
      <c r="CO807" s="405"/>
      <c r="CU807" s="83"/>
      <c r="DC807" s="405"/>
      <c r="DI807" s="83"/>
      <c r="DQ807" s="405"/>
      <c r="DW807" s="83"/>
      <c r="EE807" s="405"/>
      <c r="EK807" s="83"/>
      <c r="ES807" s="405"/>
      <c r="EY807" s="83"/>
      <c r="FG807" s="405"/>
      <c r="FM807" s="83"/>
      <c r="FU807" s="405"/>
      <c r="GA807" s="83"/>
      <c r="GI807" s="405"/>
      <c r="GO807" s="83"/>
      <c r="GW807" s="405"/>
      <c r="HC807" s="83"/>
      <c r="HK807" s="405"/>
      <c r="HQ807" s="83"/>
      <c r="HY807" s="405"/>
      <c r="IE807" s="83"/>
      <c r="IM807" s="405"/>
      <c r="IS807" s="83"/>
      <c r="JA807" s="405"/>
      <c r="JG807" s="83"/>
      <c r="JO807" s="405"/>
      <c r="JU807" s="83"/>
      <c r="KC807" s="405"/>
      <c r="KI807" s="83"/>
      <c r="KQ807" s="405"/>
      <c r="KW807" s="83"/>
      <c r="LE807" s="405"/>
      <c r="LK807" s="83"/>
      <c r="LS807" s="405"/>
      <c r="LY807" s="83"/>
      <c r="MG807" s="405"/>
      <c r="MM807" s="83"/>
      <c r="MU807" s="405"/>
      <c r="NA807" s="83"/>
    </row>
    <row r="808">
      <c r="A808" s="483"/>
      <c r="B808" s="380"/>
      <c r="C808" s="380"/>
      <c r="D808" s="380"/>
      <c r="E808" s="380"/>
      <c r="F808" s="380"/>
      <c r="G808" s="380"/>
      <c r="H808" s="380"/>
      <c r="I808" s="403"/>
      <c r="J808" s="380"/>
      <c r="K808" s="380"/>
      <c r="L808" s="380"/>
      <c r="M808" s="380"/>
      <c r="N808" s="380"/>
      <c r="O808" s="404"/>
      <c r="P808" s="380"/>
      <c r="Q808" s="380"/>
      <c r="R808" s="380"/>
      <c r="S808" s="380"/>
      <c r="T808" s="380"/>
      <c r="U808" s="380"/>
      <c r="V808" s="380"/>
      <c r="W808" s="403"/>
      <c r="X808" s="380"/>
      <c r="Y808" s="380"/>
      <c r="Z808" s="380"/>
      <c r="AA808" s="380"/>
      <c r="AB808" s="380"/>
      <c r="AC808" s="404"/>
      <c r="AD808" s="380"/>
      <c r="AE808" s="380"/>
      <c r="AF808" s="380"/>
      <c r="AG808" s="380"/>
      <c r="AH808" s="380"/>
      <c r="AI808" s="380"/>
      <c r="AJ808" s="380"/>
      <c r="AK808" s="403"/>
      <c r="AL808" s="380"/>
      <c r="AM808" s="380"/>
      <c r="AN808" s="380"/>
      <c r="AO808" s="380"/>
      <c r="AP808" s="380"/>
      <c r="AQ808" s="404"/>
      <c r="AR808" s="380"/>
      <c r="AS808" s="380"/>
      <c r="AT808" s="380"/>
      <c r="AU808" s="380"/>
      <c r="AV808" s="380"/>
      <c r="AW808" s="380"/>
      <c r="AX808" s="380"/>
      <c r="AY808" s="403"/>
      <c r="AZ808" s="380"/>
      <c r="BA808" s="380"/>
      <c r="BB808" s="380"/>
      <c r="BC808" s="380"/>
      <c r="BD808" s="380"/>
      <c r="BE808" s="404"/>
      <c r="BF808" s="380"/>
      <c r="BG808" s="380"/>
      <c r="BH808" s="380"/>
      <c r="BI808" s="380"/>
      <c r="BJ808" s="380"/>
      <c r="BK808" s="380"/>
      <c r="BL808" s="380"/>
      <c r="BM808" s="403"/>
      <c r="BS808" s="83"/>
      <c r="CA808" s="405"/>
      <c r="CG808" s="83"/>
      <c r="CO808" s="405"/>
      <c r="CU808" s="83"/>
      <c r="DC808" s="405"/>
      <c r="DI808" s="83"/>
      <c r="DQ808" s="405"/>
      <c r="DW808" s="83"/>
      <c r="EE808" s="405"/>
      <c r="EK808" s="83"/>
      <c r="ES808" s="405"/>
      <c r="EY808" s="83"/>
      <c r="FG808" s="405"/>
      <c r="FM808" s="83"/>
      <c r="FU808" s="405"/>
      <c r="GA808" s="83"/>
      <c r="GI808" s="405"/>
      <c r="GO808" s="83"/>
      <c r="GW808" s="405"/>
      <c r="HC808" s="83"/>
      <c r="HK808" s="405"/>
      <c r="HQ808" s="83"/>
      <c r="HY808" s="405"/>
      <c r="IE808" s="83"/>
      <c r="IM808" s="405"/>
      <c r="IS808" s="83"/>
      <c r="JA808" s="405"/>
      <c r="JG808" s="83"/>
      <c r="JO808" s="405"/>
      <c r="JU808" s="83"/>
      <c r="KC808" s="405"/>
      <c r="KI808" s="83"/>
      <c r="KQ808" s="405"/>
      <c r="KW808" s="83"/>
      <c r="LE808" s="405"/>
      <c r="LK808" s="83"/>
      <c r="LS808" s="405"/>
      <c r="LY808" s="83"/>
      <c r="MG808" s="405"/>
      <c r="MM808" s="83"/>
      <c r="MU808" s="405"/>
      <c r="NA808" s="83"/>
    </row>
    <row r="809">
      <c r="A809" s="483"/>
      <c r="B809" s="380"/>
      <c r="C809" s="380"/>
      <c r="D809" s="380"/>
      <c r="E809" s="380"/>
      <c r="F809" s="380"/>
      <c r="G809" s="380"/>
      <c r="H809" s="380"/>
      <c r="I809" s="403"/>
      <c r="J809" s="380"/>
      <c r="K809" s="380"/>
      <c r="L809" s="380"/>
      <c r="M809" s="380"/>
      <c r="N809" s="380"/>
      <c r="O809" s="404"/>
      <c r="P809" s="380"/>
      <c r="Q809" s="380"/>
      <c r="R809" s="380"/>
      <c r="S809" s="380"/>
      <c r="T809" s="380"/>
      <c r="U809" s="380"/>
      <c r="V809" s="380"/>
      <c r="W809" s="403"/>
      <c r="X809" s="380"/>
      <c r="Y809" s="380"/>
      <c r="Z809" s="380"/>
      <c r="AA809" s="380"/>
      <c r="AB809" s="380"/>
      <c r="AC809" s="404"/>
      <c r="AD809" s="380"/>
      <c r="AE809" s="380"/>
      <c r="AF809" s="380"/>
      <c r="AG809" s="380"/>
      <c r="AH809" s="380"/>
      <c r="AI809" s="380"/>
      <c r="AJ809" s="380"/>
      <c r="AK809" s="403"/>
      <c r="AL809" s="380"/>
      <c r="AM809" s="380"/>
      <c r="AN809" s="380"/>
      <c r="AO809" s="380"/>
      <c r="AP809" s="380"/>
      <c r="AQ809" s="404"/>
      <c r="AR809" s="380"/>
      <c r="AS809" s="380"/>
      <c r="AT809" s="380"/>
      <c r="AU809" s="380"/>
      <c r="AV809" s="380"/>
      <c r="AW809" s="380"/>
      <c r="AX809" s="380"/>
      <c r="AY809" s="403"/>
      <c r="AZ809" s="380"/>
      <c r="BA809" s="380"/>
      <c r="BB809" s="380"/>
      <c r="BC809" s="380"/>
      <c r="BD809" s="380"/>
      <c r="BE809" s="404"/>
      <c r="BF809" s="380"/>
      <c r="BG809" s="380"/>
      <c r="BH809" s="380"/>
      <c r="BI809" s="380"/>
      <c r="BJ809" s="380"/>
      <c r="BK809" s="380"/>
      <c r="BL809" s="380"/>
      <c r="BM809" s="403"/>
      <c r="BS809" s="83"/>
      <c r="CA809" s="405"/>
      <c r="CG809" s="83"/>
      <c r="CO809" s="405"/>
      <c r="CU809" s="83"/>
      <c r="DC809" s="405"/>
      <c r="DI809" s="83"/>
      <c r="DQ809" s="405"/>
      <c r="DW809" s="83"/>
      <c r="EE809" s="405"/>
      <c r="EK809" s="83"/>
      <c r="ES809" s="405"/>
      <c r="EY809" s="83"/>
      <c r="FG809" s="405"/>
      <c r="FM809" s="83"/>
      <c r="FU809" s="405"/>
      <c r="GA809" s="83"/>
      <c r="GI809" s="405"/>
      <c r="GO809" s="83"/>
      <c r="GW809" s="405"/>
      <c r="HC809" s="83"/>
      <c r="HK809" s="405"/>
      <c r="HQ809" s="83"/>
      <c r="HY809" s="405"/>
      <c r="IE809" s="83"/>
      <c r="IM809" s="405"/>
      <c r="IS809" s="83"/>
      <c r="JA809" s="405"/>
      <c r="JG809" s="83"/>
      <c r="JO809" s="405"/>
      <c r="JU809" s="83"/>
      <c r="KC809" s="405"/>
      <c r="KI809" s="83"/>
      <c r="KQ809" s="405"/>
      <c r="KW809" s="83"/>
      <c r="LE809" s="405"/>
      <c r="LK809" s="83"/>
      <c r="LS809" s="405"/>
      <c r="LY809" s="83"/>
      <c r="MG809" s="405"/>
      <c r="MM809" s="83"/>
      <c r="MU809" s="405"/>
      <c r="NA809" s="83"/>
    </row>
    <row r="810">
      <c r="A810" s="483"/>
      <c r="B810" s="380"/>
      <c r="C810" s="380"/>
      <c r="D810" s="380"/>
      <c r="E810" s="380"/>
      <c r="F810" s="380"/>
      <c r="G810" s="380"/>
      <c r="H810" s="380"/>
      <c r="I810" s="403"/>
      <c r="J810" s="380"/>
      <c r="K810" s="380"/>
      <c r="L810" s="380"/>
      <c r="M810" s="380"/>
      <c r="N810" s="380"/>
      <c r="O810" s="404"/>
      <c r="P810" s="380"/>
      <c r="Q810" s="380"/>
      <c r="R810" s="380"/>
      <c r="S810" s="380"/>
      <c r="T810" s="380"/>
      <c r="U810" s="380"/>
      <c r="V810" s="380"/>
      <c r="W810" s="403"/>
      <c r="X810" s="380"/>
      <c r="Y810" s="380"/>
      <c r="Z810" s="380"/>
      <c r="AA810" s="380"/>
      <c r="AB810" s="380"/>
      <c r="AC810" s="404"/>
      <c r="AD810" s="380"/>
      <c r="AE810" s="380"/>
      <c r="AF810" s="380"/>
      <c r="AG810" s="380"/>
      <c r="AH810" s="380"/>
      <c r="AI810" s="380"/>
      <c r="AJ810" s="380"/>
      <c r="AK810" s="403"/>
      <c r="AL810" s="380"/>
      <c r="AM810" s="380"/>
      <c r="AN810" s="380"/>
      <c r="AO810" s="380"/>
      <c r="AP810" s="380"/>
      <c r="AQ810" s="404"/>
      <c r="AR810" s="380"/>
      <c r="AS810" s="380"/>
      <c r="AT810" s="380"/>
      <c r="AU810" s="380"/>
      <c r="AV810" s="380"/>
      <c r="AW810" s="380"/>
      <c r="AX810" s="380"/>
      <c r="AY810" s="403"/>
      <c r="AZ810" s="380"/>
      <c r="BA810" s="380"/>
      <c r="BB810" s="380"/>
      <c r="BC810" s="380"/>
      <c r="BD810" s="380"/>
      <c r="BE810" s="404"/>
      <c r="BF810" s="380"/>
      <c r="BG810" s="380"/>
      <c r="BH810" s="380"/>
      <c r="BI810" s="380"/>
      <c r="BJ810" s="380"/>
      <c r="BK810" s="380"/>
      <c r="BL810" s="380"/>
      <c r="BM810" s="403"/>
      <c r="BS810" s="83"/>
      <c r="CA810" s="405"/>
      <c r="CG810" s="83"/>
      <c r="CO810" s="405"/>
      <c r="CU810" s="83"/>
      <c r="DC810" s="405"/>
      <c r="DI810" s="83"/>
      <c r="DQ810" s="405"/>
      <c r="DW810" s="83"/>
      <c r="EE810" s="405"/>
      <c r="EK810" s="83"/>
      <c r="ES810" s="405"/>
      <c r="EY810" s="83"/>
      <c r="FG810" s="405"/>
      <c r="FM810" s="83"/>
      <c r="FU810" s="405"/>
      <c r="GA810" s="83"/>
      <c r="GI810" s="405"/>
      <c r="GO810" s="83"/>
      <c r="GW810" s="405"/>
      <c r="HC810" s="83"/>
      <c r="HK810" s="405"/>
      <c r="HQ810" s="83"/>
      <c r="HY810" s="405"/>
      <c r="IE810" s="83"/>
      <c r="IM810" s="405"/>
      <c r="IS810" s="83"/>
      <c r="JA810" s="405"/>
      <c r="JG810" s="83"/>
      <c r="JO810" s="405"/>
      <c r="JU810" s="83"/>
      <c r="KC810" s="405"/>
      <c r="KI810" s="83"/>
      <c r="KQ810" s="405"/>
      <c r="KW810" s="83"/>
      <c r="LE810" s="405"/>
      <c r="LK810" s="83"/>
      <c r="LS810" s="405"/>
      <c r="LY810" s="83"/>
      <c r="MG810" s="405"/>
      <c r="MM810" s="83"/>
      <c r="MU810" s="405"/>
      <c r="NA810" s="83"/>
    </row>
    <row r="811">
      <c r="A811" s="483"/>
      <c r="B811" s="380"/>
      <c r="C811" s="380"/>
      <c r="D811" s="380"/>
      <c r="E811" s="380"/>
      <c r="F811" s="380"/>
      <c r="G811" s="380"/>
      <c r="H811" s="380"/>
      <c r="I811" s="403"/>
      <c r="J811" s="380"/>
      <c r="K811" s="380"/>
      <c r="L811" s="380"/>
      <c r="M811" s="380"/>
      <c r="N811" s="380"/>
      <c r="O811" s="404"/>
      <c r="P811" s="380"/>
      <c r="Q811" s="380"/>
      <c r="R811" s="380"/>
      <c r="S811" s="380"/>
      <c r="T811" s="380"/>
      <c r="U811" s="380"/>
      <c r="V811" s="380"/>
      <c r="W811" s="403"/>
      <c r="X811" s="380"/>
      <c r="Y811" s="380"/>
      <c r="Z811" s="380"/>
      <c r="AA811" s="380"/>
      <c r="AB811" s="380"/>
      <c r="AC811" s="404"/>
      <c r="AD811" s="380"/>
      <c r="AE811" s="380"/>
      <c r="AF811" s="380"/>
      <c r="AG811" s="380"/>
      <c r="AH811" s="380"/>
      <c r="AI811" s="380"/>
      <c r="AJ811" s="380"/>
      <c r="AK811" s="403"/>
      <c r="AL811" s="380"/>
      <c r="AM811" s="380"/>
      <c r="AN811" s="380"/>
      <c r="AO811" s="380"/>
      <c r="AP811" s="380"/>
      <c r="AQ811" s="404"/>
      <c r="AR811" s="380"/>
      <c r="AS811" s="380"/>
      <c r="AT811" s="380"/>
      <c r="AU811" s="380"/>
      <c r="AV811" s="380"/>
      <c r="AW811" s="380"/>
      <c r="AX811" s="380"/>
      <c r="AY811" s="403"/>
      <c r="AZ811" s="380"/>
      <c r="BA811" s="380"/>
      <c r="BB811" s="380"/>
      <c r="BC811" s="380"/>
      <c r="BD811" s="380"/>
      <c r="BE811" s="404"/>
      <c r="BF811" s="380"/>
      <c r="BG811" s="380"/>
      <c r="BH811" s="380"/>
      <c r="BI811" s="380"/>
      <c r="BJ811" s="380"/>
      <c r="BK811" s="380"/>
      <c r="BL811" s="380"/>
      <c r="BM811" s="403"/>
      <c r="BS811" s="83"/>
      <c r="CA811" s="405"/>
      <c r="CG811" s="83"/>
      <c r="CO811" s="405"/>
      <c r="CU811" s="83"/>
      <c r="DC811" s="405"/>
      <c r="DI811" s="83"/>
      <c r="DQ811" s="405"/>
      <c r="DW811" s="83"/>
      <c r="EE811" s="405"/>
      <c r="EK811" s="83"/>
      <c r="ES811" s="405"/>
      <c r="EY811" s="83"/>
      <c r="FG811" s="405"/>
      <c r="FM811" s="83"/>
      <c r="FU811" s="405"/>
      <c r="GA811" s="83"/>
      <c r="GI811" s="405"/>
      <c r="GO811" s="83"/>
      <c r="GW811" s="405"/>
      <c r="HC811" s="83"/>
      <c r="HK811" s="405"/>
      <c r="HQ811" s="83"/>
      <c r="HY811" s="405"/>
      <c r="IE811" s="83"/>
      <c r="IM811" s="405"/>
      <c r="IS811" s="83"/>
      <c r="JA811" s="405"/>
      <c r="JG811" s="83"/>
      <c r="JO811" s="405"/>
      <c r="JU811" s="83"/>
      <c r="KC811" s="405"/>
      <c r="KI811" s="83"/>
      <c r="KQ811" s="405"/>
      <c r="KW811" s="83"/>
      <c r="LE811" s="405"/>
      <c r="LK811" s="83"/>
      <c r="LS811" s="405"/>
      <c r="LY811" s="83"/>
      <c r="MG811" s="405"/>
      <c r="MM811" s="83"/>
      <c r="MU811" s="405"/>
      <c r="NA811" s="83"/>
    </row>
    <row r="812">
      <c r="A812" s="483"/>
      <c r="B812" s="380"/>
      <c r="C812" s="380"/>
      <c r="D812" s="380"/>
      <c r="E812" s="380"/>
      <c r="F812" s="380"/>
      <c r="G812" s="380"/>
      <c r="H812" s="380"/>
      <c r="I812" s="403"/>
      <c r="J812" s="380"/>
      <c r="K812" s="380"/>
      <c r="L812" s="380"/>
      <c r="M812" s="380"/>
      <c r="N812" s="380"/>
      <c r="O812" s="404"/>
      <c r="P812" s="380"/>
      <c r="Q812" s="380"/>
      <c r="R812" s="380"/>
      <c r="S812" s="380"/>
      <c r="T812" s="380"/>
      <c r="U812" s="380"/>
      <c r="V812" s="380"/>
      <c r="W812" s="403"/>
      <c r="X812" s="380"/>
      <c r="Y812" s="380"/>
      <c r="Z812" s="380"/>
      <c r="AA812" s="380"/>
      <c r="AB812" s="380"/>
      <c r="AC812" s="404"/>
      <c r="AD812" s="380"/>
      <c r="AE812" s="380"/>
      <c r="AF812" s="380"/>
      <c r="AG812" s="380"/>
      <c r="AH812" s="380"/>
      <c r="AI812" s="380"/>
      <c r="AJ812" s="380"/>
      <c r="AK812" s="403"/>
      <c r="AL812" s="380"/>
      <c r="AM812" s="380"/>
      <c r="AN812" s="380"/>
      <c r="AO812" s="380"/>
      <c r="AP812" s="380"/>
      <c r="AQ812" s="404"/>
      <c r="AR812" s="380"/>
      <c r="AS812" s="380"/>
      <c r="AT812" s="380"/>
      <c r="AU812" s="380"/>
      <c r="AV812" s="380"/>
      <c r="AW812" s="380"/>
      <c r="AX812" s="380"/>
      <c r="AY812" s="403"/>
      <c r="AZ812" s="380"/>
      <c r="BA812" s="380"/>
      <c r="BB812" s="380"/>
      <c r="BC812" s="380"/>
      <c r="BD812" s="380"/>
      <c r="BE812" s="404"/>
      <c r="BF812" s="380"/>
      <c r="BG812" s="380"/>
      <c r="BH812" s="380"/>
      <c r="BI812" s="380"/>
      <c r="BJ812" s="380"/>
      <c r="BK812" s="380"/>
      <c r="BL812" s="380"/>
      <c r="BM812" s="403"/>
      <c r="BS812" s="83"/>
      <c r="CA812" s="405"/>
      <c r="CG812" s="83"/>
      <c r="CO812" s="405"/>
      <c r="CU812" s="83"/>
      <c r="DC812" s="405"/>
      <c r="DI812" s="83"/>
      <c r="DQ812" s="405"/>
      <c r="DW812" s="83"/>
      <c r="EE812" s="405"/>
      <c r="EK812" s="83"/>
      <c r="ES812" s="405"/>
      <c r="EY812" s="83"/>
      <c r="FG812" s="405"/>
      <c r="FM812" s="83"/>
      <c r="FU812" s="405"/>
      <c r="GA812" s="83"/>
      <c r="GI812" s="405"/>
      <c r="GO812" s="83"/>
      <c r="GW812" s="405"/>
      <c r="HC812" s="83"/>
      <c r="HK812" s="405"/>
      <c r="HQ812" s="83"/>
      <c r="HY812" s="405"/>
      <c r="IE812" s="83"/>
      <c r="IM812" s="405"/>
      <c r="IS812" s="83"/>
      <c r="JA812" s="405"/>
      <c r="JG812" s="83"/>
      <c r="JO812" s="405"/>
      <c r="JU812" s="83"/>
      <c r="KC812" s="405"/>
      <c r="KI812" s="83"/>
      <c r="KQ812" s="405"/>
      <c r="KW812" s="83"/>
      <c r="LE812" s="405"/>
      <c r="LK812" s="83"/>
      <c r="LS812" s="405"/>
      <c r="LY812" s="83"/>
      <c r="MG812" s="405"/>
      <c r="MM812" s="83"/>
      <c r="MU812" s="405"/>
      <c r="NA812" s="83"/>
    </row>
    <row r="813">
      <c r="A813" s="483"/>
      <c r="B813" s="380"/>
      <c r="C813" s="380"/>
      <c r="D813" s="380"/>
      <c r="E813" s="380"/>
      <c r="F813" s="380"/>
      <c r="G813" s="380"/>
      <c r="H813" s="380"/>
      <c r="I813" s="403"/>
      <c r="J813" s="380"/>
      <c r="K813" s="380"/>
      <c r="L813" s="380"/>
      <c r="M813" s="380"/>
      <c r="N813" s="380"/>
      <c r="O813" s="404"/>
      <c r="P813" s="380"/>
      <c r="Q813" s="380"/>
      <c r="R813" s="380"/>
      <c r="S813" s="380"/>
      <c r="T813" s="380"/>
      <c r="U813" s="380"/>
      <c r="V813" s="380"/>
      <c r="W813" s="403"/>
      <c r="X813" s="380"/>
      <c r="Y813" s="380"/>
      <c r="Z813" s="380"/>
      <c r="AA813" s="380"/>
      <c r="AB813" s="380"/>
      <c r="AC813" s="404"/>
      <c r="AD813" s="380"/>
      <c r="AE813" s="380"/>
      <c r="AF813" s="380"/>
      <c r="AG813" s="380"/>
      <c r="AH813" s="380"/>
      <c r="AI813" s="380"/>
      <c r="AJ813" s="380"/>
      <c r="AK813" s="403"/>
      <c r="AL813" s="380"/>
      <c r="AM813" s="380"/>
      <c r="AN813" s="380"/>
      <c r="AO813" s="380"/>
      <c r="AP813" s="380"/>
      <c r="AQ813" s="404"/>
      <c r="AR813" s="380"/>
      <c r="AS813" s="380"/>
      <c r="AT813" s="380"/>
      <c r="AU813" s="380"/>
      <c r="AV813" s="380"/>
      <c r="AW813" s="380"/>
      <c r="AX813" s="380"/>
      <c r="AY813" s="403"/>
      <c r="AZ813" s="380"/>
      <c r="BA813" s="380"/>
      <c r="BB813" s="380"/>
      <c r="BC813" s="380"/>
      <c r="BD813" s="380"/>
      <c r="BE813" s="404"/>
      <c r="BF813" s="380"/>
      <c r="BG813" s="380"/>
      <c r="BH813" s="380"/>
      <c r="BI813" s="380"/>
      <c r="BJ813" s="380"/>
      <c r="BK813" s="380"/>
      <c r="BL813" s="380"/>
      <c r="BM813" s="403"/>
      <c r="BS813" s="83"/>
      <c r="CA813" s="405"/>
      <c r="CG813" s="83"/>
      <c r="CO813" s="405"/>
      <c r="CU813" s="83"/>
      <c r="DC813" s="405"/>
      <c r="DI813" s="83"/>
      <c r="DQ813" s="405"/>
      <c r="DW813" s="83"/>
      <c r="EE813" s="405"/>
      <c r="EK813" s="83"/>
      <c r="ES813" s="405"/>
      <c r="EY813" s="83"/>
      <c r="FG813" s="405"/>
      <c r="FM813" s="83"/>
      <c r="FU813" s="405"/>
      <c r="GA813" s="83"/>
      <c r="GI813" s="405"/>
      <c r="GO813" s="83"/>
      <c r="GW813" s="405"/>
      <c r="HC813" s="83"/>
      <c r="HK813" s="405"/>
      <c r="HQ813" s="83"/>
      <c r="HY813" s="405"/>
      <c r="IE813" s="83"/>
      <c r="IM813" s="405"/>
      <c r="IS813" s="83"/>
      <c r="JA813" s="405"/>
      <c r="JG813" s="83"/>
      <c r="JO813" s="405"/>
      <c r="JU813" s="83"/>
      <c r="KC813" s="405"/>
      <c r="KI813" s="83"/>
      <c r="KQ813" s="405"/>
      <c r="KW813" s="83"/>
      <c r="LE813" s="405"/>
      <c r="LK813" s="83"/>
      <c r="LS813" s="405"/>
      <c r="LY813" s="83"/>
      <c r="MG813" s="405"/>
      <c r="MM813" s="83"/>
      <c r="MU813" s="405"/>
      <c r="NA813" s="83"/>
    </row>
    <row r="814">
      <c r="A814" s="483"/>
      <c r="B814" s="380"/>
      <c r="C814" s="380"/>
      <c r="D814" s="380"/>
      <c r="E814" s="380"/>
      <c r="F814" s="380"/>
      <c r="G814" s="380"/>
      <c r="H814" s="380"/>
      <c r="I814" s="403"/>
      <c r="J814" s="380"/>
      <c r="K814" s="380"/>
      <c r="L814" s="380"/>
      <c r="M814" s="380"/>
      <c r="N814" s="380"/>
      <c r="O814" s="404"/>
      <c r="P814" s="380"/>
      <c r="Q814" s="380"/>
      <c r="R814" s="380"/>
      <c r="S814" s="380"/>
      <c r="T814" s="380"/>
      <c r="U814" s="380"/>
      <c r="V814" s="380"/>
      <c r="W814" s="403"/>
      <c r="X814" s="380"/>
      <c r="Y814" s="380"/>
      <c r="Z814" s="380"/>
      <c r="AA814" s="380"/>
      <c r="AB814" s="380"/>
      <c r="AC814" s="404"/>
      <c r="AD814" s="380"/>
      <c r="AE814" s="380"/>
      <c r="AF814" s="380"/>
      <c r="AG814" s="380"/>
      <c r="AH814" s="380"/>
      <c r="AI814" s="380"/>
      <c r="AJ814" s="380"/>
      <c r="AK814" s="403"/>
      <c r="AL814" s="380"/>
      <c r="AM814" s="380"/>
      <c r="AN814" s="380"/>
      <c r="AO814" s="380"/>
      <c r="AP814" s="380"/>
      <c r="AQ814" s="404"/>
      <c r="AR814" s="380"/>
      <c r="AS814" s="380"/>
      <c r="AT814" s="380"/>
      <c r="AU814" s="380"/>
      <c r="AV814" s="380"/>
      <c r="AW814" s="380"/>
      <c r="AX814" s="380"/>
      <c r="AY814" s="403"/>
      <c r="AZ814" s="380"/>
      <c r="BA814" s="380"/>
      <c r="BB814" s="380"/>
      <c r="BC814" s="380"/>
      <c r="BD814" s="380"/>
      <c r="BE814" s="404"/>
      <c r="BF814" s="380"/>
      <c r="BG814" s="380"/>
      <c r="BH814" s="380"/>
      <c r="BI814" s="380"/>
      <c r="BJ814" s="380"/>
      <c r="BK814" s="380"/>
      <c r="BL814" s="380"/>
      <c r="BM814" s="403"/>
      <c r="BS814" s="83"/>
      <c r="CA814" s="405"/>
      <c r="CG814" s="83"/>
      <c r="CO814" s="405"/>
      <c r="CU814" s="83"/>
      <c r="DC814" s="405"/>
      <c r="DI814" s="83"/>
      <c r="DQ814" s="405"/>
      <c r="DW814" s="83"/>
      <c r="EE814" s="405"/>
      <c r="EK814" s="83"/>
      <c r="ES814" s="405"/>
      <c r="EY814" s="83"/>
      <c r="FG814" s="405"/>
      <c r="FM814" s="83"/>
      <c r="FU814" s="405"/>
      <c r="GA814" s="83"/>
      <c r="GI814" s="405"/>
      <c r="GO814" s="83"/>
      <c r="GW814" s="405"/>
      <c r="HC814" s="83"/>
      <c r="HK814" s="405"/>
      <c r="HQ814" s="83"/>
      <c r="HY814" s="405"/>
      <c r="IE814" s="83"/>
      <c r="IM814" s="405"/>
      <c r="IS814" s="83"/>
      <c r="JA814" s="405"/>
      <c r="JG814" s="83"/>
      <c r="JO814" s="405"/>
      <c r="JU814" s="83"/>
      <c r="KC814" s="405"/>
      <c r="KI814" s="83"/>
      <c r="KQ814" s="405"/>
      <c r="KW814" s="83"/>
      <c r="LE814" s="405"/>
      <c r="LK814" s="83"/>
      <c r="LS814" s="405"/>
      <c r="LY814" s="83"/>
      <c r="MG814" s="405"/>
      <c r="MM814" s="83"/>
      <c r="MU814" s="405"/>
      <c r="NA814" s="83"/>
    </row>
    <row r="815">
      <c r="A815" s="483"/>
      <c r="B815" s="380"/>
      <c r="C815" s="380"/>
      <c r="D815" s="380"/>
      <c r="E815" s="380"/>
      <c r="F815" s="380"/>
      <c r="G815" s="380"/>
      <c r="H815" s="380"/>
      <c r="I815" s="403"/>
      <c r="J815" s="380"/>
      <c r="K815" s="380"/>
      <c r="L815" s="380"/>
      <c r="M815" s="380"/>
      <c r="N815" s="380"/>
      <c r="O815" s="404"/>
      <c r="P815" s="380"/>
      <c r="Q815" s="380"/>
      <c r="R815" s="380"/>
      <c r="S815" s="380"/>
      <c r="T815" s="380"/>
      <c r="U815" s="380"/>
      <c r="V815" s="380"/>
      <c r="W815" s="403"/>
      <c r="X815" s="380"/>
      <c r="Y815" s="380"/>
      <c r="Z815" s="380"/>
      <c r="AA815" s="380"/>
      <c r="AB815" s="380"/>
      <c r="AC815" s="404"/>
      <c r="AD815" s="380"/>
      <c r="AE815" s="380"/>
      <c r="AF815" s="380"/>
      <c r="AG815" s="380"/>
      <c r="AH815" s="380"/>
      <c r="AI815" s="380"/>
      <c r="AJ815" s="380"/>
      <c r="AK815" s="403"/>
      <c r="AL815" s="380"/>
      <c r="AM815" s="380"/>
      <c r="AN815" s="380"/>
      <c r="AO815" s="380"/>
      <c r="AP815" s="380"/>
      <c r="AQ815" s="404"/>
      <c r="AR815" s="380"/>
      <c r="AS815" s="380"/>
      <c r="AT815" s="380"/>
      <c r="AU815" s="380"/>
      <c r="AV815" s="380"/>
      <c r="AW815" s="380"/>
      <c r="AX815" s="380"/>
      <c r="AY815" s="403"/>
      <c r="AZ815" s="380"/>
      <c r="BA815" s="380"/>
      <c r="BB815" s="380"/>
      <c r="BC815" s="380"/>
      <c r="BD815" s="380"/>
      <c r="BE815" s="404"/>
      <c r="BF815" s="380"/>
      <c r="BG815" s="380"/>
      <c r="BH815" s="380"/>
      <c r="BI815" s="380"/>
      <c r="BJ815" s="380"/>
      <c r="BK815" s="380"/>
      <c r="BL815" s="380"/>
      <c r="BM815" s="403"/>
      <c r="BS815" s="83"/>
      <c r="CA815" s="405"/>
      <c r="CG815" s="83"/>
      <c r="CO815" s="405"/>
      <c r="CU815" s="83"/>
      <c r="DC815" s="405"/>
      <c r="DI815" s="83"/>
      <c r="DQ815" s="405"/>
      <c r="DW815" s="83"/>
      <c r="EE815" s="405"/>
      <c r="EK815" s="83"/>
      <c r="ES815" s="405"/>
      <c r="EY815" s="83"/>
      <c r="FG815" s="405"/>
      <c r="FM815" s="83"/>
      <c r="FU815" s="405"/>
      <c r="GA815" s="83"/>
      <c r="GI815" s="405"/>
      <c r="GO815" s="83"/>
      <c r="GW815" s="405"/>
      <c r="HC815" s="83"/>
      <c r="HK815" s="405"/>
      <c r="HQ815" s="83"/>
      <c r="HY815" s="405"/>
      <c r="IE815" s="83"/>
      <c r="IM815" s="405"/>
      <c r="IS815" s="83"/>
      <c r="JA815" s="405"/>
      <c r="JG815" s="83"/>
      <c r="JO815" s="405"/>
      <c r="JU815" s="83"/>
      <c r="KC815" s="405"/>
      <c r="KI815" s="83"/>
      <c r="KQ815" s="405"/>
      <c r="KW815" s="83"/>
      <c r="LE815" s="405"/>
      <c r="LK815" s="83"/>
      <c r="LS815" s="405"/>
      <c r="LY815" s="83"/>
      <c r="MG815" s="405"/>
      <c r="MM815" s="83"/>
      <c r="MU815" s="405"/>
      <c r="NA815" s="83"/>
    </row>
    <row r="816">
      <c r="A816" s="483"/>
      <c r="B816" s="380"/>
      <c r="C816" s="380"/>
      <c r="D816" s="380"/>
      <c r="E816" s="380"/>
      <c r="F816" s="380"/>
      <c r="G816" s="380"/>
      <c r="H816" s="380"/>
      <c r="I816" s="403"/>
      <c r="J816" s="380"/>
      <c r="K816" s="380"/>
      <c r="L816" s="380"/>
      <c r="M816" s="380"/>
      <c r="N816" s="380"/>
      <c r="O816" s="404"/>
      <c r="P816" s="380"/>
      <c r="Q816" s="380"/>
      <c r="R816" s="380"/>
      <c r="S816" s="380"/>
      <c r="T816" s="380"/>
      <c r="U816" s="380"/>
      <c r="V816" s="380"/>
      <c r="W816" s="403"/>
      <c r="X816" s="380"/>
      <c r="Y816" s="380"/>
      <c r="Z816" s="380"/>
      <c r="AA816" s="380"/>
      <c r="AB816" s="380"/>
      <c r="AC816" s="404"/>
      <c r="AD816" s="380"/>
      <c r="AE816" s="380"/>
      <c r="AF816" s="380"/>
      <c r="AG816" s="380"/>
      <c r="AH816" s="380"/>
      <c r="AI816" s="380"/>
      <c r="AJ816" s="380"/>
      <c r="AK816" s="403"/>
      <c r="AL816" s="380"/>
      <c r="AM816" s="380"/>
      <c r="AN816" s="380"/>
      <c r="AO816" s="380"/>
      <c r="AP816" s="380"/>
      <c r="AQ816" s="404"/>
      <c r="AR816" s="380"/>
      <c r="AS816" s="380"/>
      <c r="AT816" s="380"/>
      <c r="AU816" s="380"/>
      <c r="AV816" s="380"/>
      <c r="AW816" s="380"/>
      <c r="AX816" s="380"/>
      <c r="AY816" s="403"/>
      <c r="AZ816" s="380"/>
      <c r="BA816" s="380"/>
      <c r="BB816" s="380"/>
      <c r="BC816" s="380"/>
      <c r="BD816" s="380"/>
      <c r="BE816" s="404"/>
      <c r="BF816" s="380"/>
      <c r="BG816" s="380"/>
      <c r="BH816" s="380"/>
      <c r="BI816" s="380"/>
      <c r="BJ816" s="380"/>
      <c r="BK816" s="380"/>
      <c r="BL816" s="380"/>
      <c r="BM816" s="403"/>
      <c r="BS816" s="83"/>
      <c r="CA816" s="405"/>
      <c r="CG816" s="83"/>
      <c r="CO816" s="405"/>
      <c r="CU816" s="83"/>
      <c r="DC816" s="405"/>
      <c r="DI816" s="83"/>
      <c r="DQ816" s="405"/>
      <c r="DW816" s="83"/>
      <c r="EE816" s="405"/>
      <c r="EK816" s="83"/>
      <c r="ES816" s="405"/>
      <c r="EY816" s="83"/>
      <c r="FG816" s="405"/>
      <c r="FM816" s="83"/>
      <c r="FU816" s="405"/>
      <c r="GA816" s="83"/>
      <c r="GI816" s="405"/>
      <c r="GO816" s="83"/>
      <c r="GW816" s="405"/>
      <c r="HC816" s="83"/>
      <c r="HK816" s="405"/>
      <c r="HQ816" s="83"/>
      <c r="HY816" s="405"/>
      <c r="IE816" s="83"/>
      <c r="IM816" s="405"/>
      <c r="IS816" s="83"/>
      <c r="JA816" s="405"/>
      <c r="JG816" s="83"/>
      <c r="JO816" s="405"/>
      <c r="JU816" s="83"/>
      <c r="KC816" s="405"/>
      <c r="KI816" s="83"/>
      <c r="KQ816" s="405"/>
      <c r="KW816" s="83"/>
      <c r="LE816" s="405"/>
      <c r="LK816" s="83"/>
      <c r="LS816" s="405"/>
      <c r="LY816" s="83"/>
      <c r="MG816" s="405"/>
      <c r="MM816" s="83"/>
      <c r="MU816" s="405"/>
      <c r="NA816" s="83"/>
    </row>
    <row r="817">
      <c r="A817" s="483"/>
      <c r="B817" s="380"/>
      <c r="C817" s="380"/>
      <c r="D817" s="380"/>
      <c r="E817" s="380"/>
      <c r="F817" s="380"/>
      <c r="G817" s="380"/>
      <c r="H817" s="380"/>
      <c r="I817" s="403"/>
      <c r="J817" s="380"/>
      <c r="K817" s="380"/>
      <c r="L817" s="380"/>
      <c r="M817" s="380"/>
      <c r="N817" s="380"/>
      <c r="O817" s="404"/>
      <c r="P817" s="380"/>
      <c r="Q817" s="380"/>
      <c r="R817" s="380"/>
      <c r="S817" s="380"/>
      <c r="T817" s="380"/>
      <c r="U817" s="380"/>
      <c r="V817" s="380"/>
      <c r="W817" s="403"/>
      <c r="X817" s="380"/>
      <c r="Y817" s="380"/>
      <c r="Z817" s="380"/>
      <c r="AA817" s="380"/>
      <c r="AB817" s="380"/>
      <c r="AC817" s="404"/>
      <c r="AD817" s="380"/>
      <c r="AE817" s="380"/>
      <c r="AF817" s="380"/>
      <c r="AG817" s="380"/>
      <c r="AH817" s="380"/>
      <c r="AI817" s="380"/>
      <c r="AJ817" s="380"/>
      <c r="AK817" s="403"/>
      <c r="AL817" s="380"/>
      <c r="AM817" s="380"/>
      <c r="AN817" s="380"/>
      <c r="AO817" s="380"/>
      <c r="AP817" s="380"/>
      <c r="AQ817" s="404"/>
      <c r="AR817" s="380"/>
      <c r="AS817" s="380"/>
      <c r="AT817" s="380"/>
      <c r="AU817" s="380"/>
      <c r="AV817" s="380"/>
      <c r="AW817" s="380"/>
      <c r="AX817" s="380"/>
      <c r="AY817" s="403"/>
      <c r="AZ817" s="380"/>
      <c r="BA817" s="380"/>
      <c r="BB817" s="380"/>
      <c r="BC817" s="380"/>
      <c r="BD817" s="380"/>
      <c r="BE817" s="404"/>
      <c r="BF817" s="380"/>
      <c r="BG817" s="380"/>
      <c r="BH817" s="380"/>
      <c r="BI817" s="380"/>
      <c r="BJ817" s="380"/>
      <c r="BK817" s="380"/>
      <c r="BL817" s="380"/>
      <c r="BM817" s="403"/>
      <c r="BS817" s="83"/>
      <c r="CA817" s="405"/>
      <c r="CG817" s="83"/>
      <c r="CO817" s="405"/>
      <c r="CU817" s="83"/>
      <c r="DC817" s="405"/>
      <c r="DI817" s="83"/>
      <c r="DQ817" s="405"/>
      <c r="DW817" s="83"/>
      <c r="EE817" s="405"/>
      <c r="EK817" s="83"/>
      <c r="ES817" s="405"/>
      <c r="EY817" s="83"/>
      <c r="FG817" s="405"/>
      <c r="FM817" s="83"/>
      <c r="FU817" s="405"/>
      <c r="GA817" s="83"/>
      <c r="GI817" s="405"/>
      <c r="GO817" s="83"/>
      <c r="GW817" s="405"/>
      <c r="HC817" s="83"/>
      <c r="HK817" s="405"/>
      <c r="HQ817" s="83"/>
      <c r="HY817" s="405"/>
      <c r="IE817" s="83"/>
      <c r="IM817" s="405"/>
      <c r="IS817" s="83"/>
      <c r="JA817" s="405"/>
      <c r="JG817" s="83"/>
      <c r="JO817" s="405"/>
      <c r="JU817" s="83"/>
      <c r="KC817" s="405"/>
      <c r="KI817" s="83"/>
      <c r="KQ817" s="405"/>
      <c r="KW817" s="83"/>
      <c r="LE817" s="405"/>
      <c r="LK817" s="83"/>
      <c r="LS817" s="405"/>
      <c r="LY817" s="83"/>
      <c r="MG817" s="405"/>
      <c r="MM817" s="83"/>
      <c r="MU817" s="405"/>
      <c r="NA817" s="83"/>
    </row>
    <row r="818">
      <c r="A818" s="483"/>
      <c r="B818" s="380"/>
      <c r="C818" s="380"/>
      <c r="D818" s="380"/>
      <c r="E818" s="380"/>
      <c r="F818" s="380"/>
      <c r="G818" s="380"/>
      <c r="H818" s="380"/>
      <c r="I818" s="403"/>
      <c r="J818" s="380"/>
      <c r="K818" s="380"/>
      <c r="L818" s="380"/>
      <c r="M818" s="380"/>
      <c r="N818" s="380"/>
      <c r="O818" s="404"/>
      <c r="P818" s="380"/>
      <c r="Q818" s="380"/>
      <c r="R818" s="380"/>
      <c r="S818" s="380"/>
      <c r="T818" s="380"/>
      <c r="U818" s="380"/>
      <c r="V818" s="380"/>
      <c r="W818" s="403"/>
      <c r="X818" s="380"/>
      <c r="Y818" s="380"/>
      <c r="Z818" s="380"/>
      <c r="AA818" s="380"/>
      <c r="AB818" s="380"/>
      <c r="AC818" s="404"/>
      <c r="AD818" s="380"/>
      <c r="AE818" s="380"/>
      <c r="AF818" s="380"/>
      <c r="AG818" s="380"/>
      <c r="AH818" s="380"/>
      <c r="AI818" s="380"/>
      <c r="AJ818" s="380"/>
      <c r="AK818" s="403"/>
      <c r="AL818" s="380"/>
      <c r="AM818" s="380"/>
      <c r="AN818" s="380"/>
      <c r="AO818" s="380"/>
      <c r="AP818" s="380"/>
      <c r="AQ818" s="404"/>
      <c r="AR818" s="380"/>
      <c r="AS818" s="380"/>
      <c r="AT818" s="380"/>
      <c r="AU818" s="380"/>
      <c r="AV818" s="380"/>
      <c r="AW818" s="380"/>
      <c r="AX818" s="380"/>
      <c r="AY818" s="403"/>
      <c r="AZ818" s="380"/>
      <c r="BA818" s="380"/>
      <c r="BB818" s="380"/>
      <c r="BC818" s="380"/>
      <c r="BD818" s="380"/>
      <c r="BE818" s="404"/>
      <c r="BF818" s="380"/>
      <c r="BG818" s="380"/>
      <c r="BH818" s="380"/>
      <c r="BI818" s="380"/>
      <c r="BJ818" s="380"/>
      <c r="BK818" s="380"/>
      <c r="BL818" s="380"/>
      <c r="BM818" s="403"/>
      <c r="BS818" s="83"/>
      <c r="CA818" s="405"/>
      <c r="CG818" s="83"/>
      <c r="CO818" s="405"/>
      <c r="CU818" s="83"/>
      <c r="DC818" s="405"/>
      <c r="DI818" s="83"/>
      <c r="DQ818" s="405"/>
      <c r="DW818" s="83"/>
      <c r="EE818" s="405"/>
      <c r="EK818" s="83"/>
      <c r="ES818" s="405"/>
      <c r="EY818" s="83"/>
      <c r="FG818" s="405"/>
      <c r="FM818" s="83"/>
      <c r="FU818" s="405"/>
      <c r="GA818" s="83"/>
      <c r="GI818" s="405"/>
      <c r="GO818" s="83"/>
      <c r="GW818" s="405"/>
      <c r="HC818" s="83"/>
      <c r="HK818" s="405"/>
      <c r="HQ818" s="83"/>
      <c r="HY818" s="405"/>
      <c r="IE818" s="83"/>
      <c r="IM818" s="405"/>
      <c r="IS818" s="83"/>
      <c r="JA818" s="405"/>
      <c r="JG818" s="83"/>
      <c r="JO818" s="405"/>
      <c r="JU818" s="83"/>
      <c r="KC818" s="405"/>
      <c r="KI818" s="83"/>
      <c r="KQ818" s="405"/>
      <c r="KW818" s="83"/>
      <c r="LE818" s="405"/>
      <c r="LK818" s="83"/>
      <c r="LS818" s="405"/>
      <c r="LY818" s="83"/>
      <c r="MG818" s="405"/>
      <c r="MM818" s="83"/>
      <c r="MU818" s="405"/>
      <c r="NA818" s="83"/>
    </row>
    <row r="819">
      <c r="A819" s="483"/>
      <c r="B819" s="380"/>
      <c r="C819" s="380"/>
      <c r="D819" s="380"/>
      <c r="E819" s="380"/>
      <c r="F819" s="380"/>
      <c r="G819" s="380"/>
      <c r="H819" s="380"/>
      <c r="I819" s="403"/>
      <c r="J819" s="380"/>
      <c r="K819" s="380"/>
      <c r="L819" s="380"/>
      <c r="M819" s="380"/>
      <c r="N819" s="380"/>
      <c r="O819" s="404"/>
      <c r="P819" s="380"/>
      <c r="Q819" s="380"/>
      <c r="R819" s="380"/>
      <c r="S819" s="380"/>
      <c r="T819" s="380"/>
      <c r="U819" s="380"/>
      <c r="V819" s="380"/>
      <c r="W819" s="403"/>
      <c r="X819" s="380"/>
      <c r="Y819" s="380"/>
      <c r="Z819" s="380"/>
      <c r="AA819" s="380"/>
      <c r="AB819" s="380"/>
      <c r="AC819" s="404"/>
      <c r="AD819" s="380"/>
      <c r="AE819" s="380"/>
      <c r="AF819" s="380"/>
      <c r="AG819" s="380"/>
      <c r="AH819" s="380"/>
      <c r="AI819" s="380"/>
      <c r="AJ819" s="380"/>
      <c r="AK819" s="403"/>
      <c r="AL819" s="380"/>
      <c r="AM819" s="380"/>
      <c r="AN819" s="380"/>
      <c r="AO819" s="380"/>
      <c r="AP819" s="380"/>
      <c r="AQ819" s="404"/>
      <c r="AR819" s="380"/>
      <c r="AS819" s="380"/>
      <c r="AT819" s="380"/>
      <c r="AU819" s="380"/>
      <c r="AV819" s="380"/>
      <c r="AW819" s="380"/>
      <c r="AX819" s="380"/>
      <c r="AY819" s="403"/>
      <c r="AZ819" s="380"/>
      <c r="BA819" s="380"/>
      <c r="BB819" s="380"/>
      <c r="BC819" s="380"/>
      <c r="BD819" s="380"/>
      <c r="BE819" s="404"/>
      <c r="BF819" s="380"/>
      <c r="BG819" s="380"/>
      <c r="BH819" s="380"/>
      <c r="BI819" s="380"/>
      <c r="BJ819" s="380"/>
      <c r="BK819" s="380"/>
      <c r="BL819" s="380"/>
      <c r="BM819" s="403"/>
      <c r="BS819" s="83"/>
      <c r="CA819" s="405"/>
      <c r="CG819" s="83"/>
      <c r="CO819" s="405"/>
      <c r="CU819" s="83"/>
      <c r="DC819" s="405"/>
      <c r="DI819" s="83"/>
      <c r="DQ819" s="405"/>
      <c r="DW819" s="83"/>
      <c r="EE819" s="405"/>
      <c r="EK819" s="83"/>
      <c r="ES819" s="405"/>
      <c r="EY819" s="83"/>
      <c r="FG819" s="405"/>
      <c r="FM819" s="83"/>
      <c r="FU819" s="405"/>
      <c r="GA819" s="83"/>
      <c r="GI819" s="405"/>
      <c r="GO819" s="83"/>
      <c r="GW819" s="405"/>
      <c r="HC819" s="83"/>
      <c r="HK819" s="405"/>
      <c r="HQ819" s="83"/>
      <c r="HY819" s="405"/>
      <c r="IE819" s="83"/>
      <c r="IM819" s="405"/>
      <c r="IS819" s="83"/>
      <c r="JA819" s="405"/>
      <c r="JG819" s="83"/>
      <c r="JO819" s="405"/>
      <c r="JU819" s="83"/>
      <c r="KC819" s="405"/>
      <c r="KI819" s="83"/>
      <c r="KQ819" s="405"/>
      <c r="KW819" s="83"/>
      <c r="LE819" s="405"/>
      <c r="LK819" s="83"/>
      <c r="LS819" s="405"/>
      <c r="LY819" s="83"/>
      <c r="MG819" s="405"/>
      <c r="MM819" s="83"/>
      <c r="MU819" s="405"/>
      <c r="NA819" s="83"/>
    </row>
    <row r="820">
      <c r="A820" s="483"/>
      <c r="B820" s="380"/>
      <c r="C820" s="380"/>
      <c r="D820" s="380"/>
      <c r="E820" s="380"/>
      <c r="F820" s="380"/>
      <c r="G820" s="380"/>
      <c r="H820" s="380"/>
      <c r="I820" s="403"/>
      <c r="J820" s="380"/>
      <c r="K820" s="380"/>
      <c r="L820" s="380"/>
      <c r="M820" s="380"/>
      <c r="N820" s="380"/>
      <c r="O820" s="404"/>
      <c r="P820" s="380"/>
      <c r="Q820" s="380"/>
      <c r="R820" s="380"/>
      <c r="S820" s="380"/>
      <c r="T820" s="380"/>
      <c r="U820" s="380"/>
      <c r="V820" s="380"/>
      <c r="W820" s="403"/>
      <c r="X820" s="380"/>
      <c r="Y820" s="380"/>
      <c r="Z820" s="380"/>
      <c r="AA820" s="380"/>
      <c r="AB820" s="380"/>
      <c r="AC820" s="404"/>
      <c r="AD820" s="380"/>
      <c r="AE820" s="380"/>
      <c r="AF820" s="380"/>
      <c r="AG820" s="380"/>
      <c r="AH820" s="380"/>
      <c r="AI820" s="380"/>
      <c r="AJ820" s="380"/>
      <c r="AK820" s="403"/>
      <c r="AL820" s="380"/>
      <c r="AM820" s="380"/>
      <c r="AN820" s="380"/>
      <c r="AO820" s="380"/>
      <c r="AP820" s="380"/>
      <c r="AQ820" s="404"/>
      <c r="AR820" s="380"/>
      <c r="AS820" s="380"/>
      <c r="AT820" s="380"/>
      <c r="AU820" s="380"/>
      <c r="AV820" s="380"/>
      <c r="AW820" s="380"/>
      <c r="AX820" s="380"/>
      <c r="AY820" s="403"/>
      <c r="AZ820" s="380"/>
      <c r="BA820" s="380"/>
      <c r="BB820" s="380"/>
      <c r="BC820" s="380"/>
      <c r="BD820" s="380"/>
      <c r="BE820" s="404"/>
      <c r="BF820" s="380"/>
      <c r="BG820" s="380"/>
      <c r="BH820" s="380"/>
      <c r="BI820" s="380"/>
      <c r="BJ820" s="380"/>
      <c r="BK820" s="380"/>
      <c r="BL820" s="380"/>
      <c r="BM820" s="403"/>
      <c r="BS820" s="83"/>
      <c r="CA820" s="405"/>
      <c r="CG820" s="83"/>
      <c r="CO820" s="405"/>
      <c r="CU820" s="83"/>
      <c r="DC820" s="405"/>
      <c r="DI820" s="83"/>
      <c r="DQ820" s="405"/>
      <c r="DW820" s="83"/>
      <c r="EE820" s="405"/>
      <c r="EK820" s="83"/>
      <c r="ES820" s="405"/>
      <c r="EY820" s="83"/>
      <c r="FG820" s="405"/>
      <c r="FM820" s="83"/>
      <c r="FU820" s="405"/>
      <c r="GA820" s="83"/>
      <c r="GI820" s="405"/>
      <c r="GO820" s="83"/>
      <c r="GW820" s="405"/>
      <c r="HC820" s="83"/>
      <c r="HK820" s="405"/>
      <c r="HQ820" s="83"/>
      <c r="HY820" s="405"/>
      <c r="IE820" s="83"/>
      <c r="IM820" s="405"/>
      <c r="IS820" s="83"/>
      <c r="JA820" s="405"/>
      <c r="JG820" s="83"/>
      <c r="JO820" s="405"/>
      <c r="JU820" s="83"/>
      <c r="KC820" s="405"/>
      <c r="KI820" s="83"/>
      <c r="KQ820" s="405"/>
      <c r="KW820" s="83"/>
      <c r="LE820" s="405"/>
      <c r="LK820" s="83"/>
      <c r="LS820" s="405"/>
      <c r="LY820" s="83"/>
      <c r="MG820" s="405"/>
      <c r="MM820" s="83"/>
      <c r="MU820" s="405"/>
      <c r="NA820" s="83"/>
    </row>
    <row r="821">
      <c r="A821" s="483"/>
      <c r="B821" s="380"/>
      <c r="C821" s="380"/>
      <c r="D821" s="380"/>
      <c r="E821" s="380"/>
      <c r="F821" s="380"/>
      <c r="G821" s="380"/>
      <c r="H821" s="380"/>
      <c r="I821" s="403"/>
      <c r="J821" s="380"/>
      <c r="K821" s="380"/>
      <c r="L821" s="380"/>
      <c r="M821" s="380"/>
      <c r="N821" s="380"/>
      <c r="O821" s="404"/>
      <c r="P821" s="380"/>
      <c r="Q821" s="380"/>
      <c r="R821" s="380"/>
      <c r="S821" s="380"/>
      <c r="T821" s="380"/>
      <c r="U821" s="380"/>
      <c r="V821" s="380"/>
      <c r="W821" s="403"/>
      <c r="X821" s="380"/>
      <c r="Y821" s="380"/>
      <c r="Z821" s="380"/>
      <c r="AA821" s="380"/>
      <c r="AB821" s="380"/>
      <c r="AC821" s="404"/>
      <c r="AD821" s="380"/>
      <c r="AE821" s="380"/>
      <c r="AF821" s="380"/>
      <c r="AG821" s="380"/>
      <c r="AH821" s="380"/>
      <c r="AI821" s="380"/>
      <c r="AJ821" s="380"/>
      <c r="AK821" s="403"/>
      <c r="AL821" s="380"/>
      <c r="AM821" s="380"/>
      <c r="AN821" s="380"/>
      <c r="AO821" s="380"/>
      <c r="AP821" s="380"/>
      <c r="AQ821" s="404"/>
      <c r="AR821" s="380"/>
      <c r="AS821" s="380"/>
      <c r="AT821" s="380"/>
      <c r="AU821" s="380"/>
      <c r="AV821" s="380"/>
      <c r="AW821" s="380"/>
      <c r="AX821" s="380"/>
      <c r="AY821" s="403"/>
      <c r="AZ821" s="380"/>
      <c r="BA821" s="380"/>
      <c r="BB821" s="380"/>
      <c r="BC821" s="380"/>
      <c r="BD821" s="380"/>
      <c r="BE821" s="404"/>
      <c r="BF821" s="380"/>
      <c r="BG821" s="380"/>
      <c r="BH821" s="380"/>
      <c r="BI821" s="380"/>
      <c r="BJ821" s="380"/>
      <c r="BK821" s="380"/>
      <c r="BL821" s="380"/>
      <c r="BM821" s="403"/>
      <c r="BS821" s="83"/>
      <c r="CA821" s="405"/>
      <c r="CG821" s="83"/>
      <c r="CO821" s="405"/>
      <c r="CU821" s="83"/>
      <c r="DC821" s="405"/>
      <c r="DI821" s="83"/>
      <c r="DQ821" s="405"/>
      <c r="DW821" s="83"/>
      <c r="EE821" s="405"/>
      <c r="EK821" s="83"/>
      <c r="ES821" s="405"/>
      <c r="EY821" s="83"/>
      <c r="FG821" s="405"/>
      <c r="FM821" s="83"/>
      <c r="FU821" s="405"/>
      <c r="GA821" s="83"/>
      <c r="GI821" s="405"/>
      <c r="GO821" s="83"/>
      <c r="GW821" s="405"/>
      <c r="HC821" s="83"/>
      <c r="HK821" s="405"/>
      <c r="HQ821" s="83"/>
      <c r="HY821" s="405"/>
      <c r="IE821" s="83"/>
      <c r="IM821" s="405"/>
      <c r="IS821" s="83"/>
      <c r="JA821" s="405"/>
      <c r="JG821" s="83"/>
      <c r="JO821" s="405"/>
      <c r="JU821" s="83"/>
      <c r="KC821" s="405"/>
      <c r="KI821" s="83"/>
      <c r="KQ821" s="405"/>
      <c r="KW821" s="83"/>
      <c r="LE821" s="405"/>
      <c r="LK821" s="83"/>
      <c r="LS821" s="405"/>
      <c r="LY821" s="83"/>
      <c r="MG821" s="405"/>
      <c r="MM821" s="83"/>
      <c r="MU821" s="405"/>
      <c r="NA821" s="83"/>
    </row>
    <row r="822">
      <c r="A822" s="483"/>
      <c r="B822" s="380"/>
      <c r="C822" s="380"/>
      <c r="D822" s="380"/>
      <c r="E822" s="380"/>
      <c r="F822" s="380"/>
      <c r="G822" s="380"/>
      <c r="H822" s="380"/>
      <c r="I822" s="403"/>
      <c r="J822" s="380"/>
      <c r="K822" s="380"/>
      <c r="L822" s="380"/>
      <c r="M822" s="380"/>
      <c r="N822" s="380"/>
      <c r="O822" s="404"/>
      <c r="P822" s="380"/>
      <c r="Q822" s="380"/>
      <c r="R822" s="380"/>
      <c r="S822" s="380"/>
      <c r="T822" s="380"/>
      <c r="U822" s="380"/>
      <c r="V822" s="380"/>
      <c r="W822" s="403"/>
      <c r="X822" s="380"/>
      <c r="Y822" s="380"/>
      <c r="Z822" s="380"/>
      <c r="AA822" s="380"/>
      <c r="AB822" s="380"/>
      <c r="AC822" s="404"/>
      <c r="AD822" s="380"/>
      <c r="AE822" s="380"/>
      <c r="AF822" s="380"/>
      <c r="AG822" s="380"/>
      <c r="AH822" s="380"/>
      <c r="AI822" s="380"/>
      <c r="AJ822" s="380"/>
      <c r="AK822" s="403"/>
      <c r="AL822" s="380"/>
      <c r="AM822" s="380"/>
      <c r="AN822" s="380"/>
      <c r="AO822" s="380"/>
      <c r="AP822" s="380"/>
      <c r="AQ822" s="404"/>
      <c r="AR822" s="380"/>
      <c r="AS822" s="380"/>
      <c r="AT822" s="380"/>
      <c r="AU822" s="380"/>
      <c r="AV822" s="380"/>
      <c r="AW822" s="380"/>
      <c r="AX822" s="380"/>
      <c r="AY822" s="403"/>
      <c r="AZ822" s="380"/>
      <c r="BA822" s="380"/>
      <c r="BB822" s="380"/>
      <c r="BC822" s="380"/>
      <c r="BD822" s="380"/>
      <c r="BE822" s="404"/>
      <c r="BF822" s="380"/>
      <c r="BG822" s="380"/>
      <c r="BH822" s="380"/>
      <c r="BI822" s="380"/>
      <c r="BJ822" s="380"/>
      <c r="BK822" s="380"/>
      <c r="BL822" s="380"/>
      <c r="BM822" s="403"/>
      <c r="BS822" s="83"/>
      <c r="CA822" s="405"/>
      <c r="CG822" s="83"/>
      <c r="CO822" s="405"/>
      <c r="CU822" s="83"/>
      <c r="DC822" s="405"/>
      <c r="DI822" s="83"/>
      <c r="DQ822" s="405"/>
      <c r="DW822" s="83"/>
      <c r="EE822" s="405"/>
      <c r="EK822" s="83"/>
      <c r="ES822" s="405"/>
      <c r="EY822" s="83"/>
      <c r="FG822" s="405"/>
      <c r="FM822" s="83"/>
      <c r="FU822" s="405"/>
      <c r="GA822" s="83"/>
      <c r="GI822" s="405"/>
      <c r="GO822" s="83"/>
      <c r="GW822" s="405"/>
      <c r="HC822" s="83"/>
      <c r="HK822" s="405"/>
      <c r="HQ822" s="83"/>
      <c r="HY822" s="405"/>
      <c r="IE822" s="83"/>
      <c r="IM822" s="405"/>
      <c r="IS822" s="83"/>
      <c r="JA822" s="405"/>
      <c r="JG822" s="83"/>
      <c r="JO822" s="405"/>
      <c r="JU822" s="83"/>
      <c r="KC822" s="405"/>
      <c r="KI822" s="83"/>
      <c r="KQ822" s="405"/>
      <c r="KW822" s="83"/>
      <c r="LE822" s="405"/>
      <c r="LK822" s="83"/>
      <c r="LS822" s="405"/>
      <c r="LY822" s="83"/>
      <c r="MG822" s="405"/>
      <c r="MM822" s="83"/>
      <c r="MU822" s="405"/>
      <c r="NA822" s="83"/>
    </row>
    <row r="823">
      <c r="A823" s="483"/>
      <c r="B823" s="380"/>
      <c r="C823" s="380"/>
      <c r="D823" s="380"/>
      <c r="E823" s="380"/>
      <c r="F823" s="380"/>
      <c r="G823" s="380"/>
      <c r="H823" s="380"/>
      <c r="I823" s="403"/>
      <c r="J823" s="380"/>
      <c r="K823" s="380"/>
      <c r="L823" s="380"/>
      <c r="M823" s="380"/>
      <c r="N823" s="380"/>
      <c r="O823" s="404"/>
      <c r="P823" s="380"/>
      <c r="Q823" s="380"/>
      <c r="R823" s="380"/>
      <c r="S823" s="380"/>
      <c r="T823" s="380"/>
      <c r="U823" s="380"/>
      <c r="V823" s="380"/>
      <c r="W823" s="403"/>
      <c r="X823" s="380"/>
      <c r="Y823" s="380"/>
      <c r="Z823" s="380"/>
      <c r="AA823" s="380"/>
      <c r="AB823" s="380"/>
      <c r="AC823" s="404"/>
      <c r="AD823" s="380"/>
      <c r="AE823" s="380"/>
      <c r="AF823" s="380"/>
      <c r="AG823" s="380"/>
      <c r="AH823" s="380"/>
      <c r="AI823" s="380"/>
      <c r="AJ823" s="380"/>
      <c r="AK823" s="403"/>
      <c r="AL823" s="380"/>
      <c r="AM823" s="380"/>
      <c r="AN823" s="380"/>
      <c r="AO823" s="380"/>
      <c r="AP823" s="380"/>
      <c r="AQ823" s="404"/>
      <c r="AR823" s="380"/>
      <c r="AS823" s="380"/>
      <c r="AT823" s="380"/>
      <c r="AU823" s="380"/>
      <c r="AV823" s="380"/>
      <c r="AW823" s="380"/>
      <c r="AX823" s="380"/>
      <c r="AY823" s="403"/>
      <c r="AZ823" s="380"/>
      <c r="BA823" s="380"/>
      <c r="BB823" s="380"/>
      <c r="BC823" s="380"/>
      <c r="BD823" s="380"/>
      <c r="BE823" s="404"/>
      <c r="BF823" s="380"/>
      <c r="BG823" s="380"/>
      <c r="BH823" s="380"/>
      <c r="BI823" s="380"/>
      <c r="BJ823" s="380"/>
      <c r="BK823" s="380"/>
      <c r="BL823" s="380"/>
      <c r="BM823" s="403"/>
      <c r="BS823" s="83"/>
      <c r="CA823" s="405"/>
      <c r="CG823" s="83"/>
      <c r="CO823" s="405"/>
      <c r="CU823" s="83"/>
      <c r="DC823" s="405"/>
      <c r="DI823" s="83"/>
      <c r="DQ823" s="405"/>
      <c r="DW823" s="83"/>
      <c r="EE823" s="405"/>
      <c r="EK823" s="83"/>
      <c r="ES823" s="405"/>
      <c r="EY823" s="83"/>
      <c r="FG823" s="405"/>
      <c r="FM823" s="83"/>
      <c r="FU823" s="405"/>
      <c r="GA823" s="83"/>
      <c r="GI823" s="405"/>
      <c r="GO823" s="83"/>
      <c r="GW823" s="405"/>
      <c r="HC823" s="83"/>
      <c r="HK823" s="405"/>
      <c r="HQ823" s="83"/>
      <c r="HY823" s="405"/>
      <c r="IE823" s="83"/>
      <c r="IM823" s="405"/>
      <c r="IS823" s="83"/>
      <c r="JA823" s="405"/>
      <c r="JG823" s="83"/>
      <c r="JO823" s="405"/>
      <c r="JU823" s="83"/>
      <c r="KC823" s="405"/>
      <c r="KI823" s="83"/>
      <c r="KQ823" s="405"/>
      <c r="KW823" s="83"/>
      <c r="LE823" s="405"/>
      <c r="LK823" s="83"/>
      <c r="LS823" s="405"/>
      <c r="LY823" s="83"/>
      <c r="MG823" s="405"/>
      <c r="MM823" s="83"/>
      <c r="MU823" s="405"/>
      <c r="NA823" s="83"/>
    </row>
    <row r="824">
      <c r="A824" s="483"/>
      <c r="B824" s="380"/>
      <c r="C824" s="380"/>
      <c r="D824" s="380"/>
      <c r="E824" s="380"/>
      <c r="F824" s="380"/>
      <c r="G824" s="380"/>
      <c r="H824" s="380"/>
      <c r="I824" s="403"/>
      <c r="J824" s="380"/>
      <c r="K824" s="380"/>
      <c r="L824" s="380"/>
      <c r="M824" s="380"/>
      <c r="N824" s="380"/>
      <c r="O824" s="404"/>
      <c r="P824" s="380"/>
      <c r="Q824" s="380"/>
      <c r="R824" s="380"/>
      <c r="S824" s="380"/>
      <c r="T824" s="380"/>
      <c r="U824" s="380"/>
      <c r="V824" s="380"/>
      <c r="W824" s="403"/>
      <c r="X824" s="380"/>
      <c r="Y824" s="380"/>
      <c r="Z824" s="380"/>
      <c r="AA824" s="380"/>
      <c r="AB824" s="380"/>
      <c r="AC824" s="404"/>
      <c r="AD824" s="380"/>
      <c r="AE824" s="380"/>
      <c r="AF824" s="380"/>
      <c r="AG824" s="380"/>
      <c r="AH824" s="380"/>
      <c r="AI824" s="380"/>
      <c r="AJ824" s="380"/>
      <c r="AK824" s="403"/>
      <c r="AL824" s="380"/>
      <c r="AM824" s="380"/>
      <c r="AN824" s="380"/>
      <c r="AO824" s="380"/>
      <c r="AP824" s="380"/>
      <c r="AQ824" s="404"/>
      <c r="AR824" s="380"/>
      <c r="AS824" s="380"/>
      <c r="AT824" s="380"/>
      <c r="AU824" s="380"/>
      <c r="AV824" s="380"/>
      <c r="AW824" s="380"/>
      <c r="AX824" s="380"/>
      <c r="AY824" s="403"/>
      <c r="AZ824" s="380"/>
      <c r="BA824" s="380"/>
      <c r="BB824" s="380"/>
      <c r="BC824" s="380"/>
      <c r="BD824" s="380"/>
      <c r="BE824" s="404"/>
      <c r="BF824" s="380"/>
      <c r="BG824" s="380"/>
      <c r="BH824" s="380"/>
      <c r="BI824" s="380"/>
      <c r="BJ824" s="380"/>
      <c r="BK824" s="380"/>
      <c r="BL824" s="380"/>
      <c r="BM824" s="403"/>
      <c r="BS824" s="83"/>
      <c r="CA824" s="405"/>
      <c r="CG824" s="83"/>
      <c r="CO824" s="405"/>
      <c r="CU824" s="83"/>
      <c r="DC824" s="405"/>
      <c r="DI824" s="83"/>
      <c r="DQ824" s="405"/>
      <c r="DW824" s="83"/>
      <c r="EE824" s="405"/>
      <c r="EK824" s="83"/>
      <c r="ES824" s="405"/>
      <c r="EY824" s="83"/>
      <c r="FG824" s="405"/>
      <c r="FM824" s="83"/>
      <c r="FU824" s="405"/>
      <c r="GA824" s="83"/>
      <c r="GI824" s="405"/>
      <c r="GO824" s="83"/>
      <c r="GW824" s="405"/>
      <c r="HC824" s="83"/>
      <c r="HK824" s="405"/>
      <c r="HQ824" s="83"/>
      <c r="HY824" s="405"/>
      <c r="IE824" s="83"/>
      <c r="IM824" s="405"/>
      <c r="IS824" s="83"/>
      <c r="JA824" s="405"/>
      <c r="JG824" s="83"/>
      <c r="JO824" s="405"/>
      <c r="JU824" s="83"/>
      <c r="KC824" s="405"/>
      <c r="KI824" s="83"/>
      <c r="KQ824" s="405"/>
      <c r="KW824" s="83"/>
      <c r="LE824" s="405"/>
      <c r="LK824" s="83"/>
      <c r="LS824" s="405"/>
      <c r="LY824" s="83"/>
      <c r="MG824" s="405"/>
      <c r="MM824" s="83"/>
      <c r="MU824" s="405"/>
      <c r="NA824" s="83"/>
    </row>
    <row r="825">
      <c r="A825" s="483"/>
      <c r="B825" s="380"/>
      <c r="C825" s="380"/>
      <c r="D825" s="380"/>
      <c r="E825" s="380"/>
      <c r="F825" s="380"/>
      <c r="G825" s="380"/>
      <c r="H825" s="380"/>
      <c r="I825" s="403"/>
      <c r="J825" s="380"/>
      <c r="K825" s="380"/>
      <c r="L825" s="380"/>
      <c r="M825" s="380"/>
      <c r="N825" s="380"/>
      <c r="O825" s="404"/>
      <c r="P825" s="380"/>
      <c r="Q825" s="380"/>
      <c r="R825" s="380"/>
      <c r="S825" s="380"/>
      <c r="T825" s="380"/>
      <c r="U825" s="380"/>
      <c r="V825" s="380"/>
      <c r="W825" s="403"/>
      <c r="X825" s="380"/>
      <c r="Y825" s="380"/>
      <c r="Z825" s="380"/>
      <c r="AA825" s="380"/>
      <c r="AB825" s="380"/>
      <c r="AC825" s="404"/>
      <c r="AD825" s="380"/>
      <c r="AE825" s="380"/>
      <c r="AF825" s="380"/>
      <c r="AG825" s="380"/>
      <c r="AH825" s="380"/>
      <c r="AI825" s="380"/>
      <c r="AJ825" s="380"/>
      <c r="AK825" s="403"/>
      <c r="AL825" s="380"/>
      <c r="AM825" s="380"/>
      <c r="AN825" s="380"/>
      <c r="AO825" s="380"/>
      <c r="AP825" s="380"/>
      <c r="AQ825" s="404"/>
      <c r="AR825" s="380"/>
      <c r="AS825" s="380"/>
      <c r="AT825" s="380"/>
      <c r="AU825" s="380"/>
      <c r="AV825" s="380"/>
      <c r="AW825" s="380"/>
      <c r="AX825" s="380"/>
      <c r="AY825" s="403"/>
      <c r="AZ825" s="380"/>
      <c r="BA825" s="380"/>
      <c r="BB825" s="380"/>
      <c r="BC825" s="380"/>
      <c r="BD825" s="380"/>
      <c r="BE825" s="404"/>
      <c r="BF825" s="380"/>
      <c r="BG825" s="380"/>
      <c r="BH825" s="380"/>
      <c r="BI825" s="380"/>
      <c r="BJ825" s="380"/>
      <c r="BK825" s="380"/>
      <c r="BL825" s="380"/>
      <c r="BM825" s="403"/>
      <c r="BS825" s="83"/>
      <c r="CA825" s="405"/>
      <c r="CG825" s="83"/>
      <c r="CO825" s="405"/>
      <c r="CU825" s="83"/>
      <c r="DC825" s="405"/>
      <c r="DI825" s="83"/>
      <c r="DQ825" s="405"/>
      <c r="DW825" s="83"/>
      <c r="EE825" s="405"/>
      <c r="EK825" s="83"/>
      <c r="ES825" s="405"/>
      <c r="EY825" s="83"/>
      <c r="FG825" s="405"/>
      <c r="FM825" s="83"/>
      <c r="FU825" s="405"/>
      <c r="GA825" s="83"/>
      <c r="GI825" s="405"/>
      <c r="GO825" s="83"/>
      <c r="GW825" s="405"/>
      <c r="HC825" s="83"/>
      <c r="HK825" s="405"/>
      <c r="HQ825" s="83"/>
      <c r="HY825" s="405"/>
      <c r="IE825" s="83"/>
      <c r="IM825" s="405"/>
      <c r="IS825" s="83"/>
      <c r="JA825" s="405"/>
      <c r="JG825" s="83"/>
      <c r="JO825" s="405"/>
      <c r="JU825" s="83"/>
      <c r="KC825" s="405"/>
      <c r="KI825" s="83"/>
      <c r="KQ825" s="405"/>
      <c r="KW825" s="83"/>
      <c r="LE825" s="405"/>
      <c r="LK825" s="83"/>
      <c r="LS825" s="405"/>
      <c r="LY825" s="83"/>
      <c r="MG825" s="405"/>
      <c r="MM825" s="83"/>
      <c r="MU825" s="405"/>
      <c r="NA825" s="83"/>
    </row>
    <row r="826">
      <c r="A826" s="483"/>
      <c r="B826" s="380"/>
      <c r="C826" s="380"/>
      <c r="D826" s="380"/>
      <c r="E826" s="380"/>
      <c r="F826" s="380"/>
      <c r="G826" s="380"/>
      <c r="H826" s="380"/>
      <c r="I826" s="403"/>
      <c r="J826" s="380"/>
      <c r="K826" s="380"/>
      <c r="L826" s="380"/>
      <c r="M826" s="380"/>
      <c r="N826" s="380"/>
      <c r="O826" s="404"/>
      <c r="P826" s="380"/>
      <c r="Q826" s="380"/>
      <c r="R826" s="380"/>
      <c r="S826" s="380"/>
      <c r="T826" s="380"/>
      <c r="U826" s="380"/>
      <c r="V826" s="380"/>
      <c r="W826" s="403"/>
      <c r="X826" s="380"/>
      <c r="Y826" s="380"/>
      <c r="Z826" s="380"/>
      <c r="AA826" s="380"/>
      <c r="AB826" s="380"/>
      <c r="AC826" s="404"/>
      <c r="AD826" s="380"/>
      <c r="AE826" s="380"/>
      <c r="AF826" s="380"/>
      <c r="AG826" s="380"/>
      <c r="AH826" s="380"/>
      <c r="AI826" s="380"/>
      <c r="AJ826" s="380"/>
      <c r="AK826" s="403"/>
      <c r="AL826" s="380"/>
      <c r="AM826" s="380"/>
      <c r="AN826" s="380"/>
      <c r="AO826" s="380"/>
      <c r="AP826" s="380"/>
      <c r="AQ826" s="404"/>
      <c r="AR826" s="380"/>
      <c r="AS826" s="380"/>
      <c r="AT826" s="380"/>
      <c r="AU826" s="380"/>
      <c r="AV826" s="380"/>
      <c r="AW826" s="380"/>
      <c r="AX826" s="380"/>
      <c r="AY826" s="403"/>
      <c r="AZ826" s="380"/>
      <c r="BA826" s="380"/>
      <c r="BB826" s="380"/>
      <c r="BC826" s="380"/>
      <c r="BD826" s="380"/>
      <c r="BE826" s="404"/>
      <c r="BF826" s="380"/>
      <c r="BG826" s="380"/>
      <c r="BH826" s="380"/>
      <c r="BI826" s="380"/>
      <c r="BJ826" s="380"/>
      <c r="BK826" s="380"/>
      <c r="BL826" s="380"/>
      <c r="BM826" s="403"/>
      <c r="BS826" s="83"/>
      <c r="CA826" s="405"/>
      <c r="CG826" s="83"/>
      <c r="CO826" s="405"/>
      <c r="CU826" s="83"/>
      <c r="DC826" s="405"/>
      <c r="DI826" s="83"/>
      <c r="DQ826" s="405"/>
      <c r="DW826" s="83"/>
      <c r="EE826" s="405"/>
      <c r="EK826" s="83"/>
      <c r="ES826" s="405"/>
      <c r="EY826" s="83"/>
      <c r="FG826" s="405"/>
      <c r="FM826" s="83"/>
      <c r="FU826" s="405"/>
      <c r="GA826" s="83"/>
      <c r="GI826" s="405"/>
      <c r="GO826" s="83"/>
      <c r="GW826" s="405"/>
      <c r="HC826" s="83"/>
      <c r="HK826" s="405"/>
      <c r="HQ826" s="83"/>
      <c r="HY826" s="405"/>
      <c r="IE826" s="83"/>
      <c r="IM826" s="405"/>
      <c r="IS826" s="83"/>
      <c r="JA826" s="405"/>
      <c r="JG826" s="83"/>
      <c r="JO826" s="405"/>
      <c r="JU826" s="83"/>
      <c r="KC826" s="405"/>
      <c r="KI826" s="83"/>
      <c r="KQ826" s="405"/>
      <c r="KW826" s="83"/>
      <c r="LE826" s="405"/>
      <c r="LK826" s="83"/>
      <c r="LS826" s="405"/>
      <c r="LY826" s="83"/>
      <c r="MG826" s="405"/>
      <c r="MM826" s="83"/>
      <c r="MU826" s="405"/>
      <c r="NA826" s="83"/>
    </row>
    <row r="827">
      <c r="A827" s="483"/>
      <c r="B827" s="380"/>
      <c r="C827" s="380"/>
      <c r="D827" s="380"/>
      <c r="E827" s="380"/>
      <c r="F827" s="380"/>
      <c r="G827" s="380"/>
      <c r="H827" s="380"/>
      <c r="I827" s="403"/>
      <c r="J827" s="380"/>
      <c r="K827" s="380"/>
      <c r="L827" s="380"/>
      <c r="M827" s="380"/>
      <c r="N827" s="380"/>
      <c r="O827" s="404"/>
      <c r="P827" s="380"/>
      <c r="Q827" s="380"/>
      <c r="R827" s="380"/>
      <c r="S827" s="380"/>
      <c r="T827" s="380"/>
      <c r="U827" s="380"/>
      <c r="V827" s="380"/>
      <c r="W827" s="403"/>
      <c r="X827" s="380"/>
      <c r="Y827" s="380"/>
      <c r="Z827" s="380"/>
      <c r="AA827" s="380"/>
      <c r="AB827" s="380"/>
      <c r="AC827" s="404"/>
      <c r="AD827" s="380"/>
      <c r="AE827" s="380"/>
      <c r="AF827" s="380"/>
      <c r="AG827" s="380"/>
      <c r="AH827" s="380"/>
      <c r="AI827" s="380"/>
      <c r="AJ827" s="380"/>
      <c r="AK827" s="403"/>
      <c r="AL827" s="380"/>
      <c r="AM827" s="380"/>
      <c r="AN827" s="380"/>
      <c r="AO827" s="380"/>
      <c r="AP827" s="380"/>
      <c r="AQ827" s="404"/>
      <c r="AR827" s="380"/>
      <c r="AS827" s="380"/>
      <c r="AT827" s="380"/>
      <c r="AU827" s="380"/>
      <c r="AV827" s="380"/>
      <c r="AW827" s="380"/>
      <c r="AX827" s="380"/>
      <c r="AY827" s="403"/>
      <c r="AZ827" s="380"/>
      <c r="BA827" s="380"/>
      <c r="BB827" s="380"/>
      <c r="BC827" s="380"/>
      <c r="BD827" s="380"/>
      <c r="BE827" s="404"/>
      <c r="BF827" s="380"/>
      <c r="BG827" s="380"/>
      <c r="BH827" s="380"/>
      <c r="BI827" s="380"/>
      <c r="BJ827" s="380"/>
      <c r="BK827" s="380"/>
      <c r="BL827" s="380"/>
      <c r="BM827" s="403"/>
      <c r="BS827" s="83"/>
      <c r="CA827" s="405"/>
      <c r="CG827" s="83"/>
      <c r="CO827" s="405"/>
      <c r="CU827" s="83"/>
      <c r="DC827" s="405"/>
      <c r="DI827" s="83"/>
      <c r="DQ827" s="405"/>
      <c r="DW827" s="83"/>
      <c r="EE827" s="405"/>
      <c r="EK827" s="83"/>
      <c r="ES827" s="405"/>
      <c r="EY827" s="83"/>
      <c r="FG827" s="405"/>
      <c r="FM827" s="83"/>
      <c r="FU827" s="405"/>
      <c r="GA827" s="83"/>
      <c r="GI827" s="405"/>
      <c r="GO827" s="83"/>
      <c r="GW827" s="405"/>
      <c r="HC827" s="83"/>
      <c r="HK827" s="405"/>
      <c r="HQ827" s="83"/>
      <c r="HY827" s="405"/>
      <c r="IE827" s="83"/>
      <c r="IM827" s="405"/>
      <c r="IS827" s="83"/>
      <c r="JA827" s="405"/>
      <c r="JG827" s="83"/>
      <c r="JO827" s="405"/>
      <c r="JU827" s="83"/>
      <c r="KC827" s="405"/>
      <c r="KI827" s="83"/>
      <c r="KQ827" s="405"/>
      <c r="KW827" s="83"/>
      <c r="LE827" s="405"/>
      <c r="LK827" s="83"/>
      <c r="LS827" s="405"/>
      <c r="LY827" s="83"/>
      <c r="MG827" s="405"/>
      <c r="MM827" s="83"/>
      <c r="MU827" s="405"/>
      <c r="NA827" s="83"/>
    </row>
    <row r="828">
      <c r="A828" s="483"/>
      <c r="B828" s="380"/>
      <c r="C828" s="380"/>
      <c r="D828" s="380"/>
      <c r="E828" s="380"/>
      <c r="F828" s="380"/>
      <c r="G828" s="380"/>
      <c r="H828" s="380"/>
      <c r="I828" s="403"/>
      <c r="J828" s="380"/>
      <c r="K828" s="380"/>
      <c r="L828" s="380"/>
      <c r="M828" s="380"/>
      <c r="N828" s="380"/>
      <c r="O828" s="404"/>
      <c r="P828" s="380"/>
      <c r="Q828" s="380"/>
      <c r="R828" s="380"/>
      <c r="S828" s="380"/>
      <c r="T828" s="380"/>
      <c r="U828" s="380"/>
      <c r="V828" s="380"/>
      <c r="W828" s="403"/>
      <c r="X828" s="380"/>
      <c r="Y828" s="380"/>
      <c r="Z828" s="380"/>
      <c r="AA828" s="380"/>
      <c r="AB828" s="380"/>
      <c r="AC828" s="404"/>
      <c r="AD828" s="380"/>
      <c r="AE828" s="380"/>
      <c r="AF828" s="380"/>
      <c r="AG828" s="380"/>
      <c r="AH828" s="380"/>
      <c r="AI828" s="380"/>
      <c r="AJ828" s="380"/>
      <c r="AK828" s="403"/>
      <c r="AL828" s="380"/>
      <c r="AM828" s="380"/>
      <c r="AN828" s="380"/>
      <c r="AO828" s="380"/>
      <c r="AP828" s="380"/>
      <c r="AQ828" s="404"/>
      <c r="AR828" s="380"/>
      <c r="AS828" s="380"/>
      <c r="AT828" s="380"/>
      <c r="AU828" s="380"/>
      <c r="AV828" s="380"/>
      <c r="AW828" s="380"/>
      <c r="AX828" s="380"/>
      <c r="AY828" s="403"/>
      <c r="AZ828" s="380"/>
      <c r="BA828" s="380"/>
      <c r="BB828" s="380"/>
      <c r="BC828" s="380"/>
      <c r="BD828" s="380"/>
      <c r="BE828" s="404"/>
      <c r="BF828" s="380"/>
      <c r="BG828" s="380"/>
      <c r="BH828" s="380"/>
      <c r="BI828" s="380"/>
      <c r="BJ828" s="380"/>
      <c r="BK828" s="380"/>
      <c r="BL828" s="380"/>
      <c r="BM828" s="403"/>
      <c r="BS828" s="83"/>
      <c r="CA828" s="405"/>
      <c r="CG828" s="83"/>
      <c r="CO828" s="405"/>
      <c r="CU828" s="83"/>
      <c r="DC828" s="405"/>
      <c r="DI828" s="83"/>
      <c r="DQ828" s="405"/>
      <c r="DW828" s="83"/>
      <c r="EE828" s="405"/>
      <c r="EK828" s="83"/>
      <c r="ES828" s="405"/>
      <c r="EY828" s="83"/>
      <c r="FG828" s="405"/>
      <c r="FM828" s="83"/>
      <c r="FU828" s="405"/>
      <c r="GA828" s="83"/>
      <c r="GI828" s="405"/>
      <c r="GO828" s="83"/>
      <c r="GW828" s="405"/>
      <c r="HC828" s="83"/>
      <c r="HK828" s="405"/>
      <c r="HQ828" s="83"/>
      <c r="HY828" s="405"/>
      <c r="IE828" s="83"/>
      <c r="IM828" s="405"/>
      <c r="IS828" s="83"/>
      <c r="JA828" s="405"/>
      <c r="JG828" s="83"/>
      <c r="JO828" s="405"/>
      <c r="JU828" s="83"/>
      <c r="KC828" s="405"/>
      <c r="KI828" s="83"/>
      <c r="KQ828" s="405"/>
      <c r="KW828" s="83"/>
      <c r="LE828" s="405"/>
      <c r="LK828" s="83"/>
      <c r="LS828" s="405"/>
      <c r="LY828" s="83"/>
      <c r="MG828" s="405"/>
      <c r="MM828" s="83"/>
      <c r="MU828" s="405"/>
      <c r="NA828" s="83"/>
    </row>
    <row r="829">
      <c r="A829" s="483"/>
      <c r="B829" s="380"/>
      <c r="C829" s="380"/>
      <c r="D829" s="380"/>
      <c r="E829" s="380"/>
      <c r="F829" s="380"/>
      <c r="G829" s="380"/>
      <c r="H829" s="380"/>
      <c r="I829" s="403"/>
      <c r="J829" s="380"/>
      <c r="K829" s="380"/>
      <c r="L829" s="380"/>
      <c r="M829" s="380"/>
      <c r="N829" s="380"/>
      <c r="O829" s="404"/>
      <c r="P829" s="380"/>
      <c r="Q829" s="380"/>
      <c r="R829" s="380"/>
      <c r="S829" s="380"/>
      <c r="T829" s="380"/>
      <c r="U829" s="380"/>
      <c r="V829" s="380"/>
      <c r="W829" s="403"/>
      <c r="X829" s="380"/>
      <c r="Y829" s="380"/>
      <c r="Z829" s="380"/>
      <c r="AA829" s="380"/>
      <c r="AB829" s="380"/>
      <c r="AC829" s="404"/>
      <c r="AD829" s="380"/>
      <c r="AE829" s="380"/>
      <c r="AF829" s="380"/>
      <c r="AG829" s="380"/>
      <c r="AH829" s="380"/>
      <c r="AI829" s="380"/>
      <c r="AJ829" s="380"/>
      <c r="AK829" s="403"/>
      <c r="AL829" s="380"/>
      <c r="AM829" s="380"/>
      <c r="AN829" s="380"/>
      <c r="AO829" s="380"/>
      <c r="AP829" s="380"/>
      <c r="AQ829" s="404"/>
      <c r="AR829" s="380"/>
      <c r="AS829" s="380"/>
      <c r="AT829" s="380"/>
      <c r="AU829" s="380"/>
      <c r="AV829" s="380"/>
      <c r="AW829" s="380"/>
      <c r="AX829" s="380"/>
      <c r="AY829" s="403"/>
      <c r="AZ829" s="380"/>
      <c r="BA829" s="380"/>
      <c r="BB829" s="380"/>
      <c r="BC829" s="380"/>
      <c r="BD829" s="380"/>
      <c r="BE829" s="404"/>
      <c r="BF829" s="380"/>
      <c r="BG829" s="380"/>
      <c r="BH829" s="380"/>
      <c r="BI829" s="380"/>
      <c r="BJ829" s="380"/>
      <c r="BK829" s="380"/>
      <c r="BL829" s="380"/>
      <c r="BM829" s="403"/>
      <c r="BS829" s="83"/>
      <c r="CA829" s="405"/>
      <c r="CG829" s="83"/>
      <c r="CO829" s="405"/>
      <c r="CU829" s="83"/>
      <c r="DC829" s="405"/>
      <c r="DI829" s="83"/>
      <c r="DQ829" s="405"/>
      <c r="DW829" s="83"/>
      <c r="EE829" s="405"/>
      <c r="EK829" s="83"/>
      <c r="ES829" s="405"/>
      <c r="EY829" s="83"/>
      <c r="FG829" s="405"/>
      <c r="FM829" s="83"/>
      <c r="FU829" s="405"/>
      <c r="GA829" s="83"/>
      <c r="GI829" s="405"/>
      <c r="GO829" s="83"/>
      <c r="GW829" s="405"/>
      <c r="HC829" s="83"/>
      <c r="HK829" s="405"/>
      <c r="HQ829" s="83"/>
      <c r="HY829" s="405"/>
      <c r="IE829" s="83"/>
      <c r="IM829" s="405"/>
      <c r="IS829" s="83"/>
      <c r="JA829" s="405"/>
      <c r="JG829" s="83"/>
      <c r="JO829" s="405"/>
      <c r="JU829" s="83"/>
      <c r="KC829" s="405"/>
      <c r="KI829" s="83"/>
      <c r="KQ829" s="405"/>
      <c r="KW829" s="83"/>
      <c r="LE829" s="405"/>
      <c r="LK829" s="83"/>
      <c r="LS829" s="405"/>
      <c r="LY829" s="83"/>
      <c r="MG829" s="405"/>
      <c r="MM829" s="83"/>
      <c r="MU829" s="405"/>
      <c r="NA829" s="83"/>
    </row>
    <row r="830">
      <c r="A830" s="483"/>
      <c r="B830" s="380"/>
      <c r="C830" s="380"/>
      <c r="D830" s="380"/>
      <c r="E830" s="380"/>
      <c r="F830" s="380"/>
      <c r="G830" s="380"/>
      <c r="H830" s="380"/>
      <c r="I830" s="403"/>
      <c r="J830" s="380"/>
      <c r="K830" s="380"/>
      <c r="L830" s="380"/>
      <c r="M830" s="380"/>
      <c r="N830" s="380"/>
      <c r="O830" s="404"/>
      <c r="P830" s="380"/>
      <c r="Q830" s="380"/>
      <c r="R830" s="380"/>
      <c r="S830" s="380"/>
      <c r="T830" s="380"/>
      <c r="U830" s="380"/>
      <c r="V830" s="380"/>
      <c r="W830" s="403"/>
      <c r="X830" s="380"/>
      <c r="Y830" s="380"/>
      <c r="Z830" s="380"/>
      <c r="AA830" s="380"/>
      <c r="AB830" s="380"/>
      <c r="AC830" s="404"/>
      <c r="AD830" s="380"/>
      <c r="AE830" s="380"/>
      <c r="AF830" s="380"/>
      <c r="AG830" s="380"/>
      <c r="AH830" s="380"/>
      <c r="AI830" s="380"/>
      <c r="AJ830" s="380"/>
      <c r="AK830" s="403"/>
      <c r="AL830" s="380"/>
      <c r="AM830" s="380"/>
      <c r="AN830" s="380"/>
      <c r="AO830" s="380"/>
      <c r="AP830" s="380"/>
      <c r="AQ830" s="404"/>
      <c r="AR830" s="380"/>
      <c r="AS830" s="380"/>
      <c r="AT830" s="380"/>
      <c r="AU830" s="380"/>
      <c r="AV830" s="380"/>
      <c r="AW830" s="380"/>
      <c r="AX830" s="380"/>
      <c r="AY830" s="403"/>
      <c r="AZ830" s="380"/>
      <c r="BA830" s="380"/>
      <c r="BB830" s="380"/>
      <c r="BC830" s="380"/>
      <c r="BD830" s="380"/>
      <c r="BE830" s="404"/>
      <c r="BF830" s="380"/>
      <c r="BG830" s="380"/>
      <c r="BH830" s="380"/>
      <c r="BI830" s="380"/>
      <c r="BJ830" s="380"/>
      <c r="BK830" s="380"/>
      <c r="BL830" s="380"/>
      <c r="BM830" s="403"/>
      <c r="BS830" s="83"/>
      <c r="CA830" s="405"/>
      <c r="CG830" s="83"/>
      <c r="CO830" s="405"/>
      <c r="CU830" s="83"/>
      <c r="DC830" s="405"/>
      <c r="DI830" s="83"/>
      <c r="DQ830" s="405"/>
      <c r="DW830" s="83"/>
      <c r="EE830" s="405"/>
      <c r="EK830" s="83"/>
      <c r="ES830" s="405"/>
      <c r="EY830" s="83"/>
      <c r="FG830" s="405"/>
      <c r="FM830" s="83"/>
      <c r="FU830" s="405"/>
      <c r="GA830" s="83"/>
      <c r="GI830" s="405"/>
      <c r="GO830" s="83"/>
      <c r="GW830" s="405"/>
      <c r="HC830" s="83"/>
      <c r="HK830" s="405"/>
      <c r="HQ830" s="83"/>
      <c r="HY830" s="405"/>
      <c r="IE830" s="83"/>
      <c r="IM830" s="405"/>
      <c r="IS830" s="83"/>
      <c r="JA830" s="405"/>
      <c r="JG830" s="83"/>
      <c r="JO830" s="405"/>
      <c r="JU830" s="83"/>
      <c r="KC830" s="405"/>
      <c r="KI830" s="83"/>
      <c r="KQ830" s="405"/>
      <c r="KW830" s="83"/>
      <c r="LE830" s="405"/>
      <c r="LK830" s="83"/>
      <c r="LS830" s="405"/>
      <c r="LY830" s="83"/>
      <c r="MG830" s="405"/>
      <c r="MM830" s="83"/>
      <c r="MU830" s="405"/>
      <c r="NA830" s="83"/>
    </row>
    <row r="831">
      <c r="A831" s="483"/>
      <c r="B831" s="380"/>
      <c r="C831" s="380"/>
      <c r="D831" s="380"/>
      <c r="E831" s="380"/>
      <c r="F831" s="380"/>
      <c r="G831" s="380"/>
      <c r="H831" s="380"/>
      <c r="I831" s="403"/>
      <c r="J831" s="380"/>
      <c r="K831" s="380"/>
      <c r="L831" s="380"/>
      <c r="M831" s="380"/>
      <c r="N831" s="380"/>
      <c r="O831" s="404"/>
      <c r="P831" s="380"/>
      <c r="Q831" s="380"/>
      <c r="R831" s="380"/>
      <c r="S831" s="380"/>
      <c r="T831" s="380"/>
      <c r="U831" s="380"/>
      <c r="V831" s="380"/>
      <c r="W831" s="403"/>
      <c r="X831" s="380"/>
      <c r="Y831" s="380"/>
      <c r="Z831" s="380"/>
      <c r="AA831" s="380"/>
      <c r="AB831" s="380"/>
      <c r="AC831" s="404"/>
      <c r="AD831" s="380"/>
      <c r="AE831" s="380"/>
      <c r="AF831" s="380"/>
      <c r="AG831" s="380"/>
      <c r="AH831" s="380"/>
      <c r="AI831" s="380"/>
      <c r="AJ831" s="380"/>
      <c r="AK831" s="403"/>
      <c r="AL831" s="380"/>
      <c r="AM831" s="380"/>
      <c r="AN831" s="380"/>
      <c r="AO831" s="380"/>
      <c r="AP831" s="380"/>
      <c r="AQ831" s="404"/>
      <c r="AR831" s="380"/>
      <c r="AS831" s="380"/>
      <c r="AT831" s="380"/>
      <c r="AU831" s="380"/>
      <c r="AV831" s="380"/>
      <c r="AW831" s="380"/>
      <c r="AX831" s="380"/>
      <c r="AY831" s="403"/>
      <c r="AZ831" s="380"/>
      <c r="BA831" s="380"/>
      <c r="BB831" s="380"/>
      <c r="BC831" s="380"/>
      <c r="BD831" s="380"/>
      <c r="BE831" s="404"/>
      <c r="BF831" s="380"/>
      <c r="BG831" s="380"/>
      <c r="BH831" s="380"/>
      <c r="BI831" s="380"/>
      <c r="BJ831" s="380"/>
      <c r="BK831" s="380"/>
      <c r="BL831" s="380"/>
      <c r="BM831" s="403"/>
      <c r="BS831" s="83"/>
      <c r="CA831" s="405"/>
      <c r="CG831" s="83"/>
      <c r="CO831" s="405"/>
      <c r="CU831" s="83"/>
      <c r="DC831" s="405"/>
      <c r="DI831" s="83"/>
      <c r="DQ831" s="405"/>
      <c r="DW831" s="83"/>
      <c r="EE831" s="405"/>
      <c r="EK831" s="83"/>
      <c r="ES831" s="405"/>
      <c r="EY831" s="83"/>
      <c r="FG831" s="405"/>
      <c r="FM831" s="83"/>
      <c r="FU831" s="405"/>
      <c r="GA831" s="83"/>
      <c r="GI831" s="405"/>
      <c r="GO831" s="83"/>
      <c r="GW831" s="405"/>
      <c r="HC831" s="83"/>
      <c r="HK831" s="405"/>
      <c r="HQ831" s="83"/>
      <c r="HY831" s="405"/>
      <c r="IE831" s="83"/>
      <c r="IM831" s="405"/>
      <c r="IS831" s="83"/>
      <c r="JA831" s="405"/>
      <c r="JG831" s="83"/>
      <c r="JO831" s="405"/>
      <c r="JU831" s="83"/>
      <c r="KC831" s="405"/>
      <c r="KI831" s="83"/>
      <c r="KQ831" s="405"/>
      <c r="KW831" s="83"/>
      <c r="LE831" s="405"/>
      <c r="LK831" s="83"/>
      <c r="LS831" s="405"/>
      <c r="LY831" s="83"/>
      <c r="MG831" s="405"/>
      <c r="MM831" s="83"/>
      <c r="MU831" s="405"/>
      <c r="NA831" s="83"/>
    </row>
    <row r="832">
      <c r="A832" s="483"/>
      <c r="B832" s="380"/>
      <c r="C832" s="380"/>
      <c r="D832" s="380"/>
      <c r="E832" s="380"/>
      <c r="F832" s="380"/>
      <c r="G832" s="380"/>
      <c r="H832" s="380"/>
      <c r="I832" s="403"/>
      <c r="J832" s="380"/>
      <c r="K832" s="380"/>
      <c r="L832" s="380"/>
      <c r="M832" s="380"/>
      <c r="N832" s="380"/>
      <c r="O832" s="404"/>
      <c r="P832" s="380"/>
      <c r="Q832" s="380"/>
      <c r="R832" s="380"/>
      <c r="S832" s="380"/>
      <c r="T832" s="380"/>
      <c r="U832" s="380"/>
      <c r="V832" s="380"/>
      <c r="W832" s="403"/>
      <c r="X832" s="380"/>
      <c r="Y832" s="380"/>
      <c r="Z832" s="380"/>
      <c r="AA832" s="380"/>
      <c r="AB832" s="380"/>
      <c r="AC832" s="404"/>
      <c r="AD832" s="380"/>
      <c r="AE832" s="380"/>
      <c r="AF832" s="380"/>
      <c r="AG832" s="380"/>
      <c r="AH832" s="380"/>
      <c r="AI832" s="380"/>
      <c r="AJ832" s="380"/>
      <c r="AK832" s="403"/>
      <c r="AL832" s="380"/>
      <c r="AM832" s="380"/>
      <c r="AN832" s="380"/>
      <c r="AO832" s="380"/>
      <c r="AP832" s="380"/>
      <c r="AQ832" s="404"/>
      <c r="AR832" s="380"/>
      <c r="AS832" s="380"/>
      <c r="AT832" s="380"/>
      <c r="AU832" s="380"/>
      <c r="AV832" s="380"/>
      <c r="AW832" s="380"/>
      <c r="AX832" s="380"/>
      <c r="AY832" s="403"/>
      <c r="AZ832" s="380"/>
      <c r="BA832" s="380"/>
      <c r="BB832" s="380"/>
      <c r="BC832" s="380"/>
      <c r="BD832" s="380"/>
      <c r="BE832" s="404"/>
      <c r="BF832" s="380"/>
      <c r="BG832" s="380"/>
      <c r="BH832" s="380"/>
      <c r="BI832" s="380"/>
      <c r="BJ832" s="380"/>
      <c r="BK832" s="380"/>
      <c r="BL832" s="380"/>
      <c r="BM832" s="403"/>
      <c r="BS832" s="83"/>
      <c r="CA832" s="405"/>
      <c r="CG832" s="83"/>
      <c r="CO832" s="405"/>
      <c r="CU832" s="83"/>
      <c r="DC832" s="405"/>
      <c r="DI832" s="83"/>
      <c r="DQ832" s="405"/>
      <c r="DW832" s="83"/>
      <c r="EE832" s="405"/>
      <c r="EK832" s="83"/>
      <c r="ES832" s="405"/>
      <c r="EY832" s="83"/>
      <c r="FG832" s="405"/>
      <c r="FM832" s="83"/>
      <c r="FU832" s="405"/>
      <c r="GA832" s="83"/>
      <c r="GI832" s="405"/>
      <c r="GO832" s="83"/>
      <c r="GW832" s="405"/>
      <c r="HC832" s="83"/>
      <c r="HK832" s="405"/>
      <c r="HQ832" s="83"/>
      <c r="HY832" s="405"/>
      <c r="IE832" s="83"/>
      <c r="IM832" s="405"/>
      <c r="IS832" s="83"/>
      <c r="JA832" s="405"/>
      <c r="JG832" s="83"/>
      <c r="JO832" s="405"/>
      <c r="JU832" s="83"/>
      <c r="KC832" s="405"/>
      <c r="KI832" s="83"/>
      <c r="KQ832" s="405"/>
      <c r="KW832" s="83"/>
      <c r="LE832" s="405"/>
      <c r="LK832" s="83"/>
      <c r="LS832" s="405"/>
      <c r="LY832" s="83"/>
      <c r="MG832" s="405"/>
      <c r="MM832" s="83"/>
      <c r="MU832" s="405"/>
      <c r="NA832" s="83"/>
    </row>
    <row r="833">
      <c r="A833" s="483"/>
      <c r="B833" s="380"/>
      <c r="C833" s="380"/>
      <c r="D833" s="380"/>
      <c r="E833" s="380"/>
      <c r="F833" s="380"/>
      <c r="G833" s="380"/>
      <c r="H833" s="380"/>
      <c r="I833" s="493"/>
      <c r="J833" s="494"/>
      <c r="K833" s="494"/>
      <c r="L833" s="494"/>
      <c r="M833" s="494"/>
      <c r="N833" s="494"/>
      <c r="O833" s="495"/>
      <c r="P833" s="380"/>
      <c r="Q833" s="380"/>
      <c r="R833" s="380"/>
      <c r="S833" s="380"/>
      <c r="T833" s="380"/>
      <c r="U833" s="380"/>
      <c r="V833" s="380"/>
      <c r="W833" s="493"/>
      <c r="X833" s="494"/>
      <c r="Y833" s="494"/>
      <c r="Z833" s="494"/>
      <c r="AA833" s="494"/>
      <c r="AB833" s="494"/>
      <c r="AC833" s="495"/>
      <c r="AD833" s="380"/>
      <c r="AE833" s="380"/>
      <c r="AF833" s="380"/>
      <c r="AG833" s="380"/>
      <c r="AH833" s="380"/>
      <c r="AI833" s="380"/>
      <c r="AJ833" s="380"/>
      <c r="AK833" s="493"/>
      <c r="AL833" s="494"/>
      <c r="AM833" s="494"/>
      <c r="AN833" s="494"/>
      <c r="AO833" s="494"/>
      <c r="AP833" s="494"/>
      <c r="AQ833" s="495"/>
      <c r="AR833" s="380"/>
      <c r="AS833" s="380"/>
      <c r="AT833" s="380"/>
      <c r="AU833" s="380"/>
      <c r="AV833" s="380"/>
      <c r="AW833" s="380"/>
      <c r="AX833" s="380"/>
      <c r="AY833" s="493"/>
      <c r="AZ833" s="494"/>
      <c r="BA833" s="494"/>
      <c r="BB833" s="494"/>
      <c r="BC833" s="494"/>
      <c r="BD833" s="494"/>
      <c r="BE833" s="495"/>
      <c r="BF833" s="380"/>
      <c r="BG833" s="380"/>
      <c r="BH833" s="380"/>
      <c r="BI833" s="380"/>
      <c r="BJ833" s="380"/>
      <c r="BK833" s="380"/>
      <c r="BL833" s="380"/>
      <c r="BM833" s="493"/>
      <c r="BN833" s="23"/>
      <c r="BO833" s="23"/>
      <c r="BP833" s="23"/>
      <c r="BQ833" s="23"/>
      <c r="BR833" s="23"/>
      <c r="BS833" s="104"/>
      <c r="CA833" s="488"/>
      <c r="CB833" s="23"/>
      <c r="CC833" s="23"/>
      <c r="CD833" s="23"/>
      <c r="CE833" s="23"/>
      <c r="CF833" s="23"/>
      <c r="CG833" s="104"/>
      <c r="CO833" s="488"/>
      <c r="CP833" s="23"/>
      <c r="CQ833" s="23"/>
      <c r="CR833" s="23"/>
      <c r="CS833" s="23"/>
      <c r="CT833" s="23"/>
      <c r="CU833" s="104"/>
      <c r="DC833" s="488"/>
      <c r="DD833" s="23"/>
      <c r="DE833" s="23"/>
      <c r="DF833" s="23"/>
      <c r="DG833" s="23"/>
      <c r="DH833" s="23"/>
      <c r="DI833" s="104"/>
      <c r="DQ833" s="488"/>
      <c r="DR833" s="23"/>
      <c r="DS833" s="23"/>
      <c r="DT833" s="23"/>
      <c r="DU833" s="23"/>
      <c r="DV833" s="23"/>
      <c r="DW833" s="104"/>
      <c r="EE833" s="488"/>
      <c r="EF833" s="23"/>
      <c r="EG833" s="23"/>
      <c r="EH833" s="23"/>
      <c r="EI833" s="23"/>
      <c r="EJ833" s="23"/>
      <c r="EK833" s="104"/>
      <c r="ES833" s="488"/>
      <c r="ET833" s="23"/>
      <c r="EU833" s="23"/>
      <c r="EV833" s="23"/>
      <c r="EW833" s="23"/>
      <c r="EX833" s="23"/>
      <c r="EY833" s="104"/>
      <c r="FG833" s="488"/>
      <c r="FH833" s="23"/>
      <c r="FI833" s="23"/>
      <c r="FJ833" s="23"/>
      <c r="FK833" s="23"/>
      <c r="FL833" s="23"/>
      <c r="FM833" s="104"/>
      <c r="FU833" s="488"/>
      <c r="FV833" s="23"/>
      <c r="FW833" s="23"/>
      <c r="FX833" s="23"/>
      <c r="FY833" s="23"/>
      <c r="FZ833" s="23"/>
      <c r="GA833" s="104"/>
      <c r="GI833" s="488"/>
      <c r="GJ833" s="23"/>
      <c r="GK833" s="23"/>
      <c r="GL833" s="23"/>
      <c r="GM833" s="23"/>
      <c r="GN833" s="23"/>
      <c r="GO833" s="104"/>
      <c r="GW833" s="488"/>
      <c r="GX833" s="23"/>
      <c r="GY833" s="23"/>
      <c r="GZ833" s="23"/>
      <c r="HA833" s="23"/>
      <c r="HB833" s="23"/>
      <c r="HC833" s="104"/>
      <c r="HK833" s="488"/>
      <c r="HL833" s="23"/>
      <c r="HM833" s="23"/>
      <c r="HN833" s="23"/>
      <c r="HO833" s="23"/>
      <c r="HP833" s="23"/>
      <c r="HQ833" s="104"/>
      <c r="HY833" s="488"/>
      <c r="HZ833" s="23"/>
      <c r="IA833" s="23"/>
      <c r="IB833" s="23"/>
      <c r="IC833" s="23"/>
      <c r="ID833" s="23"/>
      <c r="IE833" s="104"/>
      <c r="IM833" s="488"/>
      <c r="IN833" s="23"/>
      <c r="IO833" s="23"/>
      <c r="IP833" s="23"/>
      <c r="IQ833" s="23"/>
      <c r="IR833" s="23"/>
      <c r="IS833" s="104"/>
      <c r="JA833" s="488"/>
      <c r="JB833" s="23"/>
      <c r="JC833" s="23"/>
      <c r="JD833" s="23"/>
      <c r="JE833" s="23"/>
      <c r="JF833" s="23"/>
      <c r="JG833" s="104"/>
      <c r="JO833" s="488"/>
      <c r="JP833" s="23"/>
      <c r="JQ833" s="23"/>
      <c r="JR833" s="23"/>
      <c r="JS833" s="23"/>
      <c r="JT833" s="23"/>
      <c r="JU833" s="104"/>
      <c r="KC833" s="488"/>
      <c r="KD833" s="23"/>
      <c r="KE833" s="23"/>
      <c r="KF833" s="23"/>
      <c r="KG833" s="23"/>
      <c r="KH833" s="23"/>
      <c r="KI833" s="104"/>
      <c r="KQ833" s="488"/>
      <c r="KR833" s="23"/>
      <c r="KS833" s="23"/>
      <c r="KT833" s="23"/>
      <c r="KU833" s="23"/>
      <c r="KV833" s="23"/>
      <c r="KW833" s="104"/>
      <c r="LE833" s="488"/>
      <c r="LF833" s="23"/>
      <c r="LG833" s="23"/>
      <c r="LH833" s="23"/>
      <c r="LI833" s="23"/>
      <c r="LJ833" s="23"/>
      <c r="LK833" s="104"/>
      <c r="LS833" s="488"/>
      <c r="LT833" s="23"/>
      <c r="LU833" s="23"/>
      <c r="LV833" s="23"/>
      <c r="LW833" s="23"/>
      <c r="LX833" s="23"/>
      <c r="LY833" s="104"/>
      <c r="MG833" s="488"/>
      <c r="MH833" s="23"/>
      <c r="MI833" s="23"/>
      <c r="MJ833" s="23"/>
      <c r="MK833" s="23"/>
      <c r="ML833" s="23"/>
      <c r="MM833" s="104"/>
      <c r="MU833" s="488"/>
      <c r="MV833" s="23"/>
      <c r="MW833" s="23"/>
      <c r="MX833" s="23"/>
      <c r="MY833" s="23"/>
      <c r="MZ833" s="23"/>
      <c r="NA833" s="104"/>
    </row>
  </sheetData>
  <mergeCells count="3304">
    <mergeCell ref="DJ16:DM16"/>
    <mergeCell ref="CV16:DB16"/>
    <mergeCell ref="DC11:DI11"/>
    <mergeCell ref="DJ11:DM11"/>
    <mergeCell ref="CV13:DB13"/>
    <mergeCell ref="DC13:DI13"/>
    <mergeCell ref="DN16:DQ16"/>
    <mergeCell ref="DN15:DQ15"/>
    <mergeCell ref="CV7:DB7"/>
    <mergeCell ref="DC14:DI14"/>
    <mergeCell ref="DJ17:DQ17"/>
    <mergeCell ref="DN14:DQ14"/>
    <mergeCell ref="DJ15:DM15"/>
    <mergeCell ref="DJ9:DM9"/>
    <mergeCell ref="DJ12:DM12"/>
    <mergeCell ref="DC12:DI12"/>
    <mergeCell ref="CV15:DB15"/>
    <mergeCell ref="CV14:DB14"/>
    <mergeCell ref="DJ14:DM14"/>
    <mergeCell ref="DJ13:DM13"/>
    <mergeCell ref="DN13:DW13"/>
    <mergeCell ref="CV11:DB11"/>
    <mergeCell ref="CV12:DB12"/>
    <mergeCell ref="DC16:DI16"/>
    <mergeCell ref="DC15:DI15"/>
    <mergeCell ref="DX13:ED13"/>
    <mergeCell ref="DX12:ED12"/>
    <mergeCell ref="DN9:ED9"/>
    <mergeCell ref="DN11:ED11"/>
    <mergeCell ref="DN12:DW12"/>
    <mergeCell ref="DX14:ED14"/>
    <mergeCell ref="DR14:DW14"/>
    <mergeCell ref="DR15:DW15"/>
    <mergeCell ref="DX15:ED15"/>
    <mergeCell ref="DR17:ED17"/>
    <mergeCell ref="DX16:ED16"/>
    <mergeCell ref="DR16:DW16"/>
    <mergeCell ref="DC17:DI17"/>
    <mergeCell ref="CV17:DB17"/>
    <mergeCell ref="FG29:FM29"/>
    <mergeCell ref="EZ29:FF29"/>
    <mergeCell ref="EZ30:FF30"/>
    <mergeCell ref="EZ28:FF28"/>
    <mergeCell ref="ES33:EY33"/>
    <mergeCell ref="ES32:EY32"/>
    <mergeCell ref="EL32:ER32"/>
    <mergeCell ref="EL28:ER28"/>
    <mergeCell ref="EL27:ER27"/>
    <mergeCell ref="EZ25:FF25"/>
    <mergeCell ref="FG30:FM30"/>
    <mergeCell ref="FN30:FT30"/>
    <mergeCell ref="FN29:FT29"/>
    <mergeCell ref="EL26:ER26"/>
    <mergeCell ref="AK27:AQ27"/>
    <mergeCell ref="AR28:AX28"/>
    <mergeCell ref="AR27:AX27"/>
    <mergeCell ref="AY28:BL28"/>
    <mergeCell ref="BF14:BL14"/>
    <mergeCell ref="BF20:BL20"/>
    <mergeCell ref="BF21:BL21"/>
    <mergeCell ref="BF22:BL22"/>
    <mergeCell ref="BF23:BL23"/>
    <mergeCell ref="BF24:BL24"/>
    <mergeCell ref="BF26:BL26"/>
    <mergeCell ref="BF25:BL25"/>
    <mergeCell ref="AY20:BE20"/>
    <mergeCell ref="AY21:BE21"/>
    <mergeCell ref="AY22:BE22"/>
    <mergeCell ref="AK20:AQ20"/>
    <mergeCell ref="AR22:AX22"/>
    <mergeCell ref="AK22:AQ22"/>
    <mergeCell ref="AR20:AX20"/>
    <mergeCell ref="AK19:AQ19"/>
    <mergeCell ref="AY19:BE19"/>
    <mergeCell ref="AR19:AX19"/>
    <mergeCell ref="AY29:BE29"/>
    <mergeCell ref="AK29:AQ29"/>
    <mergeCell ref="AY24:BE24"/>
    <mergeCell ref="AY26:BE26"/>
    <mergeCell ref="AY25:BE25"/>
    <mergeCell ref="AY33:BE33"/>
    <mergeCell ref="AK33:AQ33"/>
    <mergeCell ref="AR33:AX33"/>
    <mergeCell ref="AU14:BE14"/>
    <mergeCell ref="AD14:AJ14"/>
    <mergeCell ref="AD16:AJ16"/>
    <mergeCell ref="AY23:BE23"/>
    <mergeCell ref="AD28:AJ28"/>
    <mergeCell ref="AD29:AJ29"/>
    <mergeCell ref="AK25:AQ25"/>
    <mergeCell ref="AK26:AQ26"/>
    <mergeCell ref="AR26:AX26"/>
    <mergeCell ref="AR25:AX25"/>
    <mergeCell ref="AR24:AX24"/>
    <mergeCell ref="AR23:AX23"/>
    <mergeCell ref="AK24:AQ24"/>
    <mergeCell ref="AK23:AQ23"/>
    <mergeCell ref="BF29:BL29"/>
    <mergeCell ref="BF30:BL30"/>
    <mergeCell ref="AY27:BE27"/>
    <mergeCell ref="BF27:BL27"/>
    <mergeCell ref="DX32:ED32"/>
    <mergeCell ref="EE32:EK32"/>
    <mergeCell ref="CV32:DB32"/>
    <mergeCell ref="DC32:DI32"/>
    <mergeCell ref="DJ32:DQ32"/>
    <mergeCell ref="DJ33:DP33"/>
    <mergeCell ref="DR32:DW32"/>
    <mergeCell ref="DX33:ED33"/>
    <mergeCell ref="DQ33:DW33"/>
    <mergeCell ref="DJ20:DP20"/>
    <mergeCell ref="DQ20:DW20"/>
    <mergeCell ref="DX20:ED20"/>
    <mergeCell ref="DJ22:DP22"/>
    <mergeCell ref="DJ21:DP21"/>
    <mergeCell ref="DR21:ED21"/>
    <mergeCell ref="EE21:EK21"/>
    <mergeCell ref="CV21:DB21"/>
    <mergeCell ref="DC21:DI21"/>
    <mergeCell ref="BM23:BS23"/>
    <mergeCell ref="CE21:CS21"/>
    <mergeCell ref="AK14:AT14"/>
    <mergeCell ref="AK16:AT16"/>
    <mergeCell ref="DX25:ED25"/>
    <mergeCell ref="DX27:ED27"/>
    <mergeCell ref="EE27:EK27"/>
    <mergeCell ref="EE26:EK26"/>
    <mergeCell ref="CH27:CN27"/>
    <mergeCell ref="DX26:ED26"/>
    <mergeCell ref="BM26:BS26"/>
    <mergeCell ref="BM22:BS22"/>
    <mergeCell ref="BM20:BS20"/>
    <mergeCell ref="BM21:BS21"/>
    <mergeCell ref="BN18:BV18"/>
    <mergeCell ref="BM19:BS19"/>
    <mergeCell ref="DJ27:DP27"/>
    <mergeCell ref="DC27:DI27"/>
    <mergeCell ref="DC20:DI20"/>
    <mergeCell ref="DC22:DI22"/>
    <mergeCell ref="EE22:EK22"/>
    <mergeCell ref="DX22:ED22"/>
    <mergeCell ref="CV22:DB22"/>
    <mergeCell ref="DQ22:DW22"/>
    <mergeCell ref="BM29:BS29"/>
    <mergeCell ref="BM30:BS30"/>
    <mergeCell ref="CA28:CG28"/>
    <mergeCell ref="CA29:CG29"/>
    <mergeCell ref="BM32:BS32"/>
    <mergeCell ref="BT30:BZ30"/>
    <mergeCell ref="BM28:BS28"/>
    <mergeCell ref="CO33:CU33"/>
    <mergeCell ref="CO29:CU29"/>
    <mergeCell ref="CO28:CU28"/>
    <mergeCell ref="CV28:DB28"/>
    <mergeCell ref="CO32:CU32"/>
    <mergeCell ref="CH32:CN32"/>
    <mergeCell ref="DX30:ED30"/>
    <mergeCell ref="EE30:EK30"/>
    <mergeCell ref="EE29:EK29"/>
    <mergeCell ref="EE28:EK28"/>
    <mergeCell ref="DX28:ED28"/>
    <mergeCell ref="DX29:ED29"/>
    <mergeCell ref="DX24:ED24"/>
    <mergeCell ref="DQ24:DW24"/>
    <mergeCell ref="FG24:FM24"/>
    <mergeCell ref="EZ24:FF24"/>
    <mergeCell ref="FN24:FT24"/>
    <mergeCell ref="DQ23:DW23"/>
    <mergeCell ref="DX23:ED23"/>
    <mergeCell ref="EZ23:FF23"/>
    <mergeCell ref="FN23:FT23"/>
    <mergeCell ref="FG25:FM25"/>
    <mergeCell ref="FN25:FT25"/>
    <mergeCell ref="DJ23:DP23"/>
    <mergeCell ref="DJ24:DP24"/>
    <mergeCell ref="DJ29:DP29"/>
    <mergeCell ref="DJ28:DP28"/>
    <mergeCell ref="AD26:AJ26"/>
    <mergeCell ref="AD27:AJ27"/>
    <mergeCell ref="BM27:BS27"/>
    <mergeCell ref="BM25:BS25"/>
    <mergeCell ref="BM24:BS24"/>
    <mergeCell ref="EW2:FZ2"/>
    <mergeCell ref="EW3:FZ3"/>
    <mergeCell ref="AG3:BH3"/>
    <mergeCell ref="B3:AF3"/>
    <mergeCell ref="B2:AF2"/>
    <mergeCell ref="BI2:CM2"/>
    <mergeCell ref="AG2:BH2"/>
    <mergeCell ref="CN2:DQ2"/>
    <mergeCell ref="DR2:EV2"/>
    <mergeCell ref="FN7:FT7"/>
    <mergeCell ref="FG7:FM7"/>
    <mergeCell ref="EL7:ER7"/>
    <mergeCell ref="DJ7:DP7"/>
    <mergeCell ref="DQ7:DW7"/>
    <mergeCell ref="DX7:ED7"/>
    <mergeCell ref="EE7:EK7"/>
    <mergeCell ref="EZ7:FF7"/>
    <mergeCell ref="ES7:EY7"/>
    <mergeCell ref="AK7:AQ7"/>
    <mergeCell ref="AD7:AJ7"/>
    <mergeCell ref="A5:A6"/>
    <mergeCell ref="I7:O7"/>
    <mergeCell ref="P7:V7"/>
    <mergeCell ref="W7:AC7"/>
    <mergeCell ref="B7:H7"/>
    <mergeCell ref="AY7:BE7"/>
    <mergeCell ref="BF7:BL7"/>
    <mergeCell ref="AK8:AQ8"/>
    <mergeCell ref="AD8:AJ8"/>
    <mergeCell ref="AR7:AX7"/>
    <mergeCell ref="W11:AC11"/>
    <mergeCell ref="CA7:CG7"/>
    <mergeCell ref="DC7:DI7"/>
    <mergeCell ref="BM8:BS8"/>
    <mergeCell ref="DJ8:DP8"/>
    <mergeCell ref="DC8:DI8"/>
    <mergeCell ref="CV8:DB8"/>
    <mergeCell ref="EZ8:FF8"/>
    <mergeCell ref="ES8:EY8"/>
    <mergeCell ref="EL8:ER8"/>
    <mergeCell ref="EE8:EK8"/>
    <mergeCell ref="BT7:BZ7"/>
    <mergeCell ref="CN3:DQ3"/>
    <mergeCell ref="DR3:EV3"/>
    <mergeCell ref="AY8:BE8"/>
    <mergeCell ref="BF8:BL8"/>
    <mergeCell ref="BM7:BS7"/>
    <mergeCell ref="BI3:CM3"/>
    <mergeCell ref="EZ10:FM10"/>
    <mergeCell ref="EZ11:FF11"/>
    <mergeCell ref="DX8:ED8"/>
    <mergeCell ref="DQ8:DW8"/>
    <mergeCell ref="DN10:ED10"/>
    <mergeCell ref="DJ10:DM10"/>
    <mergeCell ref="EE9:EY9"/>
    <mergeCell ref="EZ9:FM9"/>
    <mergeCell ref="EE10:EY10"/>
    <mergeCell ref="IF11:IM11"/>
    <mergeCell ref="IN11:IS11"/>
    <mergeCell ref="KJ13:KP13"/>
    <mergeCell ref="KQ13:KW13"/>
    <mergeCell ref="JO11:JU11"/>
    <mergeCell ref="KJ11:KP11"/>
    <mergeCell ref="JA11:JG11"/>
    <mergeCell ref="IT11:IZ11"/>
    <mergeCell ref="GU12:GV12"/>
    <mergeCell ref="KC13:KI13"/>
    <mergeCell ref="KJ14:KP14"/>
    <mergeCell ref="KC14:KI14"/>
    <mergeCell ref="KX15:LD15"/>
    <mergeCell ref="KX16:LD16"/>
    <mergeCell ref="LE16:LK16"/>
    <mergeCell ref="LE17:LK17"/>
    <mergeCell ref="LE18:LK18"/>
    <mergeCell ref="KQ17:LD17"/>
    <mergeCell ref="KX18:LD18"/>
    <mergeCell ref="LE19:LK19"/>
    <mergeCell ref="IT15:IZ15"/>
    <mergeCell ref="IT19:IZ19"/>
    <mergeCell ref="JA19:JG19"/>
    <mergeCell ref="HK12:HQ12"/>
    <mergeCell ref="HD12:HJ12"/>
    <mergeCell ref="HR12:HX12"/>
    <mergeCell ref="KC15:KI15"/>
    <mergeCell ref="LT16:LY16"/>
    <mergeCell ref="LP16:LS16"/>
    <mergeCell ref="LL19:LR19"/>
    <mergeCell ref="LS19:LY19"/>
    <mergeCell ref="LS7:LY7"/>
    <mergeCell ref="LL7:LR7"/>
    <mergeCell ref="LL16:LO16"/>
    <mergeCell ref="LS11:LY11"/>
    <mergeCell ref="LL17:LR17"/>
    <mergeCell ref="LS17:MC17"/>
    <mergeCell ref="LL18:LR18"/>
    <mergeCell ref="LS18:LY18"/>
    <mergeCell ref="MB9:MT9"/>
    <mergeCell ref="LL8:NA8"/>
    <mergeCell ref="LS9:MA9"/>
    <mergeCell ref="MU9:NA9"/>
    <mergeCell ref="MU7:NA7"/>
    <mergeCell ref="MG10:MM10"/>
    <mergeCell ref="MG11:MM11"/>
    <mergeCell ref="LZ14:MF14"/>
    <mergeCell ref="MG14:MJ14"/>
    <mergeCell ref="MK14:MT14"/>
    <mergeCell ref="MK13:MT13"/>
    <mergeCell ref="LL10:LR10"/>
    <mergeCell ref="LL11:LR11"/>
    <mergeCell ref="LZ10:MF10"/>
    <mergeCell ref="MN10:MT10"/>
    <mergeCell ref="LS10:LY10"/>
    <mergeCell ref="LX2:NB2"/>
    <mergeCell ref="MN7:MT7"/>
    <mergeCell ref="MU11:NA11"/>
    <mergeCell ref="LZ11:MF11"/>
    <mergeCell ref="MN11:MT11"/>
    <mergeCell ref="MU12:NA12"/>
    <mergeCell ref="MU13:NA13"/>
    <mergeCell ref="MS17:NA17"/>
    <mergeCell ref="LL22:LZ22"/>
    <mergeCell ref="LV21:MF21"/>
    <mergeCell ref="LL21:LR21"/>
    <mergeCell ref="LL20:LR20"/>
    <mergeCell ref="LS20:LY20"/>
    <mergeCell ref="MQ15:MT15"/>
    <mergeCell ref="MU15:NA15"/>
    <mergeCell ref="KQ15:KW15"/>
    <mergeCell ref="KJ15:KP15"/>
    <mergeCell ref="LE15:LK15"/>
    <mergeCell ref="LZ15:MC15"/>
    <mergeCell ref="MK15:MP15"/>
    <mergeCell ref="MG15:MJ15"/>
    <mergeCell ref="MD15:MF15"/>
    <mergeCell ref="LE10:LK10"/>
    <mergeCell ref="LE11:LK11"/>
    <mergeCell ref="LE8:LK8"/>
    <mergeCell ref="LE7:LK7"/>
    <mergeCell ref="KX7:LD7"/>
    <mergeCell ref="KQ7:KW7"/>
    <mergeCell ref="KJ7:KP7"/>
    <mergeCell ref="GW11:HC11"/>
    <mergeCell ref="GW10:HC10"/>
    <mergeCell ref="GI9:HQ9"/>
    <mergeCell ref="GP11:GV11"/>
    <mergeCell ref="GP10:GV10"/>
    <mergeCell ref="HD7:HJ7"/>
    <mergeCell ref="IF10:JG10"/>
    <mergeCell ref="HY10:IE10"/>
    <mergeCell ref="IM7:IS7"/>
    <mergeCell ref="IT7:IZ7"/>
    <mergeCell ref="IF7:IL7"/>
    <mergeCell ref="HY7:IE7"/>
    <mergeCell ref="LL12:LR12"/>
    <mergeCell ref="LE12:LK12"/>
    <mergeCell ref="MK12:MN12"/>
    <mergeCell ref="LZ12:MF12"/>
    <mergeCell ref="LS12:LY12"/>
    <mergeCell ref="LX3:NB3"/>
    <mergeCell ref="KT3:LW3"/>
    <mergeCell ref="KT2:LW2"/>
    <mergeCell ref="LS14:LY14"/>
    <mergeCell ref="MU14:NA14"/>
    <mergeCell ref="LL13:LR13"/>
    <mergeCell ref="LL15:LR15"/>
    <mergeCell ref="LL14:LR14"/>
    <mergeCell ref="LS13:LY13"/>
    <mergeCell ref="LS15:LY15"/>
    <mergeCell ref="LZ13:MG13"/>
    <mergeCell ref="MH13:MJ13"/>
    <mergeCell ref="MA22:MT22"/>
    <mergeCell ref="MG21:MM21"/>
    <mergeCell ref="MN21:MT21"/>
    <mergeCell ref="LZ7:MF7"/>
    <mergeCell ref="MG7:MM7"/>
    <mergeCell ref="MU22:NB22"/>
    <mergeCell ref="MU16:NA16"/>
    <mergeCell ref="MU10:NA10"/>
    <mergeCell ref="MN18:MT18"/>
    <mergeCell ref="MU21:NA21"/>
    <mergeCell ref="MK16:MT16"/>
    <mergeCell ref="MD17:MR17"/>
    <mergeCell ref="MG16:MJ16"/>
    <mergeCell ref="LZ18:MF18"/>
    <mergeCell ref="MG18:MM18"/>
    <mergeCell ref="LZ16:MF16"/>
    <mergeCell ref="LZ20:MF20"/>
    <mergeCell ref="LZ19:MF19"/>
    <mergeCell ref="MU18:NA18"/>
    <mergeCell ref="MU19:NA19"/>
    <mergeCell ref="MG19:MM19"/>
    <mergeCell ref="MN19:MT19"/>
    <mergeCell ref="MU20:NA20"/>
    <mergeCell ref="MG20:MM20"/>
    <mergeCell ref="MN20:MT20"/>
    <mergeCell ref="MG12:MJ12"/>
    <mergeCell ref="MO12:MT12"/>
    <mergeCell ref="GB7:GH7"/>
    <mergeCell ref="FU7:GA7"/>
    <mergeCell ref="JV7:KB7"/>
    <mergeCell ref="JO7:JU7"/>
    <mergeCell ref="GI7:GO7"/>
    <mergeCell ref="HR7:HX7"/>
    <mergeCell ref="HK7:HQ7"/>
    <mergeCell ref="GW7:HC7"/>
    <mergeCell ref="GP7:GV7"/>
    <mergeCell ref="HF3:IJ3"/>
    <mergeCell ref="GA3:HE3"/>
    <mergeCell ref="JO3:KS3"/>
    <mergeCell ref="JO2:KS2"/>
    <mergeCell ref="GA2:HE2"/>
    <mergeCell ref="IK3:JN3"/>
    <mergeCell ref="IK2:JN2"/>
    <mergeCell ref="HF2:IJ2"/>
    <mergeCell ref="HK10:HQ10"/>
    <mergeCell ref="HD10:HJ10"/>
    <mergeCell ref="GB10:GH10"/>
    <mergeCell ref="IF12:IM12"/>
    <mergeCell ref="HY12:IE12"/>
    <mergeCell ref="HR11:HX11"/>
    <mergeCell ref="HK11:HQ11"/>
    <mergeCell ref="HD11:HJ11"/>
    <mergeCell ref="HY11:IE11"/>
    <mergeCell ref="HR10:HX10"/>
    <mergeCell ref="HR9:IE9"/>
    <mergeCell ref="HR8:IE8"/>
    <mergeCell ref="GB8:HQ8"/>
    <mergeCell ref="FU8:GA8"/>
    <mergeCell ref="IF8:IZ8"/>
    <mergeCell ref="JA8:JG8"/>
    <mergeCell ref="KC8:KI8"/>
    <mergeCell ref="KC7:KI7"/>
    <mergeCell ref="IF9:JG9"/>
    <mergeCell ref="JO8:JU8"/>
    <mergeCell ref="JV8:KB8"/>
    <mergeCell ref="JO10:JU10"/>
    <mergeCell ref="JH10:JN10"/>
    <mergeCell ref="JA7:JG7"/>
    <mergeCell ref="JH7:JN7"/>
    <mergeCell ref="HD28:HJ28"/>
    <mergeCell ref="GW28:HC28"/>
    <mergeCell ref="FU28:GA28"/>
    <mergeCell ref="IF28:IL28"/>
    <mergeCell ref="IT28:IZ28"/>
    <mergeCell ref="JA28:JG28"/>
    <mergeCell ref="IM28:IS28"/>
    <mergeCell ref="HY28:IE28"/>
    <mergeCell ref="HR28:HX28"/>
    <mergeCell ref="HK24:HQ24"/>
    <mergeCell ref="HK23:HQ23"/>
    <mergeCell ref="HY25:IE25"/>
    <mergeCell ref="GW25:HC25"/>
    <mergeCell ref="HD25:HJ25"/>
    <mergeCell ref="HK25:HQ25"/>
    <mergeCell ref="HD24:HJ24"/>
    <mergeCell ref="HY24:IE24"/>
    <mergeCell ref="GW23:HC23"/>
    <mergeCell ref="IM25:IS25"/>
    <mergeCell ref="IT25:IZ25"/>
    <mergeCell ref="IT26:IZ26"/>
    <mergeCell ref="HR26:HX26"/>
    <mergeCell ref="HY26:IE26"/>
    <mergeCell ref="IF26:IL26"/>
    <mergeCell ref="IM26:IS26"/>
    <mergeCell ref="GW27:HC27"/>
    <mergeCell ref="HD27:HJ27"/>
    <mergeCell ref="IT27:IZ27"/>
    <mergeCell ref="IM27:IS27"/>
    <mergeCell ref="HR27:HX27"/>
    <mergeCell ref="IF27:IL27"/>
    <mergeCell ref="HD23:HJ23"/>
    <mergeCell ref="GW24:HC24"/>
    <mergeCell ref="JA26:JG26"/>
    <mergeCell ref="JA27:JG27"/>
    <mergeCell ref="IN15:IS15"/>
    <mergeCell ref="IF13:IM13"/>
    <mergeCell ref="FU26:GA26"/>
    <mergeCell ref="FU27:GA27"/>
    <mergeCell ref="JA23:JG23"/>
    <mergeCell ref="HR25:HX25"/>
    <mergeCell ref="HR13:HX13"/>
    <mergeCell ref="JA24:JG24"/>
    <mergeCell ref="HK13:HQ13"/>
    <mergeCell ref="HY13:IE13"/>
    <mergeCell ref="JH14:JN14"/>
    <mergeCell ref="JA14:JG14"/>
    <mergeCell ref="JH13:JN13"/>
    <mergeCell ref="HK14:HQ14"/>
    <mergeCell ref="GW14:HC14"/>
    <mergeCell ref="HD15:HJ15"/>
    <mergeCell ref="GW13:HC13"/>
    <mergeCell ref="KC12:KI12"/>
    <mergeCell ref="JO12:JU12"/>
    <mergeCell ref="JO13:JU13"/>
    <mergeCell ref="JV13:KB13"/>
    <mergeCell ref="JV12:KB12"/>
    <mergeCell ref="IT13:IZ13"/>
    <mergeCell ref="IN12:IS12"/>
    <mergeCell ref="IT12:IZ12"/>
    <mergeCell ref="JA12:JG12"/>
    <mergeCell ref="JA13:JG13"/>
    <mergeCell ref="IN13:IS13"/>
    <mergeCell ref="JA25:JG25"/>
    <mergeCell ref="IF25:IL25"/>
    <mergeCell ref="HD26:HJ26"/>
    <mergeCell ref="GW26:HC26"/>
    <mergeCell ref="HY29:IE29"/>
    <mergeCell ref="HR29:HX29"/>
    <mergeCell ref="JA29:JG29"/>
    <mergeCell ref="HR24:HX24"/>
    <mergeCell ref="HR23:HX23"/>
    <mergeCell ref="HY23:IE23"/>
    <mergeCell ref="IF23:IL23"/>
    <mergeCell ref="IF24:IL24"/>
    <mergeCell ref="IT24:IZ24"/>
    <mergeCell ref="IM23:IZ23"/>
    <mergeCell ref="IM24:IS24"/>
    <mergeCell ref="JO17:KI17"/>
    <mergeCell ref="JH17:JN17"/>
    <mergeCell ref="JO15:JU15"/>
    <mergeCell ref="JO14:JU14"/>
    <mergeCell ref="JV15:KB15"/>
    <mergeCell ref="JA15:JG15"/>
    <mergeCell ref="JH15:JN15"/>
    <mergeCell ref="LS34:LY34"/>
    <mergeCell ref="LL34:LR34"/>
    <mergeCell ref="LL33:LR33"/>
    <mergeCell ref="MN34:MT34"/>
    <mergeCell ref="MG34:MM34"/>
    <mergeCell ref="MG36:MM36"/>
    <mergeCell ref="MG37:MM37"/>
    <mergeCell ref="MG32:MM32"/>
    <mergeCell ref="LZ32:MF32"/>
    <mergeCell ref="LL32:LR32"/>
    <mergeCell ref="LZ33:MF33"/>
    <mergeCell ref="LZ34:MF34"/>
    <mergeCell ref="LS33:LY33"/>
    <mergeCell ref="MN33:MT33"/>
    <mergeCell ref="MU34:NA34"/>
    <mergeCell ref="MU33:NA33"/>
    <mergeCell ref="MN32:MT32"/>
    <mergeCell ref="MG33:MM33"/>
    <mergeCell ref="LS32:LY32"/>
    <mergeCell ref="JA34:JG34"/>
    <mergeCell ref="JA32:JG32"/>
    <mergeCell ref="JA33:JG33"/>
    <mergeCell ref="IM36:IS36"/>
    <mergeCell ref="IT36:IZ36"/>
    <mergeCell ref="IT32:IZ32"/>
    <mergeCell ref="IM33:IS33"/>
    <mergeCell ref="IM29:IS29"/>
    <mergeCell ref="IT29:IZ29"/>
    <mergeCell ref="IT34:IZ34"/>
    <mergeCell ref="JA35:JG35"/>
    <mergeCell ref="IM37:IS37"/>
    <mergeCell ref="IT37:IZ37"/>
    <mergeCell ref="IT35:IZ35"/>
    <mergeCell ref="GP30:GV30"/>
    <mergeCell ref="GI30:GO30"/>
    <mergeCell ref="GP36:GV36"/>
    <mergeCell ref="GP35:GV35"/>
    <mergeCell ref="GP37:GV37"/>
    <mergeCell ref="JA30:JG30"/>
    <mergeCell ref="IT30:IZ30"/>
    <mergeCell ref="IM30:IS30"/>
    <mergeCell ref="HK29:HQ29"/>
    <mergeCell ref="HK28:HQ28"/>
    <mergeCell ref="HD30:HJ30"/>
    <mergeCell ref="GW30:HC30"/>
    <mergeCell ref="IF30:IL30"/>
    <mergeCell ref="HR30:HX30"/>
    <mergeCell ref="IF29:IL29"/>
    <mergeCell ref="HD35:HJ35"/>
    <mergeCell ref="GW37:HC37"/>
    <mergeCell ref="HK37:HQ37"/>
    <mergeCell ref="HR37:HX37"/>
    <mergeCell ref="GW36:HC36"/>
    <mergeCell ref="HD37:HJ37"/>
    <mergeCell ref="HD36:HJ36"/>
    <mergeCell ref="HD29:HJ29"/>
    <mergeCell ref="GW29:HC29"/>
    <mergeCell ref="HR35:HX35"/>
    <mergeCell ref="IF35:IL35"/>
    <mergeCell ref="IF34:IL34"/>
    <mergeCell ref="IF36:IL36"/>
    <mergeCell ref="HK35:HQ35"/>
    <mergeCell ref="IF33:IL33"/>
    <mergeCell ref="JA36:JG36"/>
    <mergeCell ref="JA37:JG37"/>
    <mergeCell ref="IM34:IS34"/>
    <mergeCell ref="IM35:IS35"/>
    <mergeCell ref="DC34:DI34"/>
    <mergeCell ref="CV34:DB34"/>
    <mergeCell ref="CO37:CU37"/>
    <mergeCell ref="CV37:DB37"/>
    <mergeCell ref="P28:V28"/>
    <mergeCell ref="P35:V35"/>
    <mergeCell ref="P32:V32"/>
    <mergeCell ref="P33:V33"/>
    <mergeCell ref="P30:V30"/>
    <mergeCell ref="P29:V29"/>
    <mergeCell ref="BF36:BL36"/>
    <mergeCell ref="BT29:BZ29"/>
    <mergeCell ref="BT28:BZ28"/>
    <mergeCell ref="CH30:CN30"/>
    <mergeCell ref="CA30:CG30"/>
    <mergeCell ref="DC30:DI30"/>
    <mergeCell ref="AY30:BE30"/>
    <mergeCell ref="P37:V37"/>
    <mergeCell ref="P36:V36"/>
    <mergeCell ref="AY32:BE32"/>
    <mergeCell ref="DC33:DI33"/>
    <mergeCell ref="AY37:BE37"/>
    <mergeCell ref="AR32:AX32"/>
    <mergeCell ref="AR34:AX34"/>
    <mergeCell ref="AK36:AQ36"/>
    <mergeCell ref="DC37:DI37"/>
    <mergeCell ref="BM37:BS37"/>
    <mergeCell ref="DQ37:DW37"/>
    <mergeCell ref="DX37:ED37"/>
    <mergeCell ref="DX35:ED35"/>
    <mergeCell ref="DQ35:DW35"/>
    <mergeCell ref="DX36:ED36"/>
    <mergeCell ref="DQ36:DW36"/>
    <mergeCell ref="DC35:DI35"/>
    <mergeCell ref="CO35:CU35"/>
    <mergeCell ref="ES36:EY36"/>
    <mergeCell ref="DJ36:DP36"/>
    <mergeCell ref="DJ35:DP35"/>
    <mergeCell ref="DX34:ED34"/>
    <mergeCell ref="DJ37:DP37"/>
    <mergeCell ref="CA35:CG35"/>
    <mergeCell ref="BT35:BZ35"/>
    <mergeCell ref="W30:AC30"/>
    <mergeCell ref="W28:AC28"/>
    <mergeCell ref="W29:AC29"/>
    <mergeCell ref="AD36:AJ36"/>
    <mergeCell ref="I36:O36"/>
    <mergeCell ref="W37:AC37"/>
    <mergeCell ref="W35:AC35"/>
    <mergeCell ref="W34:AC34"/>
    <mergeCell ref="AD34:AJ34"/>
    <mergeCell ref="AK34:AQ34"/>
    <mergeCell ref="P34:V34"/>
    <mergeCell ref="DQ34:DW34"/>
    <mergeCell ref="DJ34:DP34"/>
    <mergeCell ref="BF15:BL15"/>
    <mergeCell ref="AU15:BE15"/>
    <mergeCell ref="AK15:AT15"/>
    <mergeCell ref="AU16:BE16"/>
    <mergeCell ref="BF16:BL16"/>
    <mergeCell ref="W15:AC15"/>
    <mergeCell ref="AD15:AJ15"/>
    <mergeCell ref="P19:V19"/>
    <mergeCell ref="P20:V20"/>
    <mergeCell ref="I18:O18"/>
    <mergeCell ref="P18:V18"/>
    <mergeCell ref="I19:O19"/>
    <mergeCell ref="B19:H19"/>
    <mergeCell ref="B23:H23"/>
    <mergeCell ref="P24:V24"/>
    <mergeCell ref="W24:AC24"/>
    <mergeCell ref="P22:V22"/>
    <mergeCell ref="W21:AC21"/>
    <mergeCell ref="P21:V21"/>
    <mergeCell ref="W16:AC16"/>
    <mergeCell ref="P16:V16"/>
    <mergeCell ref="B18:H18"/>
    <mergeCell ref="B20:H20"/>
    <mergeCell ref="B21:H21"/>
    <mergeCell ref="I20:O20"/>
    <mergeCell ref="B22:H22"/>
    <mergeCell ref="B8:H8"/>
    <mergeCell ref="B9:H9"/>
    <mergeCell ref="CO8:CU8"/>
    <mergeCell ref="CH8:CN8"/>
    <mergeCell ref="I8:O8"/>
    <mergeCell ref="P8:V8"/>
    <mergeCell ref="W8:AC8"/>
    <mergeCell ref="AR8:AX8"/>
    <mergeCell ref="AU9:CH9"/>
    <mergeCell ref="I9:AC9"/>
    <mergeCell ref="CP17:CU17"/>
    <mergeCell ref="CI17:CO17"/>
    <mergeCell ref="BW17:CH17"/>
    <mergeCell ref="BN17:BV17"/>
    <mergeCell ref="BM16:BV16"/>
    <mergeCell ref="BM14:BV14"/>
    <mergeCell ref="BW13:CG13"/>
    <mergeCell ref="BN13:BV13"/>
    <mergeCell ref="BM15:BV15"/>
    <mergeCell ref="BM11:BV11"/>
    <mergeCell ref="BW12:CG12"/>
    <mergeCell ref="BN12:BV12"/>
    <mergeCell ref="CH13:CK13"/>
    <mergeCell ref="CL13:CN13"/>
    <mergeCell ref="CI16:CO16"/>
    <mergeCell ref="CI15:CO15"/>
    <mergeCell ref="CH7:CN7"/>
    <mergeCell ref="CI11:CO11"/>
    <mergeCell ref="BW11:CH11"/>
    <mergeCell ref="CH12:CK12"/>
    <mergeCell ref="AD13:AJ13"/>
    <mergeCell ref="AD12:AJ12"/>
    <mergeCell ref="BF13:BM13"/>
    <mergeCell ref="BF12:BM12"/>
    <mergeCell ref="AY12:BE12"/>
    <mergeCell ref="AR12:AX12"/>
    <mergeCell ref="AR13:AX13"/>
    <mergeCell ref="AY13:BE13"/>
    <mergeCell ref="AK13:AQ13"/>
    <mergeCell ref="AD10:AT10"/>
    <mergeCell ref="AD9:AT9"/>
    <mergeCell ref="BF11:BL11"/>
    <mergeCell ref="AK12:AQ12"/>
    <mergeCell ref="AU11:BE11"/>
    <mergeCell ref="CO7:CU7"/>
    <mergeCell ref="CP16:CU16"/>
    <mergeCell ref="CO13:CU13"/>
    <mergeCell ref="CP15:CU15"/>
    <mergeCell ref="CP14:CU14"/>
    <mergeCell ref="CP11:CU11"/>
    <mergeCell ref="CO12:CU12"/>
    <mergeCell ref="CH23:CN23"/>
    <mergeCell ref="CO23:CU23"/>
    <mergeCell ref="CH25:CN25"/>
    <mergeCell ref="CH24:CN24"/>
    <mergeCell ref="CO27:CU27"/>
    <mergeCell ref="CA27:CG27"/>
    <mergeCell ref="CA26:CG26"/>
    <mergeCell ref="BT26:BZ26"/>
    <mergeCell ref="CH26:CN26"/>
    <mergeCell ref="CO25:CU25"/>
    <mergeCell ref="CA25:CG25"/>
    <mergeCell ref="BT25:BZ25"/>
    <mergeCell ref="AD24:AJ24"/>
    <mergeCell ref="AD25:AJ25"/>
    <mergeCell ref="P26:V26"/>
    <mergeCell ref="P25:V25"/>
    <mergeCell ref="W26:AC26"/>
    <mergeCell ref="W25:AC25"/>
    <mergeCell ref="DC25:DI25"/>
    <mergeCell ref="CV26:DB26"/>
    <mergeCell ref="DC26:DI26"/>
    <mergeCell ref="DC24:DI24"/>
    <mergeCell ref="DC23:DI23"/>
    <mergeCell ref="AD23:AJ23"/>
    <mergeCell ref="AD22:AJ22"/>
    <mergeCell ref="DC28:DI28"/>
    <mergeCell ref="DC29:DI29"/>
    <mergeCell ref="W32:AC32"/>
    <mergeCell ref="AD32:AJ32"/>
    <mergeCell ref="AD30:AJ30"/>
    <mergeCell ref="W27:AC27"/>
    <mergeCell ref="P27:V27"/>
    <mergeCell ref="W33:AC33"/>
    <mergeCell ref="AD33:AJ33"/>
    <mergeCell ref="AD37:AJ37"/>
    <mergeCell ref="AD35:AJ35"/>
    <mergeCell ref="W36:AC36"/>
    <mergeCell ref="AK35:AQ35"/>
    <mergeCell ref="AR35:AX35"/>
    <mergeCell ref="AR36:AX36"/>
    <mergeCell ref="DC36:DI36"/>
    <mergeCell ref="CO36:CU36"/>
    <mergeCell ref="CV23:DB23"/>
    <mergeCell ref="CA22:CG22"/>
    <mergeCell ref="CO22:CU22"/>
    <mergeCell ref="CA33:CG33"/>
    <mergeCell ref="CA32:CG32"/>
    <mergeCell ref="BT32:BZ32"/>
    <mergeCell ref="BT36:BZ36"/>
    <mergeCell ref="BT33:BZ33"/>
    <mergeCell ref="CH33:CN33"/>
    <mergeCell ref="CH34:CN34"/>
    <mergeCell ref="CV35:DB35"/>
    <mergeCell ref="CH35:CN35"/>
    <mergeCell ref="CV36:DB36"/>
    <mergeCell ref="BT8:BZ8"/>
    <mergeCell ref="CA8:CG8"/>
    <mergeCell ref="BW16:CH16"/>
    <mergeCell ref="BW15:CH15"/>
    <mergeCell ref="BT27:BZ27"/>
    <mergeCell ref="CA36:CG36"/>
    <mergeCell ref="CH36:CN36"/>
    <mergeCell ref="B11:H11"/>
    <mergeCell ref="P11:V11"/>
    <mergeCell ref="I11:O11"/>
    <mergeCell ref="B13:H13"/>
    <mergeCell ref="P12:V12"/>
    <mergeCell ref="I12:O12"/>
    <mergeCell ref="B12:H12"/>
    <mergeCell ref="W12:AC12"/>
    <mergeCell ref="AD11:AJ11"/>
    <mergeCell ref="AK11:AT11"/>
    <mergeCell ref="AU10:CH10"/>
    <mergeCell ref="B10:H10"/>
    <mergeCell ref="I10:AC10"/>
    <mergeCell ref="CI9:DI9"/>
    <mergeCell ref="CI10:DI10"/>
    <mergeCell ref="CO30:CU30"/>
    <mergeCell ref="CV30:DB30"/>
    <mergeCell ref="B15:H15"/>
    <mergeCell ref="I15:O15"/>
    <mergeCell ref="CI14:CO14"/>
    <mergeCell ref="BW14:CH14"/>
    <mergeCell ref="B14:H14"/>
    <mergeCell ref="AD17:AF17"/>
    <mergeCell ref="I17:AC17"/>
    <mergeCell ref="BT22:BZ22"/>
    <mergeCell ref="CH22:CN22"/>
    <mergeCell ref="W20:AC20"/>
    <mergeCell ref="W19:AC19"/>
    <mergeCell ref="W22:AC22"/>
    <mergeCell ref="B24:H24"/>
    <mergeCell ref="I24:O24"/>
    <mergeCell ref="I25:O25"/>
    <mergeCell ref="B25:H25"/>
    <mergeCell ref="I21:O21"/>
    <mergeCell ref="I22:O22"/>
    <mergeCell ref="I23:AC23"/>
    <mergeCell ref="I37:O37"/>
    <mergeCell ref="B35:H35"/>
    <mergeCell ref="B32:H32"/>
    <mergeCell ref="B28:H28"/>
    <mergeCell ref="B29:H29"/>
    <mergeCell ref="B30:H30"/>
    <mergeCell ref="B27:H27"/>
    <mergeCell ref="B26:H26"/>
    <mergeCell ref="DC48:DI48"/>
    <mergeCell ref="CO48:CU48"/>
    <mergeCell ref="CV48:DB48"/>
    <mergeCell ref="CV49:DB49"/>
    <mergeCell ref="CV50:DB50"/>
    <mergeCell ref="CO49:CU49"/>
    <mergeCell ref="CO50:CU50"/>
    <mergeCell ref="EE49:EK49"/>
    <mergeCell ref="EE50:EK50"/>
    <mergeCell ref="EL49:ER49"/>
    <mergeCell ref="EL50:ER50"/>
    <mergeCell ref="EL47:ER47"/>
    <mergeCell ref="EL48:ER48"/>
    <mergeCell ref="DX49:ED49"/>
    <mergeCell ref="DX50:ED50"/>
    <mergeCell ref="DX47:ED47"/>
    <mergeCell ref="DX48:ED48"/>
    <mergeCell ref="DQ50:DW50"/>
    <mergeCell ref="DC50:DI50"/>
    <mergeCell ref="DJ49:DQ49"/>
    <mergeCell ref="DR49:DW49"/>
    <mergeCell ref="EE48:EK48"/>
    <mergeCell ref="DJ48:DP48"/>
    <mergeCell ref="DJ50:DP50"/>
    <mergeCell ref="DQ48:DW48"/>
    <mergeCell ref="DQ54:DW54"/>
    <mergeCell ref="DQ55:DW55"/>
    <mergeCell ref="EL54:ER54"/>
    <mergeCell ref="EE55:EK55"/>
    <mergeCell ref="EL53:ER53"/>
    <mergeCell ref="EE51:EK51"/>
    <mergeCell ref="DQ53:DW53"/>
    <mergeCell ref="CV54:DB54"/>
    <mergeCell ref="DC53:DI53"/>
    <mergeCell ref="CV55:DB55"/>
    <mergeCell ref="DJ55:DP55"/>
    <mergeCell ref="EE53:EK53"/>
    <mergeCell ref="DJ57:DP57"/>
    <mergeCell ref="DJ56:DP56"/>
    <mergeCell ref="CO51:CU51"/>
    <mergeCell ref="CV51:DB51"/>
    <mergeCell ref="EL51:ER51"/>
    <mergeCell ref="DQ51:DW51"/>
    <mergeCell ref="DX51:ED51"/>
    <mergeCell ref="DJ51:DP51"/>
    <mergeCell ref="DC51:DI51"/>
    <mergeCell ref="CO54:CU54"/>
    <mergeCell ref="CO55:CU55"/>
    <mergeCell ref="DX53:ED53"/>
    <mergeCell ref="DX55:ED55"/>
    <mergeCell ref="DJ54:DP54"/>
    <mergeCell ref="DJ53:DP53"/>
    <mergeCell ref="DQ57:DW57"/>
    <mergeCell ref="EL57:ER57"/>
    <mergeCell ref="CV57:DB57"/>
    <mergeCell ref="CO57:CU57"/>
    <mergeCell ref="DG56:DI56"/>
    <mergeCell ref="EA56:ED56"/>
    <mergeCell ref="CO64:CU64"/>
    <mergeCell ref="CO66:CU66"/>
    <mergeCell ref="CO65:CU65"/>
    <mergeCell ref="DC64:DI64"/>
    <mergeCell ref="CV64:DB64"/>
    <mergeCell ref="DC65:DI65"/>
    <mergeCell ref="DJ64:DP64"/>
    <mergeCell ref="DJ67:DP67"/>
    <mergeCell ref="DC67:DI67"/>
    <mergeCell ref="CV67:DB67"/>
    <mergeCell ref="CV65:DB65"/>
    <mergeCell ref="CO63:CU63"/>
    <mergeCell ref="CV66:DB66"/>
    <mergeCell ref="CV63:DB63"/>
    <mergeCell ref="DC66:DI66"/>
    <mergeCell ref="DJ59:DP59"/>
    <mergeCell ref="CO59:CU59"/>
    <mergeCell ref="EL59:ER59"/>
    <mergeCell ref="DC54:DI54"/>
    <mergeCell ref="DC55:DI55"/>
    <mergeCell ref="DC63:DI63"/>
    <mergeCell ref="DC62:DI62"/>
    <mergeCell ref="EL66:ER66"/>
    <mergeCell ref="EL64:ER64"/>
    <mergeCell ref="EL63:ER63"/>
    <mergeCell ref="EL65:ER65"/>
    <mergeCell ref="EL62:ER62"/>
    <mergeCell ref="CO53:CU53"/>
    <mergeCell ref="CV53:DB53"/>
    <mergeCell ref="EE54:EK54"/>
    <mergeCell ref="EL55:ER55"/>
    <mergeCell ref="EL56:ER56"/>
    <mergeCell ref="EE56:EK56"/>
    <mergeCell ref="DX57:ED57"/>
    <mergeCell ref="DQ56:DW56"/>
    <mergeCell ref="CO62:CU62"/>
    <mergeCell ref="CV62:DB62"/>
    <mergeCell ref="DX62:ED62"/>
    <mergeCell ref="EE62:EK62"/>
    <mergeCell ref="DJ62:DP62"/>
    <mergeCell ref="CV61:DB61"/>
    <mergeCell ref="DC61:DI61"/>
    <mergeCell ref="CN60:DQ60"/>
    <mergeCell ref="DQ59:DW59"/>
    <mergeCell ref="EE57:EK57"/>
    <mergeCell ref="EE58:EK58"/>
    <mergeCell ref="CO58:CU58"/>
    <mergeCell ref="CV58:DB58"/>
    <mergeCell ref="DQ61:DW61"/>
    <mergeCell ref="DQ65:DW65"/>
    <mergeCell ref="DQ62:DW62"/>
    <mergeCell ref="EE67:EK67"/>
    <mergeCell ref="EL67:ER67"/>
    <mergeCell ref="DQ64:DW64"/>
    <mergeCell ref="EL61:ER61"/>
    <mergeCell ref="DQ58:DW58"/>
    <mergeCell ref="DJ58:DP58"/>
    <mergeCell ref="DX67:ED67"/>
    <mergeCell ref="DX63:ED63"/>
    <mergeCell ref="DX58:ED58"/>
    <mergeCell ref="DJ61:DP61"/>
    <mergeCell ref="DX59:ED59"/>
    <mergeCell ref="DQ63:DW63"/>
    <mergeCell ref="DJ63:DP63"/>
    <mergeCell ref="DQ67:DW67"/>
    <mergeCell ref="DQ66:DW66"/>
    <mergeCell ref="DJ65:DP65"/>
    <mergeCell ref="DJ66:DP66"/>
    <mergeCell ref="DX66:ED66"/>
    <mergeCell ref="EE66:EK66"/>
    <mergeCell ref="DX61:ED61"/>
    <mergeCell ref="EE61:EK61"/>
    <mergeCell ref="EE65:EK65"/>
    <mergeCell ref="EE63:EK63"/>
    <mergeCell ref="EE64:EK64"/>
    <mergeCell ref="EE59:EK59"/>
    <mergeCell ref="DX65:ED65"/>
    <mergeCell ref="DX64:ED64"/>
    <mergeCell ref="CH37:CN37"/>
    <mergeCell ref="CO38:CU38"/>
    <mergeCell ref="CO26:CU26"/>
    <mergeCell ref="CH29:CN29"/>
    <mergeCell ref="CH28:CN28"/>
    <mergeCell ref="CO42:CU42"/>
    <mergeCell ref="CH42:CN42"/>
    <mergeCell ref="CH41:CN41"/>
    <mergeCell ref="CH40:CN40"/>
    <mergeCell ref="BT42:BZ42"/>
    <mergeCell ref="BT37:BZ37"/>
    <mergeCell ref="BT41:BZ41"/>
    <mergeCell ref="BT38:BZ38"/>
    <mergeCell ref="CA40:CG40"/>
    <mergeCell ref="CA38:CG38"/>
    <mergeCell ref="CA37:CG37"/>
    <mergeCell ref="CA41:CG41"/>
    <mergeCell ref="BT47:BZ47"/>
    <mergeCell ref="BT46:BZ46"/>
    <mergeCell ref="CA48:CG48"/>
    <mergeCell ref="BT48:BZ48"/>
    <mergeCell ref="BT49:BZ49"/>
    <mergeCell ref="BT50:BZ50"/>
    <mergeCell ref="BT45:BZ45"/>
    <mergeCell ref="BT43:BZ43"/>
    <mergeCell ref="BT44:BZ44"/>
    <mergeCell ref="CA51:CG51"/>
    <mergeCell ref="CA49:CG49"/>
    <mergeCell ref="CA50:CG50"/>
    <mergeCell ref="CA42:CG42"/>
    <mergeCell ref="CA44:CG44"/>
    <mergeCell ref="CA47:CG47"/>
    <mergeCell ref="CA45:CG45"/>
    <mergeCell ref="CA46:CG46"/>
    <mergeCell ref="BT51:BZ51"/>
    <mergeCell ref="CA43:CG43"/>
    <mergeCell ref="DC42:DI42"/>
    <mergeCell ref="DC49:DI49"/>
    <mergeCell ref="DC44:DI44"/>
    <mergeCell ref="DC46:DI46"/>
    <mergeCell ref="DC47:DI47"/>
    <mergeCell ref="DC45:DI45"/>
    <mergeCell ref="DC43:DI43"/>
    <mergeCell ref="CV45:DB45"/>
    <mergeCell ref="CV43:DB43"/>
    <mergeCell ref="CV46:DB46"/>
    <mergeCell ref="DC41:DI41"/>
    <mergeCell ref="CV41:DB41"/>
    <mergeCell ref="CV33:DB33"/>
    <mergeCell ref="CV25:DB25"/>
    <mergeCell ref="CV29:DB29"/>
    <mergeCell ref="DC59:DI59"/>
    <mergeCell ref="CV59:DB59"/>
    <mergeCell ref="DC57:DI57"/>
    <mergeCell ref="DC58:DI58"/>
    <mergeCell ref="CO45:CU45"/>
    <mergeCell ref="CO43:CU43"/>
    <mergeCell ref="CO44:CU44"/>
    <mergeCell ref="CH38:CN38"/>
    <mergeCell ref="CH39:CN39"/>
    <mergeCell ref="CH48:CN48"/>
    <mergeCell ref="CO47:CU47"/>
    <mergeCell ref="CH50:CN50"/>
    <mergeCell ref="CH49:CN49"/>
    <mergeCell ref="CO46:CU46"/>
    <mergeCell ref="BT57:BZ57"/>
    <mergeCell ref="CA57:CG57"/>
    <mergeCell ref="CA59:CG59"/>
    <mergeCell ref="CA58:CG58"/>
    <mergeCell ref="BT55:BZ55"/>
    <mergeCell ref="CH58:CN58"/>
    <mergeCell ref="CH56:CN56"/>
    <mergeCell ref="BT59:BZ59"/>
    <mergeCell ref="BT56:BZ56"/>
    <mergeCell ref="CH55:CN55"/>
    <mergeCell ref="CH57:CN57"/>
    <mergeCell ref="BT58:BZ58"/>
    <mergeCell ref="CA24:CG24"/>
    <mergeCell ref="BT24:BZ24"/>
    <mergeCell ref="BT23:BZ23"/>
    <mergeCell ref="CA23:CG23"/>
    <mergeCell ref="CO24:CU24"/>
    <mergeCell ref="CV24:DB24"/>
    <mergeCell ref="BT54:BZ54"/>
    <mergeCell ref="BT53:BZ53"/>
    <mergeCell ref="CA53:CG53"/>
    <mergeCell ref="CH54:CN54"/>
    <mergeCell ref="CA54:CG54"/>
    <mergeCell ref="CV44:DB44"/>
    <mergeCell ref="CV47:DB47"/>
    <mergeCell ref="CH44:CN44"/>
    <mergeCell ref="CH43:CN43"/>
    <mergeCell ref="CH51:CN51"/>
    <mergeCell ref="CA56:CG56"/>
    <mergeCell ref="CA55:CG55"/>
    <mergeCell ref="B50:H50"/>
    <mergeCell ref="B46:H46"/>
    <mergeCell ref="B47:H47"/>
    <mergeCell ref="B48:H48"/>
    <mergeCell ref="B49:H49"/>
    <mergeCell ref="I53:O53"/>
    <mergeCell ref="I54:O54"/>
    <mergeCell ref="I50:O50"/>
    <mergeCell ref="B45:O45"/>
    <mergeCell ref="B44:H44"/>
    <mergeCell ref="B43:H43"/>
    <mergeCell ref="I44:O44"/>
    <mergeCell ref="I43:O43"/>
    <mergeCell ref="B40:H40"/>
    <mergeCell ref="B51:H51"/>
    <mergeCell ref="I57:O57"/>
    <mergeCell ref="B57:H57"/>
    <mergeCell ref="I33:O33"/>
    <mergeCell ref="I34:O34"/>
    <mergeCell ref="B39:H39"/>
    <mergeCell ref="B38:H38"/>
    <mergeCell ref="B37:H37"/>
    <mergeCell ref="B36:H36"/>
    <mergeCell ref="B55:H55"/>
    <mergeCell ref="W48:AC48"/>
    <mergeCell ref="W49:AC49"/>
    <mergeCell ref="I47:O47"/>
    <mergeCell ref="P47:V47"/>
    <mergeCell ref="W47:AC47"/>
    <mergeCell ref="P48:V48"/>
    <mergeCell ref="P49:V49"/>
    <mergeCell ref="I51:O51"/>
    <mergeCell ref="I49:O49"/>
    <mergeCell ref="I48:O48"/>
    <mergeCell ref="P51:V51"/>
    <mergeCell ref="W51:AC51"/>
    <mergeCell ref="P50:V50"/>
    <mergeCell ref="W50:AC50"/>
    <mergeCell ref="AD50:AJ50"/>
    <mergeCell ref="AD49:AJ49"/>
    <mergeCell ref="AK50:AQ50"/>
    <mergeCell ref="AK49:AQ49"/>
    <mergeCell ref="AK55:AQ55"/>
    <mergeCell ref="AK51:AQ51"/>
    <mergeCell ref="AK53:AQ53"/>
    <mergeCell ref="AK54:AQ54"/>
    <mergeCell ref="AD57:AJ57"/>
    <mergeCell ref="AD51:AJ51"/>
    <mergeCell ref="AK57:AQ57"/>
    <mergeCell ref="I30:O30"/>
    <mergeCell ref="I32:O32"/>
    <mergeCell ref="AK28:AQ28"/>
    <mergeCell ref="I27:O27"/>
    <mergeCell ref="I29:O29"/>
    <mergeCell ref="I28:O28"/>
    <mergeCell ref="I26:O26"/>
    <mergeCell ref="I38:O38"/>
    <mergeCell ref="I35:O35"/>
    <mergeCell ref="B56:H56"/>
    <mergeCell ref="B53:H53"/>
    <mergeCell ref="B54:H54"/>
    <mergeCell ref="I46:O46"/>
    <mergeCell ref="P45:V45"/>
    <mergeCell ref="W45:AC45"/>
    <mergeCell ref="P46:V46"/>
    <mergeCell ref="W46:AC46"/>
    <mergeCell ref="AD46:AJ46"/>
    <mergeCell ref="P55:V55"/>
    <mergeCell ref="P53:V53"/>
    <mergeCell ref="W53:AC53"/>
    <mergeCell ref="W54:AC54"/>
    <mergeCell ref="P54:V54"/>
    <mergeCell ref="I56:O56"/>
    <mergeCell ref="I55:O55"/>
    <mergeCell ref="W57:AC57"/>
    <mergeCell ref="W56:AC56"/>
    <mergeCell ref="P56:V56"/>
    <mergeCell ref="P57:V57"/>
    <mergeCell ref="W55:AC55"/>
    <mergeCell ref="AD48:AJ48"/>
    <mergeCell ref="AD47:AJ47"/>
    <mergeCell ref="AD43:AJ43"/>
    <mergeCell ref="AK43:AQ43"/>
    <mergeCell ref="W43:AC43"/>
    <mergeCell ref="P43:V43"/>
    <mergeCell ref="P44:AC44"/>
    <mergeCell ref="AD44:AQ44"/>
    <mergeCell ref="AR40:AX40"/>
    <mergeCell ref="AY40:BE40"/>
    <mergeCell ref="AK41:AQ41"/>
    <mergeCell ref="AR41:AX41"/>
    <mergeCell ref="AK40:AQ40"/>
    <mergeCell ref="AR42:AX42"/>
    <mergeCell ref="AD42:AJ42"/>
    <mergeCell ref="AK42:AQ42"/>
    <mergeCell ref="AY41:BE41"/>
    <mergeCell ref="DQ44:DW44"/>
    <mergeCell ref="DQ43:DW43"/>
    <mergeCell ref="DX43:ED43"/>
    <mergeCell ref="DX44:ED44"/>
    <mergeCell ref="DJ44:DP44"/>
    <mergeCell ref="DJ40:DP40"/>
    <mergeCell ref="DQ40:DW40"/>
    <mergeCell ref="DJ41:DP41"/>
    <mergeCell ref="DQ41:DW41"/>
    <mergeCell ref="DX41:ED41"/>
    <mergeCell ref="DX40:ED40"/>
    <mergeCell ref="I41:O41"/>
    <mergeCell ref="B41:H41"/>
    <mergeCell ref="W42:AC42"/>
    <mergeCell ref="P42:V42"/>
    <mergeCell ref="B42:H42"/>
    <mergeCell ref="I42:O42"/>
    <mergeCell ref="BM42:BS42"/>
    <mergeCell ref="BM41:BS41"/>
    <mergeCell ref="BF41:BL41"/>
    <mergeCell ref="BF40:BL40"/>
    <mergeCell ref="BT40:BZ40"/>
    <mergeCell ref="BM40:BS40"/>
    <mergeCell ref="BM43:BS43"/>
    <mergeCell ref="EE45:EK45"/>
    <mergeCell ref="DQ45:DW45"/>
    <mergeCell ref="DX45:ED45"/>
    <mergeCell ref="DJ46:DP46"/>
    <mergeCell ref="DJ45:DP45"/>
    <mergeCell ref="EL46:ER46"/>
    <mergeCell ref="EL43:ER43"/>
    <mergeCell ref="EE43:EK43"/>
    <mergeCell ref="CV42:DB42"/>
    <mergeCell ref="DJ42:DP42"/>
    <mergeCell ref="DX42:ED42"/>
    <mergeCell ref="DQ42:DW42"/>
    <mergeCell ref="EL45:ER45"/>
    <mergeCell ref="CH45:CN45"/>
    <mergeCell ref="EE44:EK44"/>
    <mergeCell ref="DJ43:DP43"/>
    <mergeCell ref="AR44:AX44"/>
    <mergeCell ref="AR43:AX43"/>
    <mergeCell ref="AR46:AX46"/>
    <mergeCell ref="AK46:AQ46"/>
    <mergeCell ref="AD45:BL45"/>
    <mergeCell ref="BM45:BS45"/>
    <mergeCell ref="BM44:BS44"/>
    <mergeCell ref="BF44:BL44"/>
    <mergeCell ref="AY44:BE44"/>
    <mergeCell ref="BM66:BS66"/>
    <mergeCell ref="BM67:BS67"/>
    <mergeCell ref="CH67:CN67"/>
    <mergeCell ref="CA67:CG67"/>
    <mergeCell ref="BT67:BZ67"/>
    <mergeCell ref="BF66:BL66"/>
    <mergeCell ref="CH66:CN66"/>
    <mergeCell ref="BF65:BL65"/>
    <mergeCell ref="CA66:CG66"/>
    <mergeCell ref="CA65:CG65"/>
    <mergeCell ref="BT66:BZ66"/>
    <mergeCell ref="AY66:BE66"/>
    <mergeCell ref="B60:AF60"/>
    <mergeCell ref="AG60:BH60"/>
    <mergeCell ref="CA64:CG64"/>
    <mergeCell ref="BM64:BS64"/>
    <mergeCell ref="AR64:AX64"/>
    <mergeCell ref="AR61:AX61"/>
    <mergeCell ref="BF64:BL64"/>
    <mergeCell ref="AY64:BE64"/>
    <mergeCell ref="AY59:BE59"/>
    <mergeCell ref="BF59:BL59"/>
    <mergeCell ref="AY61:BE61"/>
    <mergeCell ref="AK61:AQ61"/>
    <mergeCell ref="CA62:CG62"/>
    <mergeCell ref="BM62:BS62"/>
    <mergeCell ref="BT62:BZ62"/>
    <mergeCell ref="B64:H64"/>
    <mergeCell ref="AK64:AQ64"/>
    <mergeCell ref="AD62:AJ62"/>
    <mergeCell ref="B59:H59"/>
    <mergeCell ref="P62:V62"/>
    <mergeCell ref="AR59:AX59"/>
    <mergeCell ref="BF61:BL61"/>
    <mergeCell ref="BF62:BL62"/>
    <mergeCell ref="I64:O64"/>
    <mergeCell ref="AD63:AJ63"/>
    <mergeCell ref="AD64:AJ64"/>
    <mergeCell ref="I61:O61"/>
    <mergeCell ref="B61:H61"/>
    <mergeCell ref="CH63:CN63"/>
    <mergeCell ref="BT63:BZ63"/>
    <mergeCell ref="CH64:CN64"/>
    <mergeCell ref="CH62:CN62"/>
    <mergeCell ref="BF63:BL63"/>
    <mergeCell ref="BT64:BZ64"/>
    <mergeCell ref="I59:O59"/>
    <mergeCell ref="AK59:AQ59"/>
    <mergeCell ref="P59:V59"/>
    <mergeCell ref="W59:AC59"/>
    <mergeCell ref="AD59:AJ59"/>
    <mergeCell ref="AY62:BE62"/>
    <mergeCell ref="AR62:AX62"/>
    <mergeCell ref="AR63:AX63"/>
    <mergeCell ref="AY63:BE63"/>
    <mergeCell ref="I63:O63"/>
    <mergeCell ref="B62:H62"/>
    <mergeCell ref="B63:H63"/>
    <mergeCell ref="I62:O62"/>
    <mergeCell ref="B65:H65"/>
    <mergeCell ref="B66:H66"/>
    <mergeCell ref="I65:O65"/>
    <mergeCell ref="B67:H67"/>
    <mergeCell ref="W67:AC67"/>
    <mergeCell ref="AD67:AJ67"/>
    <mergeCell ref="P65:V65"/>
    <mergeCell ref="W65:AC65"/>
    <mergeCell ref="I67:O67"/>
    <mergeCell ref="I66:O66"/>
    <mergeCell ref="W66:AC66"/>
    <mergeCell ref="W63:AC63"/>
    <mergeCell ref="W62:AC62"/>
    <mergeCell ref="P63:V63"/>
    <mergeCell ref="P67:V67"/>
    <mergeCell ref="P66:V66"/>
    <mergeCell ref="AK62:AQ62"/>
    <mergeCell ref="AK58:AQ58"/>
    <mergeCell ref="AK65:AQ65"/>
    <mergeCell ref="AD61:AJ61"/>
    <mergeCell ref="I58:O58"/>
    <mergeCell ref="AD58:AJ58"/>
    <mergeCell ref="W58:AC58"/>
    <mergeCell ref="P58:V58"/>
    <mergeCell ref="B58:H58"/>
    <mergeCell ref="CA63:CG63"/>
    <mergeCell ref="CA61:CG61"/>
    <mergeCell ref="BT65:BZ65"/>
    <mergeCell ref="BM65:BS65"/>
    <mergeCell ref="AY65:BE65"/>
    <mergeCell ref="AR65:AX65"/>
    <mergeCell ref="W64:AC64"/>
    <mergeCell ref="P64:V64"/>
    <mergeCell ref="W61:AC61"/>
    <mergeCell ref="P61:V61"/>
    <mergeCell ref="BF57:BL57"/>
    <mergeCell ref="AR56:AX56"/>
    <mergeCell ref="AY57:BE57"/>
    <mergeCell ref="AY56:BE56"/>
    <mergeCell ref="AY58:BE58"/>
    <mergeCell ref="BF56:BL56"/>
    <mergeCell ref="BM53:BS53"/>
    <mergeCell ref="BM54:BS54"/>
    <mergeCell ref="BF53:BL53"/>
    <mergeCell ref="BF55:BL55"/>
    <mergeCell ref="BM55:BS55"/>
    <mergeCell ref="BF54:BL54"/>
    <mergeCell ref="BF58:BL58"/>
    <mergeCell ref="AD20:AJ20"/>
    <mergeCell ref="AG21:AT21"/>
    <mergeCell ref="AG17:AT17"/>
    <mergeCell ref="AU18:BE18"/>
    <mergeCell ref="AD18:AF18"/>
    <mergeCell ref="AG18:AT18"/>
    <mergeCell ref="AU17:BE17"/>
    <mergeCell ref="BT21:BZ21"/>
    <mergeCell ref="BT20:BZ20"/>
    <mergeCell ref="DR18:ED18"/>
    <mergeCell ref="DQ19:DW19"/>
    <mergeCell ref="DX19:ED19"/>
    <mergeCell ref="CA19:CG19"/>
    <mergeCell ref="CH19:CN19"/>
    <mergeCell ref="CI18:CO18"/>
    <mergeCell ref="BW18:CH18"/>
    <mergeCell ref="CO20:CU20"/>
    <mergeCell ref="CA20:CG20"/>
    <mergeCell ref="CH20:CN20"/>
    <mergeCell ref="CV20:DB20"/>
    <mergeCell ref="CV19:DB19"/>
    <mergeCell ref="DJ19:DP19"/>
    <mergeCell ref="DC19:DI19"/>
    <mergeCell ref="AD19:AJ19"/>
    <mergeCell ref="CO19:CU19"/>
    <mergeCell ref="BT19:BZ19"/>
    <mergeCell ref="CP18:CU18"/>
    <mergeCell ref="DJ18:DQ18"/>
    <mergeCell ref="CV18:DB18"/>
    <mergeCell ref="DC18:DI18"/>
    <mergeCell ref="BM35:BS35"/>
    <mergeCell ref="BM34:BS34"/>
    <mergeCell ref="BF34:BL34"/>
    <mergeCell ref="CA34:CG34"/>
    <mergeCell ref="CO34:CU34"/>
    <mergeCell ref="BT34:BZ34"/>
    <mergeCell ref="BM33:BS33"/>
    <mergeCell ref="DQ38:DW38"/>
    <mergeCell ref="DQ39:DW39"/>
    <mergeCell ref="DX38:ED38"/>
    <mergeCell ref="DX39:ED39"/>
    <mergeCell ref="BM36:BS36"/>
    <mergeCell ref="BM38:BS38"/>
    <mergeCell ref="BM39:BS39"/>
    <mergeCell ref="CA39:CG39"/>
    <mergeCell ref="BT39:BZ39"/>
    <mergeCell ref="DJ38:DP38"/>
    <mergeCell ref="DJ39:DP39"/>
    <mergeCell ref="CH46:CN46"/>
    <mergeCell ref="BM46:BS46"/>
    <mergeCell ref="DQ47:DW47"/>
    <mergeCell ref="DJ47:DP47"/>
    <mergeCell ref="EE46:EK46"/>
    <mergeCell ref="EE47:EK47"/>
    <mergeCell ref="CH47:CN47"/>
    <mergeCell ref="DQ46:DW46"/>
    <mergeCell ref="DX46:ED46"/>
    <mergeCell ref="AR47:AX47"/>
    <mergeCell ref="AK47:AQ47"/>
    <mergeCell ref="BM47:BS47"/>
    <mergeCell ref="BF47:BL47"/>
    <mergeCell ref="BM57:BS57"/>
    <mergeCell ref="BM51:BS51"/>
    <mergeCell ref="BF46:BL46"/>
    <mergeCell ref="BF51:BL51"/>
    <mergeCell ref="BF48:BL48"/>
    <mergeCell ref="BF50:BL50"/>
    <mergeCell ref="BF49:BL49"/>
    <mergeCell ref="BF35:BL35"/>
    <mergeCell ref="BF37:BL37"/>
    <mergeCell ref="BF67:BL67"/>
    <mergeCell ref="BM58:BS58"/>
    <mergeCell ref="BM61:BS61"/>
    <mergeCell ref="BM63:BS63"/>
    <mergeCell ref="BM48:BS48"/>
    <mergeCell ref="BF18:BM18"/>
    <mergeCell ref="BF17:BM17"/>
    <mergeCell ref="BF19:BL19"/>
    <mergeCell ref="AY42:BE42"/>
    <mergeCell ref="BF42:BL42"/>
    <mergeCell ref="AY35:BE35"/>
    <mergeCell ref="BF39:BL39"/>
    <mergeCell ref="AY39:BE39"/>
    <mergeCell ref="AK67:AQ67"/>
    <mergeCell ref="AK63:AQ63"/>
    <mergeCell ref="AR38:AX38"/>
    <mergeCell ref="AR39:AX39"/>
    <mergeCell ref="AR48:AX48"/>
    <mergeCell ref="AR51:AX51"/>
    <mergeCell ref="BF38:BL38"/>
    <mergeCell ref="BF43:BL43"/>
    <mergeCell ref="AY43:BE43"/>
    <mergeCell ref="AY46:BE46"/>
    <mergeCell ref="BM50:BS50"/>
    <mergeCell ref="BM49:BS49"/>
    <mergeCell ref="BT61:BZ61"/>
    <mergeCell ref="BM56:BS56"/>
    <mergeCell ref="BM59:BS59"/>
    <mergeCell ref="CO67:CU67"/>
    <mergeCell ref="CH61:CN61"/>
    <mergeCell ref="CO61:CU61"/>
    <mergeCell ref="CH59:CN59"/>
    <mergeCell ref="CH53:CN53"/>
    <mergeCell ref="BI60:CM60"/>
    <mergeCell ref="CH65:CN65"/>
    <mergeCell ref="AR57:AX57"/>
    <mergeCell ref="AY54:BE54"/>
    <mergeCell ref="AR54:AX54"/>
    <mergeCell ref="AY36:BE36"/>
    <mergeCell ref="AY38:BE38"/>
    <mergeCell ref="AR67:AX67"/>
    <mergeCell ref="AY67:BE67"/>
    <mergeCell ref="AR66:AX66"/>
    <mergeCell ref="AR58:AX58"/>
    <mergeCell ref="AR53:AX53"/>
    <mergeCell ref="AY34:BE34"/>
    <mergeCell ref="AK32:AQ32"/>
    <mergeCell ref="AK30:AQ30"/>
    <mergeCell ref="AR29:AX29"/>
    <mergeCell ref="AR30:AX30"/>
    <mergeCell ref="AR37:AX37"/>
    <mergeCell ref="AK37:AQ37"/>
    <mergeCell ref="AK56:AQ56"/>
    <mergeCell ref="AD53:AJ53"/>
    <mergeCell ref="AD54:AJ54"/>
    <mergeCell ref="AD55:AJ55"/>
    <mergeCell ref="AD56:AJ56"/>
    <mergeCell ref="AD65:AJ65"/>
    <mergeCell ref="AD66:AJ66"/>
    <mergeCell ref="AK66:AQ66"/>
    <mergeCell ref="AY55:BE55"/>
    <mergeCell ref="AR55:AX55"/>
    <mergeCell ref="AY51:BE51"/>
    <mergeCell ref="AY53:BE53"/>
    <mergeCell ref="AR49:AX49"/>
    <mergeCell ref="AR50:AX50"/>
    <mergeCell ref="AK48:AQ48"/>
    <mergeCell ref="AY47:BE47"/>
    <mergeCell ref="AY48:BE48"/>
    <mergeCell ref="AY49:BE49"/>
    <mergeCell ref="AY50:BE50"/>
    <mergeCell ref="EZ42:FF42"/>
    <mergeCell ref="GI42:GO42"/>
    <mergeCell ref="FU42:GA42"/>
    <mergeCell ref="FN42:FT42"/>
    <mergeCell ref="FG42:FM42"/>
    <mergeCell ref="EZ41:FF41"/>
    <mergeCell ref="FN41:FT41"/>
    <mergeCell ref="GB41:GH41"/>
    <mergeCell ref="FU41:GA41"/>
    <mergeCell ref="FG41:FM41"/>
    <mergeCell ref="GI41:GO41"/>
    <mergeCell ref="FN40:FT40"/>
    <mergeCell ref="FN39:FT39"/>
    <mergeCell ref="FG39:FM39"/>
    <mergeCell ref="FG40:FM40"/>
    <mergeCell ref="EZ40:FF40"/>
    <mergeCell ref="EE42:EK42"/>
    <mergeCell ref="EL42:ER42"/>
    <mergeCell ref="ES42:EY42"/>
    <mergeCell ref="ES39:EY39"/>
    <mergeCell ref="FU35:GA35"/>
    <mergeCell ref="GB35:GH35"/>
    <mergeCell ref="GI35:GO35"/>
    <mergeCell ref="GW35:HC35"/>
    <mergeCell ref="FU33:GA33"/>
    <mergeCell ref="FU32:GA32"/>
    <mergeCell ref="GI34:GO34"/>
    <mergeCell ref="GP34:GV34"/>
    <mergeCell ref="GW33:HC33"/>
    <mergeCell ref="GI33:GO33"/>
    <mergeCell ref="GI32:GO32"/>
    <mergeCell ref="FU34:GA34"/>
    <mergeCell ref="GB34:GH34"/>
    <mergeCell ref="GB33:GH33"/>
    <mergeCell ref="GB32:GH32"/>
    <mergeCell ref="GB37:GH37"/>
    <mergeCell ref="GB38:GH38"/>
    <mergeCell ref="FU39:GA39"/>
    <mergeCell ref="FU40:GA40"/>
    <mergeCell ref="FU38:GA38"/>
    <mergeCell ref="FU37:GA37"/>
    <mergeCell ref="GB40:GH40"/>
    <mergeCell ref="FU36:GA36"/>
    <mergeCell ref="GB36:GH36"/>
    <mergeCell ref="HY35:IE35"/>
    <mergeCell ref="HY34:IE34"/>
    <mergeCell ref="HR33:HX33"/>
    <mergeCell ref="HR32:HX32"/>
    <mergeCell ref="HK32:HQ32"/>
    <mergeCell ref="HK34:HQ34"/>
    <mergeCell ref="HK41:HQ41"/>
    <mergeCell ref="HD41:HJ41"/>
    <mergeCell ref="GW32:HC32"/>
    <mergeCell ref="HD32:HJ32"/>
    <mergeCell ref="HD33:HJ33"/>
    <mergeCell ref="HY32:IE32"/>
    <mergeCell ref="HY33:IE33"/>
    <mergeCell ref="HR34:HX34"/>
    <mergeCell ref="JA38:JG38"/>
    <mergeCell ref="IT38:IZ38"/>
    <mergeCell ref="JO38:JU38"/>
    <mergeCell ref="JV38:KB38"/>
    <mergeCell ref="HY38:IE38"/>
    <mergeCell ref="HY37:IE37"/>
    <mergeCell ref="IF37:IL37"/>
    <mergeCell ref="IF38:IL38"/>
    <mergeCell ref="HR38:HX38"/>
    <mergeCell ref="HY39:IE39"/>
    <mergeCell ref="IF39:IL39"/>
    <mergeCell ref="HD39:HJ39"/>
    <mergeCell ref="HR39:HX39"/>
    <mergeCell ref="HK39:HQ39"/>
    <mergeCell ref="GW39:HC39"/>
    <mergeCell ref="GP39:GV39"/>
    <mergeCell ref="HR41:HX41"/>
    <mergeCell ref="HY41:IE41"/>
    <mergeCell ref="HY42:IE42"/>
    <mergeCell ref="HR42:HX42"/>
    <mergeCell ref="GP41:GV41"/>
    <mergeCell ref="GP40:GV40"/>
    <mergeCell ref="GP42:GV42"/>
    <mergeCell ref="KC36:KI36"/>
    <mergeCell ref="KC39:KI39"/>
    <mergeCell ref="HR36:HX36"/>
    <mergeCell ref="HY36:IE36"/>
    <mergeCell ref="IF42:IL42"/>
    <mergeCell ref="HD42:HJ42"/>
    <mergeCell ref="HK42:HQ42"/>
    <mergeCell ref="GB42:GH42"/>
    <mergeCell ref="GW42:HC42"/>
    <mergeCell ref="KC42:KI42"/>
    <mergeCell ref="JV42:KB42"/>
    <mergeCell ref="JA42:JG42"/>
    <mergeCell ref="IM42:IS42"/>
    <mergeCell ref="IT42:IZ42"/>
    <mergeCell ref="JH42:JN42"/>
    <mergeCell ref="JO42:JU42"/>
    <mergeCell ref="JH41:JN41"/>
    <mergeCell ref="HK38:HQ38"/>
    <mergeCell ref="HD38:HJ38"/>
    <mergeCell ref="GW38:HC38"/>
    <mergeCell ref="GP38:GV38"/>
    <mergeCell ref="JH39:JN39"/>
    <mergeCell ref="JA39:JG39"/>
    <mergeCell ref="HY40:IE40"/>
    <mergeCell ref="IF40:IL40"/>
    <mergeCell ref="IM32:IS32"/>
    <mergeCell ref="IF32:IL32"/>
    <mergeCell ref="IT33:IZ33"/>
    <mergeCell ref="JH34:JN34"/>
    <mergeCell ref="IM38:IS38"/>
    <mergeCell ref="JH49:JN49"/>
    <mergeCell ref="IT49:IZ49"/>
    <mergeCell ref="JA49:JG49"/>
    <mergeCell ref="IF49:IL49"/>
    <mergeCell ref="JH48:JN48"/>
    <mergeCell ref="JA48:JG48"/>
    <mergeCell ref="IF48:IL48"/>
    <mergeCell ref="JH47:JN47"/>
    <mergeCell ref="IT47:IZ47"/>
    <mergeCell ref="IM47:IS47"/>
    <mergeCell ref="JA47:JG47"/>
    <mergeCell ref="IF43:IL43"/>
    <mergeCell ref="IM43:IS43"/>
    <mergeCell ref="IM44:IS44"/>
    <mergeCell ref="HY46:IE46"/>
    <mergeCell ref="IF46:IL46"/>
    <mergeCell ref="HR44:HX44"/>
    <mergeCell ref="HR43:HX43"/>
    <mergeCell ref="HY44:IE44"/>
    <mergeCell ref="IF44:IL44"/>
    <mergeCell ref="HY43:IE43"/>
    <mergeCell ref="JO48:JU48"/>
    <mergeCell ref="JO45:JU45"/>
    <mergeCell ref="JH44:JN44"/>
    <mergeCell ref="JH45:JN45"/>
    <mergeCell ref="JH43:JN43"/>
    <mergeCell ref="JA43:JG43"/>
    <mergeCell ref="JH46:JN46"/>
    <mergeCell ref="JA45:JG45"/>
    <mergeCell ref="GI49:GO49"/>
    <mergeCell ref="GP49:GV49"/>
    <mergeCell ref="GI48:GO48"/>
    <mergeCell ref="GP48:GV48"/>
    <mergeCell ref="HD49:HJ49"/>
    <mergeCell ref="HK49:HQ49"/>
    <mergeCell ref="GW49:HC49"/>
    <mergeCell ref="GP44:GV44"/>
    <mergeCell ref="GP43:GV43"/>
    <mergeCell ref="HD44:HJ44"/>
    <mergeCell ref="HK44:HQ44"/>
    <mergeCell ref="GW44:HC44"/>
    <mergeCell ref="GP47:GV47"/>
    <mergeCell ref="GI47:GO47"/>
    <mergeCell ref="HK46:HQ46"/>
    <mergeCell ref="HD46:HJ46"/>
    <mergeCell ref="IF47:IL47"/>
    <mergeCell ref="GP46:GV46"/>
    <mergeCell ref="GI46:GO46"/>
    <mergeCell ref="GW46:HC46"/>
    <mergeCell ref="GW45:HC45"/>
    <mergeCell ref="HD45:IL45"/>
    <mergeCell ref="HR46:HX46"/>
    <mergeCell ref="IT44:JG44"/>
    <mergeCell ref="IT43:IZ43"/>
    <mergeCell ref="IT48:IZ48"/>
    <mergeCell ref="IM48:IS48"/>
    <mergeCell ref="IT46:IZ46"/>
    <mergeCell ref="IT45:IZ45"/>
    <mergeCell ref="IM45:IS45"/>
    <mergeCell ref="JA46:JG46"/>
    <mergeCell ref="IM46:IS46"/>
    <mergeCell ref="ES61:EY61"/>
    <mergeCell ref="EW60:EY60"/>
    <mergeCell ref="FG61:FM61"/>
    <mergeCell ref="FN61:FT61"/>
    <mergeCell ref="FG58:FM58"/>
    <mergeCell ref="EZ58:FF58"/>
    <mergeCell ref="ES62:EY62"/>
    <mergeCell ref="EL58:EY58"/>
    <mergeCell ref="EZ61:FF61"/>
    <mergeCell ref="EZ62:FF62"/>
    <mergeCell ref="EL44:EY44"/>
    <mergeCell ref="EZ44:FF44"/>
    <mergeCell ref="ES43:EY43"/>
    <mergeCell ref="EZ43:FF43"/>
    <mergeCell ref="ES54:EY54"/>
    <mergeCell ref="FU58:GA58"/>
    <mergeCell ref="FN58:FT58"/>
    <mergeCell ref="FG60:FM60"/>
    <mergeCell ref="EZ60:FF60"/>
    <mergeCell ref="FU44:GA44"/>
    <mergeCell ref="FN46:FT46"/>
    <mergeCell ref="FN51:FT51"/>
    <mergeCell ref="FG50:FM50"/>
    <mergeCell ref="FU46:GA46"/>
    <mergeCell ref="ES55:EY55"/>
    <mergeCell ref="ES57:EY57"/>
    <mergeCell ref="EZ55:FF55"/>
    <mergeCell ref="EZ54:FF54"/>
    <mergeCell ref="FN53:FT53"/>
    <mergeCell ref="FU53:GA53"/>
    <mergeCell ref="FN54:FT54"/>
    <mergeCell ref="FN55:FT55"/>
    <mergeCell ref="FN57:FT57"/>
    <mergeCell ref="FU57:GA57"/>
    <mergeCell ref="FG57:FM57"/>
    <mergeCell ref="FU56:GA56"/>
    <mergeCell ref="EZ57:FF57"/>
    <mergeCell ref="EZ56:FF56"/>
    <mergeCell ref="FG64:FM64"/>
    <mergeCell ref="FG65:FM65"/>
    <mergeCell ref="EZ64:FF64"/>
    <mergeCell ref="EZ65:FF65"/>
    <mergeCell ref="FG66:FM66"/>
    <mergeCell ref="ES59:EY59"/>
    <mergeCell ref="EZ59:FF59"/>
    <mergeCell ref="FG59:FM59"/>
    <mergeCell ref="FG62:FM62"/>
    <mergeCell ref="ES66:EY66"/>
    <mergeCell ref="ES65:EY65"/>
    <mergeCell ref="EZ53:FF53"/>
    <mergeCell ref="ES53:EY53"/>
    <mergeCell ref="FU54:GA54"/>
    <mergeCell ref="FG53:FM53"/>
    <mergeCell ref="FG54:FM54"/>
    <mergeCell ref="GB54:GH54"/>
    <mergeCell ref="GB53:GH53"/>
    <mergeCell ref="FU55:GA55"/>
    <mergeCell ref="FG55:FM55"/>
    <mergeCell ref="GB55:GH55"/>
    <mergeCell ref="FG56:FM56"/>
    <mergeCell ref="FN56:FT56"/>
    <mergeCell ref="ES56:EY56"/>
    <mergeCell ref="GB56:GH56"/>
    <mergeCell ref="ES48:EY48"/>
    <mergeCell ref="ES51:EY51"/>
    <mergeCell ref="ES49:EY49"/>
    <mergeCell ref="ES50:EY50"/>
    <mergeCell ref="ES45:EY45"/>
    <mergeCell ref="ES46:EY46"/>
    <mergeCell ref="ES47:EY47"/>
    <mergeCell ref="FU48:GA48"/>
    <mergeCell ref="FU51:GA51"/>
    <mergeCell ref="GB51:GH51"/>
    <mergeCell ref="GB46:GH46"/>
    <mergeCell ref="GB45:GH45"/>
    <mergeCell ref="GB43:GH43"/>
    <mergeCell ref="GB44:GH44"/>
    <mergeCell ref="FN44:FT44"/>
    <mergeCell ref="ES63:EY63"/>
    <mergeCell ref="ES64:EY64"/>
    <mergeCell ref="FN65:FT65"/>
    <mergeCell ref="FN66:FT66"/>
    <mergeCell ref="FU64:GA64"/>
    <mergeCell ref="FU65:GA65"/>
    <mergeCell ref="GB59:GH59"/>
    <mergeCell ref="GB58:GH58"/>
    <mergeCell ref="GB49:GH49"/>
    <mergeCell ref="GB50:GH50"/>
    <mergeCell ref="GB57:GH57"/>
    <mergeCell ref="GB64:GH64"/>
    <mergeCell ref="GB65:GH65"/>
    <mergeCell ref="GB61:GH61"/>
    <mergeCell ref="GB62:GH62"/>
    <mergeCell ref="GB60:GH60"/>
    <mergeCell ref="FU63:GA63"/>
    <mergeCell ref="GB63:GH63"/>
    <mergeCell ref="FU61:GA61"/>
    <mergeCell ref="FN60:FT60"/>
    <mergeCell ref="FU60:GA60"/>
    <mergeCell ref="FU59:GA59"/>
    <mergeCell ref="FN59:FT59"/>
    <mergeCell ref="GI62:GO62"/>
    <mergeCell ref="FG63:FM63"/>
    <mergeCell ref="EZ63:FF63"/>
    <mergeCell ref="GI63:GO63"/>
    <mergeCell ref="HD63:HJ63"/>
    <mergeCell ref="HD64:HJ64"/>
    <mergeCell ref="IF61:IL66"/>
    <mergeCell ref="HR61:IE66"/>
    <mergeCell ref="GW63:HC63"/>
    <mergeCell ref="HD65:HJ65"/>
    <mergeCell ref="GP66:GV66"/>
    <mergeCell ref="GP67:GV67"/>
    <mergeCell ref="GP63:GV63"/>
    <mergeCell ref="GP62:GV62"/>
    <mergeCell ref="EZ66:FF66"/>
    <mergeCell ref="ES67:EY67"/>
    <mergeCell ref="EZ67:FF67"/>
    <mergeCell ref="FG67:FM67"/>
    <mergeCell ref="JA57:JG57"/>
    <mergeCell ref="IT57:IZ57"/>
    <mergeCell ref="HK58:HQ58"/>
    <mergeCell ref="IT59:IZ59"/>
    <mergeCell ref="JA59:JG59"/>
    <mergeCell ref="JA58:JG58"/>
    <mergeCell ref="JA61:JG61"/>
    <mergeCell ref="FU67:GA67"/>
    <mergeCell ref="IF67:IL67"/>
    <mergeCell ref="HK67:HQ67"/>
    <mergeCell ref="HD67:HJ67"/>
    <mergeCell ref="HR67:HX67"/>
    <mergeCell ref="HY67:IE67"/>
    <mergeCell ref="JA62:JG62"/>
    <mergeCell ref="FN67:FT67"/>
    <mergeCell ref="GB66:GH66"/>
    <mergeCell ref="GI66:GO66"/>
    <mergeCell ref="FU66:GA66"/>
    <mergeCell ref="GI65:GO65"/>
    <mergeCell ref="GP65:GV65"/>
    <mergeCell ref="JA63:JG63"/>
    <mergeCell ref="JA66:JG66"/>
    <mergeCell ref="GW62:HC62"/>
    <mergeCell ref="HD62:HJ62"/>
    <mergeCell ref="GW64:HC64"/>
    <mergeCell ref="GP64:GV64"/>
    <mergeCell ref="GI64:GO64"/>
    <mergeCell ref="HK64:HQ64"/>
    <mergeCell ref="GW65:HC65"/>
    <mergeCell ref="HK65:HQ65"/>
    <mergeCell ref="HK62:HQ62"/>
    <mergeCell ref="HK63:HQ63"/>
    <mergeCell ref="HD66:HJ66"/>
    <mergeCell ref="HK66:HQ66"/>
    <mergeCell ref="GP59:GV59"/>
    <mergeCell ref="GP58:GV58"/>
    <mergeCell ref="HD58:HJ58"/>
    <mergeCell ref="HD57:HJ57"/>
    <mergeCell ref="GP60:GV60"/>
    <mergeCell ref="GW61:HC61"/>
    <mergeCell ref="GP61:GV61"/>
    <mergeCell ref="GW60:HC60"/>
    <mergeCell ref="HD59:HJ59"/>
    <mergeCell ref="IM59:IS59"/>
    <mergeCell ref="IF59:IL59"/>
    <mergeCell ref="IF60:IL60"/>
    <mergeCell ref="IT61:IZ61"/>
    <mergeCell ref="IM60:IS60"/>
    <mergeCell ref="IT60:IZ60"/>
    <mergeCell ref="GW58:HC58"/>
    <mergeCell ref="GW59:HC59"/>
    <mergeCell ref="GI60:GO60"/>
    <mergeCell ref="GI59:GO59"/>
    <mergeCell ref="GI61:GO61"/>
    <mergeCell ref="HD61:HJ61"/>
    <mergeCell ref="HK61:HQ61"/>
    <mergeCell ref="HK60:HQ60"/>
    <mergeCell ref="HR60:IE60"/>
    <mergeCell ref="HD60:HJ60"/>
    <mergeCell ref="GI57:GO57"/>
    <mergeCell ref="GI58:GO58"/>
    <mergeCell ref="HY57:IE57"/>
    <mergeCell ref="HY58:IE58"/>
    <mergeCell ref="HY59:IE59"/>
    <mergeCell ref="HR59:HX59"/>
    <mergeCell ref="HR57:HX57"/>
    <mergeCell ref="HK59:HQ59"/>
    <mergeCell ref="HK57:HQ57"/>
    <mergeCell ref="GW57:HC57"/>
    <mergeCell ref="GP57:GV57"/>
    <mergeCell ref="IM57:IS57"/>
    <mergeCell ref="IM58:IS58"/>
    <mergeCell ref="IT58:IZ58"/>
    <mergeCell ref="IF57:IL57"/>
    <mergeCell ref="IF58:IL58"/>
    <mergeCell ref="HR58:HX58"/>
    <mergeCell ref="JO32:JU32"/>
    <mergeCell ref="JO33:JU33"/>
    <mergeCell ref="JH32:JN32"/>
    <mergeCell ref="JH33:JN33"/>
    <mergeCell ref="JH30:JN30"/>
    <mergeCell ref="JO30:JU30"/>
    <mergeCell ref="JV34:KB34"/>
    <mergeCell ref="JV33:KB33"/>
    <mergeCell ref="KC34:KI34"/>
    <mergeCell ref="KC32:KI32"/>
    <mergeCell ref="KC31:KI31"/>
    <mergeCell ref="KJ31:KP31"/>
    <mergeCell ref="JO34:JU34"/>
    <mergeCell ref="KJ41:KP41"/>
    <mergeCell ref="KJ39:KP39"/>
    <mergeCell ref="JV39:KB39"/>
    <mergeCell ref="JO39:JU39"/>
    <mergeCell ref="IM39:IS39"/>
    <mergeCell ref="IT39:IZ39"/>
    <mergeCell ref="KC35:KI35"/>
    <mergeCell ref="KJ35:KP35"/>
    <mergeCell ref="KJ36:KP36"/>
    <mergeCell ref="KC37:KI37"/>
    <mergeCell ref="KJ37:KP37"/>
    <mergeCell ref="JH36:JN36"/>
    <mergeCell ref="JO36:JU36"/>
    <mergeCell ref="JH35:JN35"/>
    <mergeCell ref="JO35:JU35"/>
    <mergeCell ref="JV35:KB35"/>
    <mergeCell ref="KC30:KI30"/>
    <mergeCell ref="JV30:KB30"/>
    <mergeCell ref="IT40:IZ40"/>
    <mergeCell ref="IT41:IZ41"/>
    <mergeCell ref="JH37:JN37"/>
    <mergeCell ref="JH38:JN38"/>
    <mergeCell ref="JV36:KB36"/>
    <mergeCell ref="JO37:JU37"/>
    <mergeCell ref="JV37:KB37"/>
    <mergeCell ref="JA41:JG41"/>
    <mergeCell ref="KC41:KI41"/>
    <mergeCell ref="KC40:KI40"/>
    <mergeCell ref="JV40:KB40"/>
    <mergeCell ref="JO40:JU40"/>
    <mergeCell ref="JV41:KB41"/>
    <mergeCell ref="JO41:JU41"/>
    <mergeCell ref="JV43:KB43"/>
    <mergeCell ref="FN50:FT50"/>
    <mergeCell ref="FU50:GA50"/>
    <mergeCell ref="FU47:GA47"/>
    <mergeCell ref="FG47:FM47"/>
    <mergeCell ref="FN47:FT47"/>
    <mergeCell ref="FN48:FT48"/>
    <mergeCell ref="FG48:FM48"/>
    <mergeCell ref="FG49:FM49"/>
    <mergeCell ref="FU49:GA49"/>
    <mergeCell ref="FN49:FT49"/>
    <mergeCell ref="EZ45:FF45"/>
    <mergeCell ref="EZ46:FF46"/>
    <mergeCell ref="FG45:FT45"/>
    <mergeCell ref="FU45:GA45"/>
    <mergeCell ref="FU43:GA43"/>
    <mergeCell ref="FN43:FT43"/>
    <mergeCell ref="EZ49:FF49"/>
    <mergeCell ref="EZ50:FF50"/>
    <mergeCell ref="FG51:FM51"/>
    <mergeCell ref="EZ51:FF51"/>
    <mergeCell ref="FG43:FM43"/>
    <mergeCell ref="FG46:FM46"/>
    <mergeCell ref="FG44:FM44"/>
    <mergeCell ref="EZ48:FF48"/>
    <mergeCell ref="EZ47:FF47"/>
    <mergeCell ref="IM65:IS65"/>
    <mergeCell ref="IT66:IZ66"/>
    <mergeCell ref="IM66:IS66"/>
    <mergeCell ref="IT65:IZ65"/>
    <mergeCell ref="GB67:GH67"/>
    <mergeCell ref="GI67:GO67"/>
    <mergeCell ref="FU62:GA62"/>
    <mergeCell ref="FN62:FT62"/>
    <mergeCell ref="IT67:IZ67"/>
    <mergeCell ref="JA67:JG67"/>
    <mergeCell ref="JH67:JN67"/>
    <mergeCell ref="JH66:JN66"/>
    <mergeCell ref="JA65:JG65"/>
    <mergeCell ref="IM64:IS64"/>
    <mergeCell ref="JA64:JG64"/>
    <mergeCell ref="IT64:IZ64"/>
    <mergeCell ref="JH63:JN63"/>
    <mergeCell ref="JH64:JN64"/>
    <mergeCell ref="JH65:JN65"/>
    <mergeCell ref="FN64:FT64"/>
    <mergeCell ref="FN63:FT63"/>
    <mergeCell ref="GW67:HC67"/>
    <mergeCell ref="GW66:HC66"/>
    <mergeCell ref="IM61:IS61"/>
    <mergeCell ref="IM62:IS62"/>
    <mergeCell ref="JH59:JN59"/>
    <mergeCell ref="JH58:JN58"/>
    <mergeCell ref="JH57:JN57"/>
    <mergeCell ref="IT62:IZ62"/>
    <mergeCell ref="IM63:IS63"/>
    <mergeCell ref="IT63:IZ63"/>
    <mergeCell ref="IM67:IS67"/>
    <mergeCell ref="JH60:JN60"/>
    <mergeCell ref="JA60:JG60"/>
    <mergeCell ref="JH62:JN62"/>
    <mergeCell ref="JH61:JN61"/>
    <mergeCell ref="IF56:IL56"/>
    <mergeCell ref="IF55:IL55"/>
    <mergeCell ref="HY51:IE51"/>
    <mergeCell ref="HY53:IE53"/>
    <mergeCell ref="IM53:IS53"/>
    <mergeCell ref="IM54:IS54"/>
    <mergeCell ref="IF53:IL53"/>
    <mergeCell ref="IM55:IS55"/>
    <mergeCell ref="IM56:IS56"/>
    <mergeCell ref="IF51:IL51"/>
    <mergeCell ref="IT51:IZ51"/>
    <mergeCell ref="GI51:GO51"/>
    <mergeCell ref="GW51:HC51"/>
    <mergeCell ref="HD51:HJ51"/>
    <mergeCell ref="HK51:HQ51"/>
    <mergeCell ref="GP51:GV51"/>
    <mergeCell ref="IM51:IS51"/>
    <mergeCell ref="JA51:JG51"/>
    <mergeCell ref="JH50:JN50"/>
    <mergeCell ref="IT50:IZ50"/>
    <mergeCell ref="JA50:JG50"/>
    <mergeCell ref="JH51:JN51"/>
    <mergeCell ref="IM50:IS50"/>
    <mergeCell ref="GI54:GO54"/>
    <mergeCell ref="GI53:GO53"/>
    <mergeCell ref="GI56:GO56"/>
    <mergeCell ref="GP56:GV56"/>
    <mergeCell ref="GI50:GO50"/>
    <mergeCell ref="GP50:GV50"/>
    <mergeCell ref="GW50:HC50"/>
    <mergeCell ref="HN50:HS50"/>
    <mergeCell ref="HK50:HM50"/>
    <mergeCell ref="HD50:HJ50"/>
    <mergeCell ref="GI55:GO55"/>
    <mergeCell ref="JH54:JN54"/>
    <mergeCell ref="JH53:JN53"/>
    <mergeCell ref="JH56:JN56"/>
    <mergeCell ref="JH55:JN55"/>
    <mergeCell ref="JV54:KB54"/>
    <mergeCell ref="JV57:KB57"/>
    <mergeCell ref="JA54:JG54"/>
    <mergeCell ref="JA55:JG55"/>
    <mergeCell ref="JA56:JG56"/>
    <mergeCell ref="JA53:JG53"/>
    <mergeCell ref="IT54:IZ54"/>
    <mergeCell ref="IT53:IZ53"/>
    <mergeCell ref="IT55:IZ55"/>
    <mergeCell ref="IT56:IZ56"/>
    <mergeCell ref="EZ27:FF27"/>
    <mergeCell ref="FG28:FM28"/>
    <mergeCell ref="FG27:FM27"/>
    <mergeCell ref="GB28:GH28"/>
    <mergeCell ref="GB26:GH26"/>
    <mergeCell ref="GB27:GH27"/>
    <mergeCell ref="EZ26:FF26"/>
    <mergeCell ref="EE24:EK24"/>
    <mergeCell ref="EE25:EK25"/>
    <mergeCell ref="EL29:ER29"/>
    <mergeCell ref="ES29:EY29"/>
    <mergeCell ref="ES28:EY28"/>
    <mergeCell ref="ES21:EY21"/>
    <mergeCell ref="EL21:ER21"/>
    <mergeCell ref="ES24:EY24"/>
    <mergeCell ref="ES22:EY22"/>
    <mergeCell ref="EZ22:FF22"/>
    <mergeCell ref="FG23:FM23"/>
    <mergeCell ref="FU24:GA24"/>
    <mergeCell ref="FU25:GA25"/>
    <mergeCell ref="EL24:ER24"/>
    <mergeCell ref="EL25:ER25"/>
    <mergeCell ref="GI29:GO29"/>
    <mergeCell ref="GI23:GO23"/>
    <mergeCell ref="GI28:GO28"/>
    <mergeCell ref="GI27:GO27"/>
    <mergeCell ref="GI22:GO22"/>
    <mergeCell ref="GB29:GH29"/>
    <mergeCell ref="GB30:GH30"/>
    <mergeCell ref="GP27:GV27"/>
    <mergeCell ref="GP29:GV29"/>
    <mergeCell ref="HK27:HQ27"/>
    <mergeCell ref="HY27:IE27"/>
    <mergeCell ref="HK30:HQ30"/>
    <mergeCell ref="HY30:IE30"/>
    <mergeCell ref="GP28:GV28"/>
    <mergeCell ref="GB23:GH23"/>
    <mergeCell ref="GP23:GV23"/>
    <mergeCell ref="GP25:GV25"/>
    <mergeCell ref="GI24:GO24"/>
    <mergeCell ref="FU23:GA23"/>
    <mergeCell ref="GI25:GO25"/>
    <mergeCell ref="GB24:GH24"/>
    <mergeCell ref="GB25:GH25"/>
    <mergeCell ref="GI26:GO26"/>
    <mergeCell ref="GP24:GV24"/>
    <mergeCell ref="GI20:GO20"/>
    <mergeCell ref="HD20:HJ20"/>
    <mergeCell ref="GW20:HC20"/>
    <mergeCell ref="GP20:GV20"/>
    <mergeCell ref="HK20:HQ20"/>
    <mergeCell ref="HY20:IE20"/>
    <mergeCell ref="HR20:HX20"/>
    <mergeCell ref="EL20:ER20"/>
    <mergeCell ref="ES20:EY20"/>
    <mergeCell ref="FN20:FT20"/>
    <mergeCell ref="EE20:EK20"/>
    <mergeCell ref="FU20:GA20"/>
    <mergeCell ref="GB20:GH20"/>
    <mergeCell ref="IM20:IS20"/>
    <mergeCell ref="HK22:HX22"/>
    <mergeCell ref="HK21:HX21"/>
    <mergeCell ref="GP26:GV26"/>
    <mergeCell ref="HY22:IE22"/>
    <mergeCell ref="IM21:IS21"/>
    <mergeCell ref="GW22:HJ22"/>
    <mergeCell ref="GP22:GV22"/>
    <mergeCell ref="IF22:IL22"/>
    <mergeCell ref="GP21:GV21"/>
    <mergeCell ref="DJ25:DP25"/>
    <mergeCell ref="DJ26:DP26"/>
    <mergeCell ref="DQ29:DW29"/>
    <mergeCell ref="DJ30:DP30"/>
    <mergeCell ref="DQ30:DW30"/>
    <mergeCell ref="DQ26:DW26"/>
    <mergeCell ref="DQ25:DW25"/>
    <mergeCell ref="FN28:FT28"/>
    <mergeCell ref="FN26:FT26"/>
    <mergeCell ref="FN27:FT27"/>
    <mergeCell ref="ES30:EY30"/>
    <mergeCell ref="EL30:ER30"/>
    <mergeCell ref="FN21:FT21"/>
    <mergeCell ref="FN22:FT22"/>
    <mergeCell ref="GB21:GH21"/>
    <mergeCell ref="GB22:GH22"/>
    <mergeCell ref="GI21:GO21"/>
    <mergeCell ref="FU21:GA21"/>
    <mergeCell ref="FU22:GA22"/>
    <mergeCell ref="ES23:EY23"/>
    <mergeCell ref="EE23:ER23"/>
    <mergeCell ref="EZ20:FF20"/>
    <mergeCell ref="FG20:FM20"/>
    <mergeCell ref="IF21:IL21"/>
    <mergeCell ref="HY21:IE21"/>
    <mergeCell ref="GW21:HC21"/>
    <mergeCell ref="HD21:HJ21"/>
    <mergeCell ref="KX23:LD23"/>
    <mergeCell ref="KQ23:KW23"/>
    <mergeCell ref="KX22:LD22"/>
    <mergeCell ref="LE22:LK22"/>
    <mergeCell ref="KQ27:KW27"/>
    <mergeCell ref="KQ26:KW26"/>
    <mergeCell ref="LE21:LK21"/>
    <mergeCell ref="LE20:LK20"/>
    <mergeCell ref="KQ21:KW21"/>
    <mergeCell ref="KX21:LD21"/>
    <mergeCell ref="KX20:LD20"/>
    <mergeCell ref="KQ20:KW20"/>
    <mergeCell ref="KQ32:KW32"/>
    <mergeCell ref="KX32:LD32"/>
    <mergeCell ref="KX27:LD27"/>
    <mergeCell ref="LE27:LK27"/>
    <mergeCell ref="LE23:LK23"/>
    <mergeCell ref="KX24:LD24"/>
    <mergeCell ref="KQ24:KW24"/>
    <mergeCell ref="KQ35:KW35"/>
    <mergeCell ref="KX35:LD35"/>
    <mergeCell ref="KQ37:KW37"/>
    <mergeCell ref="KX37:LD37"/>
    <mergeCell ref="KQ34:KW34"/>
    <mergeCell ref="KJ34:KP34"/>
    <mergeCell ref="KJ32:KP32"/>
    <mergeCell ref="KX34:LD34"/>
    <mergeCell ref="KQ33:KW33"/>
    <mergeCell ref="KQ36:KW36"/>
    <mergeCell ref="LE26:LK26"/>
    <mergeCell ref="KX26:LD26"/>
    <mergeCell ref="KX28:LD28"/>
    <mergeCell ref="LE28:LK28"/>
    <mergeCell ref="KJ28:KP28"/>
    <mergeCell ref="KX30:LD30"/>
    <mergeCell ref="LE30:LK30"/>
    <mergeCell ref="LE24:LK24"/>
    <mergeCell ref="LE25:LK25"/>
    <mergeCell ref="KX25:LD25"/>
    <mergeCell ref="KQ25:KW25"/>
    <mergeCell ref="KJ23:KP23"/>
    <mergeCell ref="KJ27:KP27"/>
    <mergeCell ref="KJ26:KP26"/>
    <mergeCell ref="KJ21:KP21"/>
    <mergeCell ref="KJ20:KP20"/>
    <mergeCell ref="LE39:LK39"/>
    <mergeCell ref="LE40:LK40"/>
    <mergeCell ref="KX41:LD41"/>
    <mergeCell ref="KX42:LD42"/>
    <mergeCell ref="KJ40:KP40"/>
    <mergeCell ref="KQ40:KW40"/>
    <mergeCell ref="KJ38:KP38"/>
    <mergeCell ref="KC38:KI38"/>
    <mergeCell ref="LE42:LK42"/>
    <mergeCell ref="LE41:LK41"/>
    <mergeCell ref="KQ39:KW39"/>
    <mergeCell ref="KQ38:KW38"/>
    <mergeCell ref="KJ42:KP42"/>
    <mergeCell ref="LE65:LK65"/>
    <mergeCell ref="KX65:LD65"/>
    <mergeCell ref="JV59:KB59"/>
    <mergeCell ref="JV51:KB51"/>
    <mergeCell ref="KJ66:KP66"/>
    <mergeCell ref="KJ48:KP48"/>
    <mergeCell ref="KC48:KI48"/>
    <mergeCell ref="JV48:KB48"/>
    <mergeCell ref="KQ41:KW41"/>
    <mergeCell ref="KQ42:KW42"/>
    <mergeCell ref="JV60:KB60"/>
    <mergeCell ref="KQ60:KW60"/>
    <mergeCell ref="KJ60:KP60"/>
    <mergeCell ref="KX59:LD59"/>
    <mergeCell ref="KC61:KI61"/>
    <mergeCell ref="JV45:LD45"/>
    <mergeCell ref="KQ63:KW63"/>
    <mergeCell ref="KQ61:KW61"/>
    <mergeCell ref="LE37:LK37"/>
    <mergeCell ref="LE38:LK38"/>
    <mergeCell ref="LE63:LK63"/>
    <mergeCell ref="LE66:LK66"/>
    <mergeCell ref="KX66:LD66"/>
    <mergeCell ref="KQ66:KW66"/>
    <mergeCell ref="LE60:LK60"/>
    <mergeCell ref="LE31:LK31"/>
    <mergeCell ref="LE32:LK32"/>
    <mergeCell ref="JV32:KB32"/>
    <mergeCell ref="KQ31:KW31"/>
    <mergeCell ref="LE34:LK34"/>
    <mergeCell ref="LE33:LK33"/>
    <mergeCell ref="KC33:KI33"/>
    <mergeCell ref="KJ33:KP33"/>
    <mergeCell ref="JV28:KB28"/>
    <mergeCell ref="KQ28:KW28"/>
    <mergeCell ref="KJ29:KP29"/>
    <mergeCell ref="KQ29:KW29"/>
    <mergeCell ref="KQ30:KW30"/>
    <mergeCell ref="KJ30:KP30"/>
    <mergeCell ref="KX31:LD31"/>
    <mergeCell ref="LE29:LK29"/>
    <mergeCell ref="KX29:LD29"/>
    <mergeCell ref="KX40:LD40"/>
    <mergeCell ref="KX38:LD38"/>
    <mergeCell ref="KX39:LD39"/>
    <mergeCell ref="KX36:LD36"/>
    <mergeCell ref="LE36:LK36"/>
    <mergeCell ref="LE35:LK35"/>
    <mergeCell ref="KX33:LD33"/>
    <mergeCell ref="KQ65:KW65"/>
    <mergeCell ref="KQ64:KW64"/>
    <mergeCell ref="KC67:KI67"/>
    <mergeCell ref="JV67:KB67"/>
    <mergeCell ref="KJ65:KP65"/>
    <mergeCell ref="LE67:LK67"/>
    <mergeCell ref="KJ67:KP67"/>
    <mergeCell ref="KQ67:KW67"/>
    <mergeCell ref="LE62:LK62"/>
    <mergeCell ref="KJ62:KP62"/>
    <mergeCell ref="CV38:DB38"/>
    <mergeCell ref="DC38:DI38"/>
    <mergeCell ref="DC39:DI39"/>
    <mergeCell ref="CV39:DB39"/>
    <mergeCell ref="AD39:AJ39"/>
    <mergeCell ref="AD38:AJ38"/>
    <mergeCell ref="EE39:EK39"/>
    <mergeCell ref="EL39:ER39"/>
    <mergeCell ref="AK38:AQ38"/>
    <mergeCell ref="W38:AC38"/>
    <mergeCell ref="P38:V38"/>
    <mergeCell ref="AK39:AQ39"/>
    <mergeCell ref="CO39:CU39"/>
    <mergeCell ref="ES40:EY40"/>
    <mergeCell ref="EZ39:FF39"/>
    <mergeCell ref="EL36:ER36"/>
    <mergeCell ref="EZ36:FF36"/>
    <mergeCell ref="EE36:EK36"/>
    <mergeCell ref="EZ37:FF37"/>
    <mergeCell ref="EE38:EK38"/>
    <mergeCell ref="ES38:EY38"/>
    <mergeCell ref="EL41:ER41"/>
    <mergeCell ref="ES41:EY41"/>
    <mergeCell ref="EE41:EK41"/>
    <mergeCell ref="EL40:ER40"/>
    <mergeCell ref="EL38:ER38"/>
    <mergeCell ref="EE37:EK37"/>
    <mergeCell ref="FG37:FM37"/>
    <mergeCell ref="FG38:FM38"/>
    <mergeCell ref="GW34:HC34"/>
    <mergeCell ref="HD34:HJ34"/>
    <mergeCell ref="GP32:GV32"/>
    <mergeCell ref="GI39:GO39"/>
    <mergeCell ref="GB39:GH39"/>
    <mergeCell ref="HR40:HX40"/>
    <mergeCell ref="GI40:GO40"/>
    <mergeCell ref="HK40:HQ40"/>
    <mergeCell ref="HD40:HJ40"/>
    <mergeCell ref="GW40:HC40"/>
    <mergeCell ref="EZ38:FF38"/>
    <mergeCell ref="FG36:FM36"/>
    <mergeCell ref="HK36:HQ36"/>
    <mergeCell ref="GQ14:GT14"/>
    <mergeCell ref="GU14:GV14"/>
    <mergeCell ref="HR14:HX14"/>
    <mergeCell ref="HY14:IE14"/>
    <mergeCell ref="IF15:IM15"/>
    <mergeCell ref="HY15:IE15"/>
    <mergeCell ref="HR15:HX15"/>
    <mergeCell ref="HK15:HQ15"/>
    <mergeCell ref="HD14:HJ14"/>
    <mergeCell ref="HD16:HJ16"/>
    <mergeCell ref="GW16:HC16"/>
    <mergeCell ref="GW15:HC15"/>
    <mergeCell ref="GP16:GV16"/>
    <mergeCell ref="HK16:HQ16"/>
    <mergeCell ref="FG26:FM26"/>
    <mergeCell ref="ES25:EY25"/>
    <mergeCell ref="ES26:EY26"/>
    <mergeCell ref="DQ27:DW27"/>
    <mergeCell ref="DQ28:DW28"/>
    <mergeCell ref="FU29:GA29"/>
    <mergeCell ref="FU30:GA30"/>
    <mergeCell ref="FG22:FM22"/>
    <mergeCell ref="EZ21:FM21"/>
    <mergeCell ref="EL22:ER22"/>
    <mergeCell ref="JO24:JU24"/>
    <mergeCell ref="JO25:JU25"/>
    <mergeCell ref="JH28:JN28"/>
    <mergeCell ref="JH29:JN29"/>
    <mergeCell ref="JV29:KB29"/>
    <mergeCell ref="KC29:KI29"/>
    <mergeCell ref="JO29:JU29"/>
    <mergeCell ref="JO28:JU28"/>
    <mergeCell ref="JH27:JN27"/>
    <mergeCell ref="JO27:JU27"/>
    <mergeCell ref="JV23:KB23"/>
    <mergeCell ref="JV25:KB25"/>
    <mergeCell ref="JV24:KB24"/>
    <mergeCell ref="JV27:KB27"/>
    <mergeCell ref="JV26:KB26"/>
    <mergeCell ref="JH25:JN25"/>
    <mergeCell ref="KC27:KI27"/>
    <mergeCell ref="KC16:KI16"/>
    <mergeCell ref="KJ18:KP18"/>
    <mergeCell ref="JH20:JN20"/>
    <mergeCell ref="JA22:JG22"/>
    <mergeCell ref="JH22:JN22"/>
    <mergeCell ref="JH21:JN21"/>
    <mergeCell ref="JA21:JG21"/>
    <mergeCell ref="IT21:IZ21"/>
    <mergeCell ref="JO21:JU21"/>
    <mergeCell ref="IM22:IZ22"/>
    <mergeCell ref="KC24:KI24"/>
    <mergeCell ref="KC25:KI25"/>
    <mergeCell ref="KC26:KI26"/>
    <mergeCell ref="KJ24:KP24"/>
    <mergeCell ref="KJ25:KP25"/>
    <mergeCell ref="JO22:JU22"/>
    <mergeCell ref="KC22:KI22"/>
    <mergeCell ref="KC21:KI21"/>
    <mergeCell ref="JV21:KB21"/>
    <mergeCell ref="JV22:KB22"/>
    <mergeCell ref="JO23:JU23"/>
    <mergeCell ref="KC23:KI23"/>
    <mergeCell ref="JH24:JN24"/>
    <mergeCell ref="JH23:JN23"/>
    <mergeCell ref="JH26:JN26"/>
    <mergeCell ref="JO26:JU26"/>
    <mergeCell ref="JA20:JG20"/>
    <mergeCell ref="IT20:IZ20"/>
    <mergeCell ref="JO20:JU20"/>
    <mergeCell ref="JV20:KB20"/>
    <mergeCell ref="KC20:KI20"/>
    <mergeCell ref="JV16:KB16"/>
    <mergeCell ref="JH16:JN16"/>
    <mergeCell ref="JO16:JU16"/>
    <mergeCell ref="IF20:IL20"/>
    <mergeCell ref="HR17:HX17"/>
    <mergeCell ref="HK18:HQ18"/>
    <mergeCell ref="IF17:IS17"/>
    <mergeCell ref="IM19:IS19"/>
    <mergeCell ref="HD19:HJ19"/>
    <mergeCell ref="HK19:HQ19"/>
    <mergeCell ref="GI19:GO19"/>
    <mergeCell ref="HR19:HX19"/>
    <mergeCell ref="GP19:GV19"/>
    <mergeCell ref="GW19:HC19"/>
    <mergeCell ref="HY17:IE17"/>
    <mergeCell ref="GB19:GH19"/>
    <mergeCell ref="FN17:FT17"/>
    <mergeCell ref="FG19:FM19"/>
    <mergeCell ref="GI17:GO17"/>
    <mergeCell ref="GI18:GO18"/>
    <mergeCell ref="FU19:GA19"/>
    <mergeCell ref="HY19:IE19"/>
    <mergeCell ref="GP17:GV17"/>
    <mergeCell ref="GW17:HC17"/>
    <mergeCell ref="EZ18:FM18"/>
    <mergeCell ref="EZ17:FM17"/>
    <mergeCell ref="FN18:FT18"/>
    <mergeCell ref="FN19:FT19"/>
    <mergeCell ref="EZ19:FF19"/>
    <mergeCell ref="ES19:EY19"/>
    <mergeCell ref="EL19:ER19"/>
    <mergeCell ref="EL18:ER18"/>
    <mergeCell ref="ES18:EY18"/>
    <mergeCell ref="EE19:EK19"/>
    <mergeCell ref="EE18:EK18"/>
    <mergeCell ref="EE17:EK17"/>
    <mergeCell ref="GB17:GH17"/>
    <mergeCell ref="FU17:GA17"/>
    <mergeCell ref="FU18:GA18"/>
    <mergeCell ref="GB18:GH18"/>
    <mergeCell ref="KQ19:KW19"/>
    <mergeCell ref="KJ19:KP19"/>
    <mergeCell ref="IT14:IZ14"/>
    <mergeCell ref="JA16:JG16"/>
    <mergeCell ref="IT16:IZ16"/>
    <mergeCell ref="FU16:GA16"/>
    <mergeCell ref="GI16:GO16"/>
    <mergeCell ref="GB16:GH16"/>
    <mergeCell ref="EL15:ER15"/>
    <mergeCell ref="EE14:EK14"/>
    <mergeCell ref="EE15:EK15"/>
    <mergeCell ref="GP15:GV15"/>
    <mergeCell ref="GI14:GP14"/>
    <mergeCell ref="IF16:IL16"/>
    <mergeCell ref="IM16:IS16"/>
    <mergeCell ref="KQ16:KW16"/>
    <mergeCell ref="B16:H16"/>
    <mergeCell ref="I16:O16"/>
    <mergeCell ref="JV14:KB14"/>
    <mergeCell ref="IF14:IM14"/>
    <mergeCell ref="IN14:IS14"/>
    <mergeCell ref="FU15:GA15"/>
    <mergeCell ref="EE16:EK16"/>
    <mergeCell ref="FG15:FM15"/>
    <mergeCell ref="FN15:FT15"/>
    <mergeCell ref="FN16:FT16"/>
    <mergeCell ref="FG16:FM16"/>
    <mergeCell ref="EL14:ER14"/>
    <mergeCell ref="ES14:EY14"/>
    <mergeCell ref="EZ15:FF15"/>
    <mergeCell ref="ES15:EY15"/>
    <mergeCell ref="FN14:FT14"/>
    <mergeCell ref="FG14:FM14"/>
    <mergeCell ref="EZ14:FF14"/>
    <mergeCell ref="EZ16:FF16"/>
    <mergeCell ref="ES16:EY16"/>
    <mergeCell ref="EL16:ER16"/>
    <mergeCell ref="GI11:GO11"/>
    <mergeCell ref="GI10:GO10"/>
    <mergeCell ref="ES11:EY11"/>
    <mergeCell ref="EL11:ER11"/>
    <mergeCell ref="GB11:GH11"/>
    <mergeCell ref="FU11:GA11"/>
    <mergeCell ref="FN11:FT11"/>
    <mergeCell ref="FG11:FM11"/>
    <mergeCell ref="GI12:GP12"/>
    <mergeCell ref="GW12:HC12"/>
    <mergeCell ref="GQ12:GT12"/>
    <mergeCell ref="FU12:GA12"/>
    <mergeCell ref="GB12:GH12"/>
    <mergeCell ref="KC10:KI10"/>
    <mergeCell ref="KC11:KI11"/>
    <mergeCell ref="FN10:GA10"/>
    <mergeCell ref="ES12:EY12"/>
    <mergeCell ref="EL12:ER12"/>
    <mergeCell ref="EZ12:FF12"/>
    <mergeCell ref="FN9:GH9"/>
    <mergeCell ref="FG13:FM13"/>
    <mergeCell ref="EZ13:FF13"/>
    <mergeCell ref="EE13:EK13"/>
    <mergeCell ref="EE12:EK12"/>
    <mergeCell ref="FK12:FM12"/>
    <mergeCell ref="FN12:FT12"/>
    <mergeCell ref="EL13:ER13"/>
    <mergeCell ref="ES13:EY13"/>
    <mergeCell ref="FN13:FT13"/>
    <mergeCell ref="EL17:ER17"/>
    <mergeCell ref="ES17:EY17"/>
    <mergeCell ref="KJ12:KP12"/>
    <mergeCell ref="LE13:LK13"/>
    <mergeCell ref="KQ9:LD9"/>
    <mergeCell ref="KJ8:KP8"/>
    <mergeCell ref="KJ9:KP9"/>
    <mergeCell ref="KJ10:KP10"/>
    <mergeCell ref="KQ8:KW8"/>
    <mergeCell ref="JH12:JN12"/>
    <mergeCell ref="JO9:KI9"/>
    <mergeCell ref="JH9:JN9"/>
    <mergeCell ref="JH11:JN11"/>
    <mergeCell ref="JV11:KB11"/>
    <mergeCell ref="JV10:KB10"/>
    <mergeCell ref="JH8:JN8"/>
    <mergeCell ref="HD17:HJ17"/>
    <mergeCell ref="HK17:HQ17"/>
    <mergeCell ref="HD13:HJ13"/>
    <mergeCell ref="HY16:IE16"/>
    <mergeCell ref="HR16:HX16"/>
    <mergeCell ref="HY18:IE18"/>
    <mergeCell ref="HR18:HX18"/>
    <mergeCell ref="HD18:HJ18"/>
    <mergeCell ref="W14:AC14"/>
    <mergeCell ref="W18:AC18"/>
    <mergeCell ref="B17:H17"/>
    <mergeCell ref="W13:AC13"/>
    <mergeCell ref="P14:V14"/>
    <mergeCell ref="P13:V13"/>
    <mergeCell ref="I13:O13"/>
    <mergeCell ref="I14:O14"/>
    <mergeCell ref="P15:V15"/>
    <mergeCell ref="FN8:FT8"/>
    <mergeCell ref="FG8:FM8"/>
    <mergeCell ref="EE11:EK11"/>
    <mergeCell ref="GP13:GV13"/>
    <mergeCell ref="GP18:GV18"/>
    <mergeCell ref="GW18:HC18"/>
    <mergeCell ref="GB15:GH15"/>
    <mergeCell ref="GI15:GO15"/>
    <mergeCell ref="FU14:GA14"/>
    <mergeCell ref="GB14:GH14"/>
    <mergeCell ref="GI13:GO13"/>
    <mergeCell ref="FU13:GA13"/>
    <mergeCell ref="GB13:GH13"/>
    <mergeCell ref="KJ17:KP17"/>
    <mergeCell ref="KJ16:KP16"/>
    <mergeCell ref="KC18:KI18"/>
    <mergeCell ref="JV18:KB18"/>
    <mergeCell ref="JO18:JU18"/>
    <mergeCell ref="IT18:IZ18"/>
    <mergeCell ref="JA18:JG18"/>
    <mergeCell ref="IT17:IZ17"/>
    <mergeCell ref="JA17:JG17"/>
    <mergeCell ref="JH18:JN18"/>
    <mergeCell ref="KQ18:KW18"/>
    <mergeCell ref="IF19:IL19"/>
    <mergeCell ref="JH19:JN19"/>
    <mergeCell ref="KC19:KI19"/>
    <mergeCell ref="JO19:JU19"/>
    <mergeCell ref="JV19:KB19"/>
    <mergeCell ref="IM18:IS18"/>
    <mergeCell ref="IF18:IL18"/>
    <mergeCell ref="KX19:LD19"/>
    <mergeCell ref="EZ32:FF32"/>
    <mergeCell ref="FG32:FM32"/>
    <mergeCell ref="EE34:EK34"/>
    <mergeCell ref="EE33:EK33"/>
    <mergeCell ref="EZ35:FF35"/>
    <mergeCell ref="ES35:EY35"/>
    <mergeCell ref="EL34:ER34"/>
    <mergeCell ref="EL35:ER35"/>
    <mergeCell ref="EZ33:FF33"/>
    <mergeCell ref="EL33:ER33"/>
    <mergeCell ref="BF32:BL32"/>
    <mergeCell ref="BF33:BL33"/>
    <mergeCell ref="B33:H33"/>
    <mergeCell ref="B34:H34"/>
    <mergeCell ref="FG33:FM33"/>
    <mergeCell ref="FG35:FM35"/>
    <mergeCell ref="EE35:EK35"/>
    <mergeCell ref="ES34:EY34"/>
    <mergeCell ref="P40:V40"/>
    <mergeCell ref="P41:V41"/>
    <mergeCell ref="W39:AC39"/>
    <mergeCell ref="I40:O40"/>
    <mergeCell ref="I39:O39"/>
    <mergeCell ref="W40:AC40"/>
    <mergeCell ref="P39:V39"/>
    <mergeCell ref="AD40:AJ40"/>
    <mergeCell ref="AD41:AJ41"/>
    <mergeCell ref="W41:AC41"/>
    <mergeCell ref="DC40:DI40"/>
    <mergeCell ref="CO40:CU40"/>
    <mergeCell ref="CV40:DB40"/>
    <mergeCell ref="CO41:CU41"/>
    <mergeCell ref="EE40:EK40"/>
    <mergeCell ref="JA40:JG40"/>
    <mergeCell ref="IM41:IS41"/>
    <mergeCell ref="IM40:IS40"/>
    <mergeCell ref="JH40:JN40"/>
    <mergeCell ref="IF41:IL41"/>
    <mergeCell ref="GW41:HC41"/>
    <mergeCell ref="GI38:GO38"/>
    <mergeCell ref="GI36:GO36"/>
    <mergeCell ref="GI37:GO37"/>
    <mergeCell ref="FN35:FT35"/>
    <mergeCell ref="FN36:FT36"/>
    <mergeCell ref="FN38:FT38"/>
    <mergeCell ref="FG34:FM34"/>
    <mergeCell ref="EZ34:FF34"/>
    <mergeCell ref="FN32:FT32"/>
    <mergeCell ref="FN33:FT33"/>
    <mergeCell ref="FN34:FT34"/>
    <mergeCell ref="ES37:EY37"/>
    <mergeCell ref="EL37:ER37"/>
    <mergeCell ref="FN37:FT37"/>
    <mergeCell ref="HD53:HJ53"/>
    <mergeCell ref="HD54:HJ54"/>
    <mergeCell ref="HK54:HQ54"/>
    <mergeCell ref="HK53:HQ53"/>
    <mergeCell ref="HY54:IE54"/>
    <mergeCell ref="HR54:HX54"/>
    <mergeCell ref="HK55:HQ55"/>
    <mergeCell ref="HK56:HQ56"/>
    <mergeCell ref="DR60:EV60"/>
    <mergeCell ref="GW54:HC54"/>
    <mergeCell ref="GW53:HC53"/>
    <mergeCell ref="HR53:HX53"/>
    <mergeCell ref="HR55:HX55"/>
    <mergeCell ref="HR56:HX56"/>
    <mergeCell ref="HY55:IE55"/>
    <mergeCell ref="HY56:IE56"/>
    <mergeCell ref="HD55:HJ55"/>
    <mergeCell ref="GW55:HC55"/>
    <mergeCell ref="GI43:GO43"/>
    <mergeCell ref="HK43:HQ43"/>
    <mergeCell ref="HD43:HJ43"/>
    <mergeCell ref="GW43:HC43"/>
    <mergeCell ref="HD48:HJ48"/>
    <mergeCell ref="HD47:HJ47"/>
    <mergeCell ref="HK47:HQ47"/>
    <mergeCell ref="HR47:HX47"/>
    <mergeCell ref="HY47:IE47"/>
    <mergeCell ref="GW47:HC47"/>
    <mergeCell ref="GW48:HC48"/>
    <mergeCell ref="HY50:IE50"/>
    <mergeCell ref="IF50:IL50"/>
    <mergeCell ref="IM49:IS49"/>
    <mergeCell ref="HY48:IE48"/>
    <mergeCell ref="HR48:HX48"/>
    <mergeCell ref="HY49:IE49"/>
    <mergeCell ref="HR49:HX49"/>
    <mergeCell ref="HR51:HX51"/>
    <mergeCell ref="HT50:HX50"/>
    <mergeCell ref="HK48:HQ48"/>
    <mergeCell ref="GP54:GV54"/>
    <mergeCell ref="GP53:GV53"/>
    <mergeCell ref="GW56:HC56"/>
    <mergeCell ref="HD56:HJ56"/>
    <mergeCell ref="GP45:GV45"/>
    <mergeCell ref="GI44:GO44"/>
    <mergeCell ref="GB47:GH47"/>
    <mergeCell ref="GB48:GH48"/>
    <mergeCell ref="GI45:GO45"/>
    <mergeCell ref="GP55:GV55"/>
    <mergeCell ref="MN26:MT26"/>
    <mergeCell ref="MU26:NA26"/>
    <mergeCell ref="MN30:MT30"/>
    <mergeCell ref="MU30:NA30"/>
    <mergeCell ref="MU25:NA25"/>
    <mergeCell ref="MN25:MT25"/>
    <mergeCell ref="MN29:MT29"/>
    <mergeCell ref="MU29:NA29"/>
    <mergeCell ref="MN27:MT27"/>
    <mergeCell ref="MU27:NA27"/>
    <mergeCell ref="MN28:MT28"/>
    <mergeCell ref="MU28:NA28"/>
    <mergeCell ref="MU37:NA37"/>
    <mergeCell ref="MU60:NA60"/>
    <mergeCell ref="MN59:MT59"/>
    <mergeCell ref="MG63:MM63"/>
    <mergeCell ref="LZ61:MF61"/>
    <mergeCell ref="MN35:MT35"/>
    <mergeCell ref="MU35:NA35"/>
    <mergeCell ref="MN36:MT36"/>
    <mergeCell ref="MN37:MT37"/>
    <mergeCell ref="MU36:NA36"/>
    <mergeCell ref="MN23:MT23"/>
    <mergeCell ref="MN24:MT24"/>
    <mergeCell ref="LS35:LY35"/>
    <mergeCell ref="LZ35:MF35"/>
    <mergeCell ref="MG35:MM35"/>
    <mergeCell ref="LL35:LR35"/>
    <mergeCell ref="LL36:LR36"/>
    <mergeCell ref="LL27:LR27"/>
    <mergeCell ref="LL24:LR24"/>
    <mergeCell ref="LS24:LY24"/>
    <mergeCell ref="LS28:LY28"/>
    <mergeCell ref="MG23:MM23"/>
    <mergeCell ref="LL26:LR26"/>
    <mergeCell ref="LS25:LY25"/>
    <mergeCell ref="LL25:LR25"/>
    <mergeCell ref="LZ25:MF25"/>
    <mergeCell ref="MG25:MM25"/>
    <mergeCell ref="LS26:LY26"/>
    <mergeCell ref="MG26:MM26"/>
    <mergeCell ref="LZ26:MF26"/>
    <mergeCell ref="LS27:LY27"/>
    <mergeCell ref="MC27:MF27"/>
    <mergeCell ref="LZ27:MB27"/>
    <mergeCell ref="LZ28:MF28"/>
    <mergeCell ref="LZ29:MF29"/>
    <mergeCell ref="MG29:MM29"/>
    <mergeCell ref="MG27:MM27"/>
    <mergeCell ref="MG28:MM28"/>
    <mergeCell ref="LS29:LY29"/>
    <mergeCell ref="LL29:LR29"/>
    <mergeCell ref="KQ10:LD10"/>
    <mergeCell ref="KX8:LD8"/>
    <mergeCell ref="KX13:LD13"/>
    <mergeCell ref="KQ14:LD14"/>
    <mergeCell ref="KQ11:LD11"/>
    <mergeCell ref="KX12:LD12"/>
    <mergeCell ref="KQ12:KW12"/>
    <mergeCell ref="LE9:LR9"/>
    <mergeCell ref="LE14:LK14"/>
    <mergeCell ref="MU32:NA32"/>
    <mergeCell ref="MU31:NA31"/>
    <mergeCell ref="MN31:MT31"/>
    <mergeCell ref="MG31:MM31"/>
    <mergeCell ref="LS31:LY31"/>
    <mergeCell ref="MC31:MF31"/>
    <mergeCell ref="LZ31:MB31"/>
    <mergeCell ref="LL31:LR31"/>
    <mergeCell ref="MU23:NA23"/>
    <mergeCell ref="MU24:NA24"/>
    <mergeCell ref="MG24:MM24"/>
    <mergeCell ref="LZ24:MF24"/>
    <mergeCell ref="LZ23:MF23"/>
    <mergeCell ref="LL23:LR23"/>
    <mergeCell ref="LS23:LY23"/>
    <mergeCell ref="LS30:LY30"/>
    <mergeCell ref="LZ30:MB30"/>
    <mergeCell ref="LL30:LR30"/>
    <mergeCell ref="LL28:LR28"/>
    <mergeCell ref="MC30:MF30"/>
    <mergeCell ref="MG30:MM30"/>
    <mergeCell ref="MN39:MT39"/>
    <mergeCell ref="MN40:MT40"/>
    <mergeCell ref="LS44:NA44"/>
    <mergeCell ref="LE48:NA48"/>
    <mergeCell ref="KX48:LD48"/>
    <mergeCell ref="LS41:LY41"/>
    <mergeCell ref="MG39:MM39"/>
    <mergeCell ref="MG38:MM38"/>
    <mergeCell ref="UW59:VC59"/>
    <mergeCell ref="UB59:UH59"/>
    <mergeCell ref="RX61:SD61"/>
    <mergeCell ref="RC61:RI61"/>
    <mergeCell ref="RJ61:RP61"/>
    <mergeCell ref="VD59:VJ59"/>
    <mergeCell ref="RJ60:RP60"/>
    <mergeCell ref="TU59:UA59"/>
    <mergeCell ref="TG60:TM60"/>
    <mergeCell ref="SE61:SK61"/>
    <mergeCell ref="SE65:SK65"/>
    <mergeCell ref="RQ62:RW62"/>
    <mergeCell ref="RQ63:RW63"/>
    <mergeCell ref="RQ61:RW61"/>
    <mergeCell ref="TG64:TM64"/>
    <mergeCell ref="SZ64:TF64"/>
    <mergeCell ref="SS63:SY63"/>
    <mergeCell ref="SZ63:TF63"/>
    <mergeCell ref="TG63:TM63"/>
    <mergeCell ref="SL67:SR67"/>
    <mergeCell ref="KX53:LD53"/>
    <mergeCell ref="KX54:LD54"/>
    <mergeCell ref="KQ53:KW53"/>
    <mergeCell ref="KQ54:KW54"/>
    <mergeCell ref="KQ51:KW51"/>
    <mergeCell ref="KQ58:KW58"/>
    <mergeCell ref="KQ59:KW59"/>
    <mergeCell ref="LS51:LY51"/>
    <mergeCell ref="LL50:LR50"/>
    <mergeCell ref="LL53:LR53"/>
    <mergeCell ref="LL54:LR54"/>
    <mergeCell ref="LS64:LY64"/>
    <mergeCell ref="LS61:LY61"/>
    <mergeCell ref="KQ56:KW56"/>
    <mergeCell ref="KQ57:KW57"/>
    <mergeCell ref="LL64:LR64"/>
    <mergeCell ref="LS54:LY54"/>
    <mergeCell ref="LS55:LY55"/>
    <mergeCell ref="LS53:LY53"/>
    <mergeCell ref="LL63:LR63"/>
    <mergeCell ref="LL56:LR56"/>
    <mergeCell ref="SE59:SK59"/>
    <mergeCell ref="SL60:SR60"/>
    <mergeCell ref="SL59:SR59"/>
    <mergeCell ref="RQ60:RW60"/>
    <mergeCell ref="RX59:SD59"/>
    <mergeCell ref="RQ59:RW59"/>
    <mergeCell ref="RC59:RI59"/>
    <mergeCell ref="RJ59:RP59"/>
    <mergeCell ref="PM60:PS60"/>
    <mergeCell ref="PT59:PZ59"/>
    <mergeCell ref="PM59:PS59"/>
    <mergeCell ref="QA59:QG59"/>
    <mergeCell ref="QH59:QN59"/>
    <mergeCell ref="QA61:QG61"/>
    <mergeCell ref="PT61:PZ61"/>
    <mergeCell ref="QH61:QN61"/>
    <mergeCell ref="QO59:QU59"/>
    <mergeCell ref="QO61:QU61"/>
    <mergeCell ref="QO60:QU60"/>
    <mergeCell ref="QV61:RB61"/>
    <mergeCell ref="UB60:UH60"/>
    <mergeCell ref="TN60:TT60"/>
    <mergeCell ref="TU60:UA60"/>
    <mergeCell ref="UI60:UO60"/>
    <mergeCell ref="UI61:UO61"/>
    <mergeCell ref="PM61:PS61"/>
    <mergeCell ref="OY60:PE60"/>
    <mergeCell ref="OY61:PE61"/>
    <mergeCell ref="OR61:OX61"/>
    <mergeCell ref="OK60:OQ60"/>
    <mergeCell ref="OK61:OQ61"/>
    <mergeCell ref="NB61:NH61"/>
    <mergeCell ref="NP61:NV61"/>
    <mergeCell ref="MN61:MT61"/>
    <mergeCell ref="MU61:NA61"/>
    <mergeCell ref="UP60:UV60"/>
    <mergeCell ref="UW60:VC60"/>
    <mergeCell ref="LZ60:MF60"/>
    <mergeCell ref="MG60:MM60"/>
    <mergeCell ref="UW61:VC61"/>
    <mergeCell ref="UB61:UH61"/>
    <mergeCell ref="MG61:MM61"/>
    <mergeCell ref="RC60:RI60"/>
    <mergeCell ref="PT60:PZ60"/>
    <mergeCell ref="QH60:QN60"/>
    <mergeCell ref="QA60:QG60"/>
    <mergeCell ref="QV60:RB60"/>
    <mergeCell ref="NW61:OC61"/>
    <mergeCell ref="OD61:OJ61"/>
    <mergeCell ref="OD60:OJ60"/>
    <mergeCell ref="MN60:MT60"/>
    <mergeCell ref="NP60:NV60"/>
    <mergeCell ref="NW60:OC60"/>
    <mergeCell ref="SE60:SK60"/>
    <mergeCell ref="RX60:SD60"/>
    <mergeCell ref="OR60:OX60"/>
    <mergeCell ref="OD59:OJ59"/>
    <mergeCell ref="OK59:OQ59"/>
    <mergeCell ref="NI59:NO59"/>
    <mergeCell ref="NP59:NV59"/>
    <mergeCell ref="PF60:PL60"/>
    <mergeCell ref="OY59:PE59"/>
    <mergeCell ref="JO59:JU59"/>
    <mergeCell ref="JO60:JU60"/>
    <mergeCell ref="JO61:JU61"/>
    <mergeCell ref="KC60:KI60"/>
    <mergeCell ref="JV61:KB61"/>
    <mergeCell ref="KC59:KI59"/>
    <mergeCell ref="JO50:JU50"/>
    <mergeCell ref="JO51:JU51"/>
    <mergeCell ref="JO57:JU57"/>
    <mergeCell ref="JO54:JU54"/>
    <mergeCell ref="JO56:JU56"/>
    <mergeCell ref="JO55:JU55"/>
    <mergeCell ref="JO58:JU58"/>
    <mergeCell ref="KJ57:KP57"/>
    <mergeCell ref="KJ58:KP58"/>
    <mergeCell ref="KJ61:KP61"/>
    <mergeCell ref="KJ59:KP59"/>
    <mergeCell ref="KC57:KI57"/>
    <mergeCell ref="KC56:KI56"/>
    <mergeCell ref="KC58:KI58"/>
    <mergeCell ref="JV58:KB58"/>
    <mergeCell ref="LE58:LK58"/>
    <mergeCell ref="LL58:LR58"/>
    <mergeCell ref="LE59:LK59"/>
    <mergeCell ref="LE56:LK56"/>
    <mergeCell ref="KJ53:KP53"/>
    <mergeCell ref="KJ54:KP54"/>
    <mergeCell ref="KC54:KI54"/>
    <mergeCell ref="KC53:KI53"/>
    <mergeCell ref="JV56:KB56"/>
    <mergeCell ref="KJ56:KP56"/>
    <mergeCell ref="KJ55:KP55"/>
    <mergeCell ref="KC55:KI55"/>
    <mergeCell ref="JV55:KB55"/>
    <mergeCell ref="KJ51:KP51"/>
    <mergeCell ref="KC51:KI51"/>
    <mergeCell ref="JV53:KB53"/>
    <mergeCell ref="MG59:MM59"/>
    <mergeCell ref="LZ59:MF59"/>
    <mergeCell ref="LZ57:MF57"/>
    <mergeCell ref="LZ56:MF56"/>
    <mergeCell ref="MU51:NA51"/>
    <mergeCell ref="MN51:MT51"/>
    <mergeCell ref="MG56:MM56"/>
    <mergeCell ref="MG55:MM55"/>
    <mergeCell ref="MG58:MM58"/>
    <mergeCell ref="MG57:MM57"/>
    <mergeCell ref="LZ58:MF58"/>
    <mergeCell ref="SZ59:TF59"/>
    <mergeCell ref="SS59:SY59"/>
    <mergeCell ref="PF59:PL59"/>
    <mergeCell ref="OR59:OX59"/>
    <mergeCell ref="TG59:TM59"/>
    <mergeCell ref="TN59:TT59"/>
    <mergeCell ref="VR59:VX59"/>
    <mergeCell ref="VK59:VQ59"/>
    <mergeCell ref="UP59:UV59"/>
    <mergeCell ref="UI59:UO59"/>
    <mergeCell ref="VY59:WE59"/>
    <mergeCell ref="WF59:WL59"/>
    <mergeCell ref="WM59:WS59"/>
    <mergeCell ref="NI61:NO61"/>
    <mergeCell ref="NI60:NO60"/>
    <mergeCell ref="VR61:VX61"/>
    <mergeCell ref="VD61:VJ61"/>
    <mergeCell ref="WF61:WL61"/>
    <mergeCell ref="VY61:WE61"/>
    <mergeCell ref="VY60:WE60"/>
    <mergeCell ref="WF60:WL60"/>
    <mergeCell ref="WM60:WS60"/>
    <mergeCell ref="VK60:VQ60"/>
    <mergeCell ref="VR60:VX60"/>
    <mergeCell ref="VD60:VJ60"/>
    <mergeCell ref="LS57:LY57"/>
    <mergeCell ref="LS56:LY56"/>
    <mergeCell ref="LS59:LY59"/>
    <mergeCell ref="LS58:LY58"/>
    <mergeCell ref="MU40:NA40"/>
    <mergeCell ref="MU41:NA41"/>
    <mergeCell ref="MN50:MT50"/>
    <mergeCell ref="MG50:MM50"/>
    <mergeCell ref="MG51:MM51"/>
    <mergeCell ref="LZ50:MF50"/>
    <mergeCell ref="MG45:NA45"/>
    <mergeCell ref="LZ42:MF42"/>
    <mergeCell ref="MU42:NA42"/>
    <mergeCell ref="MG42:MM42"/>
    <mergeCell ref="MU39:NA39"/>
    <mergeCell ref="MU38:NA38"/>
    <mergeCell ref="MN38:MT38"/>
    <mergeCell ref="MG41:MM41"/>
    <mergeCell ref="XH66:XN66"/>
    <mergeCell ref="XH65:XN65"/>
    <mergeCell ref="XA65:XG65"/>
    <mergeCell ref="XH64:XN64"/>
    <mergeCell ref="XO64:XU64"/>
    <mergeCell ref="XA64:XG64"/>
    <mergeCell ref="VK65:VQ65"/>
    <mergeCell ref="VK64:VQ64"/>
    <mergeCell ref="WF64:WL64"/>
    <mergeCell ref="VD64:VJ64"/>
    <mergeCell ref="UW64:VC64"/>
    <mergeCell ref="UB64:UH64"/>
    <mergeCell ref="UP64:UV64"/>
    <mergeCell ref="UI64:UO64"/>
    <mergeCell ref="TU64:UA64"/>
    <mergeCell ref="TN64:TT64"/>
    <mergeCell ref="SZ66:TF66"/>
    <mergeCell ref="SS66:SY66"/>
    <mergeCell ref="VD65:VJ65"/>
    <mergeCell ref="UP66:UV66"/>
    <mergeCell ref="UW66:VC66"/>
    <mergeCell ref="VD66:VJ66"/>
    <mergeCell ref="SS65:SY65"/>
    <mergeCell ref="WM64:WS64"/>
    <mergeCell ref="XA66:XG66"/>
    <mergeCell ref="XO66:XU66"/>
    <mergeCell ref="WF66:WL66"/>
    <mergeCell ref="XO65:XU65"/>
    <mergeCell ref="UI66:UO66"/>
    <mergeCell ref="TN65:TT65"/>
    <mergeCell ref="TU65:UA65"/>
    <mergeCell ref="UB65:UH65"/>
    <mergeCell ref="UI65:UO65"/>
    <mergeCell ref="UB66:UH66"/>
    <mergeCell ref="TU66:UA66"/>
    <mergeCell ref="SZ65:TF65"/>
    <mergeCell ref="TG65:TM65"/>
    <mergeCell ref="TG66:TM66"/>
    <mergeCell ref="TN66:TT66"/>
    <mergeCell ref="VR64:VX64"/>
    <mergeCell ref="VY64:WE64"/>
    <mergeCell ref="WT64:WZ64"/>
    <mergeCell ref="WT65:WZ65"/>
    <mergeCell ref="UP67:UV67"/>
    <mergeCell ref="TU67:UA67"/>
    <mergeCell ref="RJ66:RP66"/>
    <mergeCell ref="RQ66:RW66"/>
    <mergeCell ref="RC66:RI66"/>
    <mergeCell ref="QV66:RB66"/>
    <mergeCell ref="VK66:VQ66"/>
    <mergeCell ref="VY66:WE66"/>
    <mergeCell ref="VR66:VX66"/>
    <mergeCell ref="SL66:SR66"/>
    <mergeCell ref="SE66:SK66"/>
    <mergeCell ref="QV67:RB67"/>
    <mergeCell ref="RC67:RI67"/>
    <mergeCell ref="RX66:SD66"/>
    <mergeCell ref="RJ67:RP67"/>
    <mergeCell ref="RQ67:RW67"/>
    <mergeCell ref="TG67:TM67"/>
    <mergeCell ref="TN67:TT67"/>
    <mergeCell ref="VD67:VJ67"/>
    <mergeCell ref="VK67:VQ67"/>
    <mergeCell ref="UI67:UO67"/>
    <mergeCell ref="UB67:UH67"/>
    <mergeCell ref="VR67:VX67"/>
    <mergeCell ref="UW67:VC67"/>
    <mergeCell ref="SS67:SY67"/>
    <mergeCell ref="SZ67:TF67"/>
    <mergeCell ref="RX67:SD67"/>
    <mergeCell ref="SE67:SK67"/>
    <mergeCell ref="VR62:VX62"/>
    <mergeCell ref="VR63:VX63"/>
    <mergeCell ref="UP63:UV63"/>
    <mergeCell ref="UP62:UV62"/>
    <mergeCell ref="VK63:VQ63"/>
    <mergeCell ref="VK62:VQ62"/>
    <mergeCell ref="UP65:UV65"/>
    <mergeCell ref="UW65:VC65"/>
    <mergeCell ref="UW63:VC63"/>
    <mergeCell ref="VD63:VJ63"/>
    <mergeCell ref="VY62:WE62"/>
    <mergeCell ref="VY63:WE63"/>
    <mergeCell ref="UW62:VC62"/>
    <mergeCell ref="VD62:VJ62"/>
    <mergeCell ref="UB62:UH62"/>
    <mergeCell ref="UI62:UO62"/>
    <mergeCell ref="TU61:UA61"/>
    <mergeCell ref="TN61:TT61"/>
    <mergeCell ref="TN63:TT63"/>
    <mergeCell ref="UB63:UH63"/>
    <mergeCell ref="UI63:UO63"/>
    <mergeCell ref="RX63:SD63"/>
    <mergeCell ref="RJ63:RP63"/>
    <mergeCell ref="SE62:SK62"/>
    <mergeCell ref="RX62:SD62"/>
    <mergeCell ref="RC62:RI62"/>
    <mergeCell ref="RJ62:RP62"/>
    <mergeCell ref="TU63:UA63"/>
    <mergeCell ref="TU62:UA62"/>
    <mergeCell ref="QV62:RB62"/>
    <mergeCell ref="SL62:SR62"/>
    <mergeCell ref="SL63:SR63"/>
    <mergeCell ref="SE63:SK63"/>
    <mergeCell ref="RC63:RI63"/>
    <mergeCell ref="YX62:ZD62"/>
    <mergeCell ref="YX61:ZD61"/>
    <mergeCell ref="XO62:XU62"/>
    <mergeCell ref="XV62:YB62"/>
    <mergeCell ref="YJ61:YP61"/>
    <mergeCell ref="YC61:YI61"/>
    <mergeCell ref="XO61:XU61"/>
    <mergeCell ref="YQ62:YW62"/>
    <mergeCell ref="XH62:XN62"/>
    <mergeCell ref="XH61:XN61"/>
    <mergeCell ref="XA62:XG62"/>
    <mergeCell ref="YQ61:YW61"/>
    <mergeCell ref="XA61:XG61"/>
    <mergeCell ref="XV61:YB61"/>
    <mergeCell ref="YJ62:YP62"/>
    <mergeCell ref="YC62:YI62"/>
    <mergeCell ref="YC64:YI64"/>
    <mergeCell ref="YC65:YI65"/>
    <mergeCell ref="YX63:ZD63"/>
    <mergeCell ref="YJ64:YP64"/>
    <mergeCell ref="YJ65:YP65"/>
    <mergeCell ref="YC63:YI63"/>
    <mergeCell ref="YX65:ZD65"/>
    <mergeCell ref="YQ65:YW65"/>
    <mergeCell ref="YX67:ZD67"/>
    <mergeCell ref="YJ66:YP66"/>
    <mergeCell ref="YQ66:YW66"/>
    <mergeCell ref="YX66:ZD66"/>
    <mergeCell ref="YC66:YI66"/>
    <mergeCell ref="XO60:XU60"/>
    <mergeCell ref="XV60:YB60"/>
    <mergeCell ref="YC60:YI60"/>
    <mergeCell ref="XV63:YB63"/>
    <mergeCell ref="XH63:XN63"/>
    <mergeCell ref="XO63:XU63"/>
    <mergeCell ref="XA60:XG60"/>
    <mergeCell ref="XH60:XN60"/>
    <mergeCell ref="XA63:XG63"/>
    <mergeCell ref="WT60:WZ60"/>
    <mergeCell ref="YQ64:YW64"/>
    <mergeCell ref="YX64:ZD64"/>
    <mergeCell ref="XO67:XU67"/>
    <mergeCell ref="XH67:XN67"/>
    <mergeCell ref="XA67:XG67"/>
    <mergeCell ref="WT67:WZ67"/>
    <mergeCell ref="YQ67:YW67"/>
    <mergeCell ref="WM67:WS67"/>
    <mergeCell ref="WF67:WL67"/>
    <mergeCell ref="VY67:WE67"/>
    <mergeCell ref="YJ67:YP67"/>
    <mergeCell ref="YC67:YI67"/>
    <mergeCell ref="XV67:YB67"/>
    <mergeCell ref="YQ63:YW63"/>
    <mergeCell ref="YQ60:YW60"/>
    <mergeCell ref="YX60:ZD60"/>
    <mergeCell ref="YJ60:YP60"/>
    <mergeCell ref="YJ63:YP63"/>
    <mergeCell ref="YQ59:YW59"/>
    <mergeCell ref="YX59:ZD59"/>
    <mergeCell ref="YJ59:YP59"/>
    <mergeCell ref="XV65:YB65"/>
    <mergeCell ref="XV66:YB66"/>
    <mergeCell ref="XV64:YB64"/>
    <mergeCell ref="WT59:WZ59"/>
    <mergeCell ref="XA59:XG59"/>
    <mergeCell ref="XO59:XU59"/>
    <mergeCell ref="XV59:YB59"/>
    <mergeCell ref="XH59:XN59"/>
    <mergeCell ref="YC59:YI59"/>
    <mergeCell ref="RJ65:RP65"/>
    <mergeCell ref="RQ65:RW65"/>
    <mergeCell ref="SS64:SY64"/>
    <mergeCell ref="SL65:SR65"/>
    <mergeCell ref="RX64:SD64"/>
    <mergeCell ref="RQ64:RW64"/>
    <mergeCell ref="SL64:SR64"/>
    <mergeCell ref="SE64:SK64"/>
    <mergeCell ref="RJ64:RP64"/>
    <mergeCell ref="RX65:SD65"/>
    <mergeCell ref="VY65:WE65"/>
    <mergeCell ref="WF65:WL65"/>
    <mergeCell ref="WM65:WS65"/>
    <mergeCell ref="VR65:VX65"/>
    <mergeCell ref="TN62:TT62"/>
    <mergeCell ref="TG62:TM62"/>
    <mergeCell ref="TG61:TM61"/>
    <mergeCell ref="SZ61:TF61"/>
    <mergeCell ref="VK61:VQ61"/>
    <mergeCell ref="UP61:UV61"/>
    <mergeCell ref="WT62:WZ62"/>
    <mergeCell ref="WT63:WZ63"/>
    <mergeCell ref="WT66:WZ66"/>
    <mergeCell ref="WM66:WS66"/>
    <mergeCell ref="WM62:WS62"/>
    <mergeCell ref="WF62:WL62"/>
    <mergeCell ref="WF63:WL63"/>
    <mergeCell ref="WM63:WS63"/>
    <mergeCell ref="WM61:WS61"/>
    <mergeCell ref="WT61:WZ61"/>
    <mergeCell ref="RC64:RI64"/>
    <mergeCell ref="RC65:RI65"/>
    <mergeCell ref="QH63:QN63"/>
    <mergeCell ref="QH62:QN62"/>
    <mergeCell ref="SZ62:TF62"/>
    <mergeCell ref="SS62:SY62"/>
    <mergeCell ref="QO62:QU62"/>
    <mergeCell ref="PM62:PS62"/>
    <mergeCell ref="QA62:QG62"/>
    <mergeCell ref="PT62:PZ62"/>
    <mergeCell ref="QA63:QG63"/>
    <mergeCell ref="KC63:KI63"/>
    <mergeCell ref="JV63:KB63"/>
    <mergeCell ref="KX62:LD62"/>
    <mergeCell ref="KX63:LD63"/>
    <mergeCell ref="PT63:PZ63"/>
    <mergeCell ref="PM63:PS63"/>
    <mergeCell ref="JO63:JU63"/>
    <mergeCell ref="JO62:JU62"/>
    <mergeCell ref="KC62:KI62"/>
    <mergeCell ref="JV62:KB62"/>
    <mergeCell ref="KJ63:KP63"/>
    <mergeCell ref="KQ62:KW62"/>
    <mergeCell ref="QO65:QU65"/>
    <mergeCell ref="QA65:QG65"/>
    <mergeCell ref="QH65:QN65"/>
    <mergeCell ref="PF65:PL65"/>
    <mergeCell ref="PF66:PL66"/>
    <mergeCell ref="PM65:PS65"/>
    <mergeCell ref="PM66:PS66"/>
    <mergeCell ref="PF64:PL64"/>
    <mergeCell ref="PM64:PS64"/>
    <mergeCell ref="OR64:OX64"/>
    <mergeCell ref="OD65:OJ65"/>
    <mergeCell ref="QA66:QG66"/>
    <mergeCell ref="PT66:PZ66"/>
    <mergeCell ref="PT67:PZ67"/>
    <mergeCell ref="PM67:PS67"/>
    <mergeCell ref="PF67:PL67"/>
    <mergeCell ref="OY67:PE67"/>
    <mergeCell ref="OK67:OQ67"/>
    <mergeCell ref="OR67:OX67"/>
    <mergeCell ref="OD67:OJ67"/>
    <mergeCell ref="QO66:QU66"/>
    <mergeCell ref="QO67:QU67"/>
    <mergeCell ref="QH67:QN67"/>
    <mergeCell ref="QV64:RB64"/>
    <mergeCell ref="QO64:QU64"/>
    <mergeCell ref="QV65:RB65"/>
    <mergeCell ref="QH64:QN64"/>
    <mergeCell ref="PT65:PZ65"/>
    <mergeCell ref="QH66:QN66"/>
    <mergeCell ref="QA67:QG67"/>
    <mergeCell ref="OR65:OX65"/>
    <mergeCell ref="OK65:OQ65"/>
    <mergeCell ref="OD63:OJ63"/>
    <mergeCell ref="OD62:OJ62"/>
    <mergeCell ref="OK62:OQ62"/>
    <mergeCell ref="OR62:OX62"/>
    <mergeCell ref="OY62:PE62"/>
    <mergeCell ref="OY63:PE63"/>
    <mergeCell ref="OY64:PE64"/>
    <mergeCell ref="OK63:OQ63"/>
    <mergeCell ref="PF62:PL62"/>
    <mergeCell ref="OR63:OX63"/>
    <mergeCell ref="OY65:PE65"/>
    <mergeCell ref="OK64:OQ64"/>
    <mergeCell ref="OD64:OJ64"/>
    <mergeCell ref="PF63:PL63"/>
    <mergeCell ref="MG66:MM66"/>
    <mergeCell ref="MG65:MM65"/>
    <mergeCell ref="MG64:MM64"/>
    <mergeCell ref="MG62:MM62"/>
    <mergeCell ref="MU64:NA64"/>
    <mergeCell ref="NB64:NH64"/>
    <mergeCell ref="NW64:OC64"/>
    <mergeCell ref="QO63:QU63"/>
    <mergeCell ref="QV63:RB63"/>
    <mergeCell ref="PT64:PZ64"/>
    <mergeCell ref="QA64:QG64"/>
    <mergeCell ref="OY66:PE66"/>
    <mergeCell ref="OR66:OX66"/>
    <mergeCell ref="NP64:NV64"/>
    <mergeCell ref="NP66:NV66"/>
    <mergeCell ref="NW66:OC66"/>
    <mergeCell ref="OK66:OQ66"/>
    <mergeCell ref="OD66:OJ66"/>
    <mergeCell ref="JO65:JU65"/>
    <mergeCell ref="KC65:KI65"/>
    <mergeCell ref="MN64:MT64"/>
    <mergeCell ref="LE64:LK64"/>
    <mergeCell ref="KC66:KI66"/>
    <mergeCell ref="LL66:LR66"/>
    <mergeCell ref="NB66:NH66"/>
    <mergeCell ref="NI66:NO66"/>
    <mergeCell ref="JO66:JU66"/>
    <mergeCell ref="JO64:JU64"/>
    <mergeCell ref="MU65:NA65"/>
    <mergeCell ref="JV66:KB66"/>
    <mergeCell ref="KX64:LD64"/>
    <mergeCell ref="NP62:NV62"/>
    <mergeCell ref="NW62:OC62"/>
    <mergeCell ref="NW63:OC63"/>
    <mergeCell ref="NI62:NO62"/>
    <mergeCell ref="NB62:NH62"/>
    <mergeCell ref="NI63:NO63"/>
    <mergeCell ref="MU62:NA62"/>
    <mergeCell ref="MU63:NA63"/>
    <mergeCell ref="MN63:MT63"/>
    <mergeCell ref="MN62:MT62"/>
    <mergeCell ref="NP65:NV65"/>
    <mergeCell ref="NP63:NV63"/>
    <mergeCell ref="NW65:OC65"/>
    <mergeCell ref="NB63:NH63"/>
    <mergeCell ref="NB65:NH65"/>
    <mergeCell ref="NI65:NO65"/>
    <mergeCell ref="MN65:MT65"/>
    <mergeCell ref="MU66:NA66"/>
    <mergeCell ref="MN66:MT66"/>
    <mergeCell ref="NI64:NO64"/>
    <mergeCell ref="KC64:KI64"/>
    <mergeCell ref="KJ64:KP64"/>
    <mergeCell ref="JV64:KB64"/>
    <mergeCell ref="JV65:KB65"/>
    <mergeCell ref="JO67:JU67"/>
    <mergeCell ref="KX67:LD67"/>
    <mergeCell ref="NW67:OC67"/>
    <mergeCell ref="NP67:NV67"/>
    <mergeCell ref="MG67:MM67"/>
    <mergeCell ref="NI67:NO67"/>
    <mergeCell ref="NB67:NH67"/>
    <mergeCell ref="MU67:NA67"/>
    <mergeCell ref="MN67:MT67"/>
    <mergeCell ref="SL61:SR61"/>
    <mergeCell ref="PF61:PL61"/>
    <mergeCell ref="MN41:MT41"/>
    <mergeCell ref="SS61:SY61"/>
    <mergeCell ref="SZ60:TF60"/>
    <mergeCell ref="SS60:SY60"/>
    <mergeCell ref="QV59:RB59"/>
    <mergeCell ref="NW59:OC59"/>
    <mergeCell ref="MU43:NA43"/>
    <mergeCell ref="MU49:NA49"/>
    <mergeCell ref="MN49:MT49"/>
    <mergeCell ref="MU50:NA50"/>
    <mergeCell ref="MU54:NA54"/>
    <mergeCell ref="MU53:NA53"/>
    <mergeCell ref="MU59:NA59"/>
    <mergeCell ref="MU58:NA58"/>
    <mergeCell ref="MU56:NA56"/>
    <mergeCell ref="MU55:NA55"/>
    <mergeCell ref="MU57:NA57"/>
    <mergeCell ref="MN54:MT54"/>
    <mergeCell ref="MN55:MT55"/>
    <mergeCell ref="MN56:MT56"/>
    <mergeCell ref="MN57:MT57"/>
    <mergeCell ref="MN42:MT42"/>
    <mergeCell ref="MN43:MT43"/>
    <mergeCell ref="MN53:MT53"/>
    <mergeCell ref="MN58:MT58"/>
    <mergeCell ref="LE50:LK50"/>
    <mergeCell ref="LE51:LK51"/>
    <mergeCell ref="KX58:LD58"/>
    <mergeCell ref="KX57:LD57"/>
    <mergeCell ref="LL57:LR57"/>
    <mergeCell ref="LE57:LK57"/>
    <mergeCell ref="KX51:LD51"/>
    <mergeCell ref="KX56:LD56"/>
    <mergeCell ref="KX55:LD55"/>
    <mergeCell ref="LL59:LR59"/>
    <mergeCell ref="LL51:LR51"/>
    <mergeCell ref="KX50:LD50"/>
    <mergeCell ref="LS50:LY50"/>
    <mergeCell ref="LS49:LY49"/>
    <mergeCell ref="LE53:LK53"/>
    <mergeCell ref="LE54:LK54"/>
    <mergeCell ref="LS37:LY37"/>
    <mergeCell ref="LS38:LY38"/>
    <mergeCell ref="LS36:LY36"/>
    <mergeCell ref="LL37:LR37"/>
    <mergeCell ref="LL39:LR39"/>
    <mergeCell ref="LL38:LR38"/>
    <mergeCell ref="LS39:LY39"/>
    <mergeCell ref="LZ36:MF36"/>
    <mergeCell ref="LZ37:MF37"/>
    <mergeCell ref="LZ39:MF39"/>
    <mergeCell ref="LZ38:MF38"/>
    <mergeCell ref="LZ41:MF41"/>
    <mergeCell ref="LZ40:MF40"/>
    <mergeCell ref="LS42:LY42"/>
    <mergeCell ref="LE45:MF45"/>
    <mergeCell ref="LS63:LY63"/>
    <mergeCell ref="LS60:LY60"/>
    <mergeCell ref="LS62:LY62"/>
    <mergeCell ref="LE61:LK61"/>
    <mergeCell ref="LL61:LR61"/>
    <mergeCell ref="LZ62:MF62"/>
    <mergeCell ref="LZ63:MF63"/>
    <mergeCell ref="MG53:MM53"/>
    <mergeCell ref="LZ53:MF53"/>
    <mergeCell ref="LZ54:MF54"/>
    <mergeCell ref="MG54:MM54"/>
    <mergeCell ref="LZ66:MF66"/>
    <mergeCell ref="LS66:LY66"/>
    <mergeCell ref="LS65:LY65"/>
    <mergeCell ref="LZ65:MF65"/>
    <mergeCell ref="LZ64:MF64"/>
    <mergeCell ref="LS67:LY67"/>
    <mergeCell ref="LZ67:MF67"/>
    <mergeCell ref="LL40:LR40"/>
    <mergeCell ref="LL41:LR41"/>
    <mergeCell ref="LL42:LR42"/>
    <mergeCell ref="LL62:LR62"/>
    <mergeCell ref="LL65:LR65"/>
    <mergeCell ref="LL60:LR60"/>
    <mergeCell ref="LL67:LR67"/>
    <mergeCell ref="LL49:LR49"/>
    <mergeCell ref="KX60:LD60"/>
    <mergeCell ref="KX61:LD61"/>
    <mergeCell ref="JO44:JU44"/>
    <mergeCell ref="KC44:KP44"/>
    <mergeCell ref="JV44:KB44"/>
    <mergeCell ref="JV49:KB49"/>
    <mergeCell ref="KC49:KI49"/>
    <mergeCell ref="KX49:LD49"/>
    <mergeCell ref="KJ49:KP49"/>
    <mergeCell ref="KQ49:KW49"/>
    <mergeCell ref="KX43:LD43"/>
    <mergeCell ref="LL44:LR44"/>
    <mergeCell ref="MG49:MM49"/>
    <mergeCell ref="LZ49:MF49"/>
    <mergeCell ref="JO46:NA46"/>
    <mergeCell ref="JO47:NA47"/>
    <mergeCell ref="KQ48:KW48"/>
    <mergeCell ref="MG43:MM43"/>
    <mergeCell ref="LE49:LK49"/>
    <mergeCell ref="LE44:LK44"/>
    <mergeCell ref="KQ44:KW44"/>
    <mergeCell ref="KX44:LD44"/>
    <mergeCell ref="LE43:LK43"/>
    <mergeCell ref="LL43:LR43"/>
    <mergeCell ref="LE55:LK55"/>
    <mergeCell ref="LL55:LR55"/>
    <mergeCell ref="LZ43:MF43"/>
    <mergeCell ref="LS43:LY43"/>
    <mergeCell ref="KJ43:KP43"/>
    <mergeCell ref="KQ43:KW43"/>
    <mergeCell ref="KC43:KI43"/>
    <mergeCell ref="JO43:JU43"/>
    <mergeCell ref="KC50:KI50"/>
    <mergeCell ref="KJ50:KP50"/>
    <mergeCell ref="KQ50:KW50"/>
    <mergeCell ref="JV50:KB50"/>
    <mergeCell ref="JO53:JU53"/>
    <mergeCell ref="KQ55:KW55"/>
    <mergeCell ref="LZ51:MF51"/>
    <mergeCell ref="LZ55:MF55"/>
    <mergeCell ref="MG40:MM40"/>
    <mergeCell ref="LS40:LY40"/>
  </mergeCells>
  <conditionalFormatting sqref="DX7:ED7">
    <cfRule type="containsBlanks" dxfId="0" priority="1">
      <formula>LEN(TRIM(DX7))=0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37.86"/>
    <col customWidth="1" min="2" max="7" width="4.43"/>
    <col customWidth="1" min="8" max="8" width="3.14"/>
    <col customWidth="1" min="9" max="21" width="4.43"/>
    <col customWidth="1" min="22" max="22" width="3.14"/>
    <col customWidth="1" min="23" max="25" width="4.43"/>
    <col customWidth="1" min="26" max="26" width="5.29"/>
    <col customWidth="1" min="27" max="27" width="4.71"/>
    <col customWidth="1" min="28" max="35" width="4.43"/>
    <col customWidth="1" min="36" max="36" width="3.14"/>
    <col customWidth="1" min="37" max="56" width="4.43"/>
    <col customWidth="1" min="57" max="57" width="3.14"/>
    <col customWidth="1" min="58" max="70" width="4.43"/>
    <col customWidth="1" min="71" max="71" width="3.14"/>
    <col customWidth="1" min="72" max="76" width="4.43"/>
    <col customWidth="1" min="77" max="77" width="4.71"/>
    <col customWidth="1" min="78" max="98" width="4.43"/>
    <col customWidth="1" min="99" max="99" width="3.14"/>
    <col customWidth="1" min="100" max="112" width="4.43"/>
    <col customWidth="1" min="113" max="113" width="3.14"/>
    <col customWidth="1" min="114" max="161" width="4.43"/>
    <col customWidth="1" min="162" max="162" width="3.14"/>
    <col customWidth="1" min="163" max="175" width="4.43"/>
    <col customWidth="1" min="176" max="176" width="3.57"/>
    <col customWidth="1" min="177" max="196" width="4.43"/>
    <col customWidth="1" min="197" max="197" width="3.14"/>
    <col customWidth="1" min="198" max="203" width="4.43"/>
    <col customWidth="1" min="204" max="204" width="3.14"/>
    <col customWidth="1" min="205" max="224" width="4.43"/>
    <col customWidth="1" min="225" max="225" width="3.14"/>
    <col customWidth="1" min="226" max="252" width="4.43"/>
    <col customWidth="1" min="253" max="253" width="5.57"/>
    <col customWidth="1" min="254" max="259" width="4.43"/>
    <col customWidth="1" min="260" max="260" width="5.43"/>
    <col customWidth="1" min="261" max="266" width="4.43"/>
    <col customWidth="1" min="267" max="267" width="5.71"/>
    <col customWidth="1" min="268" max="273" width="4.43"/>
    <col customWidth="1" min="274" max="274" width="4.71"/>
    <col customWidth="1" min="275" max="287" width="4.43"/>
    <col customWidth="1" min="288" max="288" width="3.14"/>
    <col customWidth="1" min="289" max="294" width="4.43"/>
    <col customWidth="1" min="295" max="295" width="3.14"/>
    <col customWidth="1" min="296" max="393" width="4.43"/>
  </cols>
  <sheetData>
    <row r="1">
      <c r="A1" s="4"/>
      <c r="B1" s="12" t="s">
        <v>3</v>
      </c>
    </row>
    <row r="2">
      <c r="A2" s="14" t="s">
        <v>14</v>
      </c>
      <c r="B2" s="15" t="s">
        <v>15</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5" t="s">
        <v>16</v>
      </c>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24" t="s">
        <v>20</v>
      </c>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25"/>
      <c r="CL2" s="24" t="s">
        <v>27</v>
      </c>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25"/>
      <c r="DP2" s="24" t="s">
        <v>30</v>
      </c>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25"/>
      <c r="EU2" s="24" t="s">
        <v>32</v>
      </c>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25"/>
      <c r="FY2" s="24" t="s">
        <v>35</v>
      </c>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25"/>
      <c r="HD2" s="24" t="s">
        <v>37</v>
      </c>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25"/>
      <c r="II2" s="24" t="s">
        <v>39</v>
      </c>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25"/>
      <c r="JM2" s="24" t="s">
        <v>40</v>
      </c>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25"/>
      <c r="KR2" s="24" t="s">
        <v>42</v>
      </c>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25"/>
      <c r="LV2" s="34" t="s">
        <v>44</v>
      </c>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37"/>
      <c r="NC2" s="37"/>
      <c r="ND2" s="37"/>
      <c r="NE2" s="37"/>
      <c r="NF2" s="37"/>
      <c r="NG2" s="37"/>
      <c r="NH2" s="37"/>
      <c r="NI2" s="37"/>
      <c r="NJ2" s="37"/>
      <c r="NK2" s="37"/>
      <c r="NL2" s="37"/>
      <c r="NM2" s="37"/>
      <c r="NN2" s="37"/>
      <c r="NO2" s="37"/>
      <c r="NP2" s="37"/>
      <c r="NQ2" s="37"/>
      <c r="NR2" s="37"/>
      <c r="NS2" s="37"/>
      <c r="NT2" s="37"/>
      <c r="NU2" s="37"/>
      <c r="NV2" s="37"/>
      <c r="NW2" s="37"/>
      <c r="NX2" s="37"/>
      <c r="NY2" s="37"/>
      <c r="NZ2" s="37"/>
      <c r="OA2" s="37"/>
      <c r="OB2" s="37"/>
      <c r="OC2" s="37"/>
    </row>
    <row r="3">
      <c r="A3" s="40" t="s">
        <v>17</v>
      </c>
      <c r="B3" s="45" t="s">
        <v>73</v>
      </c>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45" t="s">
        <v>96</v>
      </c>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45" t="s">
        <v>102</v>
      </c>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47" t="s">
        <v>104</v>
      </c>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25"/>
      <c r="DP3" s="47" t="s">
        <v>107</v>
      </c>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25"/>
      <c r="EU3" s="47" t="s">
        <v>116</v>
      </c>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25"/>
      <c r="FY3" s="47" t="s">
        <v>117</v>
      </c>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25"/>
      <c r="HD3" s="47" t="s">
        <v>118</v>
      </c>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25"/>
      <c r="II3" s="47" t="s">
        <v>120</v>
      </c>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25"/>
      <c r="JM3" s="47" t="s">
        <v>122</v>
      </c>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25"/>
      <c r="KR3" s="47" t="s">
        <v>123</v>
      </c>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25"/>
      <c r="LV3" s="65" t="s">
        <v>125</v>
      </c>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68"/>
      <c r="NC3" s="68"/>
      <c r="ND3" s="68"/>
      <c r="NE3" s="68"/>
      <c r="NF3" s="68"/>
      <c r="NG3" s="68"/>
      <c r="NH3" s="68"/>
      <c r="NI3" s="68"/>
      <c r="NJ3" s="68"/>
      <c r="NK3" s="68"/>
      <c r="NL3" s="68"/>
      <c r="NM3" s="68"/>
      <c r="NN3" s="68"/>
      <c r="NO3" s="68"/>
      <c r="NP3" s="68"/>
      <c r="NQ3" s="68"/>
      <c r="NR3" s="68"/>
      <c r="NS3" s="68"/>
      <c r="NT3" s="68"/>
      <c r="NU3" s="68"/>
      <c r="NV3" s="68"/>
      <c r="NW3" s="68"/>
      <c r="NX3" s="68"/>
      <c r="NY3" s="68"/>
      <c r="NZ3" s="68"/>
      <c r="OA3" s="68"/>
      <c r="OB3" s="68"/>
      <c r="OC3" s="68"/>
    </row>
    <row r="4">
      <c r="A4" s="69"/>
      <c r="B4" s="71" t="s">
        <v>43</v>
      </c>
      <c r="C4" s="73"/>
      <c r="D4" s="73"/>
      <c r="E4" s="73"/>
      <c r="F4" s="73"/>
      <c r="G4" s="73"/>
      <c r="H4" s="73"/>
      <c r="I4" s="74" t="s">
        <v>46</v>
      </c>
      <c r="J4" s="73"/>
      <c r="K4" s="73"/>
      <c r="L4" s="73"/>
      <c r="M4" s="73"/>
      <c r="N4" s="73"/>
      <c r="O4" s="75"/>
      <c r="P4" s="71" t="s">
        <v>47</v>
      </c>
      <c r="Q4" s="73"/>
      <c r="R4" s="73"/>
      <c r="S4" s="73"/>
      <c r="T4" s="73"/>
      <c r="U4" s="73"/>
      <c r="V4" s="73"/>
      <c r="W4" s="74" t="s">
        <v>48</v>
      </c>
      <c r="X4" s="73"/>
      <c r="Y4" s="73"/>
      <c r="Z4" s="73"/>
      <c r="AA4" s="73"/>
      <c r="AB4" s="73"/>
      <c r="AC4" s="75"/>
      <c r="AD4" s="71" t="s">
        <v>49</v>
      </c>
      <c r="AE4" s="73"/>
      <c r="AF4" s="73"/>
      <c r="AG4" s="73"/>
      <c r="AH4" s="73"/>
      <c r="AI4" s="73"/>
      <c r="AJ4" s="73"/>
      <c r="AK4" s="74" t="s">
        <v>50</v>
      </c>
      <c r="AL4" s="73"/>
      <c r="AM4" s="73"/>
      <c r="AN4" s="73"/>
      <c r="AO4" s="73"/>
      <c r="AP4" s="73"/>
      <c r="AQ4" s="75"/>
      <c r="AR4" s="71" t="s">
        <v>51</v>
      </c>
      <c r="AS4" s="73"/>
      <c r="AT4" s="73"/>
      <c r="AU4" s="73"/>
      <c r="AV4" s="73"/>
      <c r="AW4" s="73"/>
      <c r="AX4" s="73"/>
      <c r="AY4" s="74" t="s">
        <v>52</v>
      </c>
      <c r="AZ4" s="73"/>
      <c r="BA4" s="73"/>
      <c r="BB4" s="73"/>
      <c r="BC4" s="73"/>
      <c r="BD4" s="73"/>
      <c r="BE4" s="75"/>
      <c r="BF4" s="71" t="s">
        <v>53</v>
      </c>
      <c r="BG4" s="73"/>
      <c r="BH4" s="73"/>
      <c r="BI4" s="73"/>
      <c r="BJ4" s="73"/>
      <c r="BK4" s="73"/>
      <c r="BL4" s="73"/>
      <c r="BM4" s="74" t="s">
        <v>54</v>
      </c>
      <c r="BN4" s="76"/>
      <c r="BO4" s="76"/>
      <c r="BP4" s="76"/>
      <c r="BQ4" s="76"/>
      <c r="BR4" s="76"/>
      <c r="BS4" s="77"/>
      <c r="BT4" s="78" t="s">
        <v>55</v>
      </c>
      <c r="BU4" s="76"/>
      <c r="BV4" s="76"/>
      <c r="BW4" s="76"/>
      <c r="BX4" s="76"/>
      <c r="BY4" s="76"/>
      <c r="BZ4" s="76"/>
      <c r="CA4" s="80" t="s">
        <v>56</v>
      </c>
      <c r="CB4" s="76"/>
      <c r="CC4" s="76"/>
      <c r="CD4" s="76"/>
      <c r="CE4" s="76"/>
      <c r="CF4" s="76"/>
      <c r="CG4" s="77"/>
      <c r="CH4" s="78" t="s">
        <v>57</v>
      </c>
      <c r="CI4" s="76"/>
      <c r="CJ4" s="76"/>
      <c r="CK4" s="76"/>
      <c r="CL4" s="76"/>
      <c r="CM4" s="76"/>
      <c r="CN4" s="76"/>
      <c r="CO4" s="80" t="s">
        <v>58</v>
      </c>
      <c r="CP4" s="76"/>
      <c r="CQ4" s="76"/>
      <c r="CR4" s="76"/>
      <c r="CS4" s="76"/>
      <c r="CT4" s="76"/>
      <c r="CU4" s="77"/>
      <c r="CV4" s="78" t="s">
        <v>59</v>
      </c>
      <c r="CW4" s="76"/>
      <c r="CX4" s="76"/>
      <c r="CY4" s="76"/>
      <c r="CZ4" s="76"/>
      <c r="DA4" s="76"/>
      <c r="DB4" s="76"/>
      <c r="DC4" s="80" t="s">
        <v>60</v>
      </c>
      <c r="DD4" s="76"/>
      <c r="DE4" s="76"/>
      <c r="DF4" s="76"/>
      <c r="DG4" s="76"/>
      <c r="DH4" s="76"/>
      <c r="DI4" s="77"/>
      <c r="DJ4" s="78" t="s">
        <v>61</v>
      </c>
      <c r="DK4" s="76"/>
      <c r="DL4" s="76"/>
      <c r="DM4" s="76"/>
      <c r="DN4" s="76"/>
      <c r="DO4" s="76"/>
      <c r="DP4" s="76"/>
      <c r="DQ4" s="80" t="s">
        <v>62</v>
      </c>
      <c r="DR4" s="76"/>
      <c r="DS4" s="76"/>
      <c r="DT4" s="76"/>
      <c r="DU4" s="76"/>
      <c r="DV4" s="76"/>
      <c r="DW4" s="77"/>
      <c r="DX4" s="78" t="s">
        <v>64</v>
      </c>
      <c r="DY4" s="76"/>
      <c r="DZ4" s="76"/>
      <c r="EA4" s="76"/>
      <c r="EB4" s="76"/>
      <c r="EC4" s="76"/>
      <c r="ED4" s="76"/>
      <c r="EE4" s="80" t="s">
        <v>65</v>
      </c>
      <c r="EF4" s="76"/>
      <c r="EG4" s="76"/>
      <c r="EH4" s="76"/>
      <c r="EI4" s="76"/>
      <c r="EJ4" s="76"/>
      <c r="EK4" s="77"/>
      <c r="EL4" s="78" t="s">
        <v>66</v>
      </c>
      <c r="EM4" s="76"/>
      <c r="EN4" s="76"/>
      <c r="EO4" s="76"/>
      <c r="EP4" s="76"/>
      <c r="EQ4" s="76"/>
      <c r="ER4" s="76"/>
      <c r="ES4" s="80" t="s">
        <v>67</v>
      </c>
      <c r="ET4" s="76"/>
      <c r="EU4" s="76"/>
      <c r="EV4" s="76"/>
      <c r="EW4" s="76"/>
      <c r="EX4" s="76"/>
      <c r="EY4" s="77"/>
      <c r="EZ4" s="78" t="s">
        <v>68</v>
      </c>
      <c r="FA4" s="76"/>
      <c r="FB4" s="76"/>
      <c r="FC4" s="76"/>
      <c r="FD4" s="76"/>
      <c r="FE4" s="76"/>
      <c r="FF4" s="76"/>
      <c r="FG4" s="80" t="s">
        <v>69</v>
      </c>
      <c r="FH4" s="76"/>
      <c r="FI4" s="76"/>
      <c r="FJ4" s="76"/>
      <c r="FK4" s="76"/>
      <c r="FL4" s="76"/>
      <c r="FM4" s="77"/>
      <c r="FN4" s="78" t="s">
        <v>70</v>
      </c>
      <c r="FO4" s="76"/>
      <c r="FP4" s="76"/>
      <c r="FQ4" s="76"/>
      <c r="FR4" s="76"/>
      <c r="FS4" s="76"/>
      <c r="FT4" s="76"/>
      <c r="FU4" s="80" t="s">
        <v>71</v>
      </c>
      <c r="FV4" s="76"/>
      <c r="FW4" s="76"/>
      <c r="FX4" s="76"/>
      <c r="FY4" s="76"/>
      <c r="FZ4" s="76"/>
      <c r="GA4" s="77"/>
      <c r="GB4" s="78" t="s">
        <v>72</v>
      </c>
      <c r="GC4" s="76"/>
      <c r="GD4" s="76"/>
      <c r="GE4" s="76"/>
      <c r="GF4" s="76"/>
      <c r="GG4" s="76"/>
      <c r="GH4" s="76"/>
      <c r="GI4" s="80" t="s">
        <v>74</v>
      </c>
      <c r="GJ4" s="76"/>
      <c r="GK4" s="76"/>
      <c r="GL4" s="76"/>
      <c r="GM4" s="76"/>
      <c r="GN4" s="76"/>
      <c r="GO4" s="77"/>
      <c r="GP4" s="80" t="s">
        <v>75</v>
      </c>
      <c r="GQ4" s="76"/>
      <c r="GR4" s="76"/>
      <c r="GS4" s="76"/>
      <c r="GT4" s="76"/>
      <c r="GU4" s="76"/>
      <c r="GV4" s="76"/>
      <c r="GW4" s="80" t="s">
        <v>76</v>
      </c>
      <c r="GX4" s="76"/>
      <c r="GY4" s="76"/>
      <c r="GZ4" s="76"/>
      <c r="HA4" s="76"/>
      <c r="HB4" s="76"/>
      <c r="HC4" s="77"/>
      <c r="HD4" s="78" t="s">
        <v>77</v>
      </c>
      <c r="HE4" s="76"/>
      <c r="HF4" s="76"/>
      <c r="HG4" s="76"/>
      <c r="HH4" s="76"/>
      <c r="HI4" s="76"/>
      <c r="HJ4" s="76"/>
      <c r="HK4" s="80" t="s">
        <v>78</v>
      </c>
      <c r="HL4" s="76"/>
      <c r="HM4" s="76"/>
      <c r="HN4" s="76"/>
      <c r="HO4" s="76"/>
      <c r="HP4" s="76"/>
      <c r="HQ4" s="77"/>
      <c r="HR4" s="78" t="s">
        <v>79</v>
      </c>
      <c r="HS4" s="76"/>
      <c r="HT4" s="76"/>
      <c r="HU4" s="76"/>
      <c r="HV4" s="76"/>
      <c r="HW4" s="76"/>
      <c r="HX4" s="76"/>
      <c r="HY4" s="80" t="s">
        <v>80</v>
      </c>
      <c r="HZ4" s="76"/>
      <c r="IA4" s="76"/>
      <c r="IB4" s="76"/>
      <c r="IC4" s="76"/>
      <c r="ID4" s="76"/>
      <c r="IE4" s="77"/>
      <c r="IF4" s="78" t="s">
        <v>82</v>
      </c>
      <c r="IG4" s="76"/>
      <c r="IH4" s="76"/>
      <c r="II4" s="76"/>
      <c r="IJ4" s="76"/>
      <c r="IK4" s="76"/>
      <c r="IL4" s="76"/>
      <c r="IM4" s="80" t="s">
        <v>83</v>
      </c>
      <c r="IN4" s="76"/>
      <c r="IO4" s="76"/>
      <c r="IP4" s="76"/>
      <c r="IQ4" s="76"/>
      <c r="IR4" s="76"/>
      <c r="IS4" s="77"/>
      <c r="IT4" s="78" t="s">
        <v>84</v>
      </c>
      <c r="IU4" s="76"/>
      <c r="IV4" s="76"/>
      <c r="IW4" s="76"/>
      <c r="IX4" s="76"/>
      <c r="IY4" s="76"/>
      <c r="IZ4" s="76"/>
      <c r="JA4" s="80" t="s">
        <v>85</v>
      </c>
      <c r="JB4" s="76"/>
      <c r="JC4" s="76"/>
      <c r="JD4" s="76"/>
      <c r="JE4" s="76"/>
      <c r="JF4" s="76"/>
      <c r="JG4" s="77"/>
      <c r="JH4" s="78" t="s">
        <v>86</v>
      </c>
      <c r="JI4" s="76"/>
      <c r="JJ4" s="76"/>
      <c r="JK4" s="76"/>
      <c r="JL4" s="76"/>
      <c r="JM4" s="76"/>
      <c r="JN4" s="76"/>
      <c r="JO4" s="80" t="s">
        <v>87</v>
      </c>
      <c r="JP4" s="76"/>
      <c r="JQ4" s="76"/>
      <c r="JR4" s="76"/>
      <c r="JS4" s="76"/>
      <c r="JT4" s="76"/>
      <c r="JU4" s="77"/>
      <c r="JV4" s="78" t="s">
        <v>88</v>
      </c>
      <c r="JW4" s="76"/>
      <c r="JX4" s="76"/>
      <c r="JY4" s="76"/>
      <c r="JZ4" s="76"/>
      <c r="KA4" s="76"/>
      <c r="KB4" s="76"/>
      <c r="KC4" s="80" t="s">
        <v>89</v>
      </c>
      <c r="KD4" s="76"/>
      <c r="KE4" s="76"/>
      <c r="KF4" s="76"/>
      <c r="KG4" s="76"/>
      <c r="KH4" s="76"/>
      <c r="KI4" s="77"/>
      <c r="KJ4" s="78" t="s">
        <v>90</v>
      </c>
      <c r="KK4" s="76"/>
      <c r="KL4" s="76"/>
      <c r="KM4" s="76"/>
      <c r="KN4" s="76"/>
      <c r="KO4" s="76"/>
      <c r="KP4" s="76"/>
      <c r="KQ4" s="80" t="s">
        <v>91</v>
      </c>
      <c r="KR4" s="76"/>
      <c r="KS4" s="76"/>
      <c r="KT4" s="76"/>
      <c r="KU4" s="76"/>
      <c r="KV4" s="76"/>
      <c r="KW4" s="77"/>
      <c r="KX4" s="78" t="s">
        <v>92</v>
      </c>
      <c r="KY4" s="76"/>
      <c r="KZ4" s="76"/>
      <c r="LA4" s="76"/>
      <c r="LB4" s="76"/>
      <c r="LC4" s="76"/>
      <c r="LD4" s="76"/>
      <c r="LE4" s="80" t="s">
        <v>93</v>
      </c>
      <c r="LF4" s="76"/>
      <c r="LG4" s="76"/>
      <c r="LH4" s="76"/>
      <c r="LI4" s="76"/>
      <c r="LJ4" s="76"/>
      <c r="LK4" s="77"/>
      <c r="LL4" s="78" t="s">
        <v>94</v>
      </c>
      <c r="LM4" s="76"/>
      <c r="LN4" s="76"/>
      <c r="LO4" s="76"/>
      <c r="LP4" s="76"/>
      <c r="LQ4" s="76"/>
      <c r="LR4" s="76"/>
      <c r="LS4" s="80" t="s">
        <v>95</v>
      </c>
      <c r="LT4" s="76"/>
      <c r="LU4" s="76"/>
      <c r="LV4" s="76"/>
      <c r="LW4" s="76"/>
      <c r="LX4" s="76"/>
      <c r="LY4" s="77"/>
      <c r="LZ4" s="78" t="s">
        <v>97</v>
      </c>
      <c r="MA4" s="76"/>
      <c r="MB4" s="76"/>
      <c r="MC4" s="76"/>
      <c r="MD4" s="76"/>
      <c r="ME4" s="76"/>
      <c r="MF4" s="76"/>
      <c r="MG4" s="80" t="s">
        <v>98</v>
      </c>
      <c r="MH4" s="76"/>
      <c r="MI4" s="76"/>
      <c r="MJ4" s="76"/>
      <c r="MK4" s="76"/>
      <c r="ML4" s="76"/>
      <c r="MM4" s="77"/>
      <c r="MN4" s="78" t="s">
        <v>99</v>
      </c>
      <c r="MO4" s="76"/>
      <c r="MP4" s="76"/>
      <c r="MQ4" s="76"/>
      <c r="MR4" s="76"/>
      <c r="MS4" s="76"/>
      <c r="MT4" s="76"/>
      <c r="MU4" s="80" t="s">
        <v>101</v>
      </c>
      <c r="MV4" s="76"/>
      <c r="MW4" s="76"/>
      <c r="MX4" s="76"/>
      <c r="MY4" s="76"/>
      <c r="MZ4" s="76"/>
      <c r="NA4" s="77"/>
      <c r="NB4" s="76"/>
      <c r="NC4" s="76"/>
      <c r="ND4" s="76"/>
      <c r="NE4" s="76"/>
      <c r="NF4" s="76"/>
      <c r="NG4" s="76"/>
      <c r="NH4" s="76"/>
      <c r="NI4" s="76"/>
      <c r="NJ4" s="76"/>
      <c r="NK4" s="76"/>
      <c r="NL4" s="76"/>
      <c r="NM4" s="76"/>
      <c r="NN4" s="76"/>
      <c r="NO4" s="76"/>
      <c r="NP4" s="76"/>
      <c r="NQ4" s="76"/>
      <c r="NR4" s="76"/>
      <c r="NS4" s="76"/>
      <c r="NT4" s="76"/>
      <c r="NU4" s="76"/>
      <c r="NV4" s="76"/>
      <c r="NW4" s="76"/>
      <c r="NX4" s="76"/>
      <c r="NY4" s="76"/>
      <c r="NZ4" s="76"/>
      <c r="OA4" s="76"/>
      <c r="OB4" s="76"/>
      <c r="OC4" s="76"/>
    </row>
    <row r="5">
      <c r="A5" s="85" t="s">
        <v>137</v>
      </c>
      <c r="B5" s="20" t="s">
        <v>108</v>
      </c>
      <c r="C5" s="20" t="s">
        <v>109</v>
      </c>
      <c r="D5" s="20" t="s">
        <v>110</v>
      </c>
      <c r="E5" s="20" t="s">
        <v>111</v>
      </c>
      <c r="F5" s="20" t="s">
        <v>112</v>
      </c>
      <c r="G5" s="20" t="s">
        <v>113</v>
      </c>
      <c r="H5" s="20" t="s">
        <v>114</v>
      </c>
      <c r="I5" s="87" t="s">
        <v>108</v>
      </c>
      <c r="J5" s="20" t="s">
        <v>109</v>
      </c>
      <c r="K5" s="20" t="s">
        <v>110</v>
      </c>
      <c r="L5" s="20" t="s">
        <v>111</v>
      </c>
      <c r="M5" s="20" t="s">
        <v>112</v>
      </c>
      <c r="N5" s="20" t="s">
        <v>113</v>
      </c>
      <c r="O5" s="88" t="s">
        <v>114</v>
      </c>
      <c r="P5" s="20" t="s">
        <v>108</v>
      </c>
      <c r="Q5" s="20" t="s">
        <v>109</v>
      </c>
      <c r="R5" s="20" t="s">
        <v>110</v>
      </c>
      <c r="S5" s="20" t="s">
        <v>111</v>
      </c>
      <c r="T5" s="20" t="s">
        <v>112</v>
      </c>
      <c r="U5" s="20" t="s">
        <v>113</v>
      </c>
      <c r="V5" s="20" t="s">
        <v>114</v>
      </c>
      <c r="W5" s="87" t="s">
        <v>108</v>
      </c>
      <c r="X5" s="20" t="s">
        <v>109</v>
      </c>
      <c r="Y5" s="20" t="s">
        <v>110</v>
      </c>
      <c r="Z5" s="20" t="s">
        <v>111</v>
      </c>
      <c r="AA5" s="20" t="s">
        <v>112</v>
      </c>
      <c r="AB5" s="20" t="s">
        <v>113</v>
      </c>
      <c r="AC5" s="88" t="s">
        <v>114</v>
      </c>
      <c r="AD5" s="20" t="s">
        <v>108</v>
      </c>
      <c r="AE5" s="20" t="s">
        <v>109</v>
      </c>
      <c r="AF5" s="20" t="s">
        <v>110</v>
      </c>
      <c r="AG5" s="20" t="s">
        <v>111</v>
      </c>
      <c r="AH5" s="20" t="s">
        <v>112</v>
      </c>
      <c r="AI5" s="20" t="s">
        <v>113</v>
      </c>
      <c r="AJ5" s="20" t="s">
        <v>114</v>
      </c>
      <c r="AK5" s="87" t="s">
        <v>108</v>
      </c>
      <c r="AL5" s="20" t="s">
        <v>109</v>
      </c>
      <c r="AM5" s="20" t="s">
        <v>110</v>
      </c>
      <c r="AN5" s="20" t="s">
        <v>111</v>
      </c>
      <c r="AO5" s="20" t="s">
        <v>112</v>
      </c>
      <c r="AP5" s="20" t="s">
        <v>113</v>
      </c>
      <c r="AQ5" s="88" t="s">
        <v>114</v>
      </c>
      <c r="AR5" s="20" t="s">
        <v>108</v>
      </c>
      <c r="AS5" s="20" t="s">
        <v>109</v>
      </c>
      <c r="AT5" s="20" t="s">
        <v>110</v>
      </c>
      <c r="AU5" s="20" t="s">
        <v>111</v>
      </c>
      <c r="AV5" s="20" t="s">
        <v>112</v>
      </c>
      <c r="AW5" s="20" t="s">
        <v>113</v>
      </c>
      <c r="AX5" s="20" t="s">
        <v>114</v>
      </c>
      <c r="AY5" s="87" t="s">
        <v>108</v>
      </c>
      <c r="AZ5" s="20" t="s">
        <v>109</v>
      </c>
      <c r="BA5" s="20" t="s">
        <v>110</v>
      </c>
      <c r="BB5" s="20" t="s">
        <v>111</v>
      </c>
      <c r="BC5" s="20" t="s">
        <v>112</v>
      </c>
      <c r="BD5" s="20" t="s">
        <v>113</v>
      </c>
      <c r="BE5" s="88" t="s">
        <v>114</v>
      </c>
      <c r="BF5" s="20" t="s">
        <v>108</v>
      </c>
      <c r="BG5" s="20" t="s">
        <v>109</v>
      </c>
      <c r="BH5" s="20" t="s">
        <v>110</v>
      </c>
      <c r="BI5" s="20" t="s">
        <v>111</v>
      </c>
      <c r="BJ5" s="20" t="s">
        <v>112</v>
      </c>
      <c r="BK5" s="20" t="s">
        <v>113</v>
      </c>
      <c r="BL5" s="20" t="s">
        <v>114</v>
      </c>
      <c r="BM5" s="87" t="s">
        <v>108</v>
      </c>
      <c r="BN5" s="58" t="s">
        <v>109</v>
      </c>
      <c r="BO5" s="58" t="s">
        <v>110</v>
      </c>
      <c r="BP5" s="58" t="s">
        <v>111</v>
      </c>
      <c r="BQ5" s="58" t="s">
        <v>112</v>
      </c>
      <c r="BR5" s="58" t="s">
        <v>113</v>
      </c>
      <c r="BS5" s="92" t="s">
        <v>114</v>
      </c>
      <c r="BT5" s="58" t="s">
        <v>108</v>
      </c>
      <c r="BU5" s="58" t="s">
        <v>109</v>
      </c>
      <c r="BV5" s="58" t="s">
        <v>110</v>
      </c>
      <c r="BW5" s="58" t="s">
        <v>111</v>
      </c>
      <c r="BX5" s="58" t="s">
        <v>112</v>
      </c>
      <c r="BY5" s="58" t="s">
        <v>113</v>
      </c>
      <c r="BZ5" s="58" t="s">
        <v>114</v>
      </c>
      <c r="CA5" s="94" t="s">
        <v>108</v>
      </c>
      <c r="CB5" s="58" t="s">
        <v>109</v>
      </c>
      <c r="CC5" s="58" t="s">
        <v>110</v>
      </c>
      <c r="CD5" s="58" t="s">
        <v>111</v>
      </c>
      <c r="CE5" s="58" t="s">
        <v>112</v>
      </c>
      <c r="CF5" s="58" t="s">
        <v>113</v>
      </c>
      <c r="CG5" s="92" t="s">
        <v>114</v>
      </c>
      <c r="CH5" s="58" t="s">
        <v>108</v>
      </c>
      <c r="CI5" s="58" t="s">
        <v>109</v>
      </c>
      <c r="CJ5" s="58" t="s">
        <v>110</v>
      </c>
      <c r="CK5" s="58" t="s">
        <v>111</v>
      </c>
      <c r="CL5" s="58" t="s">
        <v>112</v>
      </c>
      <c r="CM5" s="58" t="s">
        <v>113</v>
      </c>
      <c r="CN5" s="58" t="s">
        <v>114</v>
      </c>
      <c r="CO5" s="94" t="s">
        <v>108</v>
      </c>
      <c r="CP5" s="58" t="s">
        <v>109</v>
      </c>
      <c r="CQ5" s="58" t="s">
        <v>110</v>
      </c>
      <c r="CR5" s="58" t="s">
        <v>111</v>
      </c>
      <c r="CS5" s="58" t="s">
        <v>112</v>
      </c>
      <c r="CT5" s="58" t="s">
        <v>113</v>
      </c>
      <c r="CU5" s="92" t="s">
        <v>114</v>
      </c>
      <c r="CV5" s="58" t="s">
        <v>108</v>
      </c>
      <c r="CW5" s="58" t="s">
        <v>109</v>
      </c>
      <c r="CX5" s="58" t="s">
        <v>110</v>
      </c>
      <c r="CY5" s="58" t="s">
        <v>111</v>
      </c>
      <c r="CZ5" s="58" t="s">
        <v>112</v>
      </c>
      <c r="DA5" s="58" t="s">
        <v>113</v>
      </c>
      <c r="DB5" s="58" t="s">
        <v>114</v>
      </c>
      <c r="DC5" s="94" t="s">
        <v>108</v>
      </c>
      <c r="DD5" s="58" t="s">
        <v>109</v>
      </c>
      <c r="DE5" s="58" t="s">
        <v>110</v>
      </c>
      <c r="DF5" s="58" t="s">
        <v>111</v>
      </c>
      <c r="DG5" s="58" t="s">
        <v>112</v>
      </c>
      <c r="DH5" s="58" t="s">
        <v>113</v>
      </c>
      <c r="DI5" s="92" t="s">
        <v>114</v>
      </c>
      <c r="DJ5" s="58" t="s">
        <v>108</v>
      </c>
      <c r="DK5" s="58" t="s">
        <v>109</v>
      </c>
      <c r="DL5" s="58" t="s">
        <v>110</v>
      </c>
      <c r="DM5" s="58" t="s">
        <v>111</v>
      </c>
      <c r="DN5" s="58" t="s">
        <v>112</v>
      </c>
      <c r="DO5" s="58" t="s">
        <v>113</v>
      </c>
      <c r="DP5" s="58" t="s">
        <v>114</v>
      </c>
      <c r="DQ5" s="94" t="s">
        <v>108</v>
      </c>
      <c r="DR5" s="58" t="s">
        <v>109</v>
      </c>
      <c r="DS5" s="58" t="s">
        <v>110</v>
      </c>
      <c r="DT5" s="58" t="s">
        <v>111</v>
      </c>
      <c r="DU5" s="58" t="s">
        <v>112</v>
      </c>
      <c r="DV5" s="58" t="s">
        <v>113</v>
      </c>
      <c r="DW5" s="58" t="s">
        <v>114</v>
      </c>
      <c r="DX5" s="58" t="s">
        <v>108</v>
      </c>
      <c r="DY5" s="58" t="s">
        <v>109</v>
      </c>
      <c r="DZ5" s="58" t="s">
        <v>110</v>
      </c>
      <c r="EA5" s="58" t="s">
        <v>111</v>
      </c>
      <c r="EB5" s="58" t="s">
        <v>112</v>
      </c>
      <c r="EC5" s="58" t="s">
        <v>113</v>
      </c>
      <c r="ED5" s="58" t="s">
        <v>114</v>
      </c>
      <c r="EE5" s="94" t="s">
        <v>108</v>
      </c>
      <c r="EF5" s="58" t="s">
        <v>109</v>
      </c>
      <c r="EG5" s="58" t="s">
        <v>110</v>
      </c>
      <c r="EH5" s="58" t="s">
        <v>111</v>
      </c>
      <c r="EI5" s="58" t="s">
        <v>112</v>
      </c>
      <c r="EJ5" s="58" t="s">
        <v>113</v>
      </c>
      <c r="EK5" s="92" t="s">
        <v>114</v>
      </c>
      <c r="EL5" s="58" t="s">
        <v>108</v>
      </c>
      <c r="EM5" s="58" t="s">
        <v>109</v>
      </c>
      <c r="EN5" s="58" t="s">
        <v>110</v>
      </c>
      <c r="EO5" s="58" t="s">
        <v>111</v>
      </c>
      <c r="EP5" s="58" t="s">
        <v>112</v>
      </c>
      <c r="EQ5" s="58" t="s">
        <v>113</v>
      </c>
      <c r="ER5" s="58" t="s">
        <v>114</v>
      </c>
      <c r="ES5" s="94" t="s">
        <v>108</v>
      </c>
      <c r="ET5" s="58" t="s">
        <v>109</v>
      </c>
      <c r="EU5" s="58" t="s">
        <v>110</v>
      </c>
      <c r="EV5" s="58" t="s">
        <v>111</v>
      </c>
      <c r="EW5" s="58" t="s">
        <v>112</v>
      </c>
      <c r="EX5" s="58" t="s">
        <v>113</v>
      </c>
      <c r="EY5" s="92" t="s">
        <v>114</v>
      </c>
      <c r="EZ5" s="58" t="s">
        <v>108</v>
      </c>
      <c r="FA5" s="58" t="s">
        <v>109</v>
      </c>
      <c r="FB5" s="58" t="s">
        <v>110</v>
      </c>
      <c r="FC5" s="58" t="s">
        <v>111</v>
      </c>
      <c r="FD5" s="58" t="s">
        <v>112</v>
      </c>
      <c r="FE5" s="58" t="s">
        <v>113</v>
      </c>
      <c r="FF5" s="58" t="s">
        <v>114</v>
      </c>
      <c r="FG5" s="94" t="s">
        <v>108</v>
      </c>
      <c r="FH5" s="58" t="s">
        <v>109</v>
      </c>
      <c r="FI5" s="58" t="s">
        <v>110</v>
      </c>
      <c r="FJ5" s="58" t="s">
        <v>111</v>
      </c>
      <c r="FK5" s="58" t="s">
        <v>112</v>
      </c>
      <c r="FL5" s="58" t="s">
        <v>113</v>
      </c>
      <c r="FM5" s="92" t="s">
        <v>114</v>
      </c>
      <c r="FN5" s="58" t="s">
        <v>108</v>
      </c>
      <c r="FO5" s="58" t="s">
        <v>109</v>
      </c>
      <c r="FP5" s="58" t="s">
        <v>110</v>
      </c>
      <c r="FQ5" s="58" t="s">
        <v>111</v>
      </c>
      <c r="FR5" s="58" t="s">
        <v>112</v>
      </c>
      <c r="FS5" s="58" t="s">
        <v>113</v>
      </c>
      <c r="FT5" s="58" t="s">
        <v>114</v>
      </c>
      <c r="FU5" s="94" t="s">
        <v>108</v>
      </c>
      <c r="FV5" s="58" t="s">
        <v>109</v>
      </c>
      <c r="FW5" s="58" t="s">
        <v>110</v>
      </c>
      <c r="FX5" s="58" t="s">
        <v>111</v>
      </c>
      <c r="FY5" s="58" t="s">
        <v>112</v>
      </c>
      <c r="FZ5" s="58" t="s">
        <v>113</v>
      </c>
      <c r="GA5" s="92" t="s">
        <v>114</v>
      </c>
      <c r="GB5" s="58" t="s">
        <v>108</v>
      </c>
      <c r="GC5" s="58" t="s">
        <v>109</v>
      </c>
      <c r="GD5" s="58" t="s">
        <v>110</v>
      </c>
      <c r="GE5" s="58" t="s">
        <v>111</v>
      </c>
      <c r="GF5" s="58" t="s">
        <v>112</v>
      </c>
      <c r="GG5" s="58" t="s">
        <v>113</v>
      </c>
      <c r="GH5" s="58" t="s">
        <v>114</v>
      </c>
      <c r="GI5" s="94" t="s">
        <v>108</v>
      </c>
      <c r="GJ5" s="58" t="s">
        <v>109</v>
      </c>
      <c r="GK5" s="58" t="s">
        <v>110</v>
      </c>
      <c r="GL5" s="58" t="s">
        <v>111</v>
      </c>
      <c r="GM5" s="58" t="s">
        <v>112</v>
      </c>
      <c r="GN5" s="58" t="s">
        <v>113</v>
      </c>
      <c r="GO5" s="92" t="s">
        <v>114</v>
      </c>
      <c r="GP5" s="58" t="s">
        <v>108</v>
      </c>
      <c r="GQ5" s="58" t="s">
        <v>109</v>
      </c>
      <c r="GR5" s="58" t="s">
        <v>110</v>
      </c>
      <c r="GS5" s="58" t="s">
        <v>111</v>
      </c>
      <c r="GT5" s="58" t="s">
        <v>112</v>
      </c>
      <c r="GU5" s="58" t="s">
        <v>113</v>
      </c>
      <c r="GV5" s="58" t="s">
        <v>114</v>
      </c>
      <c r="GW5" s="94" t="s">
        <v>108</v>
      </c>
      <c r="GX5" s="58" t="s">
        <v>109</v>
      </c>
      <c r="GY5" s="58" t="s">
        <v>110</v>
      </c>
      <c r="GZ5" s="58" t="s">
        <v>111</v>
      </c>
      <c r="HA5" s="58" t="s">
        <v>112</v>
      </c>
      <c r="HB5" s="58" t="s">
        <v>113</v>
      </c>
      <c r="HC5" s="92" t="s">
        <v>114</v>
      </c>
      <c r="HD5" s="58" t="s">
        <v>108</v>
      </c>
      <c r="HE5" s="58" t="s">
        <v>109</v>
      </c>
      <c r="HF5" s="58" t="s">
        <v>110</v>
      </c>
      <c r="HG5" s="58" t="s">
        <v>111</v>
      </c>
      <c r="HH5" s="58" t="s">
        <v>112</v>
      </c>
      <c r="HI5" s="58" t="s">
        <v>113</v>
      </c>
      <c r="HJ5" s="58" t="s">
        <v>114</v>
      </c>
      <c r="HK5" s="94" t="s">
        <v>108</v>
      </c>
      <c r="HL5" s="58" t="s">
        <v>109</v>
      </c>
      <c r="HM5" s="58" t="s">
        <v>110</v>
      </c>
      <c r="HN5" s="58" t="s">
        <v>111</v>
      </c>
      <c r="HO5" s="58" t="s">
        <v>112</v>
      </c>
      <c r="HP5" s="58" t="s">
        <v>113</v>
      </c>
      <c r="HQ5" s="92" t="s">
        <v>114</v>
      </c>
      <c r="HR5" s="58" t="s">
        <v>108</v>
      </c>
      <c r="HS5" s="58" t="s">
        <v>109</v>
      </c>
      <c r="HT5" s="58" t="s">
        <v>110</v>
      </c>
      <c r="HU5" s="58" t="s">
        <v>111</v>
      </c>
      <c r="HV5" s="58" t="s">
        <v>112</v>
      </c>
      <c r="HW5" s="58" t="s">
        <v>113</v>
      </c>
      <c r="HX5" s="58" t="s">
        <v>114</v>
      </c>
      <c r="HY5" s="94" t="s">
        <v>108</v>
      </c>
      <c r="HZ5" s="58" t="s">
        <v>109</v>
      </c>
      <c r="IA5" s="58" t="s">
        <v>110</v>
      </c>
      <c r="IB5" s="58" t="s">
        <v>111</v>
      </c>
      <c r="IC5" s="58" t="s">
        <v>112</v>
      </c>
      <c r="ID5" s="58" t="s">
        <v>113</v>
      </c>
      <c r="IE5" s="92" t="s">
        <v>114</v>
      </c>
      <c r="IF5" s="58" t="s">
        <v>108</v>
      </c>
      <c r="IG5" s="58" t="s">
        <v>109</v>
      </c>
      <c r="IH5" s="58" t="s">
        <v>110</v>
      </c>
      <c r="II5" s="58" t="s">
        <v>111</v>
      </c>
      <c r="IJ5" s="58" t="s">
        <v>112</v>
      </c>
      <c r="IK5" s="58" t="s">
        <v>113</v>
      </c>
      <c r="IL5" s="58" t="s">
        <v>114</v>
      </c>
      <c r="IM5" s="94" t="s">
        <v>108</v>
      </c>
      <c r="IN5" s="58" t="s">
        <v>109</v>
      </c>
      <c r="IO5" s="58" t="s">
        <v>110</v>
      </c>
      <c r="IP5" s="58" t="s">
        <v>111</v>
      </c>
      <c r="IQ5" s="58" t="s">
        <v>112</v>
      </c>
      <c r="IR5" s="58" t="s">
        <v>113</v>
      </c>
      <c r="IS5" s="92" t="s">
        <v>114</v>
      </c>
      <c r="IT5" s="58" t="s">
        <v>108</v>
      </c>
      <c r="IU5" s="58" t="s">
        <v>109</v>
      </c>
      <c r="IV5" s="58" t="s">
        <v>110</v>
      </c>
      <c r="IW5" s="58" t="s">
        <v>111</v>
      </c>
      <c r="IX5" s="58" t="s">
        <v>112</v>
      </c>
      <c r="IY5" s="58" t="s">
        <v>113</v>
      </c>
      <c r="IZ5" s="58" t="s">
        <v>114</v>
      </c>
      <c r="JA5" s="94" t="s">
        <v>108</v>
      </c>
      <c r="JB5" s="58" t="s">
        <v>109</v>
      </c>
      <c r="JC5" s="58" t="s">
        <v>110</v>
      </c>
      <c r="JD5" s="58" t="s">
        <v>111</v>
      </c>
      <c r="JE5" s="58" t="s">
        <v>112</v>
      </c>
      <c r="JF5" s="58" t="s">
        <v>113</v>
      </c>
      <c r="JG5" s="92" t="s">
        <v>114</v>
      </c>
      <c r="JH5" s="58" t="s">
        <v>108</v>
      </c>
      <c r="JI5" s="58" t="s">
        <v>109</v>
      </c>
      <c r="JJ5" s="58" t="s">
        <v>110</v>
      </c>
      <c r="JK5" s="58" t="s">
        <v>111</v>
      </c>
      <c r="JL5" s="58" t="s">
        <v>112</v>
      </c>
      <c r="JM5" s="58" t="s">
        <v>113</v>
      </c>
      <c r="JN5" s="58" t="s">
        <v>114</v>
      </c>
      <c r="JO5" s="94" t="s">
        <v>108</v>
      </c>
      <c r="JP5" s="58" t="s">
        <v>109</v>
      </c>
      <c r="JQ5" s="58" t="s">
        <v>110</v>
      </c>
      <c r="JR5" s="58" t="s">
        <v>111</v>
      </c>
      <c r="JS5" s="58" t="s">
        <v>112</v>
      </c>
      <c r="JT5" s="58" t="s">
        <v>113</v>
      </c>
      <c r="JU5" s="92" t="s">
        <v>114</v>
      </c>
      <c r="JV5" s="58" t="s">
        <v>108</v>
      </c>
      <c r="JW5" s="58" t="s">
        <v>109</v>
      </c>
      <c r="JX5" s="58" t="s">
        <v>110</v>
      </c>
      <c r="JY5" s="58" t="s">
        <v>111</v>
      </c>
      <c r="JZ5" s="58" t="s">
        <v>112</v>
      </c>
      <c r="KA5" s="58" t="s">
        <v>113</v>
      </c>
      <c r="KB5" s="58" t="s">
        <v>114</v>
      </c>
      <c r="KC5" s="94" t="s">
        <v>108</v>
      </c>
      <c r="KD5" s="58" t="s">
        <v>109</v>
      </c>
      <c r="KE5" s="58" t="s">
        <v>110</v>
      </c>
      <c r="KF5" s="58" t="s">
        <v>111</v>
      </c>
      <c r="KG5" s="58" t="s">
        <v>112</v>
      </c>
      <c r="KH5" s="58" t="s">
        <v>113</v>
      </c>
      <c r="KI5" s="92" t="s">
        <v>114</v>
      </c>
      <c r="KJ5" s="58" t="s">
        <v>108</v>
      </c>
      <c r="KK5" s="58" t="s">
        <v>109</v>
      </c>
      <c r="KL5" s="58" t="s">
        <v>110</v>
      </c>
      <c r="KM5" s="58" t="s">
        <v>111</v>
      </c>
      <c r="KN5" s="58" t="s">
        <v>112</v>
      </c>
      <c r="KO5" s="58" t="s">
        <v>113</v>
      </c>
      <c r="KP5" s="58" t="s">
        <v>114</v>
      </c>
      <c r="KQ5" s="94" t="s">
        <v>108</v>
      </c>
      <c r="KR5" s="58" t="s">
        <v>109</v>
      </c>
      <c r="KS5" s="58" t="s">
        <v>110</v>
      </c>
      <c r="KT5" s="58" t="s">
        <v>111</v>
      </c>
      <c r="KU5" s="58" t="s">
        <v>112</v>
      </c>
      <c r="KV5" s="58" t="s">
        <v>113</v>
      </c>
      <c r="KW5" s="92" t="s">
        <v>114</v>
      </c>
      <c r="KX5" s="58" t="s">
        <v>108</v>
      </c>
      <c r="KY5" s="58" t="s">
        <v>109</v>
      </c>
      <c r="KZ5" s="58" t="s">
        <v>110</v>
      </c>
      <c r="LA5" s="58" t="s">
        <v>111</v>
      </c>
      <c r="LB5" s="58" t="s">
        <v>112</v>
      </c>
      <c r="LC5" s="58" t="s">
        <v>113</v>
      </c>
      <c r="LD5" s="58" t="s">
        <v>114</v>
      </c>
      <c r="LE5" s="94" t="s">
        <v>108</v>
      </c>
      <c r="LF5" s="58" t="s">
        <v>109</v>
      </c>
      <c r="LG5" s="58" t="s">
        <v>110</v>
      </c>
      <c r="LH5" s="58" t="s">
        <v>111</v>
      </c>
      <c r="LI5" s="58" t="s">
        <v>112</v>
      </c>
      <c r="LJ5" s="58" t="s">
        <v>113</v>
      </c>
      <c r="LK5" s="92" t="s">
        <v>114</v>
      </c>
      <c r="LL5" s="58" t="s">
        <v>108</v>
      </c>
      <c r="LM5" s="58" t="s">
        <v>109</v>
      </c>
      <c r="LN5" s="58" t="s">
        <v>110</v>
      </c>
      <c r="LO5" s="58" t="s">
        <v>111</v>
      </c>
      <c r="LP5" s="58" t="s">
        <v>112</v>
      </c>
      <c r="LQ5" s="58" t="s">
        <v>113</v>
      </c>
      <c r="LR5" s="58" t="s">
        <v>114</v>
      </c>
      <c r="LS5" s="94" t="s">
        <v>108</v>
      </c>
      <c r="LT5" s="58" t="s">
        <v>109</v>
      </c>
      <c r="LU5" s="58" t="s">
        <v>110</v>
      </c>
      <c r="LV5" s="58" t="s">
        <v>111</v>
      </c>
      <c r="LW5" s="58" t="s">
        <v>112</v>
      </c>
      <c r="LX5" s="58" t="s">
        <v>113</v>
      </c>
      <c r="LY5" s="92" t="s">
        <v>114</v>
      </c>
      <c r="LZ5" s="58" t="s">
        <v>108</v>
      </c>
      <c r="MA5" s="58" t="s">
        <v>109</v>
      </c>
      <c r="MB5" s="58" t="s">
        <v>110</v>
      </c>
      <c r="MC5" s="58" t="s">
        <v>111</v>
      </c>
      <c r="MD5" s="58" t="s">
        <v>112</v>
      </c>
      <c r="ME5" s="58" t="s">
        <v>113</v>
      </c>
      <c r="MF5" s="58" t="s">
        <v>114</v>
      </c>
      <c r="MG5" s="94" t="s">
        <v>108</v>
      </c>
      <c r="MH5" s="58" t="s">
        <v>109</v>
      </c>
      <c r="MI5" s="58" t="s">
        <v>110</v>
      </c>
      <c r="MJ5" s="58" t="s">
        <v>111</v>
      </c>
      <c r="MK5" s="58" t="s">
        <v>112</v>
      </c>
      <c r="ML5" s="58" t="s">
        <v>113</v>
      </c>
      <c r="MM5" s="92" t="s">
        <v>114</v>
      </c>
      <c r="MN5" s="58" t="s">
        <v>108</v>
      </c>
      <c r="MO5" s="58" t="s">
        <v>109</v>
      </c>
      <c r="MP5" s="58" t="s">
        <v>110</v>
      </c>
      <c r="MQ5" s="58" t="s">
        <v>111</v>
      </c>
      <c r="MR5" s="58" t="s">
        <v>112</v>
      </c>
      <c r="MS5" s="58" t="s">
        <v>113</v>
      </c>
      <c r="MT5" s="58" t="s">
        <v>114</v>
      </c>
      <c r="MU5" s="94" t="s">
        <v>108</v>
      </c>
      <c r="MV5" s="58" t="s">
        <v>109</v>
      </c>
      <c r="MW5" s="58" t="s">
        <v>110</v>
      </c>
      <c r="MX5" s="58" t="s">
        <v>111</v>
      </c>
      <c r="MY5" s="58" t="s">
        <v>112</v>
      </c>
      <c r="MZ5" s="58" t="s">
        <v>113</v>
      </c>
      <c r="NA5" s="92" t="s">
        <v>114</v>
      </c>
      <c r="NB5" s="58"/>
      <c r="NC5" s="58"/>
      <c r="ND5" s="58"/>
      <c r="NE5" s="58"/>
      <c r="NF5" s="58"/>
      <c r="NG5" s="58"/>
      <c r="NH5" s="58"/>
      <c r="NI5" s="58"/>
      <c r="NJ5" s="58"/>
      <c r="NK5" s="58"/>
      <c r="NL5" s="58"/>
      <c r="NM5" s="58"/>
      <c r="NN5" s="58"/>
      <c r="NO5" s="58"/>
      <c r="NP5" s="58"/>
      <c r="NQ5" s="58"/>
      <c r="NR5" s="58"/>
      <c r="NS5" s="58"/>
      <c r="NT5" s="58"/>
      <c r="NU5" s="58"/>
      <c r="NV5" s="58"/>
      <c r="NW5" s="58"/>
      <c r="NX5" s="58"/>
      <c r="NY5" s="58"/>
      <c r="NZ5" s="58"/>
      <c r="OA5" s="58"/>
      <c r="OB5" s="58"/>
      <c r="OC5" s="58"/>
    </row>
    <row r="6" ht="30.75" customHeight="1">
      <c r="B6" s="20">
        <v>2.0</v>
      </c>
      <c r="C6" s="20">
        <v>3.0</v>
      </c>
      <c r="D6" s="20">
        <v>4.0</v>
      </c>
      <c r="E6" s="20">
        <v>5.0</v>
      </c>
      <c r="F6" s="20">
        <v>6.0</v>
      </c>
      <c r="G6" s="20">
        <v>7.0</v>
      </c>
      <c r="H6" s="20">
        <v>8.0</v>
      </c>
      <c r="I6" s="87">
        <v>9.0</v>
      </c>
      <c r="J6" s="20">
        <v>10.0</v>
      </c>
      <c r="K6" s="20">
        <v>11.0</v>
      </c>
      <c r="L6" s="20">
        <v>12.0</v>
      </c>
      <c r="M6" s="20">
        <v>13.0</v>
      </c>
      <c r="N6" s="20">
        <v>14.0</v>
      </c>
      <c r="O6" s="88">
        <v>15.0</v>
      </c>
      <c r="P6" s="20">
        <v>16.0</v>
      </c>
      <c r="Q6" s="20">
        <v>17.0</v>
      </c>
      <c r="R6" s="20">
        <v>18.0</v>
      </c>
      <c r="S6" s="20">
        <v>19.0</v>
      </c>
      <c r="T6" s="20">
        <v>20.0</v>
      </c>
      <c r="U6" s="20">
        <v>21.0</v>
      </c>
      <c r="V6" s="20">
        <v>22.0</v>
      </c>
      <c r="W6" s="87">
        <v>23.0</v>
      </c>
      <c r="X6" s="20">
        <v>24.0</v>
      </c>
      <c r="Y6" s="20">
        <v>25.0</v>
      </c>
      <c r="Z6" s="20">
        <v>26.0</v>
      </c>
      <c r="AA6" s="20">
        <v>27.0</v>
      </c>
      <c r="AB6" s="20">
        <v>28.0</v>
      </c>
      <c r="AC6" s="88">
        <v>29.0</v>
      </c>
      <c r="AD6" s="20">
        <v>30.0</v>
      </c>
      <c r="AE6" s="20">
        <v>31.0</v>
      </c>
      <c r="AF6" s="20">
        <v>1.0</v>
      </c>
      <c r="AG6" s="20">
        <v>2.0</v>
      </c>
      <c r="AH6" s="20">
        <v>3.0</v>
      </c>
      <c r="AI6" s="20">
        <v>4.0</v>
      </c>
      <c r="AJ6" s="20">
        <v>5.0</v>
      </c>
      <c r="AK6" s="87">
        <v>6.0</v>
      </c>
      <c r="AL6" s="20">
        <v>7.0</v>
      </c>
      <c r="AM6" s="20">
        <v>8.0</v>
      </c>
      <c r="AN6" s="20">
        <v>9.0</v>
      </c>
      <c r="AO6" s="20">
        <v>10.0</v>
      </c>
      <c r="AP6" s="20">
        <v>11.0</v>
      </c>
      <c r="AQ6" s="88">
        <v>12.0</v>
      </c>
      <c r="AR6" s="20">
        <v>13.0</v>
      </c>
      <c r="AS6" s="20">
        <v>14.0</v>
      </c>
      <c r="AT6" s="20">
        <v>15.0</v>
      </c>
      <c r="AU6" s="20">
        <v>16.0</v>
      </c>
      <c r="AV6" s="20">
        <v>17.0</v>
      </c>
      <c r="AW6" s="20">
        <v>18.0</v>
      </c>
      <c r="AX6" s="20">
        <v>19.0</v>
      </c>
      <c r="AY6" s="87">
        <v>20.0</v>
      </c>
      <c r="AZ6" s="20">
        <v>21.0</v>
      </c>
      <c r="BA6" s="20">
        <v>22.0</v>
      </c>
      <c r="BB6" s="20">
        <v>23.0</v>
      </c>
      <c r="BC6" s="20">
        <v>24.0</v>
      </c>
      <c r="BD6" s="20">
        <v>25.0</v>
      </c>
      <c r="BE6" s="88">
        <v>26.0</v>
      </c>
      <c r="BF6" s="20">
        <v>27.0</v>
      </c>
      <c r="BG6" s="20">
        <v>28.0</v>
      </c>
      <c r="BH6" s="20">
        <v>1.0</v>
      </c>
      <c r="BI6" s="20">
        <v>2.0</v>
      </c>
      <c r="BJ6" s="20">
        <v>3.0</v>
      </c>
      <c r="BK6" s="20">
        <v>4.0</v>
      </c>
      <c r="BL6" s="20">
        <v>5.0</v>
      </c>
      <c r="BM6" s="87">
        <v>6.0</v>
      </c>
      <c r="BN6" s="58">
        <v>7.0</v>
      </c>
      <c r="BO6" s="58">
        <v>8.0</v>
      </c>
      <c r="BP6" s="58">
        <v>9.0</v>
      </c>
      <c r="BQ6" s="58">
        <v>10.0</v>
      </c>
      <c r="BR6" s="58">
        <v>11.0</v>
      </c>
      <c r="BS6" s="92">
        <v>12.0</v>
      </c>
      <c r="BT6" s="58">
        <v>13.0</v>
      </c>
      <c r="BU6" s="58">
        <v>14.0</v>
      </c>
      <c r="BV6" s="58">
        <v>15.0</v>
      </c>
      <c r="BW6" s="58">
        <v>16.0</v>
      </c>
      <c r="BX6" s="58">
        <v>17.0</v>
      </c>
      <c r="BY6" s="58">
        <v>18.0</v>
      </c>
      <c r="BZ6" s="58">
        <v>19.0</v>
      </c>
      <c r="CA6" s="94">
        <v>20.0</v>
      </c>
      <c r="CB6" s="58">
        <v>21.0</v>
      </c>
      <c r="CC6" s="58">
        <v>22.0</v>
      </c>
      <c r="CD6" s="58">
        <v>23.0</v>
      </c>
      <c r="CE6" s="58">
        <v>24.0</v>
      </c>
      <c r="CF6" s="58">
        <v>25.0</v>
      </c>
      <c r="CG6" s="92">
        <v>26.0</v>
      </c>
      <c r="CH6" s="105">
        <v>27.0</v>
      </c>
      <c r="CI6" s="105">
        <v>28.0</v>
      </c>
      <c r="CJ6" s="105">
        <v>29.0</v>
      </c>
      <c r="CK6" s="105">
        <v>30.0</v>
      </c>
      <c r="CL6" s="105">
        <v>31.0</v>
      </c>
      <c r="CM6" s="58">
        <v>1.0</v>
      </c>
      <c r="CN6" s="58">
        <v>2.0</v>
      </c>
      <c r="CO6" s="94">
        <v>3.0</v>
      </c>
      <c r="CP6" s="58">
        <v>4.0</v>
      </c>
      <c r="CQ6" s="58">
        <v>5.0</v>
      </c>
      <c r="CR6" s="58">
        <v>6.0</v>
      </c>
      <c r="CS6" s="58">
        <v>7.0</v>
      </c>
      <c r="CT6" s="58">
        <v>8.0</v>
      </c>
      <c r="CU6" s="92">
        <v>9.0</v>
      </c>
      <c r="CV6" s="58">
        <v>10.0</v>
      </c>
      <c r="CW6" s="58">
        <v>11.0</v>
      </c>
      <c r="CX6" s="58">
        <v>12.0</v>
      </c>
      <c r="CY6" s="58">
        <v>13.0</v>
      </c>
      <c r="CZ6" s="58">
        <v>14.0</v>
      </c>
      <c r="DA6" s="58">
        <v>15.0</v>
      </c>
      <c r="DB6" s="58">
        <v>16.0</v>
      </c>
      <c r="DC6" s="94">
        <v>17.0</v>
      </c>
      <c r="DD6" s="58">
        <v>18.0</v>
      </c>
      <c r="DE6" s="58">
        <v>19.0</v>
      </c>
      <c r="DF6" s="58">
        <v>20.0</v>
      </c>
      <c r="DG6" s="58">
        <v>21.0</v>
      </c>
      <c r="DH6" s="58">
        <v>22.0</v>
      </c>
      <c r="DI6" s="92">
        <v>23.0</v>
      </c>
      <c r="DJ6" s="58">
        <v>24.0</v>
      </c>
      <c r="DK6" s="58">
        <v>25.0</v>
      </c>
      <c r="DL6" s="58">
        <v>26.0</v>
      </c>
      <c r="DM6" s="58">
        <v>27.0</v>
      </c>
      <c r="DN6" s="58">
        <v>28.0</v>
      </c>
      <c r="DO6" s="58">
        <v>29.0</v>
      </c>
      <c r="DP6" s="58">
        <v>30.0</v>
      </c>
      <c r="DQ6" s="94">
        <v>1.0</v>
      </c>
      <c r="DR6" s="58">
        <v>2.0</v>
      </c>
      <c r="DS6" s="58">
        <v>3.0</v>
      </c>
      <c r="DT6" s="58">
        <v>4.0</v>
      </c>
      <c r="DU6" s="58">
        <v>5.0</v>
      </c>
      <c r="DV6" s="58">
        <v>6.0</v>
      </c>
      <c r="DW6" s="92">
        <v>7.0</v>
      </c>
      <c r="DX6" s="58">
        <v>8.0</v>
      </c>
      <c r="DY6" s="58">
        <v>9.0</v>
      </c>
      <c r="DZ6" s="58">
        <v>10.0</v>
      </c>
      <c r="EA6" s="58">
        <v>11.0</v>
      </c>
      <c r="EB6" s="58">
        <v>12.0</v>
      </c>
      <c r="EC6" s="58">
        <v>13.0</v>
      </c>
      <c r="ED6" s="58">
        <v>14.0</v>
      </c>
      <c r="EE6" s="94">
        <v>15.0</v>
      </c>
      <c r="EF6" s="58">
        <v>16.0</v>
      </c>
      <c r="EG6" s="58">
        <v>17.0</v>
      </c>
      <c r="EH6" s="58">
        <v>18.0</v>
      </c>
      <c r="EI6" s="58">
        <v>19.0</v>
      </c>
      <c r="EJ6" s="58">
        <v>20.0</v>
      </c>
      <c r="EK6" s="92">
        <v>21.0</v>
      </c>
      <c r="EL6" s="58">
        <v>22.0</v>
      </c>
      <c r="EM6" s="58">
        <v>23.0</v>
      </c>
      <c r="EN6" s="58">
        <v>24.0</v>
      </c>
      <c r="EO6" s="58">
        <v>25.0</v>
      </c>
      <c r="EP6" s="58">
        <v>26.0</v>
      </c>
      <c r="EQ6" s="58">
        <v>27.0</v>
      </c>
      <c r="ER6" s="58">
        <v>28.0</v>
      </c>
      <c r="ES6" s="94">
        <v>29.0</v>
      </c>
      <c r="ET6" s="58">
        <v>30.0</v>
      </c>
      <c r="EU6" s="58">
        <v>31.0</v>
      </c>
      <c r="EV6" s="58">
        <v>1.0</v>
      </c>
      <c r="EW6" s="58">
        <v>2.0</v>
      </c>
      <c r="EX6" s="58">
        <v>3.0</v>
      </c>
      <c r="EY6" s="92">
        <v>4.0</v>
      </c>
      <c r="EZ6" s="58">
        <v>5.0</v>
      </c>
      <c r="FA6" s="58">
        <v>6.0</v>
      </c>
      <c r="FB6" s="58">
        <v>7.0</v>
      </c>
      <c r="FC6" s="58">
        <v>8.0</v>
      </c>
      <c r="FD6" s="58">
        <v>9.0</v>
      </c>
      <c r="FE6" s="58">
        <v>10.0</v>
      </c>
      <c r="FF6" s="58">
        <v>11.0</v>
      </c>
      <c r="FG6" s="94">
        <v>12.0</v>
      </c>
      <c r="FH6" s="58">
        <v>13.0</v>
      </c>
      <c r="FI6" s="58">
        <v>14.0</v>
      </c>
      <c r="FJ6" s="58">
        <v>15.0</v>
      </c>
      <c r="FK6" s="58">
        <v>16.0</v>
      </c>
      <c r="FL6" s="58">
        <v>17.0</v>
      </c>
      <c r="FM6" s="92">
        <v>18.0</v>
      </c>
      <c r="FN6" s="58">
        <v>19.0</v>
      </c>
      <c r="FO6" s="58">
        <v>20.0</v>
      </c>
      <c r="FP6" s="58">
        <v>21.0</v>
      </c>
      <c r="FQ6" s="58">
        <v>22.0</v>
      </c>
      <c r="FR6" s="58">
        <v>23.0</v>
      </c>
      <c r="FS6" s="58">
        <v>24.0</v>
      </c>
      <c r="FT6" s="58">
        <v>25.0</v>
      </c>
      <c r="FU6" s="94">
        <v>26.0</v>
      </c>
      <c r="FV6" s="58">
        <v>27.0</v>
      </c>
      <c r="FW6" s="58">
        <v>28.0</v>
      </c>
      <c r="FX6" s="58">
        <v>29.0</v>
      </c>
      <c r="FY6" s="58">
        <v>30.0</v>
      </c>
      <c r="FZ6" s="58">
        <v>1.0</v>
      </c>
      <c r="GA6" s="92">
        <v>2.0</v>
      </c>
      <c r="GB6" s="58">
        <v>3.0</v>
      </c>
      <c r="GC6" s="58">
        <v>4.0</v>
      </c>
      <c r="GD6" s="58">
        <v>5.0</v>
      </c>
      <c r="GE6" s="58">
        <v>6.0</v>
      </c>
      <c r="GF6" s="58">
        <v>7.0</v>
      </c>
      <c r="GG6" s="58">
        <v>8.0</v>
      </c>
      <c r="GH6" s="58">
        <v>9.0</v>
      </c>
      <c r="GI6" s="94">
        <v>10.0</v>
      </c>
      <c r="GJ6" s="58">
        <v>11.0</v>
      </c>
      <c r="GK6" s="58">
        <v>12.0</v>
      </c>
      <c r="GL6" s="58">
        <v>13.0</v>
      </c>
      <c r="GM6" s="58">
        <v>14.0</v>
      </c>
      <c r="GN6" s="58">
        <v>15.0</v>
      </c>
      <c r="GO6" s="92">
        <v>16.0</v>
      </c>
      <c r="GP6" s="58">
        <v>17.0</v>
      </c>
      <c r="GQ6" s="58">
        <v>18.0</v>
      </c>
      <c r="GR6" s="58">
        <v>19.0</v>
      </c>
      <c r="GS6" s="58">
        <v>20.0</v>
      </c>
      <c r="GT6" s="58">
        <v>21.0</v>
      </c>
      <c r="GU6" s="58">
        <v>22.0</v>
      </c>
      <c r="GV6" s="58">
        <v>23.0</v>
      </c>
      <c r="GW6" s="94">
        <v>24.0</v>
      </c>
      <c r="GX6" s="58">
        <v>25.0</v>
      </c>
      <c r="GY6" s="58">
        <v>26.0</v>
      </c>
      <c r="GZ6" s="58">
        <v>27.0</v>
      </c>
      <c r="HA6" s="58">
        <v>28.0</v>
      </c>
      <c r="HB6" s="58">
        <v>29.0</v>
      </c>
      <c r="HC6" s="92">
        <v>30.0</v>
      </c>
      <c r="HD6" s="58">
        <v>31.0</v>
      </c>
      <c r="HE6" s="58">
        <v>1.0</v>
      </c>
      <c r="HF6" s="58">
        <v>2.0</v>
      </c>
      <c r="HG6" s="58">
        <v>3.0</v>
      </c>
      <c r="HH6" s="58">
        <v>4.0</v>
      </c>
      <c r="HI6" s="58">
        <v>5.0</v>
      </c>
      <c r="HJ6" s="58">
        <v>6.0</v>
      </c>
      <c r="HK6" s="94">
        <v>7.0</v>
      </c>
      <c r="HL6" s="58">
        <v>8.0</v>
      </c>
      <c r="HM6" s="58">
        <v>9.0</v>
      </c>
      <c r="HN6" s="58">
        <v>10.0</v>
      </c>
      <c r="HO6" s="58">
        <v>11.0</v>
      </c>
      <c r="HP6" s="58">
        <v>12.0</v>
      </c>
      <c r="HQ6" s="92">
        <v>13.0</v>
      </c>
      <c r="HR6" s="58">
        <v>14.0</v>
      </c>
      <c r="HS6" s="58">
        <v>15.0</v>
      </c>
      <c r="HT6" s="58">
        <v>16.0</v>
      </c>
      <c r="HU6" s="58">
        <v>17.0</v>
      </c>
      <c r="HV6" s="58">
        <v>18.0</v>
      </c>
      <c r="HW6" s="58">
        <v>19.0</v>
      </c>
      <c r="HX6" s="58">
        <v>20.0</v>
      </c>
      <c r="HY6" s="94">
        <v>21.0</v>
      </c>
      <c r="HZ6" s="58">
        <v>22.0</v>
      </c>
      <c r="IA6" s="58">
        <v>23.0</v>
      </c>
      <c r="IB6" s="58">
        <v>24.0</v>
      </c>
      <c r="IC6" s="58">
        <v>25.0</v>
      </c>
      <c r="ID6" s="58">
        <v>26.0</v>
      </c>
      <c r="IE6" s="92">
        <v>27.0</v>
      </c>
      <c r="IF6" s="58">
        <v>28.0</v>
      </c>
      <c r="IG6" s="58">
        <v>29.0</v>
      </c>
      <c r="IH6" s="58">
        <v>30.0</v>
      </c>
      <c r="II6" s="58">
        <v>31.0</v>
      </c>
      <c r="IJ6" s="58">
        <v>1.0</v>
      </c>
      <c r="IK6" s="58">
        <v>2.0</v>
      </c>
      <c r="IL6" s="58">
        <v>3.0</v>
      </c>
      <c r="IM6" s="94">
        <v>4.0</v>
      </c>
      <c r="IN6" s="58">
        <v>5.0</v>
      </c>
      <c r="IO6" s="58">
        <v>6.0</v>
      </c>
      <c r="IP6" s="58">
        <v>7.0</v>
      </c>
      <c r="IQ6" s="58">
        <v>8.0</v>
      </c>
      <c r="IR6" s="58">
        <v>9.0</v>
      </c>
      <c r="IS6" s="92">
        <v>10.0</v>
      </c>
      <c r="IT6" s="58">
        <v>11.0</v>
      </c>
      <c r="IU6" s="58">
        <v>12.0</v>
      </c>
      <c r="IV6" s="58">
        <v>13.0</v>
      </c>
      <c r="IW6" s="58">
        <v>14.0</v>
      </c>
      <c r="IX6" s="58">
        <v>15.0</v>
      </c>
      <c r="IY6" s="58">
        <v>16.0</v>
      </c>
      <c r="IZ6" s="58">
        <v>17.0</v>
      </c>
      <c r="JA6" s="94">
        <v>18.0</v>
      </c>
      <c r="JB6" s="58">
        <v>19.0</v>
      </c>
      <c r="JC6" s="58">
        <v>20.0</v>
      </c>
      <c r="JD6" s="58">
        <v>21.0</v>
      </c>
      <c r="JE6" s="58">
        <v>22.0</v>
      </c>
      <c r="JF6" s="58">
        <v>23.0</v>
      </c>
      <c r="JG6" s="92">
        <v>24.0</v>
      </c>
      <c r="JH6" s="58">
        <v>25.0</v>
      </c>
      <c r="JI6" s="58">
        <v>26.0</v>
      </c>
      <c r="JJ6" s="58">
        <v>27.0</v>
      </c>
      <c r="JK6" s="58">
        <v>28.0</v>
      </c>
      <c r="JL6" s="58">
        <v>29.0</v>
      </c>
      <c r="JM6" s="58">
        <v>30.0</v>
      </c>
      <c r="JN6" s="58">
        <v>1.0</v>
      </c>
      <c r="JO6" s="94">
        <v>2.0</v>
      </c>
      <c r="JP6" s="58">
        <v>3.0</v>
      </c>
      <c r="JQ6" s="58">
        <v>4.0</v>
      </c>
      <c r="JR6" s="58">
        <v>5.0</v>
      </c>
      <c r="JS6" s="58">
        <v>6.0</v>
      </c>
      <c r="JT6" s="58">
        <v>7.0</v>
      </c>
      <c r="JU6" s="92">
        <v>8.0</v>
      </c>
      <c r="JV6" s="58">
        <v>9.0</v>
      </c>
      <c r="JW6" s="58">
        <v>10.0</v>
      </c>
      <c r="JX6" s="58">
        <v>11.0</v>
      </c>
      <c r="JY6" s="58">
        <v>12.0</v>
      </c>
      <c r="JZ6" s="58">
        <v>13.0</v>
      </c>
      <c r="KA6" s="58">
        <v>14.0</v>
      </c>
      <c r="KB6" s="58">
        <v>15.0</v>
      </c>
      <c r="KC6" s="94">
        <v>16.0</v>
      </c>
      <c r="KD6" s="58">
        <v>17.0</v>
      </c>
      <c r="KE6" s="58">
        <v>18.0</v>
      </c>
      <c r="KF6" s="58">
        <v>19.0</v>
      </c>
      <c r="KG6" s="58">
        <v>20.0</v>
      </c>
      <c r="KH6" s="58">
        <v>21.0</v>
      </c>
      <c r="KI6" s="92">
        <v>22.0</v>
      </c>
      <c r="KJ6" s="58">
        <v>23.0</v>
      </c>
      <c r="KK6" s="58">
        <v>24.0</v>
      </c>
      <c r="KL6" s="58">
        <v>25.0</v>
      </c>
      <c r="KM6" s="58">
        <v>26.0</v>
      </c>
      <c r="KN6" s="58">
        <v>27.0</v>
      </c>
      <c r="KO6" s="58">
        <v>28.0</v>
      </c>
      <c r="KP6" s="58">
        <v>29.0</v>
      </c>
      <c r="KQ6" s="94">
        <v>30.0</v>
      </c>
      <c r="KR6" s="58">
        <v>31.0</v>
      </c>
      <c r="KS6" s="58">
        <v>1.0</v>
      </c>
      <c r="KT6" s="58">
        <v>2.0</v>
      </c>
      <c r="KU6" s="58">
        <v>3.0</v>
      </c>
      <c r="KV6" s="58">
        <v>4.0</v>
      </c>
      <c r="KW6" s="92">
        <v>5.0</v>
      </c>
      <c r="KX6" s="58">
        <v>6.0</v>
      </c>
      <c r="KY6" s="58">
        <v>7.0</v>
      </c>
      <c r="KZ6" s="58">
        <v>8.0</v>
      </c>
      <c r="LA6" s="58">
        <v>9.0</v>
      </c>
      <c r="LB6" s="58">
        <v>10.0</v>
      </c>
      <c r="LC6" s="58">
        <v>11.0</v>
      </c>
      <c r="LD6" s="58">
        <v>12.0</v>
      </c>
      <c r="LE6" s="94">
        <v>13.0</v>
      </c>
      <c r="LF6" s="58">
        <v>14.0</v>
      </c>
      <c r="LG6" s="58">
        <v>15.0</v>
      </c>
      <c r="LH6" s="58">
        <v>16.0</v>
      </c>
      <c r="LI6" s="58">
        <v>17.0</v>
      </c>
      <c r="LJ6" s="58">
        <v>18.0</v>
      </c>
      <c r="LK6" s="92">
        <v>19.0</v>
      </c>
      <c r="LL6" s="58">
        <v>20.0</v>
      </c>
      <c r="LM6" s="58">
        <v>21.0</v>
      </c>
      <c r="LN6" s="58">
        <v>22.0</v>
      </c>
      <c r="LO6" s="58">
        <v>23.0</v>
      </c>
      <c r="LP6" s="58">
        <v>24.0</v>
      </c>
      <c r="LQ6" s="58">
        <v>25.0</v>
      </c>
      <c r="LR6" s="58">
        <v>26.0</v>
      </c>
      <c r="LS6" s="94">
        <v>27.0</v>
      </c>
      <c r="LT6" s="58">
        <v>28.0</v>
      </c>
      <c r="LU6" s="58">
        <v>29.0</v>
      </c>
      <c r="LV6" s="58">
        <v>30.0</v>
      </c>
      <c r="LW6" s="58">
        <v>1.0</v>
      </c>
      <c r="LX6" s="58">
        <v>2.0</v>
      </c>
      <c r="LY6" s="92">
        <v>3.0</v>
      </c>
      <c r="LZ6" s="58">
        <v>4.0</v>
      </c>
      <c r="MA6" s="58">
        <v>5.0</v>
      </c>
      <c r="MB6" s="58">
        <v>6.0</v>
      </c>
      <c r="MC6" s="58">
        <v>7.0</v>
      </c>
      <c r="MD6" s="58">
        <v>8.0</v>
      </c>
      <c r="ME6" s="58">
        <v>9.0</v>
      </c>
      <c r="MF6" s="58">
        <v>10.0</v>
      </c>
      <c r="MG6" s="94">
        <v>11.0</v>
      </c>
      <c r="MH6" s="58">
        <v>12.0</v>
      </c>
      <c r="MI6" s="58">
        <v>13.0</v>
      </c>
      <c r="MJ6" s="58">
        <v>14.0</v>
      </c>
      <c r="MK6" s="58">
        <v>15.0</v>
      </c>
      <c r="ML6" s="58">
        <v>16.0</v>
      </c>
      <c r="MM6" s="92">
        <v>17.0</v>
      </c>
      <c r="MN6" s="58">
        <v>18.0</v>
      </c>
      <c r="MO6" s="58">
        <v>19.0</v>
      </c>
      <c r="MP6" s="58">
        <v>20.0</v>
      </c>
      <c r="MQ6" s="58">
        <v>21.0</v>
      </c>
      <c r="MR6" s="58">
        <v>22.0</v>
      </c>
      <c r="MS6" s="58">
        <v>23.0</v>
      </c>
      <c r="MT6" s="58">
        <v>24.0</v>
      </c>
      <c r="MU6" s="94">
        <v>25.0</v>
      </c>
      <c r="MV6" s="58">
        <v>26.0</v>
      </c>
      <c r="MW6" s="58">
        <v>27.0</v>
      </c>
      <c r="MX6" s="58">
        <v>28.0</v>
      </c>
      <c r="MY6" s="58">
        <v>29.0</v>
      </c>
      <c r="MZ6" s="58">
        <v>30.0</v>
      </c>
      <c r="NA6" s="92">
        <v>31.0</v>
      </c>
      <c r="NB6" s="58"/>
      <c r="NC6" s="58"/>
      <c r="ND6" s="58"/>
      <c r="NE6" s="58"/>
      <c r="NF6" s="58"/>
      <c r="NG6" s="58"/>
      <c r="NH6" s="58"/>
      <c r="NI6" s="58"/>
      <c r="NJ6" s="58"/>
      <c r="NK6" s="58"/>
      <c r="NL6" s="58"/>
      <c r="NM6" s="58"/>
      <c r="NN6" s="58"/>
      <c r="NO6" s="58"/>
      <c r="NP6" s="58"/>
      <c r="NQ6" s="58"/>
      <c r="NR6" s="58"/>
      <c r="NS6" s="58"/>
      <c r="NT6" s="58"/>
      <c r="NU6" s="58"/>
      <c r="NV6" s="58"/>
      <c r="NW6" s="58"/>
      <c r="NX6" s="58"/>
      <c r="NY6" s="58"/>
      <c r="NZ6" s="58"/>
      <c r="OA6" s="58"/>
      <c r="OB6" s="58"/>
      <c r="OC6" s="58"/>
    </row>
    <row r="7" ht="30.75" customHeight="1">
      <c r="A7" s="20" t="s">
        <v>134</v>
      </c>
      <c r="B7" s="111" t="s">
        <v>187</v>
      </c>
      <c r="I7" s="112"/>
      <c r="O7" s="83"/>
      <c r="P7" s="111" t="s">
        <v>188</v>
      </c>
      <c r="W7" s="112"/>
      <c r="AC7" s="83"/>
      <c r="AD7" s="113"/>
      <c r="AK7" s="112"/>
      <c r="AQ7" s="83"/>
      <c r="AR7" s="111" t="s">
        <v>189</v>
      </c>
      <c r="AY7" s="114" t="s">
        <v>190</v>
      </c>
      <c r="BF7" s="112"/>
      <c r="BM7" s="114" t="s">
        <v>192</v>
      </c>
      <c r="BT7" s="114" t="s">
        <v>193</v>
      </c>
      <c r="CA7" s="114" t="s">
        <v>194</v>
      </c>
      <c r="CH7" s="114" t="s">
        <v>195</v>
      </c>
      <c r="CO7" s="114" t="s">
        <v>196</v>
      </c>
      <c r="CV7" s="114"/>
      <c r="DC7" s="117" t="s">
        <v>197</v>
      </c>
      <c r="DJ7" s="12" t="s">
        <v>198</v>
      </c>
      <c r="DQ7" s="114" t="s">
        <v>199</v>
      </c>
      <c r="DX7" s="12" t="s">
        <v>200</v>
      </c>
      <c r="EE7" s="114" t="s">
        <v>201</v>
      </c>
      <c r="EL7" s="114" t="s">
        <v>202</v>
      </c>
      <c r="ES7" s="112"/>
      <c r="EZ7" s="114" t="s">
        <v>203</v>
      </c>
      <c r="FG7" s="12" t="s">
        <v>204</v>
      </c>
      <c r="FN7" s="12" t="s">
        <v>205</v>
      </c>
      <c r="FU7" s="114" t="s">
        <v>206</v>
      </c>
      <c r="GB7" s="12" t="s">
        <v>207</v>
      </c>
      <c r="GI7" s="114" t="s">
        <v>208</v>
      </c>
      <c r="GP7" s="12" t="s">
        <v>209</v>
      </c>
      <c r="GW7" s="12" t="s">
        <v>210</v>
      </c>
      <c r="HD7" s="12" t="s">
        <v>211</v>
      </c>
      <c r="HK7" s="12" t="s">
        <v>212</v>
      </c>
      <c r="HR7" s="12" t="s">
        <v>213</v>
      </c>
      <c r="HY7" s="12" t="s">
        <v>214</v>
      </c>
      <c r="IF7" s="12" t="s">
        <v>215</v>
      </c>
      <c r="IM7" s="114"/>
      <c r="IT7" s="114" t="s">
        <v>216</v>
      </c>
      <c r="JA7" s="12" t="s">
        <v>217</v>
      </c>
      <c r="JH7" s="12" t="s">
        <v>218</v>
      </c>
      <c r="JO7" s="12" t="s">
        <v>219</v>
      </c>
      <c r="JV7" s="114" t="s">
        <v>220</v>
      </c>
      <c r="KC7" s="12" t="s">
        <v>221</v>
      </c>
      <c r="KJ7" s="114" t="s">
        <v>222</v>
      </c>
      <c r="KQ7" s="12" t="s">
        <v>223</v>
      </c>
      <c r="KX7" s="12" t="s">
        <v>224</v>
      </c>
      <c r="LE7" s="12" t="s">
        <v>225</v>
      </c>
      <c r="LL7" s="12" t="s">
        <v>226</v>
      </c>
      <c r="LS7" s="114" t="s">
        <v>227</v>
      </c>
      <c r="LZ7" s="114" t="s">
        <v>228</v>
      </c>
      <c r="MG7" s="112"/>
      <c r="MN7" s="12" t="s">
        <v>229</v>
      </c>
      <c r="MU7" s="110" t="s">
        <v>230</v>
      </c>
      <c r="NA7" s="83"/>
      <c r="NB7" s="113"/>
      <c r="NC7" s="113"/>
      <c r="ND7" s="113"/>
      <c r="NE7" s="113"/>
      <c r="NF7" s="113"/>
      <c r="NG7" s="113"/>
      <c r="NH7" s="113"/>
      <c r="NI7" s="113"/>
      <c r="NJ7" s="113"/>
      <c r="NK7" s="113"/>
      <c r="NL7" s="113"/>
      <c r="NM7" s="113"/>
      <c r="NN7" s="113"/>
      <c r="NO7" s="113"/>
      <c r="NP7" s="113"/>
      <c r="NQ7" s="113"/>
      <c r="NR7" s="113"/>
      <c r="NS7" s="113"/>
      <c r="NT7" s="113"/>
      <c r="NU7" s="113"/>
      <c r="NV7" s="113"/>
      <c r="NW7" s="113"/>
      <c r="NX7" s="113"/>
      <c r="NY7" s="113"/>
      <c r="NZ7" s="113"/>
      <c r="OA7" s="113"/>
      <c r="OB7" s="113"/>
      <c r="OC7" s="113"/>
    </row>
    <row r="8">
      <c r="A8" s="122" t="s">
        <v>231</v>
      </c>
      <c r="B8" s="123"/>
      <c r="C8" s="16"/>
      <c r="D8" s="16"/>
      <c r="E8" s="16"/>
      <c r="F8" s="16"/>
      <c r="G8" s="16"/>
      <c r="H8" s="25"/>
      <c r="I8" s="123"/>
      <c r="J8" s="16"/>
      <c r="K8" s="16"/>
      <c r="L8" s="16"/>
      <c r="M8" s="16"/>
      <c r="N8" s="16"/>
      <c r="O8" s="25"/>
      <c r="P8" s="123"/>
      <c r="Q8" s="16"/>
      <c r="R8" s="16"/>
      <c r="S8" s="16"/>
      <c r="T8" s="16"/>
      <c r="U8" s="16"/>
      <c r="V8" s="25"/>
      <c r="W8" s="123"/>
      <c r="X8" s="16"/>
      <c r="Y8" s="16"/>
      <c r="Z8" s="16"/>
      <c r="AA8" s="16"/>
      <c r="AB8" s="16"/>
      <c r="AC8" s="25"/>
      <c r="AD8" s="123"/>
      <c r="AE8" s="16"/>
      <c r="AF8" s="16"/>
      <c r="AG8" s="16"/>
      <c r="AH8" s="16"/>
      <c r="AI8" s="16"/>
      <c r="AJ8" s="25"/>
      <c r="AK8" s="123"/>
      <c r="AL8" s="16"/>
      <c r="AM8" s="16"/>
      <c r="AN8" s="16"/>
      <c r="AO8" s="16"/>
      <c r="AP8" s="16"/>
      <c r="AQ8" s="25"/>
      <c r="AR8" s="123"/>
      <c r="AS8" s="16"/>
      <c r="AT8" s="16"/>
      <c r="AU8" s="16"/>
      <c r="AV8" s="16"/>
      <c r="AW8" s="16"/>
      <c r="AX8" s="25"/>
      <c r="AY8" s="123"/>
      <c r="AZ8" s="16"/>
      <c r="BA8" s="16"/>
      <c r="BB8" s="16"/>
      <c r="BC8" s="16"/>
      <c r="BD8" s="16"/>
      <c r="BE8" s="25"/>
      <c r="BF8" s="123"/>
      <c r="BG8" s="16"/>
      <c r="BH8" s="16"/>
      <c r="BI8" s="16"/>
      <c r="BJ8" s="16"/>
      <c r="BK8" s="16"/>
      <c r="BL8" s="25"/>
      <c r="BM8" s="123"/>
      <c r="BN8" s="16"/>
      <c r="BO8" s="16"/>
      <c r="BP8" s="16"/>
      <c r="BQ8" s="16"/>
      <c r="BR8" s="16"/>
      <c r="BS8" s="25"/>
      <c r="BT8" s="123"/>
      <c r="BU8" s="16"/>
      <c r="BV8" s="16"/>
      <c r="BW8" s="16"/>
      <c r="BX8" s="16"/>
      <c r="BY8" s="16"/>
      <c r="BZ8" s="25"/>
      <c r="CA8" s="123"/>
      <c r="CB8" s="16"/>
      <c r="CC8" s="16"/>
      <c r="CD8" s="16"/>
      <c r="CE8" s="16"/>
      <c r="CF8" s="16"/>
      <c r="CG8" s="25"/>
      <c r="CH8" s="123"/>
      <c r="CI8" s="16"/>
      <c r="CJ8" s="16"/>
      <c r="CK8" s="16"/>
      <c r="CL8" s="16"/>
      <c r="CM8" s="16"/>
      <c r="CN8" s="25"/>
      <c r="CO8" s="123"/>
      <c r="CP8" s="16"/>
      <c r="CQ8" s="16"/>
      <c r="CR8" s="16"/>
      <c r="CS8" s="16"/>
      <c r="CT8" s="16"/>
      <c r="CU8" s="25"/>
      <c r="CV8" s="123"/>
      <c r="CW8" s="16"/>
      <c r="CX8" s="16"/>
      <c r="CY8" s="16"/>
      <c r="CZ8" s="16"/>
      <c r="DA8" s="16"/>
      <c r="DB8" s="25"/>
      <c r="DC8" s="123"/>
      <c r="DD8" s="16"/>
      <c r="DE8" s="16"/>
      <c r="DF8" s="16"/>
      <c r="DG8" s="16"/>
      <c r="DH8" s="16"/>
      <c r="DI8" s="25"/>
      <c r="DJ8" s="123"/>
      <c r="DK8" s="16"/>
      <c r="DL8" s="16"/>
      <c r="DM8" s="16"/>
      <c r="DN8" s="16"/>
      <c r="DO8" s="16"/>
      <c r="DP8" s="25"/>
      <c r="DQ8" s="123"/>
      <c r="DR8" s="16"/>
      <c r="DS8" s="16"/>
      <c r="DT8" s="16"/>
      <c r="DU8" s="16"/>
      <c r="DV8" s="16"/>
      <c r="DW8" s="25"/>
      <c r="DX8" s="123"/>
      <c r="DY8" s="16"/>
      <c r="DZ8" s="16"/>
      <c r="EA8" s="16"/>
      <c r="EB8" s="16"/>
      <c r="EC8" s="16"/>
      <c r="ED8" s="25"/>
      <c r="EE8" s="123"/>
      <c r="EF8" s="16"/>
      <c r="EG8" s="16"/>
      <c r="EH8" s="16"/>
      <c r="EI8" s="16"/>
      <c r="EJ8" s="16"/>
      <c r="EK8" s="25"/>
      <c r="EL8" s="123"/>
      <c r="EM8" s="16"/>
      <c r="EN8" s="16"/>
      <c r="EO8" s="16"/>
      <c r="EP8" s="16"/>
      <c r="EQ8" s="16"/>
      <c r="ER8" s="25"/>
      <c r="ES8" s="123"/>
      <c r="ET8" s="16"/>
      <c r="EU8" s="16"/>
      <c r="EV8" s="16"/>
      <c r="EW8" s="16"/>
      <c r="EX8" s="16"/>
      <c r="EY8" s="25"/>
      <c r="EZ8" s="123"/>
      <c r="FA8" s="16"/>
      <c r="FB8" s="16"/>
      <c r="FC8" s="16"/>
      <c r="FD8" s="16"/>
      <c r="FE8" s="16"/>
      <c r="FF8" s="25"/>
      <c r="FG8" s="123"/>
      <c r="FH8" s="16"/>
      <c r="FI8" s="16"/>
      <c r="FJ8" s="16"/>
      <c r="FK8" s="16"/>
      <c r="FL8" s="16"/>
      <c r="FM8" s="25"/>
      <c r="FN8" s="123"/>
      <c r="FO8" s="16"/>
      <c r="FP8" s="16"/>
      <c r="FQ8" s="16"/>
      <c r="FR8" s="16"/>
      <c r="FS8" s="16"/>
      <c r="FT8" s="25"/>
      <c r="FU8" s="123"/>
      <c r="FV8" s="16"/>
      <c r="FW8" s="16"/>
      <c r="FX8" s="16"/>
      <c r="FY8" s="16"/>
      <c r="FZ8" s="16"/>
      <c r="GA8" s="25"/>
      <c r="GB8" s="131" t="s">
        <v>233</v>
      </c>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25"/>
      <c r="IF8" s="123"/>
      <c r="IG8" s="16"/>
      <c r="IH8" s="16"/>
      <c r="II8" s="16"/>
      <c r="IJ8" s="16"/>
      <c r="IK8" s="16"/>
      <c r="IL8" s="25"/>
      <c r="IM8" s="123"/>
      <c r="IN8" s="16"/>
      <c r="IO8" s="16"/>
      <c r="IP8" s="16"/>
      <c r="IQ8" s="16"/>
      <c r="IR8" s="16"/>
      <c r="IS8" s="25"/>
      <c r="IT8" s="123"/>
      <c r="IU8" s="16"/>
      <c r="IV8" s="16"/>
      <c r="IW8" s="16"/>
      <c r="IX8" s="16"/>
      <c r="IY8" s="16"/>
      <c r="IZ8" s="25"/>
      <c r="JA8" s="123"/>
      <c r="JB8" s="16"/>
      <c r="JC8" s="16"/>
      <c r="JD8" s="16"/>
      <c r="JE8" s="16"/>
      <c r="JF8" s="16"/>
      <c r="JG8" s="25"/>
      <c r="JH8" s="123"/>
      <c r="JI8" s="16"/>
      <c r="JJ8" s="16"/>
      <c r="JK8" s="16"/>
      <c r="JL8" s="16"/>
      <c r="JM8" s="16"/>
      <c r="JN8" s="25"/>
      <c r="JO8" s="123"/>
      <c r="JP8" s="16"/>
      <c r="JQ8" s="16"/>
      <c r="JR8" s="16"/>
      <c r="JS8" s="16"/>
      <c r="JT8" s="16"/>
      <c r="JU8" s="25"/>
      <c r="JV8" s="123"/>
      <c r="JW8" s="16"/>
      <c r="JX8" s="16"/>
      <c r="JY8" s="16"/>
      <c r="JZ8" s="16"/>
      <c r="KA8" s="16"/>
      <c r="KB8" s="25"/>
      <c r="KC8" s="123"/>
      <c r="KD8" s="16"/>
      <c r="KE8" s="16"/>
      <c r="KF8" s="16"/>
      <c r="KG8" s="16"/>
      <c r="KH8" s="16"/>
      <c r="KI8" s="25"/>
      <c r="KJ8" s="123"/>
      <c r="KK8" s="16"/>
      <c r="KL8" s="16"/>
      <c r="KM8" s="16"/>
      <c r="KN8" s="16"/>
      <c r="KO8" s="16"/>
      <c r="KP8" s="25"/>
      <c r="KQ8" s="123"/>
      <c r="KR8" s="16"/>
      <c r="KS8" s="16"/>
      <c r="KT8" s="16"/>
      <c r="KU8" s="16"/>
      <c r="KV8" s="16"/>
      <c r="KW8" s="25"/>
      <c r="KX8" s="123"/>
      <c r="KY8" s="16"/>
      <c r="KZ8" s="16"/>
      <c r="LA8" s="16"/>
      <c r="LB8" s="16"/>
      <c r="LC8" s="16"/>
      <c r="LD8" s="25"/>
      <c r="LE8" s="123"/>
      <c r="LF8" s="16"/>
      <c r="LG8" s="16"/>
      <c r="LH8" s="16"/>
      <c r="LI8" s="16"/>
      <c r="LJ8" s="16"/>
      <c r="LK8" s="25"/>
      <c r="LL8" s="136" t="s">
        <v>267</v>
      </c>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25"/>
      <c r="NB8" s="137"/>
      <c r="NC8" s="137"/>
      <c r="ND8" s="137"/>
      <c r="NE8" s="137"/>
      <c r="NF8" s="137"/>
      <c r="NG8" s="137"/>
      <c r="NH8" s="137"/>
      <c r="NI8" s="137"/>
      <c r="NJ8" s="137"/>
      <c r="NK8" s="137"/>
      <c r="NL8" s="137"/>
      <c r="NM8" s="137"/>
      <c r="NN8" s="137"/>
      <c r="NO8" s="137"/>
      <c r="NP8" s="137"/>
      <c r="NQ8" s="137"/>
      <c r="NR8" s="137"/>
      <c r="NS8" s="137"/>
      <c r="NT8" s="137"/>
      <c r="NU8" s="137"/>
      <c r="NV8" s="137"/>
      <c r="NW8" s="137"/>
      <c r="NX8" s="137"/>
      <c r="NY8" s="137"/>
      <c r="NZ8" s="137"/>
      <c r="OA8" s="137"/>
      <c r="OB8" s="137"/>
      <c r="OC8" s="137"/>
    </row>
    <row r="9" ht="36.0" customHeight="1">
      <c r="A9" s="138" t="s">
        <v>254</v>
      </c>
      <c r="B9" s="111" t="s">
        <v>282</v>
      </c>
      <c r="I9" s="114" t="s">
        <v>283</v>
      </c>
      <c r="W9" s="114" t="s">
        <v>285</v>
      </c>
      <c r="X9" s="111"/>
      <c r="Y9" s="111"/>
      <c r="Z9" s="111"/>
      <c r="AA9" s="111"/>
      <c r="AB9" s="111"/>
      <c r="AC9" s="111"/>
      <c r="AD9" s="117" t="s">
        <v>286</v>
      </c>
      <c r="AK9" s="114" t="s">
        <v>262</v>
      </c>
      <c r="AT9" s="114" t="s">
        <v>287</v>
      </c>
      <c r="BF9" s="114" t="s">
        <v>288</v>
      </c>
      <c r="BM9" s="114" t="s">
        <v>269</v>
      </c>
      <c r="BT9" s="114" t="s">
        <v>269</v>
      </c>
      <c r="CB9" s="111" t="s">
        <v>291</v>
      </c>
      <c r="CI9" s="111" t="s">
        <v>292</v>
      </c>
      <c r="CO9" s="12" t="s">
        <v>293</v>
      </c>
      <c r="CV9" s="12" t="s">
        <v>296</v>
      </c>
      <c r="DC9" s="12" t="s">
        <v>297</v>
      </c>
      <c r="DJ9" s="12" t="s">
        <v>298</v>
      </c>
      <c r="DQ9" s="111" t="s">
        <v>299</v>
      </c>
      <c r="DX9" s="110" t="s">
        <v>300</v>
      </c>
      <c r="EE9" s="111" t="s">
        <v>301</v>
      </c>
      <c r="EL9" s="139" t="s">
        <v>302</v>
      </c>
      <c r="ES9" s="12" t="s">
        <v>303</v>
      </c>
      <c r="EZ9" s="12" t="s">
        <v>304</v>
      </c>
      <c r="FG9" s="114" t="s">
        <v>305</v>
      </c>
      <c r="FN9" s="114" t="s">
        <v>306</v>
      </c>
      <c r="FU9" s="12" t="s">
        <v>307</v>
      </c>
      <c r="GB9" s="142" t="s">
        <v>308</v>
      </c>
      <c r="GC9" s="16"/>
      <c r="GD9" s="16"/>
      <c r="GE9" s="16"/>
      <c r="GF9" s="16"/>
      <c r="GG9" s="16"/>
      <c r="GH9" s="25"/>
      <c r="GI9" s="144" t="s">
        <v>309</v>
      </c>
      <c r="GJ9" s="16"/>
      <c r="GK9" s="16"/>
      <c r="GL9" s="16"/>
      <c r="GM9" s="16"/>
      <c r="GN9" s="16"/>
      <c r="GO9" s="25"/>
      <c r="GP9" s="146" t="s">
        <v>310</v>
      </c>
      <c r="GQ9" s="16"/>
      <c r="GR9" s="16"/>
      <c r="GS9" s="16"/>
      <c r="GT9" s="16"/>
      <c r="GU9" s="16"/>
      <c r="GV9" s="25"/>
      <c r="GW9" s="144" t="s">
        <v>311</v>
      </c>
      <c r="GX9" s="16"/>
      <c r="GY9" s="16"/>
      <c r="GZ9" s="16"/>
      <c r="HA9" s="16"/>
      <c r="HB9" s="16"/>
      <c r="HC9" s="25"/>
      <c r="HD9" s="114" t="s">
        <v>312</v>
      </c>
      <c r="HK9" s="12" t="s">
        <v>313</v>
      </c>
      <c r="HR9" s="139" t="s">
        <v>314</v>
      </c>
      <c r="HY9" s="114" t="s">
        <v>315</v>
      </c>
      <c r="IC9" s="114" t="s">
        <v>269</v>
      </c>
      <c r="IM9" s="114" t="s">
        <v>269</v>
      </c>
      <c r="IU9" s="12" t="s">
        <v>316</v>
      </c>
      <c r="JA9" s="110" t="s">
        <v>317</v>
      </c>
      <c r="JH9" s="12" t="s">
        <v>318</v>
      </c>
      <c r="JN9" s="149" t="s">
        <v>302</v>
      </c>
      <c r="JV9" s="114" t="s">
        <v>319</v>
      </c>
      <c r="KJ9" s="150" t="s">
        <v>259</v>
      </c>
      <c r="LE9" s="12" t="s">
        <v>320</v>
      </c>
      <c r="LL9" s="114" t="s">
        <v>321</v>
      </c>
      <c r="LS9" s="114" t="s">
        <v>322</v>
      </c>
      <c r="MA9" s="111" t="s">
        <v>323</v>
      </c>
      <c r="MG9" s="114" t="s">
        <v>324</v>
      </c>
      <c r="MN9" s="114" t="s">
        <v>323</v>
      </c>
      <c r="MU9" s="114" t="s">
        <v>325</v>
      </c>
      <c r="NA9" s="83"/>
      <c r="NB9" s="113"/>
      <c r="NC9" s="113"/>
      <c r="ND9" s="113"/>
      <c r="NE9" s="113"/>
      <c r="NF9" s="113"/>
      <c r="NG9" s="113"/>
      <c r="NH9" s="113"/>
      <c r="NI9" s="113"/>
      <c r="NJ9" s="113"/>
      <c r="NK9" s="113"/>
      <c r="NL9" s="113"/>
      <c r="NM9" s="113"/>
      <c r="NN9" s="113"/>
      <c r="NO9" s="113"/>
      <c r="NP9" s="113"/>
      <c r="NQ9" s="113"/>
      <c r="NR9" s="113"/>
      <c r="NS9" s="113"/>
      <c r="NT9" s="113"/>
      <c r="NU9" s="113"/>
      <c r="NV9" s="113"/>
      <c r="NW9" s="113"/>
      <c r="NX9" s="113"/>
      <c r="NY9" s="113"/>
      <c r="NZ9" s="113"/>
      <c r="OA9" s="113"/>
      <c r="OB9" s="113"/>
      <c r="OC9" s="113"/>
    </row>
    <row r="10" ht="42.75" customHeight="1">
      <c r="A10" s="152" t="s">
        <v>326</v>
      </c>
      <c r="B10" s="111" t="s">
        <v>327</v>
      </c>
      <c r="I10" s="114" t="s">
        <v>328</v>
      </c>
      <c r="W10" s="114" t="s">
        <v>329</v>
      </c>
      <c r="AD10" s="114" t="s">
        <v>330</v>
      </c>
      <c r="AK10" s="114" t="s">
        <v>331</v>
      </c>
      <c r="AT10" s="114" t="s">
        <v>332</v>
      </c>
      <c r="BF10" s="114" t="s">
        <v>333</v>
      </c>
      <c r="BM10" s="114" t="s">
        <v>334</v>
      </c>
      <c r="BT10" s="114" t="s">
        <v>335</v>
      </c>
      <c r="CB10" s="111" t="s">
        <v>329</v>
      </c>
      <c r="CI10" s="114" t="s">
        <v>336</v>
      </c>
      <c r="CO10" s="114" t="s">
        <v>335</v>
      </c>
      <c r="CV10" s="12" t="s">
        <v>337</v>
      </c>
      <c r="DC10" s="114" t="s">
        <v>338</v>
      </c>
      <c r="DJ10" s="114" t="s">
        <v>329</v>
      </c>
      <c r="DQ10" s="111" t="s">
        <v>339</v>
      </c>
      <c r="DX10" s="111" t="s">
        <v>340</v>
      </c>
      <c r="EE10" s="110" t="s">
        <v>341</v>
      </c>
      <c r="EL10" s="114" t="s">
        <v>342</v>
      </c>
      <c r="ES10" s="114" t="s">
        <v>343</v>
      </c>
      <c r="EZ10" s="12" t="s">
        <v>335</v>
      </c>
      <c r="FG10" s="12" t="s">
        <v>344</v>
      </c>
      <c r="FN10" s="114" t="s">
        <v>345</v>
      </c>
      <c r="FU10" s="114" t="s">
        <v>346</v>
      </c>
      <c r="GB10" s="144" t="s">
        <v>347</v>
      </c>
      <c r="GC10" s="16"/>
      <c r="GD10" s="16"/>
      <c r="GE10" s="16"/>
      <c r="GF10" s="16"/>
      <c r="GG10" s="16"/>
      <c r="GH10" s="25"/>
      <c r="GI10" s="144" t="s">
        <v>343</v>
      </c>
      <c r="GJ10" s="16"/>
      <c r="GK10" s="16"/>
      <c r="GL10" s="16"/>
      <c r="GM10" s="16"/>
      <c r="GN10" s="16"/>
      <c r="GO10" s="25"/>
      <c r="GP10" s="146" t="s">
        <v>349</v>
      </c>
      <c r="GQ10" s="16"/>
      <c r="GR10" s="16"/>
      <c r="GS10" s="16"/>
      <c r="GT10" s="16"/>
      <c r="GU10" s="16"/>
      <c r="GV10" s="25"/>
      <c r="GW10" s="142" t="s">
        <v>335</v>
      </c>
      <c r="GX10" s="16"/>
      <c r="GY10" s="16"/>
      <c r="GZ10" s="16"/>
      <c r="HA10" s="16"/>
      <c r="HB10" s="16"/>
      <c r="HC10" s="25"/>
      <c r="HD10" s="12" t="s">
        <v>352</v>
      </c>
      <c r="HK10" s="12" t="s">
        <v>353</v>
      </c>
      <c r="HR10" s="158" t="s">
        <v>342</v>
      </c>
      <c r="HY10" s="12" t="s">
        <v>355</v>
      </c>
      <c r="IC10" s="114" t="s">
        <v>335</v>
      </c>
      <c r="IM10" s="114" t="s">
        <v>335</v>
      </c>
      <c r="IU10" s="12" t="s">
        <v>357</v>
      </c>
      <c r="JA10" s="114" t="s">
        <v>329</v>
      </c>
      <c r="JH10" s="12" t="s">
        <v>358</v>
      </c>
      <c r="JN10" s="90" t="s">
        <v>359</v>
      </c>
      <c r="JV10" s="12" t="s">
        <v>362</v>
      </c>
      <c r="KC10" s="114" t="s">
        <v>330</v>
      </c>
      <c r="KJ10" s="114" t="s">
        <v>343</v>
      </c>
      <c r="KQ10" s="12" t="s">
        <v>363</v>
      </c>
      <c r="KX10" s="114" t="s">
        <v>329</v>
      </c>
      <c r="LE10" s="114" t="s">
        <v>330</v>
      </c>
      <c r="LL10" s="114" t="s">
        <v>365</v>
      </c>
      <c r="LS10" s="12" t="s">
        <v>366</v>
      </c>
      <c r="MA10" s="111" t="s">
        <v>367</v>
      </c>
      <c r="MG10" s="111" t="s">
        <v>367</v>
      </c>
      <c r="MN10" s="111" t="s">
        <v>367</v>
      </c>
      <c r="MU10" s="12" t="s">
        <v>369</v>
      </c>
      <c r="NA10" s="83"/>
      <c r="NB10" s="113"/>
      <c r="NC10" s="113"/>
      <c r="ND10" s="113"/>
      <c r="NE10" s="113"/>
      <c r="NF10" s="113"/>
      <c r="NG10" s="113"/>
      <c r="NH10" s="113"/>
      <c r="NI10" s="113"/>
      <c r="NJ10" s="113"/>
      <c r="NK10" s="113"/>
      <c r="NL10" s="113"/>
      <c r="NM10" s="113"/>
      <c r="NN10" s="113"/>
      <c r="NO10" s="113"/>
      <c r="NP10" s="113"/>
      <c r="NQ10" s="113"/>
      <c r="NR10" s="113"/>
      <c r="NS10" s="113"/>
      <c r="NT10" s="113"/>
      <c r="NU10" s="113"/>
      <c r="NV10" s="113"/>
      <c r="NW10" s="113"/>
      <c r="NX10" s="113"/>
      <c r="NY10" s="113"/>
      <c r="NZ10" s="113"/>
      <c r="OA10" s="113"/>
      <c r="OB10" s="113"/>
      <c r="OC10" s="113"/>
    </row>
    <row r="11" ht="83.25" customHeight="1">
      <c r="A11" s="163" t="s">
        <v>371</v>
      </c>
      <c r="B11" s="165" t="s">
        <v>373</v>
      </c>
      <c r="C11" s="23"/>
      <c r="D11" s="23"/>
      <c r="E11" s="23"/>
      <c r="F11" s="23"/>
      <c r="G11" s="23"/>
      <c r="H11" s="23"/>
      <c r="I11" s="165" t="s">
        <v>375</v>
      </c>
      <c r="J11" s="23"/>
      <c r="K11" s="23"/>
      <c r="L11" s="23"/>
      <c r="M11" s="23"/>
      <c r="N11" s="23"/>
      <c r="O11" s="23"/>
      <c r="P11" s="165" t="s">
        <v>376</v>
      </c>
      <c r="Q11" s="23"/>
      <c r="R11" s="23"/>
      <c r="S11" s="23"/>
      <c r="T11" s="23"/>
      <c r="U11" s="23"/>
      <c r="V11" s="23"/>
      <c r="W11" s="166" t="s">
        <v>378</v>
      </c>
      <c r="X11" s="23"/>
      <c r="Y11" s="23"/>
      <c r="Z11" s="23"/>
      <c r="AA11" s="23"/>
      <c r="AB11" s="23"/>
      <c r="AC11" s="23"/>
      <c r="AD11" s="166" t="s">
        <v>379</v>
      </c>
      <c r="AE11" s="23"/>
      <c r="AF11" s="23"/>
      <c r="AG11" s="23"/>
      <c r="AH11" s="23"/>
      <c r="AI11" s="23"/>
      <c r="AJ11" s="23"/>
      <c r="AK11" s="166" t="s">
        <v>381</v>
      </c>
      <c r="AL11" s="23"/>
      <c r="AM11" s="23"/>
      <c r="AN11" s="23"/>
      <c r="AO11" s="23"/>
      <c r="AP11" s="23"/>
      <c r="AQ11" s="23"/>
      <c r="AR11" s="165" t="s">
        <v>382</v>
      </c>
      <c r="AS11" s="23"/>
      <c r="AT11" s="165"/>
      <c r="AU11" s="23"/>
      <c r="AV11" s="23"/>
      <c r="AW11" s="23"/>
      <c r="AX11" s="23"/>
      <c r="AY11" s="165" t="s">
        <v>384</v>
      </c>
      <c r="AZ11" s="23"/>
      <c r="BA11" s="23"/>
      <c r="BB11" s="23"/>
      <c r="BC11" s="23"/>
      <c r="BD11" s="23"/>
      <c r="BE11" s="23"/>
      <c r="BF11" s="166" t="s">
        <v>385</v>
      </c>
      <c r="BG11" s="23"/>
      <c r="BH11" s="23"/>
      <c r="BI11" s="23"/>
      <c r="BJ11" s="23"/>
      <c r="BK11" s="23"/>
      <c r="BL11" s="23"/>
      <c r="BM11" s="170" t="s">
        <v>386</v>
      </c>
      <c r="BN11" s="23"/>
      <c r="BO11" s="23"/>
      <c r="BP11" s="23"/>
      <c r="BQ11" s="23"/>
      <c r="BR11" s="23"/>
      <c r="BS11" s="23"/>
      <c r="BT11" s="166" t="s">
        <v>387</v>
      </c>
      <c r="BU11" s="23"/>
      <c r="BV11" s="23"/>
      <c r="BW11" s="23"/>
      <c r="BX11" s="23"/>
      <c r="BY11" s="23"/>
      <c r="BZ11" s="23"/>
      <c r="CA11" s="23"/>
      <c r="CB11" s="165" t="s">
        <v>388</v>
      </c>
      <c r="CC11" s="23"/>
      <c r="CD11" s="23"/>
      <c r="CE11" s="23"/>
      <c r="CF11" s="23"/>
      <c r="CG11" s="23"/>
      <c r="CH11" s="23"/>
      <c r="CI11" s="170" t="s">
        <v>389</v>
      </c>
      <c r="CJ11" s="23"/>
      <c r="CK11" s="23"/>
      <c r="CL11" s="23"/>
      <c r="CM11" s="23"/>
      <c r="CN11" s="23"/>
      <c r="CO11" s="166" t="s">
        <v>390</v>
      </c>
      <c r="CP11" s="23"/>
      <c r="CQ11" s="23"/>
      <c r="CR11" s="23"/>
      <c r="CS11" s="23"/>
      <c r="CT11" s="23"/>
      <c r="CU11" s="23"/>
      <c r="CV11" s="170" t="s">
        <v>392</v>
      </c>
      <c r="CW11" s="23"/>
      <c r="CX11" s="23"/>
      <c r="CY11" s="23"/>
      <c r="CZ11" s="23"/>
      <c r="DA11" s="23"/>
      <c r="DB11" s="23"/>
      <c r="DC11" s="166" t="s">
        <v>395</v>
      </c>
      <c r="DD11" s="23"/>
      <c r="DE11" s="23"/>
      <c r="DF11" s="23"/>
      <c r="DG11" s="23"/>
      <c r="DH11" s="23"/>
      <c r="DI11" s="23"/>
      <c r="DJ11" s="170" t="s">
        <v>396</v>
      </c>
      <c r="DK11" s="23"/>
      <c r="DL11" s="23"/>
      <c r="DM11" s="23"/>
      <c r="DN11" s="23"/>
      <c r="DO11" s="23"/>
      <c r="DP11" s="23"/>
      <c r="DQ11" s="175" t="s">
        <v>397</v>
      </c>
      <c r="DR11" s="23"/>
      <c r="DS11" s="23"/>
      <c r="DT11" s="23"/>
      <c r="DU11" s="23"/>
      <c r="DV11" s="23"/>
      <c r="DW11" s="23"/>
      <c r="DX11" s="175" t="s">
        <v>401</v>
      </c>
      <c r="DY11" s="23"/>
      <c r="DZ11" s="23"/>
      <c r="EA11" s="23"/>
      <c r="EB11" s="23"/>
      <c r="EC11" s="23"/>
      <c r="ED11" s="23"/>
      <c r="EE11" s="165" t="s">
        <v>402</v>
      </c>
      <c r="EF11" s="23"/>
      <c r="EG11" s="23"/>
      <c r="EH11" s="23"/>
      <c r="EI11" s="23"/>
      <c r="EJ11" s="23"/>
      <c r="EK11" s="23"/>
      <c r="EL11" s="177" t="s">
        <v>403</v>
      </c>
      <c r="EM11" s="23"/>
      <c r="EN11" s="23"/>
      <c r="EO11" s="23"/>
      <c r="EP11" s="23"/>
      <c r="EQ11" s="23"/>
      <c r="ER11" s="23"/>
      <c r="ES11" s="170" t="s">
        <v>405</v>
      </c>
      <c r="ET11" s="23"/>
      <c r="EU11" s="23"/>
      <c r="EV11" s="23"/>
      <c r="EW11" s="23"/>
      <c r="EX11" s="23"/>
      <c r="EY11" s="23"/>
      <c r="EZ11" s="170" t="s">
        <v>406</v>
      </c>
      <c r="FA11" s="23"/>
      <c r="FB11" s="23"/>
      <c r="FC11" s="23"/>
      <c r="FD11" s="23"/>
      <c r="FE11" s="23"/>
      <c r="FF11" s="23"/>
      <c r="FG11" s="170" t="s">
        <v>407</v>
      </c>
      <c r="FH11" s="23"/>
      <c r="FI11" s="23"/>
      <c r="FJ11" s="23"/>
      <c r="FK11" s="23"/>
      <c r="FL11" s="23"/>
      <c r="FM11" s="23"/>
      <c r="FN11" s="170" t="s">
        <v>408</v>
      </c>
      <c r="FO11" s="23"/>
      <c r="FP11" s="23"/>
      <c r="FQ11" s="23"/>
      <c r="FR11" s="23"/>
      <c r="FS11" s="23"/>
      <c r="FT11" s="23"/>
      <c r="FU11" s="170" t="s">
        <v>409</v>
      </c>
      <c r="FV11" s="23"/>
      <c r="FW11" s="23"/>
      <c r="FX11" s="23"/>
      <c r="FY11" s="23"/>
      <c r="FZ11" s="23"/>
      <c r="GA11" s="23"/>
      <c r="GB11" s="142" t="s">
        <v>410</v>
      </c>
      <c r="GC11" s="16"/>
      <c r="GD11" s="16"/>
      <c r="GE11" s="16"/>
      <c r="GF11" s="16"/>
      <c r="GG11" s="16"/>
      <c r="GH11" s="25"/>
      <c r="GI11" s="142" t="s">
        <v>411</v>
      </c>
      <c r="GJ11" s="16"/>
      <c r="GK11" s="16"/>
      <c r="GL11" s="16"/>
      <c r="GM11" s="16"/>
      <c r="GN11" s="16"/>
      <c r="GO11" s="25"/>
      <c r="GP11" s="180" t="s">
        <v>413</v>
      </c>
      <c r="GQ11" s="16"/>
      <c r="GR11" s="16"/>
      <c r="GS11" s="16"/>
      <c r="GT11" s="16"/>
      <c r="GU11" s="16"/>
      <c r="GV11" s="25"/>
      <c r="GW11" s="142" t="s">
        <v>415</v>
      </c>
      <c r="GX11" s="16"/>
      <c r="GY11" s="16"/>
      <c r="GZ11" s="16"/>
      <c r="HA11" s="16"/>
      <c r="HB11" s="16"/>
      <c r="HC11" s="25"/>
      <c r="HD11" s="166" t="s">
        <v>417</v>
      </c>
      <c r="HE11" s="23"/>
      <c r="HF11" s="23"/>
      <c r="HG11" s="23"/>
      <c r="HH11" s="23"/>
      <c r="HI11" s="23"/>
      <c r="HJ11" s="23"/>
      <c r="HK11" s="170" t="s">
        <v>418</v>
      </c>
      <c r="HL11" s="23"/>
      <c r="HM11" s="23"/>
      <c r="HN11" s="23"/>
      <c r="HO11" s="23"/>
      <c r="HP11" s="23"/>
      <c r="HQ11" s="23"/>
      <c r="HR11" s="177" t="s">
        <v>419</v>
      </c>
      <c r="HS11" s="23"/>
      <c r="HT11" s="23"/>
      <c r="HU11" s="23"/>
      <c r="HV11" s="23"/>
      <c r="HW11" s="23"/>
      <c r="HX11" s="23"/>
      <c r="HY11" s="12" t="s">
        <v>420</v>
      </c>
      <c r="IC11" s="166" t="s">
        <v>421</v>
      </c>
      <c r="ID11" s="23"/>
      <c r="IE11" s="23"/>
      <c r="IF11" s="23"/>
      <c r="IG11" s="23"/>
      <c r="IH11" s="23"/>
      <c r="II11" s="23"/>
      <c r="IJ11" s="23"/>
      <c r="IK11" s="23"/>
      <c r="IL11" s="23"/>
      <c r="IM11" s="166" t="s">
        <v>423</v>
      </c>
      <c r="IN11" s="23"/>
      <c r="IO11" s="23"/>
      <c r="IP11" s="23"/>
      <c r="IQ11" s="23"/>
      <c r="IR11" s="23"/>
      <c r="IS11" s="23"/>
      <c r="IT11" s="23"/>
      <c r="IU11" s="170" t="s">
        <v>424</v>
      </c>
      <c r="IV11" s="23"/>
      <c r="IW11" s="23"/>
      <c r="IX11" s="23"/>
      <c r="IY11" s="23"/>
      <c r="IZ11" s="23"/>
      <c r="JA11" s="166" t="s">
        <v>426</v>
      </c>
      <c r="JB11" s="23"/>
      <c r="JC11" s="23"/>
      <c r="JD11" s="23"/>
      <c r="JE11" s="23"/>
      <c r="JF11" s="23"/>
      <c r="JG11" s="23"/>
      <c r="JH11" s="170" t="s">
        <v>428</v>
      </c>
      <c r="JI11" s="23"/>
      <c r="JJ11" s="23"/>
      <c r="JK11" s="23"/>
      <c r="JL11" s="23"/>
      <c r="JM11" s="23"/>
      <c r="JN11" s="103" t="s">
        <v>419</v>
      </c>
      <c r="JO11" s="23"/>
      <c r="JP11" s="23"/>
      <c r="JQ11" s="23"/>
      <c r="JR11" s="23"/>
      <c r="JS11" s="23"/>
      <c r="JT11" s="23"/>
      <c r="JU11" s="23"/>
      <c r="JV11" s="170" t="s">
        <v>430</v>
      </c>
      <c r="JW11" s="23"/>
      <c r="JX11" s="23"/>
      <c r="JY11" s="23"/>
      <c r="JZ11" s="23"/>
      <c r="KA11" s="23"/>
      <c r="KB11" s="23"/>
      <c r="KC11" s="166" t="s">
        <v>431</v>
      </c>
      <c r="KD11" s="23"/>
      <c r="KE11" s="23"/>
      <c r="KF11" s="23"/>
      <c r="KG11" s="23"/>
      <c r="KH11" s="23"/>
      <c r="KI11" s="23"/>
      <c r="KJ11" s="189" t="s">
        <v>432</v>
      </c>
      <c r="KK11" s="16"/>
      <c r="KL11" s="16"/>
      <c r="KM11" s="16"/>
      <c r="KN11" s="16"/>
      <c r="KO11" s="16"/>
      <c r="KP11" s="16"/>
      <c r="KQ11" s="16"/>
      <c r="KR11" s="142" t="s">
        <v>433</v>
      </c>
      <c r="KS11" s="16"/>
      <c r="KT11" s="16"/>
      <c r="KU11" s="16"/>
      <c r="KV11" s="16"/>
      <c r="KW11" s="16"/>
      <c r="KX11" s="166" t="s">
        <v>434</v>
      </c>
      <c r="KY11" s="23"/>
      <c r="KZ11" s="23"/>
      <c r="LA11" s="23"/>
      <c r="LB11" s="23"/>
      <c r="LC11" s="23"/>
      <c r="LD11" s="23"/>
      <c r="LE11" s="170" t="s">
        <v>435</v>
      </c>
      <c r="LF11" s="23"/>
      <c r="LG11" s="23"/>
      <c r="LH11" s="23"/>
      <c r="LI11" s="23"/>
      <c r="LJ11" s="23"/>
      <c r="LK11" s="23"/>
      <c r="LL11" s="170" t="s">
        <v>436</v>
      </c>
      <c r="LM11" s="23"/>
      <c r="LN11" s="23"/>
      <c r="LO11" s="23"/>
      <c r="LP11" s="23"/>
      <c r="LQ11" s="23"/>
      <c r="LR11" s="23"/>
      <c r="LS11" s="170" t="s">
        <v>437</v>
      </c>
      <c r="LT11" s="23"/>
      <c r="LU11" s="23"/>
      <c r="LV11" s="23"/>
      <c r="LW11" s="23"/>
      <c r="LX11" s="23"/>
      <c r="LY11" s="23"/>
      <c r="LZ11" s="23"/>
      <c r="MA11" s="175" t="s">
        <v>438</v>
      </c>
      <c r="MB11" s="23"/>
      <c r="MC11" s="23"/>
      <c r="MD11" s="23"/>
      <c r="ME11" s="23"/>
      <c r="MF11" s="23"/>
      <c r="MG11" s="166" t="s">
        <v>439</v>
      </c>
      <c r="MH11" s="23"/>
      <c r="MI11" s="23"/>
      <c r="MJ11" s="23"/>
      <c r="MK11" s="23"/>
      <c r="ML11" s="23"/>
      <c r="MM11" s="23"/>
      <c r="MN11" s="166" t="s">
        <v>438</v>
      </c>
      <c r="MO11" s="23"/>
      <c r="MP11" s="23"/>
      <c r="MQ11" s="23"/>
      <c r="MR11" s="23"/>
      <c r="MS11" s="23"/>
      <c r="MT11" s="23"/>
      <c r="MU11" s="170" t="s">
        <v>440</v>
      </c>
      <c r="MV11" s="23"/>
      <c r="MW11" s="23"/>
      <c r="MX11" s="23"/>
      <c r="MY11" s="23"/>
      <c r="MZ11" s="23"/>
      <c r="NA11" s="104"/>
      <c r="NB11" s="113"/>
      <c r="NC11" s="113"/>
      <c r="ND11" s="113"/>
      <c r="NE11" s="113"/>
      <c r="NF11" s="113"/>
      <c r="NG11" s="113"/>
      <c r="NH11" s="113"/>
      <c r="NI11" s="113"/>
      <c r="NJ11" s="113"/>
      <c r="NK11" s="113"/>
      <c r="NL11" s="113"/>
      <c r="NM11" s="113"/>
      <c r="NN11" s="113"/>
      <c r="NO11" s="113"/>
      <c r="NP11" s="113"/>
      <c r="NQ11" s="113"/>
      <c r="NR11" s="113"/>
      <c r="NS11" s="113"/>
      <c r="NT11" s="113"/>
      <c r="NU11" s="113"/>
      <c r="NV11" s="113"/>
      <c r="NW11" s="113"/>
      <c r="NX11" s="113"/>
      <c r="NY11" s="113"/>
      <c r="NZ11" s="113"/>
      <c r="OA11" s="113"/>
      <c r="OB11" s="113"/>
      <c r="OC11" s="113"/>
    </row>
    <row r="12" ht="54.0" customHeight="1">
      <c r="A12" s="20" t="s">
        <v>441</v>
      </c>
      <c r="B12" s="190"/>
      <c r="C12" s="10"/>
      <c r="D12" s="10"/>
      <c r="E12" s="190" t="s">
        <v>444</v>
      </c>
      <c r="F12" s="10"/>
      <c r="G12" s="10"/>
      <c r="H12" s="10"/>
      <c r="I12" s="10"/>
      <c r="J12" s="10"/>
      <c r="K12" s="10"/>
      <c r="L12" s="10"/>
      <c r="M12" s="10"/>
      <c r="N12" s="10"/>
      <c r="O12" s="10"/>
      <c r="P12" s="10"/>
      <c r="Q12" s="10"/>
      <c r="R12" s="10"/>
      <c r="S12" s="10"/>
      <c r="T12" s="10"/>
      <c r="U12" s="10"/>
      <c r="V12" s="121"/>
      <c r="W12" s="111"/>
      <c r="AC12" s="83"/>
      <c r="AG12" s="144" t="s">
        <v>448</v>
      </c>
      <c r="AH12" s="16"/>
      <c r="AI12" s="16"/>
      <c r="AJ12" s="16"/>
      <c r="AK12" s="16"/>
      <c r="AL12" s="16"/>
      <c r="AM12" s="16"/>
      <c r="AN12" s="16"/>
      <c r="AO12" s="16"/>
      <c r="AP12" s="16"/>
      <c r="AQ12" s="16"/>
      <c r="AR12" s="16"/>
      <c r="AS12" s="190"/>
      <c r="AT12" s="10"/>
      <c r="AU12" s="10"/>
      <c r="AV12" s="10"/>
      <c r="AW12" s="10"/>
      <c r="AX12" s="121"/>
      <c r="AY12" s="111"/>
      <c r="BE12" s="83"/>
      <c r="BF12" s="144"/>
      <c r="BG12" s="16"/>
      <c r="BH12" s="16"/>
      <c r="BI12" s="16"/>
      <c r="BJ12" s="16"/>
      <c r="BK12" s="16"/>
      <c r="BL12" s="16"/>
      <c r="BM12" s="144" t="s">
        <v>456</v>
      </c>
      <c r="BN12" s="194"/>
      <c r="BO12" s="194"/>
      <c r="BP12" s="194"/>
      <c r="BQ12" s="194"/>
      <c r="BR12" s="194"/>
      <c r="BS12" s="194"/>
      <c r="BT12" s="194"/>
      <c r="BU12" s="194"/>
      <c r="BV12" s="194"/>
      <c r="BW12" s="194"/>
      <c r="BX12" s="194"/>
      <c r="BY12" s="194"/>
      <c r="BZ12" s="194"/>
      <c r="CA12" s="196"/>
      <c r="CB12" s="111"/>
      <c r="CH12" s="111"/>
      <c r="CN12" s="83"/>
      <c r="CO12" s="142"/>
      <c r="CP12" s="16"/>
      <c r="CQ12" s="142" t="s">
        <v>463</v>
      </c>
      <c r="CR12" s="16"/>
      <c r="CS12" s="16"/>
      <c r="CT12" s="16"/>
      <c r="CU12" s="16"/>
      <c r="CV12" s="16"/>
      <c r="CW12" s="16"/>
      <c r="CX12" s="16"/>
      <c r="CY12" s="16"/>
      <c r="CZ12" s="16"/>
      <c r="DA12" s="16"/>
      <c r="DB12" s="16"/>
      <c r="DC12" s="16"/>
      <c r="DD12" s="16"/>
      <c r="DE12" s="16"/>
      <c r="DF12" s="16"/>
      <c r="DG12" s="16"/>
      <c r="DH12" s="16"/>
      <c r="DI12" s="25"/>
      <c r="DJ12" s="111"/>
      <c r="DP12" s="83"/>
      <c r="DQ12" s="144"/>
      <c r="DR12" s="16"/>
      <c r="DS12" s="16"/>
      <c r="DT12" s="144" t="s">
        <v>470</v>
      </c>
      <c r="DU12" s="16"/>
      <c r="DV12" s="16"/>
      <c r="DW12" s="16"/>
      <c r="DX12" s="16"/>
      <c r="DY12" s="16"/>
      <c r="DZ12" s="16"/>
      <c r="EA12" s="16"/>
      <c r="EB12" s="16"/>
      <c r="EC12" s="194"/>
      <c r="ED12" s="16"/>
      <c r="EE12" s="111"/>
      <c r="EK12" s="83"/>
      <c r="EL12" s="110"/>
      <c r="ER12" s="83"/>
      <c r="ES12" s="111"/>
      <c r="EY12" s="83"/>
      <c r="EZ12" s="144" t="s">
        <v>475</v>
      </c>
      <c r="FA12" s="16"/>
      <c r="FB12" s="16"/>
      <c r="FC12" s="16"/>
      <c r="FD12" s="16"/>
      <c r="FE12" s="16"/>
      <c r="FF12" s="16"/>
      <c r="FG12" s="16"/>
      <c r="FH12" s="16"/>
      <c r="FI12" s="16"/>
      <c r="FJ12" s="16"/>
      <c r="FK12" s="16"/>
      <c r="FL12" s="16"/>
      <c r="FM12" s="25"/>
      <c r="FN12" s="111"/>
      <c r="FT12" s="83"/>
      <c r="FU12" s="111"/>
      <c r="GA12" s="83"/>
      <c r="GB12" s="111"/>
      <c r="GH12" s="83"/>
      <c r="GI12" s="111"/>
      <c r="GO12" s="83"/>
      <c r="GP12" s="199"/>
      <c r="GW12" s="110" t="s">
        <v>484</v>
      </c>
      <c r="HC12" s="83"/>
      <c r="HD12" s="200" t="s">
        <v>486</v>
      </c>
      <c r="HK12" s="202" t="s">
        <v>486</v>
      </c>
      <c r="HQ12" s="83"/>
      <c r="HR12" s="203" t="s">
        <v>486</v>
      </c>
      <c r="HY12" s="204"/>
      <c r="IC12" s="204" t="s">
        <v>490</v>
      </c>
      <c r="IU12" s="204"/>
      <c r="JA12" s="111"/>
      <c r="JG12" s="83"/>
      <c r="JH12" s="111"/>
      <c r="JN12" s="83"/>
      <c r="JO12" s="111"/>
      <c r="JU12" s="83"/>
      <c r="JV12" s="111"/>
      <c r="KB12" s="83"/>
      <c r="KC12" s="111"/>
      <c r="KI12" s="83"/>
      <c r="KJ12" s="111" t="s">
        <v>492</v>
      </c>
      <c r="LD12" s="83"/>
      <c r="LE12" s="111"/>
      <c r="LK12" s="83"/>
      <c r="LL12" s="111"/>
      <c r="LR12" s="83"/>
      <c r="LS12" s="111"/>
      <c r="LY12" s="83"/>
      <c r="LZ12" s="111" t="s">
        <v>496</v>
      </c>
      <c r="MT12" s="83"/>
      <c r="MU12" s="111"/>
      <c r="NA12" s="83"/>
      <c r="NB12" s="111"/>
      <c r="NC12" s="111"/>
      <c r="ND12" s="111"/>
      <c r="NE12" s="111"/>
      <c r="NF12" s="111"/>
      <c r="NG12" s="111"/>
      <c r="NH12" s="111"/>
      <c r="NI12" s="111"/>
      <c r="NJ12" s="111"/>
      <c r="NK12" s="111"/>
      <c r="NL12" s="111"/>
      <c r="NM12" s="111"/>
      <c r="NN12" s="111"/>
      <c r="NO12" s="111"/>
      <c r="NP12" s="111"/>
      <c r="NQ12" s="111"/>
      <c r="NR12" s="111"/>
      <c r="NS12" s="111"/>
      <c r="NT12" s="111"/>
      <c r="NU12" s="111"/>
      <c r="NV12" s="111"/>
      <c r="NW12" s="111"/>
      <c r="NX12" s="111"/>
      <c r="NY12" s="111"/>
      <c r="NZ12" s="111"/>
      <c r="OA12" s="111"/>
      <c r="OB12" s="111"/>
      <c r="OC12" s="111"/>
    </row>
    <row r="13" ht="81.75" customHeight="1">
      <c r="A13" s="20" t="s">
        <v>348</v>
      </c>
      <c r="B13" s="209" t="s">
        <v>500</v>
      </c>
      <c r="C13" s="16"/>
      <c r="D13" s="16"/>
      <c r="E13" s="16"/>
      <c r="F13" s="16"/>
      <c r="G13" s="16"/>
      <c r="H13" s="16"/>
      <c r="I13" s="209" t="s">
        <v>502</v>
      </c>
      <c r="J13" s="16"/>
      <c r="K13" s="16"/>
      <c r="L13" s="16"/>
      <c r="M13" s="16"/>
      <c r="N13" s="16"/>
      <c r="O13" s="16"/>
      <c r="P13" s="16"/>
      <c r="Q13" s="16"/>
      <c r="R13" s="16"/>
      <c r="S13" s="16"/>
      <c r="T13" s="16"/>
      <c r="U13" s="16"/>
      <c r="V13" s="25"/>
      <c r="W13" s="110" t="s">
        <v>504</v>
      </c>
      <c r="AC13" s="83"/>
      <c r="AD13" s="110" t="s">
        <v>505</v>
      </c>
      <c r="AK13" s="110" t="s">
        <v>506</v>
      </c>
      <c r="AQ13" s="83"/>
      <c r="AR13" s="110" t="s">
        <v>507</v>
      </c>
      <c r="BF13" s="12" t="s">
        <v>509</v>
      </c>
      <c r="BL13" s="83"/>
      <c r="BM13" s="211" t="s">
        <v>510</v>
      </c>
      <c r="CB13" s="110" t="s">
        <v>511</v>
      </c>
      <c r="CI13" s="110" t="s">
        <v>512</v>
      </c>
      <c r="CO13" s="170" t="s">
        <v>513</v>
      </c>
      <c r="CP13" s="23"/>
      <c r="CQ13" s="23"/>
      <c r="CR13" s="23"/>
      <c r="CS13" s="23"/>
      <c r="CT13" s="23"/>
      <c r="CU13" s="23"/>
      <c r="CV13" s="110" t="s">
        <v>514</v>
      </c>
      <c r="DB13" s="83"/>
      <c r="DC13" s="110" t="s">
        <v>515</v>
      </c>
      <c r="DI13" s="83"/>
      <c r="DJ13" s="110" t="s">
        <v>516</v>
      </c>
      <c r="DP13" s="83"/>
      <c r="DQ13" s="110" t="s">
        <v>517</v>
      </c>
      <c r="DW13" s="83"/>
      <c r="DX13" s="213" t="s">
        <v>519</v>
      </c>
      <c r="ED13" s="83"/>
      <c r="EE13" s="213" t="s">
        <v>521</v>
      </c>
      <c r="EK13" s="83"/>
      <c r="EL13" s="214" t="s">
        <v>522</v>
      </c>
      <c r="ER13" s="83"/>
      <c r="ES13" s="213" t="s">
        <v>524</v>
      </c>
      <c r="EY13" s="83"/>
      <c r="EZ13" s="215" t="s">
        <v>526</v>
      </c>
      <c r="FF13" s="83"/>
      <c r="FG13" s="215" t="s">
        <v>527</v>
      </c>
      <c r="FM13" s="83"/>
      <c r="FN13" s="213" t="s">
        <v>529</v>
      </c>
      <c r="FT13" s="83"/>
      <c r="FU13" s="213" t="s">
        <v>530</v>
      </c>
      <c r="GA13" s="83"/>
      <c r="GB13" s="216" t="s">
        <v>531</v>
      </c>
      <c r="GI13" s="213" t="s">
        <v>532</v>
      </c>
      <c r="GO13" s="83"/>
      <c r="GP13" s="217" t="s">
        <v>533</v>
      </c>
      <c r="GQ13" s="218"/>
      <c r="GR13" s="218"/>
      <c r="GS13" s="218"/>
      <c r="GT13" s="218"/>
      <c r="GU13" s="218"/>
      <c r="GV13" s="219"/>
      <c r="GW13" s="213" t="s">
        <v>534</v>
      </c>
      <c r="HC13" s="83"/>
      <c r="HD13" s="213" t="s">
        <v>535</v>
      </c>
      <c r="HJ13" s="83"/>
      <c r="HK13" s="170" t="s">
        <v>536</v>
      </c>
      <c r="HL13" s="23"/>
      <c r="HM13" s="23"/>
      <c r="HN13" s="23"/>
      <c r="HO13" s="23"/>
      <c r="HP13" s="23"/>
      <c r="HQ13" s="23"/>
      <c r="HR13" s="214" t="s">
        <v>537</v>
      </c>
      <c r="HX13" s="83"/>
      <c r="HY13" s="220" t="s">
        <v>538</v>
      </c>
      <c r="HZ13" s="23"/>
      <c r="IA13" s="23"/>
      <c r="IB13" s="23"/>
      <c r="IC13" s="23"/>
      <c r="ID13" s="23"/>
      <c r="IE13" s="23"/>
      <c r="IF13" s="221" t="s">
        <v>539</v>
      </c>
      <c r="IM13" s="221" t="s">
        <v>539</v>
      </c>
      <c r="IT13" s="221" t="s">
        <v>544</v>
      </c>
      <c r="JA13" s="216" t="s">
        <v>545</v>
      </c>
      <c r="JH13" s="221" t="s">
        <v>548</v>
      </c>
      <c r="JO13" s="222" t="s">
        <v>537</v>
      </c>
      <c r="JU13" s="83"/>
      <c r="JV13" s="213" t="s">
        <v>555</v>
      </c>
      <c r="KB13" s="83"/>
      <c r="KC13" s="213" t="s">
        <v>556</v>
      </c>
      <c r="KI13" s="83"/>
      <c r="KJ13" s="207" t="s">
        <v>558</v>
      </c>
      <c r="LD13" s="83"/>
      <c r="LE13" s="213" t="s">
        <v>559</v>
      </c>
      <c r="LK13" s="83"/>
      <c r="LL13" s="213" t="s">
        <v>560</v>
      </c>
      <c r="LR13" s="83"/>
      <c r="LS13" s="213" t="s">
        <v>562</v>
      </c>
      <c r="LZ13" s="213" t="s">
        <v>523</v>
      </c>
      <c r="MF13" s="83"/>
      <c r="MG13" s="213" t="s">
        <v>525</v>
      </c>
      <c r="MM13" s="83"/>
      <c r="MN13" s="213" t="s">
        <v>523</v>
      </c>
      <c r="MT13" s="83"/>
      <c r="MU13" s="110" t="s">
        <v>564</v>
      </c>
      <c r="NA13" s="83"/>
    </row>
    <row r="14">
      <c r="A14" s="224" t="s">
        <v>565</v>
      </c>
      <c r="B14" s="225"/>
      <c r="C14" s="23"/>
      <c r="D14" s="23"/>
      <c r="E14" s="23"/>
      <c r="F14" s="23"/>
      <c r="G14" s="23"/>
      <c r="H14" s="23"/>
      <c r="I14" s="123"/>
      <c r="J14" s="16"/>
      <c r="K14" s="16"/>
      <c r="L14" s="16"/>
      <c r="M14" s="16"/>
      <c r="N14" s="16"/>
      <c r="O14" s="16"/>
      <c r="P14" s="123"/>
      <c r="Q14" s="16"/>
      <c r="R14" s="16"/>
      <c r="S14" s="16"/>
      <c r="T14" s="16"/>
      <c r="U14" s="16"/>
      <c r="V14" s="16"/>
      <c r="W14" s="123"/>
      <c r="X14" s="16"/>
      <c r="Y14" s="16"/>
      <c r="Z14" s="16"/>
      <c r="AA14" s="16"/>
      <c r="AB14" s="16"/>
      <c r="AC14" s="16"/>
      <c r="AD14" s="123"/>
      <c r="AE14" s="16"/>
      <c r="AF14" s="16"/>
      <c r="AG14" s="16"/>
      <c r="AH14" s="16"/>
      <c r="AI14" s="16"/>
      <c r="AJ14" s="16"/>
      <c r="AK14" s="123"/>
      <c r="AL14" s="16"/>
      <c r="AM14" s="16"/>
      <c r="AN14" s="16"/>
      <c r="AO14" s="16"/>
      <c r="AP14" s="16"/>
      <c r="AQ14" s="16"/>
      <c r="AR14" s="123"/>
      <c r="AS14" s="16"/>
      <c r="AT14" s="16"/>
      <c r="AU14" s="16"/>
      <c r="AV14" s="16"/>
      <c r="AW14" s="16"/>
      <c r="AX14" s="16"/>
      <c r="AY14" s="123"/>
      <c r="AZ14" s="16"/>
      <c r="BA14" s="16"/>
      <c r="BB14" s="16"/>
      <c r="BC14" s="16"/>
      <c r="BD14" s="16"/>
      <c r="BE14" s="16"/>
      <c r="BF14" s="123"/>
      <c r="BG14" s="16"/>
      <c r="BH14" s="16"/>
      <c r="BI14" s="16"/>
      <c r="BJ14" s="16"/>
      <c r="BK14" s="16"/>
      <c r="BL14" s="16"/>
      <c r="BM14" s="123"/>
      <c r="BN14" s="16"/>
      <c r="BO14" s="16"/>
      <c r="BP14" s="16"/>
      <c r="BQ14" s="16"/>
      <c r="BR14" s="16"/>
      <c r="BS14" s="16"/>
      <c r="BT14" s="123"/>
      <c r="BU14" s="16"/>
      <c r="BV14" s="16"/>
      <c r="BW14" s="16"/>
      <c r="BX14" s="16"/>
      <c r="BY14" s="16"/>
      <c r="BZ14" s="16"/>
      <c r="CA14" s="123"/>
      <c r="CB14" s="16"/>
      <c r="CC14" s="16"/>
      <c r="CD14" s="16"/>
      <c r="CE14" s="16"/>
      <c r="CF14" s="16"/>
      <c r="CG14" s="16"/>
      <c r="CH14" s="123"/>
      <c r="CI14" s="16"/>
      <c r="CJ14" s="16"/>
      <c r="CK14" s="16"/>
      <c r="CL14" s="16"/>
      <c r="CM14" s="16"/>
      <c r="CN14" s="16"/>
      <c r="CO14" s="123"/>
      <c r="CP14" s="16"/>
      <c r="CQ14" s="16"/>
      <c r="CR14" s="16"/>
      <c r="CS14" s="16"/>
      <c r="CT14" s="16"/>
      <c r="CU14" s="16"/>
      <c r="CV14" s="123"/>
      <c r="CW14" s="16"/>
      <c r="CX14" s="16"/>
      <c r="CY14" s="16"/>
      <c r="CZ14" s="16"/>
      <c r="DA14" s="16"/>
      <c r="DB14" s="16"/>
      <c r="DC14" s="123"/>
      <c r="DD14" s="16"/>
      <c r="DE14" s="16"/>
      <c r="DF14" s="16"/>
      <c r="DG14" s="16"/>
      <c r="DH14" s="16"/>
      <c r="DI14" s="16"/>
      <c r="DJ14" s="123"/>
      <c r="DK14" s="16"/>
      <c r="DL14" s="16"/>
      <c r="DM14" s="16"/>
      <c r="DN14" s="16"/>
      <c r="DO14" s="16"/>
      <c r="DP14" s="16"/>
      <c r="DQ14" s="123"/>
      <c r="DR14" s="16"/>
      <c r="DS14" s="16"/>
      <c r="DT14" s="16"/>
      <c r="DU14" s="16"/>
      <c r="DV14" s="16"/>
      <c r="DW14" s="16"/>
      <c r="DX14" s="123"/>
      <c r="DY14" s="16"/>
      <c r="DZ14" s="16"/>
      <c r="EA14" s="16"/>
      <c r="EB14" s="16"/>
      <c r="EC14" s="16"/>
      <c r="ED14" s="16"/>
      <c r="EE14" s="123"/>
      <c r="EF14" s="16"/>
      <c r="EG14" s="16"/>
      <c r="EH14" s="16"/>
      <c r="EI14" s="16"/>
      <c r="EJ14" s="16"/>
      <c r="EK14" s="16"/>
      <c r="EL14" s="123"/>
      <c r="EM14" s="16"/>
      <c r="EN14" s="16"/>
      <c r="EO14" s="16"/>
      <c r="EP14" s="16"/>
      <c r="EQ14" s="16"/>
      <c r="ER14" s="16"/>
      <c r="ES14" s="123"/>
      <c r="ET14" s="16"/>
      <c r="EU14" s="16"/>
      <c r="EV14" s="16"/>
      <c r="EW14" s="16"/>
      <c r="EX14" s="16"/>
      <c r="EY14" s="16"/>
      <c r="EZ14" s="123"/>
      <c r="FA14" s="16"/>
      <c r="FB14" s="16"/>
      <c r="FC14" s="16"/>
      <c r="FD14" s="16"/>
      <c r="FE14" s="16"/>
      <c r="FF14" s="16"/>
      <c r="FG14" s="123"/>
      <c r="FH14" s="16"/>
      <c r="FI14" s="16"/>
      <c r="FJ14" s="16"/>
      <c r="FK14" s="16"/>
      <c r="FL14" s="16"/>
      <c r="FM14" s="16"/>
      <c r="FN14" s="123"/>
      <c r="FO14" s="16"/>
      <c r="FP14" s="16"/>
      <c r="FQ14" s="16"/>
      <c r="FR14" s="16"/>
      <c r="FS14" s="16"/>
      <c r="FT14" s="16"/>
      <c r="FU14" s="123"/>
      <c r="FV14" s="16"/>
      <c r="FW14" s="16"/>
      <c r="FX14" s="16"/>
      <c r="FY14" s="16"/>
      <c r="FZ14" s="16"/>
      <c r="GA14" s="16"/>
      <c r="GB14" s="123"/>
      <c r="GC14" s="16"/>
      <c r="GD14" s="16"/>
      <c r="GE14" s="16"/>
      <c r="GF14" s="16"/>
      <c r="GG14" s="16"/>
      <c r="GH14" s="16"/>
      <c r="GI14" s="123"/>
      <c r="GJ14" s="16"/>
      <c r="GK14" s="16"/>
      <c r="GL14" s="16"/>
      <c r="GM14" s="16"/>
      <c r="GN14" s="16"/>
      <c r="GO14" s="16"/>
      <c r="GP14" s="123"/>
      <c r="GQ14" s="16"/>
      <c r="GR14" s="16"/>
      <c r="GS14" s="16"/>
      <c r="GT14" s="16"/>
      <c r="GU14" s="16"/>
      <c r="GV14" s="16"/>
      <c r="GW14" s="123"/>
      <c r="GX14" s="16"/>
      <c r="GY14" s="16"/>
      <c r="GZ14" s="16"/>
      <c r="HA14" s="16"/>
      <c r="HB14" s="16"/>
      <c r="HC14" s="16"/>
      <c r="HD14" s="123"/>
      <c r="HE14" s="16"/>
      <c r="HF14" s="16"/>
      <c r="HG14" s="16"/>
      <c r="HH14" s="16"/>
      <c r="HI14" s="16"/>
      <c r="HJ14" s="16"/>
      <c r="HK14" s="123"/>
      <c r="HL14" s="16"/>
      <c r="HM14" s="16"/>
      <c r="HN14" s="16"/>
      <c r="HO14" s="16"/>
      <c r="HP14" s="16"/>
      <c r="HQ14" s="16"/>
      <c r="HR14" s="228"/>
      <c r="HS14" s="16"/>
      <c r="HT14" s="16"/>
      <c r="HU14" s="16"/>
      <c r="HV14" s="16"/>
      <c r="HW14" s="16"/>
      <c r="HX14" s="16"/>
      <c r="HY14" s="123"/>
      <c r="HZ14" s="16"/>
      <c r="IA14" s="16"/>
      <c r="IB14" s="16"/>
      <c r="IC14" s="16"/>
      <c r="ID14" s="16"/>
      <c r="IE14" s="16"/>
      <c r="IF14" s="123"/>
      <c r="IG14" s="16"/>
      <c r="IH14" s="16"/>
      <c r="II14" s="16"/>
      <c r="IJ14" s="16"/>
      <c r="IK14" s="16"/>
      <c r="IL14" s="16"/>
      <c r="IM14" s="123"/>
      <c r="IN14" s="16"/>
      <c r="IO14" s="16"/>
      <c r="IP14" s="16"/>
      <c r="IQ14" s="16"/>
      <c r="IR14" s="16"/>
      <c r="IS14" s="16"/>
      <c r="IT14" s="123"/>
      <c r="IU14" s="16"/>
      <c r="IV14" s="16"/>
      <c r="IW14" s="16"/>
      <c r="IX14" s="16"/>
      <c r="IY14" s="16"/>
      <c r="IZ14" s="16"/>
      <c r="JA14" s="123"/>
      <c r="JB14" s="16"/>
      <c r="JC14" s="16"/>
      <c r="JD14" s="16"/>
      <c r="JE14" s="16"/>
      <c r="JF14" s="16"/>
      <c r="JG14" s="16"/>
      <c r="JH14" s="123"/>
      <c r="JI14" s="16"/>
      <c r="JJ14" s="16"/>
      <c r="JK14" s="16"/>
      <c r="JL14" s="16"/>
      <c r="JM14" s="16"/>
      <c r="JN14" s="16"/>
      <c r="JO14" s="123"/>
      <c r="JP14" s="16"/>
      <c r="JQ14" s="16"/>
      <c r="JR14" s="16"/>
      <c r="JS14" s="16"/>
      <c r="JT14" s="16"/>
      <c r="JU14" s="16"/>
      <c r="JV14" s="123"/>
      <c r="JW14" s="16"/>
      <c r="JX14" s="16"/>
      <c r="JY14" s="16"/>
      <c r="JZ14" s="16"/>
      <c r="KA14" s="16"/>
      <c r="KB14" s="16"/>
      <c r="KC14" s="123"/>
      <c r="KD14" s="16"/>
      <c r="KE14" s="16"/>
      <c r="KF14" s="16"/>
      <c r="KG14" s="16"/>
      <c r="KH14" s="16"/>
      <c r="KI14" s="16"/>
      <c r="KJ14" s="123"/>
      <c r="KK14" s="16"/>
      <c r="KL14" s="16"/>
      <c r="KM14" s="16"/>
      <c r="KN14" s="16"/>
      <c r="KO14" s="16"/>
      <c r="KP14" s="16"/>
      <c r="KQ14" s="123"/>
      <c r="KR14" s="16"/>
      <c r="KS14" s="16"/>
      <c r="KT14" s="16"/>
      <c r="KU14" s="16"/>
      <c r="KV14" s="16"/>
      <c r="KW14" s="16"/>
      <c r="KX14" s="123"/>
      <c r="KY14" s="16"/>
      <c r="KZ14" s="16"/>
      <c r="LA14" s="16"/>
      <c r="LB14" s="16"/>
      <c r="LC14" s="16"/>
      <c r="LD14" s="16"/>
      <c r="LE14" s="123"/>
      <c r="LF14" s="16"/>
      <c r="LG14" s="16"/>
      <c r="LH14" s="16"/>
      <c r="LI14" s="16"/>
      <c r="LJ14" s="16"/>
      <c r="LK14" s="16"/>
      <c r="LL14" s="123"/>
      <c r="LM14" s="16"/>
      <c r="LN14" s="16"/>
      <c r="LO14" s="16"/>
      <c r="LP14" s="16"/>
      <c r="LQ14" s="16"/>
      <c r="LR14" s="16"/>
      <c r="LS14" s="123"/>
      <c r="LT14" s="16"/>
      <c r="LU14" s="16"/>
      <c r="LV14" s="16"/>
      <c r="LW14" s="16"/>
      <c r="LX14" s="16"/>
      <c r="LY14" s="16"/>
      <c r="LZ14" s="123"/>
      <c r="MA14" s="16"/>
      <c r="MB14" s="16"/>
      <c r="MC14" s="16"/>
      <c r="MD14" s="16"/>
      <c r="ME14" s="16"/>
      <c r="MF14" s="16"/>
      <c r="MG14" s="123"/>
      <c r="MH14" s="16"/>
      <c r="MI14" s="16"/>
      <c r="MJ14" s="16"/>
      <c r="MK14" s="16"/>
      <c r="ML14" s="16"/>
      <c r="MM14" s="16"/>
      <c r="MN14" s="123"/>
      <c r="MO14" s="16"/>
      <c r="MP14" s="16"/>
      <c r="MQ14" s="16"/>
      <c r="MR14" s="16"/>
      <c r="MS14" s="16"/>
      <c r="MT14" s="16"/>
      <c r="MU14" s="123"/>
      <c r="MV14" s="16"/>
      <c r="MW14" s="16"/>
      <c r="MX14" s="16"/>
      <c r="MY14" s="16"/>
      <c r="MZ14" s="16"/>
      <c r="NA14" s="25"/>
    </row>
    <row r="15">
      <c r="A15" s="20" t="s">
        <v>618</v>
      </c>
      <c r="B15" s="113"/>
      <c r="I15" s="112"/>
      <c r="P15" s="112"/>
      <c r="W15" s="112"/>
      <c r="AD15" s="112"/>
      <c r="AK15" s="112"/>
      <c r="AR15" s="112"/>
      <c r="AY15" s="112"/>
      <c r="BF15" s="112"/>
      <c r="BM15" s="112"/>
      <c r="BT15" s="112"/>
      <c r="CA15" s="112"/>
      <c r="CH15" s="112"/>
      <c r="CO15" s="112"/>
      <c r="CV15" s="114" t="s">
        <v>621</v>
      </c>
      <c r="DC15" s="114" t="s">
        <v>622</v>
      </c>
      <c r="DJ15" s="114" t="s">
        <v>378</v>
      </c>
      <c r="DQ15" s="114" t="s">
        <v>398</v>
      </c>
      <c r="DX15" s="114" t="s">
        <v>398</v>
      </c>
      <c r="EE15" s="112"/>
      <c r="EL15" s="114" t="s">
        <v>624</v>
      </c>
      <c r="ES15" s="112"/>
      <c r="EZ15" s="112"/>
      <c r="FG15" s="112"/>
      <c r="FN15" s="112"/>
      <c r="FU15" s="112"/>
      <c r="GB15" s="112"/>
      <c r="GI15" s="112"/>
      <c r="GP15" s="112"/>
      <c r="GW15" s="112"/>
      <c r="HD15" s="112"/>
      <c r="HK15" s="112"/>
      <c r="HR15" s="112"/>
      <c r="HY15" s="112"/>
      <c r="IF15" s="112"/>
      <c r="IM15" s="112"/>
      <c r="IT15" s="112"/>
      <c r="JA15" s="112"/>
      <c r="JH15" s="112"/>
      <c r="JO15" s="112"/>
      <c r="JV15" s="112"/>
      <c r="KC15" s="112"/>
      <c r="KJ15" s="112"/>
      <c r="KQ15" s="112"/>
      <c r="KX15" s="112"/>
      <c r="LE15" s="112"/>
      <c r="LL15" s="112"/>
      <c r="LS15" s="112"/>
      <c r="LZ15" s="112"/>
      <c r="MG15" s="112"/>
      <c r="MN15" s="112"/>
      <c r="MU15" s="112"/>
      <c r="NA15" s="83"/>
    </row>
    <row r="16">
      <c r="A16" s="20" t="s">
        <v>627</v>
      </c>
      <c r="B16" s="113"/>
      <c r="I16" s="112"/>
      <c r="P16" s="112"/>
      <c r="W16" s="112"/>
      <c r="AD16" s="112"/>
      <c r="AK16" s="112"/>
      <c r="AR16" s="112"/>
      <c r="AY16" s="112"/>
      <c r="BF16" s="112"/>
      <c r="BM16" s="112"/>
      <c r="BT16" s="112"/>
      <c r="CA16" s="112"/>
      <c r="CH16" s="112"/>
      <c r="CO16" s="112"/>
      <c r="CV16" s="112"/>
      <c r="DC16" s="114"/>
      <c r="DJ16" s="112"/>
      <c r="DQ16" s="114" t="s">
        <v>398</v>
      </c>
      <c r="DX16" s="114" t="s">
        <v>398</v>
      </c>
      <c r="EE16" s="112"/>
      <c r="EL16" s="114"/>
      <c r="ES16" s="112"/>
      <c r="EZ16" s="112"/>
      <c r="FG16" s="112"/>
      <c r="FN16" s="112"/>
      <c r="FU16" s="112"/>
      <c r="GB16" s="112"/>
      <c r="GI16" s="112"/>
      <c r="GP16" s="112"/>
      <c r="GW16" s="112"/>
      <c r="HD16" s="112"/>
      <c r="HK16" s="112"/>
      <c r="HR16" s="112"/>
      <c r="HY16" s="112"/>
      <c r="IF16" s="112"/>
      <c r="IM16" s="112"/>
      <c r="IT16" s="112"/>
      <c r="JA16" s="112"/>
      <c r="JH16" s="112"/>
      <c r="JO16" s="112"/>
      <c r="JV16" s="112"/>
      <c r="KC16" s="112"/>
      <c r="KJ16" s="112"/>
      <c r="KQ16" s="112"/>
      <c r="KX16" s="112"/>
      <c r="LE16" s="112"/>
      <c r="LL16" s="112"/>
      <c r="LS16" s="112"/>
      <c r="LZ16" s="112"/>
      <c r="MG16" s="112"/>
      <c r="MN16" s="112"/>
      <c r="MU16" s="112"/>
      <c r="NA16" s="83"/>
    </row>
    <row r="17">
      <c r="A17" s="20" t="s">
        <v>642</v>
      </c>
      <c r="B17" s="113"/>
      <c r="I17" s="112"/>
      <c r="P17" s="112"/>
      <c r="W17" s="112"/>
      <c r="AD17" s="112"/>
      <c r="AK17" s="114" t="s">
        <v>645</v>
      </c>
      <c r="AR17" s="112"/>
      <c r="AY17" s="112"/>
      <c r="BF17" s="112"/>
      <c r="BM17" s="112"/>
      <c r="BT17" s="112"/>
      <c r="CA17" s="112"/>
      <c r="CH17" s="112"/>
      <c r="CO17" s="112"/>
      <c r="CV17" s="114" t="s">
        <v>621</v>
      </c>
      <c r="DC17" s="114" t="s">
        <v>622</v>
      </c>
      <c r="DJ17" s="114" t="s">
        <v>378</v>
      </c>
      <c r="DQ17" s="114" t="s">
        <v>398</v>
      </c>
      <c r="DX17" s="114" t="s">
        <v>398</v>
      </c>
      <c r="EE17" s="114" t="s">
        <v>650</v>
      </c>
      <c r="EL17" s="114" t="s">
        <v>624</v>
      </c>
      <c r="ES17" s="114" t="s">
        <v>653</v>
      </c>
      <c r="EZ17" s="114" t="s">
        <v>657</v>
      </c>
      <c r="FG17" s="114" t="s">
        <v>658</v>
      </c>
      <c r="FN17" s="114" t="s">
        <v>659</v>
      </c>
      <c r="FU17" s="114" t="s">
        <v>660</v>
      </c>
      <c r="GB17" s="112"/>
      <c r="GI17" s="112"/>
      <c r="GP17" s="112"/>
      <c r="GW17" s="112"/>
      <c r="HD17" s="112"/>
      <c r="HK17" s="112"/>
      <c r="HR17" s="112"/>
      <c r="HY17" s="112"/>
      <c r="IF17" s="112"/>
      <c r="IM17" s="112"/>
      <c r="IT17" s="112"/>
      <c r="JA17" s="112"/>
      <c r="JH17" s="112"/>
      <c r="JO17" s="112"/>
      <c r="JV17" s="112"/>
      <c r="KC17" s="112"/>
      <c r="KJ17" s="112"/>
      <c r="KQ17" s="112"/>
      <c r="KX17" s="112"/>
      <c r="LE17" s="112"/>
      <c r="LL17" s="112"/>
      <c r="LS17" s="112"/>
      <c r="LZ17" s="112"/>
      <c r="MG17" s="112"/>
      <c r="MN17" s="112"/>
      <c r="MU17" s="112"/>
      <c r="NA17" s="83"/>
    </row>
    <row r="18">
      <c r="A18" s="20" t="s">
        <v>668</v>
      </c>
      <c r="B18" s="113"/>
      <c r="I18" s="112"/>
      <c r="P18" s="112"/>
      <c r="W18" s="112"/>
      <c r="AD18" s="112"/>
      <c r="AK18" s="112"/>
      <c r="AR18" s="112"/>
      <c r="AY18" s="112"/>
      <c r="BF18" s="112"/>
      <c r="BM18" s="112"/>
      <c r="BT18" s="114" t="s">
        <v>674</v>
      </c>
      <c r="CA18" s="112"/>
      <c r="CH18" s="114" t="s">
        <v>675</v>
      </c>
      <c r="CO18" s="114" t="s">
        <v>675</v>
      </c>
      <c r="CV18" s="114" t="s">
        <v>675</v>
      </c>
      <c r="DC18" s="114" t="s">
        <v>338</v>
      </c>
      <c r="DJ18" s="114" t="s">
        <v>675</v>
      </c>
      <c r="DQ18" s="114" t="s">
        <v>675</v>
      </c>
      <c r="DX18" s="114" t="s">
        <v>398</v>
      </c>
      <c r="EE18" s="114" t="s">
        <v>675</v>
      </c>
      <c r="EL18" s="114" t="s">
        <v>678</v>
      </c>
      <c r="ES18" s="114" t="s">
        <v>675</v>
      </c>
      <c r="EZ18" s="114" t="s">
        <v>675</v>
      </c>
      <c r="FG18" s="114" t="s">
        <v>679</v>
      </c>
      <c r="FN18" s="114" t="s">
        <v>681</v>
      </c>
      <c r="FU18" s="112"/>
      <c r="GB18" s="112"/>
      <c r="GI18" s="112"/>
      <c r="GP18" s="112"/>
      <c r="GW18" s="112"/>
      <c r="HD18" s="112"/>
      <c r="HK18" s="112"/>
      <c r="HR18" s="112"/>
      <c r="HY18" s="112"/>
      <c r="IF18" s="112"/>
      <c r="IM18" s="112"/>
      <c r="IT18" s="112"/>
      <c r="JA18" s="112"/>
      <c r="JH18" s="112"/>
      <c r="JO18" s="112"/>
      <c r="JV18" s="112"/>
      <c r="KC18" s="112"/>
      <c r="KJ18" s="112"/>
      <c r="KQ18" s="112"/>
      <c r="KX18" s="112"/>
      <c r="LE18" s="112"/>
      <c r="LL18" s="112"/>
      <c r="LS18" s="112"/>
      <c r="LZ18" s="112"/>
      <c r="MG18" s="112"/>
      <c r="MN18" s="112"/>
      <c r="MU18" s="112"/>
      <c r="NA18" s="83"/>
    </row>
    <row r="19">
      <c r="A19" s="20" t="s">
        <v>688</v>
      </c>
      <c r="B19" s="113"/>
      <c r="I19" s="112"/>
      <c r="P19" s="112"/>
      <c r="W19" s="112"/>
      <c r="AD19" s="112"/>
      <c r="AK19" s="112"/>
      <c r="AR19" s="112"/>
      <c r="AY19" s="112"/>
      <c r="BF19" s="112"/>
      <c r="BM19" s="112"/>
      <c r="BT19" s="114" t="s">
        <v>691</v>
      </c>
      <c r="CA19" s="112"/>
      <c r="CH19" s="114" t="s">
        <v>692</v>
      </c>
      <c r="CO19" s="114" t="s">
        <v>693</v>
      </c>
      <c r="CV19" s="114" t="s">
        <v>694</v>
      </c>
      <c r="DC19" s="114" t="s">
        <v>695</v>
      </c>
      <c r="DJ19" s="114" t="s">
        <v>697</v>
      </c>
      <c r="DQ19" s="114" t="s">
        <v>698</v>
      </c>
      <c r="DX19" s="114" t="s">
        <v>398</v>
      </c>
      <c r="EE19" s="114" t="s">
        <v>650</v>
      </c>
      <c r="EL19" s="114" t="s">
        <v>678</v>
      </c>
      <c r="ES19" s="114" t="s">
        <v>700</v>
      </c>
      <c r="EZ19" s="114" t="s">
        <v>701</v>
      </c>
      <c r="FG19" s="114" t="s">
        <v>702</v>
      </c>
      <c r="FN19" s="114" t="s">
        <v>704</v>
      </c>
      <c r="FU19" s="112"/>
      <c r="GB19" s="112"/>
      <c r="GI19" s="112"/>
      <c r="GP19" s="112"/>
      <c r="GW19" s="112"/>
      <c r="HD19" s="112"/>
      <c r="HK19" s="112"/>
      <c r="HR19" s="112"/>
      <c r="HY19" s="112"/>
      <c r="IF19" s="112"/>
      <c r="IM19" s="112"/>
      <c r="IT19" s="112"/>
      <c r="JA19" s="112"/>
      <c r="JH19" s="112"/>
      <c r="JO19" s="112"/>
      <c r="JV19" s="112"/>
      <c r="KC19" s="112"/>
      <c r="KJ19" s="112"/>
      <c r="KQ19" s="112"/>
      <c r="KX19" s="114" t="s">
        <v>705</v>
      </c>
      <c r="LE19" s="112"/>
      <c r="LL19" s="112"/>
      <c r="LS19" s="112"/>
      <c r="LZ19" s="112"/>
      <c r="MG19" s="112"/>
      <c r="MN19" s="112"/>
      <c r="MU19" s="112"/>
      <c r="NA19" s="83"/>
    </row>
    <row r="20">
      <c r="A20" s="20" t="s">
        <v>706</v>
      </c>
      <c r="B20" s="113"/>
      <c r="I20" s="112"/>
      <c r="P20" s="112"/>
      <c r="W20" s="112"/>
      <c r="AD20" s="112"/>
      <c r="AK20" s="112"/>
      <c r="AR20" s="112"/>
      <c r="AY20" s="112"/>
      <c r="BF20" s="112"/>
      <c r="BM20" s="112"/>
      <c r="BT20" s="114"/>
      <c r="CA20" s="112"/>
      <c r="CH20" s="114"/>
      <c r="CO20" s="114"/>
      <c r="CV20" s="114"/>
      <c r="DC20" s="114" t="s">
        <v>707</v>
      </c>
      <c r="DJ20" s="114" t="s">
        <v>708</v>
      </c>
      <c r="DQ20" s="114" t="s">
        <v>398</v>
      </c>
      <c r="DX20" s="114" t="s">
        <v>398</v>
      </c>
      <c r="EE20" s="114"/>
      <c r="EL20" s="114" t="s">
        <v>709</v>
      </c>
      <c r="ES20" s="114"/>
      <c r="EZ20" s="114"/>
      <c r="FG20" s="114"/>
      <c r="FN20" s="114"/>
      <c r="FU20" s="112"/>
      <c r="GB20" s="112"/>
      <c r="GI20" s="112"/>
      <c r="GP20" s="112"/>
      <c r="GW20" s="112"/>
      <c r="HD20" s="112"/>
      <c r="HK20" s="112"/>
      <c r="HR20" s="112"/>
      <c r="HY20" s="112"/>
      <c r="IF20" s="112"/>
      <c r="IM20" s="112"/>
      <c r="IT20" s="112"/>
      <c r="JA20" s="112"/>
      <c r="JH20" s="112"/>
      <c r="JO20" s="112"/>
      <c r="JV20" s="112"/>
      <c r="KC20" s="112"/>
      <c r="KJ20" s="112"/>
      <c r="KQ20" s="112"/>
      <c r="KX20" s="112"/>
      <c r="LE20" s="112"/>
      <c r="LL20" s="112"/>
      <c r="LS20" s="112"/>
      <c r="LZ20" s="112"/>
      <c r="MG20" s="112"/>
      <c r="MN20" s="112"/>
      <c r="MU20" s="112"/>
      <c r="NA20" s="83"/>
    </row>
    <row r="21">
      <c r="A21" s="20" t="s">
        <v>710</v>
      </c>
      <c r="B21" s="113"/>
      <c r="I21" s="112"/>
      <c r="P21" s="112"/>
      <c r="W21" s="112"/>
      <c r="AD21" s="112"/>
      <c r="AK21" s="112"/>
      <c r="AR21" s="112"/>
      <c r="AY21" s="112"/>
      <c r="BF21" s="112"/>
      <c r="BM21" s="114"/>
      <c r="BT21" s="114" t="s">
        <v>674</v>
      </c>
      <c r="CA21" s="112"/>
      <c r="CH21" s="114" t="s">
        <v>675</v>
      </c>
      <c r="CO21" s="114" t="s">
        <v>675</v>
      </c>
      <c r="CV21" s="114" t="s">
        <v>711</v>
      </c>
      <c r="DC21" s="114" t="s">
        <v>712</v>
      </c>
      <c r="DJ21" s="114" t="s">
        <v>675</v>
      </c>
      <c r="DQ21" s="114" t="s">
        <v>675</v>
      </c>
      <c r="DX21" s="114" t="s">
        <v>398</v>
      </c>
      <c r="EE21" s="114" t="s">
        <v>675</v>
      </c>
      <c r="EL21" s="114" t="s">
        <v>675</v>
      </c>
      <c r="ES21" s="114" t="s">
        <v>675</v>
      </c>
      <c r="EZ21" s="114" t="s">
        <v>675</v>
      </c>
      <c r="FG21" s="114" t="s">
        <v>713</v>
      </c>
      <c r="FN21" s="114" t="s">
        <v>675</v>
      </c>
      <c r="FU21" s="112"/>
      <c r="GB21" s="112"/>
      <c r="GI21" s="112"/>
      <c r="GP21" s="112"/>
      <c r="GW21" s="112"/>
      <c r="HD21" s="112"/>
      <c r="HK21" s="112"/>
      <c r="HR21" s="112"/>
      <c r="HY21" s="112"/>
      <c r="IF21" s="112"/>
      <c r="IM21" s="112"/>
      <c r="IT21" s="112"/>
      <c r="JA21" s="112"/>
      <c r="JH21" s="112"/>
      <c r="JO21" s="112"/>
      <c r="JV21" s="112"/>
      <c r="KC21" s="112"/>
      <c r="KJ21" s="112"/>
      <c r="KQ21" s="112"/>
      <c r="KX21" s="112"/>
      <c r="LE21" s="112"/>
      <c r="LL21" s="112"/>
      <c r="LS21" s="112"/>
      <c r="LZ21" s="112"/>
      <c r="MG21" s="112"/>
      <c r="MN21" s="112"/>
      <c r="MU21" s="112"/>
      <c r="NA21" s="83"/>
    </row>
    <row r="22" ht="20.25" customHeight="1">
      <c r="A22" s="20" t="s">
        <v>717</v>
      </c>
      <c r="B22" s="113"/>
      <c r="I22" s="112"/>
      <c r="P22" s="112"/>
      <c r="W22" s="112"/>
      <c r="AD22" s="112"/>
      <c r="AK22" s="112"/>
      <c r="AR22" s="112"/>
      <c r="AY22" s="112"/>
      <c r="BF22" s="112"/>
      <c r="BM22" s="112"/>
      <c r="BT22" s="114"/>
      <c r="CA22" s="112"/>
      <c r="CH22" s="114" t="s">
        <v>675</v>
      </c>
      <c r="CO22" s="114" t="s">
        <v>675</v>
      </c>
      <c r="CV22" s="114" t="s">
        <v>675</v>
      </c>
      <c r="DC22" s="114" t="s">
        <v>675</v>
      </c>
      <c r="DJ22" s="114" t="s">
        <v>675</v>
      </c>
      <c r="DQ22" s="114" t="s">
        <v>675</v>
      </c>
      <c r="DX22" s="114" t="s">
        <v>722</v>
      </c>
      <c r="EE22" s="12" t="s">
        <v>723</v>
      </c>
      <c r="EL22" s="114" t="s">
        <v>675</v>
      </c>
      <c r="ES22" s="114" t="s">
        <v>724</v>
      </c>
      <c r="EZ22" s="114" t="s">
        <v>722</v>
      </c>
      <c r="FG22" s="114" t="s">
        <v>722</v>
      </c>
      <c r="FN22" s="114" t="s">
        <v>675</v>
      </c>
      <c r="FU22" s="112"/>
      <c r="GB22" s="112"/>
      <c r="GI22" s="112"/>
      <c r="GP22" s="112"/>
      <c r="GW22" s="112"/>
      <c r="HD22" s="112"/>
      <c r="HK22" s="112"/>
      <c r="HR22" s="112"/>
      <c r="HY22" s="112"/>
      <c r="IF22" s="112"/>
      <c r="IM22" s="112"/>
      <c r="IT22" s="112"/>
      <c r="JA22" s="112"/>
      <c r="JH22" s="112"/>
      <c r="JO22" s="112"/>
      <c r="JV22" s="112"/>
      <c r="KC22" s="112"/>
      <c r="KJ22" s="112"/>
      <c r="KQ22" s="112"/>
      <c r="KX22" s="112"/>
      <c r="LE22" s="112"/>
      <c r="LL22" s="112"/>
      <c r="LS22" s="112"/>
      <c r="LZ22" s="112"/>
      <c r="MG22" s="112"/>
      <c r="MN22" s="112"/>
      <c r="MU22" s="112"/>
      <c r="NA22" s="83"/>
    </row>
    <row r="23">
      <c r="A23" s="20" t="s">
        <v>733</v>
      </c>
      <c r="B23" s="113"/>
      <c r="I23" s="112"/>
      <c r="P23" s="112"/>
      <c r="W23" s="112"/>
      <c r="AD23" s="112"/>
      <c r="AK23" s="112"/>
      <c r="AR23" s="112"/>
      <c r="AY23" s="112"/>
      <c r="BF23" s="112"/>
      <c r="BM23" s="112"/>
      <c r="BT23" s="112"/>
      <c r="CA23" s="112"/>
      <c r="CH23" s="112"/>
      <c r="CO23" s="112"/>
      <c r="CV23" s="112"/>
      <c r="DC23" s="114" t="s">
        <v>741</v>
      </c>
      <c r="DJ23" s="112"/>
      <c r="DQ23" s="114" t="s">
        <v>742</v>
      </c>
      <c r="DX23" s="112"/>
      <c r="EE23" s="114" t="s">
        <v>744</v>
      </c>
      <c r="EL23" s="114" t="s">
        <v>745</v>
      </c>
      <c r="ES23" s="114" t="s">
        <v>746</v>
      </c>
      <c r="EZ23" s="114" t="s">
        <v>747</v>
      </c>
      <c r="FG23" s="112"/>
      <c r="FN23" s="114" t="s">
        <v>750</v>
      </c>
      <c r="FU23" s="112"/>
      <c r="GB23" s="112"/>
      <c r="GI23" s="114" t="s">
        <v>752</v>
      </c>
      <c r="GP23" s="114" t="s">
        <v>752</v>
      </c>
      <c r="GW23" s="112"/>
      <c r="HD23" s="114" t="s">
        <v>753</v>
      </c>
      <c r="HK23" s="112"/>
      <c r="HR23" s="114" t="s">
        <v>755</v>
      </c>
      <c r="HY23" s="112"/>
      <c r="IF23" s="112"/>
      <c r="IM23" s="112"/>
      <c r="IT23" s="112"/>
      <c r="JA23" s="112"/>
      <c r="JH23" s="112"/>
      <c r="JO23" s="112"/>
      <c r="JV23" s="112"/>
      <c r="KC23" s="112"/>
      <c r="KJ23" s="112"/>
      <c r="KQ23" s="112"/>
      <c r="KX23" s="112"/>
      <c r="LE23" s="112"/>
      <c r="LL23" s="112"/>
      <c r="LS23" s="112"/>
      <c r="LZ23" s="112"/>
      <c r="MG23" s="112"/>
      <c r="MN23" s="112"/>
      <c r="MU23" s="112"/>
      <c r="NA23" s="83"/>
      <c r="NB23" s="113"/>
      <c r="NC23" s="113"/>
      <c r="ND23" s="113"/>
      <c r="NE23" s="113"/>
      <c r="NF23" s="113"/>
      <c r="NG23" s="113"/>
      <c r="NH23" s="113"/>
      <c r="NI23" s="113"/>
      <c r="NJ23" s="113"/>
      <c r="NK23" s="113"/>
      <c r="NL23" s="113"/>
      <c r="NM23" s="113"/>
      <c r="NN23" s="113"/>
      <c r="NO23" s="113"/>
      <c r="NP23" s="113"/>
      <c r="NQ23" s="113"/>
      <c r="NR23" s="113"/>
      <c r="NS23" s="113"/>
      <c r="NT23" s="113"/>
      <c r="NU23" s="113"/>
      <c r="NV23" s="113"/>
      <c r="NW23" s="113"/>
      <c r="NX23" s="113"/>
      <c r="NY23" s="113"/>
      <c r="NZ23" s="113"/>
      <c r="OA23" s="113"/>
      <c r="OB23" s="113"/>
      <c r="OC23" s="113"/>
    </row>
    <row r="24">
      <c r="A24" s="20" t="s">
        <v>761</v>
      </c>
      <c r="B24" s="113"/>
      <c r="I24" s="114" t="s">
        <v>762</v>
      </c>
      <c r="P24" s="114" t="s">
        <v>762</v>
      </c>
      <c r="W24" s="114" t="s">
        <v>763</v>
      </c>
      <c r="AC24" s="83"/>
      <c r="AD24" s="12" t="s">
        <v>764</v>
      </c>
      <c r="AK24" s="12" t="s">
        <v>765</v>
      </c>
      <c r="AR24" s="12" t="s">
        <v>766</v>
      </c>
      <c r="AY24" s="12" t="s">
        <v>765</v>
      </c>
      <c r="BF24" s="12" t="s">
        <v>765</v>
      </c>
      <c r="BM24" s="117" t="s">
        <v>767</v>
      </c>
      <c r="BT24" s="12" t="s">
        <v>768</v>
      </c>
      <c r="CA24" s="12" t="s">
        <v>426</v>
      </c>
      <c r="CH24" s="12" t="s">
        <v>769</v>
      </c>
      <c r="CO24" s="12" t="s">
        <v>770</v>
      </c>
      <c r="CV24" s="12" t="s">
        <v>771</v>
      </c>
      <c r="DC24" s="12" t="s">
        <v>694</v>
      </c>
      <c r="DJ24" s="12" t="s">
        <v>773</v>
      </c>
      <c r="DQ24" s="12" t="s">
        <v>774</v>
      </c>
      <c r="DX24" s="12" t="s">
        <v>776</v>
      </c>
      <c r="EE24" s="12" t="s">
        <v>765</v>
      </c>
      <c r="EL24" s="190" t="s">
        <v>777</v>
      </c>
      <c r="EM24" s="10"/>
      <c r="EN24" s="10"/>
      <c r="EO24" s="10"/>
      <c r="EP24" s="10"/>
      <c r="EQ24" s="10"/>
      <c r="ER24" s="121"/>
      <c r="ES24" s="12" t="s">
        <v>779</v>
      </c>
      <c r="EZ24" s="114" t="s">
        <v>781</v>
      </c>
      <c r="FG24" s="114" t="s">
        <v>782</v>
      </c>
      <c r="FN24" s="114" t="s">
        <v>783</v>
      </c>
      <c r="FU24" s="114" t="s">
        <v>784</v>
      </c>
      <c r="GB24" s="114" t="s">
        <v>784</v>
      </c>
      <c r="GC24" s="113"/>
      <c r="GD24" s="113"/>
      <c r="GE24" s="113"/>
      <c r="GF24" s="113"/>
      <c r="GG24" s="113"/>
      <c r="GH24" s="113"/>
      <c r="GI24" s="112"/>
      <c r="GP24" s="112"/>
      <c r="GW24" s="112"/>
      <c r="HD24" s="112"/>
      <c r="HK24" s="112"/>
      <c r="HR24" s="112"/>
      <c r="HY24" s="112"/>
      <c r="IF24" s="112"/>
      <c r="IM24" s="112"/>
      <c r="IT24" s="112"/>
      <c r="JA24" s="112"/>
      <c r="JH24" s="112"/>
      <c r="JO24" s="114" t="s">
        <v>785</v>
      </c>
      <c r="JV24" s="114" t="s">
        <v>785</v>
      </c>
      <c r="KC24" s="114" t="s">
        <v>786</v>
      </c>
      <c r="KJ24" s="114"/>
      <c r="KQ24" s="114" t="s">
        <v>787</v>
      </c>
      <c r="KX24" s="112"/>
      <c r="LE24" s="112"/>
      <c r="LL24" s="114" t="s">
        <v>788</v>
      </c>
      <c r="LS24" s="112"/>
      <c r="LZ24" s="112"/>
      <c r="MG24" s="112"/>
      <c r="MN24" s="112"/>
      <c r="MU24" s="112"/>
      <c r="NA24" s="83"/>
      <c r="NB24" s="113"/>
      <c r="NC24" s="113"/>
      <c r="ND24" s="113"/>
      <c r="NE24" s="113"/>
      <c r="NF24" s="113"/>
      <c r="NG24" s="113"/>
      <c r="NH24" s="113"/>
      <c r="NI24" s="113"/>
      <c r="NJ24" s="113"/>
      <c r="NK24" s="113"/>
      <c r="NL24" s="113"/>
      <c r="NM24" s="113"/>
      <c r="NN24" s="113"/>
      <c r="NO24" s="113"/>
      <c r="NP24" s="113"/>
      <c r="NQ24" s="113"/>
      <c r="NR24" s="113"/>
      <c r="NS24" s="113"/>
      <c r="NT24" s="113"/>
      <c r="NU24" s="113"/>
      <c r="NV24" s="113"/>
      <c r="NW24" s="113"/>
      <c r="NX24" s="113"/>
      <c r="NY24" s="113"/>
      <c r="NZ24" s="113"/>
      <c r="OA24" s="113"/>
      <c r="OB24" s="113"/>
      <c r="OC24" s="113"/>
    </row>
    <row r="25">
      <c r="A25" s="20" t="s">
        <v>789</v>
      </c>
      <c r="B25" s="113"/>
      <c r="I25" s="112"/>
      <c r="P25" s="112"/>
      <c r="W25" s="112"/>
      <c r="AD25" s="113"/>
      <c r="AK25" s="112"/>
      <c r="AR25" s="112"/>
      <c r="AY25" s="112"/>
      <c r="BF25" s="113"/>
      <c r="BM25" s="112"/>
      <c r="BT25" s="112"/>
      <c r="CA25" s="112"/>
      <c r="CH25" s="113"/>
      <c r="CO25" s="112"/>
      <c r="CV25" s="114" t="s">
        <v>645</v>
      </c>
      <c r="DC25" s="112"/>
      <c r="DJ25" s="113"/>
      <c r="DQ25" s="112"/>
      <c r="DX25" s="112"/>
      <c r="EE25" s="112"/>
      <c r="EL25" s="113"/>
      <c r="ES25" s="112"/>
      <c r="EZ25" s="112"/>
      <c r="FG25" s="112"/>
      <c r="FN25" s="113"/>
      <c r="FU25" s="114" t="s">
        <v>791</v>
      </c>
      <c r="GB25" s="112"/>
      <c r="GI25" s="112"/>
      <c r="GP25" s="113"/>
      <c r="GW25" s="112"/>
      <c r="HD25" s="112"/>
      <c r="HK25" s="112"/>
      <c r="HR25" s="111" t="s">
        <v>792</v>
      </c>
      <c r="HY25" s="112"/>
      <c r="IF25" s="112"/>
      <c r="IM25" s="112"/>
      <c r="IT25" s="113"/>
      <c r="JA25" s="112"/>
      <c r="JH25" s="112"/>
      <c r="JO25" s="112"/>
      <c r="JV25" s="113"/>
      <c r="KC25" s="112"/>
      <c r="KJ25" s="112"/>
      <c r="KQ25" s="112"/>
      <c r="KX25" s="113"/>
      <c r="LE25" s="112"/>
      <c r="LL25" s="112"/>
      <c r="LS25" s="112"/>
      <c r="LZ25" s="113"/>
      <c r="MG25" s="112"/>
      <c r="MN25" s="112"/>
      <c r="MU25" s="112"/>
      <c r="NA25" s="83"/>
    </row>
    <row r="26">
      <c r="A26" s="122" t="s">
        <v>793</v>
      </c>
      <c r="B26" s="123"/>
      <c r="C26" s="16"/>
      <c r="D26" s="16"/>
      <c r="E26" s="16"/>
      <c r="F26" s="16"/>
      <c r="G26" s="16"/>
      <c r="H26" s="16"/>
      <c r="I26" s="123"/>
      <c r="J26" s="16"/>
      <c r="K26" s="16"/>
      <c r="L26" s="16"/>
      <c r="M26" s="16"/>
      <c r="N26" s="16"/>
      <c r="O26" s="16"/>
      <c r="P26" s="123"/>
      <c r="Q26" s="16"/>
      <c r="R26" s="16"/>
      <c r="S26" s="16"/>
      <c r="T26" s="16"/>
      <c r="U26" s="16"/>
      <c r="V26" s="16"/>
      <c r="W26" s="123"/>
      <c r="X26" s="16"/>
      <c r="Y26" s="16"/>
      <c r="Z26" s="16"/>
      <c r="AA26" s="16"/>
      <c r="AB26" s="16"/>
      <c r="AC26" s="16"/>
      <c r="AD26" s="123"/>
      <c r="AE26" s="16"/>
      <c r="AF26" s="16"/>
      <c r="AG26" s="16"/>
      <c r="AH26" s="16"/>
      <c r="AI26" s="16"/>
      <c r="AJ26" s="16"/>
      <c r="AK26" s="123"/>
      <c r="AL26" s="16"/>
      <c r="AM26" s="16"/>
      <c r="AN26" s="16"/>
      <c r="AO26" s="16"/>
      <c r="AP26" s="16"/>
      <c r="AQ26" s="16"/>
      <c r="AR26" s="123"/>
      <c r="AS26" s="16"/>
      <c r="AT26" s="16"/>
      <c r="AU26" s="16"/>
      <c r="AV26" s="16"/>
      <c r="AW26" s="16"/>
      <c r="AX26" s="16"/>
      <c r="AY26" s="123"/>
      <c r="AZ26" s="16"/>
      <c r="BA26" s="16"/>
      <c r="BB26" s="16"/>
      <c r="BC26" s="16"/>
      <c r="BD26" s="16"/>
      <c r="BE26" s="16"/>
      <c r="BF26" s="123"/>
      <c r="BG26" s="16"/>
      <c r="BH26" s="16"/>
      <c r="BI26" s="16"/>
      <c r="BJ26" s="16"/>
      <c r="BK26" s="16"/>
      <c r="BL26" s="16"/>
      <c r="BM26" s="123"/>
      <c r="BN26" s="16"/>
      <c r="BO26" s="16"/>
      <c r="BP26" s="16"/>
      <c r="BQ26" s="16"/>
      <c r="BR26" s="16"/>
      <c r="BS26" s="16"/>
      <c r="BT26" s="123"/>
      <c r="BU26" s="16"/>
      <c r="BV26" s="16"/>
      <c r="BW26" s="16"/>
      <c r="BX26" s="16"/>
      <c r="BY26" s="16"/>
      <c r="BZ26" s="16"/>
      <c r="CA26" s="123"/>
      <c r="CB26" s="16"/>
      <c r="CC26" s="16"/>
      <c r="CD26" s="16"/>
      <c r="CE26" s="16"/>
      <c r="CF26" s="16"/>
      <c r="CG26" s="16"/>
      <c r="CH26" s="123"/>
      <c r="CI26" s="16"/>
      <c r="CJ26" s="16"/>
      <c r="CK26" s="16"/>
      <c r="CL26" s="16"/>
      <c r="CM26" s="16"/>
      <c r="CN26" s="16"/>
      <c r="CO26" s="123"/>
      <c r="CP26" s="16"/>
      <c r="CQ26" s="16"/>
      <c r="CR26" s="16"/>
      <c r="CS26" s="16"/>
      <c r="CT26" s="16"/>
      <c r="CU26" s="16"/>
      <c r="CV26" s="123"/>
      <c r="CW26" s="16"/>
      <c r="CX26" s="16"/>
      <c r="CY26" s="16"/>
      <c r="CZ26" s="16"/>
      <c r="DA26" s="16"/>
      <c r="DB26" s="16"/>
      <c r="DC26" s="123"/>
      <c r="DD26" s="16"/>
      <c r="DE26" s="16"/>
      <c r="DF26" s="16"/>
      <c r="DG26" s="16"/>
      <c r="DH26" s="16"/>
      <c r="DI26" s="16"/>
      <c r="DJ26" s="123"/>
      <c r="DK26" s="16"/>
      <c r="DL26" s="16"/>
      <c r="DM26" s="16"/>
      <c r="DN26" s="16"/>
      <c r="DO26" s="16"/>
      <c r="DP26" s="16"/>
      <c r="DQ26" s="123"/>
      <c r="DR26" s="16"/>
      <c r="DS26" s="16"/>
      <c r="DT26" s="16"/>
      <c r="DU26" s="16"/>
      <c r="DV26" s="16"/>
      <c r="DW26" s="16"/>
      <c r="DX26" s="123"/>
      <c r="DY26" s="16"/>
      <c r="DZ26" s="16"/>
      <c r="EA26" s="16"/>
      <c r="EB26" s="16"/>
      <c r="EC26" s="16"/>
      <c r="ED26" s="16"/>
      <c r="EE26" s="123"/>
      <c r="EF26" s="16"/>
      <c r="EG26" s="16"/>
      <c r="EH26" s="16"/>
      <c r="EI26" s="16"/>
      <c r="EJ26" s="16"/>
      <c r="EK26" s="16"/>
      <c r="EL26" s="123"/>
      <c r="EM26" s="16"/>
      <c r="EN26" s="16"/>
      <c r="EO26" s="16"/>
      <c r="EP26" s="16"/>
      <c r="EQ26" s="16"/>
      <c r="ER26" s="16"/>
      <c r="ES26" s="123"/>
      <c r="ET26" s="16"/>
      <c r="EU26" s="16"/>
      <c r="EV26" s="16"/>
      <c r="EW26" s="16"/>
      <c r="EX26" s="16"/>
      <c r="EY26" s="16"/>
      <c r="EZ26" s="123"/>
      <c r="FA26" s="16"/>
      <c r="FB26" s="16"/>
      <c r="FC26" s="16"/>
      <c r="FD26" s="16"/>
      <c r="FE26" s="16"/>
      <c r="FF26" s="16"/>
      <c r="FG26" s="123"/>
      <c r="FH26" s="16"/>
      <c r="FI26" s="16"/>
      <c r="FJ26" s="16"/>
      <c r="FK26" s="16"/>
      <c r="FL26" s="16"/>
      <c r="FM26" s="16"/>
      <c r="FN26" s="123"/>
      <c r="FO26" s="16"/>
      <c r="FP26" s="16"/>
      <c r="FQ26" s="16"/>
      <c r="FR26" s="16"/>
      <c r="FS26" s="16"/>
      <c r="FT26" s="16"/>
      <c r="FU26" s="123"/>
      <c r="FV26" s="16"/>
      <c r="FW26" s="16"/>
      <c r="FX26" s="16"/>
      <c r="FY26" s="16"/>
      <c r="FZ26" s="16"/>
      <c r="GA26" s="16"/>
      <c r="GB26" s="123"/>
      <c r="GC26" s="16"/>
      <c r="GD26" s="16"/>
      <c r="GE26" s="16"/>
      <c r="GF26" s="16"/>
      <c r="GG26" s="16"/>
      <c r="GH26" s="16"/>
      <c r="GI26" s="123"/>
      <c r="GJ26" s="16"/>
      <c r="GK26" s="16"/>
      <c r="GL26" s="16"/>
      <c r="GM26" s="16"/>
      <c r="GN26" s="16"/>
      <c r="GO26" s="16"/>
      <c r="GP26" s="123"/>
      <c r="GQ26" s="16"/>
      <c r="GR26" s="16"/>
      <c r="GS26" s="16"/>
      <c r="GT26" s="16"/>
      <c r="GU26" s="16"/>
      <c r="GV26" s="16"/>
      <c r="GW26" s="123"/>
      <c r="GX26" s="16"/>
      <c r="GY26" s="16"/>
      <c r="GZ26" s="16"/>
      <c r="HA26" s="16"/>
      <c r="HB26" s="16"/>
      <c r="HC26" s="16"/>
      <c r="HD26" s="123"/>
      <c r="HE26" s="16"/>
      <c r="HF26" s="16"/>
      <c r="HG26" s="16"/>
      <c r="HH26" s="16"/>
      <c r="HI26" s="16"/>
      <c r="HJ26" s="16"/>
      <c r="HK26" s="123"/>
      <c r="HL26" s="16"/>
      <c r="HM26" s="16"/>
      <c r="HN26" s="16"/>
      <c r="HO26" s="16"/>
      <c r="HP26" s="16"/>
      <c r="HQ26" s="16"/>
      <c r="HR26" s="123"/>
      <c r="HS26" s="16"/>
      <c r="HT26" s="16"/>
      <c r="HU26" s="16"/>
      <c r="HV26" s="16"/>
      <c r="HW26" s="16"/>
      <c r="HX26" s="16"/>
      <c r="HY26" s="123"/>
      <c r="HZ26" s="16"/>
      <c r="IA26" s="16"/>
      <c r="IB26" s="16"/>
      <c r="IC26" s="16"/>
      <c r="ID26" s="16"/>
      <c r="IE26" s="16"/>
      <c r="IF26" s="123"/>
      <c r="IG26" s="16"/>
      <c r="IH26" s="16"/>
      <c r="II26" s="16"/>
      <c r="IJ26" s="16"/>
      <c r="IK26" s="16"/>
      <c r="IL26" s="16"/>
      <c r="IM26" s="123"/>
      <c r="IN26" s="16"/>
      <c r="IO26" s="16"/>
      <c r="IP26" s="16"/>
      <c r="IQ26" s="16"/>
      <c r="IR26" s="16"/>
      <c r="IS26" s="16"/>
      <c r="IT26" s="123"/>
      <c r="IU26" s="16"/>
      <c r="IV26" s="16"/>
      <c r="IW26" s="16"/>
      <c r="IX26" s="16"/>
      <c r="IY26" s="16"/>
      <c r="IZ26" s="16"/>
      <c r="JA26" s="123"/>
      <c r="JB26" s="16"/>
      <c r="JC26" s="16"/>
      <c r="JD26" s="16"/>
      <c r="JE26" s="16"/>
      <c r="JF26" s="16"/>
      <c r="JG26" s="16"/>
      <c r="JH26" s="123"/>
      <c r="JI26" s="16"/>
      <c r="JJ26" s="16"/>
      <c r="JK26" s="16"/>
      <c r="JL26" s="16"/>
      <c r="JM26" s="16"/>
      <c r="JN26" s="16"/>
      <c r="JO26" s="123"/>
      <c r="JP26" s="16"/>
      <c r="JQ26" s="16"/>
      <c r="JR26" s="16"/>
      <c r="JS26" s="16"/>
      <c r="JT26" s="16"/>
      <c r="JU26" s="16"/>
      <c r="JV26" s="123"/>
      <c r="JW26" s="16"/>
      <c r="JX26" s="16"/>
      <c r="JY26" s="16"/>
      <c r="JZ26" s="16"/>
      <c r="KA26" s="16"/>
      <c r="KB26" s="16"/>
      <c r="KC26" s="123"/>
      <c r="KD26" s="16"/>
      <c r="KE26" s="16"/>
      <c r="KF26" s="16"/>
      <c r="KG26" s="16"/>
      <c r="KH26" s="16"/>
      <c r="KI26" s="16"/>
      <c r="KJ26" s="123"/>
      <c r="KK26" s="16"/>
      <c r="KL26" s="16"/>
      <c r="KM26" s="16"/>
      <c r="KN26" s="16"/>
      <c r="KO26" s="16"/>
      <c r="KP26" s="16"/>
      <c r="KQ26" s="123"/>
      <c r="KR26" s="16"/>
      <c r="KS26" s="16"/>
      <c r="KT26" s="16"/>
      <c r="KU26" s="16"/>
      <c r="KV26" s="16"/>
      <c r="KW26" s="16"/>
      <c r="KX26" s="123"/>
      <c r="KY26" s="16"/>
      <c r="KZ26" s="16"/>
      <c r="LA26" s="16"/>
      <c r="LB26" s="16"/>
      <c r="LC26" s="16"/>
      <c r="LD26" s="16"/>
      <c r="LE26" s="123"/>
      <c r="LF26" s="16"/>
      <c r="LG26" s="16"/>
      <c r="LH26" s="16"/>
      <c r="LI26" s="16"/>
      <c r="LJ26" s="16"/>
      <c r="LK26" s="16"/>
      <c r="LL26" s="123"/>
      <c r="LM26" s="16"/>
      <c r="LN26" s="16"/>
      <c r="LO26" s="16"/>
      <c r="LP26" s="16"/>
      <c r="LQ26" s="16"/>
      <c r="LR26" s="16"/>
      <c r="LS26" s="123"/>
      <c r="LT26" s="16"/>
      <c r="LU26" s="16"/>
      <c r="LV26" s="16"/>
      <c r="LW26" s="16"/>
      <c r="LX26" s="16"/>
      <c r="LY26" s="16"/>
      <c r="LZ26" s="123"/>
      <c r="MA26" s="16"/>
      <c r="MB26" s="16"/>
      <c r="MC26" s="16"/>
      <c r="MD26" s="16"/>
      <c r="ME26" s="16"/>
      <c r="MF26" s="16"/>
      <c r="MG26" s="123"/>
      <c r="MH26" s="16"/>
      <c r="MI26" s="16"/>
      <c r="MJ26" s="16"/>
      <c r="MK26" s="16"/>
      <c r="ML26" s="16"/>
      <c r="MM26" s="16"/>
      <c r="MN26" s="123"/>
      <c r="MO26" s="16"/>
      <c r="MP26" s="16"/>
      <c r="MQ26" s="16"/>
      <c r="MR26" s="16"/>
      <c r="MS26" s="16"/>
      <c r="MT26" s="16"/>
      <c r="MU26" s="123"/>
      <c r="MV26" s="16"/>
      <c r="MW26" s="16"/>
      <c r="MX26" s="16"/>
      <c r="MY26" s="16"/>
      <c r="MZ26" s="16"/>
      <c r="NA26" s="25"/>
      <c r="NB26" s="113"/>
      <c r="NC26" s="113"/>
      <c r="ND26" s="113"/>
      <c r="NE26" s="113"/>
      <c r="NF26" s="113"/>
      <c r="NG26" s="113"/>
      <c r="NH26" s="113"/>
      <c r="NI26" s="113"/>
      <c r="NJ26" s="113"/>
      <c r="NK26" s="113"/>
      <c r="NL26" s="113"/>
      <c r="NM26" s="113"/>
      <c r="NN26" s="113"/>
      <c r="NO26" s="113"/>
      <c r="NP26" s="113"/>
      <c r="NQ26" s="113"/>
      <c r="NR26" s="113"/>
      <c r="NS26" s="113"/>
      <c r="NT26" s="113"/>
      <c r="NU26" s="113"/>
      <c r="NV26" s="113"/>
      <c r="NW26" s="113"/>
      <c r="NX26" s="113"/>
      <c r="NY26" s="113"/>
      <c r="NZ26" s="113"/>
      <c r="OA26" s="113"/>
      <c r="OB26" s="113"/>
      <c r="OC26" s="113"/>
    </row>
    <row r="27">
      <c r="A27" s="13" t="s">
        <v>811</v>
      </c>
      <c r="B27" s="113"/>
      <c r="I27" s="112"/>
      <c r="P27" s="112"/>
      <c r="W27" s="112"/>
      <c r="AD27" s="112"/>
      <c r="AK27" s="112"/>
      <c r="AR27" s="112"/>
      <c r="AY27" s="112"/>
      <c r="BF27" s="112"/>
      <c r="BM27" s="252"/>
      <c r="BN27" s="16"/>
      <c r="BO27" s="16"/>
      <c r="BP27" s="16"/>
      <c r="BQ27" s="16"/>
      <c r="BR27" s="16"/>
      <c r="BS27" s="25"/>
      <c r="BT27" s="252"/>
      <c r="BU27" s="16"/>
      <c r="BV27" s="16"/>
      <c r="BW27" s="16"/>
      <c r="BX27" s="16"/>
      <c r="BY27" s="16"/>
      <c r="BZ27" s="25"/>
      <c r="CA27" s="252"/>
      <c r="CB27" s="16"/>
      <c r="CC27" s="16"/>
      <c r="CD27" s="16"/>
      <c r="CE27" s="16"/>
      <c r="CF27" s="16"/>
      <c r="CG27" s="25"/>
      <c r="CH27" s="252"/>
      <c r="CI27" s="16"/>
      <c r="CJ27" s="16"/>
      <c r="CK27" s="16"/>
      <c r="CL27" s="16"/>
      <c r="CM27" s="16"/>
      <c r="CN27" s="25"/>
      <c r="CO27" s="252"/>
      <c r="CP27" s="16"/>
      <c r="CQ27" s="16"/>
      <c r="CR27" s="16"/>
      <c r="CS27" s="16"/>
      <c r="CT27" s="16"/>
      <c r="CU27" s="25"/>
      <c r="CV27" s="112"/>
      <c r="DC27" s="112"/>
      <c r="DJ27" s="112"/>
      <c r="DQ27" s="112"/>
      <c r="DX27" s="112"/>
      <c r="EE27" s="112"/>
      <c r="EL27" s="112"/>
      <c r="ES27" s="112"/>
      <c r="EZ27" s="112"/>
      <c r="FG27" s="112"/>
      <c r="FN27" s="112"/>
      <c r="FU27" s="112"/>
      <c r="GB27" s="112"/>
      <c r="GI27" s="112"/>
      <c r="GP27" s="112"/>
      <c r="GW27" s="112"/>
      <c r="HD27" s="112"/>
      <c r="HK27" s="112"/>
      <c r="HR27" s="112"/>
      <c r="IF27" s="112"/>
      <c r="IM27" s="112"/>
      <c r="IT27" s="112"/>
      <c r="JA27" s="112"/>
      <c r="JH27" s="112"/>
      <c r="JO27" s="112"/>
      <c r="JV27" s="112"/>
      <c r="KC27" s="112"/>
      <c r="KJ27" s="112"/>
      <c r="KQ27" s="112"/>
      <c r="KX27" s="112"/>
      <c r="LE27" s="112"/>
      <c r="LL27" s="112"/>
      <c r="LS27" s="112"/>
      <c r="LZ27" s="112"/>
      <c r="MG27" s="112"/>
      <c r="MN27" s="112"/>
      <c r="MU27" s="112"/>
      <c r="NA27" s="83"/>
      <c r="NB27" s="113"/>
      <c r="NC27" s="113"/>
      <c r="ND27" s="113"/>
      <c r="NE27" s="113"/>
      <c r="NF27" s="113"/>
      <c r="NG27" s="113"/>
      <c r="NH27" s="113"/>
      <c r="NI27" s="113"/>
      <c r="NJ27" s="113"/>
      <c r="NK27" s="113"/>
      <c r="NL27" s="113"/>
      <c r="NM27" s="113"/>
      <c r="NN27" s="113"/>
      <c r="NO27" s="113"/>
      <c r="NP27" s="113"/>
      <c r="NQ27" s="113"/>
      <c r="NR27" s="113"/>
      <c r="NS27" s="113"/>
      <c r="NT27" s="113"/>
      <c r="NU27" s="113"/>
      <c r="NV27" s="113"/>
      <c r="NW27" s="113"/>
      <c r="NX27" s="113"/>
      <c r="NY27" s="113"/>
      <c r="NZ27" s="113"/>
      <c r="OA27" s="113"/>
      <c r="OB27" s="113"/>
      <c r="OC27" s="113"/>
    </row>
    <row r="28">
      <c r="A28" s="20" t="s">
        <v>825</v>
      </c>
      <c r="B28" s="144" t="s">
        <v>826</v>
      </c>
      <c r="C28" s="16"/>
      <c r="D28" s="16"/>
      <c r="E28" s="16"/>
      <c r="F28" s="16"/>
      <c r="G28" s="16"/>
      <c r="H28" s="16"/>
      <c r="I28" s="144" t="s">
        <v>829</v>
      </c>
      <c r="J28" s="16"/>
      <c r="K28" s="16"/>
      <c r="L28" s="16"/>
      <c r="M28" s="16"/>
      <c r="N28" s="16"/>
      <c r="O28" s="16"/>
      <c r="P28" s="144" t="s">
        <v>831</v>
      </c>
      <c r="Q28" s="16"/>
      <c r="R28" s="16"/>
      <c r="S28" s="16"/>
      <c r="T28" s="16"/>
      <c r="U28" s="16"/>
      <c r="V28" s="16"/>
      <c r="W28" s="144" t="s">
        <v>834</v>
      </c>
      <c r="X28" s="16"/>
      <c r="Y28" s="16"/>
      <c r="Z28" s="16"/>
      <c r="AA28" s="16"/>
      <c r="AB28" s="16"/>
      <c r="AC28" s="25"/>
      <c r="AD28" s="258" t="s">
        <v>837</v>
      </c>
      <c r="AE28" s="16"/>
      <c r="AF28" s="16"/>
      <c r="AG28" s="16"/>
      <c r="AH28" s="16"/>
      <c r="AI28" s="16"/>
      <c r="AJ28" s="16"/>
      <c r="AK28" s="16"/>
      <c r="AL28" s="16"/>
      <c r="AM28" s="16"/>
      <c r="AN28" s="16"/>
      <c r="AO28" s="16"/>
      <c r="AP28" s="16"/>
      <c r="AQ28" s="16"/>
      <c r="AR28" s="16"/>
      <c r="AS28" s="16"/>
      <c r="AT28" s="259" t="s">
        <v>839</v>
      </c>
      <c r="AU28" s="16"/>
      <c r="AV28" s="16"/>
      <c r="AW28" s="16"/>
      <c r="AX28" s="25"/>
      <c r="AY28" s="261" t="s">
        <v>434</v>
      </c>
      <c r="AZ28" s="16"/>
      <c r="BA28" s="16"/>
      <c r="BB28" s="16"/>
      <c r="BC28" s="16"/>
      <c r="BD28" s="16"/>
      <c r="BE28" s="16"/>
      <c r="BF28" s="144" t="s">
        <v>845</v>
      </c>
      <c r="BG28" s="16"/>
      <c r="BH28" s="16"/>
      <c r="BI28" s="16"/>
      <c r="BJ28" s="16"/>
      <c r="BK28" s="16"/>
      <c r="BL28" s="25"/>
      <c r="BM28" s="258" t="s">
        <v>847</v>
      </c>
      <c r="BN28" s="16"/>
      <c r="BO28" s="16"/>
      <c r="BP28" s="16"/>
      <c r="BQ28" s="16"/>
      <c r="BR28" s="16"/>
      <c r="BS28" s="16"/>
      <c r="BT28" s="16"/>
      <c r="BU28" s="16"/>
      <c r="BV28" s="16"/>
      <c r="BW28" s="16"/>
      <c r="BX28" s="16"/>
      <c r="BY28" s="16"/>
      <c r="BZ28" s="25"/>
      <c r="CA28" s="258" t="s">
        <v>852</v>
      </c>
      <c r="CB28" s="16"/>
      <c r="CC28" s="16"/>
      <c r="CD28" s="16"/>
      <c r="CE28" s="16"/>
      <c r="CF28" s="16"/>
      <c r="CG28" s="16"/>
      <c r="CH28" s="25"/>
      <c r="CI28" s="258" t="s">
        <v>855</v>
      </c>
      <c r="CJ28" s="16"/>
      <c r="CK28" s="16"/>
      <c r="CL28" s="16"/>
      <c r="CM28" s="16"/>
      <c r="CN28" s="16"/>
      <c r="CO28" s="258" t="s">
        <v>857</v>
      </c>
      <c r="CP28" s="16"/>
      <c r="CQ28" s="16"/>
      <c r="CR28" s="16"/>
      <c r="CS28" s="16"/>
      <c r="CT28" s="16"/>
      <c r="CU28" s="25"/>
      <c r="CV28" s="144" t="s">
        <v>861</v>
      </c>
      <c r="CW28" s="16"/>
      <c r="CX28" s="16"/>
      <c r="CY28" s="16"/>
      <c r="CZ28" s="16"/>
      <c r="DA28" s="16"/>
      <c r="DB28" s="25"/>
      <c r="DC28" s="150" t="s">
        <v>864</v>
      </c>
      <c r="DJ28" s="258" t="s">
        <v>865</v>
      </c>
      <c r="DK28" s="16"/>
      <c r="DL28" s="16"/>
      <c r="DM28" s="16"/>
      <c r="DN28" s="16"/>
      <c r="DO28" s="16"/>
      <c r="DP28" s="25"/>
      <c r="DQ28" s="258" t="s">
        <v>868</v>
      </c>
      <c r="DR28" s="16"/>
      <c r="DS28" s="16"/>
      <c r="DT28" s="16"/>
      <c r="DU28" s="16"/>
      <c r="DV28" s="16"/>
      <c r="DW28" s="16"/>
      <c r="DX28" s="16"/>
      <c r="DY28" s="16"/>
      <c r="DZ28" s="16"/>
      <c r="EA28" s="16"/>
      <c r="EB28" s="16"/>
      <c r="EC28" s="16"/>
      <c r="ED28" s="25"/>
      <c r="EE28" s="114" t="s">
        <v>871</v>
      </c>
      <c r="EL28" s="259" t="s">
        <v>873</v>
      </c>
      <c r="EM28" s="16"/>
      <c r="EN28" s="16"/>
      <c r="EO28" s="16"/>
      <c r="EP28" s="16"/>
      <c r="EQ28" s="16"/>
      <c r="ER28" s="16"/>
      <c r="ES28" s="25"/>
      <c r="ET28" s="111"/>
      <c r="EZ28" s="258" t="s">
        <v>875</v>
      </c>
      <c r="FA28" s="16"/>
      <c r="FB28" s="16"/>
      <c r="FC28" s="16"/>
      <c r="FD28" s="16"/>
      <c r="FE28" s="16"/>
      <c r="FF28" s="16"/>
      <c r="FG28" s="16"/>
      <c r="FH28" s="16"/>
      <c r="FI28" s="16"/>
      <c r="FJ28" s="16"/>
      <c r="FK28" s="16"/>
      <c r="FL28" s="16"/>
      <c r="FM28" s="25"/>
      <c r="FN28" s="259" t="s">
        <v>878</v>
      </c>
      <c r="FO28" s="16"/>
      <c r="FP28" s="16"/>
      <c r="FQ28" s="16"/>
      <c r="FR28" s="16"/>
      <c r="FS28" s="16"/>
      <c r="FT28" s="25"/>
      <c r="FU28" s="112"/>
      <c r="GB28" s="258" t="s">
        <v>879</v>
      </c>
      <c r="GC28" s="16"/>
      <c r="GD28" s="16"/>
      <c r="GE28" s="16"/>
      <c r="GF28" s="16"/>
      <c r="GG28" s="16"/>
      <c r="GH28" s="25"/>
      <c r="GI28" s="112"/>
      <c r="GP28" s="150" t="s">
        <v>881</v>
      </c>
      <c r="GW28" s="112"/>
      <c r="HD28" s="258" t="s">
        <v>882</v>
      </c>
      <c r="HE28" s="16"/>
      <c r="HF28" s="16"/>
      <c r="HG28" s="16"/>
      <c r="HH28" s="16"/>
      <c r="HI28" s="16"/>
      <c r="HJ28" s="25"/>
      <c r="HK28" s="258" t="s">
        <v>885</v>
      </c>
      <c r="HL28" s="16"/>
      <c r="HM28" s="16"/>
      <c r="HN28" s="16"/>
      <c r="HO28" s="16"/>
      <c r="HP28" s="16"/>
      <c r="HQ28" s="25"/>
      <c r="HR28" s="263" t="s">
        <v>887</v>
      </c>
      <c r="HS28" s="16"/>
      <c r="HT28" s="16"/>
      <c r="HU28" s="16"/>
      <c r="HV28" s="16"/>
      <c r="HW28" s="16"/>
      <c r="HX28" s="16"/>
      <c r="HY28" s="16"/>
      <c r="HZ28" s="16"/>
      <c r="IA28" s="16"/>
      <c r="IB28" s="16"/>
      <c r="IC28" s="16"/>
      <c r="ID28" s="16"/>
      <c r="IE28" s="16"/>
      <c r="IF28" s="258" t="s">
        <v>888</v>
      </c>
      <c r="IG28" s="16"/>
      <c r="IH28" s="16"/>
      <c r="II28" s="16"/>
      <c r="IJ28" s="16"/>
      <c r="IK28" s="16"/>
      <c r="IL28" s="25"/>
      <c r="IM28" s="112"/>
      <c r="IT28" s="112"/>
      <c r="JA28" s="258" t="s">
        <v>889</v>
      </c>
      <c r="JB28" s="16"/>
      <c r="JC28" s="16"/>
      <c r="JD28" s="16"/>
      <c r="JE28" s="16"/>
      <c r="JF28" s="16"/>
      <c r="JG28" s="25"/>
      <c r="JH28" s="258" t="s">
        <v>890</v>
      </c>
      <c r="JI28" s="16"/>
      <c r="JJ28" s="16"/>
      <c r="JK28" s="16"/>
      <c r="JL28" s="16"/>
      <c r="JM28" s="16"/>
      <c r="JN28" s="25"/>
      <c r="JO28" s="258" t="s">
        <v>891</v>
      </c>
      <c r="JP28" s="16"/>
      <c r="JQ28" s="16"/>
      <c r="JR28" s="16"/>
      <c r="JS28" s="16"/>
      <c r="JT28" s="16"/>
      <c r="JU28" s="25"/>
      <c r="JV28" s="144" t="s">
        <v>893</v>
      </c>
      <c r="JW28" s="16"/>
      <c r="JX28" s="16"/>
      <c r="JY28" s="16"/>
      <c r="JZ28" s="16"/>
      <c r="KA28" s="16"/>
      <c r="KB28" s="25"/>
      <c r="KC28" s="112"/>
      <c r="KJ28" s="258" t="s">
        <v>894</v>
      </c>
      <c r="KK28" s="16"/>
      <c r="KL28" s="16"/>
      <c r="KM28" s="16"/>
      <c r="KN28" s="16"/>
      <c r="KO28" s="16"/>
      <c r="KP28" s="16"/>
      <c r="KQ28" s="16"/>
      <c r="KR28" s="16"/>
      <c r="KS28" s="16"/>
      <c r="KT28" s="16"/>
      <c r="KU28" s="16"/>
      <c r="KV28" s="16"/>
      <c r="KW28" s="25"/>
      <c r="KX28" s="144" t="s">
        <v>896</v>
      </c>
      <c r="KY28" s="16"/>
      <c r="KZ28" s="16"/>
      <c r="LA28" s="16"/>
      <c r="LB28" s="16"/>
      <c r="LC28" s="16"/>
      <c r="LD28" s="25"/>
      <c r="LE28" s="150"/>
      <c r="LL28" s="258" t="s">
        <v>897</v>
      </c>
      <c r="LM28" s="16"/>
      <c r="LN28" s="16"/>
      <c r="LO28" s="16"/>
      <c r="LP28" s="16"/>
      <c r="LQ28" s="16"/>
      <c r="LR28" s="25"/>
      <c r="LS28" s="112"/>
      <c r="LZ28" s="112"/>
      <c r="MG28" s="258" t="s">
        <v>899</v>
      </c>
      <c r="MH28" s="16"/>
      <c r="MI28" s="16"/>
      <c r="MJ28" s="25"/>
      <c r="MK28" s="113"/>
      <c r="ML28" s="113"/>
      <c r="MM28" s="269" t="s">
        <v>901</v>
      </c>
      <c r="MN28" s="112"/>
      <c r="MO28" s="113"/>
      <c r="MP28" s="113"/>
      <c r="MQ28" s="269" t="s">
        <v>903</v>
      </c>
      <c r="MR28" s="113"/>
      <c r="MS28" s="113"/>
      <c r="MT28" s="113"/>
      <c r="MU28" s="112"/>
      <c r="NA28" s="83"/>
    </row>
    <row r="29">
      <c r="A29" s="20" t="s">
        <v>904</v>
      </c>
      <c r="B29" s="252"/>
      <c r="C29" s="252"/>
      <c r="D29" s="252"/>
      <c r="E29" s="252"/>
      <c r="F29" s="252"/>
      <c r="G29" s="252"/>
      <c r="H29" s="252"/>
      <c r="I29" s="258"/>
      <c r="J29" s="258"/>
      <c r="K29" s="258"/>
      <c r="L29" s="258"/>
      <c r="M29" s="258"/>
      <c r="N29" s="258"/>
      <c r="O29" s="258"/>
      <c r="P29" s="258"/>
      <c r="Q29" s="258"/>
      <c r="R29" s="258"/>
      <c r="S29" s="258"/>
      <c r="T29" s="258"/>
      <c r="U29" s="258"/>
      <c r="V29" s="258"/>
      <c r="W29" s="270"/>
      <c r="X29" s="270"/>
      <c r="Y29" s="270"/>
      <c r="Z29" s="270"/>
      <c r="AA29" s="270"/>
      <c r="AB29" s="270"/>
      <c r="AC29" s="270"/>
      <c r="AD29" s="252"/>
      <c r="AE29" s="252"/>
      <c r="AF29" s="252"/>
      <c r="AG29" s="252"/>
      <c r="AH29" s="252"/>
      <c r="AI29" s="252"/>
      <c r="AJ29" s="252"/>
      <c r="AK29" s="252"/>
      <c r="AL29" s="252"/>
      <c r="AM29" s="252"/>
      <c r="AN29" s="252"/>
      <c r="AO29" s="252"/>
      <c r="AP29" s="252"/>
      <c r="AQ29" s="252"/>
      <c r="AR29" s="258"/>
      <c r="AS29" s="258"/>
      <c r="AT29" s="272"/>
      <c r="AU29" s="272"/>
      <c r="AV29" s="272"/>
      <c r="AW29" s="272"/>
      <c r="AX29" s="272"/>
      <c r="AY29" s="261"/>
      <c r="AZ29" s="261"/>
      <c r="BA29" s="261"/>
      <c r="BB29" s="261"/>
      <c r="BC29" s="261"/>
      <c r="BD29" s="261"/>
      <c r="BE29" s="261"/>
      <c r="BF29" s="270"/>
      <c r="BG29" s="270"/>
      <c r="BH29" s="270"/>
      <c r="BI29" s="270"/>
      <c r="BJ29" s="270"/>
      <c r="BK29" s="270"/>
      <c r="BL29" s="270"/>
      <c r="BM29" s="272"/>
      <c r="BN29" s="272"/>
      <c r="BO29" s="272"/>
      <c r="BP29" s="272"/>
      <c r="BQ29" s="272"/>
      <c r="BR29" s="272"/>
      <c r="BS29" s="272"/>
      <c r="BT29" s="272"/>
      <c r="BU29" s="272"/>
      <c r="BV29" s="272"/>
      <c r="BW29" s="272"/>
      <c r="BX29" s="272"/>
      <c r="BY29" s="272"/>
      <c r="BZ29" s="272"/>
      <c r="CA29" s="270"/>
      <c r="CB29" s="270"/>
      <c r="CC29" s="270"/>
      <c r="CD29" s="270"/>
      <c r="CE29" s="270"/>
      <c r="CF29" s="270"/>
      <c r="CG29" s="270"/>
      <c r="CH29" s="270"/>
      <c r="CI29" s="252"/>
      <c r="CJ29" s="252"/>
      <c r="CK29" s="252"/>
      <c r="CL29" s="252"/>
      <c r="CM29" s="252"/>
      <c r="CN29" s="252"/>
      <c r="CO29" s="272"/>
      <c r="CP29" s="272"/>
      <c r="CQ29" s="272"/>
      <c r="CR29" s="272"/>
      <c r="CS29" s="272"/>
      <c r="CT29" s="272"/>
      <c r="CU29" s="272"/>
      <c r="CV29" s="272"/>
      <c r="CW29" s="272"/>
      <c r="CX29" s="272"/>
      <c r="CY29" s="272"/>
      <c r="CZ29" s="272"/>
      <c r="DA29" s="272"/>
      <c r="DB29" s="272"/>
      <c r="DC29" s="150"/>
      <c r="DD29" s="150"/>
      <c r="DE29" s="150"/>
      <c r="DF29" s="150"/>
      <c r="DG29" s="150"/>
      <c r="DH29" s="150"/>
      <c r="DI29" s="150"/>
      <c r="DJ29" s="272"/>
      <c r="DK29" s="272"/>
      <c r="DL29" s="272"/>
      <c r="DM29" s="272"/>
      <c r="DN29" s="272"/>
      <c r="DO29" s="272"/>
      <c r="DP29" s="272"/>
      <c r="DQ29" s="258"/>
      <c r="DR29" s="258"/>
      <c r="DS29" s="258"/>
      <c r="DT29" s="258"/>
      <c r="DU29" s="258"/>
      <c r="DV29" s="258"/>
      <c r="DW29" s="258"/>
      <c r="DX29" s="258"/>
      <c r="DY29" s="258"/>
      <c r="DZ29" s="258"/>
      <c r="EA29" s="258"/>
      <c r="EB29" s="258"/>
      <c r="EC29" s="258"/>
      <c r="ED29" s="258"/>
      <c r="EE29" s="150"/>
      <c r="EF29" s="113"/>
      <c r="EG29" s="113"/>
      <c r="EH29" s="113"/>
      <c r="EI29" s="113"/>
      <c r="EJ29" s="113"/>
      <c r="EK29" s="113"/>
      <c r="EL29" s="112"/>
      <c r="ES29" s="112"/>
      <c r="EZ29" s="112"/>
      <c r="FG29" s="112"/>
      <c r="FN29" s="112"/>
      <c r="FU29" s="258" t="s">
        <v>910</v>
      </c>
      <c r="FV29" s="16"/>
      <c r="FW29" s="16"/>
      <c r="FX29" s="16"/>
      <c r="FY29" s="16"/>
      <c r="FZ29" s="16"/>
      <c r="GA29" s="16"/>
      <c r="GB29" s="112"/>
      <c r="GI29" s="258" t="s">
        <v>887</v>
      </c>
      <c r="GJ29" s="16"/>
      <c r="GK29" s="16"/>
      <c r="GL29" s="16"/>
      <c r="GM29" s="16"/>
      <c r="GN29" s="16"/>
      <c r="GO29" s="16"/>
      <c r="GP29" s="16"/>
      <c r="GQ29" s="16"/>
      <c r="GR29" s="16"/>
      <c r="GS29" s="16"/>
      <c r="GT29" s="16"/>
      <c r="GU29" s="16"/>
      <c r="GV29" s="16"/>
      <c r="GW29" s="16"/>
      <c r="GX29" s="16"/>
      <c r="GY29" s="16"/>
      <c r="GZ29" s="16"/>
      <c r="HA29" s="16"/>
      <c r="HB29" s="16"/>
      <c r="HC29" s="25"/>
      <c r="HD29" s="112"/>
      <c r="HE29" s="258" t="s">
        <v>913</v>
      </c>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25"/>
      <c r="IJ29" s="112"/>
      <c r="IM29" s="258" t="s">
        <v>917</v>
      </c>
      <c r="IN29" s="16"/>
      <c r="IO29" s="16"/>
      <c r="IP29" s="16"/>
      <c r="IQ29" s="16"/>
      <c r="IR29" s="16"/>
      <c r="IS29" s="16"/>
      <c r="IT29" s="16"/>
      <c r="IU29" s="16"/>
      <c r="IV29" s="16"/>
      <c r="IW29" s="16"/>
      <c r="IX29" s="16"/>
      <c r="IY29" s="16"/>
      <c r="IZ29" s="25"/>
      <c r="JA29" s="112"/>
      <c r="JH29" s="258" t="s">
        <v>920</v>
      </c>
      <c r="JI29" s="16"/>
      <c r="JJ29" s="16"/>
      <c r="JK29" s="16"/>
      <c r="JL29" s="16"/>
      <c r="JM29" s="16"/>
      <c r="JN29" s="25"/>
      <c r="JO29" s="258" t="s">
        <v>923</v>
      </c>
      <c r="JP29" s="16"/>
      <c r="JQ29" s="16"/>
      <c r="JR29" s="16"/>
      <c r="JS29" s="16"/>
      <c r="JT29" s="16"/>
      <c r="JU29" s="25"/>
      <c r="JV29" s="258" t="s">
        <v>926</v>
      </c>
      <c r="JW29" s="16"/>
      <c r="JX29" s="16"/>
      <c r="JY29" s="16"/>
      <c r="JZ29" s="16"/>
      <c r="KA29" s="16"/>
      <c r="KB29" s="25"/>
      <c r="KC29" s="258" t="s">
        <v>928</v>
      </c>
      <c r="KD29" s="16"/>
      <c r="KE29" s="16"/>
      <c r="KF29" s="16"/>
      <c r="KG29" s="16"/>
      <c r="KH29" s="16"/>
      <c r="KI29" s="16"/>
      <c r="KJ29" s="16"/>
      <c r="KK29" s="16"/>
      <c r="KL29" s="16"/>
      <c r="KM29" s="16"/>
      <c r="KN29" s="16"/>
      <c r="KO29" s="16"/>
      <c r="KP29" s="16"/>
      <c r="KQ29" s="258" t="s">
        <v>929</v>
      </c>
      <c r="KR29" s="16"/>
      <c r="KS29" s="16"/>
      <c r="KT29" s="16"/>
      <c r="KU29" s="16"/>
      <c r="KV29" s="16"/>
      <c r="KW29" s="25"/>
      <c r="KX29" s="144" t="s">
        <v>930</v>
      </c>
      <c r="KY29" s="16"/>
      <c r="KZ29" s="16"/>
      <c r="LA29" s="16"/>
      <c r="LB29" s="16"/>
      <c r="LC29" s="16"/>
      <c r="LD29" s="25"/>
      <c r="LE29" s="258" t="s">
        <v>931</v>
      </c>
      <c r="LF29" s="16"/>
      <c r="LG29" s="16"/>
      <c r="LH29" s="16"/>
      <c r="LI29" s="16"/>
      <c r="LJ29" s="16"/>
      <c r="LK29" s="16"/>
      <c r="LL29" s="16"/>
      <c r="LM29" s="16"/>
      <c r="LN29" s="16"/>
      <c r="LO29" s="16"/>
      <c r="LP29" s="16"/>
      <c r="LQ29" s="16"/>
      <c r="LR29" s="16"/>
      <c r="LS29" s="258" t="s">
        <v>932</v>
      </c>
      <c r="LT29" s="16"/>
      <c r="LU29" s="16"/>
      <c r="LV29" s="16"/>
      <c r="LW29" s="16"/>
      <c r="LX29" s="16"/>
      <c r="LY29" s="16"/>
      <c r="LZ29" s="16"/>
      <c r="MA29" s="16"/>
      <c r="MB29" s="25"/>
      <c r="MC29" s="258" t="s">
        <v>933</v>
      </c>
      <c r="MD29" s="16"/>
      <c r="ME29" s="16"/>
      <c r="MF29" s="16"/>
      <c r="MG29" s="16"/>
      <c r="MH29" s="16"/>
      <c r="MI29" s="16"/>
      <c r="MJ29" s="16"/>
      <c r="MK29" s="16"/>
      <c r="ML29" s="16"/>
      <c r="MM29" s="16"/>
      <c r="MN29" s="16"/>
      <c r="MO29" s="16"/>
      <c r="MP29" s="16"/>
      <c r="MQ29" s="16"/>
      <c r="MR29" s="25"/>
      <c r="MS29" s="258" t="s">
        <v>935</v>
      </c>
      <c r="MT29" s="16"/>
      <c r="MU29" s="16"/>
      <c r="MV29" s="16"/>
      <c r="MW29" s="16"/>
      <c r="MX29" s="16"/>
      <c r="MY29" s="16"/>
      <c r="MZ29" s="16"/>
      <c r="NA29" s="25"/>
    </row>
    <row r="30">
      <c r="A30" s="20" t="s">
        <v>936</v>
      </c>
      <c r="B30" s="252"/>
      <c r="C30" s="252"/>
      <c r="D30" s="252"/>
      <c r="E30" s="252"/>
      <c r="F30" s="252"/>
      <c r="G30" s="252"/>
      <c r="H30" s="252"/>
      <c r="I30" s="258"/>
      <c r="J30" s="258"/>
      <c r="K30" s="258"/>
      <c r="L30" s="258"/>
      <c r="M30" s="258"/>
      <c r="N30" s="258"/>
      <c r="O30" s="258"/>
      <c r="P30" s="258"/>
      <c r="Q30" s="258"/>
      <c r="R30" s="258"/>
      <c r="S30" s="258"/>
      <c r="T30" s="258"/>
      <c r="U30" s="258"/>
      <c r="V30" s="258"/>
      <c r="W30" s="270"/>
      <c r="X30" s="270"/>
      <c r="Y30" s="270"/>
      <c r="Z30" s="270"/>
      <c r="AA30" s="270"/>
      <c r="AB30" s="270"/>
      <c r="AC30" s="270"/>
      <c r="AD30" s="252"/>
      <c r="AE30" s="252"/>
      <c r="AF30" s="252"/>
      <c r="AG30" s="252"/>
      <c r="AH30" s="252"/>
      <c r="AI30" s="252"/>
      <c r="AJ30" s="252"/>
      <c r="AK30" s="252"/>
      <c r="AL30" s="252"/>
      <c r="AM30" s="252"/>
      <c r="AN30" s="252"/>
      <c r="AO30" s="252"/>
      <c r="AP30" s="252"/>
      <c r="AQ30" s="252"/>
      <c r="AR30" s="258"/>
      <c r="AS30" s="258"/>
      <c r="AT30" s="272"/>
      <c r="AU30" s="272"/>
      <c r="AV30" s="272"/>
      <c r="AW30" s="272"/>
      <c r="AX30" s="272"/>
      <c r="AY30" s="261"/>
      <c r="AZ30" s="261"/>
      <c r="BA30" s="261"/>
      <c r="BB30" s="261"/>
      <c r="BC30" s="261"/>
      <c r="BD30" s="261"/>
      <c r="BE30" s="261"/>
      <c r="BF30" s="270"/>
      <c r="BG30" s="270"/>
      <c r="BH30" s="270"/>
      <c r="BI30" s="270"/>
      <c r="BJ30" s="270"/>
      <c r="BK30" s="270"/>
      <c r="BL30" s="270"/>
      <c r="BM30" s="272"/>
      <c r="BN30" s="272"/>
      <c r="BO30" s="272"/>
      <c r="BP30" s="272"/>
      <c r="BQ30" s="272"/>
      <c r="BR30" s="272"/>
      <c r="BS30" s="272"/>
      <c r="BT30" s="272"/>
      <c r="BU30" s="272"/>
      <c r="BV30" s="272"/>
      <c r="BW30" s="272"/>
      <c r="BX30" s="272"/>
      <c r="BY30" s="272"/>
      <c r="BZ30" s="272"/>
      <c r="CA30" s="270"/>
      <c r="CB30" s="270"/>
      <c r="CC30" s="270"/>
      <c r="CD30" s="270"/>
      <c r="CE30" s="270"/>
      <c r="CF30" s="270"/>
      <c r="CG30" s="270"/>
      <c r="CH30" s="270"/>
      <c r="CI30" s="252"/>
      <c r="CJ30" s="252"/>
      <c r="CK30" s="252"/>
      <c r="CL30" s="252"/>
      <c r="CM30" s="252"/>
      <c r="CN30" s="252"/>
      <c r="CO30" s="272"/>
      <c r="CP30" s="272"/>
      <c r="CQ30" s="272"/>
      <c r="CR30" s="272"/>
      <c r="CS30" s="272"/>
      <c r="CT30" s="272"/>
      <c r="CU30" s="272"/>
      <c r="CV30" s="272"/>
      <c r="CW30" s="272"/>
      <c r="CX30" s="272"/>
      <c r="CY30" s="272"/>
      <c r="CZ30" s="272"/>
      <c r="DA30" s="272"/>
      <c r="DB30" s="272"/>
      <c r="DC30" s="150"/>
      <c r="DD30" s="150"/>
      <c r="DE30" s="150"/>
      <c r="DF30" s="150"/>
      <c r="DG30" s="150"/>
      <c r="DH30" s="150"/>
      <c r="DI30" s="150"/>
      <c r="DJ30" s="272"/>
      <c r="DK30" s="272"/>
      <c r="DL30" s="272"/>
      <c r="DM30" s="272"/>
      <c r="DN30" s="272"/>
      <c r="DO30" s="272"/>
      <c r="DP30" s="272"/>
      <c r="DQ30" s="258"/>
      <c r="DR30" s="258"/>
      <c r="DS30" s="258"/>
      <c r="DT30" s="258"/>
      <c r="DU30" s="258"/>
      <c r="DV30" s="258"/>
      <c r="DW30" s="258"/>
      <c r="DX30" s="258"/>
      <c r="DY30" s="258"/>
      <c r="DZ30" s="258"/>
      <c r="EA30" s="258"/>
      <c r="EB30" s="258"/>
      <c r="EC30" s="258"/>
      <c r="ED30" s="258"/>
      <c r="EE30" s="150"/>
      <c r="EF30" s="113"/>
      <c r="EG30" s="113"/>
      <c r="EH30" s="113"/>
      <c r="EI30" s="113"/>
      <c r="EJ30" s="113"/>
      <c r="EK30" s="113"/>
      <c r="EL30" s="150"/>
      <c r="EM30" s="150"/>
      <c r="EN30" s="150"/>
      <c r="EO30" s="150"/>
      <c r="EP30" s="150"/>
      <c r="EQ30" s="150"/>
      <c r="ER30" s="150"/>
      <c r="ES30" s="150"/>
      <c r="ET30" s="279"/>
      <c r="EU30" s="279"/>
      <c r="EV30" s="279"/>
      <c r="EW30" s="279"/>
      <c r="EX30" s="279"/>
      <c r="EY30" s="279"/>
      <c r="EZ30" s="112"/>
      <c r="FA30" s="112"/>
      <c r="FB30" s="112"/>
      <c r="FC30" s="112"/>
      <c r="FD30" s="112"/>
      <c r="FE30" s="112"/>
      <c r="FF30" s="112"/>
      <c r="FG30" s="114"/>
      <c r="FH30" s="111"/>
      <c r="FI30" s="111"/>
      <c r="FJ30" s="280"/>
      <c r="FK30" s="280"/>
      <c r="FL30" s="280"/>
      <c r="FM30" s="280"/>
      <c r="FN30" s="280"/>
      <c r="FO30" s="280"/>
      <c r="FP30" s="280"/>
      <c r="FQ30" s="280"/>
      <c r="FR30" s="280"/>
      <c r="FS30" s="280"/>
      <c r="FT30" s="280"/>
      <c r="FU30" s="281"/>
      <c r="FV30" s="281"/>
      <c r="FW30" s="281"/>
      <c r="FX30" s="281"/>
      <c r="FY30" s="281"/>
      <c r="FZ30" s="281"/>
      <c r="GA30" s="281"/>
      <c r="GB30" s="112"/>
      <c r="GC30" s="112"/>
      <c r="GD30" s="112"/>
      <c r="GE30" s="112"/>
      <c r="GF30" s="112"/>
      <c r="GG30" s="112"/>
      <c r="GH30" s="11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112"/>
      <c r="HE30" s="112"/>
      <c r="HF30" s="112"/>
      <c r="HG30" s="112"/>
      <c r="HH30" s="112"/>
      <c r="HI30" s="112"/>
      <c r="HJ30" s="112"/>
      <c r="HK30" s="112"/>
      <c r="HL30" s="112"/>
      <c r="HM30" s="112"/>
      <c r="HN30" s="112"/>
      <c r="HO30" s="112"/>
      <c r="HP30" s="112"/>
      <c r="HQ30" s="112"/>
      <c r="HR30" s="272"/>
      <c r="HS30" s="272"/>
      <c r="HT30" s="272"/>
      <c r="HU30" s="272"/>
      <c r="HV30" s="272"/>
      <c r="HW30" s="272"/>
      <c r="HX30" s="272"/>
      <c r="HY30" s="272"/>
      <c r="HZ30" s="272"/>
      <c r="IA30" s="272"/>
      <c r="IB30" s="272"/>
      <c r="IC30" s="272"/>
      <c r="ID30" s="272"/>
      <c r="IE30" s="272"/>
      <c r="IF30" s="112"/>
      <c r="IG30" s="112"/>
      <c r="IH30" s="112"/>
      <c r="II30" s="112"/>
      <c r="IJ30" s="112"/>
      <c r="IK30" s="112"/>
      <c r="IL30" s="112"/>
      <c r="IM30" s="150"/>
      <c r="IT30" s="150"/>
      <c r="JA30" s="150"/>
      <c r="JH30" s="150"/>
      <c r="JO30" s="150"/>
      <c r="JV30" s="150"/>
      <c r="KC30" s="150"/>
      <c r="KJ30" s="150"/>
      <c r="KQ30" s="150"/>
      <c r="KX30" s="150"/>
      <c r="LE30" s="150"/>
      <c r="LL30" s="258" t="s">
        <v>937</v>
      </c>
      <c r="LM30" s="16"/>
      <c r="LN30" s="16"/>
      <c r="LO30" s="16"/>
      <c r="LP30" s="16"/>
      <c r="LQ30" s="16"/>
      <c r="LR30" s="16"/>
      <c r="LS30" s="16"/>
      <c r="LT30" s="16"/>
      <c r="LU30" s="16"/>
      <c r="LV30" s="16"/>
      <c r="LW30" s="16"/>
      <c r="LX30" s="16"/>
      <c r="LY30" s="16"/>
      <c r="LZ30" s="258" t="s">
        <v>938</v>
      </c>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row>
    <row r="31">
      <c r="A31" s="20" t="s">
        <v>939</v>
      </c>
      <c r="B31" s="252"/>
      <c r="C31" s="16"/>
      <c r="D31" s="16"/>
      <c r="E31" s="16"/>
      <c r="F31" s="16"/>
      <c r="G31" s="16"/>
      <c r="H31" s="25"/>
      <c r="I31" s="258" t="s">
        <v>940</v>
      </c>
      <c r="J31" s="16"/>
      <c r="K31" s="16"/>
      <c r="L31" s="16"/>
      <c r="M31" s="16"/>
      <c r="N31" s="16"/>
      <c r="O31" s="16"/>
      <c r="P31" s="16"/>
      <c r="Q31" s="16"/>
      <c r="R31" s="16"/>
      <c r="S31" s="16"/>
      <c r="T31" s="16"/>
      <c r="U31" s="16"/>
      <c r="V31" s="25"/>
      <c r="W31" s="252"/>
      <c r="X31" s="16"/>
      <c r="Y31" s="16"/>
      <c r="Z31" s="16"/>
      <c r="AA31" s="16"/>
      <c r="AB31" s="16"/>
      <c r="AC31" s="25"/>
      <c r="AD31" s="252"/>
      <c r="AE31" s="16"/>
      <c r="AF31" s="16"/>
      <c r="AG31" s="16"/>
      <c r="AH31" s="16"/>
      <c r="AI31" s="16"/>
      <c r="AJ31" s="25"/>
      <c r="AK31" s="252"/>
      <c r="AL31" s="16"/>
      <c r="AM31" s="16"/>
      <c r="AN31" s="16"/>
      <c r="AO31" s="16"/>
      <c r="AP31" s="16"/>
      <c r="AQ31" s="25"/>
      <c r="AR31" s="258" t="s">
        <v>941</v>
      </c>
      <c r="AS31" s="16"/>
      <c r="AT31" s="16"/>
      <c r="AU31" s="16"/>
      <c r="AV31" s="16"/>
      <c r="AW31" s="16"/>
      <c r="AX31" s="16"/>
      <c r="AY31" s="16"/>
      <c r="AZ31" s="16"/>
      <c r="BA31" s="16"/>
      <c r="BB31" s="16"/>
      <c r="BC31" s="16"/>
      <c r="BD31" s="16"/>
      <c r="BE31" s="25"/>
      <c r="BF31" s="252"/>
      <c r="BG31" s="16"/>
      <c r="BH31" s="16"/>
      <c r="BI31" s="16"/>
      <c r="BJ31" s="16"/>
      <c r="BK31" s="16"/>
      <c r="BL31" s="25"/>
      <c r="BM31" s="258" t="s">
        <v>942</v>
      </c>
      <c r="BN31" s="16"/>
      <c r="BO31" s="16"/>
      <c r="BP31" s="16"/>
      <c r="BQ31" s="16"/>
      <c r="BR31" s="16"/>
      <c r="BS31" s="16"/>
      <c r="BT31" s="16"/>
      <c r="BU31" s="16"/>
      <c r="BV31" s="16"/>
      <c r="BW31" s="16"/>
      <c r="BX31" s="16"/>
      <c r="BY31" s="16"/>
      <c r="BZ31" s="25"/>
      <c r="CA31" s="252"/>
      <c r="CB31" s="16"/>
      <c r="CC31" s="16"/>
      <c r="CD31" s="16"/>
      <c r="CE31" s="16"/>
      <c r="CF31" s="16"/>
      <c r="CG31" s="25"/>
      <c r="CH31" s="252"/>
      <c r="CI31" s="16"/>
      <c r="CJ31" s="16"/>
      <c r="CK31" s="16"/>
      <c r="CL31" s="16"/>
      <c r="CM31" s="16"/>
      <c r="CN31" s="25"/>
      <c r="CO31" s="258" t="s">
        <v>944</v>
      </c>
      <c r="CP31" s="16"/>
      <c r="CQ31" s="16"/>
      <c r="CR31" s="16"/>
      <c r="CS31" s="16"/>
      <c r="CT31" s="16"/>
      <c r="CU31" s="16"/>
      <c r="CV31" s="16"/>
      <c r="CW31" s="16"/>
      <c r="CX31" s="16"/>
      <c r="CY31" s="16"/>
      <c r="CZ31" s="16"/>
      <c r="DA31" s="16"/>
      <c r="DB31" s="25"/>
      <c r="DC31" s="258" t="s">
        <v>945</v>
      </c>
      <c r="DD31" s="16"/>
      <c r="DE31" s="16"/>
      <c r="DF31" s="16"/>
      <c r="DG31" s="16"/>
      <c r="DH31" s="16"/>
      <c r="DI31" s="16"/>
      <c r="DJ31" s="16"/>
      <c r="DK31" s="16"/>
      <c r="DL31" s="16"/>
      <c r="DM31" s="16"/>
      <c r="DN31" s="16"/>
      <c r="DO31" s="16"/>
      <c r="DP31" s="25"/>
      <c r="DQ31" s="258" t="s">
        <v>948</v>
      </c>
      <c r="DR31" s="16"/>
      <c r="DS31" s="16"/>
      <c r="DT31" s="16"/>
      <c r="DU31" s="16"/>
      <c r="DV31" s="16"/>
      <c r="DW31" s="16"/>
      <c r="DX31" s="16"/>
      <c r="DY31" s="16"/>
      <c r="DZ31" s="16"/>
      <c r="EA31" s="16"/>
      <c r="EB31" s="16"/>
      <c r="EC31" s="16"/>
      <c r="ED31" s="16"/>
      <c r="EE31" s="16"/>
      <c r="EF31" s="113"/>
      <c r="EL31" s="258" t="s">
        <v>949</v>
      </c>
      <c r="EM31" s="16"/>
      <c r="EN31" s="16"/>
      <c r="EO31" s="16"/>
      <c r="EP31" s="16"/>
      <c r="EQ31" s="16"/>
      <c r="ER31" s="16"/>
      <c r="ES31" s="16"/>
      <c r="ET31" s="261"/>
      <c r="EU31" s="16"/>
      <c r="EV31" s="16"/>
      <c r="EW31" s="16"/>
      <c r="EX31" s="16"/>
      <c r="EY31" s="16"/>
      <c r="EZ31" s="112"/>
      <c r="FG31" s="144" t="s">
        <v>950</v>
      </c>
      <c r="FH31" s="194"/>
      <c r="FI31" s="194"/>
      <c r="FJ31" s="281" t="s">
        <v>951</v>
      </c>
      <c r="FK31" s="16"/>
      <c r="FL31" s="16"/>
      <c r="FM31" s="16"/>
      <c r="FN31" s="16"/>
      <c r="FO31" s="16"/>
      <c r="FP31" s="16"/>
      <c r="FQ31" s="16"/>
      <c r="FR31" s="16"/>
      <c r="FS31" s="16"/>
      <c r="FT31" s="16"/>
      <c r="FU31" s="16"/>
      <c r="FV31" s="16"/>
      <c r="FW31" s="16"/>
      <c r="FX31" s="16"/>
      <c r="FY31" s="16"/>
      <c r="FZ31" s="16"/>
      <c r="GA31" s="25"/>
      <c r="GB31" s="112"/>
      <c r="GI31" s="258"/>
      <c r="GJ31" s="16"/>
      <c r="GK31" s="16"/>
      <c r="GL31" s="16"/>
      <c r="GM31" s="16"/>
      <c r="GN31" s="16"/>
      <c r="GO31" s="25"/>
      <c r="GP31" s="258" t="s">
        <v>952</v>
      </c>
      <c r="GQ31" s="16"/>
      <c r="GR31" s="16"/>
      <c r="GS31" s="16"/>
      <c r="GT31" s="16"/>
      <c r="GU31" s="16"/>
      <c r="GV31" s="25"/>
      <c r="GW31" s="258" t="s">
        <v>952</v>
      </c>
      <c r="GX31" s="16"/>
      <c r="GY31" s="16"/>
      <c r="GZ31" s="16"/>
      <c r="HA31" s="16"/>
      <c r="HB31" s="16"/>
      <c r="HC31" s="25"/>
      <c r="HD31" s="112"/>
      <c r="HK31" s="112"/>
      <c r="HR31" s="258" t="s">
        <v>953</v>
      </c>
      <c r="HS31" s="16"/>
      <c r="HT31" s="16"/>
      <c r="HU31" s="16"/>
      <c r="HV31" s="16"/>
      <c r="HW31" s="16"/>
      <c r="HX31" s="16"/>
      <c r="HY31" s="16"/>
      <c r="HZ31" s="16"/>
      <c r="IA31" s="16"/>
      <c r="IB31" s="16"/>
      <c r="IC31" s="16"/>
      <c r="ID31" s="16"/>
      <c r="IE31" s="25"/>
      <c r="IF31" s="112"/>
      <c r="IM31" s="258" t="s">
        <v>954</v>
      </c>
      <c r="IN31" s="16"/>
      <c r="IO31" s="16"/>
      <c r="IP31" s="16"/>
      <c r="IQ31" s="16"/>
      <c r="IR31" s="16"/>
      <c r="IS31" s="16"/>
      <c r="IT31" s="16"/>
      <c r="IU31" s="16"/>
      <c r="IV31" s="16"/>
      <c r="IW31" s="16"/>
      <c r="IX31" s="16"/>
      <c r="IY31" s="16"/>
      <c r="IZ31" s="25"/>
      <c r="JA31" s="112"/>
      <c r="JH31" s="112"/>
      <c r="JO31" s="258" t="s">
        <v>926</v>
      </c>
      <c r="JP31" s="16"/>
      <c r="JQ31" s="16"/>
      <c r="JR31" s="16"/>
      <c r="JS31" s="16"/>
      <c r="JT31" s="16"/>
      <c r="JU31" s="25"/>
      <c r="JV31" s="281" t="s">
        <v>926</v>
      </c>
      <c r="JW31" s="16"/>
      <c r="JX31" s="16"/>
      <c r="JY31" s="16"/>
      <c r="JZ31" s="16"/>
      <c r="KA31" s="16"/>
      <c r="KB31" s="25"/>
      <c r="KC31" s="258" t="s">
        <v>928</v>
      </c>
      <c r="KD31" s="16"/>
      <c r="KE31" s="16"/>
      <c r="KF31" s="16"/>
      <c r="KG31" s="16"/>
      <c r="KH31" s="16"/>
      <c r="KI31" s="16"/>
      <c r="KJ31" s="16"/>
      <c r="KK31" s="16"/>
      <c r="KL31" s="16"/>
      <c r="KM31" s="16"/>
      <c r="KN31" s="16"/>
      <c r="KO31" s="16"/>
      <c r="KP31" s="16"/>
      <c r="KQ31" s="112"/>
      <c r="KX31" s="112"/>
      <c r="LE31" s="258" t="s">
        <v>956</v>
      </c>
      <c r="LF31" s="16"/>
      <c r="LG31" s="16"/>
      <c r="LH31" s="16"/>
      <c r="LI31" s="16"/>
      <c r="LJ31" s="16"/>
      <c r="LK31" s="16"/>
      <c r="LL31" s="16"/>
      <c r="LM31" s="16"/>
      <c r="LN31" s="16"/>
      <c r="LO31" s="16"/>
      <c r="LP31" s="16"/>
      <c r="LQ31" s="16"/>
      <c r="LR31" s="16"/>
      <c r="LS31" s="16"/>
      <c r="LT31" s="16"/>
      <c r="LU31" s="16"/>
      <c r="LV31" s="16"/>
      <c r="LW31" s="16"/>
      <c r="LX31" s="16"/>
      <c r="LY31" s="25"/>
      <c r="LZ31" s="112"/>
      <c r="MG31" s="112"/>
      <c r="MN31" s="112"/>
      <c r="MU31" s="112"/>
      <c r="NA31" s="83"/>
    </row>
    <row r="32" ht="33.0" customHeight="1">
      <c r="A32" s="20" t="s">
        <v>959</v>
      </c>
      <c r="B32" s="144" t="s">
        <v>960</v>
      </c>
      <c r="C32" s="16"/>
      <c r="D32" s="16"/>
      <c r="E32" s="16"/>
      <c r="F32" s="16"/>
      <c r="G32" s="16"/>
      <c r="H32" s="16"/>
      <c r="I32" s="16"/>
      <c r="J32" s="16"/>
      <c r="K32" s="16"/>
      <c r="L32" s="16"/>
      <c r="M32" s="16"/>
      <c r="N32" s="16"/>
      <c r="O32" s="25"/>
      <c r="P32" s="144" t="s">
        <v>961</v>
      </c>
      <c r="Q32" s="16"/>
      <c r="R32" s="16"/>
      <c r="S32" s="16"/>
      <c r="T32" s="16"/>
      <c r="U32" s="16"/>
      <c r="V32" s="25"/>
      <c r="W32" s="144" t="s">
        <v>963</v>
      </c>
      <c r="X32" s="16"/>
      <c r="Y32" s="16"/>
      <c r="Z32" s="16"/>
      <c r="AA32" s="16"/>
      <c r="AB32" s="16"/>
      <c r="AC32" s="25"/>
      <c r="AD32" s="144" t="s">
        <v>964</v>
      </c>
      <c r="AE32" s="16"/>
      <c r="AF32" s="16"/>
      <c r="AG32" s="16"/>
      <c r="AH32" s="16"/>
      <c r="AI32" s="16"/>
      <c r="AJ32" s="25"/>
      <c r="AK32" s="142" t="s">
        <v>965</v>
      </c>
      <c r="AL32" s="16"/>
      <c r="AM32" s="16"/>
      <c r="AN32" s="16"/>
      <c r="AO32" s="16"/>
      <c r="AP32" s="16"/>
      <c r="AQ32" s="25"/>
      <c r="AR32" s="142" t="s">
        <v>967</v>
      </c>
      <c r="AS32" s="25"/>
      <c r="AT32" s="258" t="s">
        <v>968</v>
      </c>
      <c r="AU32" s="16"/>
      <c r="AV32" s="16"/>
      <c r="AW32" s="16"/>
      <c r="AX32" s="16"/>
      <c r="AY32" s="16"/>
      <c r="AZ32" s="16"/>
      <c r="BA32" s="16"/>
      <c r="BB32" s="16"/>
      <c r="BC32" s="16"/>
      <c r="BD32" s="16"/>
      <c r="BE32" s="16"/>
      <c r="BF32" s="16"/>
      <c r="BG32" s="16"/>
      <c r="BH32" s="16"/>
      <c r="BI32" s="16"/>
      <c r="BJ32" s="16"/>
      <c r="BK32" s="16"/>
      <c r="BL32" s="16"/>
      <c r="BM32" s="258" t="s">
        <v>970</v>
      </c>
      <c r="BN32" s="16"/>
      <c r="BO32" s="16"/>
      <c r="BP32" s="16"/>
      <c r="BQ32" s="16"/>
      <c r="BR32" s="16"/>
      <c r="BS32" s="16"/>
      <c r="BT32" s="16"/>
      <c r="BU32" s="16"/>
      <c r="BV32" s="16"/>
      <c r="BW32" s="16"/>
      <c r="BX32" s="16"/>
      <c r="BY32" s="16"/>
      <c r="BZ32" s="16"/>
      <c r="CA32" s="25"/>
      <c r="CB32" s="144" t="s">
        <v>972</v>
      </c>
      <c r="CC32" s="16"/>
      <c r="CD32" s="16"/>
      <c r="CE32" s="16"/>
      <c r="CF32" s="16"/>
      <c r="CG32" s="16"/>
      <c r="CH32" s="16"/>
      <c r="CI32" s="16"/>
      <c r="CJ32" s="16"/>
      <c r="CK32" s="16"/>
      <c r="CL32" s="16"/>
      <c r="CM32" s="16"/>
      <c r="CN32" s="25"/>
      <c r="CO32" s="144" t="s">
        <v>390</v>
      </c>
      <c r="CP32" s="16"/>
      <c r="CQ32" s="16"/>
      <c r="CR32" s="16"/>
      <c r="CS32" s="16"/>
      <c r="CT32" s="16"/>
      <c r="CU32" s="25"/>
      <c r="CV32" s="144" t="s">
        <v>621</v>
      </c>
      <c r="CW32" s="16"/>
      <c r="CX32" s="16"/>
      <c r="CY32" s="16"/>
      <c r="CZ32" s="16"/>
      <c r="DA32" s="16"/>
      <c r="DB32" s="25"/>
      <c r="DC32" s="144" t="s">
        <v>976</v>
      </c>
      <c r="DD32" s="16"/>
      <c r="DE32" s="16"/>
      <c r="DF32" s="16"/>
      <c r="DG32" s="16"/>
      <c r="DH32" s="16"/>
      <c r="DI32" s="16"/>
      <c r="DJ32" s="16"/>
      <c r="DK32" s="16"/>
      <c r="DL32" s="16"/>
      <c r="DM32" s="16"/>
      <c r="DN32" s="16"/>
      <c r="DO32" s="16"/>
      <c r="DP32" s="25"/>
      <c r="DQ32" s="144" t="s">
        <v>398</v>
      </c>
      <c r="DR32" s="16"/>
      <c r="DS32" s="16"/>
      <c r="DT32" s="16"/>
      <c r="DU32" s="16"/>
      <c r="DV32" s="16"/>
      <c r="DW32" s="16"/>
      <c r="DX32" s="16"/>
      <c r="DY32" s="16"/>
      <c r="DZ32" s="16"/>
      <c r="EA32" s="16"/>
      <c r="EB32" s="16"/>
      <c r="EC32" s="16"/>
      <c r="ED32" s="25"/>
      <c r="EE32" s="144" t="s">
        <v>979</v>
      </c>
      <c r="EF32" s="16"/>
      <c r="EG32" s="16"/>
      <c r="EH32" s="16"/>
      <c r="EI32" s="16"/>
      <c r="EJ32" s="16"/>
      <c r="EK32" s="16"/>
      <c r="EL32" s="16"/>
      <c r="EM32" s="16"/>
      <c r="EN32" s="16"/>
      <c r="EO32" s="16"/>
      <c r="EP32" s="16"/>
      <c r="EQ32" s="16"/>
      <c r="ER32" s="25"/>
      <c r="ES32" s="144" t="s">
        <v>981</v>
      </c>
      <c r="ET32" s="16"/>
      <c r="EU32" s="16"/>
      <c r="EV32" s="16"/>
      <c r="EW32" s="16"/>
      <c r="EX32" s="16"/>
      <c r="EY32" s="16"/>
      <c r="EZ32" s="144" t="s">
        <v>983</v>
      </c>
      <c r="FA32" s="16"/>
      <c r="FB32" s="16"/>
      <c r="FC32" s="16"/>
      <c r="FD32" s="16"/>
      <c r="FE32" s="16"/>
      <c r="FF32" s="25"/>
      <c r="FG32" s="294" t="s">
        <v>950</v>
      </c>
      <c r="FH32" s="23"/>
      <c r="FI32" s="23"/>
      <c r="FJ32" s="23"/>
      <c r="FK32" s="23"/>
      <c r="FL32" s="23"/>
      <c r="FM32" s="23"/>
      <c r="FN32" s="144" t="s">
        <v>987</v>
      </c>
      <c r="FO32" s="16"/>
      <c r="FP32" s="16"/>
      <c r="FQ32" s="16"/>
      <c r="FR32" s="16"/>
      <c r="FS32" s="16"/>
      <c r="FT32" s="16"/>
      <c r="FU32" s="16"/>
      <c r="FV32" s="16"/>
      <c r="FW32" s="16"/>
      <c r="FX32" s="16"/>
      <c r="FY32" s="16"/>
      <c r="FZ32" s="16"/>
      <c r="GA32" s="25"/>
      <c r="GB32" s="114" t="s">
        <v>991</v>
      </c>
      <c r="GI32" s="114" t="s">
        <v>992</v>
      </c>
      <c r="GP32" s="12" t="s">
        <v>993</v>
      </c>
      <c r="GW32" s="114" t="s">
        <v>994</v>
      </c>
      <c r="HD32" s="12" t="s">
        <v>995</v>
      </c>
      <c r="HK32" s="12" t="s">
        <v>996</v>
      </c>
      <c r="HR32" s="12" t="s">
        <v>997</v>
      </c>
      <c r="HY32" s="12" t="s">
        <v>998</v>
      </c>
      <c r="IF32" s="114" t="s">
        <v>999</v>
      </c>
      <c r="IM32" s="114" t="s">
        <v>999</v>
      </c>
      <c r="IT32" s="114" t="s">
        <v>1000</v>
      </c>
      <c r="JA32" s="114" t="s">
        <v>1000</v>
      </c>
      <c r="JH32" s="114" t="s">
        <v>1002</v>
      </c>
      <c r="JO32" s="114" t="s">
        <v>1003</v>
      </c>
      <c r="JV32" s="12" t="s">
        <v>1005</v>
      </c>
      <c r="KC32" s="12" t="s">
        <v>1006</v>
      </c>
      <c r="KJ32" s="12" t="s">
        <v>1007</v>
      </c>
      <c r="KQ32" s="12" t="s">
        <v>1007</v>
      </c>
      <c r="KX32" s="12" t="s">
        <v>1007</v>
      </c>
      <c r="LE32" s="12" t="s">
        <v>1008</v>
      </c>
      <c r="LL32" s="114" t="s">
        <v>1010</v>
      </c>
      <c r="LS32" s="114" t="s">
        <v>1011</v>
      </c>
      <c r="LZ32" s="114" t="s">
        <v>1012</v>
      </c>
      <c r="MG32" s="114" t="s">
        <v>1012</v>
      </c>
      <c r="MN32" s="114" t="s">
        <v>1013</v>
      </c>
      <c r="MU32" s="12" t="s">
        <v>1014</v>
      </c>
      <c r="NA32" s="83"/>
    </row>
    <row r="33">
      <c r="A33" s="20" t="s">
        <v>1016</v>
      </c>
      <c r="B33" s="111" t="s">
        <v>1017</v>
      </c>
      <c r="I33" s="114" t="s">
        <v>1018</v>
      </c>
      <c r="P33" s="114" t="s">
        <v>1018</v>
      </c>
      <c r="W33" s="114" t="s">
        <v>1019</v>
      </c>
      <c r="AD33" s="114" t="s">
        <v>1021</v>
      </c>
      <c r="AK33" s="114" t="s">
        <v>189</v>
      </c>
      <c r="AR33" s="114" t="s">
        <v>1023</v>
      </c>
      <c r="AY33" s="114" t="s">
        <v>1023</v>
      </c>
      <c r="BF33" s="114" t="s">
        <v>1025</v>
      </c>
      <c r="BM33" s="114" t="s">
        <v>1026</v>
      </c>
      <c r="BT33" s="114" t="s">
        <v>1027</v>
      </c>
      <c r="CA33" s="114" t="s">
        <v>1028</v>
      </c>
      <c r="CH33" s="114" t="s">
        <v>1029</v>
      </c>
      <c r="CO33" s="114" t="s">
        <v>1030</v>
      </c>
      <c r="CV33" s="114" t="s">
        <v>1031</v>
      </c>
      <c r="DC33" s="114" t="s">
        <v>1032</v>
      </c>
      <c r="DJ33" s="114" t="s">
        <v>1033</v>
      </c>
      <c r="DQ33" s="114" t="s">
        <v>280</v>
      </c>
      <c r="DX33" s="114" t="s">
        <v>280</v>
      </c>
      <c r="EE33" s="114" t="s">
        <v>1035</v>
      </c>
      <c r="EL33" s="114" t="s">
        <v>1035</v>
      </c>
      <c r="ES33" s="114" t="s">
        <v>1036</v>
      </c>
      <c r="EZ33" s="114" t="s">
        <v>1037</v>
      </c>
      <c r="FG33" s="114" t="s">
        <v>1038</v>
      </c>
      <c r="FN33" s="114" t="s">
        <v>1039</v>
      </c>
      <c r="FU33" s="114" t="s">
        <v>1039</v>
      </c>
      <c r="GB33" s="114" t="s">
        <v>1041</v>
      </c>
      <c r="GI33" s="114" t="s">
        <v>1042</v>
      </c>
      <c r="GP33" s="114" t="s">
        <v>1043</v>
      </c>
      <c r="GW33" s="114" t="s">
        <v>1044</v>
      </c>
      <c r="HD33" s="114" t="s">
        <v>1044</v>
      </c>
      <c r="HK33" s="114" t="s">
        <v>1045</v>
      </c>
      <c r="HR33" s="114" t="s">
        <v>1046</v>
      </c>
      <c r="HY33" s="114" t="s">
        <v>1047</v>
      </c>
      <c r="IF33" s="114" t="s">
        <v>1048</v>
      </c>
      <c r="IM33" s="114"/>
      <c r="IT33" s="114" t="s">
        <v>1035</v>
      </c>
      <c r="JA33" s="114" t="s">
        <v>1049</v>
      </c>
      <c r="JH33" s="114" t="s">
        <v>1050</v>
      </c>
      <c r="JO33" s="114" t="s">
        <v>1051</v>
      </c>
      <c r="JV33" s="114" t="s">
        <v>1051</v>
      </c>
      <c r="KC33" s="114" t="s">
        <v>1051</v>
      </c>
      <c r="KJ33" s="114" t="s">
        <v>1053</v>
      </c>
      <c r="KQ33" s="114" t="s">
        <v>1054</v>
      </c>
      <c r="KX33" s="114" t="s">
        <v>1055</v>
      </c>
      <c r="LE33" s="114" t="s">
        <v>1056</v>
      </c>
      <c r="LL33" s="114" t="s">
        <v>1035</v>
      </c>
      <c r="LS33" s="114" t="s">
        <v>1057</v>
      </c>
      <c r="LZ33" s="114" t="s">
        <v>1058</v>
      </c>
      <c r="MG33" s="112"/>
      <c r="MN33" s="112"/>
      <c r="MU33" s="114" t="s">
        <v>1060</v>
      </c>
      <c r="NA33" s="83"/>
    </row>
    <row r="34">
      <c r="A34" s="20" t="s">
        <v>1062</v>
      </c>
      <c r="B34" s="111" t="s">
        <v>1063</v>
      </c>
      <c r="I34" s="114" t="s">
        <v>1064</v>
      </c>
      <c r="P34" s="114" t="s">
        <v>1065</v>
      </c>
      <c r="W34" s="114" t="s">
        <v>1065</v>
      </c>
      <c r="AD34" s="114" t="s">
        <v>1066</v>
      </c>
      <c r="AK34" s="114" t="s">
        <v>189</v>
      </c>
      <c r="AR34" s="114" t="s">
        <v>1069</v>
      </c>
      <c r="AY34" s="114" t="s">
        <v>1070</v>
      </c>
      <c r="BF34" s="114" t="s">
        <v>1071</v>
      </c>
      <c r="BM34" s="114" t="s">
        <v>1072</v>
      </c>
      <c r="BT34" s="114" t="s">
        <v>1073</v>
      </c>
      <c r="CA34" s="114" t="s">
        <v>1074</v>
      </c>
      <c r="CH34" s="114" t="s">
        <v>1074</v>
      </c>
      <c r="CO34" s="114" t="s">
        <v>1075</v>
      </c>
      <c r="CV34" s="114" t="s">
        <v>1077</v>
      </c>
      <c r="DC34" s="114" t="s">
        <v>1078</v>
      </c>
      <c r="DJ34" s="114" t="s">
        <v>1079</v>
      </c>
      <c r="DQ34" s="114" t="s">
        <v>280</v>
      </c>
      <c r="DX34" s="114" t="s">
        <v>280</v>
      </c>
      <c r="EE34" s="114" t="s">
        <v>1080</v>
      </c>
      <c r="EL34" s="114" t="s">
        <v>1081</v>
      </c>
      <c r="EM34" s="111"/>
      <c r="EN34" s="111"/>
      <c r="EO34" s="111"/>
      <c r="EP34" s="111"/>
      <c r="EQ34" s="111"/>
      <c r="ER34" s="111"/>
      <c r="ES34" s="114" t="s">
        <v>1083</v>
      </c>
      <c r="EZ34" s="114"/>
      <c r="FG34" s="114" t="s">
        <v>1038</v>
      </c>
      <c r="FN34" s="114" t="s">
        <v>1085</v>
      </c>
      <c r="FU34" s="114" t="s">
        <v>1086</v>
      </c>
      <c r="GB34" s="114" t="s">
        <v>1087</v>
      </c>
      <c r="GI34" s="114" t="s">
        <v>1087</v>
      </c>
      <c r="GP34" s="114" t="s">
        <v>1088</v>
      </c>
      <c r="GW34" s="114" t="s">
        <v>1089</v>
      </c>
      <c r="HD34" s="114" t="s">
        <v>1090</v>
      </c>
      <c r="HK34" s="114" t="s">
        <v>1091</v>
      </c>
      <c r="HR34" s="114" t="s">
        <v>1093</v>
      </c>
      <c r="HY34" s="114" t="s">
        <v>1047</v>
      </c>
      <c r="IF34" s="114" t="s">
        <v>1094</v>
      </c>
      <c r="IM34" s="114" t="s">
        <v>1094</v>
      </c>
      <c r="IT34" s="114"/>
      <c r="JA34" s="114" t="s">
        <v>1095</v>
      </c>
      <c r="JH34" s="114" t="s">
        <v>1096</v>
      </c>
      <c r="JO34" s="114" t="s">
        <v>1097</v>
      </c>
      <c r="JV34" s="114" t="s">
        <v>1097</v>
      </c>
      <c r="KC34" s="114" t="s">
        <v>1099</v>
      </c>
      <c r="KJ34" s="114" t="s">
        <v>1100</v>
      </c>
      <c r="KQ34" s="114" t="s">
        <v>1100</v>
      </c>
      <c r="KX34" s="114" t="s">
        <v>1101</v>
      </c>
      <c r="LE34" s="114" t="s">
        <v>1102</v>
      </c>
      <c r="LL34" s="114" t="s">
        <v>1102</v>
      </c>
      <c r="LS34" s="114" t="s">
        <v>1102</v>
      </c>
      <c r="LZ34" s="114" t="s">
        <v>1104</v>
      </c>
      <c r="MG34" s="114" t="s">
        <v>1105</v>
      </c>
      <c r="MN34" s="114" t="s">
        <v>1105</v>
      </c>
      <c r="MU34" s="114" t="s">
        <v>1107</v>
      </c>
      <c r="NA34" s="83"/>
    </row>
    <row r="35">
      <c r="A35" s="20" t="s">
        <v>1108</v>
      </c>
      <c r="B35" s="111" t="s">
        <v>1109</v>
      </c>
      <c r="I35" s="114" t="s">
        <v>1110</v>
      </c>
      <c r="P35" s="114" t="s">
        <v>1111</v>
      </c>
      <c r="W35" s="114" t="s">
        <v>1112</v>
      </c>
      <c r="AD35" s="114" t="s">
        <v>1113</v>
      </c>
      <c r="AK35" s="114" t="s">
        <v>189</v>
      </c>
      <c r="AR35" s="114" t="s">
        <v>1114</v>
      </c>
      <c r="AY35" s="311" t="s">
        <v>1114</v>
      </c>
      <c r="BF35" s="114" t="s">
        <v>1115</v>
      </c>
      <c r="BM35" s="114" t="s">
        <v>1115</v>
      </c>
      <c r="BT35" s="114" t="s">
        <v>1117</v>
      </c>
      <c r="CA35" s="114" t="s">
        <v>1118</v>
      </c>
      <c r="CH35" s="114" t="s">
        <v>1118</v>
      </c>
      <c r="CO35" s="114" t="s">
        <v>1120</v>
      </c>
      <c r="CV35" s="114" t="s">
        <v>1121</v>
      </c>
      <c r="DC35" s="114" t="s">
        <v>1122</v>
      </c>
      <c r="DJ35" s="114" t="s">
        <v>1114</v>
      </c>
      <c r="DQ35" s="114" t="s">
        <v>398</v>
      </c>
      <c r="DX35" s="114" t="s">
        <v>398</v>
      </c>
      <c r="EE35" s="114" t="s">
        <v>1123</v>
      </c>
      <c r="EL35" s="114" t="s">
        <v>1124</v>
      </c>
      <c r="ES35" s="114" t="s">
        <v>1125</v>
      </c>
      <c r="EZ35" s="114" t="s">
        <v>1125</v>
      </c>
      <c r="FG35" s="114" t="s">
        <v>1038</v>
      </c>
      <c r="FN35" s="114" t="s">
        <v>1126</v>
      </c>
      <c r="FU35" s="114" t="s">
        <v>1127</v>
      </c>
      <c r="GB35" s="114" t="s">
        <v>1114</v>
      </c>
      <c r="GI35" s="114" t="s">
        <v>1114</v>
      </c>
      <c r="GP35" s="114" t="s">
        <v>1128</v>
      </c>
      <c r="GW35" s="114" t="s">
        <v>1128</v>
      </c>
      <c r="HD35" s="114" t="s">
        <v>1129</v>
      </c>
      <c r="HK35" s="114" t="s">
        <v>1131</v>
      </c>
      <c r="HR35" s="114" t="s">
        <v>1132</v>
      </c>
      <c r="HY35" s="114" t="s">
        <v>1047</v>
      </c>
      <c r="IF35" s="114" t="s">
        <v>1133</v>
      </c>
      <c r="IM35" s="114" t="s">
        <v>1133</v>
      </c>
      <c r="IT35" s="114" t="s">
        <v>1134</v>
      </c>
      <c r="JA35" s="114" t="s">
        <v>1135</v>
      </c>
      <c r="JH35" s="114" t="s">
        <v>1136</v>
      </c>
      <c r="JO35" s="114" t="s">
        <v>1137</v>
      </c>
      <c r="JV35" s="114" t="s">
        <v>1138</v>
      </c>
      <c r="KC35" s="114" t="s">
        <v>1140</v>
      </c>
      <c r="KJ35" s="114" t="s">
        <v>1141</v>
      </c>
      <c r="KQ35" s="114" t="s">
        <v>1141</v>
      </c>
      <c r="KX35" s="114" t="s">
        <v>1142</v>
      </c>
      <c r="LE35" s="114" t="s">
        <v>1143</v>
      </c>
      <c r="LL35" s="114" t="s">
        <v>1144</v>
      </c>
      <c r="LS35" s="114" t="s">
        <v>1144</v>
      </c>
      <c r="LZ35" s="114" t="s">
        <v>1145</v>
      </c>
      <c r="MG35" s="114" t="s">
        <v>1147</v>
      </c>
      <c r="MN35" s="114" t="s">
        <v>1147</v>
      </c>
      <c r="MU35" s="114" t="s">
        <v>1148</v>
      </c>
      <c r="NA35" s="83"/>
    </row>
    <row r="36">
      <c r="A36" s="20" t="s">
        <v>1149</v>
      </c>
      <c r="B36" s="111" t="s">
        <v>1150</v>
      </c>
      <c r="I36" s="111" t="s">
        <v>1150</v>
      </c>
      <c r="P36" s="114" t="s">
        <v>1151</v>
      </c>
      <c r="W36" s="114" t="s">
        <v>1152</v>
      </c>
      <c r="AC36" s="83"/>
      <c r="AD36" s="114" t="s">
        <v>189</v>
      </c>
      <c r="AK36" s="114" t="s">
        <v>189</v>
      </c>
      <c r="AR36" s="114" t="s">
        <v>1153</v>
      </c>
      <c r="AY36" s="114" t="s">
        <v>1154</v>
      </c>
      <c r="BM36" s="114" t="s">
        <v>1155</v>
      </c>
      <c r="BT36" s="114" t="s">
        <v>1155</v>
      </c>
      <c r="CA36" s="114" t="s">
        <v>1156</v>
      </c>
      <c r="CH36" s="114" t="s">
        <v>1157</v>
      </c>
      <c r="CO36" s="114" t="s">
        <v>1158</v>
      </c>
      <c r="CV36" s="114" t="s">
        <v>1159</v>
      </c>
      <c r="DC36" s="114" t="s">
        <v>1160</v>
      </c>
      <c r="DJ36" s="114" t="s">
        <v>1161</v>
      </c>
      <c r="DQ36" s="114" t="s">
        <v>280</v>
      </c>
      <c r="DX36" s="114" t="s">
        <v>280</v>
      </c>
      <c r="EE36" s="114" t="s">
        <v>1163</v>
      </c>
      <c r="EL36" s="114" t="s">
        <v>1164</v>
      </c>
      <c r="ES36" s="114" t="s">
        <v>1164</v>
      </c>
      <c r="EZ36" s="114"/>
      <c r="FG36" s="114" t="s">
        <v>1038</v>
      </c>
      <c r="FN36" s="114" t="s">
        <v>1165</v>
      </c>
      <c r="FU36" s="114" t="s">
        <v>1166</v>
      </c>
      <c r="GB36" s="114" t="s">
        <v>1167</v>
      </c>
      <c r="GI36" s="114" t="s">
        <v>1168</v>
      </c>
      <c r="GP36" s="114" t="s">
        <v>1168</v>
      </c>
      <c r="GW36" s="114" t="s">
        <v>1166</v>
      </c>
      <c r="HD36" s="114" t="s">
        <v>1150</v>
      </c>
      <c r="HK36" s="114" t="s">
        <v>1170</v>
      </c>
      <c r="HR36" s="114" t="s">
        <v>1171</v>
      </c>
      <c r="HY36" s="114" t="s">
        <v>1047</v>
      </c>
      <c r="IF36" s="114" t="s">
        <v>1150</v>
      </c>
      <c r="IM36" s="114" t="s">
        <v>1150</v>
      </c>
      <c r="IT36" s="114"/>
      <c r="JA36" s="114" t="s">
        <v>1151</v>
      </c>
      <c r="JH36" s="114" t="s">
        <v>1173</v>
      </c>
      <c r="JO36" s="114" t="s">
        <v>1174</v>
      </c>
      <c r="JV36" s="114" t="s">
        <v>1174</v>
      </c>
      <c r="KC36" s="114" t="s">
        <v>1174</v>
      </c>
      <c r="KJ36" s="114" t="s">
        <v>1176</v>
      </c>
      <c r="KQ36" s="114" t="s">
        <v>1176</v>
      </c>
      <c r="KX36" s="114" t="s">
        <v>1177</v>
      </c>
      <c r="LE36" s="114" t="s">
        <v>1178</v>
      </c>
      <c r="LL36" s="114" t="s">
        <v>1180</v>
      </c>
      <c r="LS36" s="114" t="s">
        <v>1180</v>
      </c>
      <c r="LZ36" s="318" t="s">
        <v>1181</v>
      </c>
      <c r="MA36" s="111"/>
      <c r="MB36" s="111"/>
      <c r="MC36" s="111"/>
      <c r="MD36" s="111"/>
      <c r="ME36" s="111"/>
      <c r="MF36" s="111"/>
      <c r="MG36" s="114" t="s">
        <v>1181</v>
      </c>
      <c r="MN36" s="318" t="s">
        <v>1181</v>
      </c>
      <c r="MO36" s="111"/>
      <c r="MP36" s="111"/>
      <c r="MQ36" s="111"/>
      <c r="MR36" s="111"/>
      <c r="MS36" s="111"/>
      <c r="MT36" s="111"/>
      <c r="MU36" s="114" t="s">
        <v>1183</v>
      </c>
      <c r="NA36" s="83"/>
    </row>
    <row r="37">
      <c r="A37" s="20" t="s">
        <v>1185</v>
      </c>
      <c r="B37" s="113"/>
      <c r="I37" s="113"/>
      <c r="P37" s="113"/>
      <c r="W37" s="113"/>
      <c r="AD37" s="113"/>
      <c r="AK37" s="113"/>
      <c r="AR37" s="113"/>
      <c r="AY37" s="113"/>
      <c r="BF37" s="113"/>
      <c r="BM37" s="113"/>
      <c r="BT37" s="113"/>
      <c r="CA37" s="113"/>
      <c r="CH37" s="113"/>
      <c r="CO37" s="113"/>
      <c r="CV37" s="113"/>
      <c r="DC37" s="113"/>
      <c r="DJ37" s="113"/>
      <c r="DQ37" s="113"/>
      <c r="DX37" s="113"/>
      <c r="EE37" s="113"/>
      <c r="EL37" s="113"/>
      <c r="ES37" s="113"/>
      <c r="EZ37" s="113"/>
      <c r="FG37" s="113"/>
      <c r="FN37" s="113"/>
      <c r="FU37" s="113"/>
      <c r="GB37" s="113"/>
      <c r="GI37" s="113"/>
      <c r="GP37" s="111" t="s">
        <v>1187</v>
      </c>
      <c r="GW37" s="113"/>
      <c r="HD37" s="113"/>
      <c r="HK37" s="113"/>
      <c r="HR37" s="113"/>
      <c r="HY37" s="113"/>
      <c r="IF37" s="113"/>
      <c r="IM37" s="114"/>
      <c r="IT37" s="111" t="s">
        <v>1188</v>
      </c>
      <c r="JA37" s="113"/>
      <c r="JH37" s="111" t="s">
        <v>1189</v>
      </c>
      <c r="JO37" s="111" t="s">
        <v>1190</v>
      </c>
      <c r="JV37" s="322" t="s">
        <v>1191</v>
      </c>
      <c r="KC37" s="322" t="s">
        <v>1193</v>
      </c>
      <c r="KJ37" s="111" t="s">
        <v>1194</v>
      </c>
      <c r="KQ37" s="12" t="s">
        <v>1195</v>
      </c>
      <c r="KX37" s="111" t="s">
        <v>1196</v>
      </c>
      <c r="LE37" s="111" t="s">
        <v>1197</v>
      </c>
      <c r="LL37" s="111" t="s">
        <v>1198</v>
      </c>
      <c r="LS37" s="111" t="s">
        <v>1198</v>
      </c>
      <c r="LZ37" s="111" t="s">
        <v>1199</v>
      </c>
      <c r="MG37" s="111" t="s">
        <v>323</v>
      </c>
      <c r="MN37" s="111" t="s">
        <v>1199</v>
      </c>
      <c r="MU37" s="111" t="s">
        <v>1200</v>
      </c>
      <c r="NB37" s="113"/>
      <c r="NI37" s="113"/>
      <c r="NP37" s="113"/>
      <c r="NW37" s="113"/>
    </row>
    <row r="38">
      <c r="A38" s="20" t="s">
        <v>761</v>
      </c>
      <c r="B38" s="113"/>
      <c r="I38" s="114" t="s">
        <v>1201</v>
      </c>
      <c r="P38" s="114" t="s">
        <v>1203</v>
      </c>
      <c r="W38" s="114" t="s">
        <v>763</v>
      </c>
      <c r="AC38" s="83"/>
      <c r="AD38" s="111" t="s">
        <v>764</v>
      </c>
      <c r="AK38" s="114" t="s">
        <v>765</v>
      </c>
      <c r="AQ38" s="83"/>
      <c r="AR38" s="12" t="s">
        <v>766</v>
      </c>
      <c r="AY38" s="12" t="s">
        <v>1205</v>
      </c>
      <c r="BF38" s="114" t="s">
        <v>765</v>
      </c>
      <c r="BM38" s="114" t="s">
        <v>1207</v>
      </c>
      <c r="BT38" s="114" t="s">
        <v>1207</v>
      </c>
      <c r="CA38" s="12" t="s">
        <v>426</v>
      </c>
      <c r="CH38" s="12" t="s">
        <v>769</v>
      </c>
      <c r="CO38" s="114" t="s">
        <v>770</v>
      </c>
      <c r="CV38" s="12" t="s">
        <v>694</v>
      </c>
      <c r="DC38" s="12" t="s">
        <v>694</v>
      </c>
      <c r="DJ38" s="12" t="s">
        <v>773</v>
      </c>
      <c r="DQ38" s="12" t="s">
        <v>774</v>
      </c>
      <c r="DX38" s="111" t="s">
        <v>774</v>
      </c>
      <c r="EE38" s="111" t="s">
        <v>765</v>
      </c>
      <c r="EL38" s="114" t="s">
        <v>896</v>
      </c>
      <c r="ES38" s="114" t="s">
        <v>1211</v>
      </c>
      <c r="EZ38" s="114" t="s">
        <v>1212</v>
      </c>
      <c r="FG38" s="114" t="s">
        <v>782</v>
      </c>
      <c r="FN38" s="318" t="s">
        <v>1213</v>
      </c>
      <c r="FO38" s="113"/>
      <c r="FP38" s="113"/>
      <c r="FQ38" s="113"/>
      <c r="FR38" s="113"/>
      <c r="FS38" s="113"/>
      <c r="FT38" s="113"/>
      <c r="FU38" s="114" t="s">
        <v>1214</v>
      </c>
      <c r="GB38" s="114" t="s">
        <v>1216</v>
      </c>
      <c r="GI38" s="114" t="s">
        <v>1217</v>
      </c>
      <c r="GP38" s="114" t="s">
        <v>1218</v>
      </c>
      <c r="GW38" s="114" t="s">
        <v>1219</v>
      </c>
      <c r="HD38" s="114" t="s">
        <v>628</v>
      </c>
      <c r="HK38" s="114"/>
      <c r="HR38" s="114"/>
      <c r="HY38" s="114" t="s">
        <v>1220</v>
      </c>
      <c r="IF38" s="114" t="s">
        <v>1221</v>
      </c>
      <c r="IM38" s="114" t="s">
        <v>1221</v>
      </c>
      <c r="IT38" s="111" t="s">
        <v>1188</v>
      </c>
      <c r="JA38" s="114" t="s">
        <v>1223</v>
      </c>
      <c r="JH38" s="114" t="s">
        <v>1224</v>
      </c>
      <c r="JO38" s="12" t="s">
        <v>1226</v>
      </c>
      <c r="JV38" s="322" t="s">
        <v>1227</v>
      </c>
      <c r="KC38" s="12" t="s">
        <v>1229</v>
      </c>
      <c r="KJ38" s="12" t="s">
        <v>1230</v>
      </c>
      <c r="KQ38" s="318" t="s">
        <v>1231</v>
      </c>
      <c r="KX38" s="114" t="s">
        <v>1232</v>
      </c>
      <c r="LE38" s="114" t="s">
        <v>1233</v>
      </c>
      <c r="LL38" s="114" t="s">
        <v>1234</v>
      </c>
      <c r="LS38" s="114" t="s">
        <v>1235</v>
      </c>
      <c r="LZ38" s="114" t="s">
        <v>1237</v>
      </c>
      <c r="MG38" s="114" t="s">
        <v>1237</v>
      </c>
      <c r="MN38" s="114" t="s">
        <v>1237</v>
      </c>
      <c r="MU38" s="114" t="s">
        <v>1238</v>
      </c>
      <c r="NA38" s="83"/>
    </row>
    <row r="39">
      <c r="A39" s="326" t="s">
        <v>789</v>
      </c>
      <c r="B39" s="165" t="s">
        <v>1240</v>
      </c>
      <c r="C39" s="23"/>
      <c r="D39" s="23"/>
      <c r="E39" s="23"/>
      <c r="F39" s="23"/>
      <c r="G39" s="23"/>
      <c r="H39" s="23"/>
      <c r="I39" s="327"/>
      <c r="J39" s="23"/>
      <c r="K39" s="23"/>
      <c r="L39" s="23"/>
      <c r="M39" s="23"/>
      <c r="N39" s="23"/>
      <c r="O39" s="23"/>
      <c r="P39" s="327"/>
      <c r="Q39" s="23"/>
      <c r="R39" s="23"/>
      <c r="S39" s="23"/>
      <c r="T39" s="23"/>
      <c r="U39" s="23"/>
      <c r="V39" s="23"/>
      <c r="W39" s="327"/>
      <c r="X39" s="23"/>
      <c r="Y39" s="23"/>
      <c r="Z39" s="23"/>
      <c r="AA39" s="23"/>
      <c r="AB39" s="23"/>
      <c r="AC39" s="104"/>
      <c r="AD39" s="329"/>
      <c r="AE39" s="23"/>
      <c r="AF39" s="23"/>
      <c r="AG39" s="23"/>
      <c r="AH39" s="23"/>
      <c r="AI39" s="23"/>
      <c r="AJ39" s="23"/>
      <c r="AK39" s="327"/>
      <c r="AL39" s="23"/>
      <c r="AM39" s="23"/>
      <c r="AN39" s="23"/>
      <c r="AO39" s="23"/>
      <c r="AP39" s="23"/>
      <c r="AQ39" s="104"/>
      <c r="AR39" s="329"/>
      <c r="AS39" s="23"/>
      <c r="AT39" s="23"/>
      <c r="AU39" s="23"/>
      <c r="AV39" s="23"/>
      <c r="AW39" s="23"/>
      <c r="AX39" s="23"/>
      <c r="AY39" s="327"/>
      <c r="AZ39" s="23"/>
      <c r="BA39" s="23"/>
      <c r="BB39" s="23"/>
      <c r="BC39" s="23"/>
      <c r="BD39" s="23"/>
      <c r="BE39" s="23"/>
      <c r="BF39" s="327"/>
      <c r="BG39" s="23"/>
      <c r="BH39" s="23"/>
      <c r="BI39" s="23"/>
      <c r="BJ39" s="23"/>
      <c r="BK39" s="23"/>
      <c r="BL39" s="23"/>
      <c r="BM39" s="166" t="s">
        <v>638</v>
      </c>
      <c r="BN39" s="23"/>
      <c r="BO39" s="23"/>
      <c r="BP39" s="23"/>
      <c r="BQ39" s="23"/>
      <c r="BR39" s="23"/>
      <c r="BS39" s="23"/>
      <c r="BT39" s="166" t="s">
        <v>1242</v>
      </c>
      <c r="BU39" s="23"/>
      <c r="BV39" s="23"/>
      <c r="BW39" s="23"/>
      <c r="BX39" s="23"/>
      <c r="BY39" s="23"/>
      <c r="BZ39" s="23"/>
      <c r="CA39" s="327"/>
      <c r="CB39" s="23"/>
      <c r="CC39" s="23"/>
      <c r="CD39" s="23"/>
      <c r="CE39" s="23"/>
      <c r="CF39" s="23"/>
      <c r="CG39" s="23"/>
      <c r="CH39" s="327"/>
      <c r="CI39" s="23"/>
      <c r="CJ39" s="23"/>
      <c r="CK39" s="23"/>
      <c r="CL39" s="23"/>
      <c r="CM39" s="23"/>
      <c r="CN39" s="23"/>
      <c r="CO39" s="327"/>
      <c r="CP39" s="23"/>
      <c r="CQ39" s="23"/>
      <c r="CR39" s="23"/>
      <c r="CS39" s="23"/>
      <c r="CT39" s="23"/>
      <c r="CU39" s="23"/>
      <c r="CV39" s="12"/>
      <c r="DC39" s="12"/>
      <c r="DJ39" s="114" t="s">
        <v>1244</v>
      </c>
      <c r="DQ39" s="329"/>
      <c r="DR39" s="23"/>
      <c r="DS39" s="23"/>
      <c r="DT39" s="23"/>
      <c r="DU39" s="23"/>
      <c r="DV39" s="23"/>
      <c r="DW39" s="23"/>
      <c r="DX39" s="329"/>
      <c r="DY39" s="23"/>
      <c r="DZ39" s="23"/>
      <c r="EA39" s="23"/>
      <c r="EB39" s="23"/>
      <c r="EC39" s="23"/>
      <c r="ED39" s="23"/>
      <c r="EE39" s="329"/>
      <c r="EF39" s="23"/>
      <c r="EG39" s="23"/>
      <c r="EH39" s="23"/>
      <c r="EI39" s="23"/>
      <c r="EJ39" s="23"/>
      <c r="EK39" s="23"/>
      <c r="EL39" s="327"/>
      <c r="EM39" s="23"/>
      <c r="EN39" s="23"/>
      <c r="EO39" s="23"/>
      <c r="EP39" s="23"/>
      <c r="EQ39" s="23"/>
      <c r="ER39" s="23"/>
      <c r="ES39" s="166" t="s">
        <v>1245</v>
      </c>
      <c r="ET39" s="23"/>
      <c r="EU39" s="23"/>
      <c r="EV39" s="23"/>
      <c r="EW39" s="23"/>
      <c r="EX39" s="23"/>
      <c r="EY39" s="23"/>
      <c r="EZ39" s="327"/>
      <c r="FA39" s="23"/>
      <c r="FB39" s="23"/>
      <c r="FC39" s="23"/>
      <c r="FD39" s="23"/>
      <c r="FE39" s="23"/>
      <c r="FF39" s="23"/>
      <c r="FG39" s="327"/>
      <c r="FH39" s="23"/>
      <c r="FI39" s="23"/>
      <c r="FJ39" s="23"/>
      <c r="FK39" s="23"/>
      <c r="FL39" s="23"/>
      <c r="FM39" s="23"/>
      <c r="FN39" s="327"/>
      <c r="FO39" s="23"/>
      <c r="FP39" s="23"/>
      <c r="FQ39" s="23"/>
      <c r="FR39" s="23"/>
      <c r="FS39" s="23"/>
      <c r="FT39" s="23"/>
      <c r="FU39" s="166" t="s">
        <v>1246</v>
      </c>
      <c r="FV39" s="23"/>
      <c r="FW39" s="23"/>
      <c r="FX39" s="23"/>
      <c r="FY39" s="23"/>
      <c r="FZ39" s="23"/>
      <c r="GA39" s="23"/>
      <c r="GB39" s="327"/>
      <c r="GC39" s="23"/>
      <c r="GD39" s="23"/>
      <c r="GE39" s="23"/>
      <c r="GF39" s="23"/>
      <c r="GG39" s="23"/>
      <c r="GH39" s="23"/>
      <c r="GI39" s="327"/>
      <c r="GJ39" s="23"/>
      <c r="GK39" s="23"/>
      <c r="GL39" s="23"/>
      <c r="GM39" s="23"/>
      <c r="GN39" s="23"/>
      <c r="GO39" s="23"/>
      <c r="GP39" s="327"/>
      <c r="GQ39" s="23"/>
      <c r="GR39" s="23"/>
      <c r="GS39" s="23"/>
      <c r="GT39" s="23"/>
      <c r="GU39" s="23"/>
      <c r="GV39" s="23"/>
      <c r="GW39" s="327"/>
      <c r="GX39" s="23"/>
      <c r="GY39" s="23"/>
      <c r="GZ39" s="23"/>
      <c r="HA39" s="23"/>
      <c r="HB39" s="23"/>
      <c r="HC39" s="23"/>
      <c r="HD39" s="327"/>
      <c r="HE39" s="23"/>
      <c r="HF39" s="23"/>
      <c r="HG39" s="23"/>
      <c r="HH39" s="23"/>
      <c r="HI39" s="23"/>
      <c r="HJ39" s="23"/>
      <c r="HK39" s="166" t="s">
        <v>1247</v>
      </c>
      <c r="HL39" s="329"/>
      <c r="HM39" s="329"/>
      <c r="HN39" s="329"/>
      <c r="HO39" s="329"/>
      <c r="HP39" s="329"/>
      <c r="HQ39" s="329"/>
      <c r="HR39" s="166" t="s">
        <v>1247</v>
      </c>
      <c r="HS39" s="23"/>
      <c r="HT39" s="23"/>
      <c r="HU39" s="23"/>
      <c r="HV39" s="23"/>
      <c r="HW39" s="23"/>
      <c r="HX39" s="23"/>
      <c r="HY39" s="327"/>
      <c r="HZ39" s="23"/>
      <c r="IA39" s="23"/>
      <c r="IB39" s="23"/>
      <c r="IC39" s="23"/>
      <c r="ID39" s="23"/>
      <c r="IE39" s="23"/>
      <c r="IF39" s="327"/>
      <c r="IG39" s="23"/>
      <c r="IH39" s="23"/>
      <c r="II39" s="23"/>
      <c r="IJ39" s="23"/>
      <c r="IK39" s="23"/>
      <c r="IL39" s="23"/>
      <c r="IM39" s="327"/>
      <c r="IN39" s="23"/>
      <c r="IO39" s="23"/>
      <c r="IP39" s="23"/>
      <c r="IQ39" s="23"/>
      <c r="IR39" s="23"/>
      <c r="IS39" s="23"/>
      <c r="IT39" s="327"/>
      <c r="IU39" s="23"/>
      <c r="IV39" s="23"/>
      <c r="IW39" s="23"/>
      <c r="IX39" s="23"/>
      <c r="IY39" s="23"/>
      <c r="IZ39" s="23"/>
      <c r="JA39" s="327"/>
      <c r="JB39" s="23"/>
      <c r="JC39" s="23"/>
      <c r="JD39" s="23"/>
      <c r="JE39" s="23"/>
      <c r="JF39" s="23"/>
      <c r="JG39" s="23"/>
      <c r="JH39" s="327"/>
      <c r="JI39" s="23"/>
      <c r="JJ39" s="23"/>
      <c r="JK39" s="23"/>
      <c r="JL39" s="23"/>
      <c r="JM39" s="23"/>
      <c r="JN39" s="23"/>
      <c r="JO39" s="327"/>
      <c r="JP39" s="23"/>
      <c r="JQ39" s="23"/>
      <c r="JR39" s="23"/>
      <c r="JS39" s="23"/>
      <c r="JT39" s="23"/>
      <c r="JU39" s="23"/>
      <c r="JV39" s="327"/>
      <c r="JW39" s="23"/>
      <c r="JX39" s="23"/>
      <c r="JY39" s="23"/>
      <c r="JZ39" s="23"/>
      <c r="KA39" s="23"/>
      <c r="KB39" s="23"/>
      <c r="KC39" s="327"/>
      <c r="KD39" s="23"/>
      <c r="KE39" s="23"/>
      <c r="KF39" s="23"/>
      <c r="KG39" s="23"/>
      <c r="KH39" s="23"/>
      <c r="KI39" s="23"/>
      <c r="KJ39" s="327"/>
      <c r="KK39" s="23"/>
      <c r="KL39" s="23"/>
      <c r="KM39" s="23"/>
      <c r="KN39" s="23"/>
      <c r="KO39" s="23"/>
      <c r="KP39" s="23"/>
      <c r="KQ39" s="327"/>
      <c r="KR39" s="23"/>
      <c r="KS39" s="23"/>
      <c r="KT39" s="23"/>
      <c r="KU39" s="23"/>
      <c r="KV39" s="23"/>
      <c r="KW39" s="23"/>
      <c r="KX39" s="327"/>
      <c r="KY39" s="23"/>
      <c r="KZ39" s="23"/>
      <c r="LA39" s="23"/>
      <c r="LB39" s="23"/>
      <c r="LC39" s="23"/>
      <c r="LD39" s="23"/>
      <c r="LE39" s="327"/>
      <c r="LF39" s="23"/>
      <c r="LG39" s="23"/>
      <c r="LH39" s="23"/>
      <c r="LI39" s="23"/>
      <c r="LJ39" s="23"/>
      <c r="LK39" s="23"/>
      <c r="LL39" s="327"/>
      <c r="LM39" s="23"/>
      <c r="LN39" s="23"/>
      <c r="LO39" s="23"/>
      <c r="LP39" s="23"/>
      <c r="LQ39" s="23"/>
      <c r="LR39" s="23"/>
      <c r="LS39" s="327"/>
      <c r="LT39" s="23"/>
      <c r="LU39" s="23"/>
      <c r="LV39" s="23"/>
      <c r="LW39" s="23"/>
      <c r="LX39" s="23"/>
      <c r="LY39" s="23"/>
      <c r="LZ39" s="166" t="s">
        <v>1251</v>
      </c>
      <c r="MA39" s="23"/>
      <c r="MB39" s="23"/>
      <c r="MC39" s="23"/>
      <c r="MD39" s="23"/>
      <c r="ME39" s="23"/>
      <c r="MF39" s="23"/>
      <c r="MG39" s="327"/>
      <c r="MH39" s="23"/>
      <c r="MI39" s="23"/>
      <c r="MJ39" s="23"/>
      <c r="MK39" s="23"/>
      <c r="ML39" s="23"/>
      <c r="MM39" s="23"/>
      <c r="MN39" s="327"/>
      <c r="MO39" s="23"/>
      <c r="MP39" s="23"/>
      <c r="MQ39" s="23"/>
      <c r="MR39" s="23"/>
      <c r="MS39" s="23"/>
      <c r="MT39" s="23"/>
      <c r="MU39" s="327"/>
      <c r="MV39" s="23"/>
      <c r="MW39" s="23"/>
      <c r="MX39" s="23"/>
      <c r="MY39" s="23"/>
      <c r="MZ39" s="23"/>
      <c r="NA39" s="104"/>
    </row>
    <row r="40">
      <c r="A40" s="20"/>
      <c r="B40" s="20"/>
    </row>
    <row r="41">
      <c r="A41" s="122" t="s">
        <v>1256</v>
      </c>
      <c r="B41" s="123"/>
      <c r="C41" s="16"/>
      <c r="D41" s="16"/>
      <c r="E41" s="16"/>
      <c r="F41" s="16"/>
      <c r="G41" s="16"/>
      <c r="H41" s="16"/>
      <c r="I41" s="123"/>
      <c r="J41" s="16"/>
      <c r="K41" s="16"/>
      <c r="L41" s="16"/>
      <c r="M41" s="16"/>
      <c r="N41" s="16"/>
      <c r="O41" s="16"/>
      <c r="P41" s="123"/>
      <c r="Q41" s="16"/>
      <c r="R41" s="16"/>
      <c r="S41" s="16"/>
      <c r="T41" s="16"/>
      <c r="U41" s="16"/>
      <c r="V41" s="16"/>
      <c r="W41" s="123"/>
      <c r="X41" s="16"/>
      <c r="Y41" s="16"/>
      <c r="Z41" s="16"/>
      <c r="AA41" s="16"/>
      <c r="AB41" s="16"/>
      <c r="AC41" s="16"/>
      <c r="AD41" s="123"/>
      <c r="AE41" s="16"/>
      <c r="AF41" s="16"/>
      <c r="AG41" s="16"/>
      <c r="AH41" s="16"/>
      <c r="AI41" s="16"/>
      <c r="AJ41" s="16"/>
      <c r="AK41" s="123"/>
      <c r="AL41" s="16"/>
      <c r="AM41" s="16"/>
      <c r="AN41" s="16"/>
      <c r="AO41" s="16"/>
      <c r="AP41" s="16"/>
      <c r="AQ41" s="16"/>
      <c r="AR41" s="123"/>
      <c r="AS41" s="16"/>
      <c r="AT41" s="16"/>
      <c r="AU41" s="16"/>
      <c r="AV41" s="16"/>
      <c r="AW41" s="16"/>
      <c r="AX41" s="16"/>
      <c r="AY41" s="123"/>
      <c r="AZ41" s="16"/>
      <c r="BA41" s="16"/>
      <c r="BB41" s="16"/>
      <c r="BC41" s="16"/>
      <c r="BD41" s="16"/>
      <c r="BE41" s="16"/>
      <c r="BF41" s="123"/>
      <c r="BG41" s="16"/>
      <c r="BH41" s="16"/>
      <c r="BI41" s="16"/>
      <c r="BJ41" s="16"/>
      <c r="BK41" s="16"/>
      <c r="BL41" s="16"/>
      <c r="BM41" s="123"/>
      <c r="BN41" s="16"/>
      <c r="BO41" s="16"/>
      <c r="BP41" s="16"/>
      <c r="BQ41" s="16"/>
      <c r="BR41" s="16"/>
      <c r="BS41" s="16"/>
      <c r="BT41" s="123"/>
      <c r="BU41" s="16"/>
      <c r="BV41" s="16"/>
      <c r="BW41" s="16"/>
      <c r="BX41" s="16"/>
      <c r="BY41" s="16"/>
      <c r="BZ41" s="16"/>
      <c r="CA41" s="123"/>
      <c r="CB41" s="16"/>
      <c r="CC41" s="16"/>
      <c r="CD41" s="16"/>
      <c r="CE41" s="16"/>
      <c r="CF41" s="16"/>
      <c r="CG41" s="16"/>
      <c r="CH41" s="123"/>
      <c r="CI41" s="16"/>
      <c r="CJ41" s="16"/>
      <c r="CK41" s="16"/>
      <c r="CL41" s="16"/>
      <c r="CM41" s="16"/>
      <c r="CN41" s="16"/>
      <c r="CO41" s="123"/>
      <c r="CP41" s="16"/>
      <c r="CQ41" s="16"/>
      <c r="CR41" s="16"/>
      <c r="CS41" s="16"/>
      <c r="CT41" s="16"/>
      <c r="CU41" s="16"/>
      <c r="CV41" s="123"/>
      <c r="CW41" s="16"/>
      <c r="CX41" s="16"/>
      <c r="CY41" s="16"/>
      <c r="CZ41" s="16"/>
      <c r="DA41" s="16"/>
      <c r="DB41" s="16"/>
      <c r="DC41" s="123"/>
      <c r="DD41" s="16"/>
      <c r="DE41" s="16"/>
      <c r="DF41" s="16"/>
      <c r="DG41" s="16"/>
      <c r="DH41" s="16"/>
      <c r="DI41" s="16"/>
      <c r="DJ41" s="123"/>
      <c r="DK41" s="16"/>
      <c r="DL41" s="16"/>
      <c r="DM41" s="16"/>
      <c r="DN41" s="16"/>
      <c r="DO41" s="16"/>
      <c r="DP41" s="16"/>
      <c r="DQ41" s="123"/>
      <c r="DR41" s="16"/>
      <c r="DS41" s="16"/>
      <c r="DT41" s="16"/>
      <c r="DU41" s="16"/>
      <c r="DV41" s="16"/>
      <c r="DW41" s="16"/>
      <c r="DX41" s="123"/>
      <c r="DY41" s="16"/>
      <c r="DZ41" s="16"/>
      <c r="EA41" s="16"/>
      <c r="EB41" s="16"/>
      <c r="EC41" s="16"/>
      <c r="ED41" s="16"/>
      <c r="EE41" s="123"/>
      <c r="EF41" s="16"/>
      <c r="EG41" s="16"/>
      <c r="EH41" s="16"/>
      <c r="EI41" s="16"/>
      <c r="EJ41" s="16"/>
      <c r="EK41" s="16"/>
      <c r="EL41" s="123"/>
      <c r="EM41" s="16"/>
      <c r="EN41" s="16"/>
      <c r="EO41" s="16"/>
      <c r="EP41" s="16"/>
      <c r="EQ41" s="16"/>
      <c r="ER41" s="16"/>
      <c r="ES41" s="123"/>
      <c r="ET41" s="16"/>
      <c r="EU41" s="16"/>
      <c r="EV41" s="16"/>
      <c r="EW41" s="16"/>
      <c r="EX41" s="16"/>
      <c r="EY41" s="16"/>
      <c r="EZ41" s="123"/>
      <c r="FA41" s="16"/>
      <c r="FB41" s="16"/>
      <c r="FC41" s="16"/>
      <c r="FD41" s="16"/>
      <c r="FE41" s="16"/>
      <c r="FF41" s="16"/>
      <c r="FG41" s="123"/>
      <c r="FH41" s="16"/>
      <c r="FI41" s="16"/>
      <c r="FJ41" s="16"/>
      <c r="FK41" s="16"/>
      <c r="FL41" s="16"/>
      <c r="FM41" s="16"/>
      <c r="FN41" s="123"/>
      <c r="FO41" s="16"/>
      <c r="FP41" s="16"/>
      <c r="FQ41" s="16"/>
      <c r="FR41" s="16"/>
      <c r="FS41" s="16"/>
      <c r="FT41" s="16"/>
      <c r="FU41" s="123"/>
      <c r="FV41" s="16"/>
      <c r="FW41" s="16"/>
      <c r="FX41" s="16"/>
      <c r="FY41" s="16"/>
      <c r="FZ41" s="16"/>
      <c r="GA41" s="16"/>
      <c r="GB41" s="123"/>
      <c r="GC41" s="16"/>
      <c r="GD41" s="16"/>
      <c r="GE41" s="16"/>
      <c r="GF41" s="16"/>
      <c r="GG41" s="16"/>
      <c r="GH41" s="16"/>
      <c r="GI41" s="123"/>
      <c r="GJ41" s="16"/>
      <c r="GK41" s="16"/>
      <c r="GL41" s="16"/>
      <c r="GM41" s="16"/>
      <c r="GN41" s="16"/>
      <c r="GO41" s="16"/>
      <c r="GP41" s="123"/>
      <c r="GQ41" s="16"/>
      <c r="GR41" s="16"/>
      <c r="GS41" s="16"/>
      <c r="GT41" s="16"/>
      <c r="GU41" s="16"/>
      <c r="GV41" s="16"/>
      <c r="GW41" s="123"/>
      <c r="GX41" s="16"/>
      <c r="GY41" s="16"/>
      <c r="GZ41" s="16"/>
      <c r="HA41" s="16"/>
      <c r="HB41" s="16"/>
      <c r="HC41" s="16"/>
      <c r="HD41" s="123"/>
      <c r="HE41" s="16"/>
      <c r="HF41" s="16"/>
      <c r="HG41" s="16"/>
      <c r="HH41" s="16"/>
      <c r="HI41" s="16"/>
      <c r="HJ41" s="16"/>
      <c r="HK41" s="123"/>
      <c r="HL41" s="16"/>
      <c r="HM41" s="16"/>
      <c r="HN41" s="16"/>
      <c r="HO41" s="16"/>
      <c r="HP41" s="16"/>
      <c r="HQ41" s="16"/>
      <c r="HR41" s="123"/>
      <c r="HS41" s="16"/>
      <c r="HT41" s="16"/>
      <c r="HU41" s="16"/>
      <c r="HV41" s="16"/>
      <c r="HW41" s="16"/>
      <c r="HX41" s="16"/>
      <c r="HY41" s="123"/>
      <c r="HZ41" s="16"/>
      <c r="IA41" s="16"/>
      <c r="IB41" s="16"/>
      <c r="IC41" s="16"/>
      <c r="ID41" s="16"/>
      <c r="IE41" s="16"/>
      <c r="IF41" s="123"/>
      <c r="IG41" s="16"/>
      <c r="IH41" s="16"/>
      <c r="II41" s="16"/>
      <c r="IJ41" s="16"/>
      <c r="IK41" s="16"/>
      <c r="IL41" s="16"/>
      <c r="IM41" s="123"/>
      <c r="IN41" s="16"/>
      <c r="IO41" s="16"/>
      <c r="IP41" s="16"/>
      <c r="IQ41" s="16"/>
      <c r="IR41" s="16"/>
      <c r="IS41" s="16"/>
      <c r="IT41" s="123"/>
      <c r="IU41" s="16"/>
      <c r="IV41" s="16"/>
      <c r="IW41" s="16"/>
      <c r="IX41" s="16"/>
      <c r="IY41" s="16"/>
      <c r="IZ41" s="16"/>
      <c r="JA41" s="123"/>
      <c r="JB41" s="16"/>
      <c r="JC41" s="16"/>
      <c r="JD41" s="16"/>
      <c r="JE41" s="16"/>
      <c r="JF41" s="16"/>
      <c r="JG41" s="16"/>
      <c r="JH41" s="123"/>
      <c r="JI41" s="16"/>
      <c r="JJ41" s="16"/>
      <c r="JK41" s="16"/>
      <c r="JL41" s="16"/>
      <c r="JM41" s="16"/>
      <c r="JN41" s="16"/>
      <c r="JO41" s="123"/>
      <c r="JP41" s="16"/>
      <c r="JQ41" s="16"/>
      <c r="JR41" s="16"/>
      <c r="JS41" s="16"/>
      <c r="JT41" s="16"/>
      <c r="JU41" s="16"/>
      <c r="JV41" s="123"/>
      <c r="JW41" s="16"/>
      <c r="JX41" s="16"/>
      <c r="JY41" s="16"/>
      <c r="JZ41" s="16"/>
      <c r="KA41" s="16"/>
      <c r="KB41" s="16"/>
      <c r="KC41" s="123"/>
      <c r="KD41" s="16"/>
      <c r="KE41" s="16"/>
      <c r="KF41" s="16"/>
      <c r="KG41" s="16"/>
      <c r="KH41" s="16"/>
      <c r="KI41" s="16"/>
      <c r="KJ41" s="123"/>
      <c r="KK41" s="16"/>
      <c r="KL41" s="16"/>
      <c r="KM41" s="16"/>
      <c r="KN41" s="16"/>
      <c r="KO41" s="16"/>
      <c r="KP41" s="16"/>
      <c r="KQ41" s="123"/>
      <c r="KR41" s="16"/>
      <c r="KS41" s="16"/>
      <c r="KT41" s="16"/>
      <c r="KU41" s="16"/>
      <c r="KV41" s="16"/>
      <c r="KW41" s="16"/>
      <c r="KX41" s="123"/>
      <c r="KY41" s="16"/>
      <c r="KZ41" s="16"/>
      <c r="LA41" s="16"/>
      <c r="LB41" s="16"/>
      <c r="LC41" s="16"/>
      <c r="LD41" s="16"/>
      <c r="LE41" s="123"/>
      <c r="LF41" s="16"/>
      <c r="LG41" s="16"/>
      <c r="LH41" s="16"/>
      <c r="LI41" s="16"/>
      <c r="LJ41" s="16"/>
      <c r="LK41" s="16"/>
      <c r="LL41" s="123"/>
      <c r="LM41" s="16"/>
      <c r="LN41" s="16"/>
      <c r="LO41" s="16"/>
      <c r="LP41" s="16"/>
      <c r="LQ41" s="16"/>
      <c r="LR41" s="16"/>
      <c r="LS41" s="123"/>
      <c r="LT41" s="16"/>
      <c r="LU41" s="16"/>
      <c r="LV41" s="16"/>
      <c r="LW41" s="16"/>
      <c r="LX41" s="16"/>
      <c r="LY41" s="16"/>
      <c r="LZ41" s="123"/>
      <c r="MA41" s="16"/>
      <c r="MB41" s="16"/>
      <c r="MC41" s="16"/>
      <c r="MD41" s="16"/>
      <c r="ME41" s="16"/>
      <c r="MF41" s="16"/>
      <c r="MG41" s="123"/>
      <c r="MH41" s="16"/>
      <c r="MI41" s="16"/>
      <c r="MJ41" s="16"/>
      <c r="MK41" s="16"/>
      <c r="ML41" s="16"/>
      <c r="MM41" s="16"/>
      <c r="MN41" s="123"/>
      <c r="MO41" s="16"/>
      <c r="MP41" s="16"/>
      <c r="MQ41" s="16"/>
      <c r="MR41" s="16"/>
      <c r="MS41" s="16"/>
      <c r="MT41" s="16"/>
      <c r="MU41" s="123"/>
      <c r="MV41" s="16"/>
      <c r="MW41" s="16"/>
      <c r="MX41" s="16"/>
      <c r="MY41" s="16"/>
      <c r="MZ41" s="16"/>
      <c r="NA41" s="25"/>
    </row>
    <row r="42">
      <c r="A42" s="20" t="s">
        <v>1267</v>
      </c>
      <c r="B42" s="111" t="s">
        <v>1268</v>
      </c>
      <c r="I42" s="114" t="s">
        <v>1269</v>
      </c>
      <c r="P42" s="111" t="s">
        <v>1270</v>
      </c>
      <c r="W42" s="114" t="s">
        <v>1271</v>
      </c>
      <c r="AE42" s="111" t="s">
        <v>1272</v>
      </c>
      <c r="AK42" s="114" t="s">
        <v>1273</v>
      </c>
      <c r="AO42" s="111" t="s">
        <v>674</v>
      </c>
      <c r="AP42" s="111" t="s">
        <v>1273</v>
      </c>
      <c r="AT42" s="111" t="s">
        <v>1274</v>
      </c>
      <c r="AY42" s="114" t="s">
        <v>1275</v>
      </c>
      <c r="BF42" s="114" t="s">
        <v>1276</v>
      </c>
      <c r="BM42" s="114" t="s">
        <v>1277</v>
      </c>
      <c r="CB42" s="111" t="s">
        <v>1278</v>
      </c>
      <c r="CH42" s="114" t="s">
        <v>1279</v>
      </c>
      <c r="CO42" s="114" t="s">
        <v>693</v>
      </c>
      <c r="CV42" s="114" t="s">
        <v>1280</v>
      </c>
      <c r="DC42" s="114" t="s">
        <v>1281</v>
      </c>
      <c r="DJ42" s="114" t="s">
        <v>1282</v>
      </c>
      <c r="DQ42" s="111" t="s">
        <v>1283</v>
      </c>
      <c r="DX42" s="111" t="s">
        <v>1284</v>
      </c>
      <c r="EE42" s="111" t="s">
        <v>1285</v>
      </c>
      <c r="EL42" s="114" t="s">
        <v>1286</v>
      </c>
      <c r="ES42" s="114" t="s">
        <v>343</v>
      </c>
      <c r="EZ42" s="114" t="s">
        <v>1287</v>
      </c>
      <c r="FG42" s="114" t="s">
        <v>1288</v>
      </c>
      <c r="FN42" s="114" t="s">
        <v>661</v>
      </c>
      <c r="FU42" s="114" t="s">
        <v>1289</v>
      </c>
      <c r="GB42" s="114" t="s">
        <v>1290</v>
      </c>
      <c r="GI42" s="114" t="s">
        <v>1291</v>
      </c>
      <c r="GP42" s="114" t="s">
        <v>1292</v>
      </c>
      <c r="GW42" s="114" t="s">
        <v>1293</v>
      </c>
      <c r="HD42" s="114" t="s">
        <v>1294</v>
      </c>
      <c r="HK42" s="114" t="s">
        <v>1295</v>
      </c>
      <c r="HR42" s="158" t="s">
        <v>1286</v>
      </c>
      <c r="HY42" s="114" t="s">
        <v>1296</v>
      </c>
      <c r="IF42" s="114" t="s">
        <v>1297</v>
      </c>
      <c r="IM42" s="114" t="s">
        <v>1297</v>
      </c>
      <c r="IT42" s="114" t="s">
        <v>1298</v>
      </c>
      <c r="JA42" s="114" t="s">
        <v>1299</v>
      </c>
      <c r="JH42" s="114" t="s">
        <v>1300</v>
      </c>
      <c r="JI42" s="111"/>
      <c r="JJ42" s="111"/>
      <c r="JK42" s="111"/>
      <c r="JL42" s="111"/>
      <c r="JM42" s="111"/>
      <c r="JN42" s="114" t="s">
        <v>1301</v>
      </c>
      <c r="JV42" s="114" t="s">
        <v>1302</v>
      </c>
      <c r="KC42" s="114" t="s">
        <v>1303</v>
      </c>
      <c r="KJ42" s="114" t="s">
        <v>1304</v>
      </c>
      <c r="KQ42" s="114" t="s">
        <v>1305</v>
      </c>
      <c r="KX42" s="114" t="s">
        <v>831</v>
      </c>
      <c r="LE42" s="114" t="s">
        <v>1306</v>
      </c>
      <c r="LL42" s="114" t="s">
        <v>1307</v>
      </c>
      <c r="LS42" s="114" t="s">
        <v>1308</v>
      </c>
      <c r="MB42" s="114" t="s">
        <v>1309</v>
      </c>
      <c r="MN42" s="114" t="s">
        <v>1309</v>
      </c>
      <c r="MU42" s="114" t="s">
        <v>1311</v>
      </c>
      <c r="NA42" s="83"/>
    </row>
    <row r="43">
      <c r="A43" s="20" t="s">
        <v>1312</v>
      </c>
      <c r="B43" s="111" t="s">
        <v>382</v>
      </c>
      <c r="I43" s="114" t="s">
        <v>382</v>
      </c>
      <c r="P43" s="111" t="s">
        <v>382</v>
      </c>
      <c r="W43" s="114" t="s">
        <v>382</v>
      </c>
      <c r="AD43" s="111" t="s">
        <v>438</v>
      </c>
      <c r="AK43" s="114" t="s">
        <v>1314</v>
      </c>
      <c r="AL43" s="111"/>
      <c r="AM43" s="111"/>
      <c r="AN43" s="111"/>
      <c r="AO43" s="111" t="s">
        <v>382</v>
      </c>
      <c r="AP43" s="111" t="s">
        <v>1314</v>
      </c>
      <c r="AT43" s="111" t="s">
        <v>1315</v>
      </c>
      <c r="AY43" s="114" t="s">
        <v>1315</v>
      </c>
      <c r="BF43" s="114" t="s">
        <v>1316</v>
      </c>
      <c r="BM43" s="114" t="s">
        <v>1316</v>
      </c>
      <c r="CB43" s="111" t="s">
        <v>1316</v>
      </c>
      <c r="CH43" s="114" t="s">
        <v>1317</v>
      </c>
      <c r="CO43" s="114" t="s">
        <v>382</v>
      </c>
      <c r="CV43" s="114" t="s">
        <v>1318</v>
      </c>
      <c r="DC43" s="114" t="s">
        <v>382</v>
      </c>
      <c r="DJ43" s="114" t="s">
        <v>1319</v>
      </c>
      <c r="DQ43" s="111" t="s">
        <v>1320</v>
      </c>
      <c r="DX43" s="111" t="s">
        <v>1320</v>
      </c>
      <c r="EE43" s="111" t="s">
        <v>1321</v>
      </c>
      <c r="EL43" s="114" t="s">
        <v>382</v>
      </c>
      <c r="ES43" s="114"/>
      <c r="EZ43" s="112"/>
      <c r="FG43" s="114"/>
      <c r="FN43" s="114" t="s">
        <v>1324</v>
      </c>
      <c r="FU43" s="114" t="s">
        <v>1324</v>
      </c>
      <c r="GB43" s="114" t="s">
        <v>1325</v>
      </c>
      <c r="GI43" s="112"/>
      <c r="GP43" s="112"/>
      <c r="GW43" s="112"/>
      <c r="HD43" s="112"/>
      <c r="HK43" s="112"/>
      <c r="HR43" s="112"/>
      <c r="HY43" s="112"/>
      <c r="IF43" s="112"/>
      <c r="IM43" s="112"/>
      <c r="IT43" s="112"/>
      <c r="JA43" s="114"/>
      <c r="JH43" s="112"/>
      <c r="JO43" s="112"/>
      <c r="JV43" s="112"/>
      <c r="KC43" s="112"/>
      <c r="KJ43" s="112"/>
      <c r="KQ43" s="112"/>
      <c r="KX43" s="112"/>
      <c r="LE43" s="112"/>
      <c r="LL43" s="112"/>
      <c r="LS43" s="112"/>
      <c r="LZ43" s="112"/>
      <c r="MG43" s="112"/>
      <c r="MN43" s="112"/>
      <c r="MU43" s="112"/>
      <c r="NA43" s="83"/>
    </row>
    <row r="44">
      <c r="A44" s="20" t="s">
        <v>1333</v>
      </c>
      <c r="B44" s="111" t="s">
        <v>1334</v>
      </c>
      <c r="I44" s="114" t="s">
        <v>1334</v>
      </c>
      <c r="P44" s="111" t="s">
        <v>1334</v>
      </c>
      <c r="W44" s="114" t="s">
        <v>1334</v>
      </c>
      <c r="AE44" s="111" t="s">
        <v>1334</v>
      </c>
      <c r="AK44" s="114" t="s">
        <v>1334</v>
      </c>
      <c r="AT44" s="111" t="s">
        <v>1337</v>
      </c>
      <c r="BF44" s="114" t="s">
        <v>1337</v>
      </c>
      <c r="BM44" s="114" t="s">
        <v>1334</v>
      </c>
      <c r="CB44" s="111" t="s">
        <v>1337</v>
      </c>
      <c r="CH44" s="114" t="s">
        <v>1337</v>
      </c>
      <c r="CO44" s="114" t="s">
        <v>382</v>
      </c>
      <c r="CV44" s="114" t="s">
        <v>382</v>
      </c>
      <c r="DC44" s="114" t="s">
        <v>1337</v>
      </c>
      <c r="DJ44" s="114" t="s">
        <v>382</v>
      </c>
      <c r="DQ44" s="111" t="s">
        <v>382</v>
      </c>
      <c r="DX44" s="111" t="s">
        <v>382</v>
      </c>
      <c r="EE44" s="114" t="s">
        <v>1337</v>
      </c>
      <c r="EL44" s="114" t="s">
        <v>1337</v>
      </c>
      <c r="ES44" s="114" t="s">
        <v>1342</v>
      </c>
      <c r="EZ44" s="114" t="s">
        <v>1343</v>
      </c>
      <c r="FG44" s="114" t="s">
        <v>1345</v>
      </c>
      <c r="FN44" s="114" t="s">
        <v>675</v>
      </c>
      <c r="FU44" s="114" t="s">
        <v>1347</v>
      </c>
      <c r="GB44" s="114" t="s">
        <v>382</v>
      </c>
      <c r="GI44" s="114" t="s">
        <v>1349</v>
      </c>
      <c r="GP44" s="114" t="s">
        <v>1350</v>
      </c>
      <c r="GW44" s="112"/>
      <c r="HD44" s="114" t="s">
        <v>1349</v>
      </c>
      <c r="HK44" s="114" t="s">
        <v>1351</v>
      </c>
      <c r="HR44" s="114" t="s">
        <v>1351</v>
      </c>
      <c r="HY44" s="112"/>
      <c r="IF44" s="112"/>
      <c r="IM44" s="112"/>
      <c r="IT44" s="112"/>
      <c r="JA44" s="112"/>
      <c r="JH44" s="114"/>
      <c r="JO44" s="112"/>
      <c r="JV44" s="114" t="s">
        <v>1354</v>
      </c>
      <c r="KC44" s="112"/>
      <c r="KJ44" s="112"/>
      <c r="KQ44" s="112"/>
      <c r="KX44" s="112"/>
      <c r="LE44" s="112"/>
      <c r="LL44" s="112"/>
      <c r="LS44" s="112"/>
      <c r="LZ44" s="112"/>
      <c r="MG44" s="112"/>
      <c r="MN44" s="112"/>
      <c r="MU44" s="112"/>
      <c r="NA44" s="83"/>
    </row>
    <row r="45">
      <c r="A45" s="152" t="s">
        <v>1359</v>
      </c>
      <c r="B45" s="111" t="s">
        <v>382</v>
      </c>
      <c r="I45" s="258" t="s">
        <v>259</v>
      </c>
      <c r="J45" s="16"/>
      <c r="K45" s="16"/>
      <c r="L45" s="16"/>
      <c r="M45" s="16"/>
      <c r="N45" s="16"/>
      <c r="O45" s="16"/>
      <c r="P45" s="16"/>
      <c r="Q45" s="16"/>
      <c r="R45" s="16"/>
      <c r="S45" s="16"/>
      <c r="T45" s="16"/>
      <c r="U45" s="16"/>
      <c r="V45" s="16"/>
      <c r="W45" s="16"/>
      <c r="X45" s="16"/>
      <c r="Y45" s="16"/>
      <c r="Z45" s="16"/>
      <c r="AA45" s="16"/>
      <c r="AB45" s="16"/>
      <c r="AC45" s="25"/>
      <c r="AD45" s="111" t="s">
        <v>1362</v>
      </c>
      <c r="AK45" s="114" t="s">
        <v>189</v>
      </c>
      <c r="AT45" s="111" t="s">
        <v>1316</v>
      </c>
      <c r="AY45" s="112"/>
      <c r="BF45" s="112"/>
      <c r="BM45" s="112"/>
      <c r="BT45" s="112"/>
      <c r="CA45" s="112"/>
      <c r="CH45" s="112"/>
      <c r="CO45" s="112"/>
      <c r="CV45" s="114"/>
      <c r="DC45" s="112"/>
      <c r="DJ45" s="114"/>
      <c r="DQ45" s="111" t="s">
        <v>398</v>
      </c>
      <c r="DX45" s="111" t="s">
        <v>398</v>
      </c>
      <c r="EE45" s="113"/>
      <c r="EL45" s="112"/>
      <c r="ES45" s="112"/>
      <c r="EZ45" s="112"/>
      <c r="FG45" s="112"/>
      <c r="FN45" s="112"/>
      <c r="FU45" s="112"/>
      <c r="GB45" s="114"/>
      <c r="GI45" s="114"/>
      <c r="GP45" s="114"/>
      <c r="GW45" s="114"/>
      <c r="HD45" s="114"/>
      <c r="HK45" s="114" t="s">
        <v>1247</v>
      </c>
      <c r="HR45" s="114" t="s">
        <v>1247</v>
      </c>
      <c r="HY45" s="114"/>
      <c r="IF45" s="114"/>
      <c r="IM45" s="112"/>
      <c r="IT45" s="112"/>
      <c r="JA45" s="112"/>
      <c r="JH45" s="114" t="s">
        <v>1363</v>
      </c>
      <c r="JO45" s="114" t="s">
        <v>1364</v>
      </c>
      <c r="JV45" s="112"/>
      <c r="KC45" s="112"/>
      <c r="KJ45" s="114" t="s">
        <v>259</v>
      </c>
      <c r="KQ45" s="114" t="s">
        <v>259</v>
      </c>
      <c r="KX45" s="114" t="s">
        <v>259</v>
      </c>
      <c r="LE45" s="112"/>
      <c r="LL45" s="112"/>
      <c r="LS45" s="114" t="s">
        <v>322</v>
      </c>
      <c r="LZ45" s="114" t="s">
        <v>323</v>
      </c>
      <c r="MG45" s="114" t="s">
        <v>323</v>
      </c>
      <c r="MN45" s="114" t="s">
        <v>323</v>
      </c>
      <c r="MU45" s="114" t="s">
        <v>325</v>
      </c>
      <c r="NA45" s="83"/>
    </row>
    <row r="46">
      <c r="A46" s="152" t="s">
        <v>1365</v>
      </c>
      <c r="B46" s="111" t="s">
        <v>382</v>
      </c>
      <c r="I46" s="114" t="s">
        <v>382</v>
      </c>
      <c r="O46" s="83"/>
      <c r="P46" s="111" t="s">
        <v>382</v>
      </c>
      <c r="W46" s="114" t="s">
        <v>382</v>
      </c>
      <c r="AD46" s="113"/>
      <c r="AK46" s="112"/>
      <c r="AR46" s="113"/>
      <c r="AY46" s="112"/>
      <c r="BF46" s="112"/>
      <c r="BM46" s="112"/>
      <c r="BT46" s="112"/>
      <c r="CA46" s="112"/>
      <c r="CH46" s="112"/>
      <c r="CO46" s="112"/>
      <c r="CV46" s="114" t="s">
        <v>1366</v>
      </c>
      <c r="DC46" s="114" t="s">
        <v>1366</v>
      </c>
      <c r="DJ46" s="112"/>
      <c r="DQ46" s="113"/>
      <c r="DX46" s="113"/>
      <c r="EE46" s="113"/>
      <c r="EL46" s="112"/>
      <c r="ES46" s="114"/>
      <c r="EZ46" s="112"/>
      <c r="FG46" s="114" t="s">
        <v>1367</v>
      </c>
      <c r="FN46" s="112"/>
      <c r="FU46" s="112"/>
      <c r="GB46" s="112"/>
      <c r="GI46" s="112"/>
      <c r="GP46" s="112"/>
      <c r="GW46" s="112"/>
      <c r="HD46" s="112"/>
      <c r="HK46" s="112"/>
      <c r="HR46" s="112"/>
      <c r="HY46" s="112"/>
      <c r="IF46" s="112"/>
      <c r="IM46" s="112"/>
      <c r="IT46" s="112"/>
      <c r="JA46" s="112"/>
      <c r="JH46" s="112"/>
      <c r="JO46" s="114" t="s">
        <v>1368</v>
      </c>
      <c r="JV46" s="112"/>
      <c r="KC46" s="112"/>
      <c r="KJ46" s="112"/>
      <c r="KQ46" s="112"/>
      <c r="KX46" s="112"/>
      <c r="LE46" s="112"/>
      <c r="LL46" s="112"/>
      <c r="LS46" s="112"/>
      <c r="LZ46" s="112"/>
      <c r="MG46" s="114" t="s">
        <v>1372</v>
      </c>
      <c r="MN46" s="112"/>
      <c r="MU46" s="112"/>
      <c r="NA46" s="83"/>
    </row>
    <row r="47">
      <c r="A47" s="20"/>
      <c r="B47" s="20"/>
    </row>
    <row r="48">
      <c r="A48" s="122" t="s">
        <v>1375</v>
      </c>
      <c r="B48" s="345" t="s">
        <v>382</v>
      </c>
      <c r="C48" s="346"/>
      <c r="D48" s="346"/>
      <c r="E48" s="346"/>
      <c r="F48" s="346"/>
      <c r="G48" s="346"/>
      <c r="H48" s="346"/>
      <c r="I48" s="345" t="s">
        <v>382</v>
      </c>
      <c r="J48" s="346"/>
      <c r="K48" s="346"/>
      <c r="L48" s="346"/>
      <c r="M48" s="346"/>
      <c r="N48" s="346"/>
      <c r="O48" s="346"/>
      <c r="P48" s="345" t="s">
        <v>382</v>
      </c>
      <c r="Q48" s="346"/>
      <c r="R48" s="346"/>
      <c r="S48" s="346"/>
      <c r="T48" s="346"/>
      <c r="U48" s="346"/>
      <c r="V48" s="346"/>
      <c r="W48" s="345" t="s">
        <v>382</v>
      </c>
      <c r="X48" s="346"/>
      <c r="Y48" s="346"/>
      <c r="Z48" s="345" t="s">
        <v>382</v>
      </c>
      <c r="AA48" s="346"/>
      <c r="AB48" s="346"/>
      <c r="AC48" s="346"/>
      <c r="AD48" s="345" t="s">
        <v>382</v>
      </c>
      <c r="AE48" s="346"/>
      <c r="AF48" s="346"/>
      <c r="AG48" s="345" t="s">
        <v>382</v>
      </c>
      <c r="AH48" s="346"/>
      <c r="AI48" s="346"/>
      <c r="AJ48" s="346"/>
      <c r="AK48" s="345" t="s">
        <v>382</v>
      </c>
      <c r="AL48" s="346"/>
      <c r="AM48" s="345"/>
      <c r="AN48" s="345"/>
      <c r="AO48" s="345" t="s">
        <v>382</v>
      </c>
      <c r="AP48" s="346"/>
      <c r="AQ48" s="345" t="s">
        <v>382</v>
      </c>
      <c r="AR48" s="345" t="s">
        <v>382</v>
      </c>
      <c r="AS48" s="345" t="s">
        <v>1378</v>
      </c>
      <c r="AT48" s="346"/>
      <c r="AU48" s="346"/>
      <c r="AV48" s="346"/>
      <c r="AW48" s="346"/>
      <c r="AX48" s="346"/>
      <c r="AY48" s="345" t="s">
        <v>382</v>
      </c>
      <c r="AZ48" s="346"/>
      <c r="BA48" s="346"/>
      <c r="BB48" s="346"/>
      <c r="BC48" s="346"/>
      <c r="BD48" s="346"/>
      <c r="BE48" s="345" t="s">
        <v>382</v>
      </c>
      <c r="BF48" s="345"/>
      <c r="BG48" s="346"/>
      <c r="BH48" s="346"/>
      <c r="BI48" s="345" t="s">
        <v>382</v>
      </c>
      <c r="BJ48" s="346"/>
      <c r="BK48" s="346"/>
      <c r="BL48" s="346"/>
      <c r="BM48" s="345" t="s">
        <v>382</v>
      </c>
      <c r="BN48" s="346"/>
      <c r="BO48" s="346"/>
      <c r="BP48" s="346"/>
      <c r="BQ48" s="346"/>
      <c r="BR48" s="346"/>
      <c r="BS48" s="346"/>
      <c r="BT48" s="345" t="s">
        <v>382</v>
      </c>
      <c r="BU48" s="346"/>
      <c r="BV48" s="346"/>
      <c r="BW48" s="345"/>
      <c r="BX48" s="346"/>
      <c r="BY48" s="346"/>
      <c r="BZ48" s="346"/>
      <c r="CA48" s="345" t="s">
        <v>382</v>
      </c>
      <c r="CB48" s="346"/>
      <c r="CC48" s="346"/>
      <c r="CD48" s="345" t="s">
        <v>382</v>
      </c>
      <c r="CE48" s="346"/>
      <c r="CF48" s="346"/>
      <c r="CG48" s="345"/>
      <c r="CH48" s="345" t="s">
        <v>382</v>
      </c>
      <c r="CI48" s="345"/>
      <c r="CJ48" s="346"/>
      <c r="CK48" s="345" t="s">
        <v>382</v>
      </c>
      <c r="CL48" s="346"/>
      <c r="CM48" s="346"/>
      <c r="CN48" s="346"/>
      <c r="CO48" s="345" t="s">
        <v>382</v>
      </c>
      <c r="CP48" s="346"/>
      <c r="CQ48" s="346"/>
      <c r="CR48" s="346"/>
      <c r="CS48" s="346"/>
      <c r="CT48" s="346"/>
      <c r="CU48" s="346"/>
      <c r="CV48" s="345" t="s">
        <v>382</v>
      </c>
      <c r="CW48" s="346"/>
      <c r="CX48" s="346"/>
      <c r="CY48" s="345" t="s">
        <v>382</v>
      </c>
      <c r="CZ48" s="346"/>
      <c r="DA48" s="346"/>
      <c r="DB48" s="346"/>
      <c r="DC48" s="345"/>
      <c r="DD48" s="345" t="s">
        <v>382</v>
      </c>
      <c r="DE48" s="346"/>
      <c r="DF48" s="345"/>
      <c r="DG48" s="346"/>
      <c r="DH48" s="346"/>
      <c r="DI48" s="346"/>
      <c r="DJ48" s="345" t="s">
        <v>382</v>
      </c>
      <c r="DK48" s="346"/>
      <c r="DL48" s="346"/>
      <c r="DM48" s="346"/>
      <c r="DN48" s="346"/>
      <c r="DO48" s="346"/>
      <c r="DP48" s="345" t="s">
        <v>1379</v>
      </c>
      <c r="DQ48" s="346"/>
      <c r="DR48" s="346"/>
      <c r="DS48" s="346"/>
      <c r="DT48" s="345" t="s">
        <v>382</v>
      </c>
      <c r="DU48" s="346"/>
      <c r="DV48" s="346"/>
      <c r="DW48" s="346"/>
      <c r="DX48" s="345" t="s">
        <v>382</v>
      </c>
      <c r="DY48" s="346"/>
      <c r="DZ48" s="346"/>
      <c r="EA48" s="345" t="s">
        <v>382</v>
      </c>
      <c r="EB48" s="345" t="s">
        <v>1381</v>
      </c>
      <c r="EC48" s="345" t="s">
        <v>382</v>
      </c>
      <c r="ED48" s="345" t="s">
        <v>1382</v>
      </c>
      <c r="EE48" s="347"/>
      <c r="EF48" s="345" t="s">
        <v>382</v>
      </c>
      <c r="EG48" s="347"/>
      <c r="EH48" s="347"/>
      <c r="EI48" s="347"/>
      <c r="EJ48" s="347"/>
      <c r="EK48" s="347"/>
      <c r="EL48" s="345" t="s">
        <v>382</v>
      </c>
      <c r="EM48" s="347"/>
      <c r="EN48" s="347"/>
      <c r="EO48" s="348" t="s">
        <v>1383</v>
      </c>
      <c r="EP48" s="347"/>
      <c r="EQ48" s="347"/>
      <c r="ER48" s="348"/>
      <c r="ES48" s="345" t="s">
        <v>1379</v>
      </c>
      <c r="ET48" s="345"/>
      <c r="EU48" s="346"/>
      <c r="EV48" s="345" t="s">
        <v>382</v>
      </c>
      <c r="EW48" s="346"/>
      <c r="EX48" s="346"/>
      <c r="EY48" s="346"/>
      <c r="EZ48" s="347"/>
      <c r="FA48" s="348" t="s">
        <v>382</v>
      </c>
      <c r="FB48" s="347"/>
      <c r="FC48" s="347"/>
      <c r="FD48" s="347"/>
      <c r="FE48" s="347"/>
      <c r="FF48" s="347"/>
      <c r="FG48" s="348" t="s">
        <v>382</v>
      </c>
      <c r="FH48" s="347"/>
      <c r="FI48" s="348" t="s">
        <v>382</v>
      </c>
      <c r="FJ48" s="347"/>
      <c r="FK48" s="348"/>
      <c r="FL48" s="348" t="s">
        <v>382</v>
      </c>
      <c r="FM48" s="348" t="s">
        <v>382</v>
      </c>
      <c r="FN48" s="347"/>
      <c r="FO48" s="348" t="s">
        <v>382</v>
      </c>
      <c r="FP48" s="347"/>
      <c r="FQ48" s="347"/>
      <c r="FR48" s="347"/>
      <c r="FS48" s="347"/>
      <c r="FT48" s="348" t="s">
        <v>1384</v>
      </c>
      <c r="FU48" s="348"/>
      <c r="FV48" s="348" t="s">
        <v>382</v>
      </c>
      <c r="FW48" s="347"/>
      <c r="FX48" s="347"/>
      <c r="FY48" s="347"/>
      <c r="FZ48" s="347"/>
      <c r="GA48" s="347"/>
      <c r="GB48" s="348" t="s">
        <v>382</v>
      </c>
      <c r="GC48" s="347"/>
      <c r="GD48" s="347"/>
      <c r="GE48" s="347"/>
      <c r="GF48" s="347"/>
      <c r="GG48" s="347"/>
      <c r="GH48" s="346"/>
      <c r="GI48" s="345" t="s">
        <v>382</v>
      </c>
      <c r="GJ48" s="346"/>
      <c r="GK48" s="346"/>
      <c r="GL48" s="345" t="s">
        <v>1379</v>
      </c>
      <c r="GM48" s="346"/>
      <c r="GN48" s="346"/>
      <c r="GO48" s="346"/>
      <c r="GP48" s="345" t="s">
        <v>382</v>
      </c>
      <c r="GQ48" s="346"/>
      <c r="GR48" s="346"/>
      <c r="GS48" s="346"/>
      <c r="GT48" s="346"/>
      <c r="GU48" s="346"/>
      <c r="GV48" s="346"/>
      <c r="GW48" s="348" t="s">
        <v>382</v>
      </c>
      <c r="GX48" s="347"/>
      <c r="GY48" s="347"/>
      <c r="GZ48" s="347"/>
      <c r="HA48" s="347"/>
      <c r="HB48" s="347"/>
      <c r="HC48" s="347"/>
      <c r="HD48" s="348" t="s">
        <v>382</v>
      </c>
      <c r="HE48" s="347"/>
      <c r="HF48" s="347"/>
      <c r="HG48" s="347"/>
      <c r="HH48" s="347"/>
      <c r="HI48" s="347"/>
      <c r="HJ48" s="348" t="s">
        <v>1379</v>
      </c>
      <c r="HK48" s="347"/>
      <c r="HL48" s="348" t="s">
        <v>382</v>
      </c>
      <c r="HM48" s="347"/>
      <c r="HN48" s="347"/>
      <c r="HO48" s="347"/>
      <c r="HP48" s="347"/>
      <c r="HQ48" s="347"/>
      <c r="HR48" s="348" t="s">
        <v>382</v>
      </c>
      <c r="HS48" s="347"/>
      <c r="HT48" s="347"/>
      <c r="HU48" s="347"/>
      <c r="HV48" s="347"/>
      <c r="HW48" s="347"/>
      <c r="HX48" s="347"/>
      <c r="HY48" s="348" t="s">
        <v>382</v>
      </c>
      <c r="HZ48" s="347"/>
      <c r="IA48" s="347"/>
      <c r="IB48" s="348" t="s">
        <v>1386</v>
      </c>
      <c r="IC48" s="347"/>
      <c r="ID48" s="347"/>
      <c r="IE48" s="347"/>
      <c r="IF48" s="345" t="s">
        <v>382</v>
      </c>
      <c r="IG48" s="346"/>
      <c r="IH48" s="346"/>
      <c r="II48" s="346"/>
      <c r="IJ48" s="346"/>
      <c r="IK48" s="346"/>
      <c r="IL48" s="346"/>
      <c r="IM48" s="348" t="s">
        <v>382</v>
      </c>
      <c r="IN48" s="347"/>
      <c r="IO48" s="347"/>
      <c r="IP48" s="347"/>
      <c r="IQ48" s="347"/>
      <c r="IR48" s="347"/>
      <c r="IS48" s="347"/>
      <c r="IT48" s="348" t="s">
        <v>382</v>
      </c>
      <c r="IU48" s="347"/>
      <c r="IV48" s="348" t="s">
        <v>382</v>
      </c>
      <c r="IW48" s="347"/>
      <c r="IX48" s="347"/>
      <c r="IY48" s="347"/>
      <c r="IZ48" s="347"/>
      <c r="JA48" s="348" t="s">
        <v>382</v>
      </c>
      <c r="JB48" s="347"/>
      <c r="JC48" s="347"/>
      <c r="JD48" s="347"/>
      <c r="JE48" s="347"/>
      <c r="JF48" s="347"/>
      <c r="JG48" s="348" t="s">
        <v>1379</v>
      </c>
      <c r="JH48" s="347"/>
      <c r="JI48" s="347"/>
      <c r="JJ48" s="347"/>
      <c r="JK48" s="348" t="s">
        <v>382</v>
      </c>
      <c r="JL48" s="347"/>
      <c r="JM48" s="347"/>
      <c r="JN48" s="347"/>
      <c r="JO48" s="348" t="s">
        <v>382</v>
      </c>
      <c r="JP48" s="347"/>
      <c r="JQ48" s="347"/>
      <c r="JR48" s="347"/>
      <c r="JS48" s="347"/>
      <c r="JT48" s="347"/>
      <c r="JU48" s="347"/>
      <c r="JV48" s="348" t="s">
        <v>382</v>
      </c>
      <c r="JW48" s="347"/>
      <c r="JX48" s="347"/>
      <c r="JY48" s="347"/>
      <c r="JZ48" s="348" t="s">
        <v>382</v>
      </c>
      <c r="KA48" s="347"/>
      <c r="KB48" s="347"/>
      <c r="KC48" s="348" t="s">
        <v>382</v>
      </c>
      <c r="KD48" s="347"/>
      <c r="KE48" s="347"/>
      <c r="KF48" s="347"/>
      <c r="KG48" s="347"/>
      <c r="KH48" s="347"/>
      <c r="KI48" s="347"/>
      <c r="KJ48" s="348" t="s">
        <v>382</v>
      </c>
      <c r="KK48" s="347"/>
      <c r="KL48" s="347"/>
      <c r="KM48" s="347"/>
      <c r="KN48" s="347"/>
      <c r="KO48" s="347"/>
      <c r="KP48" s="347"/>
      <c r="KQ48" s="348" t="s">
        <v>1379</v>
      </c>
      <c r="KR48" s="348" t="s">
        <v>1388</v>
      </c>
      <c r="KS48" s="347"/>
      <c r="KT48" s="348" t="s">
        <v>382</v>
      </c>
      <c r="KU48" s="347"/>
      <c r="KV48" s="347"/>
      <c r="KW48" s="347"/>
      <c r="KX48" s="348" t="s">
        <v>382</v>
      </c>
      <c r="KY48" s="347"/>
      <c r="KZ48" s="347"/>
      <c r="LA48" s="347"/>
      <c r="LB48" s="348" t="s">
        <v>1389</v>
      </c>
      <c r="LC48" s="347"/>
      <c r="LD48" s="347"/>
      <c r="LE48" s="348" t="s">
        <v>382</v>
      </c>
      <c r="LF48" s="347"/>
      <c r="LG48" s="347"/>
      <c r="LH48" s="348"/>
      <c r="LI48" s="347"/>
      <c r="LJ48" s="347"/>
      <c r="LK48" s="347"/>
      <c r="LL48" s="348" t="s">
        <v>382</v>
      </c>
      <c r="LM48" s="347"/>
      <c r="LN48" s="347"/>
      <c r="LO48" s="347"/>
      <c r="LP48" s="347"/>
      <c r="LQ48" s="347"/>
      <c r="LR48" s="347"/>
      <c r="LS48" s="348" t="s">
        <v>382</v>
      </c>
      <c r="LT48" s="347"/>
      <c r="LU48" s="347"/>
      <c r="LV48" s="347"/>
      <c r="LW48" s="348" t="s">
        <v>1390</v>
      </c>
      <c r="LX48" s="347"/>
      <c r="LY48" s="347"/>
      <c r="LZ48" s="347"/>
      <c r="MA48" s="347"/>
      <c r="MB48" s="348"/>
      <c r="MC48" s="348" t="s">
        <v>382</v>
      </c>
      <c r="MD48" s="347"/>
      <c r="ME48" s="347"/>
      <c r="MF48" s="347"/>
      <c r="MG48" s="348" t="s">
        <v>382</v>
      </c>
      <c r="MH48" s="347"/>
      <c r="MI48" s="347"/>
      <c r="MJ48" s="348" t="s">
        <v>1379</v>
      </c>
      <c r="MK48" s="347"/>
      <c r="ML48" s="347"/>
      <c r="MM48" s="348" t="s">
        <v>382</v>
      </c>
      <c r="MN48" s="348" t="s">
        <v>1391</v>
      </c>
      <c r="MO48" s="348"/>
      <c r="MP48" s="347"/>
      <c r="MQ48" s="348" t="s">
        <v>382</v>
      </c>
      <c r="MR48" s="348"/>
      <c r="MS48" s="347"/>
      <c r="MT48" s="347"/>
      <c r="MU48" s="348"/>
      <c r="MV48" s="347"/>
      <c r="MW48" s="348" t="s">
        <v>382</v>
      </c>
      <c r="MX48" s="348"/>
      <c r="MY48" s="347"/>
      <c r="MZ48" s="347"/>
      <c r="NA48" s="347"/>
    </row>
    <row r="49">
      <c r="A49" s="20" t="s">
        <v>1392</v>
      </c>
      <c r="B49" s="111" t="s">
        <v>1393</v>
      </c>
      <c r="I49" s="114" t="s">
        <v>1395</v>
      </c>
      <c r="P49" s="190" t="s">
        <v>1396</v>
      </c>
      <c r="Q49" s="10"/>
      <c r="R49" s="10"/>
      <c r="S49" s="10"/>
      <c r="T49" s="10"/>
      <c r="U49" s="10"/>
      <c r="V49" s="121"/>
      <c r="W49" s="114" t="s">
        <v>1397</v>
      </c>
      <c r="AD49" s="190" t="s">
        <v>1398</v>
      </c>
      <c r="AE49" s="10"/>
      <c r="AF49" s="10"/>
      <c r="AG49" s="10"/>
      <c r="AH49" s="10"/>
      <c r="AI49" s="10"/>
      <c r="AJ49" s="121"/>
      <c r="AK49" s="190" t="s">
        <v>189</v>
      </c>
      <c r="AL49" s="10"/>
      <c r="AM49" s="10"/>
      <c r="AN49" s="10"/>
      <c r="AO49" s="10"/>
      <c r="AP49" s="10"/>
      <c r="AQ49" s="121"/>
      <c r="AR49" s="190" t="s">
        <v>1399</v>
      </c>
      <c r="AS49" s="10"/>
      <c r="AT49" s="10"/>
      <c r="AU49" s="10"/>
      <c r="AV49" s="10"/>
      <c r="AW49" s="10"/>
      <c r="AX49" s="121"/>
      <c r="AY49" s="190" t="s">
        <v>1400</v>
      </c>
      <c r="AZ49" s="10"/>
      <c r="BA49" s="10"/>
      <c r="BB49" s="10"/>
      <c r="BC49" s="10"/>
      <c r="BD49" s="10"/>
      <c r="BE49" s="121"/>
      <c r="BF49" s="114" t="s">
        <v>1401</v>
      </c>
      <c r="BM49" s="114" t="s">
        <v>1402</v>
      </c>
      <c r="BT49" s="190" t="s">
        <v>1403</v>
      </c>
      <c r="BU49" s="10"/>
      <c r="BV49" s="10"/>
      <c r="BW49" s="10"/>
      <c r="BX49" s="10"/>
      <c r="BY49" s="10"/>
      <c r="BZ49" s="121"/>
      <c r="CA49" s="190" t="s">
        <v>1405</v>
      </c>
      <c r="CB49" s="10"/>
      <c r="CC49" s="10"/>
      <c r="CD49" s="10"/>
      <c r="CE49" s="10"/>
      <c r="CF49" s="10"/>
      <c r="CG49" s="121"/>
      <c r="CH49" s="190" t="s">
        <v>1407</v>
      </c>
      <c r="CI49" s="10"/>
      <c r="CJ49" s="10"/>
      <c r="CK49" s="10"/>
      <c r="CL49" s="10"/>
      <c r="CM49" s="10"/>
      <c r="CN49" s="121"/>
      <c r="CO49" s="190" t="s">
        <v>1410</v>
      </c>
      <c r="CP49" s="10"/>
      <c r="CQ49" s="10"/>
      <c r="CR49" s="10"/>
      <c r="CS49" s="10"/>
      <c r="CT49" s="10"/>
      <c r="CU49" s="121"/>
      <c r="CV49" s="190" t="s">
        <v>1411</v>
      </c>
      <c r="CW49" s="10"/>
      <c r="CX49" s="10"/>
      <c r="CY49" s="10"/>
      <c r="CZ49" s="10"/>
      <c r="DA49" s="10"/>
      <c r="DB49" s="121"/>
      <c r="DC49" s="190" t="s">
        <v>395</v>
      </c>
      <c r="DD49" s="10"/>
      <c r="DE49" s="10"/>
      <c r="DF49" s="10"/>
      <c r="DG49" s="10"/>
      <c r="DH49" s="10"/>
      <c r="DI49" s="121"/>
      <c r="DJ49" s="190" t="s">
        <v>773</v>
      </c>
      <c r="DK49" s="10"/>
      <c r="DL49" s="10"/>
      <c r="DM49" s="10"/>
      <c r="DN49" s="10"/>
      <c r="DO49" s="10"/>
      <c r="DP49" s="121"/>
      <c r="DQ49" s="190" t="s">
        <v>1414</v>
      </c>
      <c r="DR49" s="10"/>
      <c r="DS49" s="10"/>
      <c r="DT49" s="10"/>
      <c r="DU49" s="10"/>
      <c r="DV49" s="10"/>
      <c r="DW49" s="121"/>
      <c r="DX49" s="111" t="s">
        <v>1416</v>
      </c>
      <c r="EE49" s="190" t="s">
        <v>1417</v>
      </c>
      <c r="EF49" s="10"/>
      <c r="EG49" s="10"/>
      <c r="EH49" s="10"/>
      <c r="EI49" s="10"/>
      <c r="EJ49" s="10"/>
      <c r="EK49" s="121"/>
      <c r="EL49" s="190" t="s">
        <v>434</v>
      </c>
      <c r="EM49" s="10"/>
      <c r="EN49" s="10"/>
      <c r="EO49" s="10"/>
      <c r="EP49" s="10"/>
      <c r="EQ49" s="10"/>
      <c r="ER49" s="121"/>
      <c r="ES49" s="114" t="s">
        <v>1418</v>
      </c>
      <c r="EY49" s="83"/>
      <c r="EZ49" s="190" t="s">
        <v>1420</v>
      </c>
      <c r="FA49" s="10"/>
      <c r="FB49" s="10"/>
      <c r="FC49" s="10"/>
      <c r="FD49" s="10"/>
      <c r="FE49" s="10"/>
      <c r="FF49" s="121"/>
      <c r="FG49" s="190" t="s">
        <v>1421</v>
      </c>
      <c r="FH49" s="10"/>
      <c r="FI49" s="10"/>
      <c r="FJ49" s="10"/>
      <c r="FK49" s="10"/>
      <c r="FL49" s="10"/>
      <c r="FM49" s="121"/>
      <c r="FN49" s="190" t="s">
        <v>1422</v>
      </c>
      <c r="FO49" s="10"/>
      <c r="FP49" s="10"/>
      <c r="FQ49" s="10"/>
      <c r="FR49" s="10"/>
      <c r="FS49" s="10"/>
      <c r="FT49" s="121"/>
      <c r="FU49" s="190" t="s">
        <v>700</v>
      </c>
      <c r="FV49" s="10"/>
      <c r="FW49" s="10"/>
      <c r="FX49" s="10"/>
      <c r="FY49" s="10"/>
      <c r="FZ49" s="10"/>
      <c r="GA49" s="121"/>
      <c r="GB49" s="190" t="s">
        <v>1423</v>
      </c>
      <c r="GC49" s="10"/>
      <c r="GD49" s="10"/>
      <c r="GE49" s="10"/>
      <c r="GF49" s="10"/>
      <c r="GG49" s="10"/>
      <c r="GH49" s="121"/>
      <c r="GI49" s="114" t="s">
        <v>1418</v>
      </c>
      <c r="GO49" s="83"/>
      <c r="GP49" s="114" t="s">
        <v>1425</v>
      </c>
      <c r="GV49" s="83"/>
      <c r="GW49" s="190" t="s">
        <v>1427</v>
      </c>
      <c r="GX49" s="10"/>
      <c r="GY49" s="10"/>
      <c r="GZ49" s="10"/>
      <c r="HA49" s="10"/>
      <c r="HB49" s="10"/>
      <c r="HC49" s="121"/>
      <c r="HD49" s="190" t="s">
        <v>417</v>
      </c>
      <c r="HE49" s="10"/>
      <c r="HF49" s="10"/>
      <c r="HG49" s="10"/>
      <c r="HH49" s="10"/>
      <c r="HI49" s="10"/>
      <c r="HJ49" s="121"/>
      <c r="HK49" s="190" t="s">
        <v>1428</v>
      </c>
      <c r="HL49" s="10"/>
      <c r="HM49" s="10"/>
      <c r="HN49" s="10"/>
      <c r="HO49" s="10"/>
      <c r="HP49" s="10"/>
      <c r="HQ49" s="121"/>
      <c r="HR49" s="190" t="s">
        <v>309</v>
      </c>
      <c r="HS49" s="10"/>
      <c r="HT49" s="10"/>
      <c r="HU49" s="10"/>
      <c r="HV49" s="10"/>
      <c r="HW49" s="10"/>
      <c r="HX49" s="121"/>
      <c r="HY49" s="190" t="s">
        <v>1429</v>
      </c>
      <c r="HZ49" s="10"/>
      <c r="IA49" s="10"/>
      <c r="IB49" s="10"/>
      <c r="IC49" s="10"/>
      <c r="ID49" s="10"/>
      <c r="IE49" s="121"/>
      <c r="IF49" s="114" t="s">
        <v>1430</v>
      </c>
      <c r="IL49" s="83"/>
      <c r="IM49" s="190" t="s">
        <v>1431</v>
      </c>
      <c r="IN49" s="10"/>
      <c r="IO49" s="10"/>
      <c r="IP49" s="10"/>
      <c r="IQ49" s="10"/>
      <c r="IR49" s="10"/>
      <c r="IS49" s="121"/>
      <c r="IT49" s="190" t="s">
        <v>1432</v>
      </c>
      <c r="IU49" s="10"/>
      <c r="IV49" s="10"/>
      <c r="IW49" s="10"/>
      <c r="IX49" s="10"/>
      <c r="IY49" s="10"/>
      <c r="IZ49" s="121"/>
      <c r="JA49" s="190" t="s">
        <v>1433</v>
      </c>
      <c r="JB49" s="10"/>
      <c r="JC49" s="10"/>
      <c r="JD49" s="10"/>
      <c r="JE49" s="10"/>
      <c r="JF49" s="10"/>
      <c r="JG49" s="121"/>
      <c r="JH49" s="190" t="s">
        <v>1434</v>
      </c>
      <c r="JI49" s="10"/>
      <c r="JJ49" s="10"/>
      <c r="JK49" s="10"/>
      <c r="JL49" s="10"/>
      <c r="JM49" s="10"/>
      <c r="JN49" s="121"/>
      <c r="JO49" s="190" t="s">
        <v>1435</v>
      </c>
      <c r="JP49" s="10"/>
      <c r="JQ49" s="10"/>
      <c r="JR49" s="10"/>
      <c r="JS49" s="10"/>
      <c r="JT49" s="10"/>
      <c r="JU49" s="121"/>
      <c r="JV49" s="190" t="s">
        <v>1436</v>
      </c>
      <c r="JW49" s="10"/>
      <c r="JX49" s="10"/>
      <c r="JY49" s="10"/>
      <c r="JZ49" s="10"/>
      <c r="KA49" s="10"/>
      <c r="KB49" s="121"/>
      <c r="KC49" s="190" t="s">
        <v>1437</v>
      </c>
      <c r="KD49" s="10"/>
      <c r="KE49" s="10"/>
      <c r="KF49" s="10"/>
      <c r="KG49" s="10"/>
      <c r="KH49" s="10"/>
      <c r="KI49" s="121"/>
      <c r="KJ49" s="190" t="s">
        <v>1418</v>
      </c>
      <c r="KK49" s="10"/>
      <c r="KL49" s="10"/>
      <c r="KM49" s="10"/>
      <c r="KN49" s="10"/>
      <c r="KO49" s="10"/>
      <c r="KP49" s="121"/>
      <c r="KQ49" s="190" t="s">
        <v>1438</v>
      </c>
      <c r="KR49" s="10"/>
      <c r="KS49" s="10"/>
      <c r="KT49" s="10"/>
      <c r="KU49" s="10"/>
      <c r="KV49" s="10"/>
      <c r="KW49" s="121"/>
      <c r="KX49" s="190" t="s">
        <v>1439</v>
      </c>
      <c r="KY49" s="10"/>
      <c r="KZ49" s="10"/>
      <c r="LA49" s="10"/>
      <c r="LB49" s="10"/>
      <c r="LC49" s="10"/>
      <c r="LD49" s="121"/>
      <c r="LE49" s="190" t="s">
        <v>1396</v>
      </c>
      <c r="LF49" s="10"/>
      <c r="LG49" s="10"/>
      <c r="LH49" s="10"/>
      <c r="LI49" s="10"/>
      <c r="LJ49" s="10"/>
      <c r="LK49" s="121"/>
      <c r="LL49" s="190" t="s">
        <v>1440</v>
      </c>
      <c r="LM49" s="10"/>
      <c r="LN49" s="10"/>
      <c r="LO49" s="10"/>
      <c r="LP49" s="10"/>
      <c r="LQ49" s="10"/>
      <c r="LR49" s="121"/>
      <c r="LS49" s="190" t="s">
        <v>322</v>
      </c>
      <c r="LT49" s="10"/>
      <c r="LU49" s="10"/>
      <c r="LV49" s="10"/>
      <c r="LW49" s="10"/>
      <c r="LX49" s="10"/>
      <c r="LY49" s="121"/>
      <c r="LZ49" s="190" t="s">
        <v>1441</v>
      </c>
      <c r="MA49" s="10"/>
      <c r="MB49" s="10"/>
      <c r="MC49" s="10"/>
      <c r="MD49" s="10"/>
      <c r="ME49" s="10"/>
      <c r="MF49" s="121"/>
      <c r="MG49" s="190" t="s">
        <v>1442</v>
      </c>
      <c r="MH49" s="10"/>
      <c r="MI49" s="10"/>
      <c r="MJ49" s="10"/>
      <c r="MK49" s="10"/>
      <c r="ML49" s="10"/>
      <c r="MM49" s="121"/>
      <c r="MN49" s="190" t="s">
        <v>1443</v>
      </c>
      <c r="MO49" s="10"/>
      <c r="MP49" s="10"/>
      <c r="MQ49" s="10"/>
      <c r="MR49" s="10"/>
      <c r="MS49" s="10"/>
      <c r="MT49" s="121"/>
      <c r="MU49" s="190" t="s">
        <v>1445</v>
      </c>
      <c r="MV49" s="10"/>
      <c r="MW49" s="10"/>
      <c r="MX49" s="10"/>
      <c r="MY49" s="10"/>
      <c r="MZ49" s="10"/>
      <c r="NA49" s="121"/>
      <c r="NB49" s="355"/>
      <c r="NC49" s="355"/>
      <c r="ND49" s="355"/>
      <c r="NE49" s="355"/>
      <c r="NF49" s="355"/>
      <c r="NG49" s="355"/>
      <c r="NH49" s="355"/>
      <c r="NI49" s="355"/>
      <c r="NJ49" s="355"/>
      <c r="NK49" s="355"/>
      <c r="NL49" s="355"/>
      <c r="NM49" s="355"/>
      <c r="NN49" s="355"/>
      <c r="NO49" s="355"/>
      <c r="NP49" s="355"/>
      <c r="NQ49" s="355"/>
      <c r="NR49" s="355"/>
      <c r="NS49" s="355"/>
      <c r="NT49" s="355"/>
      <c r="NU49" s="355"/>
      <c r="NV49" s="355"/>
      <c r="NW49" s="355"/>
      <c r="NX49" s="355"/>
      <c r="NY49" s="355"/>
      <c r="NZ49" s="355"/>
      <c r="OA49" s="355"/>
      <c r="OB49" s="355"/>
      <c r="OC49" s="355"/>
    </row>
    <row r="50">
      <c r="A50" s="20" t="s">
        <v>1452</v>
      </c>
      <c r="B50" s="111" t="s">
        <v>329</v>
      </c>
      <c r="I50" s="114" t="s">
        <v>1454</v>
      </c>
      <c r="P50" s="114" t="s">
        <v>1456</v>
      </c>
      <c r="V50" s="83"/>
      <c r="W50" s="114" t="s">
        <v>1458</v>
      </c>
      <c r="AD50" s="114" t="s">
        <v>1460</v>
      </c>
      <c r="AJ50" s="83"/>
      <c r="AK50" s="114" t="s">
        <v>1462</v>
      </c>
      <c r="AQ50" s="83"/>
      <c r="AR50" s="112"/>
      <c r="AX50" s="83"/>
      <c r="AY50" s="114" t="s">
        <v>1466</v>
      </c>
      <c r="BE50" s="83"/>
      <c r="BF50" s="114" t="s">
        <v>1468</v>
      </c>
      <c r="BM50" s="114" t="s">
        <v>1460</v>
      </c>
      <c r="BT50" s="114" t="s">
        <v>1470</v>
      </c>
      <c r="BZ50" s="83"/>
      <c r="CA50" s="112"/>
      <c r="CG50" s="83"/>
      <c r="CH50" s="114" t="s">
        <v>1472</v>
      </c>
      <c r="CN50" s="83"/>
      <c r="CO50" s="114" t="s">
        <v>335</v>
      </c>
      <c r="CU50" s="83"/>
      <c r="CV50" s="114" t="s">
        <v>1474</v>
      </c>
      <c r="DB50" s="83"/>
      <c r="DC50" s="114" t="s">
        <v>338</v>
      </c>
      <c r="DI50" s="83"/>
      <c r="DJ50" s="114" t="s">
        <v>329</v>
      </c>
      <c r="DP50" s="83"/>
      <c r="DQ50" s="112"/>
      <c r="DW50" s="83"/>
      <c r="DX50" s="111" t="s">
        <v>1478</v>
      </c>
      <c r="EE50" s="112"/>
      <c r="EK50" s="83"/>
      <c r="EL50" s="112"/>
      <c r="ER50" s="83"/>
      <c r="ES50" s="112"/>
      <c r="EY50" s="83"/>
      <c r="EZ50" s="112"/>
      <c r="FF50" s="83"/>
      <c r="FG50" s="112"/>
      <c r="FM50" s="83"/>
      <c r="FN50" s="112"/>
      <c r="FT50" s="83"/>
      <c r="FU50" s="112"/>
      <c r="GA50" s="83"/>
      <c r="GB50" s="114" t="s">
        <v>329</v>
      </c>
      <c r="GH50" s="83"/>
      <c r="GI50" s="114" t="s">
        <v>343</v>
      </c>
      <c r="GO50" s="83"/>
      <c r="GP50" s="114" t="s">
        <v>1482</v>
      </c>
      <c r="GV50" s="83"/>
      <c r="GW50" s="114" t="s">
        <v>335</v>
      </c>
      <c r="HC50" s="83"/>
      <c r="HD50" s="114" t="s">
        <v>1484</v>
      </c>
      <c r="HJ50" s="83"/>
      <c r="HK50" s="114" t="s">
        <v>1485</v>
      </c>
      <c r="HQ50" s="83"/>
      <c r="HR50" s="114" t="s">
        <v>1489</v>
      </c>
      <c r="HX50" s="83"/>
      <c r="HY50" s="114" t="s">
        <v>1490</v>
      </c>
      <c r="IE50" s="83"/>
      <c r="IF50" s="114" t="s">
        <v>329</v>
      </c>
      <c r="IL50" s="83"/>
      <c r="IM50" s="114" t="s">
        <v>1494</v>
      </c>
      <c r="IS50" s="83"/>
      <c r="IT50" s="114" t="s">
        <v>1495</v>
      </c>
      <c r="IZ50" s="83"/>
      <c r="JA50" s="114" t="s">
        <v>329</v>
      </c>
      <c r="JG50" s="83"/>
      <c r="JH50" s="114" t="s">
        <v>1497</v>
      </c>
      <c r="JN50" s="83"/>
      <c r="JO50" s="112"/>
      <c r="JU50" s="83"/>
      <c r="JV50" s="114" t="s">
        <v>1499</v>
      </c>
      <c r="KB50" s="83"/>
      <c r="KC50" s="114" t="s">
        <v>335</v>
      </c>
      <c r="KI50" s="83"/>
      <c r="KJ50" s="114" t="s">
        <v>343</v>
      </c>
      <c r="KP50" s="83"/>
      <c r="KQ50" s="114" t="s">
        <v>1504</v>
      </c>
      <c r="KW50" s="83"/>
      <c r="KX50" s="114" t="s">
        <v>1460</v>
      </c>
      <c r="LD50" s="83"/>
      <c r="LE50" s="112"/>
      <c r="LK50" s="83"/>
      <c r="LL50" s="112"/>
      <c r="LR50" s="83"/>
      <c r="LS50" s="114" t="s">
        <v>1144</v>
      </c>
      <c r="LY50" s="83"/>
      <c r="LZ50" s="112"/>
      <c r="MF50" s="83"/>
      <c r="MG50" s="112"/>
      <c r="MM50" s="83"/>
      <c r="MN50" s="112"/>
      <c r="MT50" s="83"/>
      <c r="MU50" s="112"/>
      <c r="NA50" s="83"/>
      <c r="NB50" s="355"/>
      <c r="NC50" s="355"/>
      <c r="ND50" s="355"/>
      <c r="NE50" s="355"/>
      <c r="NF50" s="355"/>
      <c r="NG50" s="355"/>
      <c r="NH50" s="355"/>
      <c r="NI50" s="355"/>
      <c r="NJ50" s="355"/>
      <c r="NK50" s="355"/>
      <c r="NL50" s="355"/>
      <c r="NM50" s="355"/>
      <c r="NN50" s="355"/>
      <c r="NO50" s="355"/>
      <c r="NP50" s="355"/>
      <c r="NQ50" s="355"/>
      <c r="NR50" s="355"/>
      <c r="NS50" s="355"/>
      <c r="NT50" s="355"/>
      <c r="NU50" s="355"/>
      <c r="NV50" s="355"/>
      <c r="NW50" s="355"/>
      <c r="NX50" s="355"/>
      <c r="NY50" s="355"/>
      <c r="NZ50" s="355"/>
      <c r="OA50" s="355"/>
      <c r="OB50" s="355"/>
      <c r="OC50" s="355"/>
    </row>
    <row r="51" ht="18.0" customHeight="1">
      <c r="A51" s="20" t="s">
        <v>1512</v>
      </c>
      <c r="B51" s="111" t="s">
        <v>1513</v>
      </c>
      <c r="I51" s="112"/>
      <c r="P51" s="112"/>
      <c r="V51" s="83"/>
      <c r="W51" s="112"/>
      <c r="AD51" s="114" t="s">
        <v>1514</v>
      </c>
      <c r="AJ51" s="83"/>
      <c r="AK51" s="114"/>
      <c r="AQ51" s="83"/>
      <c r="AR51" s="112"/>
      <c r="AX51" s="83"/>
      <c r="AY51" s="114" t="s">
        <v>1517</v>
      </c>
      <c r="BE51" s="83"/>
      <c r="BF51" s="112"/>
      <c r="BM51" s="114" t="s">
        <v>1519</v>
      </c>
      <c r="BT51" s="112"/>
      <c r="BZ51" s="83"/>
      <c r="CA51" s="112"/>
      <c r="CG51" s="83"/>
      <c r="CH51" s="112"/>
      <c r="CN51" s="83"/>
      <c r="CO51" s="112"/>
      <c r="CU51" s="83"/>
      <c r="CV51" s="114" t="s">
        <v>1522</v>
      </c>
      <c r="DB51" s="83"/>
      <c r="DC51" s="112"/>
      <c r="DI51" s="83"/>
      <c r="DJ51" s="112"/>
      <c r="DP51" s="83"/>
      <c r="DQ51" s="112"/>
      <c r="DW51" s="83"/>
      <c r="DX51" s="111" t="s">
        <v>1523</v>
      </c>
      <c r="EE51" s="112"/>
      <c r="EK51" s="83"/>
      <c r="EL51" s="114" t="s">
        <v>1524</v>
      </c>
      <c r="ER51" s="83"/>
      <c r="ES51" s="114" t="s">
        <v>1525</v>
      </c>
      <c r="EY51" s="83"/>
      <c r="EZ51" s="112"/>
      <c r="FF51" s="83"/>
      <c r="FG51" s="114" t="s">
        <v>1529</v>
      </c>
      <c r="FM51" s="83"/>
      <c r="FN51" s="112"/>
      <c r="FT51" s="83"/>
      <c r="FU51" s="112"/>
      <c r="GA51" s="83"/>
      <c r="GB51" s="114" t="s">
        <v>335</v>
      </c>
      <c r="GH51" s="83"/>
      <c r="GI51" s="114"/>
      <c r="GO51" s="83"/>
      <c r="GP51" s="114"/>
      <c r="GV51" s="83"/>
      <c r="GW51" s="114"/>
      <c r="HC51" s="83"/>
      <c r="HD51" s="112"/>
      <c r="HJ51" s="83"/>
      <c r="HK51" s="112"/>
      <c r="HQ51" s="83"/>
      <c r="HR51" s="114"/>
      <c r="HX51" s="83"/>
      <c r="HY51" s="114"/>
      <c r="IE51" s="83"/>
      <c r="IF51" s="112"/>
      <c r="IL51" s="83"/>
      <c r="IM51" s="112"/>
      <c r="IS51" s="83"/>
      <c r="IT51" s="112"/>
      <c r="IZ51" s="83"/>
      <c r="JA51" s="112"/>
      <c r="JG51" s="83"/>
      <c r="JH51" s="112"/>
      <c r="JN51" s="83"/>
      <c r="JO51" s="114" t="s">
        <v>1537</v>
      </c>
      <c r="JU51" s="83"/>
      <c r="JV51" s="112"/>
      <c r="KB51" s="83"/>
      <c r="KC51" s="112"/>
      <c r="KI51" s="83"/>
      <c r="KJ51" s="112"/>
      <c r="KP51" s="83"/>
      <c r="KQ51" s="114" t="s">
        <v>1538</v>
      </c>
      <c r="KW51" s="83"/>
      <c r="KX51" s="114"/>
      <c r="LD51" s="83"/>
      <c r="LE51" s="114" t="s">
        <v>1541</v>
      </c>
      <c r="LK51" s="83"/>
      <c r="LL51" s="114" t="s">
        <v>1542</v>
      </c>
      <c r="LR51" s="83"/>
      <c r="LS51" s="112"/>
      <c r="LY51" s="83"/>
      <c r="LZ51" s="112"/>
      <c r="MF51" s="83"/>
      <c r="MG51" s="112"/>
      <c r="MM51" s="83"/>
      <c r="MN51" s="112"/>
      <c r="MT51" s="83"/>
      <c r="MU51" s="112"/>
      <c r="NA51" s="83"/>
      <c r="NB51" s="355"/>
      <c r="NC51" s="355"/>
      <c r="ND51" s="355"/>
      <c r="NE51" s="355"/>
      <c r="NF51" s="355"/>
      <c r="NG51" s="355"/>
      <c r="NH51" s="355"/>
      <c r="NI51" s="355"/>
      <c r="NJ51" s="355"/>
      <c r="NK51" s="355"/>
      <c r="NL51" s="355"/>
      <c r="NM51" s="355"/>
      <c r="NN51" s="355"/>
      <c r="NO51" s="355"/>
      <c r="NP51" s="355"/>
      <c r="NQ51" s="355"/>
      <c r="NR51" s="355"/>
      <c r="NS51" s="355"/>
      <c r="NT51" s="355"/>
      <c r="NU51" s="355"/>
      <c r="NV51" s="355"/>
      <c r="NW51" s="355"/>
      <c r="NX51" s="355"/>
      <c r="NY51" s="355"/>
      <c r="NZ51" s="355"/>
      <c r="OA51" s="355"/>
      <c r="OB51" s="355"/>
      <c r="OC51" s="355"/>
    </row>
    <row r="52" ht="3.75" customHeight="1">
      <c r="A52" s="20" t="s">
        <v>789</v>
      </c>
      <c r="B52" s="113"/>
      <c r="I52" s="112"/>
      <c r="P52" s="112"/>
      <c r="V52" s="83"/>
      <c r="W52" s="112"/>
      <c r="AD52" s="112"/>
      <c r="AJ52" s="83"/>
      <c r="AK52" s="112"/>
      <c r="AQ52" s="83"/>
      <c r="AR52" s="112"/>
      <c r="AX52" s="83"/>
      <c r="AY52" s="112"/>
      <c r="BE52" s="83"/>
      <c r="BF52" s="112"/>
      <c r="BM52" s="114" t="s">
        <v>1519</v>
      </c>
      <c r="BT52" s="114"/>
      <c r="BZ52" s="83"/>
      <c r="CA52" s="112"/>
      <c r="CG52" s="83"/>
      <c r="CH52" s="112"/>
      <c r="CN52" s="83"/>
      <c r="CO52" s="112"/>
      <c r="CU52" s="83"/>
      <c r="CV52" s="112"/>
      <c r="DB52" s="83"/>
      <c r="DC52" s="112"/>
      <c r="DI52" s="83"/>
      <c r="DJ52" s="112"/>
      <c r="DP52" s="83"/>
      <c r="DQ52" s="112"/>
      <c r="DW52" s="83"/>
      <c r="DX52" s="113"/>
      <c r="EE52" s="112"/>
      <c r="EK52" s="83"/>
      <c r="EL52" s="112"/>
      <c r="ER52" s="83"/>
      <c r="ES52" s="112"/>
      <c r="EY52" s="83"/>
      <c r="EZ52" s="114" t="s">
        <v>1559</v>
      </c>
      <c r="FF52" s="83"/>
      <c r="FG52" s="114" t="s">
        <v>1560</v>
      </c>
      <c r="FM52" s="83"/>
      <c r="FN52" s="112"/>
      <c r="FT52" s="83"/>
      <c r="FU52" s="114" t="s">
        <v>1563</v>
      </c>
      <c r="GA52" s="83"/>
      <c r="GB52" s="112"/>
      <c r="GH52" s="83"/>
      <c r="GI52" s="112"/>
      <c r="GO52" s="83"/>
      <c r="GP52" s="112"/>
      <c r="GV52" s="83"/>
      <c r="GW52" s="112"/>
      <c r="HC52" s="83"/>
      <c r="HD52" s="112"/>
      <c r="HJ52" s="83"/>
      <c r="HK52" s="112"/>
      <c r="HQ52" s="83"/>
      <c r="HR52" s="112"/>
      <c r="HX52" s="83"/>
      <c r="HY52" s="112"/>
      <c r="IE52" s="83"/>
      <c r="IF52" s="114"/>
      <c r="IL52" s="83"/>
      <c r="IM52" s="114" t="s">
        <v>1568</v>
      </c>
      <c r="IS52" s="83"/>
      <c r="IT52" s="114" t="s">
        <v>1568</v>
      </c>
      <c r="IZ52" s="83"/>
      <c r="JA52" s="112"/>
      <c r="JG52" s="83"/>
      <c r="JH52" s="114" t="s">
        <v>1569</v>
      </c>
      <c r="JN52" s="83"/>
      <c r="JO52" s="112"/>
      <c r="JU52" s="83"/>
      <c r="JV52" s="114" t="s">
        <v>1570</v>
      </c>
      <c r="KB52" s="83"/>
      <c r="KC52" s="112"/>
      <c r="KI52" s="83"/>
      <c r="KJ52" s="112"/>
      <c r="KP52" s="83"/>
      <c r="KQ52" s="112"/>
      <c r="KW52" s="83"/>
      <c r="KX52" s="112"/>
      <c r="LD52" s="83"/>
      <c r="LE52" s="112"/>
      <c r="LK52" s="83"/>
      <c r="LL52" s="112"/>
      <c r="LR52" s="83"/>
      <c r="LS52" s="112"/>
      <c r="LY52" s="83"/>
      <c r="LZ52" s="112"/>
      <c r="MF52" s="83"/>
      <c r="MG52" s="112"/>
      <c r="MM52" s="83"/>
      <c r="MN52" s="112"/>
      <c r="MT52" s="83"/>
      <c r="MU52" s="112"/>
      <c r="NA52" s="83"/>
    </row>
    <row r="53">
      <c r="A53" s="361" t="s">
        <v>1388</v>
      </c>
      <c r="B53" s="113"/>
      <c r="I53" s="112"/>
      <c r="P53" s="112"/>
      <c r="V53" s="83"/>
      <c r="W53" s="112"/>
      <c r="AD53" s="114" t="s">
        <v>1573</v>
      </c>
      <c r="AJ53" s="83"/>
      <c r="AK53" s="114" t="s">
        <v>1574</v>
      </c>
      <c r="AQ53" s="83"/>
      <c r="AR53" s="114"/>
      <c r="AX53" s="83"/>
      <c r="AY53" s="158"/>
      <c r="BE53" s="83"/>
      <c r="BF53" s="114"/>
      <c r="BM53" s="114"/>
      <c r="BT53" s="114" t="s">
        <v>1580</v>
      </c>
      <c r="BZ53" s="83"/>
      <c r="CA53" s="114" t="s">
        <v>1581</v>
      </c>
      <c r="CG53" s="83"/>
      <c r="CH53" s="114" t="s">
        <v>1583</v>
      </c>
      <c r="CN53" s="83"/>
      <c r="CO53" s="112"/>
      <c r="CU53" s="83"/>
      <c r="CV53" s="114" t="s">
        <v>1585</v>
      </c>
      <c r="DB53" s="83"/>
      <c r="DC53" s="114" t="s">
        <v>1586</v>
      </c>
      <c r="DI53" s="83"/>
      <c r="DJ53" s="114" t="s">
        <v>1588</v>
      </c>
      <c r="DP53" s="83"/>
      <c r="DQ53" s="114" t="s">
        <v>1590</v>
      </c>
      <c r="DW53" s="83"/>
      <c r="DX53" s="111" t="s">
        <v>1591</v>
      </c>
      <c r="EE53" s="112"/>
      <c r="EK53" s="83"/>
      <c r="EL53" s="114" t="s">
        <v>1593</v>
      </c>
      <c r="ER53" s="83"/>
      <c r="ES53" s="114" t="s">
        <v>1594</v>
      </c>
      <c r="EY53" s="83"/>
      <c r="EZ53" s="112"/>
      <c r="FF53" s="83"/>
      <c r="FG53" s="114" t="s">
        <v>1596</v>
      </c>
      <c r="FM53" s="83"/>
      <c r="FN53" s="112"/>
      <c r="FT53" s="83"/>
      <c r="FU53" s="114" t="s">
        <v>1599</v>
      </c>
      <c r="GA53" s="83"/>
      <c r="GB53" s="114" t="s">
        <v>1600</v>
      </c>
      <c r="GH53" s="83"/>
      <c r="GI53" s="114" t="s">
        <v>1601</v>
      </c>
      <c r="GO53" s="83"/>
      <c r="GP53" s="114" t="s">
        <v>1604</v>
      </c>
      <c r="GV53" s="83"/>
      <c r="GW53" s="112"/>
      <c r="HC53" s="83"/>
      <c r="HD53" s="114" t="s">
        <v>1608</v>
      </c>
      <c r="HJ53" s="83"/>
      <c r="HK53" s="112"/>
      <c r="HQ53" s="83"/>
      <c r="HR53" s="114"/>
      <c r="HX53" s="83"/>
      <c r="HY53" s="112"/>
      <c r="IE53" s="83"/>
      <c r="IF53" s="114" t="s">
        <v>1612</v>
      </c>
      <c r="IL53" s="83"/>
      <c r="IM53" s="112"/>
      <c r="IS53" s="83"/>
      <c r="IT53" s="112"/>
      <c r="IZ53" s="83"/>
      <c r="JA53" s="112"/>
      <c r="JG53" s="83"/>
      <c r="JH53" s="114" t="s">
        <v>1617</v>
      </c>
      <c r="JN53" s="83"/>
      <c r="JO53" s="114" t="s">
        <v>1619</v>
      </c>
      <c r="JU53" s="83"/>
      <c r="JV53" s="114" t="s">
        <v>1620</v>
      </c>
      <c r="KB53" s="83"/>
      <c r="KC53" s="114" t="s">
        <v>1622</v>
      </c>
      <c r="KI53" s="83"/>
      <c r="KJ53" s="112"/>
      <c r="KP53" s="83"/>
      <c r="KQ53" s="114" t="s">
        <v>1623</v>
      </c>
      <c r="KW53" s="83"/>
      <c r="KX53" s="112"/>
      <c r="LD53" s="83"/>
      <c r="LE53" s="112"/>
      <c r="LK53" s="83"/>
      <c r="LL53" s="114" t="s">
        <v>1625</v>
      </c>
      <c r="LR53" s="83"/>
      <c r="LS53" s="114" t="s">
        <v>1628</v>
      </c>
      <c r="LY53" s="83"/>
      <c r="LZ53" s="114" t="s">
        <v>1630</v>
      </c>
      <c r="MF53" s="83"/>
      <c r="MG53" s="114" t="s">
        <v>1632</v>
      </c>
      <c r="MM53" s="83"/>
      <c r="MN53" s="114" t="s">
        <v>1634</v>
      </c>
      <c r="MT53" s="83"/>
      <c r="MU53" s="114" t="s">
        <v>1635</v>
      </c>
      <c r="NA53" s="83"/>
    </row>
    <row r="54">
      <c r="A54" s="20" t="s">
        <v>1637</v>
      </c>
      <c r="B54" s="113"/>
      <c r="I54" s="112"/>
      <c r="P54" s="112"/>
      <c r="V54" s="83"/>
      <c r="W54" s="112"/>
      <c r="AD54" s="112"/>
      <c r="AJ54" s="83"/>
      <c r="AK54" s="112"/>
      <c r="AQ54" s="83"/>
      <c r="AR54" s="112"/>
      <c r="AX54" s="83"/>
      <c r="AY54" s="112"/>
      <c r="BE54" s="83"/>
      <c r="BF54" s="112"/>
      <c r="BM54" s="112"/>
      <c r="BT54" s="112"/>
      <c r="BZ54" s="83"/>
      <c r="CA54" s="112"/>
      <c r="CG54" s="83"/>
      <c r="CH54" s="112"/>
      <c r="CN54" s="83"/>
      <c r="CO54" s="112"/>
      <c r="CU54" s="83"/>
      <c r="CV54" s="112"/>
      <c r="DB54" s="83"/>
      <c r="DC54" s="112"/>
      <c r="DI54" s="83"/>
      <c r="DJ54" s="112"/>
      <c r="DP54" s="83"/>
      <c r="DQ54" s="112"/>
      <c r="DW54" s="83"/>
      <c r="DX54" s="113"/>
      <c r="EE54" s="112"/>
      <c r="EK54" s="83"/>
      <c r="EL54" s="112"/>
      <c r="ER54" s="83"/>
      <c r="ES54" s="112"/>
      <c r="EY54" s="83"/>
      <c r="EZ54" s="112"/>
      <c r="FF54" s="83"/>
      <c r="FG54" s="112"/>
      <c r="FM54" s="83"/>
      <c r="FN54" s="366"/>
      <c r="FT54" s="83"/>
      <c r="FU54" s="114" t="s">
        <v>1674</v>
      </c>
      <c r="GA54" s="83"/>
      <c r="GB54" s="114"/>
      <c r="GH54" s="83"/>
      <c r="GI54" s="112"/>
      <c r="GO54" s="83"/>
      <c r="GP54" s="112"/>
      <c r="GV54" s="83"/>
      <c r="GW54" s="112"/>
      <c r="HC54" s="83"/>
      <c r="HD54" s="112"/>
      <c r="HJ54" s="83"/>
      <c r="HK54" s="112"/>
      <c r="HQ54" s="83"/>
      <c r="HR54" s="112"/>
      <c r="HX54" s="83"/>
      <c r="HY54" s="112"/>
      <c r="IE54" s="83"/>
      <c r="IF54" s="112"/>
      <c r="IL54" s="83"/>
      <c r="IM54" s="112"/>
      <c r="IS54" s="83"/>
      <c r="IT54" s="112"/>
      <c r="IZ54" s="83"/>
      <c r="JA54" s="112"/>
      <c r="JG54" s="83"/>
      <c r="JH54" s="112"/>
      <c r="JN54" s="83"/>
      <c r="JO54" s="112"/>
      <c r="JU54" s="83"/>
      <c r="JV54" s="112"/>
      <c r="KB54" s="83"/>
      <c r="KC54" s="112"/>
      <c r="KI54" s="83"/>
      <c r="KJ54" s="112"/>
      <c r="KP54" s="83"/>
      <c r="KQ54" s="112"/>
      <c r="KW54" s="83"/>
      <c r="KX54" s="112"/>
      <c r="LD54" s="83"/>
      <c r="LE54" s="114" t="s">
        <v>1541</v>
      </c>
      <c r="LK54" s="83"/>
      <c r="LL54" s="112"/>
      <c r="LR54" s="83"/>
      <c r="LS54" s="112"/>
      <c r="LY54" s="83"/>
      <c r="LZ54" s="112"/>
      <c r="MF54" s="83"/>
      <c r="MG54" s="112"/>
      <c r="MM54" s="83"/>
      <c r="MN54" s="112"/>
      <c r="MT54" s="83"/>
      <c r="MU54" s="112"/>
      <c r="NA54" s="83"/>
    </row>
    <row r="55">
      <c r="A55" s="20" t="s">
        <v>1678</v>
      </c>
      <c r="B55" s="113"/>
      <c r="I55" s="112"/>
      <c r="P55" s="114" t="s">
        <v>1679</v>
      </c>
      <c r="V55" s="83"/>
      <c r="W55" s="113"/>
      <c r="AD55" s="112"/>
      <c r="AJ55" s="83"/>
      <c r="AK55" s="114"/>
      <c r="AQ55" s="83"/>
      <c r="AR55" s="114" t="s">
        <v>1680</v>
      </c>
      <c r="AX55" s="83"/>
      <c r="AY55" s="112"/>
      <c r="BE55" s="83"/>
      <c r="BF55" s="113"/>
      <c r="BM55" s="113"/>
      <c r="BT55" s="112"/>
      <c r="BZ55" s="83"/>
      <c r="CA55" s="112"/>
      <c r="CG55" s="83"/>
      <c r="CH55" s="114" t="s">
        <v>1682</v>
      </c>
      <c r="CN55" s="83"/>
      <c r="CO55" s="112"/>
      <c r="CU55" s="83"/>
      <c r="CV55" s="114" t="s">
        <v>1685</v>
      </c>
      <c r="DB55" s="83"/>
      <c r="DC55" s="112"/>
      <c r="DI55" s="83"/>
      <c r="DJ55" s="112"/>
      <c r="DP55" s="83"/>
      <c r="DQ55" s="114" t="s">
        <v>1687</v>
      </c>
      <c r="DW55" s="83"/>
      <c r="DX55" s="113"/>
      <c r="EE55" s="112"/>
      <c r="EK55" s="83"/>
      <c r="EL55" s="112"/>
      <c r="ER55" s="83"/>
      <c r="ES55" s="112"/>
      <c r="EY55" s="83"/>
      <c r="EZ55" s="112"/>
      <c r="FF55" s="83"/>
      <c r="FG55" s="112"/>
      <c r="FM55" s="83"/>
      <c r="FN55" s="112"/>
      <c r="FT55" s="83"/>
      <c r="FU55" s="112"/>
      <c r="GA55" s="83"/>
      <c r="GB55" s="114"/>
      <c r="GH55" s="83"/>
      <c r="GI55" s="114" t="s">
        <v>1692</v>
      </c>
      <c r="GO55" s="83"/>
      <c r="GP55" s="112"/>
      <c r="GV55" s="83"/>
      <c r="GW55" s="112"/>
      <c r="HC55" s="83"/>
      <c r="HD55" s="114" t="s">
        <v>1695</v>
      </c>
      <c r="HJ55" s="83"/>
      <c r="HK55" s="114"/>
      <c r="HQ55" s="83"/>
      <c r="HR55" s="114"/>
      <c r="HX55" s="83"/>
      <c r="HY55" s="112"/>
      <c r="IE55" s="83"/>
      <c r="IF55" s="112"/>
      <c r="IL55" s="83"/>
      <c r="IM55" s="112"/>
      <c r="IS55" s="83"/>
      <c r="IT55" s="112"/>
      <c r="IZ55" s="83"/>
      <c r="JA55" s="112"/>
      <c r="JG55" s="83"/>
      <c r="JH55" s="112"/>
      <c r="JN55" s="83"/>
      <c r="JO55" s="114" t="s">
        <v>1701</v>
      </c>
      <c r="JU55" s="83"/>
      <c r="JV55" s="114"/>
      <c r="KB55" s="83"/>
      <c r="KC55" s="112"/>
      <c r="KI55" s="83"/>
      <c r="KJ55" s="112"/>
      <c r="KP55" s="83"/>
      <c r="KQ55" s="112"/>
      <c r="KW55" s="83"/>
      <c r="KX55" s="114" t="s">
        <v>1704</v>
      </c>
      <c r="LD55" s="83"/>
      <c r="LE55" s="114"/>
      <c r="LK55" s="83"/>
      <c r="LL55" s="114" t="s">
        <v>1706</v>
      </c>
      <c r="LR55" s="83"/>
      <c r="LS55" s="114"/>
      <c r="LY55" s="83"/>
      <c r="LZ55" s="114" t="s">
        <v>1708</v>
      </c>
      <c r="MF55" s="83"/>
      <c r="MG55" s="112"/>
      <c r="MM55" s="83"/>
      <c r="MN55" s="114" t="s">
        <v>1709</v>
      </c>
      <c r="MT55" s="83"/>
      <c r="MU55" s="112"/>
      <c r="NA55" s="83"/>
    </row>
    <row r="56">
      <c r="A56" s="20" t="s">
        <v>1710</v>
      </c>
      <c r="B56" s="111" t="s">
        <v>1711</v>
      </c>
      <c r="I56" s="114" t="s">
        <v>1712</v>
      </c>
      <c r="P56" s="166" t="s">
        <v>1713</v>
      </c>
      <c r="Q56" s="23"/>
      <c r="R56" s="23"/>
      <c r="S56" s="23"/>
      <c r="T56" s="23"/>
      <c r="U56" s="23"/>
      <c r="V56" s="104"/>
      <c r="W56" s="114" t="s">
        <v>1714</v>
      </c>
      <c r="AD56" s="166" t="s">
        <v>1716</v>
      </c>
      <c r="AE56" s="23"/>
      <c r="AF56" s="23"/>
      <c r="AG56" s="23"/>
      <c r="AH56" s="23"/>
      <c r="AI56" s="23"/>
      <c r="AJ56" s="104"/>
      <c r="AK56" s="166" t="s">
        <v>189</v>
      </c>
      <c r="AL56" s="23"/>
      <c r="AM56" s="23"/>
      <c r="AN56" s="23"/>
      <c r="AO56" s="23"/>
      <c r="AP56" s="23"/>
      <c r="AQ56" s="104"/>
      <c r="AR56" s="166" t="s">
        <v>287</v>
      </c>
      <c r="AS56" s="23"/>
      <c r="AT56" s="23"/>
      <c r="AU56" s="23"/>
      <c r="AV56" s="23"/>
      <c r="AW56" s="23"/>
      <c r="AX56" s="104"/>
      <c r="AY56" s="166" t="s">
        <v>287</v>
      </c>
      <c r="AZ56" s="23"/>
      <c r="BA56" s="23"/>
      <c r="BB56" s="23"/>
      <c r="BC56" s="23"/>
      <c r="BD56" s="23"/>
      <c r="BE56" s="104"/>
      <c r="BF56" s="114" t="s">
        <v>288</v>
      </c>
      <c r="BM56" s="112"/>
      <c r="BT56" s="327"/>
      <c r="BU56" s="23"/>
      <c r="BV56" s="23"/>
      <c r="BW56" s="23"/>
      <c r="BX56" s="23"/>
      <c r="BY56" s="23"/>
      <c r="BZ56" s="104"/>
      <c r="CA56" s="327"/>
      <c r="CB56" s="23"/>
      <c r="CC56" s="23"/>
      <c r="CD56" s="23"/>
      <c r="CE56" s="23"/>
      <c r="CF56" s="23"/>
      <c r="CG56" s="104"/>
      <c r="CH56" s="327"/>
      <c r="CI56" s="23"/>
      <c r="CJ56" s="23"/>
      <c r="CK56" s="23"/>
      <c r="CL56" s="23"/>
      <c r="CM56" s="23"/>
      <c r="CN56" s="104"/>
      <c r="CO56" s="327"/>
      <c r="CP56" s="23"/>
      <c r="CQ56" s="23"/>
      <c r="CR56" s="23"/>
      <c r="CS56" s="23"/>
      <c r="CT56" s="23"/>
      <c r="CU56" s="104"/>
      <c r="CV56" s="327"/>
      <c r="CW56" s="23"/>
      <c r="CX56" s="23"/>
      <c r="CY56" s="23"/>
      <c r="CZ56" s="23"/>
      <c r="DA56" s="23"/>
      <c r="DB56" s="104"/>
      <c r="DC56" s="327"/>
      <c r="DD56" s="23"/>
      <c r="DE56" s="23"/>
      <c r="DF56" s="23"/>
      <c r="DG56" s="23"/>
      <c r="DH56" s="23"/>
      <c r="DI56" s="104"/>
      <c r="DJ56" s="327"/>
      <c r="DK56" s="23"/>
      <c r="DL56" s="23"/>
      <c r="DM56" s="23"/>
      <c r="DN56" s="23"/>
      <c r="DO56" s="23"/>
      <c r="DP56" s="104"/>
      <c r="DQ56" s="327"/>
      <c r="DR56" s="23"/>
      <c r="DS56" s="23"/>
      <c r="DT56" s="23"/>
      <c r="DU56" s="23"/>
      <c r="DV56" s="23"/>
      <c r="DW56" s="104"/>
      <c r="DX56" s="113"/>
      <c r="EE56" s="327"/>
      <c r="EF56" s="23"/>
      <c r="EG56" s="23"/>
      <c r="EH56" s="23"/>
      <c r="EI56" s="23"/>
      <c r="EJ56" s="23"/>
      <c r="EK56" s="104"/>
      <c r="EL56" s="327"/>
      <c r="EM56" s="23"/>
      <c r="EN56" s="23"/>
      <c r="EO56" s="23"/>
      <c r="EP56" s="23"/>
      <c r="EQ56" s="23"/>
      <c r="ER56" s="104"/>
      <c r="ES56" s="327"/>
      <c r="ET56" s="23"/>
      <c r="EU56" s="23"/>
      <c r="EV56" s="23"/>
      <c r="EW56" s="23"/>
      <c r="EX56" s="23"/>
      <c r="EY56" s="104"/>
      <c r="EZ56" s="327"/>
      <c r="FA56" s="23"/>
      <c r="FB56" s="23"/>
      <c r="FC56" s="23"/>
      <c r="FD56" s="23"/>
      <c r="FE56" s="23"/>
      <c r="FF56" s="104"/>
      <c r="FG56" s="327"/>
      <c r="FH56" s="23"/>
      <c r="FI56" s="23"/>
      <c r="FJ56" s="23"/>
      <c r="FK56" s="23"/>
      <c r="FL56" s="23"/>
      <c r="FM56" s="104"/>
      <c r="FN56" s="327"/>
      <c r="FO56" s="23"/>
      <c r="FP56" s="23"/>
      <c r="FQ56" s="23"/>
      <c r="FR56" s="23"/>
      <c r="FS56" s="23"/>
      <c r="FT56" s="104"/>
      <c r="FU56" s="327"/>
      <c r="FV56" s="23"/>
      <c r="FW56" s="23"/>
      <c r="FX56" s="23"/>
      <c r="FY56" s="23"/>
      <c r="FZ56" s="23"/>
      <c r="GA56" s="104"/>
      <c r="GB56" s="166" t="s">
        <v>1723</v>
      </c>
      <c r="GC56" s="23"/>
      <c r="GD56" s="23"/>
      <c r="GE56" s="23"/>
      <c r="GF56" s="23"/>
      <c r="GG56" s="23"/>
      <c r="GH56" s="104"/>
      <c r="GI56" s="166" t="s">
        <v>1725</v>
      </c>
      <c r="GJ56" s="23"/>
      <c r="GK56" s="23"/>
      <c r="GL56" s="23"/>
      <c r="GM56" s="23"/>
      <c r="GN56" s="23"/>
      <c r="GO56" s="104"/>
      <c r="GP56" s="166" t="s">
        <v>1727</v>
      </c>
      <c r="GQ56" s="23"/>
      <c r="GR56" s="23"/>
      <c r="GS56" s="23"/>
      <c r="GT56" s="23"/>
      <c r="GU56" s="23"/>
      <c r="GV56" s="104"/>
      <c r="GW56" s="166" t="s">
        <v>1728</v>
      </c>
      <c r="GX56" s="23"/>
      <c r="GY56" s="23"/>
      <c r="GZ56" s="23"/>
      <c r="HA56" s="23"/>
      <c r="HB56" s="23"/>
      <c r="HC56" s="104"/>
      <c r="HD56" s="166" t="s">
        <v>1730</v>
      </c>
      <c r="HE56" s="23"/>
      <c r="HF56" s="23"/>
      <c r="HG56" s="23"/>
      <c r="HH56" s="23"/>
      <c r="HI56" s="23"/>
      <c r="HJ56" s="104"/>
      <c r="HK56" s="166" t="s">
        <v>1732</v>
      </c>
      <c r="HL56" s="23"/>
      <c r="HM56" s="23"/>
      <c r="HN56" s="23"/>
      <c r="HO56" s="23"/>
      <c r="HP56" s="23"/>
      <c r="HQ56" s="104"/>
      <c r="HR56" s="166" t="s">
        <v>1725</v>
      </c>
      <c r="HS56" s="23"/>
      <c r="HT56" s="23"/>
      <c r="HU56" s="23"/>
      <c r="HV56" s="23"/>
      <c r="HW56" s="23"/>
      <c r="HX56" s="104"/>
      <c r="HY56" s="166" t="s">
        <v>1732</v>
      </c>
      <c r="HZ56" s="23"/>
      <c r="IA56" s="23"/>
      <c r="IB56" s="23"/>
      <c r="IC56" s="23"/>
      <c r="ID56" s="23"/>
      <c r="IE56" s="104"/>
      <c r="IF56" s="327"/>
      <c r="IG56" s="23"/>
      <c r="IH56" s="23"/>
      <c r="II56" s="23"/>
      <c r="IJ56" s="23"/>
      <c r="IK56" s="23"/>
      <c r="IL56" s="104"/>
      <c r="IM56" s="327"/>
      <c r="IN56" s="23"/>
      <c r="IO56" s="23"/>
      <c r="IP56" s="23"/>
      <c r="IQ56" s="23"/>
      <c r="IR56" s="23"/>
      <c r="IS56" s="104"/>
      <c r="IT56" s="327"/>
      <c r="IU56" s="23"/>
      <c r="IV56" s="23"/>
      <c r="IW56" s="23"/>
      <c r="IX56" s="23"/>
      <c r="IY56" s="23"/>
      <c r="IZ56" s="104"/>
      <c r="JA56" s="327"/>
      <c r="JB56" s="23"/>
      <c r="JC56" s="23"/>
      <c r="JD56" s="23"/>
      <c r="JE56" s="23"/>
      <c r="JF56" s="23"/>
      <c r="JG56" s="104"/>
      <c r="JH56" s="327"/>
      <c r="JI56" s="23"/>
      <c r="JJ56" s="23"/>
      <c r="JK56" s="23"/>
      <c r="JL56" s="23"/>
      <c r="JM56" s="23"/>
      <c r="JN56" s="104"/>
      <c r="JO56" s="327"/>
      <c r="JP56" s="23"/>
      <c r="JQ56" s="23"/>
      <c r="JR56" s="23"/>
      <c r="JS56" s="23"/>
      <c r="JT56" s="23"/>
      <c r="JU56" s="104"/>
      <c r="JV56" s="327"/>
      <c r="JW56" s="23"/>
      <c r="JX56" s="23"/>
      <c r="JY56" s="23"/>
      <c r="JZ56" s="23"/>
      <c r="KA56" s="23"/>
      <c r="KB56" s="104"/>
      <c r="KC56" s="327"/>
      <c r="KD56" s="23"/>
      <c r="KE56" s="23"/>
      <c r="KF56" s="23"/>
      <c r="KG56" s="23"/>
      <c r="KH56" s="23"/>
      <c r="KI56" s="104"/>
      <c r="KJ56" s="327"/>
      <c r="KK56" s="23"/>
      <c r="KL56" s="23"/>
      <c r="KM56" s="23"/>
      <c r="KN56" s="23"/>
      <c r="KO56" s="23"/>
      <c r="KP56" s="104"/>
      <c r="KQ56" s="327"/>
      <c r="KR56" s="23"/>
      <c r="KS56" s="23"/>
      <c r="KT56" s="23"/>
      <c r="KU56" s="23"/>
      <c r="KV56" s="23"/>
      <c r="KW56" s="104"/>
      <c r="KX56" s="166" t="s">
        <v>259</v>
      </c>
      <c r="KY56" s="23"/>
      <c r="KZ56" s="23"/>
      <c r="LA56" s="23"/>
      <c r="LB56" s="23"/>
      <c r="LC56" s="23"/>
      <c r="LD56" s="104"/>
      <c r="LE56" s="166" t="s">
        <v>1744</v>
      </c>
      <c r="LF56" s="23"/>
      <c r="LG56" s="23"/>
      <c r="LH56" s="23"/>
      <c r="LI56" s="23"/>
      <c r="LJ56" s="23"/>
      <c r="LK56" s="104"/>
      <c r="LL56" s="166" t="s">
        <v>1748</v>
      </c>
      <c r="LM56" s="23"/>
      <c r="LN56" s="23"/>
      <c r="LO56" s="23"/>
      <c r="LP56" s="23"/>
      <c r="LQ56" s="23"/>
      <c r="LR56" s="104"/>
      <c r="LS56" s="166" t="s">
        <v>322</v>
      </c>
      <c r="LT56" s="23"/>
      <c r="LU56" s="23"/>
      <c r="LV56" s="23"/>
      <c r="LW56" s="23"/>
      <c r="LX56" s="23"/>
      <c r="LY56" s="104"/>
      <c r="LZ56" s="166" t="s">
        <v>323</v>
      </c>
      <c r="MA56" s="23"/>
      <c r="MB56" s="23"/>
      <c r="MC56" s="23"/>
      <c r="MD56" s="23"/>
      <c r="ME56" s="23"/>
      <c r="MF56" s="104"/>
      <c r="MG56" s="166" t="s">
        <v>323</v>
      </c>
      <c r="MH56" s="23"/>
      <c r="MI56" s="23"/>
      <c r="MJ56" s="23"/>
      <c r="MK56" s="23"/>
      <c r="ML56" s="23"/>
      <c r="MM56" s="104"/>
      <c r="MN56" s="166" t="s">
        <v>323</v>
      </c>
      <c r="MO56" s="23"/>
      <c r="MP56" s="23"/>
      <c r="MQ56" s="23"/>
      <c r="MR56" s="23"/>
      <c r="MS56" s="23"/>
      <c r="MT56" s="104"/>
      <c r="MU56" s="327"/>
      <c r="MV56" s="23"/>
      <c r="MW56" s="23"/>
      <c r="MX56" s="23"/>
      <c r="MY56" s="23"/>
      <c r="MZ56" s="23"/>
      <c r="NA56" s="104"/>
    </row>
    <row r="57">
      <c r="A57" s="122" t="s">
        <v>1756</v>
      </c>
      <c r="B57" s="123"/>
      <c r="C57" s="16"/>
      <c r="D57" s="16"/>
      <c r="E57" s="16"/>
      <c r="F57" s="16"/>
      <c r="G57" s="16"/>
      <c r="H57" s="16"/>
      <c r="I57" s="123"/>
      <c r="J57" s="16"/>
      <c r="K57" s="16"/>
      <c r="L57" s="16"/>
      <c r="M57" s="16"/>
      <c r="N57" s="16"/>
      <c r="O57" s="16"/>
      <c r="P57" s="123"/>
      <c r="Q57" s="16"/>
      <c r="R57" s="16"/>
      <c r="S57" s="16"/>
      <c r="T57" s="16"/>
      <c r="U57" s="16"/>
      <c r="V57" s="16"/>
      <c r="W57" s="123"/>
      <c r="X57" s="16"/>
      <c r="Y57" s="16"/>
      <c r="Z57" s="16"/>
      <c r="AA57" s="16"/>
      <c r="AB57" s="16"/>
      <c r="AC57" s="16"/>
      <c r="AD57" s="123"/>
      <c r="AE57" s="16"/>
      <c r="AF57" s="16"/>
      <c r="AG57" s="16"/>
      <c r="AH57" s="16"/>
      <c r="AI57" s="16"/>
      <c r="AJ57" s="16"/>
      <c r="AK57" s="123"/>
      <c r="AL57" s="16"/>
      <c r="AM57" s="16"/>
      <c r="AN57" s="16"/>
      <c r="AO57" s="16"/>
      <c r="AP57" s="16"/>
      <c r="AQ57" s="16"/>
      <c r="AR57" s="123"/>
      <c r="AS57" s="16"/>
      <c r="AT57" s="16"/>
      <c r="AU57" s="16"/>
      <c r="AV57" s="16"/>
      <c r="AW57" s="16"/>
      <c r="AX57" s="16"/>
      <c r="AY57" s="123"/>
      <c r="AZ57" s="16"/>
      <c r="BA57" s="16"/>
      <c r="BB57" s="16"/>
      <c r="BC57" s="16"/>
      <c r="BD57" s="16"/>
      <c r="BE57" s="16"/>
      <c r="BF57" s="123"/>
      <c r="BG57" s="16"/>
      <c r="BH57" s="16"/>
      <c r="BI57" s="16"/>
      <c r="BJ57" s="16"/>
      <c r="BK57" s="16"/>
      <c r="BL57" s="16"/>
      <c r="BM57" s="123"/>
      <c r="BN57" s="16"/>
      <c r="BO57" s="16"/>
      <c r="BP57" s="16"/>
      <c r="BQ57" s="16"/>
      <c r="BR57" s="16"/>
      <c r="BS57" s="16"/>
      <c r="BT57" s="123"/>
      <c r="BU57" s="16"/>
      <c r="BV57" s="16"/>
      <c r="BW57" s="16"/>
      <c r="BX57" s="16"/>
      <c r="BY57" s="16"/>
      <c r="BZ57" s="16"/>
      <c r="CA57" s="123"/>
      <c r="CB57" s="16"/>
      <c r="CC57" s="16"/>
      <c r="CD57" s="16"/>
      <c r="CE57" s="16"/>
      <c r="CF57" s="16"/>
      <c r="CG57" s="16"/>
      <c r="CH57" s="123"/>
      <c r="CI57" s="16"/>
      <c r="CJ57" s="16"/>
      <c r="CK57" s="16"/>
      <c r="CL57" s="16"/>
      <c r="CM57" s="16"/>
      <c r="CN57" s="16"/>
      <c r="CO57" s="123"/>
      <c r="CP57" s="16"/>
      <c r="CQ57" s="16"/>
      <c r="CR57" s="16"/>
      <c r="CS57" s="16"/>
      <c r="CT57" s="16"/>
      <c r="CU57" s="16"/>
      <c r="CV57" s="123"/>
      <c r="CW57" s="16"/>
      <c r="CX57" s="16"/>
      <c r="CY57" s="16"/>
      <c r="CZ57" s="16"/>
      <c r="DA57" s="16"/>
      <c r="DB57" s="16"/>
      <c r="DC57" s="123"/>
      <c r="DD57" s="16"/>
      <c r="DE57" s="16"/>
      <c r="DF57" s="16"/>
      <c r="DG57" s="16"/>
      <c r="DH57" s="16"/>
      <c r="DI57" s="16"/>
      <c r="DJ57" s="123"/>
      <c r="DK57" s="16"/>
      <c r="DL57" s="16"/>
      <c r="DM57" s="16"/>
      <c r="DN57" s="16"/>
      <c r="DO57" s="16"/>
      <c r="DP57" s="16"/>
      <c r="DQ57" s="123"/>
      <c r="DR57" s="16"/>
      <c r="DS57" s="16"/>
      <c r="DT57" s="16"/>
      <c r="DU57" s="16"/>
      <c r="DV57" s="16"/>
      <c r="DW57" s="16"/>
      <c r="DX57" s="123"/>
      <c r="DY57" s="16"/>
      <c r="DZ57" s="16"/>
      <c r="EA57" s="16"/>
      <c r="EB57" s="16"/>
      <c r="EC57" s="16"/>
      <c r="ED57" s="16"/>
      <c r="EE57" s="225"/>
      <c r="EF57" s="23"/>
      <c r="EG57" s="23"/>
      <c r="EH57" s="23"/>
      <c r="EI57" s="23"/>
      <c r="EJ57" s="23"/>
      <c r="EK57" s="23"/>
      <c r="EL57" s="225"/>
      <c r="EM57" s="23"/>
      <c r="EN57" s="23"/>
      <c r="EO57" s="23"/>
      <c r="EP57" s="23"/>
      <c r="EQ57" s="23"/>
      <c r="ER57" s="23"/>
      <c r="ES57" s="225"/>
      <c r="ET57" s="23"/>
      <c r="EU57" s="23"/>
      <c r="EV57" s="23"/>
      <c r="EW57" s="23"/>
      <c r="EX57" s="23"/>
      <c r="EY57" s="23"/>
      <c r="EZ57" s="225"/>
      <c r="FA57" s="23"/>
      <c r="FB57" s="23"/>
      <c r="FC57" s="23"/>
      <c r="FD57" s="23"/>
      <c r="FE57" s="23"/>
      <c r="FF57" s="23"/>
      <c r="FG57" s="225"/>
      <c r="FH57" s="23"/>
      <c r="FI57" s="23"/>
      <c r="FJ57" s="23"/>
      <c r="FK57" s="23"/>
      <c r="FL57" s="23"/>
      <c r="FM57" s="23"/>
      <c r="FN57" s="225"/>
      <c r="FO57" s="23"/>
      <c r="FP57" s="23"/>
      <c r="FQ57" s="23"/>
      <c r="FR57" s="23"/>
      <c r="FS57" s="23"/>
      <c r="FT57" s="23"/>
      <c r="FU57" s="225"/>
      <c r="FV57" s="23"/>
      <c r="FW57" s="23"/>
      <c r="FX57" s="23"/>
      <c r="FY57" s="23"/>
      <c r="FZ57" s="23"/>
      <c r="GA57" s="23"/>
      <c r="GB57" s="225"/>
      <c r="GC57" s="23"/>
      <c r="GD57" s="23"/>
      <c r="GE57" s="23"/>
      <c r="GF57" s="23"/>
      <c r="GG57" s="23"/>
      <c r="GH57" s="23"/>
      <c r="GI57" s="225"/>
      <c r="GJ57" s="23"/>
      <c r="GK57" s="23"/>
      <c r="GL57" s="23"/>
      <c r="GM57" s="23"/>
      <c r="GN57" s="23"/>
      <c r="GO57" s="23"/>
      <c r="GP57" s="225"/>
      <c r="GQ57" s="23"/>
      <c r="GR57" s="23"/>
      <c r="GS57" s="23"/>
      <c r="GT57" s="23"/>
      <c r="GU57" s="23"/>
      <c r="GV57" s="23"/>
      <c r="GW57" s="225"/>
      <c r="GX57" s="23"/>
      <c r="GY57" s="23"/>
      <c r="GZ57" s="23"/>
      <c r="HA57" s="23"/>
      <c r="HB57" s="23"/>
      <c r="HC57" s="23"/>
      <c r="HD57" s="225"/>
      <c r="HE57" s="23"/>
      <c r="HF57" s="23"/>
      <c r="HG57" s="23"/>
      <c r="HH57" s="23"/>
      <c r="HI57" s="23"/>
      <c r="HJ57" s="23"/>
      <c r="HK57" s="225"/>
      <c r="HL57" s="23"/>
      <c r="HM57" s="23"/>
      <c r="HN57" s="23"/>
      <c r="HO57" s="23"/>
      <c r="HP57" s="23"/>
      <c r="HQ57" s="23"/>
      <c r="HR57" s="225"/>
      <c r="HS57" s="23"/>
      <c r="HT57" s="23"/>
      <c r="HU57" s="23"/>
      <c r="HV57" s="23"/>
      <c r="HW57" s="23"/>
      <c r="HX57" s="23"/>
      <c r="HY57" s="225"/>
      <c r="HZ57" s="23"/>
      <c r="IA57" s="23"/>
      <c r="IB57" s="23"/>
      <c r="IC57" s="23"/>
      <c r="ID57" s="23"/>
      <c r="IE57" s="23"/>
      <c r="IF57" s="225"/>
      <c r="IG57" s="23"/>
      <c r="IH57" s="23"/>
      <c r="II57" s="23"/>
      <c r="IJ57" s="23"/>
      <c r="IK57" s="23"/>
      <c r="IL57" s="23"/>
      <c r="IM57" s="225"/>
      <c r="IN57" s="23"/>
      <c r="IO57" s="23"/>
      <c r="IP57" s="23"/>
      <c r="IQ57" s="23"/>
      <c r="IR57" s="23"/>
      <c r="IS57" s="23"/>
      <c r="IT57" s="225"/>
      <c r="IU57" s="23"/>
      <c r="IV57" s="23"/>
      <c r="IW57" s="23"/>
      <c r="IX57" s="23"/>
      <c r="IY57" s="23"/>
      <c r="IZ57" s="23"/>
      <c r="JA57" s="225"/>
      <c r="JB57" s="23"/>
      <c r="JC57" s="23"/>
      <c r="JD57" s="23"/>
      <c r="JE57" s="23"/>
      <c r="JF57" s="23"/>
      <c r="JG57" s="23"/>
      <c r="JH57" s="225"/>
      <c r="JI57" s="23"/>
      <c r="JJ57" s="23"/>
      <c r="JK57" s="23"/>
      <c r="JL57" s="23"/>
      <c r="JM57" s="23"/>
      <c r="JN57" s="23"/>
      <c r="JO57" s="225"/>
      <c r="JP57" s="23"/>
      <c r="JQ57" s="23"/>
      <c r="JR57" s="23"/>
      <c r="JS57" s="23"/>
      <c r="JT57" s="23"/>
      <c r="JU57" s="23"/>
      <c r="JV57" s="225"/>
      <c r="JW57" s="23"/>
      <c r="JX57" s="23"/>
      <c r="JY57" s="23"/>
      <c r="JZ57" s="23"/>
      <c r="KA57" s="23"/>
      <c r="KB57" s="23"/>
      <c r="KC57" s="225"/>
      <c r="KD57" s="23"/>
      <c r="KE57" s="23"/>
      <c r="KF57" s="23"/>
      <c r="KG57" s="23"/>
      <c r="KH57" s="23"/>
      <c r="KI57" s="23"/>
      <c r="KJ57" s="225"/>
      <c r="KK57" s="23"/>
      <c r="KL57" s="23"/>
      <c r="KM57" s="23"/>
      <c r="KN57" s="23"/>
      <c r="KO57" s="23"/>
      <c r="KP57" s="23"/>
      <c r="KQ57" s="225"/>
      <c r="KR57" s="23"/>
      <c r="KS57" s="23"/>
      <c r="KT57" s="23"/>
      <c r="KU57" s="23"/>
      <c r="KV57" s="23"/>
      <c r="KW57" s="23"/>
      <c r="KX57" s="225"/>
      <c r="KY57" s="23"/>
      <c r="KZ57" s="23"/>
      <c r="LA57" s="23"/>
      <c r="LB57" s="23"/>
      <c r="LC57" s="23"/>
      <c r="LD57" s="23"/>
      <c r="LE57" s="225"/>
      <c r="LF57" s="23"/>
      <c r="LG57" s="23"/>
      <c r="LH57" s="23"/>
      <c r="LI57" s="23"/>
      <c r="LJ57" s="23"/>
      <c r="LK57" s="23"/>
      <c r="LL57" s="225"/>
      <c r="LM57" s="23"/>
      <c r="LN57" s="23"/>
      <c r="LO57" s="23"/>
      <c r="LP57" s="23"/>
      <c r="LQ57" s="23"/>
      <c r="LR57" s="23"/>
      <c r="LS57" s="225"/>
      <c r="LT57" s="23"/>
      <c r="LU57" s="23"/>
      <c r="LV57" s="23"/>
      <c r="LW57" s="23"/>
      <c r="LX57" s="23"/>
      <c r="LY57" s="23"/>
      <c r="LZ57" s="225"/>
      <c r="MA57" s="23"/>
      <c r="MB57" s="23"/>
      <c r="MC57" s="23"/>
      <c r="MD57" s="23"/>
      <c r="ME57" s="23"/>
      <c r="MF57" s="23"/>
      <c r="MG57" s="225"/>
      <c r="MH57" s="23"/>
      <c r="MI57" s="23"/>
      <c r="MJ57" s="23"/>
      <c r="MK57" s="23"/>
      <c r="ML57" s="23"/>
      <c r="MM57" s="23"/>
      <c r="MN57" s="225"/>
      <c r="MO57" s="23"/>
      <c r="MP57" s="23"/>
      <c r="MQ57" s="23"/>
      <c r="MR57" s="23"/>
      <c r="MS57" s="23"/>
      <c r="MT57" s="23"/>
      <c r="MU57" s="225"/>
      <c r="MV57" s="23"/>
      <c r="MW57" s="23"/>
      <c r="MX57" s="23"/>
      <c r="MY57" s="23"/>
      <c r="MZ57" s="23"/>
      <c r="NA57" s="104"/>
    </row>
    <row r="58">
      <c r="A58" s="20" t="s">
        <v>1807</v>
      </c>
      <c r="B58" s="113"/>
      <c r="I58" s="112"/>
      <c r="P58" s="113"/>
      <c r="W58" s="258" t="s">
        <v>1809</v>
      </c>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25"/>
      <c r="BF58" s="112"/>
      <c r="BM58" s="112"/>
      <c r="BT58" s="112"/>
      <c r="CA58" s="112"/>
      <c r="CH58" s="258" t="s">
        <v>1812</v>
      </c>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25"/>
      <c r="DQ58" s="113"/>
      <c r="DX58" s="113"/>
      <c r="EE58" s="113"/>
      <c r="EL58" s="112"/>
      <c r="ES58" s="112"/>
      <c r="EZ58" s="112"/>
      <c r="FG58" s="112"/>
      <c r="FN58" s="112"/>
      <c r="FU58" s="112"/>
      <c r="GB58" s="112"/>
      <c r="GI58" s="112"/>
      <c r="GP58" s="112"/>
      <c r="GW58" s="112"/>
      <c r="HD58" s="112"/>
      <c r="HK58" s="112"/>
      <c r="HR58" s="258" t="s">
        <v>1814</v>
      </c>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25"/>
      <c r="KC58" s="114" t="s">
        <v>1817</v>
      </c>
      <c r="KJ58" s="112"/>
      <c r="KQ58" s="114" t="s">
        <v>1819</v>
      </c>
      <c r="KX58" s="112"/>
      <c r="LE58" s="112"/>
      <c r="LL58" s="112"/>
      <c r="LS58" s="112"/>
      <c r="LZ58" s="112"/>
      <c r="MG58" s="371" t="s">
        <v>1822</v>
      </c>
      <c r="MH58" s="16"/>
      <c r="MI58" s="16"/>
      <c r="MJ58" s="16"/>
      <c r="MK58" s="16"/>
      <c r="ML58" s="16"/>
      <c r="MM58" s="16"/>
      <c r="MN58" s="16"/>
      <c r="MO58" s="16"/>
      <c r="MP58" s="16"/>
      <c r="MQ58" s="16"/>
      <c r="MR58" s="16"/>
      <c r="MS58" s="16"/>
      <c r="MT58" s="16"/>
      <c r="MU58" s="16"/>
      <c r="MV58" s="16"/>
      <c r="MW58" s="16"/>
      <c r="MX58" s="16"/>
      <c r="MY58" s="16"/>
      <c r="MZ58" s="16"/>
      <c r="NA58" s="16"/>
      <c r="NB58" s="372"/>
      <c r="NC58" s="372"/>
      <c r="ND58" s="372"/>
      <c r="NE58" s="372"/>
      <c r="NF58" s="372"/>
      <c r="NG58" s="372"/>
      <c r="NH58" s="373"/>
    </row>
    <row r="59">
      <c r="A59" s="20"/>
      <c r="B59" s="258" t="s">
        <v>1828</v>
      </c>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25"/>
      <c r="CM59" s="112"/>
      <c r="CT59" s="113"/>
      <c r="DA59" s="112"/>
      <c r="DB59" s="113"/>
      <c r="DC59" s="113"/>
      <c r="DJ59" s="113"/>
      <c r="DQ59" s="113"/>
      <c r="DX59" s="113"/>
      <c r="EE59" s="113"/>
      <c r="EL59" s="113"/>
      <c r="ES59" s="112"/>
      <c r="EZ59" s="112"/>
      <c r="FG59" s="112"/>
      <c r="FN59" s="112"/>
      <c r="FU59" s="112"/>
      <c r="GB59" s="112"/>
      <c r="GI59" s="112"/>
      <c r="GP59" s="112"/>
      <c r="GW59" s="112"/>
      <c r="HD59" s="112"/>
      <c r="HK59" s="112"/>
      <c r="HR59" s="112"/>
      <c r="HY59" s="112"/>
      <c r="IF59" s="112"/>
      <c r="IM59" s="112"/>
      <c r="IT59" s="114" t="s">
        <v>1854</v>
      </c>
      <c r="JA59" s="114" t="s">
        <v>1856</v>
      </c>
      <c r="JH59" s="112"/>
      <c r="JO59" s="114" t="s">
        <v>1858</v>
      </c>
      <c r="JV59" s="112"/>
      <c r="KC59" s="112"/>
      <c r="KJ59" s="112"/>
      <c r="KQ59" s="112"/>
      <c r="KX59" s="112"/>
      <c r="LE59" s="112"/>
      <c r="LL59" s="112"/>
      <c r="LS59" s="112"/>
      <c r="LZ59" s="112"/>
      <c r="MG59" s="112"/>
      <c r="MN59" s="258" t="s">
        <v>1860</v>
      </c>
      <c r="MO59" s="16"/>
      <c r="MP59" s="16"/>
      <c r="MQ59" s="16"/>
      <c r="MR59" s="16"/>
      <c r="MS59" s="16"/>
      <c r="MT59" s="25"/>
      <c r="MU59" s="258" t="s">
        <v>1862</v>
      </c>
      <c r="MV59" s="16"/>
      <c r="MW59" s="16"/>
      <c r="MX59" s="16"/>
      <c r="MY59" s="16"/>
      <c r="MZ59" s="16"/>
      <c r="NA59" s="16"/>
      <c r="NB59" s="16"/>
      <c r="NC59" s="16"/>
      <c r="ND59" s="25"/>
    </row>
    <row r="60">
      <c r="A60" s="20"/>
      <c r="B60" s="112"/>
      <c r="I60" s="113"/>
      <c r="P60" s="112"/>
      <c r="W60" s="112"/>
      <c r="AD60" s="113"/>
      <c r="AK60" s="258" t="s">
        <v>1864</v>
      </c>
      <c r="AL60" s="16"/>
      <c r="AM60" s="16"/>
      <c r="AN60" s="16"/>
      <c r="AO60" s="16"/>
      <c r="AP60" s="16"/>
      <c r="AQ60" s="25"/>
      <c r="AR60" s="112"/>
      <c r="AY60" s="112"/>
      <c r="BF60" s="112"/>
      <c r="BM60" s="112"/>
      <c r="BT60" s="113"/>
      <c r="CA60" s="112"/>
      <c r="CH60" s="113"/>
      <c r="CO60" s="112"/>
      <c r="CV60" s="113"/>
      <c r="DC60" s="112"/>
      <c r="DJ60" s="113"/>
      <c r="DQ60" s="112"/>
      <c r="DX60" s="113"/>
      <c r="EE60" s="113"/>
      <c r="EL60" s="376"/>
      <c r="ER60" s="83"/>
      <c r="ES60" s="366"/>
      <c r="EY60" s="83"/>
      <c r="EZ60" s="366"/>
      <c r="FF60" s="83"/>
      <c r="FG60" s="366"/>
      <c r="FM60" s="83"/>
      <c r="FN60" s="366"/>
      <c r="FT60" s="83"/>
      <c r="FU60" s="366"/>
      <c r="GA60" s="83"/>
      <c r="GB60" s="366"/>
      <c r="GH60" s="83"/>
      <c r="GI60" s="366"/>
      <c r="GO60" s="83"/>
      <c r="GP60" s="366"/>
      <c r="GV60" s="83"/>
      <c r="GW60" s="366"/>
      <c r="HC60" s="83"/>
      <c r="HD60" s="366"/>
      <c r="HJ60" s="83"/>
      <c r="HK60" s="366"/>
      <c r="HQ60" s="83"/>
      <c r="HR60" s="366"/>
      <c r="HX60" s="83"/>
      <c r="HY60" s="366"/>
      <c r="IE60" s="83"/>
      <c r="IF60" s="366"/>
      <c r="IL60" s="83"/>
      <c r="IM60" s="377" t="s">
        <v>1866</v>
      </c>
      <c r="IS60" s="83"/>
      <c r="IT60" s="366"/>
      <c r="IZ60" s="83"/>
      <c r="JA60" s="366"/>
      <c r="JG60" s="83"/>
      <c r="JH60" s="366"/>
      <c r="JN60" s="83"/>
      <c r="JO60" s="366"/>
      <c r="JU60" s="83"/>
      <c r="JV60" s="366"/>
      <c r="KB60" s="83"/>
      <c r="KC60" s="366"/>
      <c r="KI60" s="83"/>
      <c r="KJ60" s="366"/>
      <c r="KP60" s="83"/>
      <c r="KQ60" s="366"/>
      <c r="KW60" s="83"/>
      <c r="KX60" s="371" t="s">
        <v>1868</v>
      </c>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25"/>
      <c r="LZ60" s="366"/>
      <c r="MF60" s="83"/>
      <c r="MG60" s="371" t="s">
        <v>1869</v>
      </c>
      <c r="MH60" s="16"/>
      <c r="MI60" s="16"/>
      <c r="MJ60" s="16"/>
      <c r="MK60" s="16"/>
      <c r="ML60" s="16"/>
      <c r="MM60" s="16"/>
      <c r="MN60" s="16"/>
      <c r="MO60" s="16"/>
      <c r="MP60" s="16"/>
      <c r="MQ60" s="16"/>
      <c r="MR60" s="16"/>
      <c r="MS60" s="16"/>
      <c r="MT60" s="16"/>
      <c r="MU60" s="16"/>
      <c r="MV60" s="16"/>
      <c r="MW60" s="16"/>
      <c r="MX60" s="16"/>
      <c r="MY60" s="16"/>
      <c r="MZ60" s="16"/>
      <c r="NA60" s="25"/>
    </row>
    <row r="61">
      <c r="A61" s="380"/>
      <c r="B61" s="113"/>
      <c r="I61" s="112"/>
      <c r="P61" s="112"/>
      <c r="W61" s="112"/>
      <c r="AD61" s="112"/>
      <c r="AK61" s="112"/>
      <c r="AR61" s="112"/>
      <c r="AY61" s="112"/>
      <c r="BF61" s="112"/>
      <c r="BM61" s="112"/>
      <c r="BT61" s="112"/>
      <c r="CA61" s="112"/>
      <c r="CH61" s="112"/>
      <c r="CO61" s="112"/>
      <c r="CV61" s="112"/>
      <c r="DC61" s="112"/>
      <c r="DJ61" s="112"/>
      <c r="DQ61" s="112"/>
      <c r="DX61" s="112"/>
      <c r="EE61" s="112"/>
      <c r="EL61" s="112"/>
      <c r="ES61" s="112"/>
      <c r="EZ61" s="112"/>
      <c r="FG61" s="112"/>
      <c r="FN61" s="112"/>
      <c r="FU61" s="112"/>
      <c r="GB61" s="112"/>
      <c r="GI61" s="112"/>
      <c r="GP61" s="112"/>
      <c r="GW61" s="112"/>
      <c r="HD61" s="112"/>
      <c r="HK61" s="112"/>
      <c r="HR61" s="112"/>
      <c r="HY61" s="112"/>
      <c r="IF61" s="112"/>
      <c r="IM61" s="112"/>
      <c r="IT61" s="112"/>
      <c r="JA61" s="112"/>
      <c r="JH61" s="112"/>
      <c r="JO61" s="112"/>
      <c r="JV61" s="112"/>
      <c r="KC61" s="112"/>
      <c r="KJ61" s="112"/>
      <c r="KQ61" s="112"/>
      <c r="KX61" s="112"/>
      <c r="LE61" s="112"/>
      <c r="LL61" s="112"/>
      <c r="LS61" s="258" t="s">
        <v>1873</v>
      </c>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25"/>
    </row>
    <row r="62">
      <c r="A62" s="20" t="s">
        <v>789</v>
      </c>
      <c r="B62" s="113"/>
      <c r="I62" s="112"/>
      <c r="P62" s="113"/>
      <c r="W62" s="112"/>
      <c r="AD62" s="113"/>
      <c r="AK62" s="258" t="s">
        <v>1864</v>
      </c>
      <c r="AL62" s="16"/>
      <c r="AM62" s="16"/>
      <c r="AN62" s="16"/>
      <c r="AO62" s="16"/>
      <c r="AP62" s="16"/>
      <c r="AQ62" s="25"/>
      <c r="AR62" s="113"/>
      <c r="AY62" s="112"/>
      <c r="BF62" s="112"/>
      <c r="BT62" s="112"/>
      <c r="CA62" s="112"/>
      <c r="CH62" s="112"/>
      <c r="CO62" s="112"/>
      <c r="CV62" s="112"/>
      <c r="DC62" s="112"/>
      <c r="DJ62" s="112"/>
      <c r="DQ62" s="111" t="s">
        <v>1876</v>
      </c>
      <c r="DX62" s="111" t="s">
        <v>1877</v>
      </c>
      <c r="EE62" s="113"/>
      <c r="EL62" s="376"/>
      <c r="ER62" s="83"/>
      <c r="ES62" s="366"/>
      <c r="EY62" s="83"/>
      <c r="EZ62" s="366"/>
      <c r="FF62" s="83"/>
      <c r="FG62" s="366"/>
      <c r="FM62" s="83"/>
      <c r="FN62" s="366"/>
      <c r="FT62" s="83"/>
      <c r="FU62" s="366"/>
      <c r="GA62" s="83"/>
      <c r="GB62" s="366"/>
      <c r="GH62" s="83"/>
      <c r="GI62" s="366"/>
      <c r="GO62" s="83"/>
      <c r="GP62" s="366"/>
      <c r="GV62" s="83"/>
      <c r="GW62" s="366"/>
      <c r="HC62" s="83"/>
      <c r="HD62" s="366"/>
      <c r="HJ62" s="83"/>
      <c r="HK62" s="366"/>
      <c r="HQ62" s="83"/>
      <c r="HR62" s="366"/>
      <c r="HX62" s="83"/>
      <c r="HY62" s="366"/>
      <c r="IE62" s="83"/>
      <c r="IF62" s="366"/>
      <c r="IL62" s="83"/>
      <c r="IM62" s="366"/>
      <c r="IS62" s="83"/>
      <c r="IT62" s="366"/>
      <c r="IZ62" s="83"/>
      <c r="JA62" s="366"/>
      <c r="JG62" s="83"/>
      <c r="JH62" s="366"/>
      <c r="JN62" s="83"/>
      <c r="JO62" s="366"/>
      <c r="JU62" s="83"/>
      <c r="JV62" s="366"/>
      <c r="KB62" s="83"/>
      <c r="KC62" s="377" t="s">
        <v>1882</v>
      </c>
      <c r="KI62" s="83"/>
      <c r="KJ62" s="366"/>
      <c r="KP62" s="83"/>
      <c r="KQ62" s="366"/>
      <c r="KW62" s="83"/>
      <c r="KX62" s="366"/>
      <c r="LD62" s="83"/>
      <c r="LE62" s="366"/>
      <c r="LK62" s="83"/>
      <c r="LL62" s="366"/>
      <c r="LR62" s="83"/>
      <c r="LS62" s="366"/>
      <c r="LY62" s="83"/>
      <c r="LZ62" s="366"/>
      <c r="MF62" s="83"/>
      <c r="MG62" s="371" t="s">
        <v>1885</v>
      </c>
      <c r="MH62" s="16"/>
      <c r="MI62" s="16"/>
      <c r="MJ62" s="16"/>
      <c r="MK62" s="16"/>
      <c r="ML62" s="16"/>
      <c r="MM62" s="16"/>
      <c r="MN62" s="16"/>
      <c r="MO62" s="16"/>
      <c r="MP62" s="16"/>
      <c r="MQ62" s="16"/>
      <c r="MR62" s="16"/>
      <c r="MS62" s="16"/>
      <c r="MT62" s="25"/>
      <c r="MU62" s="371" t="s">
        <v>1887</v>
      </c>
      <c r="MV62" s="16"/>
      <c r="MW62" s="16"/>
      <c r="MX62" s="16"/>
      <c r="MY62" s="16"/>
      <c r="MZ62" s="16"/>
      <c r="NA62" s="25"/>
    </row>
    <row r="63" hidden="1">
      <c r="A63" s="20"/>
      <c r="B63" s="113"/>
      <c r="C63" s="113"/>
      <c r="D63" s="113"/>
      <c r="E63" s="113"/>
      <c r="F63" s="113"/>
      <c r="G63" s="113"/>
      <c r="H63" s="113"/>
      <c r="I63" s="112"/>
      <c r="J63" s="112"/>
      <c r="K63" s="112"/>
      <c r="L63" s="112"/>
      <c r="M63" s="112"/>
      <c r="N63" s="112"/>
      <c r="O63" s="112"/>
      <c r="P63" s="113"/>
      <c r="Q63" s="113"/>
      <c r="R63" s="113"/>
      <c r="S63" s="113"/>
      <c r="T63" s="113"/>
      <c r="U63" s="113"/>
      <c r="V63" s="113"/>
      <c r="W63" s="112"/>
      <c r="X63" s="112"/>
      <c r="Y63" s="112"/>
      <c r="Z63" s="112"/>
      <c r="AA63" s="112"/>
      <c r="AB63" s="112"/>
      <c r="AC63" s="112"/>
      <c r="AD63" s="113"/>
      <c r="AE63" s="113"/>
      <c r="AF63" s="113"/>
      <c r="AG63" s="113"/>
      <c r="AH63" s="113"/>
      <c r="AI63" s="113"/>
      <c r="AJ63" s="113"/>
      <c r="AK63" s="150"/>
      <c r="AL63" s="150"/>
      <c r="AM63" s="150"/>
      <c r="AN63" s="150"/>
      <c r="AO63" s="150"/>
      <c r="AP63" s="150"/>
      <c r="AQ63" s="150"/>
      <c r="AR63" s="113"/>
      <c r="AS63" s="113"/>
      <c r="AT63" s="113"/>
      <c r="AU63" s="113"/>
      <c r="AV63" s="113"/>
      <c r="AW63" s="113"/>
      <c r="AX63" s="113"/>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1"/>
      <c r="DR63" s="111"/>
      <c r="DS63" s="111"/>
      <c r="DT63" s="111"/>
      <c r="DU63" s="111"/>
      <c r="DV63" s="111"/>
      <c r="DW63" s="111"/>
      <c r="DX63" s="113"/>
      <c r="DY63" s="113"/>
      <c r="DZ63" s="113"/>
      <c r="EA63" s="113"/>
      <c r="EB63" s="113"/>
      <c r="EC63" s="113"/>
      <c r="ED63" s="113"/>
      <c r="EE63" s="113"/>
      <c r="EF63" s="113"/>
      <c r="EG63" s="113"/>
      <c r="EH63" s="113"/>
      <c r="EI63" s="113"/>
      <c r="EJ63" s="113"/>
      <c r="EK63" s="113"/>
      <c r="EL63" s="384"/>
      <c r="EM63" s="386"/>
      <c r="EN63" s="386"/>
      <c r="EO63" s="386"/>
      <c r="EP63" s="386"/>
      <c r="EQ63" s="386"/>
      <c r="ER63" s="386"/>
      <c r="ES63" s="386"/>
      <c r="ET63" s="386"/>
      <c r="EU63" s="386"/>
      <c r="EV63" s="386"/>
      <c r="EW63" s="386"/>
      <c r="EX63" s="386"/>
      <c r="EY63" s="386"/>
      <c r="EZ63" s="386"/>
      <c r="FA63" s="386"/>
      <c r="FB63" s="386"/>
      <c r="FC63" s="386"/>
      <c r="FD63" s="386"/>
      <c r="FE63" s="386"/>
      <c r="FF63" s="386"/>
      <c r="FG63" s="386"/>
      <c r="FH63" s="386"/>
      <c r="FI63" s="386"/>
      <c r="FJ63" s="386"/>
      <c r="FK63" s="386"/>
      <c r="FL63" s="386"/>
      <c r="FM63" s="386"/>
      <c r="FN63" s="386"/>
      <c r="FO63" s="386"/>
      <c r="FP63" s="386"/>
      <c r="FQ63" s="386"/>
      <c r="FR63" s="386"/>
      <c r="FS63" s="386"/>
      <c r="FT63" s="386"/>
      <c r="FU63" s="386"/>
      <c r="FV63" s="386"/>
      <c r="FW63" s="386"/>
      <c r="FX63" s="386"/>
      <c r="FY63" s="386"/>
      <c r="FZ63" s="386"/>
      <c r="GA63" s="386"/>
      <c r="GB63" s="386"/>
      <c r="GC63" s="386"/>
      <c r="GD63" s="386"/>
      <c r="GE63" s="386"/>
      <c r="GF63" s="386"/>
      <c r="GG63" s="386"/>
      <c r="GH63" s="386"/>
      <c r="GI63" s="386"/>
      <c r="GJ63" s="386"/>
      <c r="GK63" s="386"/>
      <c r="GL63" s="386"/>
      <c r="GM63" s="386"/>
      <c r="GN63" s="386"/>
      <c r="GO63" s="386"/>
      <c r="GP63" s="386"/>
      <c r="GQ63" s="386"/>
      <c r="GR63" s="386"/>
      <c r="GS63" s="386"/>
      <c r="GT63" s="386"/>
      <c r="GU63" s="386"/>
      <c r="GV63" s="386"/>
      <c r="GW63" s="386"/>
      <c r="GX63" s="386"/>
      <c r="GY63" s="386"/>
      <c r="GZ63" s="386"/>
      <c r="HA63" s="386"/>
      <c r="HB63" s="386"/>
      <c r="HC63" s="386"/>
      <c r="HD63" s="386"/>
      <c r="HE63" s="386"/>
      <c r="HF63" s="386"/>
      <c r="HG63" s="386"/>
      <c r="HH63" s="386"/>
      <c r="HI63" s="386"/>
      <c r="HJ63" s="386"/>
      <c r="HK63" s="386"/>
      <c r="HL63" s="386"/>
      <c r="HM63" s="386"/>
      <c r="HN63" s="386"/>
      <c r="HO63" s="386"/>
      <c r="HP63" s="386"/>
      <c r="HQ63" s="386"/>
      <c r="HR63" s="386"/>
      <c r="HS63" s="386"/>
      <c r="HT63" s="386"/>
      <c r="HU63" s="386"/>
      <c r="HV63" s="386"/>
      <c r="HW63" s="386"/>
      <c r="HX63" s="386"/>
      <c r="HY63" s="386"/>
      <c r="HZ63" s="386"/>
      <c r="IA63" s="386"/>
      <c r="IB63" s="386"/>
      <c r="IC63" s="386"/>
      <c r="ID63" s="386"/>
      <c r="IE63" s="386"/>
      <c r="IF63" s="386"/>
      <c r="IG63" s="386"/>
      <c r="IH63" s="386"/>
      <c r="II63" s="386"/>
      <c r="IJ63" s="386"/>
      <c r="IK63" s="386"/>
      <c r="IL63" s="386"/>
      <c r="IM63" s="386"/>
      <c r="IN63" s="386"/>
      <c r="IO63" s="386"/>
      <c r="IP63" s="386"/>
      <c r="IQ63" s="386"/>
      <c r="IR63" s="386"/>
      <c r="IS63" s="386"/>
      <c r="IT63" s="386"/>
      <c r="IU63" s="386"/>
      <c r="IV63" s="386"/>
      <c r="IW63" s="386"/>
      <c r="IX63" s="386"/>
      <c r="IY63" s="386"/>
      <c r="IZ63" s="386"/>
      <c r="JA63" s="386"/>
      <c r="JB63" s="386"/>
      <c r="JC63" s="386"/>
      <c r="JD63" s="386"/>
      <c r="JE63" s="386"/>
      <c r="JF63" s="386"/>
      <c r="JG63" s="386"/>
      <c r="JH63" s="386"/>
      <c r="JI63" s="386"/>
      <c r="JJ63" s="386"/>
      <c r="JK63" s="386"/>
      <c r="JL63" s="386"/>
      <c r="JM63" s="386"/>
      <c r="JN63" s="386"/>
      <c r="JO63" s="386"/>
      <c r="JP63" s="386"/>
      <c r="JQ63" s="386"/>
      <c r="JR63" s="386"/>
      <c r="JS63" s="386"/>
      <c r="JT63" s="386"/>
      <c r="JU63" s="386"/>
      <c r="JV63" s="386"/>
      <c r="JW63" s="386"/>
      <c r="JX63" s="386"/>
      <c r="JY63" s="386"/>
      <c r="JZ63" s="386"/>
      <c r="KA63" s="386"/>
      <c r="KB63" s="386"/>
      <c r="KC63" s="386"/>
      <c r="KD63" s="386"/>
      <c r="KE63" s="386"/>
      <c r="KF63" s="386"/>
      <c r="KG63" s="386"/>
      <c r="KH63" s="386"/>
      <c r="KI63" s="386"/>
      <c r="KJ63" s="386"/>
      <c r="KK63" s="386"/>
      <c r="KL63" s="386"/>
      <c r="KM63" s="386"/>
      <c r="KN63" s="386"/>
      <c r="KO63" s="386"/>
      <c r="KP63" s="386"/>
      <c r="KQ63" s="386"/>
      <c r="KR63" s="386"/>
      <c r="KS63" s="386"/>
      <c r="KT63" s="386"/>
      <c r="KU63" s="386"/>
      <c r="KV63" s="386"/>
      <c r="KW63" s="386"/>
      <c r="KX63" s="386"/>
      <c r="KY63" s="386"/>
      <c r="KZ63" s="386"/>
      <c r="LA63" s="386"/>
      <c r="LB63" s="386"/>
      <c r="LC63" s="386"/>
      <c r="LD63" s="386"/>
      <c r="LE63" s="386"/>
      <c r="LF63" s="386"/>
      <c r="LG63" s="386"/>
      <c r="LH63" s="386"/>
      <c r="LI63" s="386"/>
      <c r="LJ63" s="386"/>
      <c r="LK63" s="386"/>
      <c r="LL63" s="386"/>
      <c r="LM63" s="386"/>
      <c r="LN63" s="386"/>
      <c r="LO63" s="386"/>
      <c r="LP63" s="386"/>
      <c r="LQ63" s="386"/>
      <c r="LR63" s="386"/>
      <c r="LS63" s="386"/>
      <c r="LT63" s="386"/>
      <c r="LU63" s="386"/>
      <c r="LV63" s="386"/>
      <c r="LW63" s="386"/>
      <c r="LX63" s="386"/>
      <c r="LY63" s="386"/>
      <c r="LZ63" s="386"/>
      <c r="MA63" s="386"/>
      <c r="MB63" s="386"/>
      <c r="MC63" s="386"/>
      <c r="MD63" s="386"/>
      <c r="ME63" s="386"/>
      <c r="MF63" s="386"/>
      <c r="MG63" s="386"/>
      <c r="MH63" s="386"/>
      <c r="MI63" s="386"/>
      <c r="MJ63" s="386"/>
      <c r="MK63" s="386"/>
      <c r="ML63" s="386"/>
      <c r="MM63" s="386"/>
      <c r="MN63" s="386"/>
      <c r="MO63" s="386"/>
      <c r="MP63" s="386"/>
      <c r="MQ63" s="386"/>
      <c r="MR63" s="386"/>
      <c r="MS63" s="386"/>
      <c r="MT63" s="386"/>
      <c r="MU63" s="386"/>
      <c r="MV63" s="386"/>
      <c r="MW63" s="386"/>
      <c r="MX63" s="386"/>
      <c r="MY63" s="386"/>
      <c r="MZ63" s="386"/>
      <c r="NA63" s="386"/>
    </row>
    <row r="64">
      <c r="A64" s="20" t="s">
        <v>1388</v>
      </c>
      <c r="B64" s="113"/>
      <c r="I64" s="112"/>
      <c r="P64" s="113"/>
      <c r="W64" s="112"/>
      <c r="AD64" s="113"/>
      <c r="AK64" s="112"/>
      <c r="AR64" s="113"/>
      <c r="AY64" s="112"/>
      <c r="BF64" s="112"/>
      <c r="BM64" s="112"/>
      <c r="BT64" s="112"/>
      <c r="CA64" s="112"/>
      <c r="CH64" s="112"/>
      <c r="CO64" s="112"/>
      <c r="CV64" s="112"/>
      <c r="DC64" s="112"/>
      <c r="DJ64" s="112"/>
      <c r="DQ64" s="113"/>
      <c r="DX64" s="113"/>
      <c r="EE64" s="113"/>
      <c r="EL64" s="112"/>
      <c r="ES64" s="112"/>
      <c r="EZ64" s="112"/>
      <c r="FG64" s="112"/>
      <c r="FN64" s="112"/>
      <c r="FU64" s="112"/>
      <c r="GB64" s="112"/>
      <c r="GI64" s="112"/>
      <c r="GP64" s="112"/>
      <c r="GW64" s="112"/>
      <c r="HD64" s="112"/>
      <c r="HK64" s="112"/>
      <c r="HR64" s="112"/>
      <c r="HY64" s="112"/>
      <c r="IF64" s="112"/>
      <c r="IM64" s="112"/>
      <c r="IT64" s="112"/>
      <c r="JA64" s="112"/>
      <c r="JH64" s="112"/>
      <c r="JO64" s="112"/>
      <c r="JV64" s="112"/>
      <c r="KC64" s="112"/>
      <c r="KJ64" s="112"/>
      <c r="KQ64" s="114" t="s">
        <v>1890</v>
      </c>
      <c r="KX64" s="112"/>
      <c r="LE64" s="112"/>
      <c r="LL64" s="112"/>
      <c r="LS64" s="112"/>
      <c r="LZ64" s="258" t="s">
        <v>1891</v>
      </c>
      <c r="MA64" s="16"/>
      <c r="MB64" s="16"/>
      <c r="MC64" s="16"/>
      <c r="MD64" s="16"/>
      <c r="ME64" s="16"/>
      <c r="MF64" s="16"/>
      <c r="MG64" s="16"/>
      <c r="MH64" s="16"/>
      <c r="MI64" s="16"/>
      <c r="MJ64" s="16"/>
      <c r="MK64" s="16"/>
      <c r="ML64" s="16"/>
      <c r="MM64" s="25"/>
      <c r="MN64" s="112"/>
      <c r="MU64" s="112"/>
    </row>
    <row r="65">
      <c r="A65" s="326" t="s">
        <v>1892</v>
      </c>
      <c r="B65" s="329"/>
      <c r="C65" s="23"/>
      <c r="D65" s="23"/>
      <c r="E65" s="23"/>
      <c r="F65" s="23"/>
      <c r="G65" s="23"/>
      <c r="H65" s="23"/>
      <c r="I65" s="327"/>
      <c r="J65" s="23"/>
      <c r="K65" s="23"/>
      <c r="L65" s="23"/>
      <c r="M65" s="23"/>
      <c r="N65" s="23"/>
      <c r="O65" s="23"/>
      <c r="P65" s="329"/>
      <c r="Q65" s="23"/>
      <c r="R65" s="23"/>
      <c r="S65" s="23"/>
      <c r="T65" s="23"/>
      <c r="U65" s="23"/>
      <c r="V65" s="23"/>
      <c r="W65" s="327"/>
      <c r="X65" s="23"/>
      <c r="Y65" s="23"/>
      <c r="Z65" s="23"/>
      <c r="AA65" s="23"/>
      <c r="AB65" s="23"/>
      <c r="AC65" s="23"/>
      <c r="AD65" s="329"/>
      <c r="AE65" s="23"/>
      <c r="AF65" s="23"/>
      <c r="AG65" s="23"/>
      <c r="AH65" s="23"/>
      <c r="AI65" s="23"/>
      <c r="AJ65" s="23"/>
      <c r="AK65" s="327"/>
      <c r="AL65" s="23"/>
      <c r="AM65" s="23"/>
      <c r="AN65" s="23"/>
      <c r="AO65" s="23"/>
      <c r="AP65" s="23"/>
      <c r="AQ65" s="23"/>
      <c r="AR65" s="329"/>
      <c r="AS65" s="23"/>
      <c r="AT65" s="23"/>
      <c r="AU65" s="23"/>
      <c r="AV65" s="23"/>
      <c r="AW65" s="23"/>
      <c r="AX65" s="23"/>
      <c r="AY65" s="327"/>
      <c r="AZ65" s="23"/>
      <c r="BA65" s="23"/>
      <c r="BB65" s="23"/>
      <c r="BC65" s="23"/>
      <c r="BD65" s="23"/>
      <c r="BE65" s="23"/>
      <c r="BF65" s="327"/>
      <c r="BG65" s="23"/>
      <c r="BH65" s="23"/>
      <c r="BI65" s="23"/>
      <c r="BJ65" s="23"/>
      <c r="BK65" s="23"/>
      <c r="BL65" s="23"/>
      <c r="BM65" s="327"/>
      <c r="BN65" s="23"/>
      <c r="BO65" s="23"/>
      <c r="BP65" s="23"/>
      <c r="BQ65" s="23"/>
      <c r="BR65" s="23"/>
      <c r="BS65" s="23"/>
      <c r="BT65" s="327"/>
      <c r="BU65" s="23"/>
      <c r="BV65" s="23"/>
      <c r="BW65" s="23"/>
      <c r="BX65" s="23"/>
      <c r="BY65" s="23"/>
      <c r="BZ65" s="23"/>
      <c r="CA65" s="327"/>
      <c r="CB65" s="23"/>
      <c r="CC65" s="23"/>
      <c r="CD65" s="23"/>
      <c r="CE65" s="23"/>
      <c r="CF65" s="23"/>
      <c r="CG65" s="23"/>
      <c r="CH65" s="327"/>
      <c r="CI65" s="23"/>
      <c r="CJ65" s="23"/>
      <c r="CK65" s="23"/>
      <c r="CL65" s="23"/>
      <c r="CM65" s="23"/>
      <c r="CN65" s="23"/>
      <c r="CO65" s="327"/>
      <c r="CP65" s="23"/>
      <c r="CQ65" s="23"/>
      <c r="CR65" s="23"/>
      <c r="CS65" s="23"/>
      <c r="CT65" s="23"/>
      <c r="CU65" s="23"/>
      <c r="CV65" s="327"/>
      <c r="CW65" s="23"/>
      <c r="CX65" s="23"/>
      <c r="CY65" s="23"/>
      <c r="CZ65" s="23"/>
      <c r="DA65" s="23"/>
      <c r="DB65" s="23"/>
      <c r="DC65" s="327"/>
      <c r="DD65" s="23"/>
      <c r="DE65" s="23"/>
      <c r="DF65" s="23"/>
      <c r="DG65" s="23"/>
      <c r="DH65" s="23"/>
      <c r="DI65" s="23"/>
      <c r="DJ65" s="327"/>
      <c r="DK65" s="23"/>
      <c r="DL65" s="23"/>
      <c r="DM65" s="23"/>
      <c r="DN65" s="23"/>
      <c r="DO65" s="23"/>
      <c r="DP65" s="23"/>
      <c r="DQ65" s="329"/>
      <c r="DR65" s="23"/>
      <c r="DS65" s="23"/>
      <c r="DT65" s="23"/>
      <c r="DU65" s="23"/>
      <c r="DV65" s="23"/>
      <c r="DW65" s="23"/>
      <c r="DX65" s="329"/>
      <c r="DY65" s="23"/>
      <c r="DZ65" s="23"/>
      <c r="EA65" s="23"/>
      <c r="EB65" s="23"/>
      <c r="EC65" s="23"/>
      <c r="ED65" s="23"/>
      <c r="EE65" s="329"/>
      <c r="EF65" s="23"/>
      <c r="EG65" s="23"/>
      <c r="EH65" s="23"/>
      <c r="EI65" s="23"/>
      <c r="EJ65" s="23"/>
      <c r="EK65" s="23"/>
      <c r="EL65" s="327"/>
      <c r="EM65" s="23"/>
      <c r="EN65" s="23"/>
      <c r="EO65" s="23"/>
      <c r="EP65" s="23"/>
      <c r="EQ65" s="23"/>
      <c r="ER65" s="23"/>
      <c r="ES65" s="327"/>
      <c r="ET65" s="23"/>
      <c r="EU65" s="23"/>
      <c r="EV65" s="23"/>
      <c r="EW65" s="23"/>
      <c r="EX65" s="23"/>
      <c r="EY65" s="23"/>
      <c r="EZ65" s="327"/>
      <c r="FA65" s="23"/>
      <c r="FB65" s="23"/>
      <c r="FC65" s="23"/>
      <c r="FD65" s="23"/>
      <c r="FE65" s="23"/>
      <c r="FF65" s="23"/>
      <c r="FG65" s="327"/>
      <c r="FH65" s="23"/>
      <c r="FI65" s="23"/>
      <c r="FJ65" s="23"/>
      <c r="FK65" s="23"/>
      <c r="FL65" s="23"/>
      <c r="FM65" s="23"/>
      <c r="FN65" s="327"/>
      <c r="FO65" s="23"/>
      <c r="FP65" s="23"/>
      <c r="FQ65" s="23"/>
      <c r="FR65" s="23"/>
      <c r="FS65" s="23"/>
      <c r="FT65" s="23"/>
      <c r="FU65" s="327"/>
      <c r="FV65" s="23"/>
      <c r="FW65" s="23"/>
      <c r="FX65" s="23"/>
      <c r="FY65" s="23"/>
      <c r="FZ65" s="23"/>
      <c r="GA65" s="23"/>
      <c r="GB65" s="327"/>
      <c r="GC65" s="23"/>
      <c r="GD65" s="23"/>
      <c r="GE65" s="23"/>
      <c r="GF65" s="23"/>
      <c r="GG65" s="23"/>
      <c r="GH65" s="23"/>
      <c r="GI65" s="327"/>
      <c r="GJ65" s="23"/>
      <c r="GK65" s="23"/>
      <c r="GL65" s="23"/>
      <c r="GM65" s="23"/>
      <c r="GN65" s="23"/>
      <c r="GO65" s="23"/>
      <c r="GP65" s="327"/>
      <c r="GQ65" s="23"/>
      <c r="GR65" s="23"/>
      <c r="GS65" s="23"/>
      <c r="GT65" s="23"/>
      <c r="GU65" s="23"/>
      <c r="GV65" s="23"/>
      <c r="GW65" s="327"/>
      <c r="GX65" s="23"/>
      <c r="GY65" s="23"/>
      <c r="GZ65" s="23"/>
      <c r="HA65" s="23"/>
      <c r="HB65" s="23"/>
      <c r="HC65" s="23"/>
      <c r="HD65" s="327"/>
      <c r="HE65" s="23"/>
      <c r="HF65" s="23"/>
      <c r="HG65" s="23"/>
      <c r="HH65" s="23"/>
      <c r="HI65" s="23"/>
      <c r="HJ65" s="23"/>
      <c r="HK65" s="327"/>
      <c r="HL65" s="23"/>
      <c r="HM65" s="23"/>
      <c r="HN65" s="23"/>
      <c r="HO65" s="23"/>
      <c r="HP65" s="23"/>
      <c r="HQ65" s="23"/>
      <c r="HR65" s="327"/>
      <c r="HS65" s="23"/>
      <c r="HT65" s="23"/>
      <c r="HU65" s="23"/>
      <c r="HV65" s="23"/>
      <c r="HW65" s="23"/>
      <c r="HX65" s="23"/>
      <c r="HY65" s="327"/>
      <c r="HZ65" s="23"/>
      <c r="IA65" s="23"/>
      <c r="IB65" s="23"/>
      <c r="IC65" s="23"/>
      <c r="ID65" s="23"/>
      <c r="IE65" s="23"/>
      <c r="IF65" s="327"/>
      <c r="IG65" s="23"/>
      <c r="IH65" s="23"/>
      <c r="II65" s="23"/>
      <c r="IJ65" s="23"/>
      <c r="IK65" s="23"/>
      <c r="IL65" s="23"/>
      <c r="IM65" s="327"/>
      <c r="IN65" s="23"/>
      <c r="IO65" s="23"/>
      <c r="IP65" s="23"/>
      <c r="IQ65" s="23"/>
      <c r="IR65" s="23"/>
      <c r="IS65" s="23"/>
      <c r="IT65" s="327"/>
      <c r="IU65" s="23"/>
      <c r="IV65" s="23"/>
      <c r="IW65" s="23"/>
      <c r="IX65" s="23"/>
      <c r="IY65" s="23"/>
      <c r="IZ65" s="23"/>
      <c r="JA65" s="327"/>
      <c r="JB65" s="23"/>
      <c r="JC65" s="23"/>
      <c r="JD65" s="23"/>
      <c r="JE65" s="23"/>
      <c r="JF65" s="23"/>
      <c r="JG65" s="23"/>
      <c r="JH65" s="327"/>
      <c r="JI65" s="23"/>
      <c r="JJ65" s="23"/>
      <c r="JK65" s="23"/>
      <c r="JL65" s="23"/>
      <c r="JM65" s="23"/>
      <c r="JN65" s="23"/>
      <c r="JO65" s="327"/>
      <c r="JP65" s="23"/>
      <c r="JQ65" s="23"/>
      <c r="JR65" s="23"/>
      <c r="JS65" s="23"/>
      <c r="JT65" s="23"/>
      <c r="JU65" s="23"/>
      <c r="JV65" s="327"/>
      <c r="JW65" s="23"/>
      <c r="JX65" s="23"/>
      <c r="JY65" s="23"/>
      <c r="JZ65" s="23"/>
      <c r="KA65" s="23"/>
      <c r="KB65" s="23"/>
      <c r="KC65" s="327"/>
      <c r="KD65" s="23"/>
      <c r="KE65" s="23"/>
      <c r="KF65" s="23"/>
      <c r="KG65" s="23"/>
      <c r="KH65" s="23"/>
      <c r="KI65" s="23"/>
      <c r="KJ65" s="327"/>
      <c r="KK65" s="23"/>
      <c r="KL65" s="23"/>
      <c r="KM65" s="23"/>
      <c r="KN65" s="23"/>
      <c r="KO65" s="23"/>
      <c r="KP65" s="23"/>
      <c r="KQ65" s="327"/>
      <c r="KR65" s="23"/>
      <c r="KS65" s="23"/>
      <c r="KT65" s="23"/>
      <c r="KU65" s="23"/>
      <c r="KV65" s="23"/>
      <c r="KW65" s="23"/>
      <c r="KX65" s="327"/>
      <c r="KY65" s="23"/>
      <c r="KZ65" s="23"/>
      <c r="LA65" s="23"/>
      <c r="LB65" s="23"/>
      <c r="LC65" s="23"/>
      <c r="LD65" s="23"/>
      <c r="LE65" s="327"/>
      <c r="LF65" s="23"/>
      <c r="LG65" s="23"/>
      <c r="LH65" s="23"/>
      <c r="LI65" s="23"/>
      <c r="LJ65" s="23"/>
      <c r="LK65" s="23"/>
      <c r="LL65" s="327"/>
      <c r="LM65" s="23"/>
      <c r="LN65" s="23"/>
      <c r="LO65" s="23"/>
      <c r="LP65" s="23"/>
      <c r="LQ65" s="23"/>
      <c r="LR65" s="23"/>
      <c r="LS65" s="327"/>
      <c r="LT65" s="23"/>
      <c r="LU65" s="23"/>
      <c r="LV65" s="23"/>
      <c r="LW65" s="23"/>
      <c r="LX65" s="23"/>
      <c r="LY65" s="23"/>
      <c r="LZ65" s="327"/>
      <c r="MA65" s="23"/>
      <c r="MB65" s="23"/>
      <c r="MC65" s="23"/>
      <c r="MD65" s="23"/>
      <c r="ME65" s="23"/>
      <c r="MF65" s="23"/>
      <c r="MG65" s="327"/>
      <c r="MH65" s="23"/>
      <c r="MI65" s="23"/>
      <c r="MJ65" s="23"/>
      <c r="MK65" s="23"/>
      <c r="ML65" s="23"/>
      <c r="MM65" s="23"/>
      <c r="MN65" s="327"/>
      <c r="MO65" s="23"/>
      <c r="MP65" s="23"/>
      <c r="MQ65" s="23"/>
      <c r="MR65" s="23"/>
      <c r="MS65" s="23"/>
      <c r="MT65" s="23"/>
      <c r="MU65" s="327"/>
      <c r="MV65" s="23"/>
      <c r="MW65" s="23"/>
      <c r="MX65" s="23"/>
      <c r="MY65" s="23"/>
      <c r="MZ65" s="23"/>
      <c r="NA65" s="104"/>
    </row>
    <row r="66">
      <c r="A66" s="152"/>
      <c r="B66" s="113"/>
      <c r="I66" s="112"/>
      <c r="P66" s="112"/>
      <c r="W66" s="112"/>
      <c r="AC66" s="83"/>
      <c r="AD66" s="112"/>
      <c r="AK66" s="112"/>
      <c r="AQ66" s="83"/>
      <c r="AR66" s="112"/>
      <c r="AY66" s="112"/>
      <c r="BF66" s="112"/>
      <c r="BM66" s="112"/>
      <c r="BT66" s="112"/>
      <c r="CA66" s="112"/>
      <c r="CH66" s="112"/>
      <c r="CO66" s="112"/>
      <c r="CV66" s="112"/>
      <c r="DC66" s="112"/>
      <c r="DJ66" s="112"/>
      <c r="DQ66" s="112"/>
      <c r="DX66" s="112"/>
      <c r="EE66" s="112"/>
      <c r="EL66" s="112"/>
      <c r="ES66" s="112"/>
      <c r="EZ66" s="112"/>
      <c r="FG66" s="112"/>
      <c r="FN66" s="112"/>
      <c r="FU66" s="112"/>
      <c r="GB66" s="112"/>
      <c r="GI66" s="112"/>
      <c r="GP66" s="112"/>
      <c r="GW66" s="112"/>
      <c r="HD66" s="112"/>
      <c r="HK66" s="112"/>
      <c r="HR66" s="112"/>
      <c r="HY66" s="112"/>
      <c r="IF66" s="112"/>
      <c r="IM66" s="112"/>
      <c r="IT66" s="112"/>
      <c r="JA66" s="112"/>
      <c r="JH66" s="112"/>
      <c r="JO66" s="112"/>
      <c r="JV66" s="112"/>
      <c r="KC66" s="112"/>
      <c r="KJ66" s="112"/>
      <c r="KQ66" s="112"/>
      <c r="KX66" s="112"/>
      <c r="LE66" s="112"/>
      <c r="LL66" s="112"/>
      <c r="LS66" s="112"/>
      <c r="LZ66" s="112"/>
      <c r="MG66" s="112"/>
      <c r="MN66" s="112"/>
      <c r="MU66" s="112"/>
      <c r="NA66" s="83"/>
    </row>
    <row r="67">
      <c r="A67" s="152"/>
      <c r="B67" s="113"/>
      <c r="I67" s="112"/>
      <c r="P67" s="114">
        <v>61.91</v>
      </c>
      <c r="W67" s="112"/>
      <c r="AC67" s="83"/>
      <c r="AD67" s="113"/>
      <c r="AK67" s="112"/>
      <c r="AQ67" s="83"/>
      <c r="AR67" s="113"/>
      <c r="AY67" s="112"/>
      <c r="BF67" s="112"/>
      <c r="BM67" s="112"/>
      <c r="BT67" s="112"/>
      <c r="CA67" s="112"/>
      <c r="CH67" s="112"/>
      <c r="CO67" s="112"/>
      <c r="CV67" s="112"/>
      <c r="DC67" s="112"/>
      <c r="DJ67" s="112"/>
      <c r="DQ67" s="113"/>
      <c r="DX67" s="113"/>
      <c r="EE67" s="113"/>
      <c r="EL67" s="112"/>
      <c r="ES67" s="112"/>
      <c r="EZ67" s="112"/>
      <c r="FG67" s="112"/>
      <c r="FN67" s="112"/>
      <c r="FU67" s="112"/>
      <c r="GB67" s="112"/>
      <c r="GI67" s="112"/>
      <c r="GP67" s="112"/>
      <c r="GW67" s="112"/>
      <c r="HD67" s="112"/>
      <c r="HK67" s="112"/>
      <c r="HR67" s="112"/>
      <c r="HY67" s="112"/>
      <c r="IF67" s="112"/>
      <c r="IM67" s="112"/>
      <c r="IT67" s="112"/>
      <c r="JA67" s="112"/>
      <c r="JH67" s="112"/>
      <c r="JO67" s="112"/>
      <c r="JV67" s="112"/>
      <c r="KC67" s="112"/>
      <c r="KJ67" s="112"/>
      <c r="KQ67" s="112"/>
      <c r="KX67" s="112"/>
      <c r="LE67" s="112"/>
      <c r="LL67" s="112"/>
      <c r="LS67" s="112"/>
      <c r="LZ67" s="112"/>
      <c r="MG67" s="112"/>
      <c r="MN67" s="112"/>
      <c r="MU67" s="112"/>
      <c r="NA67" s="83"/>
    </row>
    <row r="68">
      <c r="A68" s="380"/>
      <c r="B68" s="113"/>
      <c r="I68" s="112"/>
      <c r="P68" s="114">
        <v>59.86</v>
      </c>
      <c r="W68" s="112"/>
      <c r="AC68" s="83"/>
      <c r="AD68" s="113"/>
      <c r="AK68" s="114"/>
      <c r="AQ68" s="83"/>
      <c r="AR68" s="113"/>
      <c r="AY68" s="112"/>
      <c r="BF68" s="112"/>
      <c r="BM68" s="112"/>
      <c r="BT68" s="112"/>
      <c r="CA68" s="112"/>
      <c r="CH68" s="112"/>
      <c r="CO68" s="112"/>
      <c r="CV68" s="112"/>
      <c r="DC68" s="112"/>
      <c r="DJ68" s="114" t="s">
        <v>645</v>
      </c>
      <c r="DQ68" s="113"/>
      <c r="DX68" s="113"/>
      <c r="EE68" s="113"/>
      <c r="EL68" s="112"/>
      <c r="ES68" s="112"/>
      <c r="EZ68" s="112"/>
      <c r="FG68" s="112"/>
      <c r="FN68" s="112"/>
      <c r="FU68" s="112"/>
      <c r="GB68" s="112"/>
      <c r="GI68" s="112"/>
      <c r="GP68" s="112"/>
      <c r="GW68" s="112"/>
      <c r="HD68" s="112"/>
      <c r="HK68" s="112"/>
      <c r="HR68" s="112"/>
      <c r="HY68" s="112"/>
      <c r="IF68" s="112"/>
      <c r="IM68" s="112"/>
      <c r="IT68" s="112"/>
      <c r="JA68" s="112"/>
      <c r="JH68" s="112"/>
      <c r="JO68" s="112"/>
      <c r="JV68" s="112"/>
      <c r="KC68" s="112"/>
      <c r="KJ68" s="112"/>
      <c r="KQ68" s="112"/>
      <c r="KX68" s="112"/>
      <c r="LE68" s="112"/>
      <c r="LL68" s="112"/>
      <c r="LS68" s="112"/>
      <c r="LZ68" s="112"/>
      <c r="MG68" s="112"/>
      <c r="MN68" s="112"/>
      <c r="MU68" s="112"/>
      <c r="NA68" s="83"/>
    </row>
    <row r="69">
      <c r="A69" s="380"/>
      <c r="B69" s="113"/>
      <c r="I69" s="112"/>
      <c r="P69" s="112"/>
      <c r="W69" s="112"/>
      <c r="AD69" s="112"/>
      <c r="AK69" s="112"/>
      <c r="AR69" s="112"/>
      <c r="AY69" s="112"/>
      <c r="BF69" s="112"/>
      <c r="BM69" s="112"/>
      <c r="BT69" s="112"/>
      <c r="CA69" s="112"/>
      <c r="CH69" s="112"/>
      <c r="CO69" s="112"/>
      <c r="CV69" s="112"/>
      <c r="DC69" s="112"/>
      <c r="DJ69" s="112"/>
      <c r="DQ69" s="112"/>
      <c r="DX69" s="112"/>
      <c r="EE69" s="112"/>
      <c r="EL69" s="112"/>
      <c r="ES69" s="112"/>
      <c r="EZ69" s="112"/>
      <c r="FG69" s="112"/>
      <c r="FN69" s="112"/>
      <c r="FU69" s="112"/>
      <c r="GB69" s="112"/>
      <c r="GI69" s="112"/>
      <c r="GP69" s="112"/>
      <c r="GW69" s="112"/>
      <c r="HD69" s="112"/>
      <c r="HK69" s="112"/>
      <c r="HR69" s="112"/>
      <c r="HY69" s="112"/>
      <c r="IF69" s="112"/>
      <c r="IM69" s="112"/>
      <c r="IT69" s="112"/>
      <c r="JA69" s="112"/>
      <c r="JH69" s="112"/>
      <c r="JO69" s="112"/>
      <c r="JV69" s="112"/>
      <c r="KC69" s="112"/>
      <c r="KJ69" s="112"/>
      <c r="KQ69" s="112"/>
      <c r="KX69" s="112"/>
      <c r="LE69" s="112"/>
      <c r="LL69" s="112"/>
      <c r="LS69" s="112"/>
      <c r="LZ69" s="112"/>
      <c r="MG69" s="112"/>
      <c r="MN69" s="112"/>
      <c r="MU69" s="112"/>
      <c r="NA69" s="83"/>
    </row>
    <row r="70">
      <c r="A70" s="380"/>
      <c r="B70" s="113"/>
      <c r="I70" s="112"/>
      <c r="P70" s="112"/>
      <c r="W70" s="112"/>
      <c r="AD70" s="112"/>
      <c r="AK70" s="112"/>
      <c r="AR70" s="112"/>
      <c r="AY70" s="112"/>
      <c r="BF70" s="112"/>
      <c r="BM70" s="112"/>
      <c r="BT70" s="112"/>
      <c r="CA70" s="112"/>
      <c r="CH70" s="112"/>
      <c r="CO70" s="112"/>
      <c r="CV70" s="112"/>
      <c r="DC70" s="112"/>
      <c r="DJ70" s="112"/>
      <c r="DQ70" s="112"/>
      <c r="DX70" s="112"/>
      <c r="EE70" s="112"/>
      <c r="EL70" s="112"/>
      <c r="ES70" s="112"/>
      <c r="EZ70" s="112"/>
      <c r="FG70" s="112"/>
      <c r="FN70" s="112"/>
      <c r="FU70" s="112"/>
      <c r="GB70" s="112"/>
      <c r="GI70" s="112"/>
      <c r="GP70" s="112"/>
      <c r="GW70" s="112"/>
      <c r="HD70" s="112"/>
      <c r="HK70" s="112"/>
      <c r="HR70" s="112"/>
      <c r="HY70" s="112"/>
      <c r="IF70" s="112"/>
      <c r="IM70" s="112"/>
      <c r="IT70" s="112"/>
      <c r="JA70" s="112"/>
      <c r="JH70" s="112"/>
      <c r="JO70" s="112"/>
      <c r="JV70" s="112"/>
      <c r="KC70" s="112"/>
      <c r="KJ70" s="112"/>
      <c r="KQ70" s="112"/>
      <c r="KX70" s="112"/>
      <c r="LE70" s="112"/>
      <c r="LL70" s="112"/>
      <c r="LS70" s="112"/>
      <c r="LZ70" s="112"/>
      <c r="MG70" s="112"/>
      <c r="MN70" s="112"/>
      <c r="MU70" s="112"/>
      <c r="NA70" s="83"/>
    </row>
    <row r="71">
      <c r="A71" s="380"/>
      <c r="B71" s="113"/>
      <c r="I71" s="112"/>
      <c r="P71" s="112"/>
      <c r="W71" s="112"/>
      <c r="AD71" s="112"/>
      <c r="AK71" s="112"/>
      <c r="AR71" s="112"/>
      <c r="AY71" s="112"/>
      <c r="BF71" s="112"/>
      <c r="BM71" s="112"/>
      <c r="BT71" s="112"/>
      <c r="CA71" s="112"/>
      <c r="CH71" s="112"/>
      <c r="CO71" s="112"/>
      <c r="CV71" s="112"/>
      <c r="DC71" s="112"/>
      <c r="DJ71" s="112"/>
      <c r="DQ71" s="112"/>
      <c r="DX71" s="112"/>
      <c r="EE71" s="112"/>
      <c r="EL71" s="112"/>
      <c r="ES71" s="112"/>
      <c r="EZ71" s="112"/>
      <c r="FG71" s="112"/>
      <c r="FN71" s="112"/>
      <c r="FU71" s="112"/>
      <c r="GB71" s="112"/>
      <c r="GI71" s="112"/>
      <c r="GP71" s="112"/>
      <c r="GW71" s="112"/>
      <c r="HD71" s="112"/>
      <c r="HK71" s="112"/>
      <c r="HR71" s="112"/>
      <c r="HY71" s="112"/>
      <c r="IF71" s="112"/>
      <c r="IM71" s="112"/>
      <c r="IT71" s="112"/>
      <c r="JA71" s="112"/>
      <c r="JH71" s="112"/>
      <c r="JO71" s="112"/>
      <c r="JV71" s="112"/>
      <c r="KC71" s="112"/>
      <c r="KJ71" s="112"/>
      <c r="KQ71" s="112"/>
      <c r="KX71" s="112"/>
      <c r="LE71" s="112"/>
      <c r="LL71" s="112"/>
      <c r="LS71" s="112"/>
      <c r="LZ71" s="112"/>
      <c r="MG71" s="112"/>
      <c r="MN71" s="112"/>
      <c r="MU71" s="112"/>
      <c r="NA71" s="83"/>
    </row>
    <row r="72">
      <c r="A72" s="380"/>
      <c r="B72" s="113"/>
      <c r="I72" s="112"/>
      <c r="P72" s="112"/>
      <c r="W72" s="112"/>
      <c r="AD72" s="112"/>
      <c r="AK72" s="112"/>
      <c r="AR72" s="112"/>
      <c r="AY72" s="112"/>
      <c r="BF72" s="112"/>
      <c r="BM72" s="112"/>
      <c r="BT72" s="112"/>
      <c r="CA72" s="112"/>
      <c r="CH72" s="112"/>
      <c r="CO72" s="112"/>
      <c r="CV72" s="112"/>
      <c r="DC72" s="112"/>
      <c r="DJ72" s="112"/>
      <c r="DQ72" s="112"/>
      <c r="DX72" s="112"/>
      <c r="EE72" s="112"/>
      <c r="EL72" s="112"/>
      <c r="ES72" s="112"/>
      <c r="EZ72" s="112"/>
      <c r="FG72" s="112"/>
      <c r="FN72" s="112"/>
      <c r="FU72" s="112"/>
      <c r="GB72" s="112"/>
      <c r="GI72" s="112"/>
      <c r="GP72" s="112"/>
      <c r="GW72" s="112"/>
      <c r="HD72" s="112"/>
      <c r="HK72" s="112"/>
      <c r="HR72" s="112"/>
      <c r="HY72" s="112"/>
      <c r="IF72" s="112"/>
      <c r="IM72" s="112"/>
      <c r="IT72" s="112"/>
      <c r="JA72" s="112"/>
      <c r="JH72" s="112"/>
      <c r="JO72" s="112"/>
      <c r="JV72" s="112"/>
      <c r="KC72" s="112"/>
      <c r="KJ72" s="112"/>
      <c r="KQ72" s="112"/>
      <c r="KX72" s="112"/>
      <c r="LE72" s="112"/>
      <c r="LL72" s="112"/>
      <c r="LS72" s="112"/>
      <c r="LZ72" s="112"/>
      <c r="MG72" s="112"/>
      <c r="MN72" s="112"/>
      <c r="MU72" s="112"/>
      <c r="NA72" s="83"/>
    </row>
    <row r="73">
      <c r="A73" s="380"/>
      <c r="B73" s="113"/>
      <c r="I73" s="112"/>
      <c r="P73" s="112"/>
      <c r="W73" s="112"/>
      <c r="AC73" s="83"/>
      <c r="AD73" s="112"/>
      <c r="AK73" s="112"/>
      <c r="AQ73" s="83"/>
      <c r="AR73" s="112"/>
      <c r="AY73" s="112"/>
      <c r="BF73" s="112"/>
      <c r="BM73" s="112"/>
      <c r="BT73" s="112"/>
      <c r="CA73" s="112"/>
      <c r="CH73" s="112"/>
      <c r="CO73" s="112"/>
      <c r="CV73" s="112"/>
      <c r="DC73" s="112"/>
      <c r="DJ73" s="112"/>
      <c r="DQ73" s="112"/>
      <c r="DX73" s="112"/>
      <c r="EE73" s="112"/>
      <c r="EL73" s="112"/>
      <c r="ES73" s="112"/>
      <c r="EZ73" s="112"/>
      <c r="FG73" s="112"/>
      <c r="FN73" s="112"/>
      <c r="FU73" s="112"/>
      <c r="GB73" s="112"/>
      <c r="GI73" s="112"/>
      <c r="GP73" s="112"/>
      <c r="GW73" s="112"/>
      <c r="HD73" s="112"/>
      <c r="HK73" s="112"/>
      <c r="HR73" s="112"/>
      <c r="HY73" s="112"/>
      <c r="IF73" s="112"/>
      <c r="IM73" s="112"/>
      <c r="IT73" s="112"/>
      <c r="JA73" s="112"/>
      <c r="JH73" s="112"/>
      <c r="JO73" s="112"/>
      <c r="JV73" s="112"/>
      <c r="KC73" s="112"/>
      <c r="KJ73" s="112"/>
      <c r="KQ73" s="112"/>
      <c r="KX73" s="112"/>
      <c r="LE73" s="112"/>
      <c r="LL73" s="112"/>
      <c r="LS73" s="112"/>
      <c r="LZ73" s="112"/>
      <c r="MG73" s="112"/>
      <c r="MN73" s="112"/>
      <c r="MU73" s="112"/>
      <c r="NA73" s="83"/>
    </row>
    <row r="74">
      <c r="A74" s="380"/>
      <c r="B74" s="113"/>
      <c r="I74" s="112"/>
      <c r="P74" s="112"/>
      <c r="W74" s="112"/>
      <c r="AC74" s="83"/>
      <c r="AD74" s="113"/>
      <c r="AK74" s="112"/>
      <c r="AQ74" s="83"/>
      <c r="AR74" s="113"/>
      <c r="AY74" s="112"/>
      <c r="BF74" s="112"/>
      <c r="BM74" s="112"/>
      <c r="BT74" s="112"/>
      <c r="CA74" s="112"/>
      <c r="CH74" s="112"/>
      <c r="CO74" s="112"/>
      <c r="CV74" s="112"/>
      <c r="DC74" s="112"/>
      <c r="DJ74" s="112"/>
      <c r="DQ74" s="113"/>
      <c r="DX74" s="113"/>
      <c r="EE74" s="113"/>
      <c r="EL74" s="112"/>
      <c r="ES74" s="112"/>
      <c r="EZ74" s="112"/>
      <c r="FG74" s="112"/>
      <c r="FN74" s="112"/>
      <c r="FU74" s="112"/>
      <c r="GB74" s="112"/>
      <c r="GI74" s="112"/>
      <c r="GP74" s="112"/>
      <c r="GW74" s="112"/>
      <c r="HD74" s="112"/>
      <c r="HK74" s="112"/>
      <c r="HR74" s="112"/>
      <c r="HY74" s="112"/>
      <c r="IF74" s="112"/>
      <c r="IM74" s="112"/>
      <c r="IT74" s="112"/>
      <c r="JA74" s="112"/>
      <c r="JH74" s="112"/>
      <c r="JO74" s="112"/>
      <c r="JV74" s="112"/>
      <c r="KC74" s="112"/>
      <c r="KJ74" s="112"/>
      <c r="KQ74" s="112"/>
      <c r="KX74" s="112"/>
      <c r="LE74" s="112"/>
      <c r="LL74" s="112"/>
      <c r="LS74" s="112"/>
      <c r="LZ74" s="112"/>
      <c r="MG74" s="112"/>
      <c r="MN74" s="112"/>
      <c r="MU74" s="112"/>
      <c r="NA74" s="83"/>
    </row>
    <row r="75">
      <c r="A75" s="380"/>
      <c r="B75" s="113"/>
      <c r="I75" s="112"/>
      <c r="P75" s="112"/>
      <c r="W75" s="112"/>
      <c r="AC75" s="83"/>
      <c r="AD75" s="113"/>
      <c r="AK75" s="112"/>
      <c r="AQ75" s="83"/>
      <c r="AR75" s="113"/>
      <c r="AY75" s="112"/>
      <c r="BF75" s="112"/>
      <c r="BM75" s="112"/>
      <c r="BT75" s="112"/>
      <c r="CA75" s="112"/>
      <c r="CH75" s="112"/>
      <c r="CO75" s="112"/>
      <c r="CV75" s="112"/>
      <c r="DC75" s="112"/>
      <c r="DJ75" s="112"/>
      <c r="DQ75" s="113"/>
      <c r="DX75" s="113"/>
      <c r="EE75" s="113"/>
      <c r="EL75" s="112"/>
      <c r="ES75" s="112"/>
      <c r="EZ75" s="112"/>
      <c r="FG75" s="112"/>
      <c r="FN75" s="112"/>
      <c r="FU75" s="112"/>
      <c r="GB75" s="112"/>
      <c r="GI75" s="112"/>
      <c r="GP75" s="112"/>
      <c r="GW75" s="112"/>
      <c r="HD75" s="112"/>
      <c r="HK75" s="112"/>
      <c r="HR75" s="112"/>
      <c r="HY75" s="112"/>
      <c r="IF75" s="112"/>
      <c r="IM75" s="112"/>
      <c r="IT75" s="112"/>
      <c r="JA75" s="112"/>
      <c r="JH75" s="112"/>
      <c r="JO75" s="112"/>
      <c r="JV75" s="112"/>
      <c r="KC75" s="112"/>
      <c r="KJ75" s="112"/>
      <c r="KQ75" s="112"/>
      <c r="KX75" s="112"/>
      <c r="LE75" s="112"/>
      <c r="LL75" s="112"/>
      <c r="LS75" s="112"/>
      <c r="LZ75" s="112"/>
      <c r="MG75" s="112"/>
      <c r="MN75" s="112"/>
      <c r="MU75" s="112"/>
      <c r="NA75" s="83"/>
    </row>
    <row r="76">
      <c r="A76" s="380"/>
      <c r="B76" s="113"/>
      <c r="I76" s="112"/>
      <c r="P76" s="112"/>
      <c r="W76" s="112"/>
      <c r="AD76" s="112"/>
      <c r="AK76" s="112"/>
      <c r="AR76" s="112"/>
      <c r="AY76" s="112"/>
      <c r="BF76" s="112"/>
      <c r="BM76" s="112"/>
      <c r="BT76" s="112"/>
      <c r="CA76" s="112"/>
      <c r="CH76" s="112"/>
      <c r="CO76" s="112"/>
      <c r="CV76" s="112"/>
      <c r="DC76" s="112"/>
      <c r="DJ76" s="112"/>
      <c r="DQ76" s="112"/>
      <c r="DX76" s="112"/>
      <c r="EE76" s="112"/>
      <c r="EL76" s="112"/>
      <c r="ES76" s="112"/>
      <c r="EZ76" s="112"/>
      <c r="FG76" s="112"/>
      <c r="FN76" s="112"/>
      <c r="FU76" s="112"/>
      <c r="GB76" s="112"/>
      <c r="GI76" s="112"/>
      <c r="GP76" s="112"/>
      <c r="GW76" s="112"/>
      <c r="HD76" s="112"/>
      <c r="HK76" s="112"/>
      <c r="HR76" s="112"/>
      <c r="HY76" s="112"/>
      <c r="IF76" s="112"/>
      <c r="IM76" s="112"/>
      <c r="IT76" s="112"/>
      <c r="JA76" s="112"/>
      <c r="JH76" s="112"/>
      <c r="JO76" s="112"/>
      <c r="JV76" s="112"/>
      <c r="KC76" s="112"/>
      <c r="KJ76" s="112"/>
      <c r="KQ76" s="112"/>
      <c r="KX76" s="112"/>
      <c r="LE76" s="112"/>
      <c r="LL76" s="112"/>
      <c r="LS76" s="112"/>
      <c r="LZ76" s="112"/>
      <c r="MG76" s="112"/>
      <c r="MN76" s="112"/>
      <c r="MU76" s="112"/>
      <c r="NA76" s="83"/>
    </row>
    <row r="77">
      <c r="A77" s="380"/>
      <c r="B77" s="113"/>
      <c r="I77" s="112"/>
      <c r="P77" s="112"/>
      <c r="W77" s="112"/>
      <c r="AD77" s="112"/>
      <c r="AK77" s="112"/>
      <c r="AR77" s="112"/>
      <c r="AY77" s="112"/>
      <c r="BF77" s="112"/>
      <c r="BM77" s="112"/>
      <c r="BT77" s="112"/>
      <c r="CA77" s="112"/>
      <c r="CH77" s="112"/>
      <c r="CO77" s="112"/>
      <c r="CV77" s="112"/>
      <c r="DC77" s="112"/>
      <c r="DJ77" s="112"/>
      <c r="DQ77" s="112"/>
      <c r="DX77" s="112"/>
      <c r="EE77" s="112"/>
      <c r="EL77" s="112"/>
      <c r="ES77" s="112"/>
      <c r="EZ77" s="112"/>
      <c r="FG77" s="112"/>
      <c r="FN77" s="112"/>
      <c r="FU77" s="112"/>
      <c r="GB77" s="112"/>
      <c r="GI77" s="112"/>
      <c r="GP77" s="112"/>
      <c r="GW77" s="112"/>
      <c r="HD77" s="112"/>
      <c r="HK77" s="112"/>
      <c r="HR77" s="112"/>
      <c r="HY77" s="112"/>
      <c r="IF77" s="112"/>
      <c r="IM77" s="112"/>
      <c r="IT77" s="112"/>
      <c r="JA77" s="112"/>
      <c r="JH77" s="112"/>
      <c r="JO77" s="112"/>
      <c r="JV77" s="112"/>
      <c r="KC77" s="112"/>
      <c r="KJ77" s="112"/>
      <c r="KQ77" s="112"/>
      <c r="KX77" s="112"/>
      <c r="LE77" s="112"/>
      <c r="LL77" s="112"/>
      <c r="LS77" s="112"/>
      <c r="LZ77" s="112"/>
      <c r="MG77" s="112"/>
      <c r="MN77" s="112"/>
      <c r="MU77" s="112"/>
      <c r="NA77" s="83"/>
    </row>
    <row r="78">
      <c r="A78" s="380"/>
      <c r="B78" s="113"/>
      <c r="I78" s="112"/>
      <c r="P78" s="112"/>
      <c r="W78" s="112"/>
      <c r="AD78" s="112"/>
      <c r="AK78" s="112"/>
      <c r="AR78" s="112"/>
      <c r="AY78" s="112"/>
      <c r="BF78" s="112"/>
      <c r="BM78" s="112"/>
      <c r="BT78" s="112"/>
      <c r="CA78" s="112"/>
      <c r="CH78" s="112"/>
      <c r="CO78" s="112"/>
      <c r="CV78" s="112"/>
      <c r="DC78" s="112"/>
      <c r="DJ78" s="112"/>
      <c r="DQ78" s="112"/>
      <c r="DX78" s="112"/>
      <c r="EE78" s="112"/>
      <c r="EL78" s="112"/>
      <c r="ES78" s="112"/>
      <c r="EZ78" s="112"/>
      <c r="FG78" s="112"/>
      <c r="FN78" s="112"/>
      <c r="FU78" s="112"/>
      <c r="GB78" s="112"/>
      <c r="GI78" s="112"/>
      <c r="GP78" s="112"/>
      <c r="GW78" s="112"/>
      <c r="HD78" s="112"/>
      <c r="HK78" s="112"/>
      <c r="HR78" s="112"/>
      <c r="HY78" s="112"/>
      <c r="IF78" s="112"/>
      <c r="IM78" s="112"/>
      <c r="IT78" s="112"/>
      <c r="JA78" s="112"/>
      <c r="JH78" s="112"/>
      <c r="JO78" s="112"/>
      <c r="JV78" s="112"/>
      <c r="KC78" s="112"/>
      <c r="KJ78" s="112"/>
      <c r="KQ78" s="112"/>
      <c r="KX78" s="112"/>
      <c r="LE78" s="112"/>
      <c r="LL78" s="112"/>
      <c r="LS78" s="112"/>
      <c r="LZ78" s="112"/>
      <c r="MG78" s="112"/>
      <c r="MN78" s="112"/>
      <c r="MU78" s="112"/>
      <c r="NA78" s="83"/>
    </row>
    <row r="79">
      <c r="A79" s="380"/>
      <c r="B79" s="113"/>
      <c r="I79" s="112"/>
      <c r="P79" s="112"/>
      <c r="W79" s="112"/>
      <c r="AD79" s="112"/>
      <c r="AK79" s="112"/>
      <c r="AR79" s="112"/>
      <c r="AY79" s="112"/>
      <c r="BF79" s="112"/>
      <c r="BM79" s="112"/>
      <c r="BT79" s="112"/>
      <c r="CA79" s="112"/>
      <c r="CH79" s="112"/>
      <c r="CO79" s="112"/>
      <c r="CV79" s="112"/>
      <c r="DC79" s="112"/>
      <c r="DJ79" s="112"/>
      <c r="DQ79" s="112"/>
      <c r="DX79" s="112"/>
      <c r="EE79" s="112"/>
      <c r="EL79" s="112"/>
      <c r="ES79" s="112"/>
      <c r="EZ79" s="112"/>
      <c r="FG79" s="112"/>
      <c r="FN79" s="112"/>
      <c r="FU79" s="112"/>
      <c r="GB79" s="112"/>
      <c r="GI79" s="112"/>
      <c r="GP79" s="112"/>
      <c r="GW79" s="112"/>
      <c r="HD79" s="112"/>
      <c r="HK79" s="112"/>
      <c r="HR79" s="112"/>
      <c r="HY79" s="112"/>
      <c r="IF79" s="112"/>
      <c r="IM79" s="112"/>
      <c r="IT79" s="112"/>
      <c r="JA79" s="112"/>
      <c r="JH79" s="112"/>
      <c r="JO79" s="112"/>
      <c r="JV79" s="112"/>
      <c r="KC79" s="112"/>
      <c r="KJ79" s="112"/>
      <c r="KQ79" s="112"/>
      <c r="KX79" s="112"/>
      <c r="LE79" s="112"/>
      <c r="LL79" s="112"/>
      <c r="LS79" s="112"/>
      <c r="LZ79" s="112"/>
      <c r="MG79" s="112"/>
      <c r="MN79" s="112"/>
      <c r="MU79" s="112"/>
      <c r="NA79" s="83"/>
    </row>
    <row r="80">
      <c r="A80" s="380"/>
      <c r="B80" s="113"/>
      <c r="I80" s="112"/>
      <c r="P80" s="112"/>
      <c r="W80" s="112"/>
      <c r="AC80" s="83"/>
      <c r="AD80" s="112"/>
      <c r="AK80" s="112"/>
      <c r="AQ80" s="83"/>
      <c r="AR80" s="112"/>
      <c r="AY80" s="112"/>
      <c r="BF80" s="112"/>
      <c r="BM80" s="112"/>
      <c r="BT80" s="112"/>
      <c r="CA80" s="112"/>
      <c r="CH80" s="112"/>
      <c r="CO80" s="112"/>
      <c r="CV80" s="112"/>
      <c r="DC80" s="112"/>
      <c r="DJ80" s="112"/>
      <c r="DQ80" s="112"/>
      <c r="DX80" s="112"/>
      <c r="EE80" s="112"/>
      <c r="EL80" s="112"/>
      <c r="ES80" s="112"/>
      <c r="EZ80" s="112"/>
      <c r="FG80" s="112"/>
      <c r="FN80" s="112"/>
      <c r="FU80" s="112"/>
      <c r="GB80" s="112"/>
      <c r="GI80" s="112"/>
      <c r="GP80" s="112"/>
      <c r="GW80" s="112"/>
      <c r="HD80" s="112"/>
      <c r="HK80" s="112"/>
      <c r="HR80" s="112"/>
      <c r="HY80" s="112"/>
      <c r="IF80" s="112"/>
      <c r="IM80" s="112"/>
      <c r="IT80" s="112"/>
      <c r="JA80" s="112"/>
      <c r="JH80" s="112"/>
      <c r="JO80" s="112"/>
      <c r="JV80" s="112"/>
      <c r="KC80" s="112"/>
      <c r="KJ80" s="112"/>
      <c r="KQ80" s="112"/>
      <c r="KX80" s="112"/>
      <c r="LE80" s="112"/>
      <c r="LL80" s="112"/>
      <c r="LS80" s="112"/>
      <c r="LZ80" s="112"/>
      <c r="MG80" s="112"/>
      <c r="MN80" s="112"/>
      <c r="MU80" s="112"/>
      <c r="NA80" s="83"/>
    </row>
    <row r="81">
      <c r="A81" s="380"/>
      <c r="B81" s="113"/>
      <c r="I81" s="112"/>
      <c r="P81" s="112"/>
      <c r="W81" s="112"/>
      <c r="AC81" s="83"/>
      <c r="AD81" s="113"/>
      <c r="AK81" s="112"/>
      <c r="AQ81" s="83"/>
      <c r="AR81" s="113"/>
      <c r="AY81" s="112"/>
      <c r="BF81" s="112"/>
      <c r="BM81" s="112"/>
      <c r="BT81" s="112"/>
      <c r="CA81" s="112"/>
      <c r="CH81" s="112"/>
      <c r="CO81" s="112"/>
      <c r="CV81" s="112"/>
      <c r="DC81" s="112"/>
      <c r="DJ81" s="112"/>
      <c r="DQ81" s="113"/>
      <c r="DX81" s="113"/>
      <c r="EE81" s="113"/>
      <c r="EL81" s="112"/>
      <c r="ES81" s="112"/>
      <c r="EZ81" s="112"/>
      <c r="FG81" s="112"/>
      <c r="FN81" s="112"/>
      <c r="FU81" s="112"/>
      <c r="GB81" s="112"/>
      <c r="GI81" s="112"/>
      <c r="GP81" s="112"/>
      <c r="GW81" s="112"/>
      <c r="HD81" s="112"/>
      <c r="HK81" s="112"/>
      <c r="HR81" s="112"/>
      <c r="HY81" s="112"/>
      <c r="IF81" s="112"/>
      <c r="IM81" s="112"/>
      <c r="IT81" s="112"/>
      <c r="JA81" s="112"/>
      <c r="JH81" s="112"/>
      <c r="JO81" s="112"/>
      <c r="JV81" s="112"/>
      <c r="KC81" s="112"/>
      <c r="KJ81" s="112"/>
      <c r="KQ81" s="112"/>
      <c r="KX81" s="112"/>
      <c r="LE81" s="112"/>
      <c r="LL81" s="112"/>
      <c r="LS81" s="112"/>
      <c r="LZ81" s="112"/>
      <c r="MG81" s="112"/>
      <c r="MN81" s="112"/>
      <c r="MU81" s="112"/>
      <c r="NA81" s="83"/>
    </row>
    <row r="82">
      <c r="A82" s="380"/>
      <c r="B82" s="113"/>
      <c r="I82" s="112"/>
      <c r="P82" s="112"/>
      <c r="W82" s="112"/>
      <c r="AC82" s="83"/>
      <c r="AD82" s="113"/>
      <c r="AK82" s="112"/>
      <c r="AQ82" s="83"/>
      <c r="AR82" s="113"/>
      <c r="AY82" s="112"/>
      <c r="BF82" s="112"/>
      <c r="BM82" s="112"/>
      <c r="BT82" s="112"/>
      <c r="CA82" s="112"/>
      <c r="CH82" s="112"/>
      <c r="CO82" s="112"/>
      <c r="CV82" s="112"/>
      <c r="DC82" s="112"/>
      <c r="DJ82" s="112"/>
      <c r="DQ82" s="113"/>
      <c r="DX82" s="113"/>
      <c r="EE82" s="113"/>
      <c r="EL82" s="112"/>
      <c r="ES82" s="112"/>
      <c r="EZ82" s="112"/>
      <c r="FG82" s="112"/>
      <c r="FN82" s="112"/>
      <c r="FU82" s="112"/>
      <c r="GB82" s="112"/>
      <c r="GI82" s="112"/>
      <c r="GP82" s="112"/>
      <c r="GW82" s="112"/>
      <c r="HD82" s="112"/>
      <c r="HK82" s="112"/>
      <c r="HR82" s="112"/>
      <c r="HY82" s="112"/>
      <c r="IF82" s="112"/>
      <c r="IM82" s="112"/>
      <c r="IT82" s="112"/>
      <c r="JA82" s="112"/>
      <c r="JH82" s="112"/>
      <c r="JO82" s="112"/>
      <c r="JV82" s="112"/>
      <c r="KC82" s="112"/>
      <c r="KJ82" s="112"/>
      <c r="KQ82" s="112"/>
      <c r="KX82" s="112"/>
      <c r="LE82" s="112"/>
      <c r="LL82" s="112"/>
      <c r="LS82" s="112"/>
      <c r="LZ82" s="112"/>
      <c r="MG82" s="112"/>
      <c r="MN82" s="112"/>
      <c r="MU82" s="112"/>
      <c r="NA82" s="83"/>
    </row>
    <row r="83">
      <c r="A83" s="380"/>
      <c r="B83" s="380"/>
      <c r="C83" s="380"/>
      <c r="D83" s="380"/>
      <c r="E83" s="380"/>
      <c r="F83" s="380"/>
      <c r="G83" s="380"/>
      <c r="H83" s="380"/>
      <c r="I83" s="403"/>
      <c r="J83" s="380"/>
      <c r="K83" s="380"/>
      <c r="L83" s="380"/>
      <c r="M83" s="380"/>
      <c r="N83" s="380"/>
      <c r="O83" s="404"/>
      <c r="P83" s="380"/>
      <c r="Q83" s="380"/>
      <c r="R83" s="380"/>
      <c r="S83" s="380"/>
      <c r="T83" s="380"/>
      <c r="U83" s="380"/>
      <c r="V83" s="380"/>
      <c r="W83" s="403"/>
      <c r="X83" s="380"/>
      <c r="Y83" s="380"/>
      <c r="Z83" s="380"/>
      <c r="AA83" s="380"/>
      <c r="AB83" s="380"/>
      <c r="AC83" s="404"/>
      <c r="AD83" s="380"/>
      <c r="AE83" s="380"/>
      <c r="AF83" s="380"/>
      <c r="AG83" s="380"/>
      <c r="AH83" s="380"/>
      <c r="AI83" s="380"/>
      <c r="AJ83" s="380"/>
      <c r="AK83" s="403"/>
      <c r="AL83" s="380"/>
      <c r="AM83" s="380"/>
      <c r="AN83" s="380"/>
      <c r="AO83" s="380"/>
      <c r="AP83" s="380"/>
      <c r="AQ83" s="404"/>
      <c r="AR83" s="380"/>
      <c r="AS83" s="380"/>
      <c r="AT83" s="380"/>
      <c r="AU83" s="380"/>
      <c r="AV83" s="380"/>
      <c r="AW83" s="380"/>
      <c r="AX83" s="380"/>
      <c r="AY83" s="403"/>
      <c r="AZ83" s="380"/>
      <c r="BA83" s="380"/>
      <c r="BB83" s="380"/>
      <c r="BC83" s="380"/>
      <c r="BD83" s="380"/>
      <c r="BE83" s="404"/>
      <c r="BF83" s="380"/>
      <c r="BG83" s="380"/>
      <c r="BH83" s="380"/>
      <c r="BI83" s="380"/>
      <c r="BJ83" s="380"/>
      <c r="BK83" s="380"/>
      <c r="BL83" s="380"/>
      <c r="BM83" s="403"/>
      <c r="BS83" s="83"/>
      <c r="CA83" s="405"/>
      <c r="CG83" s="83"/>
      <c r="CO83" s="405"/>
      <c r="CU83" s="83"/>
      <c r="DC83" s="405"/>
      <c r="DI83" s="83"/>
      <c r="DQ83" s="405"/>
      <c r="DW83" s="83"/>
      <c r="EE83" s="405"/>
      <c r="EK83" s="83"/>
      <c r="ES83" s="405"/>
      <c r="EY83" s="83"/>
      <c r="FG83" s="405"/>
      <c r="FM83" s="83"/>
      <c r="FU83" s="405"/>
      <c r="GA83" s="83"/>
      <c r="GI83" s="405"/>
      <c r="GO83" s="83"/>
      <c r="GW83" s="405"/>
      <c r="HC83" s="83"/>
      <c r="HK83" s="405"/>
      <c r="HQ83" s="83"/>
      <c r="HY83" s="405"/>
      <c r="IE83" s="83"/>
      <c r="IM83" s="405"/>
      <c r="IS83" s="83"/>
      <c r="JA83" s="405"/>
      <c r="JG83" s="83"/>
      <c r="JO83" s="405"/>
      <c r="JU83" s="83"/>
      <c r="KC83" s="405"/>
      <c r="KI83" s="83"/>
      <c r="KQ83" s="405"/>
      <c r="KW83" s="83"/>
      <c r="LE83" s="405"/>
      <c r="LK83" s="83"/>
      <c r="LS83" s="405"/>
      <c r="LY83" s="83"/>
      <c r="MG83" s="405"/>
      <c r="MM83" s="83"/>
      <c r="MU83" s="405"/>
      <c r="NA83" s="83"/>
    </row>
    <row r="84">
      <c r="A84" s="380"/>
      <c r="B84" s="380"/>
      <c r="C84" s="380"/>
      <c r="D84" s="380"/>
      <c r="E84" s="380"/>
      <c r="F84" s="380"/>
      <c r="G84" s="380"/>
      <c r="H84" s="380"/>
      <c r="I84" s="403"/>
      <c r="J84" s="380"/>
      <c r="K84" s="380"/>
      <c r="L84" s="380"/>
      <c r="M84" s="380"/>
      <c r="N84" s="380"/>
      <c r="O84" s="404"/>
      <c r="P84" s="380"/>
      <c r="Q84" s="380"/>
      <c r="R84" s="380"/>
      <c r="S84" s="380"/>
      <c r="T84" s="380"/>
      <c r="U84" s="380"/>
      <c r="V84" s="380"/>
      <c r="W84" s="403"/>
      <c r="X84" s="380"/>
      <c r="Y84" s="380"/>
      <c r="Z84" s="380"/>
      <c r="AA84" s="380"/>
      <c r="AB84" s="380"/>
      <c r="AC84" s="404"/>
      <c r="AD84" s="380"/>
      <c r="AE84" s="380"/>
      <c r="AF84" s="380"/>
      <c r="AG84" s="380"/>
      <c r="AH84" s="380"/>
      <c r="AI84" s="380"/>
      <c r="AJ84" s="380"/>
      <c r="AK84" s="403"/>
      <c r="AL84" s="380"/>
      <c r="AM84" s="380"/>
      <c r="AN84" s="380"/>
      <c r="AO84" s="380"/>
      <c r="AP84" s="380"/>
      <c r="AQ84" s="404"/>
      <c r="AR84" s="380"/>
      <c r="AS84" s="380"/>
      <c r="AT84" s="380"/>
      <c r="AU84" s="380"/>
      <c r="AV84" s="380"/>
      <c r="AW84" s="380"/>
      <c r="AX84" s="380"/>
      <c r="AY84" s="403"/>
      <c r="AZ84" s="380"/>
      <c r="BA84" s="380"/>
      <c r="BB84" s="380"/>
      <c r="BC84" s="380"/>
      <c r="BD84" s="380"/>
      <c r="BE84" s="404"/>
      <c r="BF84" s="380"/>
      <c r="BG84" s="380"/>
      <c r="BH84" s="380"/>
      <c r="BI84" s="380"/>
      <c r="BJ84" s="380"/>
      <c r="BK84" s="380"/>
      <c r="BL84" s="380"/>
      <c r="BM84" s="403"/>
      <c r="BS84" s="83"/>
      <c r="CA84" s="405"/>
      <c r="CG84" s="83"/>
      <c r="CO84" s="405"/>
      <c r="CU84" s="83"/>
      <c r="DC84" s="405"/>
      <c r="DI84" s="83"/>
      <c r="DQ84" s="405"/>
      <c r="DW84" s="83"/>
      <c r="EE84" s="405"/>
      <c r="EK84" s="83"/>
      <c r="ES84" s="405"/>
      <c r="EY84" s="83"/>
      <c r="FG84" s="405"/>
      <c r="FM84" s="83"/>
      <c r="FU84" s="405"/>
      <c r="GA84" s="83"/>
      <c r="GI84" s="405"/>
      <c r="GO84" s="83"/>
      <c r="GW84" s="405"/>
      <c r="HC84" s="83"/>
      <c r="HK84" s="405"/>
      <c r="HQ84" s="83"/>
      <c r="HY84" s="405"/>
      <c r="IE84" s="83"/>
      <c r="IM84" s="405"/>
      <c r="IS84" s="83"/>
      <c r="JA84" s="405"/>
      <c r="JG84" s="83"/>
      <c r="JO84" s="405"/>
      <c r="JU84" s="83"/>
      <c r="KC84" s="405"/>
      <c r="KI84" s="83"/>
      <c r="KQ84" s="405"/>
      <c r="KW84" s="83"/>
      <c r="LE84" s="405"/>
      <c r="LK84" s="83"/>
      <c r="LS84" s="405"/>
      <c r="LY84" s="83"/>
      <c r="MG84" s="405"/>
      <c r="MM84" s="83"/>
      <c r="MU84" s="405"/>
      <c r="NA84" s="83"/>
    </row>
    <row r="85">
      <c r="A85" s="380"/>
      <c r="B85" s="380"/>
      <c r="C85" s="380"/>
      <c r="D85" s="380"/>
      <c r="E85" s="380"/>
      <c r="F85" s="380"/>
      <c r="G85" s="380"/>
      <c r="H85" s="380"/>
      <c r="I85" s="403"/>
      <c r="J85" s="380"/>
      <c r="K85" s="380"/>
      <c r="L85" s="380"/>
      <c r="M85" s="380"/>
      <c r="N85" s="380"/>
      <c r="O85" s="404"/>
      <c r="P85" s="380"/>
      <c r="Q85" s="380"/>
      <c r="R85" s="380"/>
      <c r="S85" s="380"/>
      <c r="T85" s="380"/>
      <c r="U85" s="380"/>
      <c r="V85" s="380"/>
      <c r="W85" s="403"/>
      <c r="X85" s="380"/>
      <c r="Y85" s="380"/>
      <c r="Z85" s="380"/>
      <c r="AA85" s="380"/>
      <c r="AB85" s="380"/>
      <c r="AC85" s="404"/>
      <c r="AD85" s="380"/>
      <c r="AE85" s="380"/>
      <c r="AF85" s="380"/>
      <c r="AG85" s="380"/>
      <c r="AH85" s="380"/>
      <c r="AI85" s="380"/>
      <c r="AJ85" s="380"/>
      <c r="AK85" s="403"/>
      <c r="AL85" s="380"/>
      <c r="AM85" s="380"/>
      <c r="AN85" s="380"/>
      <c r="AO85" s="380"/>
      <c r="AP85" s="380"/>
      <c r="AQ85" s="404"/>
      <c r="AR85" s="380"/>
      <c r="AS85" s="380"/>
      <c r="AT85" s="380"/>
      <c r="AU85" s="380"/>
      <c r="AV85" s="380"/>
      <c r="AW85" s="380"/>
      <c r="AX85" s="380"/>
      <c r="AY85" s="403"/>
      <c r="AZ85" s="380"/>
      <c r="BA85" s="380"/>
      <c r="BB85" s="380"/>
      <c r="BC85" s="380"/>
      <c r="BD85" s="380"/>
      <c r="BE85" s="404"/>
      <c r="BF85" s="380"/>
      <c r="BG85" s="380"/>
      <c r="BH85" s="380"/>
      <c r="BI85" s="380"/>
      <c r="BJ85" s="380"/>
      <c r="BK85" s="380"/>
      <c r="BL85" s="380"/>
      <c r="BM85" s="403"/>
      <c r="BS85" s="83"/>
      <c r="CA85" s="405"/>
      <c r="CG85" s="83"/>
      <c r="CO85" s="405"/>
      <c r="CU85" s="83"/>
      <c r="DC85" s="405"/>
      <c r="DI85" s="83"/>
      <c r="DQ85" s="405"/>
      <c r="DW85" s="83"/>
      <c r="EE85" s="405"/>
      <c r="EK85" s="83"/>
      <c r="ES85" s="405"/>
      <c r="EY85" s="83"/>
      <c r="FG85" s="405"/>
      <c r="FM85" s="83"/>
      <c r="FU85" s="405"/>
      <c r="GA85" s="83"/>
      <c r="GI85" s="405"/>
      <c r="GO85" s="83"/>
      <c r="GW85" s="405"/>
      <c r="HC85" s="83"/>
      <c r="HK85" s="405"/>
      <c r="HQ85" s="83"/>
      <c r="HY85" s="405"/>
      <c r="IE85" s="83"/>
      <c r="IM85" s="405"/>
      <c r="IS85" s="83"/>
      <c r="JA85" s="405"/>
      <c r="JG85" s="83"/>
      <c r="JO85" s="405"/>
      <c r="JU85" s="83"/>
      <c r="KC85" s="405"/>
      <c r="KI85" s="83"/>
      <c r="KQ85" s="405"/>
      <c r="KW85" s="83"/>
      <c r="LE85" s="405"/>
      <c r="LK85" s="83"/>
      <c r="LS85" s="405"/>
      <c r="LY85" s="83"/>
      <c r="MG85" s="405"/>
      <c r="MM85" s="83"/>
      <c r="MU85" s="405"/>
      <c r="NA85" s="83"/>
    </row>
    <row r="86">
      <c r="A86" s="380"/>
      <c r="B86" s="380"/>
      <c r="C86" s="380"/>
      <c r="D86" s="380"/>
      <c r="E86" s="380"/>
      <c r="F86" s="380"/>
      <c r="G86" s="380"/>
      <c r="H86" s="380"/>
      <c r="I86" s="403"/>
      <c r="J86" s="380"/>
      <c r="K86" s="380"/>
      <c r="L86" s="380"/>
      <c r="M86" s="380"/>
      <c r="N86" s="380"/>
      <c r="O86" s="404"/>
      <c r="P86" s="380"/>
      <c r="Q86" s="380"/>
      <c r="R86" s="380"/>
      <c r="S86" s="380"/>
      <c r="T86" s="380"/>
      <c r="U86" s="380"/>
      <c r="V86" s="380"/>
      <c r="W86" s="403"/>
      <c r="X86" s="380"/>
      <c r="Y86" s="380"/>
      <c r="Z86" s="380"/>
      <c r="AA86" s="380"/>
      <c r="AB86" s="380"/>
      <c r="AC86" s="404"/>
      <c r="AD86" s="380"/>
      <c r="AE86" s="380"/>
      <c r="AF86" s="380"/>
      <c r="AG86" s="380"/>
      <c r="AH86" s="380"/>
      <c r="AI86" s="380"/>
      <c r="AJ86" s="380"/>
      <c r="AK86" s="403"/>
      <c r="AL86" s="380"/>
      <c r="AM86" s="380"/>
      <c r="AN86" s="380"/>
      <c r="AO86" s="380"/>
      <c r="AP86" s="380"/>
      <c r="AQ86" s="404"/>
      <c r="AR86" s="380"/>
      <c r="AS86" s="380"/>
      <c r="AT86" s="380"/>
      <c r="AU86" s="380"/>
      <c r="AV86" s="380"/>
      <c r="AW86" s="380"/>
      <c r="AX86" s="380"/>
      <c r="AY86" s="403"/>
      <c r="AZ86" s="380"/>
      <c r="BA86" s="380"/>
      <c r="BB86" s="380"/>
      <c r="BC86" s="380"/>
      <c r="BD86" s="380"/>
      <c r="BE86" s="404"/>
      <c r="BF86" s="380"/>
      <c r="BG86" s="380"/>
      <c r="BH86" s="380"/>
      <c r="BI86" s="380"/>
      <c r="BJ86" s="380"/>
      <c r="BK86" s="380"/>
      <c r="BL86" s="380"/>
      <c r="BM86" s="403"/>
      <c r="BS86" s="83"/>
      <c r="CA86" s="405"/>
      <c r="CG86" s="83"/>
      <c r="CO86" s="405"/>
      <c r="CU86" s="83"/>
      <c r="DC86" s="405"/>
      <c r="DI86" s="83"/>
      <c r="DQ86" s="405"/>
      <c r="DW86" s="83"/>
      <c r="EE86" s="405"/>
      <c r="EK86" s="83"/>
      <c r="ES86" s="405"/>
      <c r="EY86" s="83"/>
      <c r="FG86" s="405"/>
      <c r="FM86" s="83"/>
      <c r="FU86" s="405"/>
      <c r="GA86" s="83"/>
      <c r="GI86" s="405"/>
      <c r="GO86" s="83"/>
      <c r="GW86" s="405"/>
      <c r="HC86" s="83"/>
      <c r="HK86" s="405"/>
      <c r="HQ86" s="83"/>
      <c r="HY86" s="405"/>
      <c r="IE86" s="83"/>
      <c r="IM86" s="405"/>
      <c r="IS86" s="83"/>
      <c r="JA86" s="405"/>
      <c r="JG86" s="83"/>
      <c r="JO86" s="405"/>
      <c r="JU86" s="83"/>
      <c r="KC86" s="405"/>
      <c r="KI86" s="83"/>
      <c r="KQ86" s="405"/>
      <c r="KW86" s="83"/>
      <c r="LE86" s="405"/>
      <c r="LK86" s="83"/>
      <c r="LS86" s="405"/>
      <c r="LY86" s="83"/>
      <c r="MG86" s="405"/>
      <c r="MM86" s="83"/>
      <c r="MU86" s="405"/>
      <c r="NA86" s="83"/>
    </row>
    <row r="87">
      <c r="A87" s="380"/>
      <c r="B87" s="380"/>
      <c r="C87" s="380"/>
      <c r="D87" s="380"/>
      <c r="E87" s="380"/>
      <c r="F87" s="380"/>
      <c r="G87" s="380"/>
      <c r="H87" s="380"/>
      <c r="I87" s="403"/>
      <c r="J87" s="380"/>
      <c r="K87" s="380"/>
      <c r="L87" s="380"/>
      <c r="M87" s="380"/>
      <c r="N87" s="380"/>
      <c r="O87" s="404"/>
      <c r="P87" s="380"/>
      <c r="Q87" s="380"/>
      <c r="R87" s="380"/>
      <c r="S87" s="380"/>
      <c r="T87" s="380"/>
      <c r="U87" s="380"/>
      <c r="V87" s="380"/>
      <c r="W87" s="403"/>
      <c r="X87" s="380"/>
      <c r="Y87" s="380"/>
      <c r="Z87" s="380"/>
      <c r="AA87" s="380"/>
      <c r="AB87" s="380"/>
      <c r="AC87" s="404"/>
      <c r="AD87" s="380"/>
      <c r="AE87" s="380"/>
      <c r="AF87" s="380"/>
      <c r="AG87" s="380"/>
      <c r="AH87" s="380"/>
      <c r="AI87" s="380"/>
      <c r="AJ87" s="380"/>
      <c r="AK87" s="403"/>
      <c r="AL87" s="380"/>
      <c r="AM87" s="380"/>
      <c r="AN87" s="380"/>
      <c r="AO87" s="380"/>
      <c r="AP87" s="380"/>
      <c r="AQ87" s="404"/>
      <c r="AR87" s="380"/>
      <c r="AS87" s="380"/>
      <c r="AT87" s="380"/>
      <c r="AU87" s="380"/>
      <c r="AV87" s="380"/>
      <c r="AW87" s="380"/>
      <c r="AX87" s="380"/>
      <c r="AY87" s="403"/>
      <c r="AZ87" s="380"/>
      <c r="BA87" s="380"/>
      <c r="BB87" s="380"/>
      <c r="BC87" s="380"/>
      <c r="BD87" s="380"/>
      <c r="BE87" s="404"/>
      <c r="BF87" s="380"/>
      <c r="BG87" s="380"/>
      <c r="BH87" s="380"/>
      <c r="BI87" s="380"/>
      <c r="BJ87" s="380"/>
      <c r="BK87" s="380"/>
      <c r="BL87" s="380"/>
      <c r="BM87" s="403"/>
      <c r="BS87" s="83"/>
      <c r="CA87" s="405"/>
      <c r="CG87" s="83"/>
      <c r="CO87" s="405"/>
      <c r="CU87" s="83"/>
      <c r="DC87" s="405"/>
      <c r="DI87" s="83"/>
      <c r="DQ87" s="405"/>
      <c r="DW87" s="83"/>
      <c r="EE87" s="405"/>
      <c r="EK87" s="83"/>
      <c r="ES87" s="405"/>
      <c r="EY87" s="83"/>
      <c r="FG87" s="405"/>
      <c r="FM87" s="83"/>
      <c r="FU87" s="405"/>
      <c r="GA87" s="83"/>
      <c r="GI87" s="405"/>
      <c r="GO87" s="83"/>
      <c r="GW87" s="405"/>
      <c r="HC87" s="83"/>
      <c r="HK87" s="405"/>
      <c r="HQ87" s="83"/>
      <c r="HY87" s="405"/>
      <c r="IE87" s="83"/>
      <c r="IM87" s="405"/>
      <c r="IS87" s="83"/>
      <c r="JA87" s="405"/>
      <c r="JG87" s="83"/>
      <c r="JO87" s="405"/>
      <c r="JU87" s="83"/>
      <c r="KC87" s="405"/>
      <c r="KI87" s="83"/>
      <c r="KQ87" s="405"/>
      <c r="KW87" s="83"/>
      <c r="LE87" s="405"/>
      <c r="LK87" s="83"/>
      <c r="LS87" s="405"/>
      <c r="LY87" s="83"/>
      <c r="MG87" s="405"/>
      <c r="MM87" s="83"/>
      <c r="MU87" s="405"/>
      <c r="NA87" s="83"/>
    </row>
    <row r="88">
      <c r="A88" s="380"/>
      <c r="B88" s="380"/>
      <c r="C88" s="380"/>
      <c r="D88" s="380"/>
      <c r="E88" s="380"/>
      <c r="F88" s="380"/>
      <c r="G88" s="380"/>
      <c r="H88" s="380"/>
      <c r="I88" s="403"/>
      <c r="J88" s="380"/>
      <c r="K88" s="380"/>
      <c r="L88" s="380"/>
      <c r="M88" s="380"/>
      <c r="N88" s="380"/>
      <c r="O88" s="404"/>
      <c r="P88" s="380"/>
      <c r="Q88" s="380"/>
      <c r="R88" s="380"/>
      <c r="S88" s="380"/>
      <c r="T88" s="380"/>
      <c r="U88" s="380"/>
      <c r="V88" s="380"/>
      <c r="W88" s="403"/>
      <c r="X88" s="380"/>
      <c r="Y88" s="380"/>
      <c r="Z88" s="380"/>
      <c r="AA88" s="380"/>
      <c r="AB88" s="380"/>
      <c r="AC88" s="404"/>
      <c r="AD88" s="380"/>
      <c r="AE88" s="380"/>
      <c r="AF88" s="380"/>
      <c r="AG88" s="380"/>
      <c r="AH88" s="380"/>
      <c r="AI88" s="380"/>
      <c r="AJ88" s="380"/>
      <c r="AK88" s="403"/>
      <c r="AL88" s="380"/>
      <c r="AM88" s="380"/>
      <c r="AN88" s="380"/>
      <c r="AO88" s="380"/>
      <c r="AP88" s="380"/>
      <c r="AQ88" s="404"/>
      <c r="AR88" s="380"/>
      <c r="AS88" s="380"/>
      <c r="AT88" s="380"/>
      <c r="AU88" s="380"/>
      <c r="AV88" s="380"/>
      <c r="AW88" s="380"/>
      <c r="AX88" s="380"/>
      <c r="AY88" s="403"/>
      <c r="AZ88" s="380"/>
      <c r="BA88" s="380"/>
      <c r="BB88" s="380"/>
      <c r="BC88" s="380"/>
      <c r="BD88" s="380"/>
      <c r="BE88" s="404"/>
      <c r="BF88" s="380"/>
      <c r="BG88" s="380"/>
      <c r="BH88" s="380"/>
      <c r="BI88" s="380"/>
      <c r="BJ88" s="380"/>
      <c r="BK88" s="380"/>
      <c r="BL88" s="380"/>
      <c r="BM88" s="403"/>
      <c r="BS88" s="83"/>
      <c r="CA88" s="405"/>
      <c r="CG88" s="83"/>
      <c r="CO88" s="405"/>
      <c r="CU88" s="83"/>
      <c r="DC88" s="405"/>
      <c r="DI88" s="83"/>
      <c r="DQ88" s="405"/>
      <c r="DW88" s="83"/>
      <c r="EE88" s="405"/>
      <c r="EK88" s="83"/>
      <c r="ES88" s="405"/>
      <c r="EY88" s="83"/>
      <c r="FG88" s="405"/>
      <c r="FM88" s="83"/>
      <c r="FU88" s="405"/>
      <c r="GA88" s="83"/>
      <c r="GI88" s="405"/>
      <c r="GO88" s="83"/>
      <c r="GW88" s="405"/>
      <c r="HC88" s="83"/>
      <c r="HK88" s="405"/>
      <c r="HQ88" s="83"/>
      <c r="HY88" s="405"/>
      <c r="IE88" s="83"/>
      <c r="IM88" s="405"/>
      <c r="IS88" s="83"/>
      <c r="JA88" s="405"/>
      <c r="JG88" s="83"/>
      <c r="JO88" s="405"/>
      <c r="JU88" s="83"/>
      <c r="KC88" s="405"/>
      <c r="KI88" s="83"/>
      <c r="KQ88" s="405"/>
      <c r="KW88" s="83"/>
      <c r="LE88" s="405"/>
      <c r="LK88" s="83"/>
      <c r="LS88" s="405"/>
      <c r="LY88" s="83"/>
      <c r="MG88" s="405"/>
      <c r="MM88" s="83"/>
      <c r="MU88" s="405"/>
      <c r="NA88" s="83"/>
    </row>
    <row r="89">
      <c r="A89" s="380"/>
      <c r="B89" s="380"/>
      <c r="C89" s="380"/>
      <c r="D89" s="380"/>
      <c r="E89" s="380"/>
      <c r="F89" s="380"/>
      <c r="G89" s="380"/>
      <c r="H89" s="380"/>
      <c r="I89" s="403"/>
      <c r="J89" s="380"/>
      <c r="K89" s="380"/>
      <c r="L89" s="380"/>
      <c r="M89" s="380"/>
      <c r="N89" s="380"/>
      <c r="O89" s="404"/>
      <c r="P89" s="380"/>
      <c r="Q89" s="380"/>
      <c r="R89" s="380"/>
      <c r="S89" s="380"/>
      <c r="T89" s="380"/>
      <c r="U89" s="380"/>
      <c r="V89" s="380"/>
      <c r="W89" s="403"/>
      <c r="X89" s="380"/>
      <c r="Y89" s="380"/>
      <c r="Z89" s="380"/>
      <c r="AA89" s="380"/>
      <c r="AB89" s="380"/>
      <c r="AC89" s="404"/>
      <c r="AD89" s="380"/>
      <c r="AE89" s="380"/>
      <c r="AF89" s="380"/>
      <c r="AG89" s="380"/>
      <c r="AH89" s="380"/>
      <c r="AI89" s="380"/>
      <c r="AJ89" s="380"/>
      <c r="AK89" s="403"/>
      <c r="AL89" s="380"/>
      <c r="AM89" s="380"/>
      <c r="AN89" s="380"/>
      <c r="AO89" s="380"/>
      <c r="AP89" s="380"/>
      <c r="AQ89" s="404"/>
      <c r="AR89" s="380"/>
      <c r="AS89" s="380"/>
      <c r="AT89" s="380"/>
      <c r="AU89" s="380"/>
      <c r="AV89" s="380"/>
      <c r="AW89" s="380"/>
      <c r="AX89" s="380"/>
      <c r="AY89" s="403"/>
      <c r="AZ89" s="380"/>
      <c r="BA89" s="380"/>
      <c r="BB89" s="380"/>
      <c r="BC89" s="380"/>
      <c r="BD89" s="380"/>
      <c r="BE89" s="404"/>
      <c r="BF89" s="380"/>
      <c r="BG89" s="380"/>
      <c r="BH89" s="380"/>
      <c r="BI89" s="380"/>
      <c r="BJ89" s="380"/>
      <c r="BK89" s="380"/>
      <c r="BL89" s="380"/>
      <c r="BM89" s="403"/>
      <c r="BS89" s="83"/>
      <c r="CA89" s="405"/>
      <c r="CG89" s="83"/>
      <c r="CO89" s="405"/>
      <c r="CU89" s="83"/>
      <c r="DC89" s="405"/>
      <c r="DI89" s="83"/>
      <c r="DQ89" s="405"/>
      <c r="DW89" s="83"/>
      <c r="EE89" s="405"/>
      <c r="EK89" s="83"/>
      <c r="ES89" s="405"/>
      <c r="EY89" s="83"/>
      <c r="FG89" s="405"/>
      <c r="FM89" s="83"/>
      <c r="FU89" s="405"/>
      <c r="GA89" s="83"/>
      <c r="GI89" s="405"/>
      <c r="GO89" s="83"/>
      <c r="GW89" s="405"/>
      <c r="HC89" s="83"/>
      <c r="HK89" s="405"/>
      <c r="HQ89" s="83"/>
      <c r="HY89" s="405"/>
      <c r="IE89" s="83"/>
      <c r="IM89" s="405"/>
      <c r="IS89" s="83"/>
      <c r="JA89" s="405"/>
      <c r="JG89" s="83"/>
      <c r="JO89" s="405"/>
      <c r="JU89" s="83"/>
      <c r="KC89" s="405"/>
      <c r="KI89" s="83"/>
      <c r="KQ89" s="405"/>
      <c r="KW89" s="83"/>
      <c r="LE89" s="405"/>
      <c r="LK89" s="83"/>
      <c r="LS89" s="405"/>
      <c r="LY89" s="83"/>
      <c r="MG89" s="405"/>
      <c r="MM89" s="83"/>
      <c r="MU89" s="405"/>
      <c r="NA89" s="83"/>
    </row>
    <row r="90">
      <c r="A90" s="380"/>
      <c r="B90" s="380"/>
      <c r="C90" s="380"/>
      <c r="D90" s="380"/>
      <c r="E90" s="380"/>
      <c r="F90" s="380"/>
      <c r="G90" s="380"/>
      <c r="H90" s="380"/>
      <c r="I90" s="403"/>
      <c r="J90" s="380"/>
      <c r="K90" s="380"/>
      <c r="L90" s="380"/>
      <c r="M90" s="380"/>
      <c r="N90" s="380"/>
      <c r="O90" s="404"/>
      <c r="P90" s="380"/>
      <c r="Q90" s="380"/>
      <c r="R90" s="380"/>
      <c r="S90" s="380"/>
      <c r="T90" s="380"/>
      <c r="U90" s="380"/>
      <c r="V90" s="380"/>
      <c r="W90" s="403"/>
      <c r="X90" s="380"/>
      <c r="Y90" s="380"/>
      <c r="Z90" s="380"/>
      <c r="AA90" s="380"/>
      <c r="AB90" s="380"/>
      <c r="AC90" s="404"/>
      <c r="AD90" s="380"/>
      <c r="AE90" s="380"/>
      <c r="AF90" s="380"/>
      <c r="AG90" s="380"/>
      <c r="AH90" s="380"/>
      <c r="AI90" s="380"/>
      <c r="AJ90" s="380"/>
      <c r="AK90" s="403"/>
      <c r="AL90" s="380"/>
      <c r="AM90" s="380"/>
      <c r="AN90" s="380"/>
      <c r="AO90" s="380"/>
      <c r="AP90" s="380"/>
      <c r="AQ90" s="404"/>
      <c r="AR90" s="380"/>
      <c r="AS90" s="380"/>
      <c r="AT90" s="380"/>
      <c r="AU90" s="380"/>
      <c r="AV90" s="380"/>
      <c r="AW90" s="380"/>
      <c r="AX90" s="380"/>
      <c r="AY90" s="403"/>
      <c r="AZ90" s="380"/>
      <c r="BA90" s="380"/>
      <c r="BB90" s="380"/>
      <c r="BC90" s="380"/>
      <c r="BD90" s="380"/>
      <c r="BE90" s="404"/>
      <c r="BF90" s="380"/>
      <c r="BG90" s="380"/>
      <c r="BH90" s="380"/>
      <c r="BI90" s="380"/>
      <c r="BJ90" s="380"/>
      <c r="BK90" s="380"/>
      <c r="BL90" s="380"/>
      <c r="BM90" s="403"/>
      <c r="BS90" s="83"/>
      <c r="CA90" s="405"/>
      <c r="CG90" s="83"/>
      <c r="CO90" s="405"/>
      <c r="CU90" s="83"/>
      <c r="DC90" s="405"/>
      <c r="DI90" s="83"/>
      <c r="DQ90" s="405"/>
      <c r="DW90" s="83"/>
      <c r="EE90" s="405"/>
      <c r="EK90" s="83"/>
      <c r="ES90" s="405"/>
      <c r="EY90" s="83"/>
      <c r="FG90" s="405"/>
      <c r="FM90" s="83"/>
      <c r="FU90" s="405"/>
      <c r="GA90" s="83"/>
      <c r="GI90" s="405"/>
      <c r="GO90" s="83"/>
      <c r="GW90" s="405"/>
      <c r="HC90" s="83"/>
      <c r="HK90" s="405"/>
      <c r="HQ90" s="83"/>
      <c r="HY90" s="405"/>
      <c r="IE90" s="83"/>
      <c r="IM90" s="405"/>
      <c r="IS90" s="83"/>
      <c r="JA90" s="405"/>
      <c r="JG90" s="83"/>
      <c r="JO90" s="405"/>
      <c r="JU90" s="83"/>
      <c r="KC90" s="405"/>
      <c r="KI90" s="83"/>
      <c r="KQ90" s="405"/>
      <c r="KW90" s="83"/>
      <c r="LE90" s="405"/>
      <c r="LK90" s="83"/>
      <c r="LS90" s="405"/>
      <c r="LY90" s="83"/>
      <c r="MG90" s="405"/>
      <c r="MM90" s="83"/>
      <c r="MU90" s="405"/>
      <c r="NA90" s="83"/>
    </row>
    <row r="91">
      <c r="A91" s="380"/>
      <c r="B91" s="380"/>
      <c r="C91" s="380"/>
      <c r="D91" s="380"/>
      <c r="E91" s="380"/>
      <c r="F91" s="380"/>
      <c r="G91" s="380"/>
      <c r="H91" s="380"/>
      <c r="I91" s="403"/>
      <c r="J91" s="380"/>
      <c r="K91" s="380"/>
      <c r="L91" s="380"/>
      <c r="M91" s="380"/>
      <c r="N91" s="380"/>
      <c r="O91" s="404"/>
      <c r="P91" s="380"/>
      <c r="Q91" s="380"/>
      <c r="R91" s="380"/>
      <c r="S91" s="380"/>
      <c r="T91" s="380"/>
      <c r="U91" s="380"/>
      <c r="V91" s="380"/>
      <c r="W91" s="403"/>
      <c r="X91" s="380"/>
      <c r="Y91" s="380"/>
      <c r="Z91" s="380"/>
      <c r="AA91" s="380"/>
      <c r="AB91" s="380"/>
      <c r="AC91" s="404"/>
      <c r="AD91" s="380"/>
      <c r="AE91" s="380"/>
      <c r="AF91" s="380"/>
      <c r="AG91" s="380"/>
      <c r="AH91" s="380"/>
      <c r="AI91" s="380"/>
      <c r="AJ91" s="380"/>
      <c r="AK91" s="403"/>
      <c r="AL91" s="380"/>
      <c r="AM91" s="380"/>
      <c r="AN91" s="380"/>
      <c r="AO91" s="380"/>
      <c r="AP91" s="380"/>
      <c r="AQ91" s="404"/>
      <c r="AR91" s="380"/>
      <c r="AS91" s="380"/>
      <c r="AT91" s="380"/>
      <c r="AU91" s="380"/>
      <c r="AV91" s="380"/>
      <c r="AW91" s="380"/>
      <c r="AX91" s="380"/>
      <c r="AY91" s="403"/>
      <c r="AZ91" s="380"/>
      <c r="BA91" s="380"/>
      <c r="BB91" s="380"/>
      <c r="BC91" s="380"/>
      <c r="BD91" s="380"/>
      <c r="BE91" s="404"/>
      <c r="BF91" s="380"/>
      <c r="BG91" s="380"/>
      <c r="BH91" s="380"/>
      <c r="BI91" s="380"/>
      <c r="BJ91" s="380"/>
      <c r="BK91" s="380"/>
      <c r="BL91" s="380"/>
      <c r="BM91" s="403"/>
      <c r="BS91" s="83"/>
      <c r="CA91" s="405"/>
      <c r="CG91" s="83"/>
      <c r="CO91" s="405"/>
      <c r="CU91" s="83"/>
      <c r="DC91" s="405"/>
      <c r="DI91" s="83"/>
      <c r="DQ91" s="405"/>
      <c r="DW91" s="83"/>
      <c r="EE91" s="405"/>
      <c r="EK91" s="83"/>
      <c r="ES91" s="405"/>
      <c r="EY91" s="83"/>
      <c r="FG91" s="405"/>
      <c r="FM91" s="83"/>
      <c r="FU91" s="405"/>
      <c r="GA91" s="83"/>
      <c r="GI91" s="405"/>
      <c r="GO91" s="83"/>
      <c r="GW91" s="405"/>
      <c r="HC91" s="83"/>
      <c r="HK91" s="405"/>
      <c r="HQ91" s="83"/>
      <c r="HY91" s="405"/>
      <c r="IE91" s="83"/>
      <c r="IM91" s="405"/>
      <c r="IS91" s="83"/>
      <c r="JA91" s="405"/>
      <c r="JG91" s="83"/>
      <c r="JO91" s="405"/>
      <c r="JU91" s="83"/>
      <c r="KC91" s="405"/>
      <c r="KI91" s="83"/>
      <c r="KQ91" s="405"/>
      <c r="KW91" s="83"/>
      <c r="LE91" s="405"/>
      <c r="LK91" s="83"/>
      <c r="LS91" s="405"/>
      <c r="LY91" s="83"/>
      <c r="MG91" s="405"/>
      <c r="MM91" s="83"/>
      <c r="MU91" s="405"/>
      <c r="NA91" s="83"/>
    </row>
    <row r="92">
      <c r="A92" s="380"/>
      <c r="B92" s="380"/>
      <c r="C92" s="380"/>
      <c r="D92" s="380"/>
      <c r="E92" s="380"/>
      <c r="F92" s="380"/>
      <c r="G92" s="380"/>
      <c r="H92" s="380"/>
      <c r="I92" s="403"/>
      <c r="J92" s="380"/>
      <c r="K92" s="380"/>
      <c r="L92" s="380"/>
      <c r="M92" s="380"/>
      <c r="N92" s="380"/>
      <c r="O92" s="404"/>
      <c r="P92" s="380"/>
      <c r="Q92" s="380"/>
      <c r="R92" s="380"/>
      <c r="S92" s="380"/>
      <c r="T92" s="380"/>
      <c r="U92" s="380"/>
      <c r="V92" s="380"/>
      <c r="W92" s="403"/>
      <c r="X92" s="380"/>
      <c r="Y92" s="380"/>
      <c r="Z92" s="380"/>
      <c r="AA92" s="380"/>
      <c r="AB92" s="380"/>
      <c r="AC92" s="404"/>
      <c r="AD92" s="380"/>
      <c r="AE92" s="380"/>
      <c r="AF92" s="380"/>
      <c r="AG92" s="380"/>
      <c r="AH92" s="380"/>
      <c r="AI92" s="380"/>
      <c r="AJ92" s="380"/>
      <c r="AK92" s="403"/>
      <c r="AL92" s="380"/>
      <c r="AM92" s="380"/>
      <c r="AN92" s="380"/>
      <c r="AO92" s="380"/>
      <c r="AP92" s="380"/>
      <c r="AQ92" s="404"/>
      <c r="AR92" s="380"/>
      <c r="AS92" s="380"/>
      <c r="AT92" s="380"/>
      <c r="AU92" s="380"/>
      <c r="AV92" s="380"/>
      <c r="AW92" s="380"/>
      <c r="AX92" s="380"/>
      <c r="AY92" s="403"/>
      <c r="AZ92" s="380"/>
      <c r="BA92" s="380"/>
      <c r="BB92" s="380"/>
      <c r="BC92" s="380"/>
      <c r="BD92" s="380"/>
      <c r="BE92" s="404"/>
      <c r="BF92" s="380"/>
      <c r="BG92" s="380"/>
      <c r="BH92" s="380"/>
      <c r="BI92" s="380"/>
      <c r="BJ92" s="380"/>
      <c r="BK92" s="380"/>
      <c r="BL92" s="380"/>
      <c r="BM92" s="403"/>
      <c r="BS92" s="83"/>
      <c r="CA92" s="405"/>
      <c r="CG92" s="83"/>
      <c r="CO92" s="405"/>
      <c r="CU92" s="83"/>
      <c r="DC92" s="405"/>
      <c r="DI92" s="83"/>
      <c r="DQ92" s="405"/>
      <c r="DW92" s="83"/>
      <c r="EE92" s="405"/>
      <c r="EK92" s="83"/>
      <c r="ES92" s="405"/>
      <c r="EY92" s="83"/>
      <c r="FG92" s="405"/>
      <c r="FM92" s="83"/>
      <c r="FU92" s="405"/>
      <c r="GA92" s="83"/>
      <c r="GI92" s="405"/>
      <c r="GO92" s="83"/>
      <c r="GW92" s="405"/>
      <c r="HC92" s="83"/>
      <c r="HK92" s="405"/>
      <c r="HQ92" s="83"/>
      <c r="HY92" s="405"/>
      <c r="IE92" s="83"/>
      <c r="IM92" s="405"/>
      <c r="IS92" s="83"/>
      <c r="JA92" s="405"/>
      <c r="JG92" s="83"/>
      <c r="JO92" s="405"/>
      <c r="JU92" s="83"/>
      <c r="KC92" s="405"/>
      <c r="KI92" s="83"/>
      <c r="KQ92" s="405"/>
      <c r="KW92" s="83"/>
      <c r="LE92" s="405"/>
      <c r="LK92" s="83"/>
      <c r="LS92" s="405"/>
      <c r="LY92" s="83"/>
      <c r="MG92" s="405"/>
      <c r="MM92" s="83"/>
      <c r="MU92" s="405"/>
      <c r="NA92" s="83"/>
    </row>
    <row r="93">
      <c r="A93" s="380"/>
      <c r="B93" s="380"/>
      <c r="C93" s="380"/>
      <c r="D93" s="380"/>
      <c r="E93" s="380"/>
      <c r="F93" s="380"/>
      <c r="G93" s="380"/>
      <c r="H93" s="380"/>
      <c r="I93" s="403"/>
      <c r="J93" s="380"/>
      <c r="K93" s="380"/>
      <c r="L93" s="380"/>
      <c r="M93" s="380"/>
      <c r="N93" s="380"/>
      <c r="O93" s="404"/>
      <c r="P93" s="380"/>
      <c r="Q93" s="380"/>
      <c r="R93" s="380"/>
      <c r="S93" s="380"/>
      <c r="T93" s="380"/>
      <c r="U93" s="380"/>
      <c r="V93" s="380"/>
      <c r="W93" s="403"/>
      <c r="X93" s="380"/>
      <c r="Y93" s="380"/>
      <c r="Z93" s="380"/>
      <c r="AA93" s="380"/>
      <c r="AB93" s="380"/>
      <c r="AC93" s="404"/>
      <c r="AD93" s="380"/>
      <c r="AE93" s="380"/>
      <c r="AF93" s="380"/>
      <c r="AG93" s="380"/>
      <c r="AH93" s="380"/>
      <c r="AI93" s="380"/>
      <c r="AJ93" s="380"/>
      <c r="AK93" s="403"/>
      <c r="AL93" s="380"/>
      <c r="AM93" s="380"/>
      <c r="AN93" s="380"/>
      <c r="AO93" s="380"/>
      <c r="AP93" s="380"/>
      <c r="AQ93" s="404"/>
      <c r="AR93" s="380"/>
      <c r="AS93" s="380"/>
      <c r="AT93" s="380"/>
      <c r="AU93" s="380"/>
      <c r="AV93" s="380"/>
      <c r="AW93" s="380"/>
      <c r="AX93" s="380"/>
      <c r="AY93" s="403"/>
      <c r="AZ93" s="380"/>
      <c r="BA93" s="380"/>
      <c r="BB93" s="380"/>
      <c r="BC93" s="380"/>
      <c r="BD93" s="380"/>
      <c r="BE93" s="404"/>
      <c r="BF93" s="380"/>
      <c r="BG93" s="380"/>
      <c r="BH93" s="380"/>
      <c r="BI93" s="380"/>
      <c r="BJ93" s="380"/>
      <c r="BK93" s="380"/>
      <c r="BL93" s="380"/>
      <c r="BM93" s="403"/>
      <c r="BS93" s="83"/>
      <c r="CA93" s="405"/>
      <c r="CG93" s="83"/>
      <c r="CO93" s="405"/>
      <c r="CU93" s="83"/>
      <c r="DC93" s="405"/>
      <c r="DI93" s="83"/>
      <c r="DQ93" s="405"/>
      <c r="DW93" s="83"/>
      <c r="EE93" s="405"/>
      <c r="EK93" s="83"/>
      <c r="ES93" s="405"/>
      <c r="EY93" s="83"/>
      <c r="FG93" s="405"/>
      <c r="FM93" s="83"/>
      <c r="FU93" s="405"/>
      <c r="GA93" s="83"/>
      <c r="GI93" s="405"/>
      <c r="GO93" s="83"/>
      <c r="GW93" s="405"/>
      <c r="HC93" s="83"/>
      <c r="HK93" s="405"/>
      <c r="HQ93" s="83"/>
      <c r="HY93" s="405"/>
      <c r="IE93" s="83"/>
      <c r="IM93" s="405"/>
      <c r="IS93" s="83"/>
      <c r="JA93" s="405"/>
      <c r="JG93" s="83"/>
      <c r="JO93" s="405"/>
      <c r="JU93" s="83"/>
      <c r="KC93" s="405"/>
      <c r="KI93" s="83"/>
      <c r="KQ93" s="405"/>
      <c r="KW93" s="83"/>
      <c r="LE93" s="405"/>
      <c r="LK93" s="83"/>
      <c r="LS93" s="405"/>
      <c r="LY93" s="83"/>
      <c r="MG93" s="405"/>
      <c r="MM93" s="83"/>
      <c r="MU93" s="405"/>
      <c r="NA93" s="83"/>
    </row>
    <row r="94">
      <c r="A94" s="380"/>
      <c r="B94" s="380"/>
      <c r="C94" s="380"/>
      <c r="D94" s="380"/>
      <c r="E94" s="380"/>
      <c r="F94" s="380"/>
      <c r="G94" s="380"/>
      <c r="H94" s="380"/>
      <c r="I94" s="403"/>
      <c r="J94" s="380"/>
      <c r="K94" s="380"/>
      <c r="L94" s="380"/>
      <c r="M94" s="380"/>
      <c r="N94" s="380"/>
      <c r="O94" s="404"/>
      <c r="P94" s="380"/>
      <c r="Q94" s="380"/>
      <c r="R94" s="380"/>
      <c r="S94" s="380"/>
      <c r="T94" s="380"/>
      <c r="U94" s="380"/>
      <c r="V94" s="380"/>
      <c r="W94" s="403"/>
      <c r="X94" s="380"/>
      <c r="Y94" s="380"/>
      <c r="Z94" s="380"/>
      <c r="AA94" s="380"/>
      <c r="AB94" s="380"/>
      <c r="AC94" s="404"/>
      <c r="AD94" s="380"/>
      <c r="AE94" s="380"/>
      <c r="AF94" s="380"/>
      <c r="AG94" s="380"/>
      <c r="AH94" s="380"/>
      <c r="AI94" s="380"/>
      <c r="AJ94" s="380"/>
      <c r="AK94" s="403"/>
      <c r="AL94" s="380"/>
      <c r="AM94" s="380"/>
      <c r="AN94" s="380"/>
      <c r="AO94" s="380"/>
      <c r="AP94" s="380"/>
      <c r="AQ94" s="404"/>
      <c r="AR94" s="380"/>
      <c r="AS94" s="380"/>
      <c r="AT94" s="380"/>
      <c r="AU94" s="380"/>
      <c r="AV94" s="380"/>
      <c r="AW94" s="380"/>
      <c r="AX94" s="380"/>
      <c r="AY94" s="403"/>
      <c r="AZ94" s="380"/>
      <c r="BA94" s="380"/>
      <c r="BB94" s="380"/>
      <c r="BC94" s="380"/>
      <c r="BD94" s="380"/>
      <c r="BE94" s="404"/>
      <c r="BF94" s="380"/>
      <c r="BG94" s="380"/>
      <c r="BH94" s="380"/>
      <c r="BI94" s="380"/>
      <c r="BJ94" s="380"/>
      <c r="BK94" s="380"/>
      <c r="BL94" s="380"/>
      <c r="BM94" s="403"/>
      <c r="BS94" s="83"/>
      <c r="CA94" s="405"/>
      <c r="CG94" s="83"/>
      <c r="CO94" s="405"/>
      <c r="CU94" s="83"/>
      <c r="DC94" s="405"/>
      <c r="DI94" s="83"/>
      <c r="DQ94" s="405"/>
      <c r="DW94" s="83"/>
      <c r="EE94" s="405"/>
      <c r="EK94" s="83"/>
      <c r="ES94" s="405"/>
      <c r="EY94" s="83"/>
      <c r="FG94" s="405"/>
      <c r="FM94" s="83"/>
      <c r="FU94" s="405"/>
      <c r="GA94" s="83"/>
      <c r="GI94" s="405"/>
      <c r="GO94" s="83"/>
      <c r="GW94" s="405"/>
      <c r="HC94" s="83"/>
      <c r="HK94" s="405"/>
      <c r="HQ94" s="83"/>
      <c r="HY94" s="405"/>
      <c r="IE94" s="83"/>
      <c r="IM94" s="405"/>
      <c r="IS94" s="83"/>
      <c r="JA94" s="405"/>
      <c r="JG94" s="83"/>
      <c r="JO94" s="405"/>
      <c r="JU94" s="83"/>
      <c r="KC94" s="405"/>
      <c r="KI94" s="83"/>
      <c r="KQ94" s="405"/>
      <c r="KW94" s="83"/>
      <c r="LE94" s="405"/>
      <c r="LK94" s="83"/>
      <c r="LS94" s="405"/>
      <c r="LY94" s="83"/>
      <c r="MG94" s="405"/>
      <c r="MM94" s="83"/>
      <c r="MU94" s="405"/>
      <c r="NA94" s="83"/>
    </row>
    <row r="95">
      <c r="A95" s="380"/>
      <c r="B95" s="380"/>
      <c r="C95" s="380"/>
      <c r="D95" s="380"/>
      <c r="E95" s="380"/>
      <c r="F95" s="380"/>
      <c r="G95" s="380"/>
      <c r="H95" s="380"/>
      <c r="I95" s="403"/>
      <c r="J95" s="380"/>
      <c r="K95" s="380"/>
      <c r="L95" s="380"/>
      <c r="M95" s="380"/>
      <c r="N95" s="380"/>
      <c r="O95" s="404"/>
      <c r="P95" s="380"/>
      <c r="Q95" s="380"/>
      <c r="R95" s="380"/>
      <c r="S95" s="380"/>
      <c r="T95" s="380"/>
      <c r="U95" s="380"/>
      <c r="V95" s="380"/>
      <c r="W95" s="403"/>
      <c r="X95" s="380"/>
      <c r="Y95" s="380"/>
      <c r="Z95" s="380"/>
      <c r="AA95" s="380"/>
      <c r="AB95" s="380"/>
      <c r="AC95" s="404"/>
      <c r="AD95" s="380"/>
      <c r="AE95" s="380"/>
      <c r="AF95" s="380"/>
      <c r="AG95" s="380"/>
      <c r="AH95" s="380"/>
      <c r="AI95" s="380"/>
      <c r="AJ95" s="380"/>
      <c r="AK95" s="403"/>
      <c r="AL95" s="380"/>
      <c r="AM95" s="380"/>
      <c r="AN95" s="380"/>
      <c r="AO95" s="380"/>
      <c r="AP95" s="380"/>
      <c r="AQ95" s="404"/>
      <c r="AR95" s="380"/>
      <c r="AS95" s="380"/>
      <c r="AT95" s="380"/>
      <c r="AU95" s="380"/>
      <c r="AV95" s="380"/>
      <c r="AW95" s="380"/>
      <c r="AX95" s="380"/>
      <c r="AY95" s="403"/>
      <c r="AZ95" s="380"/>
      <c r="BA95" s="380"/>
      <c r="BB95" s="380"/>
      <c r="BC95" s="380"/>
      <c r="BD95" s="380"/>
      <c r="BE95" s="404"/>
      <c r="BF95" s="380"/>
      <c r="BG95" s="380"/>
      <c r="BH95" s="380"/>
      <c r="BI95" s="380"/>
      <c r="BJ95" s="380"/>
      <c r="BK95" s="380"/>
      <c r="BL95" s="380"/>
      <c r="BM95" s="403"/>
      <c r="BS95" s="83"/>
      <c r="CA95" s="405"/>
      <c r="CG95" s="83"/>
      <c r="CO95" s="405"/>
      <c r="CU95" s="83"/>
      <c r="DC95" s="405"/>
      <c r="DI95" s="83"/>
      <c r="DQ95" s="405"/>
      <c r="DW95" s="83"/>
      <c r="EE95" s="405"/>
      <c r="EK95" s="83"/>
      <c r="ES95" s="405"/>
      <c r="EY95" s="83"/>
      <c r="FG95" s="405"/>
      <c r="FM95" s="83"/>
      <c r="FU95" s="405"/>
      <c r="GA95" s="83"/>
      <c r="GI95" s="405"/>
      <c r="GO95" s="83"/>
      <c r="GW95" s="405"/>
      <c r="HC95" s="83"/>
      <c r="HK95" s="405"/>
      <c r="HQ95" s="83"/>
      <c r="HY95" s="405"/>
      <c r="IE95" s="83"/>
      <c r="IM95" s="405"/>
      <c r="IS95" s="83"/>
      <c r="JA95" s="405"/>
      <c r="JG95" s="83"/>
      <c r="JO95" s="405"/>
      <c r="JU95" s="83"/>
      <c r="KC95" s="405"/>
      <c r="KI95" s="83"/>
      <c r="KQ95" s="405"/>
      <c r="KW95" s="83"/>
      <c r="LE95" s="405"/>
      <c r="LK95" s="83"/>
      <c r="LS95" s="405"/>
      <c r="LY95" s="83"/>
      <c r="MG95" s="405"/>
      <c r="MM95" s="83"/>
      <c r="MU95" s="405"/>
      <c r="NA95" s="83"/>
    </row>
    <row r="96">
      <c r="A96" s="380"/>
      <c r="B96" s="380"/>
      <c r="C96" s="380"/>
      <c r="D96" s="380"/>
      <c r="E96" s="380"/>
      <c r="F96" s="380"/>
      <c r="G96" s="380"/>
      <c r="H96" s="380"/>
      <c r="I96" s="403"/>
      <c r="J96" s="380"/>
      <c r="K96" s="380"/>
      <c r="L96" s="380"/>
      <c r="M96" s="380"/>
      <c r="N96" s="380"/>
      <c r="O96" s="404"/>
      <c r="P96" s="380"/>
      <c r="Q96" s="380"/>
      <c r="R96" s="380"/>
      <c r="S96" s="380"/>
      <c r="T96" s="380"/>
      <c r="U96" s="380"/>
      <c r="V96" s="380"/>
      <c r="W96" s="403"/>
      <c r="X96" s="380"/>
      <c r="Y96" s="380"/>
      <c r="Z96" s="380"/>
      <c r="AA96" s="380"/>
      <c r="AB96" s="380"/>
      <c r="AC96" s="404"/>
      <c r="AD96" s="380"/>
      <c r="AE96" s="380"/>
      <c r="AF96" s="380"/>
      <c r="AG96" s="380"/>
      <c r="AH96" s="380"/>
      <c r="AI96" s="380"/>
      <c r="AJ96" s="380"/>
      <c r="AK96" s="403"/>
      <c r="AL96" s="380"/>
      <c r="AM96" s="380"/>
      <c r="AN96" s="380"/>
      <c r="AO96" s="380"/>
      <c r="AP96" s="380"/>
      <c r="AQ96" s="404"/>
      <c r="AR96" s="380"/>
      <c r="AS96" s="380"/>
      <c r="AT96" s="380"/>
      <c r="AU96" s="380"/>
      <c r="AV96" s="380"/>
      <c r="AW96" s="380"/>
      <c r="AX96" s="380"/>
      <c r="AY96" s="403"/>
      <c r="AZ96" s="380"/>
      <c r="BA96" s="380"/>
      <c r="BB96" s="380"/>
      <c r="BC96" s="380"/>
      <c r="BD96" s="380"/>
      <c r="BE96" s="404"/>
      <c r="BF96" s="380"/>
      <c r="BG96" s="380"/>
      <c r="BH96" s="380"/>
      <c r="BI96" s="380"/>
      <c r="BJ96" s="380"/>
      <c r="BK96" s="380"/>
      <c r="BL96" s="380"/>
      <c r="BM96" s="403"/>
      <c r="BS96" s="83"/>
      <c r="CA96" s="405"/>
      <c r="CG96" s="83"/>
      <c r="CO96" s="405"/>
      <c r="CU96" s="83"/>
      <c r="DC96" s="405"/>
      <c r="DI96" s="83"/>
      <c r="DQ96" s="405"/>
      <c r="DW96" s="83"/>
      <c r="EE96" s="405"/>
      <c r="EK96" s="83"/>
      <c r="ES96" s="405"/>
      <c r="EY96" s="83"/>
      <c r="FG96" s="405"/>
      <c r="FM96" s="83"/>
      <c r="FU96" s="405"/>
      <c r="GA96" s="83"/>
      <c r="GI96" s="405"/>
      <c r="GO96" s="83"/>
      <c r="GW96" s="405"/>
      <c r="HC96" s="83"/>
      <c r="HK96" s="405"/>
      <c r="HQ96" s="83"/>
      <c r="HY96" s="405"/>
      <c r="IE96" s="83"/>
      <c r="IM96" s="405"/>
      <c r="IS96" s="83"/>
      <c r="JA96" s="405"/>
      <c r="JG96" s="83"/>
      <c r="JO96" s="405"/>
      <c r="JU96" s="83"/>
      <c r="KC96" s="405"/>
      <c r="KI96" s="83"/>
      <c r="KQ96" s="405"/>
      <c r="KW96" s="83"/>
      <c r="LE96" s="405"/>
      <c r="LK96" s="83"/>
      <c r="LS96" s="405"/>
      <c r="LY96" s="83"/>
      <c r="MG96" s="405"/>
      <c r="MM96" s="83"/>
      <c r="MU96" s="405"/>
      <c r="NA96" s="83"/>
    </row>
    <row r="97">
      <c r="A97" s="380"/>
      <c r="B97" s="380"/>
      <c r="C97" s="380"/>
      <c r="D97" s="380"/>
      <c r="E97" s="380"/>
      <c r="F97" s="380"/>
      <c r="G97" s="380"/>
      <c r="H97" s="380"/>
      <c r="I97" s="403"/>
      <c r="J97" s="380"/>
      <c r="K97" s="380"/>
      <c r="L97" s="380"/>
      <c r="M97" s="380"/>
      <c r="N97" s="380"/>
      <c r="O97" s="404"/>
      <c r="P97" s="380"/>
      <c r="Q97" s="380"/>
      <c r="R97" s="380"/>
      <c r="S97" s="380"/>
      <c r="T97" s="380"/>
      <c r="U97" s="380"/>
      <c r="V97" s="380"/>
      <c r="W97" s="403"/>
      <c r="X97" s="380"/>
      <c r="Y97" s="380"/>
      <c r="Z97" s="380"/>
      <c r="AA97" s="380"/>
      <c r="AB97" s="380"/>
      <c r="AC97" s="404"/>
      <c r="AD97" s="380"/>
      <c r="AE97" s="380"/>
      <c r="AF97" s="380"/>
      <c r="AG97" s="380"/>
      <c r="AH97" s="380"/>
      <c r="AI97" s="380"/>
      <c r="AJ97" s="380"/>
      <c r="AK97" s="403"/>
      <c r="AL97" s="380"/>
      <c r="AM97" s="380"/>
      <c r="AN97" s="380"/>
      <c r="AO97" s="380"/>
      <c r="AP97" s="380"/>
      <c r="AQ97" s="404"/>
      <c r="AR97" s="380"/>
      <c r="AS97" s="380"/>
      <c r="AT97" s="380"/>
      <c r="AU97" s="380"/>
      <c r="AV97" s="380"/>
      <c r="AW97" s="380"/>
      <c r="AX97" s="380"/>
      <c r="AY97" s="403"/>
      <c r="AZ97" s="380"/>
      <c r="BA97" s="380"/>
      <c r="BB97" s="380"/>
      <c r="BC97" s="380"/>
      <c r="BD97" s="380"/>
      <c r="BE97" s="404"/>
      <c r="BF97" s="380"/>
      <c r="BG97" s="380"/>
      <c r="BH97" s="380"/>
      <c r="BI97" s="380"/>
      <c r="BJ97" s="380"/>
      <c r="BK97" s="380"/>
      <c r="BL97" s="380"/>
      <c r="BM97" s="403"/>
      <c r="BS97" s="83"/>
      <c r="CA97" s="405"/>
      <c r="CG97" s="83"/>
      <c r="CO97" s="405"/>
      <c r="CU97" s="83"/>
      <c r="DC97" s="405"/>
      <c r="DI97" s="83"/>
      <c r="DQ97" s="405"/>
      <c r="DW97" s="83"/>
      <c r="EE97" s="405"/>
      <c r="EK97" s="83"/>
      <c r="ES97" s="405"/>
      <c r="EY97" s="83"/>
      <c r="FG97" s="405"/>
      <c r="FM97" s="83"/>
      <c r="FU97" s="405"/>
      <c r="GA97" s="83"/>
      <c r="GI97" s="405"/>
      <c r="GO97" s="83"/>
      <c r="GW97" s="405"/>
      <c r="HC97" s="83"/>
      <c r="HK97" s="405"/>
      <c r="HQ97" s="83"/>
      <c r="HY97" s="405"/>
      <c r="IE97" s="83"/>
      <c r="IM97" s="405"/>
      <c r="IS97" s="83"/>
      <c r="JA97" s="405"/>
      <c r="JG97" s="83"/>
      <c r="JO97" s="405"/>
      <c r="JU97" s="83"/>
      <c r="KC97" s="405"/>
      <c r="KI97" s="83"/>
      <c r="KQ97" s="405"/>
      <c r="KW97" s="83"/>
      <c r="LE97" s="405"/>
      <c r="LK97" s="83"/>
      <c r="LS97" s="405"/>
      <c r="LY97" s="83"/>
      <c r="MG97" s="405"/>
      <c r="MM97" s="83"/>
      <c r="MU97" s="405"/>
      <c r="NA97" s="83"/>
    </row>
    <row r="98">
      <c r="A98" s="380"/>
      <c r="B98" s="380"/>
      <c r="C98" s="380"/>
      <c r="D98" s="380"/>
      <c r="E98" s="380"/>
      <c r="F98" s="380"/>
      <c r="G98" s="380"/>
      <c r="H98" s="380"/>
      <c r="I98" s="403"/>
      <c r="J98" s="380"/>
      <c r="K98" s="380"/>
      <c r="L98" s="380"/>
      <c r="M98" s="380"/>
      <c r="N98" s="380"/>
      <c r="O98" s="404"/>
      <c r="P98" s="380"/>
      <c r="Q98" s="380"/>
      <c r="R98" s="380"/>
      <c r="S98" s="380"/>
      <c r="T98" s="380"/>
      <c r="U98" s="380"/>
      <c r="V98" s="380"/>
      <c r="W98" s="403"/>
      <c r="X98" s="380"/>
      <c r="Y98" s="380"/>
      <c r="Z98" s="380"/>
      <c r="AA98" s="380"/>
      <c r="AB98" s="380"/>
      <c r="AC98" s="404"/>
      <c r="AD98" s="380"/>
      <c r="AE98" s="380"/>
      <c r="AF98" s="380"/>
      <c r="AG98" s="380"/>
      <c r="AH98" s="380"/>
      <c r="AI98" s="380"/>
      <c r="AJ98" s="380"/>
      <c r="AK98" s="403"/>
      <c r="AL98" s="380"/>
      <c r="AM98" s="380"/>
      <c r="AN98" s="380"/>
      <c r="AO98" s="380"/>
      <c r="AP98" s="380"/>
      <c r="AQ98" s="404"/>
      <c r="AR98" s="380"/>
      <c r="AS98" s="380"/>
      <c r="AT98" s="380"/>
      <c r="AU98" s="380"/>
      <c r="AV98" s="380"/>
      <c r="AW98" s="380"/>
      <c r="AX98" s="380"/>
      <c r="AY98" s="403"/>
      <c r="AZ98" s="380"/>
      <c r="BA98" s="380"/>
      <c r="BB98" s="380"/>
      <c r="BC98" s="380"/>
      <c r="BD98" s="380"/>
      <c r="BE98" s="404"/>
      <c r="BF98" s="380"/>
      <c r="BG98" s="380"/>
      <c r="BH98" s="380"/>
      <c r="BI98" s="380"/>
      <c r="BJ98" s="380"/>
      <c r="BK98" s="380"/>
      <c r="BL98" s="380"/>
      <c r="BM98" s="403"/>
      <c r="BS98" s="83"/>
      <c r="CA98" s="405"/>
      <c r="CG98" s="83"/>
      <c r="CO98" s="405"/>
      <c r="CU98" s="83"/>
      <c r="DC98" s="405"/>
      <c r="DI98" s="83"/>
      <c r="DQ98" s="405"/>
      <c r="DW98" s="83"/>
      <c r="EE98" s="405"/>
      <c r="EK98" s="83"/>
      <c r="ES98" s="405"/>
      <c r="EY98" s="83"/>
      <c r="FG98" s="405"/>
      <c r="FM98" s="83"/>
      <c r="FU98" s="405"/>
      <c r="GA98" s="83"/>
      <c r="GI98" s="405"/>
      <c r="GO98" s="83"/>
      <c r="GW98" s="405"/>
      <c r="HC98" s="83"/>
      <c r="HK98" s="405"/>
      <c r="HQ98" s="83"/>
      <c r="HY98" s="405"/>
      <c r="IE98" s="83"/>
      <c r="IM98" s="405"/>
      <c r="IS98" s="83"/>
      <c r="JA98" s="405"/>
      <c r="JG98" s="83"/>
      <c r="JO98" s="405"/>
      <c r="JU98" s="83"/>
      <c r="KC98" s="405"/>
      <c r="KI98" s="83"/>
      <c r="KQ98" s="405"/>
      <c r="KW98" s="83"/>
      <c r="LE98" s="405"/>
      <c r="LK98" s="83"/>
      <c r="LS98" s="405"/>
      <c r="LY98" s="83"/>
      <c r="MG98" s="405"/>
      <c r="MM98" s="83"/>
      <c r="MU98" s="405"/>
      <c r="NA98" s="83"/>
    </row>
    <row r="99">
      <c r="A99" s="380"/>
      <c r="B99" s="380"/>
      <c r="C99" s="380"/>
      <c r="D99" s="380"/>
      <c r="E99" s="380"/>
      <c r="F99" s="380"/>
      <c r="G99" s="380"/>
      <c r="H99" s="380"/>
      <c r="I99" s="403"/>
      <c r="J99" s="380"/>
      <c r="K99" s="380"/>
      <c r="L99" s="380"/>
      <c r="M99" s="380"/>
      <c r="N99" s="380"/>
      <c r="O99" s="404"/>
      <c r="P99" s="380"/>
      <c r="Q99" s="380"/>
      <c r="R99" s="380"/>
      <c r="S99" s="380"/>
      <c r="T99" s="380"/>
      <c r="U99" s="380"/>
      <c r="V99" s="380"/>
      <c r="W99" s="403"/>
      <c r="X99" s="380"/>
      <c r="Y99" s="380"/>
      <c r="Z99" s="380"/>
      <c r="AA99" s="380"/>
      <c r="AB99" s="380"/>
      <c r="AC99" s="404"/>
      <c r="AD99" s="380"/>
      <c r="AE99" s="380"/>
      <c r="AF99" s="380"/>
      <c r="AG99" s="380"/>
      <c r="AH99" s="380"/>
      <c r="AI99" s="380"/>
      <c r="AJ99" s="380"/>
      <c r="AK99" s="403"/>
      <c r="AL99" s="380"/>
      <c r="AM99" s="380"/>
      <c r="AN99" s="380"/>
      <c r="AO99" s="380"/>
      <c r="AP99" s="380"/>
      <c r="AQ99" s="404"/>
      <c r="AR99" s="380"/>
      <c r="AS99" s="380"/>
      <c r="AT99" s="380"/>
      <c r="AU99" s="380"/>
      <c r="AV99" s="380"/>
      <c r="AW99" s="380"/>
      <c r="AX99" s="380"/>
      <c r="AY99" s="403"/>
      <c r="AZ99" s="380"/>
      <c r="BA99" s="380"/>
      <c r="BB99" s="380"/>
      <c r="BC99" s="380"/>
      <c r="BD99" s="380"/>
      <c r="BE99" s="404"/>
      <c r="BF99" s="380"/>
      <c r="BG99" s="380"/>
      <c r="BH99" s="380"/>
      <c r="BI99" s="380"/>
      <c r="BJ99" s="380"/>
      <c r="BK99" s="380"/>
      <c r="BL99" s="380"/>
      <c r="BM99" s="403"/>
      <c r="BS99" s="83"/>
      <c r="CA99" s="405"/>
      <c r="CG99" s="83"/>
      <c r="CO99" s="405"/>
      <c r="CU99" s="83"/>
      <c r="DC99" s="405"/>
      <c r="DI99" s="83"/>
      <c r="DQ99" s="405"/>
      <c r="DW99" s="83"/>
      <c r="EE99" s="405"/>
      <c r="EK99" s="83"/>
      <c r="ES99" s="405"/>
      <c r="EY99" s="83"/>
      <c r="FG99" s="405"/>
      <c r="FM99" s="83"/>
      <c r="FU99" s="405"/>
      <c r="GA99" s="83"/>
      <c r="GI99" s="405"/>
      <c r="GO99" s="83"/>
      <c r="GW99" s="405"/>
      <c r="HC99" s="83"/>
      <c r="HK99" s="405"/>
      <c r="HQ99" s="83"/>
      <c r="HY99" s="405"/>
      <c r="IE99" s="83"/>
      <c r="IM99" s="405"/>
      <c r="IS99" s="83"/>
      <c r="JA99" s="405"/>
      <c r="JG99" s="83"/>
      <c r="JO99" s="405"/>
      <c r="JU99" s="83"/>
      <c r="KC99" s="405"/>
      <c r="KI99" s="83"/>
      <c r="KQ99" s="405"/>
      <c r="KW99" s="83"/>
      <c r="LE99" s="405"/>
      <c r="LK99" s="83"/>
      <c r="LS99" s="405"/>
      <c r="LY99" s="83"/>
      <c r="MG99" s="405"/>
      <c r="MM99" s="83"/>
      <c r="MU99" s="405"/>
      <c r="NA99" s="83"/>
    </row>
    <row r="100">
      <c r="A100" s="380"/>
      <c r="B100" s="380"/>
      <c r="C100" s="380"/>
      <c r="D100" s="380"/>
      <c r="E100" s="380"/>
      <c r="F100" s="380"/>
      <c r="G100" s="380"/>
      <c r="H100" s="380"/>
      <c r="I100" s="403"/>
      <c r="J100" s="380"/>
      <c r="K100" s="380"/>
      <c r="L100" s="380"/>
      <c r="M100" s="380"/>
      <c r="N100" s="380"/>
      <c r="O100" s="404"/>
      <c r="P100" s="380"/>
      <c r="Q100" s="380"/>
      <c r="R100" s="380"/>
      <c r="S100" s="380"/>
      <c r="T100" s="380"/>
      <c r="U100" s="380"/>
      <c r="V100" s="380"/>
      <c r="W100" s="403"/>
      <c r="X100" s="380"/>
      <c r="Y100" s="380"/>
      <c r="Z100" s="380"/>
      <c r="AA100" s="380"/>
      <c r="AB100" s="380"/>
      <c r="AC100" s="404"/>
      <c r="AD100" s="380"/>
      <c r="AE100" s="380"/>
      <c r="AF100" s="380"/>
      <c r="AG100" s="380"/>
      <c r="AH100" s="380"/>
      <c r="AI100" s="380"/>
      <c r="AJ100" s="380"/>
      <c r="AK100" s="403"/>
      <c r="AL100" s="380"/>
      <c r="AM100" s="380"/>
      <c r="AN100" s="380"/>
      <c r="AO100" s="380"/>
      <c r="AP100" s="380"/>
      <c r="AQ100" s="404"/>
      <c r="AR100" s="380"/>
      <c r="AS100" s="380"/>
      <c r="AT100" s="380"/>
      <c r="AU100" s="380"/>
      <c r="AV100" s="380"/>
      <c r="AW100" s="380"/>
      <c r="AX100" s="380"/>
      <c r="AY100" s="403"/>
      <c r="AZ100" s="380"/>
      <c r="BA100" s="380"/>
      <c r="BB100" s="380"/>
      <c r="BC100" s="380"/>
      <c r="BD100" s="380"/>
      <c r="BE100" s="404"/>
      <c r="BF100" s="380"/>
      <c r="BG100" s="380"/>
      <c r="BH100" s="380"/>
      <c r="BI100" s="380"/>
      <c r="BJ100" s="380"/>
      <c r="BK100" s="380"/>
      <c r="BL100" s="380"/>
      <c r="BM100" s="403"/>
      <c r="BS100" s="83"/>
      <c r="CA100" s="405"/>
      <c r="CG100" s="83"/>
      <c r="CO100" s="405"/>
      <c r="CU100" s="83"/>
      <c r="DC100" s="405"/>
      <c r="DI100" s="83"/>
      <c r="DQ100" s="405"/>
      <c r="DW100" s="83"/>
      <c r="EE100" s="405"/>
      <c r="EK100" s="83"/>
      <c r="ES100" s="405"/>
      <c r="EY100" s="83"/>
      <c r="FG100" s="405"/>
      <c r="FM100" s="83"/>
      <c r="FU100" s="405"/>
      <c r="GA100" s="83"/>
      <c r="GI100" s="405"/>
      <c r="GO100" s="83"/>
      <c r="GW100" s="405"/>
      <c r="HC100" s="83"/>
      <c r="HK100" s="405"/>
      <c r="HQ100" s="83"/>
      <c r="HY100" s="405"/>
      <c r="IE100" s="83"/>
      <c r="IM100" s="405"/>
      <c r="IS100" s="83"/>
      <c r="JA100" s="405"/>
      <c r="JG100" s="83"/>
      <c r="JO100" s="405"/>
      <c r="JU100" s="83"/>
      <c r="KC100" s="405"/>
      <c r="KI100" s="83"/>
      <c r="KQ100" s="405"/>
      <c r="KW100" s="83"/>
      <c r="LE100" s="405"/>
      <c r="LK100" s="83"/>
      <c r="LS100" s="405"/>
      <c r="LY100" s="83"/>
      <c r="MG100" s="405"/>
      <c r="MM100" s="83"/>
      <c r="MU100" s="405"/>
      <c r="NA100" s="83"/>
    </row>
    <row r="101">
      <c r="A101" s="380"/>
      <c r="B101" s="380"/>
      <c r="C101" s="380"/>
      <c r="D101" s="380"/>
      <c r="E101" s="380"/>
      <c r="F101" s="380"/>
      <c r="G101" s="380"/>
      <c r="H101" s="380"/>
      <c r="I101" s="403"/>
      <c r="J101" s="380"/>
      <c r="K101" s="380"/>
      <c r="L101" s="380"/>
      <c r="M101" s="380"/>
      <c r="N101" s="380"/>
      <c r="O101" s="404"/>
      <c r="P101" s="380"/>
      <c r="Q101" s="380"/>
      <c r="R101" s="380"/>
      <c r="S101" s="380"/>
      <c r="T101" s="380"/>
      <c r="U101" s="380"/>
      <c r="V101" s="380"/>
      <c r="W101" s="403"/>
      <c r="X101" s="380"/>
      <c r="Y101" s="380"/>
      <c r="Z101" s="380"/>
      <c r="AA101" s="380"/>
      <c r="AB101" s="380"/>
      <c r="AC101" s="404"/>
      <c r="AD101" s="380"/>
      <c r="AE101" s="380"/>
      <c r="AF101" s="380"/>
      <c r="AG101" s="380"/>
      <c r="AH101" s="380"/>
      <c r="AI101" s="380"/>
      <c r="AJ101" s="380"/>
      <c r="AK101" s="403"/>
      <c r="AL101" s="380"/>
      <c r="AM101" s="380"/>
      <c r="AN101" s="380"/>
      <c r="AO101" s="380"/>
      <c r="AP101" s="380"/>
      <c r="AQ101" s="404"/>
      <c r="AR101" s="380"/>
      <c r="AS101" s="380"/>
      <c r="AT101" s="380"/>
      <c r="AU101" s="380"/>
      <c r="AV101" s="380"/>
      <c r="AW101" s="380"/>
      <c r="AX101" s="380"/>
      <c r="AY101" s="403"/>
      <c r="AZ101" s="380"/>
      <c r="BA101" s="380"/>
      <c r="BB101" s="380"/>
      <c r="BC101" s="380"/>
      <c r="BD101" s="380"/>
      <c r="BE101" s="404"/>
      <c r="BF101" s="380"/>
      <c r="BG101" s="380"/>
      <c r="BH101" s="380"/>
      <c r="BI101" s="380"/>
      <c r="BJ101" s="380"/>
      <c r="BK101" s="380"/>
      <c r="BL101" s="380"/>
      <c r="BM101" s="403"/>
      <c r="BS101" s="83"/>
      <c r="CA101" s="405"/>
      <c r="CG101" s="83"/>
      <c r="CO101" s="405"/>
      <c r="CU101" s="83"/>
      <c r="DC101" s="405"/>
      <c r="DI101" s="83"/>
      <c r="DQ101" s="405"/>
      <c r="DW101" s="83"/>
      <c r="EE101" s="405"/>
      <c r="EK101" s="83"/>
      <c r="ES101" s="405"/>
      <c r="EY101" s="83"/>
      <c r="FG101" s="405"/>
      <c r="FM101" s="83"/>
      <c r="FU101" s="405"/>
      <c r="GA101" s="83"/>
      <c r="GI101" s="405"/>
      <c r="GO101" s="83"/>
      <c r="GW101" s="405"/>
      <c r="HC101" s="83"/>
      <c r="HK101" s="405"/>
      <c r="HQ101" s="83"/>
      <c r="HY101" s="405"/>
      <c r="IE101" s="83"/>
      <c r="IM101" s="405"/>
      <c r="IS101" s="83"/>
      <c r="JA101" s="405"/>
      <c r="JG101" s="83"/>
      <c r="JO101" s="405"/>
      <c r="JU101" s="83"/>
      <c r="KC101" s="405"/>
      <c r="KI101" s="83"/>
      <c r="KQ101" s="405"/>
      <c r="KW101" s="83"/>
      <c r="LE101" s="405"/>
      <c r="LK101" s="83"/>
      <c r="LS101" s="405"/>
      <c r="LY101" s="83"/>
      <c r="MG101" s="405"/>
      <c r="MM101" s="83"/>
      <c r="MU101" s="405"/>
      <c r="NA101" s="83"/>
    </row>
    <row r="102">
      <c r="A102" s="380"/>
      <c r="B102" s="380"/>
      <c r="C102" s="380"/>
      <c r="D102" s="380"/>
      <c r="E102" s="380"/>
      <c r="F102" s="380"/>
      <c r="G102" s="380"/>
      <c r="H102" s="380"/>
      <c r="I102" s="403"/>
      <c r="J102" s="380"/>
      <c r="K102" s="380"/>
      <c r="L102" s="380"/>
      <c r="M102" s="380"/>
      <c r="N102" s="380"/>
      <c r="O102" s="404"/>
      <c r="P102" s="380"/>
      <c r="Q102" s="380"/>
      <c r="R102" s="380"/>
      <c r="S102" s="380"/>
      <c r="T102" s="380"/>
      <c r="U102" s="380"/>
      <c r="V102" s="380"/>
      <c r="W102" s="403"/>
      <c r="X102" s="380"/>
      <c r="Y102" s="380"/>
      <c r="Z102" s="380"/>
      <c r="AA102" s="380"/>
      <c r="AB102" s="380"/>
      <c r="AC102" s="404"/>
      <c r="AD102" s="380"/>
      <c r="AE102" s="380"/>
      <c r="AF102" s="380"/>
      <c r="AG102" s="380"/>
      <c r="AH102" s="380"/>
      <c r="AI102" s="380"/>
      <c r="AJ102" s="380"/>
      <c r="AK102" s="403"/>
      <c r="AL102" s="380"/>
      <c r="AM102" s="380"/>
      <c r="AN102" s="380"/>
      <c r="AO102" s="380"/>
      <c r="AP102" s="380"/>
      <c r="AQ102" s="404"/>
      <c r="AR102" s="380"/>
      <c r="AS102" s="380"/>
      <c r="AT102" s="380"/>
      <c r="AU102" s="380"/>
      <c r="AV102" s="380"/>
      <c r="AW102" s="380"/>
      <c r="AX102" s="380"/>
      <c r="AY102" s="403"/>
      <c r="AZ102" s="380"/>
      <c r="BA102" s="380"/>
      <c r="BB102" s="380"/>
      <c r="BC102" s="380"/>
      <c r="BD102" s="380"/>
      <c r="BE102" s="404"/>
      <c r="BF102" s="380"/>
      <c r="BG102" s="380"/>
      <c r="BH102" s="380"/>
      <c r="BI102" s="380"/>
      <c r="BJ102" s="380"/>
      <c r="BK102" s="380"/>
      <c r="BL102" s="380"/>
      <c r="BM102" s="403"/>
      <c r="BS102" s="83"/>
      <c r="CA102" s="405"/>
      <c r="CG102" s="83"/>
      <c r="CO102" s="405"/>
      <c r="CU102" s="83"/>
      <c r="DC102" s="405"/>
      <c r="DI102" s="83"/>
      <c r="DQ102" s="405"/>
      <c r="DW102" s="83"/>
      <c r="EE102" s="405"/>
      <c r="EK102" s="83"/>
      <c r="ES102" s="405"/>
      <c r="EY102" s="83"/>
      <c r="FG102" s="405"/>
      <c r="FM102" s="83"/>
      <c r="FU102" s="405"/>
      <c r="GA102" s="83"/>
      <c r="GI102" s="405"/>
      <c r="GO102" s="83"/>
      <c r="GW102" s="405"/>
      <c r="HC102" s="83"/>
      <c r="HK102" s="405"/>
      <c r="HQ102" s="83"/>
      <c r="HY102" s="405"/>
      <c r="IE102" s="83"/>
      <c r="IM102" s="405"/>
      <c r="IS102" s="83"/>
      <c r="JA102" s="405"/>
      <c r="JG102" s="83"/>
      <c r="JO102" s="405"/>
      <c r="JU102" s="83"/>
      <c r="KC102" s="405"/>
      <c r="KI102" s="83"/>
      <c r="KQ102" s="405"/>
      <c r="KW102" s="83"/>
      <c r="LE102" s="405"/>
      <c r="LK102" s="83"/>
      <c r="LS102" s="405"/>
      <c r="LY102" s="83"/>
      <c r="MG102" s="405"/>
      <c r="MM102" s="83"/>
      <c r="MU102" s="405"/>
      <c r="NA102" s="83"/>
    </row>
    <row r="103">
      <c r="A103" s="380"/>
      <c r="B103" s="380"/>
      <c r="C103" s="380"/>
      <c r="D103" s="380"/>
      <c r="E103" s="380"/>
      <c r="F103" s="380"/>
      <c r="G103" s="380"/>
      <c r="H103" s="380"/>
      <c r="I103" s="403"/>
      <c r="J103" s="380"/>
      <c r="K103" s="380"/>
      <c r="L103" s="380"/>
      <c r="M103" s="380"/>
      <c r="N103" s="380"/>
      <c r="O103" s="404"/>
      <c r="P103" s="380"/>
      <c r="Q103" s="380"/>
      <c r="R103" s="380"/>
      <c r="S103" s="380"/>
      <c r="T103" s="380"/>
      <c r="U103" s="380"/>
      <c r="V103" s="380"/>
      <c r="W103" s="403"/>
      <c r="X103" s="380"/>
      <c r="Y103" s="380"/>
      <c r="Z103" s="380"/>
      <c r="AA103" s="380"/>
      <c r="AB103" s="380"/>
      <c r="AC103" s="404"/>
      <c r="AD103" s="380"/>
      <c r="AE103" s="380"/>
      <c r="AF103" s="380"/>
      <c r="AG103" s="380"/>
      <c r="AH103" s="380"/>
      <c r="AI103" s="380"/>
      <c r="AJ103" s="380"/>
      <c r="AK103" s="403"/>
      <c r="AL103" s="380"/>
      <c r="AM103" s="380"/>
      <c r="AN103" s="380"/>
      <c r="AO103" s="380"/>
      <c r="AP103" s="380"/>
      <c r="AQ103" s="404"/>
      <c r="AR103" s="380"/>
      <c r="AS103" s="380"/>
      <c r="AT103" s="380"/>
      <c r="AU103" s="380"/>
      <c r="AV103" s="380"/>
      <c r="AW103" s="380"/>
      <c r="AX103" s="380"/>
      <c r="AY103" s="403"/>
      <c r="AZ103" s="380"/>
      <c r="BA103" s="380"/>
      <c r="BB103" s="380"/>
      <c r="BC103" s="380"/>
      <c r="BD103" s="380"/>
      <c r="BE103" s="404"/>
      <c r="BF103" s="380"/>
      <c r="BG103" s="380"/>
      <c r="BH103" s="380"/>
      <c r="BI103" s="380"/>
      <c r="BJ103" s="380"/>
      <c r="BK103" s="380"/>
      <c r="BL103" s="380"/>
      <c r="BM103" s="403"/>
      <c r="BS103" s="83"/>
      <c r="CA103" s="405"/>
      <c r="CG103" s="83"/>
      <c r="CO103" s="405"/>
      <c r="CU103" s="83"/>
      <c r="DC103" s="405"/>
      <c r="DI103" s="83"/>
      <c r="DQ103" s="405"/>
      <c r="DW103" s="83"/>
      <c r="EE103" s="405"/>
      <c r="EK103" s="83"/>
      <c r="ES103" s="405"/>
      <c r="EY103" s="83"/>
      <c r="FG103" s="405"/>
      <c r="FM103" s="83"/>
      <c r="FU103" s="405"/>
      <c r="GA103" s="83"/>
      <c r="GI103" s="405"/>
      <c r="GO103" s="83"/>
      <c r="GW103" s="405"/>
      <c r="HC103" s="83"/>
      <c r="HK103" s="405"/>
      <c r="HQ103" s="83"/>
      <c r="HY103" s="405"/>
      <c r="IE103" s="83"/>
      <c r="IM103" s="405"/>
      <c r="IS103" s="83"/>
      <c r="JA103" s="405"/>
      <c r="JG103" s="83"/>
      <c r="JO103" s="405"/>
      <c r="JU103" s="83"/>
      <c r="KC103" s="405"/>
      <c r="KI103" s="83"/>
      <c r="KQ103" s="405"/>
      <c r="KW103" s="83"/>
      <c r="LE103" s="405"/>
      <c r="LK103" s="83"/>
      <c r="LS103" s="405"/>
      <c r="LY103" s="83"/>
      <c r="MG103" s="405"/>
      <c r="MM103" s="83"/>
      <c r="MU103" s="405"/>
      <c r="NA103" s="83"/>
    </row>
    <row r="104">
      <c r="A104" s="380"/>
      <c r="B104" s="380"/>
      <c r="C104" s="380"/>
      <c r="D104" s="380"/>
      <c r="E104" s="380"/>
      <c r="F104" s="380"/>
      <c r="G104" s="380"/>
      <c r="H104" s="380"/>
      <c r="I104" s="403"/>
      <c r="J104" s="380"/>
      <c r="K104" s="380"/>
      <c r="L104" s="380"/>
      <c r="M104" s="380"/>
      <c r="N104" s="380"/>
      <c r="O104" s="404"/>
      <c r="P104" s="380"/>
      <c r="Q104" s="380"/>
      <c r="R104" s="380"/>
      <c r="S104" s="380"/>
      <c r="T104" s="380"/>
      <c r="U104" s="380"/>
      <c r="V104" s="380"/>
      <c r="W104" s="403"/>
      <c r="X104" s="380"/>
      <c r="Y104" s="380"/>
      <c r="Z104" s="380"/>
      <c r="AA104" s="380"/>
      <c r="AB104" s="380"/>
      <c r="AC104" s="404"/>
      <c r="AD104" s="380"/>
      <c r="AE104" s="380"/>
      <c r="AF104" s="380"/>
      <c r="AG104" s="380"/>
      <c r="AH104" s="380"/>
      <c r="AI104" s="380"/>
      <c r="AJ104" s="380"/>
      <c r="AK104" s="403"/>
      <c r="AL104" s="380"/>
      <c r="AM104" s="380"/>
      <c r="AN104" s="380"/>
      <c r="AO104" s="380"/>
      <c r="AP104" s="380"/>
      <c r="AQ104" s="404"/>
      <c r="AR104" s="380"/>
      <c r="AS104" s="380"/>
      <c r="AT104" s="380"/>
      <c r="AU104" s="380"/>
      <c r="AV104" s="380"/>
      <c r="AW104" s="380"/>
      <c r="AX104" s="380"/>
      <c r="AY104" s="403"/>
      <c r="AZ104" s="380"/>
      <c r="BA104" s="380"/>
      <c r="BB104" s="380"/>
      <c r="BC104" s="380"/>
      <c r="BD104" s="380"/>
      <c r="BE104" s="404"/>
      <c r="BF104" s="380"/>
      <c r="BG104" s="380"/>
      <c r="BH104" s="380"/>
      <c r="BI104" s="380"/>
      <c r="BJ104" s="380"/>
      <c r="BK104" s="380"/>
      <c r="BL104" s="380"/>
      <c r="BM104" s="403"/>
      <c r="BS104" s="83"/>
      <c r="CA104" s="405"/>
      <c r="CG104" s="83"/>
      <c r="CO104" s="405"/>
      <c r="CU104" s="83"/>
      <c r="DC104" s="405"/>
      <c r="DI104" s="83"/>
      <c r="DQ104" s="405"/>
      <c r="DW104" s="83"/>
      <c r="EE104" s="405"/>
      <c r="EK104" s="83"/>
      <c r="ES104" s="405"/>
      <c r="EY104" s="83"/>
      <c r="FG104" s="405"/>
      <c r="FM104" s="83"/>
      <c r="FU104" s="405"/>
      <c r="GA104" s="83"/>
      <c r="GI104" s="405"/>
      <c r="GO104" s="83"/>
      <c r="GW104" s="405"/>
      <c r="HC104" s="83"/>
      <c r="HK104" s="405"/>
      <c r="HQ104" s="83"/>
      <c r="HY104" s="405"/>
      <c r="IE104" s="83"/>
      <c r="IM104" s="405"/>
      <c r="IS104" s="83"/>
      <c r="JA104" s="405"/>
      <c r="JG104" s="83"/>
      <c r="JO104" s="405"/>
      <c r="JU104" s="83"/>
      <c r="KC104" s="405"/>
      <c r="KI104" s="83"/>
      <c r="KQ104" s="405"/>
      <c r="KW104" s="83"/>
      <c r="LE104" s="405"/>
      <c r="LK104" s="83"/>
      <c r="LS104" s="405"/>
      <c r="LY104" s="83"/>
      <c r="MG104" s="405"/>
      <c r="MM104" s="83"/>
      <c r="MU104" s="405"/>
      <c r="NA104" s="83"/>
    </row>
    <row r="105">
      <c r="A105" s="380"/>
      <c r="B105" s="380"/>
      <c r="C105" s="380"/>
      <c r="D105" s="380"/>
      <c r="E105" s="380"/>
      <c r="F105" s="380"/>
      <c r="G105" s="380"/>
      <c r="H105" s="380"/>
      <c r="I105" s="403"/>
      <c r="J105" s="380"/>
      <c r="K105" s="380"/>
      <c r="L105" s="380"/>
      <c r="M105" s="380"/>
      <c r="N105" s="380"/>
      <c r="O105" s="404"/>
      <c r="P105" s="380"/>
      <c r="Q105" s="380"/>
      <c r="R105" s="380"/>
      <c r="S105" s="380"/>
      <c r="T105" s="380"/>
      <c r="U105" s="380"/>
      <c r="V105" s="380"/>
      <c r="W105" s="403"/>
      <c r="X105" s="380"/>
      <c r="Y105" s="380"/>
      <c r="Z105" s="380"/>
      <c r="AA105" s="380"/>
      <c r="AB105" s="380"/>
      <c r="AC105" s="404"/>
      <c r="AD105" s="380"/>
      <c r="AE105" s="380"/>
      <c r="AF105" s="380"/>
      <c r="AG105" s="380"/>
      <c r="AH105" s="380"/>
      <c r="AI105" s="380"/>
      <c r="AJ105" s="380"/>
      <c r="AK105" s="403"/>
      <c r="AL105" s="380"/>
      <c r="AM105" s="380"/>
      <c r="AN105" s="380"/>
      <c r="AO105" s="380"/>
      <c r="AP105" s="380"/>
      <c r="AQ105" s="404"/>
      <c r="AR105" s="380"/>
      <c r="AS105" s="380"/>
      <c r="AT105" s="380"/>
      <c r="AU105" s="380"/>
      <c r="AV105" s="380"/>
      <c r="AW105" s="380"/>
      <c r="AX105" s="380"/>
      <c r="AY105" s="403"/>
      <c r="AZ105" s="380"/>
      <c r="BA105" s="380"/>
      <c r="BB105" s="380"/>
      <c r="BC105" s="380"/>
      <c r="BD105" s="380"/>
      <c r="BE105" s="404"/>
      <c r="BF105" s="380"/>
      <c r="BG105" s="380"/>
      <c r="BH105" s="380"/>
      <c r="BI105" s="380"/>
      <c r="BJ105" s="380"/>
      <c r="BK105" s="380"/>
      <c r="BL105" s="380"/>
      <c r="BM105" s="403"/>
      <c r="BS105" s="83"/>
      <c r="CA105" s="405"/>
      <c r="CG105" s="83"/>
      <c r="CO105" s="405"/>
      <c r="CU105" s="83"/>
      <c r="DC105" s="405"/>
      <c r="DI105" s="83"/>
      <c r="DQ105" s="405"/>
      <c r="DW105" s="83"/>
      <c r="EE105" s="405"/>
      <c r="EK105" s="83"/>
      <c r="ES105" s="405"/>
      <c r="EY105" s="83"/>
      <c r="FG105" s="405"/>
      <c r="FM105" s="83"/>
      <c r="FU105" s="405"/>
      <c r="GA105" s="83"/>
      <c r="GI105" s="405"/>
      <c r="GO105" s="83"/>
      <c r="GW105" s="405"/>
      <c r="HC105" s="83"/>
      <c r="HK105" s="405"/>
      <c r="HQ105" s="83"/>
      <c r="HY105" s="405"/>
      <c r="IE105" s="83"/>
      <c r="IM105" s="405"/>
      <c r="IS105" s="83"/>
      <c r="JA105" s="405"/>
      <c r="JG105" s="83"/>
      <c r="JO105" s="405"/>
      <c r="JU105" s="83"/>
      <c r="KC105" s="405"/>
      <c r="KI105" s="83"/>
      <c r="KQ105" s="405"/>
      <c r="KW105" s="83"/>
      <c r="LE105" s="405"/>
      <c r="LK105" s="83"/>
      <c r="LS105" s="405"/>
      <c r="LY105" s="83"/>
      <c r="MG105" s="405"/>
      <c r="MM105" s="83"/>
      <c r="MU105" s="405"/>
      <c r="NA105" s="83"/>
    </row>
    <row r="106">
      <c r="A106" s="380"/>
      <c r="B106" s="380"/>
      <c r="C106" s="380"/>
      <c r="D106" s="380"/>
      <c r="E106" s="380"/>
      <c r="F106" s="380"/>
      <c r="G106" s="380"/>
      <c r="H106" s="380"/>
      <c r="I106" s="403"/>
      <c r="J106" s="380"/>
      <c r="K106" s="380"/>
      <c r="L106" s="380"/>
      <c r="M106" s="380"/>
      <c r="N106" s="380"/>
      <c r="O106" s="404"/>
      <c r="P106" s="380"/>
      <c r="Q106" s="380"/>
      <c r="R106" s="380"/>
      <c r="S106" s="380"/>
      <c r="T106" s="380"/>
      <c r="U106" s="380"/>
      <c r="V106" s="380"/>
      <c r="W106" s="403"/>
      <c r="X106" s="380"/>
      <c r="Y106" s="380"/>
      <c r="Z106" s="380"/>
      <c r="AA106" s="380"/>
      <c r="AB106" s="380"/>
      <c r="AC106" s="404"/>
      <c r="AD106" s="380"/>
      <c r="AE106" s="380"/>
      <c r="AF106" s="380"/>
      <c r="AG106" s="380"/>
      <c r="AH106" s="380"/>
      <c r="AI106" s="380"/>
      <c r="AJ106" s="380"/>
      <c r="AK106" s="403"/>
      <c r="AL106" s="380"/>
      <c r="AM106" s="380"/>
      <c r="AN106" s="380"/>
      <c r="AO106" s="380"/>
      <c r="AP106" s="380"/>
      <c r="AQ106" s="404"/>
      <c r="AR106" s="380"/>
      <c r="AS106" s="380"/>
      <c r="AT106" s="380"/>
      <c r="AU106" s="380"/>
      <c r="AV106" s="380"/>
      <c r="AW106" s="380"/>
      <c r="AX106" s="380"/>
      <c r="AY106" s="403"/>
      <c r="AZ106" s="380"/>
      <c r="BA106" s="380"/>
      <c r="BB106" s="380"/>
      <c r="BC106" s="380"/>
      <c r="BD106" s="380"/>
      <c r="BE106" s="404"/>
      <c r="BF106" s="380"/>
      <c r="BG106" s="380"/>
      <c r="BH106" s="380"/>
      <c r="BI106" s="380"/>
      <c r="BJ106" s="380"/>
      <c r="BK106" s="380"/>
      <c r="BL106" s="380"/>
      <c r="BM106" s="403"/>
      <c r="BS106" s="83"/>
      <c r="CA106" s="405"/>
      <c r="CG106" s="83"/>
      <c r="CO106" s="405"/>
      <c r="CU106" s="83"/>
      <c r="DC106" s="405"/>
      <c r="DI106" s="83"/>
      <c r="DQ106" s="405"/>
      <c r="DW106" s="83"/>
      <c r="EE106" s="405"/>
      <c r="EK106" s="83"/>
      <c r="ES106" s="405"/>
      <c r="EY106" s="83"/>
      <c r="FG106" s="405"/>
      <c r="FM106" s="83"/>
      <c r="FU106" s="405"/>
      <c r="GA106" s="83"/>
      <c r="GI106" s="405"/>
      <c r="GO106" s="83"/>
      <c r="GW106" s="405"/>
      <c r="HC106" s="83"/>
      <c r="HK106" s="405"/>
      <c r="HQ106" s="83"/>
      <c r="HY106" s="405"/>
      <c r="IE106" s="83"/>
      <c r="IM106" s="405"/>
      <c r="IS106" s="83"/>
      <c r="JA106" s="405"/>
      <c r="JG106" s="83"/>
      <c r="JO106" s="405"/>
      <c r="JU106" s="83"/>
      <c r="KC106" s="405"/>
      <c r="KI106" s="83"/>
      <c r="KQ106" s="405"/>
      <c r="KW106" s="83"/>
      <c r="LE106" s="405"/>
      <c r="LK106" s="83"/>
      <c r="LS106" s="405"/>
      <c r="LY106" s="83"/>
      <c r="MG106" s="405"/>
      <c r="MM106" s="83"/>
      <c r="MU106" s="405"/>
      <c r="NA106" s="83"/>
    </row>
    <row r="107">
      <c r="A107" s="380"/>
      <c r="B107" s="380"/>
      <c r="C107" s="380"/>
      <c r="D107" s="380"/>
      <c r="E107" s="380"/>
      <c r="F107" s="380"/>
      <c r="G107" s="380"/>
      <c r="H107" s="380"/>
      <c r="I107" s="403"/>
      <c r="J107" s="380"/>
      <c r="K107" s="380"/>
      <c r="L107" s="380"/>
      <c r="M107" s="380"/>
      <c r="N107" s="380"/>
      <c r="O107" s="404"/>
      <c r="P107" s="380"/>
      <c r="Q107" s="380"/>
      <c r="R107" s="380"/>
      <c r="S107" s="380"/>
      <c r="T107" s="380"/>
      <c r="U107" s="380"/>
      <c r="V107" s="380"/>
      <c r="W107" s="403"/>
      <c r="X107" s="380"/>
      <c r="Y107" s="380"/>
      <c r="Z107" s="380"/>
      <c r="AA107" s="380"/>
      <c r="AB107" s="380"/>
      <c r="AC107" s="404"/>
      <c r="AD107" s="380"/>
      <c r="AE107" s="380"/>
      <c r="AF107" s="380"/>
      <c r="AG107" s="380"/>
      <c r="AH107" s="380"/>
      <c r="AI107" s="380"/>
      <c r="AJ107" s="380"/>
      <c r="AK107" s="403"/>
      <c r="AL107" s="380"/>
      <c r="AM107" s="380"/>
      <c r="AN107" s="380"/>
      <c r="AO107" s="380"/>
      <c r="AP107" s="380"/>
      <c r="AQ107" s="404"/>
      <c r="AR107" s="380"/>
      <c r="AS107" s="380"/>
      <c r="AT107" s="380"/>
      <c r="AU107" s="380"/>
      <c r="AV107" s="380"/>
      <c r="AW107" s="380"/>
      <c r="AX107" s="380"/>
      <c r="AY107" s="403"/>
      <c r="AZ107" s="380"/>
      <c r="BA107" s="380"/>
      <c r="BB107" s="380"/>
      <c r="BC107" s="380"/>
      <c r="BD107" s="380"/>
      <c r="BE107" s="404"/>
      <c r="BF107" s="380"/>
      <c r="BG107" s="380"/>
      <c r="BH107" s="380"/>
      <c r="BI107" s="380"/>
      <c r="BJ107" s="380"/>
      <c r="BK107" s="380"/>
      <c r="BL107" s="380"/>
      <c r="BM107" s="403"/>
      <c r="BS107" s="83"/>
      <c r="CA107" s="405"/>
      <c r="CG107" s="83"/>
      <c r="CO107" s="405"/>
      <c r="CU107" s="83"/>
      <c r="DC107" s="405"/>
      <c r="DI107" s="83"/>
      <c r="DQ107" s="405"/>
      <c r="DW107" s="83"/>
      <c r="EE107" s="405"/>
      <c r="EK107" s="83"/>
      <c r="ES107" s="405"/>
      <c r="EY107" s="83"/>
      <c r="FG107" s="405"/>
      <c r="FM107" s="83"/>
      <c r="FU107" s="405"/>
      <c r="GA107" s="83"/>
      <c r="GI107" s="405"/>
      <c r="GO107" s="83"/>
      <c r="GW107" s="405"/>
      <c r="HC107" s="83"/>
      <c r="HK107" s="405"/>
      <c r="HQ107" s="83"/>
      <c r="HY107" s="405"/>
      <c r="IE107" s="83"/>
      <c r="IM107" s="405"/>
      <c r="IS107" s="83"/>
      <c r="JA107" s="405"/>
      <c r="JG107" s="83"/>
      <c r="JO107" s="405"/>
      <c r="JU107" s="83"/>
      <c r="KC107" s="405"/>
      <c r="KI107" s="83"/>
      <c r="KQ107" s="405"/>
      <c r="KW107" s="83"/>
      <c r="LE107" s="405"/>
      <c r="LK107" s="83"/>
      <c r="LS107" s="405"/>
      <c r="LY107" s="83"/>
      <c r="MG107" s="405"/>
      <c r="MM107" s="83"/>
      <c r="MU107" s="405"/>
      <c r="NA107" s="83"/>
    </row>
    <row r="108">
      <c r="A108" s="380"/>
      <c r="B108" s="380"/>
      <c r="C108" s="380"/>
      <c r="D108" s="380"/>
      <c r="E108" s="380"/>
      <c r="F108" s="380"/>
      <c r="G108" s="380"/>
      <c r="H108" s="380"/>
      <c r="I108" s="403"/>
      <c r="J108" s="380"/>
      <c r="K108" s="380"/>
      <c r="L108" s="380"/>
      <c r="M108" s="380"/>
      <c r="N108" s="380"/>
      <c r="O108" s="404"/>
      <c r="P108" s="380"/>
      <c r="Q108" s="380"/>
      <c r="R108" s="380"/>
      <c r="S108" s="380"/>
      <c r="T108" s="380"/>
      <c r="U108" s="380"/>
      <c r="V108" s="380"/>
      <c r="W108" s="403"/>
      <c r="X108" s="380"/>
      <c r="Y108" s="380"/>
      <c r="Z108" s="380"/>
      <c r="AA108" s="380"/>
      <c r="AB108" s="380"/>
      <c r="AC108" s="404"/>
      <c r="AD108" s="380"/>
      <c r="AE108" s="380"/>
      <c r="AF108" s="380"/>
      <c r="AG108" s="380"/>
      <c r="AH108" s="380"/>
      <c r="AI108" s="380"/>
      <c r="AJ108" s="380"/>
      <c r="AK108" s="403"/>
      <c r="AL108" s="380"/>
      <c r="AM108" s="380"/>
      <c r="AN108" s="380"/>
      <c r="AO108" s="380"/>
      <c r="AP108" s="380"/>
      <c r="AQ108" s="404"/>
      <c r="AR108" s="380"/>
      <c r="AS108" s="380"/>
      <c r="AT108" s="380"/>
      <c r="AU108" s="380"/>
      <c r="AV108" s="380"/>
      <c r="AW108" s="380"/>
      <c r="AX108" s="380"/>
      <c r="AY108" s="403"/>
      <c r="AZ108" s="380"/>
      <c r="BA108" s="380"/>
      <c r="BB108" s="380"/>
      <c r="BC108" s="380"/>
      <c r="BD108" s="380"/>
      <c r="BE108" s="404"/>
      <c r="BF108" s="380"/>
      <c r="BG108" s="380"/>
      <c r="BH108" s="380"/>
      <c r="BI108" s="380"/>
      <c r="BJ108" s="380"/>
      <c r="BK108" s="380"/>
      <c r="BL108" s="380"/>
      <c r="BM108" s="403"/>
      <c r="BS108" s="83"/>
      <c r="CA108" s="405"/>
      <c r="CG108" s="83"/>
      <c r="CO108" s="405"/>
      <c r="CU108" s="83"/>
      <c r="DC108" s="405"/>
      <c r="DI108" s="83"/>
      <c r="DQ108" s="405"/>
      <c r="DW108" s="83"/>
      <c r="EE108" s="405"/>
      <c r="EK108" s="83"/>
      <c r="ES108" s="405"/>
      <c r="EY108" s="83"/>
      <c r="FG108" s="405"/>
      <c r="FM108" s="83"/>
      <c r="FU108" s="405"/>
      <c r="GA108" s="83"/>
      <c r="GI108" s="405"/>
      <c r="GO108" s="83"/>
      <c r="GW108" s="405"/>
      <c r="HC108" s="83"/>
      <c r="HK108" s="405"/>
      <c r="HQ108" s="83"/>
      <c r="HY108" s="405"/>
      <c r="IE108" s="83"/>
      <c r="IM108" s="405"/>
      <c r="IS108" s="83"/>
      <c r="JA108" s="405"/>
      <c r="JG108" s="83"/>
      <c r="JO108" s="405"/>
      <c r="JU108" s="83"/>
      <c r="KC108" s="405"/>
      <c r="KI108" s="83"/>
      <c r="KQ108" s="405"/>
      <c r="KW108" s="83"/>
      <c r="LE108" s="405"/>
      <c r="LK108" s="83"/>
      <c r="LS108" s="405"/>
      <c r="LY108" s="83"/>
      <c r="MG108" s="405"/>
      <c r="MM108" s="83"/>
      <c r="MU108" s="405"/>
      <c r="NA108" s="83"/>
    </row>
    <row r="109">
      <c r="A109" s="380"/>
      <c r="B109" s="380"/>
      <c r="C109" s="380"/>
      <c r="D109" s="380"/>
      <c r="E109" s="380"/>
      <c r="F109" s="380"/>
      <c r="G109" s="380"/>
      <c r="H109" s="380"/>
      <c r="I109" s="403"/>
      <c r="J109" s="380"/>
      <c r="K109" s="380"/>
      <c r="L109" s="380"/>
      <c r="M109" s="380"/>
      <c r="N109" s="380"/>
      <c r="O109" s="404"/>
      <c r="P109" s="380"/>
      <c r="Q109" s="380"/>
      <c r="R109" s="380"/>
      <c r="S109" s="380"/>
      <c r="T109" s="380"/>
      <c r="U109" s="380"/>
      <c r="V109" s="380"/>
      <c r="W109" s="403"/>
      <c r="X109" s="380"/>
      <c r="Y109" s="380"/>
      <c r="Z109" s="380"/>
      <c r="AA109" s="380"/>
      <c r="AB109" s="380"/>
      <c r="AC109" s="404"/>
      <c r="AD109" s="380"/>
      <c r="AE109" s="380"/>
      <c r="AF109" s="380"/>
      <c r="AG109" s="380"/>
      <c r="AH109" s="380"/>
      <c r="AI109" s="380"/>
      <c r="AJ109" s="380"/>
      <c r="AK109" s="403"/>
      <c r="AL109" s="380"/>
      <c r="AM109" s="380"/>
      <c r="AN109" s="380"/>
      <c r="AO109" s="380"/>
      <c r="AP109" s="380"/>
      <c r="AQ109" s="404"/>
      <c r="AR109" s="380"/>
      <c r="AS109" s="380"/>
      <c r="AT109" s="380"/>
      <c r="AU109" s="380"/>
      <c r="AV109" s="380"/>
      <c r="AW109" s="380"/>
      <c r="AX109" s="380"/>
      <c r="AY109" s="403"/>
      <c r="AZ109" s="380"/>
      <c r="BA109" s="380"/>
      <c r="BB109" s="380"/>
      <c r="BC109" s="380"/>
      <c r="BD109" s="380"/>
      <c r="BE109" s="404"/>
      <c r="BF109" s="380"/>
      <c r="BG109" s="380"/>
      <c r="BH109" s="380"/>
      <c r="BI109" s="380"/>
      <c r="BJ109" s="380"/>
      <c r="BK109" s="380"/>
      <c r="BL109" s="380"/>
      <c r="BM109" s="403"/>
      <c r="BS109" s="83"/>
      <c r="CA109" s="405"/>
      <c r="CG109" s="83"/>
      <c r="CO109" s="405"/>
      <c r="CU109" s="83"/>
      <c r="DC109" s="405"/>
      <c r="DI109" s="83"/>
      <c r="DQ109" s="405"/>
      <c r="DW109" s="83"/>
      <c r="EE109" s="405"/>
      <c r="EK109" s="83"/>
      <c r="ES109" s="405"/>
      <c r="EY109" s="83"/>
      <c r="FG109" s="405"/>
      <c r="FM109" s="83"/>
      <c r="FU109" s="405"/>
      <c r="GA109" s="83"/>
      <c r="GI109" s="405"/>
      <c r="GO109" s="83"/>
      <c r="GW109" s="405"/>
      <c r="HC109" s="83"/>
      <c r="HK109" s="405"/>
      <c r="HQ109" s="83"/>
      <c r="HY109" s="405"/>
      <c r="IE109" s="83"/>
      <c r="IM109" s="405"/>
      <c r="IS109" s="83"/>
      <c r="JA109" s="405"/>
      <c r="JG109" s="83"/>
      <c r="JO109" s="405"/>
      <c r="JU109" s="83"/>
      <c r="KC109" s="405"/>
      <c r="KI109" s="83"/>
      <c r="KQ109" s="405"/>
      <c r="KW109" s="83"/>
      <c r="LE109" s="405"/>
      <c r="LK109" s="83"/>
      <c r="LS109" s="405"/>
      <c r="LY109" s="83"/>
      <c r="MG109" s="405"/>
      <c r="MM109" s="83"/>
      <c r="MU109" s="405"/>
      <c r="NA109" s="83"/>
    </row>
    <row r="110">
      <c r="A110" s="380"/>
      <c r="B110" s="380"/>
      <c r="C110" s="380"/>
      <c r="D110" s="380"/>
      <c r="E110" s="380"/>
      <c r="F110" s="380"/>
      <c r="G110" s="380"/>
      <c r="H110" s="380"/>
      <c r="I110" s="403"/>
      <c r="J110" s="380"/>
      <c r="K110" s="380"/>
      <c r="L110" s="380"/>
      <c r="M110" s="380"/>
      <c r="N110" s="380"/>
      <c r="O110" s="404"/>
      <c r="P110" s="380"/>
      <c r="Q110" s="380"/>
      <c r="R110" s="380"/>
      <c r="S110" s="380"/>
      <c r="T110" s="380"/>
      <c r="U110" s="380"/>
      <c r="V110" s="380"/>
      <c r="W110" s="403"/>
      <c r="X110" s="380"/>
      <c r="Y110" s="380"/>
      <c r="Z110" s="380"/>
      <c r="AA110" s="380"/>
      <c r="AB110" s="380"/>
      <c r="AC110" s="404"/>
      <c r="AD110" s="380"/>
      <c r="AE110" s="380"/>
      <c r="AF110" s="380"/>
      <c r="AG110" s="380"/>
      <c r="AH110" s="380"/>
      <c r="AI110" s="380"/>
      <c r="AJ110" s="380"/>
      <c r="AK110" s="403"/>
      <c r="AL110" s="380"/>
      <c r="AM110" s="380"/>
      <c r="AN110" s="380"/>
      <c r="AO110" s="380"/>
      <c r="AP110" s="380"/>
      <c r="AQ110" s="404"/>
      <c r="AR110" s="380"/>
      <c r="AS110" s="380"/>
      <c r="AT110" s="380"/>
      <c r="AU110" s="380"/>
      <c r="AV110" s="380"/>
      <c r="AW110" s="380"/>
      <c r="AX110" s="380"/>
      <c r="AY110" s="403"/>
      <c r="AZ110" s="380"/>
      <c r="BA110" s="380"/>
      <c r="BB110" s="380"/>
      <c r="BC110" s="380"/>
      <c r="BD110" s="380"/>
      <c r="BE110" s="404"/>
      <c r="BF110" s="380"/>
      <c r="BG110" s="380"/>
      <c r="BH110" s="380"/>
      <c r="BI110" s="380"/>
      <c r="BJ110" s="380"/>
      <c r="BK110" s="380"/>
      <c r="BL110" s="380"/>
      <c r="BM110" s="403"/>
      <c r="BS110" s="83"/>
      <c r="CA110" s="405"/>
      <c r="CG110" s="83"/>
      <c r="CO110" s="405"/>
      <c r="CU110" s="83"/>
      <c r="DC110" s="405"/>
      <c r="DI110" s="83"/>
      <c r="DQ110" s="405"/>
      <c r="DW110" s="83"/>
      <c r="EE110" s="405"/>
      <c r="EK110" s="83"/>
      <c r="ES110" s="405"/>
      <c r="EY110" s="83"/>
      <c r="FG110" s="405"/>
      <c r="FM110" s="83"/>
      <c r="FU110" s="405"/>
      <c r="GA110" s="83"/>
      <c r="GI110" s="405"/>
      <c r="GO110" s="83"/>
      <c r="GW110" s="405"/>
      <c r="HC110" s="83"/>
      <c r="HK110" s="405"/>
      <c r="HQ110" s="83"/>
      <c r="HY110" s="405"/>
      <c r="IE110" s="83"/>
      <c r="IM110" s="405"/>
      <c r="IS110" s="83"/>
      <c r="JA110" s="405"/>
      <c r="JG110" s="83"/>
      <c r="JO110" s="405"/>
      <c r="JU110" s="83"/>
      <c r="KC110" s="405"/>
      <c r="KI110" s="83"/>
      <c r="KQ110" s="405"/>
      <c r="KW110" s="83"/>
      <c r="LE110" s="405"/>
      <c r="LK110" s="83"/>
      <c r="LS110" s="405"/>
      <c r="LY110" s="83"/>
      <c r="MG110" s="405"/>
      <c r="MM110" s="83"/>
      <c r="MU110" s="405"/>
      <c r="NA110" s="83"/>
    </row>
    <row r="111">
      <c r="A111" s="380"/>
      <c r="B111" s="380"/>
      <c r="C111" s="380"/>
      <c r="D111" s="380"/>
      <c r="E111" s="380"/>
      <c r="F111" s="380"/>
      <c r="G111" s="380"/>
      <c r="H111" s="380"/>
      <c r="I111" s="403"/>
      <c r="J111" s="380"/>
      <c r="K111" s="380"/>
      <c r="L111" s="380"/>
      <c r="M111" s="380"/>
      <c r="N111" s="380"/>
      <c r="O111" s="404"/>
      <c r="P111" s="380"/>
      <c r="Q111" s="380"/>
      <c r="R111" s="380"/>
      <c r="S111" s="380"/>
      <c r="T111" s="380"/>
      <c r="U111" s="380"/>
      <c r="V111" s="380"/>
      <c r="W111" s="403"/>
      <c r="X111" s="380"/>
      <c r="Y111" s="380"/>
      <c r="Z111" s="380"/>
      <c r="AA111" s="380"/>
      <c r="AB111" s="380"/>
      <c r="AC111" s="404"/>
      <c r="AD111" s="380"/>
      <c r="AE111" s="380"/>
      <c r="AF111" s="380"/>
      <c r="AG111" s="380"/>
      <c r="AH111" s="380"/>
      <c r="AI111" s="380"/>
      <c r="AJ111" s="380"/>
      <c r="AK111" s="403"/>
      <c r="AL111" s="380"/>
      <c r="AM111" s="380"/>
      <c r="AN111" s="380"/>
      <c r="AO111" s="380"/>
      <c r="AP111" s="380"/>
      <c r="AQ111" s="404"/>
      <c r="AR111" s="380"/>
      <c r="AS111" s="380"/>
      <c r="AT111" s="380"/>
      <c r="AU111" s="380"/>
      <c r="AV111" s="380"/>
      <c r="AW111" s="380"/>
      <c r="AX111" s="380"/>
      <c r="AY111" s="403"/>
      <c r="AZ111" s="380"/>
      <c r="BA111" s="380"/>
      <c r="BB111" s="380"/>
      <c r="BC111" s="380"/>
      <c r="BD111" s="380"/>
      <c r="BE111" s="404"/>
      <c r="BF111" s="380"/>
      <c r="BG111" s="380"/>
      <c r="BH111" s="380"/>
      <c r="BI111" s="380"/>
      <c r="BJ111" s="380"/>
      <c r="BK111" s="380"/>
      <c r="BL111" s="380"/>
      <c r="BM111" s="403"/>
      <c r="BS111" s="83"/>
      <c r="CA111" s="405"/>
      <c r="CG111" s="83"/>
      <c r="CO111" s="405"/>
      <c r="CU111" s="83"/>
      <c r="DC111" s="405"/>
      <c r="DI111" s="83"/>
      <c r="DQ111" s="405"/>
      <c r="DW111" s="83"/>
      <c r="EE111" s="405"/>
      <c r="EK111" s="83"/>
      <c r="ES111" s="405"/>
      <c r="EY111" s="83"/>
      <c r="FG111" s="405"/>
      <c r="FM111" s="83"/>
      <c r="FU111" s="405"/>
      <c r="GA111" s="83"/>
      <c r="GI111" s="405"/>
      <c r="GO111" s="83"/>
      <c r="GW111" s="405"/>
      <c r="HC111" s="83"/>
      <c r="HK111" s="405"/>
      <c r="HQ111" s="83"/>
      <c r="HY111" s="405"/>
      <c r="IE111" s="83"/>
      <c r="IM111" s="405"/>
      <c r="IS111" s="83"/>
      <c r="JA111" s="405"/>
      <c r="JG111" s="83"/>
      <c r="JO111" s="405"/>
      <c r="JU111" s="83"/>
      <c r="KC111" s="405"/>
      <c r="KI111" s="83"/>
      <c r="KQ111" s="405"/>
      <c r="KW111" s="83"/>
      <c r="LE111" s="405"/>
      <c r="LK111" s="83"/>
      <c r="LS111" s="405"/>
      <c r="LY111" s="83"/>
      <c r="MG111" s="405"/>
      <c r="MM111" s="83"/>
      <c r="MU111" s="405"/>
      <c r="NA111" s="83"/>
    </row>
    <row r="112">
      <c r="A112" s="380"/>
      <c r="B112" s="380"/>
      <c r="C112" s="380"/>
      <c r="D112" s="380"/>
      <c r="E112" s="380"/>
      <c r="F112" s="380"/>
      <c r="G112" s="380"/>
      <c r="H112" s="380"/>
      <c r="I112" s="403"/>
      <c r="J112" s="380"/>
      <c r="K112" s="380"/>
      <c r="L112" s="380"/>
      <c r="M112" s="380"/>
      <c r="N112" s="380"/>
      <c r="O112" s="404"/>
      <c r="P112" s="380"/>
      <c r="Q112" s="380"/>
      <c r="R112" s="380"/>
      <c r="S112" s="380"/>
      <c r="T112" s="380"/>
      <c r="U112" s="380"/>
      <c r="V112" s="380"/>
      <c r="W112" s="403"/>
      <c r="X112" s="380"/>
      <c r="Y112" s="380"/>
      <c r="Z112" s="380"/>
      <c r="AA112" s="380"/>
      <c r="AB112" s="380"/>
      <c r="AC112" s="404"/>
      <c r="AD112" s="380"/>
      <c r="AE112" s="380"/>
      <c r="AF112" s="380"/>
      <c r="AG112" s="380"/>
      <c r="AH112" s="380"/>
      <c r="AI112" s="380"/>
      <c r="AJ112" s="380"/>
      <c r="AK112" s="403"/>
      <c r="AL112" s="380"/>
      <c r="AM112" s="380"/>
      <c r="AN112" s="380"/>
      <c r="AO112" s="380"/>
      <c r="AP112" s="380"/>
      <c r="AQ112" s="404"/>
      <c r="AR112" s="380"/>
      <c r="AS112" s="380"/>
      <c r="AT112" s="380"/>
      <c r="AU112" s="380"/>
      <c r="AV112" s="380"/>
      <c r="AW112" s="380"/>
      <c r="AX112" s="380"/>
      <c r="AY112" s="403"/>
      <c r="AZ112" s="380"/>
      <c r="BA112" s="380"/>
      <c r="BB112" s="380"/>
      <c r="BC112" s="380"/>
      <c r="BD112" s="380"/>
      <c r="BE112" s="404"/>
      <c r="BF112" s="380"/>
      <c r="BG112" s="380"/>
      <c r="BH112" s="380"/>
      <c r="BI112" s="380"/>
      <c r="BJ112" s="380"/>
      <c r="BK112" s="380"/>
      <c r="BL112" s="380"/>
      <c r="BM112" s="403"/>
      <c r="BS112" s="83"/>
      <c r="CA112" s="405"/>
      <c r="CG112" s="83"/>
      <c r="CO112" s="405"/>
      <c r="CU112" s="83"/>
      <c r="DC112" s="405"/>
      <c r="DI112" s="83"/>
      <c r="DQ112" s="405"/>
      <c r="DW112" s="83"/>
      <c r="EE112" s="405"/>
      <c r="EK112" s="83"/>
      <c r="ES112" s="405"/>
      <c r="EY112" s="83"/>
      <c r="FG112" s="405"/>
      <c r="FM112" s="83"/>
      <c r="FU112" s="405"/>
      <c r="GA112" s="83"/>
      <c r="GI112" s="405"/>
      <c r="GO112" s="83"/>
      <c r="GW112" s="405"/>
      <c r="HC112" s="83"/>
      <c r="HK112" s="405"/>
      <c r="HQ112" s="83"/>
      <c r="HY112" s="405"/>
      <c r="IE112" s="83"/>
      <c r="IM112" s="405"/>
      <c r="IS112" s="83"/>
      <c r="JA112" s="405"/>
      <c r="JG112" s="83"/>
      <c r="JO112" s="405"/>
      <c r="JU112" s="83"/>
      <c r="KC112" s="405"/>
      <c r="KI112" s="83"/>
      <c r="KQ112" s="405"/>
      <c r="KW112" s="83"/>
      <c r="LE112" s="405"/>
      <c r="LK112" s="83"/>
      <c r="LS112" s="405"/>
      <c r="LY112" s="83"/>
      <c r="MG112" s="405"/>
      <c r="MM112" s="83"/>
      <c r="MU112" s="405"/>
      <c r="NA112" s="83"/>
    </row>
    <row r="113">
      <c r="A113" s="380"/>
      <c r="B113" s="380"/>
      <c r="C113" s="380"/>
      <c r="D113" s="380"/>
      <c r="E113" s="380"/>
      <c r="F113" s="380"/>
      <c r="G113" s="380"/>
      <c r="H113" s="380"/>
      <c r="I113" s="403"/>
      <c r="J113" s="380"/>
      <c r="K113" s="380"/>
      <c r="L113" s="380"/>
      <c r="M113" s="380"/>
      <c r="N113" s="380"/>
      <c r="O113" s="404"/>
      <c r="P113" s="380"/>
      <c r="Q113" s="380"/>
      <c r="R113" s="380"/>
      <c r="S113" s="380"/>
      <c r="T113" s="380"/>
      <c r="U113" s="380"/>
      <c r="V113" s="380"/>
      <c r="W113" s="403"/>
      <c r="X113" s="380"/>
      <c r="Y113" s="380"/>
      <c r="Z113" s="380"/>
      <c r="AA113" s="380"/>
      <c r="AB113" s="380"/>
      <c r="AC113" s="404"/>
      <c r="AD113" s="380"/>
      <c r="AE113" s="380"/>
      <c r="AF113" s="380"/>
      <c r="AG113" s="380"/>
      <c r="AH113" s="380"/>
      <c r="AI113" s="380"/>
      <c r="AJ113" s="380"/>
      <c r="AK113" s="403"/>
      <c r="AL113" s="380"/>
      <c r="AM113" s="380"/>
      <c r="AN113" s="380"/>
      <c r="AO113" s="380"/>
      <c r="AP113" s="380"/>
      <c r="AQ113" s="404"/>
      <c r="AR113" s="380"/>
      <c r="AS113" s="380"/>
      <c r="AT113" s="380"/>
      <c r="AU113" s="380"/>
      <c r="AV113" s="380"/>
      <c r="AW113" s="380"/>
      <c r="AX113" s="380"/>
      <c r="AY113" s="403"/>
      <c r="AZ113" s="380"/>
      <c r="BA113" s="380"/>
      <c r="BB113" s="380"/>
      <c r="BC113" s="380"/>
      <c r="BD113" s="380"/>
      <c r="BE113" s="404"/>
      <c r="BF113" s="380"/>
      <c r="BG113" s="380"/>
      <c r="BH113" s="380"/>
      <c r="BI113" s="380"/>
      <c r="BJ113" s="380"/>
      <c r="BK113" s="380"/>
      <c r="BL113" s="380"/>
      <c r="BM113" s="403"/>
      <c r="BS113" s="83"/>
      <c r="CA113" s="405"/>
      <c r="CG113" s="83"/>
      <c r="CO113" s="405"/>
      <c r="CU113" s="83"/>
      <c r="DC113" s="405"/>
      <c r="DI113" s="83"/>
      <c r="DQ113" s="405"/>
      <c r="DW113" s="83"/>
      <c r="EE113" s="405"/>
      <c r="EK113" s="83"/>
      <c r="ES113" s="405"/>
      <c r="EY113" s="83"/>
      <c r="FG113" s="405"/>
      <c r="FM113" s="83"/>
      <c r="FU113" s="405"/>
      <c r="GA113" s="83"/>
      <c r="GI113" s="405"/>
      <c r="GO113" s="83"/>
      <c r="GW113" s="405"/>
      <c r="HC113" s="83"/>
      <c r="HK113" s="405"/>
      <c r="HQ113" s="83"/>
      <c r="HY113" s="405"/>
      <c r="IE113" s="83"/>
      <c r="IM113" s="405"/>
      <c r="IS113" s="83"/>
      <c r="JA113" s="405"/>
      <c r="JG113" s="83"/>
      <c r="JO113" s="405"/>
      <c r="JU113" s="83"/>
      <c r="KC113" s="405"/>
      <c r="KI113" s="83"/>
      <c r="KQ113" s="405"/>
      <c r="KW113" s="83"/>
      <c r="LE113" s="405"/>
      <c r="LK113" s="83"/>
      <c r="LS113" s="405"/>
      <c r="LY113" s="83"/>
      <c r="MG113" s="405"/>
      <c r="MM113" s="83"/>
      <c r="MU113" s="405"/>
      <c r="NA113" s="83"/>
    </row>
    <row r="114">
      <c r="A114" s="380"/>
      <c r="B114" s="380"/>
      <c r="C114" s="380"/>
      <c r="D114" s="380"/>
      <c r="E114" s="380"/>
      <c r="F114" s="380"/>
      <c r="G114" s="380"/>
      <c r="H114" s="380"/>
      <c r="I114" s="403"/>
      <c r="J114" s="380"/>
      <c r="K114" s="380"/>
      <c r="L114" s="380"/>
      <c r="M114" s="380"/>
      <c r="N114" s="380"/>
      <c r="O114" s="404"/>
      <c r="P114" s="380"/>
      <c r="Q114" s="380"/>
      <c r="R114" s="380"/>
      <c r="S114" s="380"/>
      <c r="T114" s="380"/>
      <c r="U114" s="380"/>
      <c r="V114" s="380"/>
      <c r="W114" s="403"/>
      <c r="X114" s="380"/>
      <c r="Y114" s="380"/>
      <c r="Z114" s="380"/>
      <c r="AA114" s="380"/>
      <c r="AB114" s="380"/>
      <c r="AC114" s="404"/>
      <c r="AD114" s="380"/>
      <c r="AE114" s="380"/>
      <c r="AF114" s="380"/>
      <c r="AG114" s="380"/>
      <c r="AH114" s="380"/>
      <c r="AI114" s="380"/>
      <c r="AJ114" s="380"/>
      <c r="AK114" s="403"/>
      <c r="AL114" s="380"/>
      <c r="AM114" s="380"/>
      <c r="AN114" s="380"/>
      <c r="AO114" s="380"/>
      <c r="AP114" s="380"/>
      <c r="AQ114" s="404"/>
      <c r="AR114" s="380"/>
      <c r="AS114" s="380"/>
      <c r="AT114" s="380"/>
      <c r="AU114" s="380"/>
      <c r="AV114" s="380"/>
      <c r="AW114" s="380"/>
      <c r="AX114" s="380"/>
      <c r="AY114" s="403"/>
      <c r="AZ114" s="380"/>
      <c r="BA114" s="380"/>
      <c r="BB114" s="380"/>
      <c r="BC114" s="380"/>
      <c r="BD114" s="380"/>
      <c r="BE114" s="404"/>
      <c r="BF114" s="380"/>
      <c r="BG114" s="380"/>
      <c r="BH114" s="380"/>
      <c r="BI114" s="380"/>
      <c r="BJ114" s="380"/>
      <c r="BK114" s="380"/>
      <c r="BL114" s="380"/>
      <c r="BM114" s="403"/>
      <c r="BS114" s="83"/>
      <c r="CA114" s="405"/>
      <c r="CG114" s="83"/>
      <c r="CO114" s="405"/>
      <c r="CU114" s="83"/>
      <c r="DC114" s="405"/>
      <c r="DI114" s="83"/>
      <c r="DQ114" s="405"/>
      <c r="DW114" s="83"/>
      <c r="EE114" s="405"/>
      <c r="EK114" s="83"/>
      <c r="ES114" s="405"/>
      <c r="EY114" s="83"/>
      <c r="FG114" s="405"/>
      <c r="FM114" s="83"/>
      <c r="FU114" s="405"/>
      <c r="GA114" s="83"/>
      <c r="GI114" s="405"/>
      <c r="GO114" s="83"/>
      <c r="GW114" s="405"/>
      <c r="HC114" s="83"/>
      <c r="HK114" s="405"/>
      <c r="HQ114" s="83"/>
      <c r="HY114" s="405"/>
      <c r="IE114" s="83"/>
      <c r="IM114" s="405"/>
      <c r="IS114" s="83"/>
      <c r="JA114" s="405"/>
      <c r="JG114" s="83"/>
      <c r="JO114" s="405"/>
      <c r="JU114" s="83"/>
      <c r="KC114" s="405"/>
      <c r="KI114" s="83"/>
      <c r="KQ114" s="405"/>
      <c r="KW114" s="83"/>
      <c r="LE114" s="405"/>
      <c r="LK114" s="83"/>
      <c r="LS114" s="405"/>
      <c r="LY114" s="83"/>
      <c r="MG114" s="405"/>
      <c r="MM114" s="83"/>
      <c r="MU114" s="405"/>
      <c r="NA114" s="83"/>
    </row>
    <row r="115">
      <c r="A115" s="380"/>
      <c r="B115" s="380"/>
      <c r="C115" s="380"/>
      <c r="D115" s="380"/>
      <c r="E115" s="380"/>
      <c r="F115" s="380"/>
      <c r="G115" s="380"/>
      <c r="H115" s="380"/>
      <c r="I115" s="403"/>
      <c r="J115" s="380"/>
      <c r="K115" s="380"/>
      <c r="L115" s="380"/>
      <c r="M115" s="380"/>
      <c r="N115" s="380"/>
      <c r="O115" s="404"/>
      <c r="P115" s="380"/>
      <c r="Q115" s="380"/>
      <c r="R115" s="380"/>
      <c r="S115" s="380"/>
      <c r="T115" s="380"/>
      <c r="U115" s="380"/>
      <c r="V115" s="380"/>
      <c r="W115" s="403"/>
      <c r="X115" s="380"/>
      <c r="Y115" s="380"/>
      <c r="Z115" s="380"/>
      <c r="AA115" s="380"/>
      <c r="AB115" s="380"/>
      <c r="AC115" s="404"/>
      <c r="AD115" s="380"/>
      <c r="AE115" s="380"/>
      <c r="AF115" s="380"/>
      <c r="AG115" s="380"/>
      <c r="AH115" s="380"/>
      <c r="AI115" s="380"/>
      <c r="AJ115" s="380"/>
      <c r="AK115" s="403"/>
      <c r="AL115" s="380"/>
      <c r="AM115" s="380"/>
      <c r="AN115" s="380"/>
      <c r="AO115" s="380"/>
      <c r="AP115" s="380"/>
      <c r="AQ115" s="404"/>
      <c r="AR115" s="380"/>
      <c r="AS115" s="380"/>
      <c r="AT115" s="380"/>
      <c r="AU115" s="380"/>
      <c r="AV115" s="380"/>
      <c r="AW115" s="380"/>
      <c r="AX115" s="380"/>
      <c r="AY115" s="403"/>
      <c r="AZ115" s="380"/>
      <c r="BA115" s="380"/>
      <c r="BB115" s="380"/>
      <c r="BC115" s="380"/>
      <c r="BD115" s="380"/>
      <c r="BE115" s="404"/>
      <c r="BF115" s="380"/>
      <c r="BG115" s="380"/>
      <c r="BH115" s="380"/>
      <c r="BI115" s="380"/>
      <c r="BJ115" s="380"/>
      <c r="BK115" s="380"/>
      <c r="BL115" s="380"/>
      <c r="BM115" s="403"/>
      <c r="BS115" s="83"/>
      <c r="CA115" s="405"/>
      <c r="CG115" s="83"/>
      <c r="CO115" s="405"/>
      <c r="CU115" s="83"/>
      <c r="DC115" s="405"/>
      <c r="DI115" s="83"/>
      <c r="DQ115" s="405"/>
      <c r="DW115" s="83"/>
      <c r="EE115" s="405"/>
      <c r="EK115" s="83"/>
      <c r="ES115" s="405"/>
      <c r="EY115" s="83"/>
      <c r="FG115" s="405"/>
      <c r="FM115" s="83"/>
      <c r="FU115" s="405"/>
      <c r="GA115" s="83"/>
      <c r="GI115" s="405"/>
      <c r="GO115" s="83"/>
      <c r="GW115" s="405"/>
      <c r="HC115" s="83"/>
      <c r="HK115" s="405"/>
      <c r="HQ115" s="83"/>
      <c r="HY115" s="405"/>
      <c r="IE115" s="83"/>
      <c r="IM115" s="405"/>
      <c r="IS115" s="83"/>
      <c r="JA115" s="405"/>
      <c r="JG115" s="83"/>
      <c r="JO115" s="405"/>
      <c r="JU115" s="83"/>
      <c r="KC115" s="405"/>
      <c r="KI115" s="83"/>
      <c r="KQ115" s="405"/>
      <c r="KW115" s="83"/>
      <c r="LE115" s="405"/>
      <c r="LK115" s="83"/>
      <c r="LS115" s="405"/>
      <c r="LY115" s="83"/>
      <c r="MG115" s="405"/>
      <c r="MM115" s="83"/>
      <c r="MU115" s="405"/>
      <c r="NA115" s="83"/>
    </row>
    <row r="116">
      <c r="A116" s="380"/>
      <c r="B116" s="380"/>
      <c r="C116" s="380"/>
      <c r="D116" s="380"/>
      <c r="E116" s="380"/>
      <c r="F116" s="380"/>
      <c r="G116" s="380"/>
      <c r="H116" s="380"/>
      <c r="I116" s="403"/>
      <c r="J116" s="380"/>
      <c r="K116" s="380"/>
      <c r="L116" s="380"/>
      <c r="M116" s="380"/>
      <c r="N116" s="380"/>
      <c r="O116" s="404"/>
      <c r="P116" s="380"/>
      <c r="Q116" s="380"/>
      <c r="R116" s="380"/>
      <c r="S116" s="380"/>
      <c r="T116" s="380"/>
      <c r="U116" s="380"/>
      <c r="V116" s="380"/>
      <c r="W116" s="403"/>
      <c r="X116" s="380"/>
      <c r="Y116" s="380"/>
      <c r="Z116" s="380"/>
      <c r="AA116" s="380"/>
      <c r="AB116" s="380"/>
      <c r="AC116" s="404"/>
      <c r="AD116" s="380"/>
      <c r="AE116" s="380"/>
      <c r="AF116" s="380"/>
      <c r="AG116" s="380"/>
      <c r="AH116" s="380"/>
      <c r="AI116" s="380"/>
      <c r="AJ116" s="380"/>
      <c r="AK116" s="403"/>
      <c r="AL116" s="380"/>
      <c r="AM116" s="380"/>
      <c r="AN116" s="380"/>
      <c r="AO116" s="380"/>
      <c r="AP116" s="380"/>
      <c r="AQ116" s="404"/>
      <c r="AR116" s="380"/>
      <c r="AS116" s="380"/>
      <c r="AT116" s="380"/>
      <c r="AU116" s="380"/>
      <c r="AV116" s="380"/>
      <c r="AW116" s="380"/>
      <c r="AX116" s="380"/>
      <c r="AY116" s="403"/>
      <c r="AZ116" s="380"/>
      <c r="BA116" s="380"/>
      <c r="BB116" s="380"/>
      <c r="BC116" s="380"/>
      <c r="BD116" s="380"/>
      <c r="BE116" s="404"/>
      <c r="BF116" s="380"/>
      <c r="BG116" s="380"/>
      <c r="BH116" s="380"/>
      <c r="BI116" s="380"/>
      <c r="BJ116" s="380"/>
      <c r="BK116" s="380"/>
      <c r="BL116" s="380"/>
      <c r="BM116" s="403"/>
      <c r="BS116" s="83"/>
      <c r="CA116" s="405"/>
      <c r="CG116" s="83"/>
      <c r="CO116" s="405"/>
      <c r="CU116" s="83"/>
      <c r="DC116" s="405"/>
      <c r="DI116" s="83"/>
      <c r="DQ116" s="405"/>
      <c r="DW116" s="83"/>
      <c r="EE116" s="405"/>
      <c r="EK116" s="83"/>
      <c r="ES116" s="405"/>
      <c r="EY116" s="83"/>
      <c r="FG116" s="405"/>
      <c r="FM116" s="83"/>
      <c r="FU116" s="405"/>
      <c r="GA116" s="83"/>
      <c r="GI116" s="405"/>
      <c r="GO116" s="83"/>
      <c r="GW116" s="405"/>
      <c r="HC116" s="83"/>
      <c r="HK116" s="405"/>
      <c r="HQ116" s="83"/>
      <c r="HY116" s="405"/>
      <c r="IE116" s="83"/>
      <c r="IM116" s="405"/>
      <c r="IS116" s="83"/>
      <c r="JA116" s="405"/>
      <c r="JG116" s="83"/>
      <c r="JO116" s="405"/>
      <c r="JU116" s="83"/>
      <c r="KC116" s="405"/>
      <c r="KI116" s="83"/>
      <c r="KQ116" s="405"/>
      <c r="KW116" s="83"/>
      <c r="LE116" s="405"/>
      <c r="LK116" s="83"/>
      <c r="LS116" s="405"/>
      <c r="LY116" s="83"/>
      <c r="MG116" s="405"/>
      <c r="MM116" s="83"/>
      <c r="MU116" s="405"/>
      <c r="NA116" s="83"/>
    </row>
    <row r="117">
      <c r="A117" s="380"/>
      <c r="B117" s="380"/>
      <c r="C117" s="380"/>
      <c r="D117" s="380"/>
      <c r="E117" s="380"/>
      <c r="F117" s="380"/>
      <c r="G117" s="380"/>
      <c r="H117" s="380"/>
      <c r="I117" s="403"/>
      <c r="J117" s="380"/>
      <c r="K117" s="380"/>
      <c r="L117" s="380"/>
      <c r="M117" s="380"/>
      <c r="N117" s="380"/>
      <c r="O117" s="404"/>
      <c r="P117" s="380"/>
      <c r="Q117" s="380"/>
      <c r="R117" s="380"/>
      <c r="S117" s="380"/>
      <c r="T117" s="380"/>
      <c r="U117" s="380"/>
      <c r="V117" s="380"/>
      <c r="W117" s="403"/>
      <c r="X117" s="380"/>
      <c r="Y117" s="380"/>
      <c r="Z117" s="380"/>
      <c r="AA117" s="380"/>
      <c r="AB117" s="380"/>
      <c r="AC117" s="404"/>
      <c r="AD117" s="380"/>
      <c r="AE117" s="380"/>
      <c r="AF117" s="380"/>
      <c r="AG117" s="380"/>
      <c r="AH117" s="380"/>
      <c r="AI117" s="380"/>
      <c r="AJ117" s="380"/>
      <c r="AK117" s="403"/>
      <c r="AL117" s="380"/>
      <c r="AM117" s="380"/>
      <c r="AN117" s="380"/>
      <c r="AO117" s="380"/>
      <c r="AP117" s="380"/>
      <c r="AQ117" s="404"/>
      <c r="AR117" s="380"/>
      <c r="AS117" s="380"/>
      <c r="AT117" s="380"/>
      <c r="AU117" s="380"/>
      <c r="AV117" s="380"/>
      <c r="AW117" s="380"/>
      <c r="AX117" s="380"/>
      <c r="AY117" s="403"/>
      <c r="AZ117" s="380"/>
      <c r="BA117" s="380"/>
      <c r="BB117" s="380"/>
      <c r="BC117" s="380"/>
      <c r="BD117" s="380"/>
      <c r="BE117" s="404"/>
      <c r="BF117" s="380"/>
      <c r="BG117" s="380"/>
      <c r="BH117" s="380"/>
      <c r="BI117" s="380"/>
      <c r="BJ117" s="380"/>
      <c r="BK117" s="380"/>
      <c r="BL117" s="380"/>
      <c r="BM117" s="403"/>
      <c r="BS117" s="83"/>
      <c r="CA117" s="405"/>
      <c r="CG117" s="83"/>
      <c r="CO117" s="405"/>
      <c r="CU117" s="83"/>
      <c r="DC117" s="405"/>
      <c r="DI117" s="83"/>
      <c r="DQ117" s="405"/>
      <c r="DW117" s="83"/>
      <c r="EE117" s="405"/>
      <c r="EK117" s="83"/>
      <c r="ES117" s="405"/>
      <c r="EY117" s="83"/>
      <c r="FG117" s="405"/>
      <c r="FM117" s="83"/>
      <c r="FU117" s="405"/>
      <c r="GA117" s="83"/>
      <c r="GI117" s="405"/>
      <c r="GO117" s="83"/>
      <c r="GW117" s="405"/>
      <c r="HC117" s="83"/>
      <c r="HK117" s="405"/>
      <c r="HQ117" s="83"/>
      <c r="HY117" s="405"/>
      <c r="IE117" s="83"/>
      <c r="IM117" s="405"/>
      <c r="IS117" s="83"/>
      <c r="JA117" s="405"/>
      <c r="JG117" s="83"/>
      <c r="JO117" s="405"/>
      <c r="JU117" s="83"/>
      <c r="KC117" s="405"/>
      <c r="KI117" s="83"/>
      <c r="KQ117" s="405"/>
      <c r="KW117" s="83"/>
      <c r="LE117" s="405"/>
      <c r="LK117" s="83"/>
      <c r="LS117" s="405"/>
      <c r="LY117" s="83"/>
      <c r="MG117" s="405"/>
      <c r="MM117" s="83"/>
      <c r="MU117" s="405"/>
      <c r="NA117" s="83"/>
    </row>
    <row r="118">
      <c r="A118" s="380"/>
      <c r="B118" s="380"/>
      <c r="C118" s="380"/>
      <c r="D118" s="380"/>
      <c r="E118" s="380"/>
      <c r="F118" s="380"/>
      <c r="G118" s="380"/>
      <c r="H118" s="380"/>
      <c r="I118" s="403"/>
      <c r="J118" s="380"/>
      <c r="K118" s="380"/>
      <c r="L118" s="380"/>
      <c r="M118" s="380"/>
      <c r="N118" s="380"/>
      <c r="O118" s="404"/>
      <c r="P118" s="380"/>
      <c r="Q118" s="380"/>
      <c r="R118" s="380"/>
      <c r="S118" s="380"/>
      <c r="T118" s="380"/>
      <c r="U118" s="380"/>
      <c r="V118" s="380"/>
      <c r="W118" s="403"/>
      <c r="X118" s="380"/>
      <c r="Y118" s="380"/>
      <c r="Z118" s="380"/>
      <c r="AA118" s="380"/>
      <c r="AB118" s="380"/>
      <c r="AC118" s="404"/>
      <c r="AD118" s="380"/>
      <c r="AE118" s="380"/>
      <c r="AF118" s="380"/>
      <c r="AG118" s="380"/>
      <c r="AH118" s="380"/>
      <c r="AI118" s="380"/>
      <c r="AJ118" s="380"/>
      <c r="AK118" s="403"/>
      <c r="AL118" s="380"/>
      <c r="AM118" s="380"/>
      <c r="AN118" s="380"/>
      <c r="AO118" s="380"/>
      <c r="AP118" s="380"/>
      <c r="AQ118" s="404"/>
      <c r="AR118" s="380"/>
      <c r="AS118" s="380"/>
      <c r="AT118" s="380"/>
      <c r="AU118" s="380"/>
      <c r="AV118" s="380"/>
      <c r="AW118" s="380"/>
      <c r="AX118" s="380"/>
      <c r="AY118" s="403"/>
      <c r="AZ118" s="380"/>
      <c r="BA118" s="380"/>
      <c r="BB118" s="380"/>
      <c r="BC118" s="380"/>
      <c r="BD118" s="380"/>
      <c r="BE118" s="404"/>
      <c r="BF118" s="380"/>
      <c r="BG118" s="380"/>
      <c r="BH118" s="380"/>
      <c r="BI118" s="380"/>
      <c r="BJ118" s="380"/>
      <c r="BK118" s="380"/>
      <c r="BL118" s="380"/>
      <c r="BM118" s="403"/>
      <c r="BS118" s="83"/>
      <c r="CA118" s="405"/>
      <c r="CG118" s="83"/>
      <c r="CO118" s="405"/>
      <c r="CU118" s="83"/>
      <c r="DC118" s="405"/>
      <c r="DI118" s="83"/>
      <c r="DQ118" s="405"/>
      <c r="DW118" s="83"/>
      <c r="EE118" s="405"/>
      <c r="EK118" s="83"/>
      <c r="ES118" s="405"/>
      <c r="EY118" s="83"/>
      <c r="FG118" s="405"/>
      <c r="FM118" s="83"/>
      <c r="FU118" s="405"/>
      <c r="GA118" s="83"/>
      <c r="GI118" s="405"/>
      <c r="GO118" s="83"/>
      <c r="GW118" s="405"/>
      <c r="HC118" s="83"/>
      <c r="HK118" s="405"/>
      <c r="HQ118" s="83"/>
      <c r="HY118" s="405"/>
      <c r="IE118" s="83"/>
      <c r="IM118" s="405"/>
      <c r="IS118" s="83"/>
      <c r="JA118" s="405"/>
      <c r="JG118" s="83"/>
      <c r="JO118" s="405"/>
      <c r="JU118" s="83"/>
      <c r="KC118" s="405"/>
      <c r="KI118" s="83"/>
      <c r="KQ118" s="405"/>
      <c r="KW118" s="83"/>
      <c r="LE118" s="405"/>
      <c r="LK118" s="83"/>
      <c r="LS118" s="405"/>
      <c r="LY118" s="83"/>
      <c r="MG118" s="405"/>
      <c r="MM118" s="83"/>
      <c r="MU118" s="405"/>
      <c r="NA118" s="83"/>
    </row>
    <row r="119">
      <c r="A119" s="380"/>
      <c r="B119" s="380"/>
      <c r="C119" s="380"/>
      <c r="D119" s="380"/>
      <c r="E119" s="380"/>
      <c r="F119" s="380"/>
      <c r="G119" s="380"/>
      <c r="H119" s="380"/>
      <c r="I119" s="403"/>
      <c r="J119" s="380"/>
      <c r="K119" s="380"/>
      <c r="L119" s="380"/>
      <c r="M119" s="380"/>
      <c r="N119" s="380"/>
      <c r="O119" s="404"/>
      <c r="P119" s="380"/>
      <c r="Q119" s="380"/>
      <c r="R119" s="380"/>
      <c r="S119" s="380"/>
      <c r="T119" s="380"/>
      <c r="U119" s="380"/>
      <c r="V119" s="380"/>
      <c r="W119" s="403"/>
      <c r="X119" s="380"/>
      <c r="Y119" s="380"/>
      <c r="Z119" s="380"/>
      <c r="AA119" s="380"/>
      <c r="AB119" s="380"/>
      <c r="AC119" s="404"/>
      <c r="AD119" s="380"/>
      <c r="AE119" s="380"/>
      <c r="AF119" s="380"/>
      <c r="AG119" s="380"/>
      <c r="AH119" s="380"/>
      <c r="AI119" s="380"/>
      <c r="AJ119" s="380"/>
      <c r="AK119" s="403"/>
      <c r="AL119" s="380"/>
      <c r="AM119" s="380"/>
      <c r="AN119" s="380"/>
      <c r="AO119" s="380"/>
      <c r="AP119" s="380"/>
      <c r="AQ119" s="404"/>
      <c r="AR119" s="380"/>
      <c r="AS119" s="380"/>
      <c r="AT119" s="380"/>
      <c r="AU119" s="380"/>
      <c r="AV119" s="380"/>
      <c r="AW119" s="380"/>
      <c r="AX119" s="380"/>
      <c r="AY119" s="403"/>
      <c r="AZ119" s="380"/>
      <c r="BA119" s="380"/>
      <c r="BB119" s="380"/>
      <c r="BC119" s="380"/>
      <c r="BD119" s="380"/>
      <c r="BE119" s="404"/>
      <c r="BF119" s="380"/>
      <c r="BG119" s="380"/>
      <c r="BH119" s="380"/>
      <c r="BI119" s="380"/>
      <c r="BJ119" s="380"/>
      <c r="BK119" s="380"/>
      <c r="BL119" s="380"/>
      <c r="BM119" s="403"/>
      <c r="BS119" s="83"/>
      <c r="CA119" s="405"/>
      <c r="CG119" s="83"/>
      <c r="CO119" s="405"/>
      <c r="CU119" s="83"/>
      <c r="DC119" s="405"/>
      <c r="DI119" s="83"/>
      <c r="DQ119" s="405"/>
      <c r="DW119" s="83"/>
      <c r="EE119" s="405"/>
      <c r="EK119" s="83"/>
      <c r="ES119" s="405"/>
      <c r="EY119" s="83"/>
      <c r="FG119" s="405"/>
      <c r="FM119" s="83"/>
      <c r="FU119" s="405"/>
      <c r="GA119" s="83"/>
      <c r="GI119" s="405"/>
      <c r="GO119" s="83"/>
      <c r="GW119" s="405"/>
      <c r="HC119" s="83"/>
      <c r="HK119" s="405"/>
      <c r="HQ119" s="83"/>
      <c r="HY119" s="405"/>
      <c r="IE119" s="83"/>
      <c r="IM119" s="405"/>
      <c r="IS119" s="83"/>
      <c r="JA119" s="405"/>
      <c r="JG119" s="83"/>
      <c r="JO119" s="405"/>
      <c r="JU119" s="83"/>
      <c r="KC119" s="405"/>
      <c r="KI119" s="83"/>
      <c r="KQ119" s="405"/>
      <c r="KW119" s="83"/>
      <c r="LE119" s="405"/>
      <c r="LK119" s="83"/>
      <c r="LS119" s="405"/>
      <c r="LY119" s="83"/>
      <c r="MG119" s="405"/>
      <c r="MM119" s="83"/>
      <c r="MU119" s="405"/>
      <c r="NA119" s="83"/>
    </row>
    <row r="120">
      <c r="A120" s="380"/>
      <c r="B120" s="380"/>
      <c r="C120" s="380"/>
      <c r="D120" s="380"/>
      <c r="E120" s="380"/>
      <c r="F120" s="380"/>
      <c r="G120" s="380"/>
      <c r="H120" s="380"/>
      <c r="I120" s="403"/>
      <c r="J120" s="380"/>
      <c r="K120" s="380"/>
      <c r="L120" s="380"/>
      <c r="M120" s="380"/>
      <c r="N120" s="380"/>
      <c r="O120" s="404"/>
      <c r="P120" s="380"/>
      <c r="Q120" s="380"/>
      <c r="R120" s="380"/>
      <c r="S120" s="380"/>
      <c r="T120" s="380"/>
      <c r="U120" s="380"/>
      <c r="V120" s="380"/>
      <c r="W120" s="403"/>
      <c r="X120" s="380"/>
      <c r="Y120" s="380"/>
      <c r="Z120" s="380"/>
      <c r="AA120" s="380"/>
      <c r="AB120" s="380"/>
      <c r="AC120" s="404"/>
      <c r="AD120" s="380"/>
      <c r="AE120" s="380"/>
      <c r="AF120" s="380"/>
      <c r="AG120" s="380"/>
      <c r="AH120" s="380"/>
      <c r="AI120" s="380"/>
      <c r="AJ120" s="380"/>
      <c r="AK120" s="403"/>
      <c r="AL120" s="380"/>
      <c r="AM120" s="380"/>
      <c r="AN120" s="380"/>
      <c r="AO120" s="380"/>
      <c r="AP120" s="380"/>
      <c r="AQ120" s="404"/>
      <c r="AR120" s="380"/>
      <c r="AS120" s="380"/>
      <c r="AT120" s="380"/>
      <c r="AU120" s="380"/>
      <c r="AV120" s="380"/>
      <c r="AW120" s="380"/>
      <c r="AX120" s="380"/>
      <c r="AY120" s="403"/>
      <c r="AZ120" s="380"/>
      <c r="BA120" s="380"/>
      <c r="BB120" s="380"/>
      <c r="BC120" s="380"/>
      <c r="BD120" s="380"/>
      <c r="BE120" s="404"/>
      <c r="BF120" s="380"/>
      <c r="BG120" s="380"/>
      <c r="BH120" s="380"/>
      <c r="BI120" s="380"/>
      <c r="BJ120" s="380"/>
      <c r="BK120" s="380"/>
      <c r="BL120" s="380"/>
      <c r="BM120" s="403"/>
      <c r="BS120" s="83"/>
      <c r="CA120" s="405"/>
      <c r="CG120" s="83"/>
      <c r="CO120" s="405"/>
      <c r="CU120" s="83"/>
      <c r="DC120" s="405"/>
      <c r="DI120" s="83"/>
      <c r="DQ120" s="405"/>
      <c r="DW120" s="83"/>
      <c r="EE120" s="405"/>
      <c r="EK120" s="83"/>
      <c r="ES120" s="405"/>
      <c r="EY120" s="83"/>
      <c r="FG120" s="405"/>
      <c r="FM120" s="83"/>
      <c r="FU120" s="405"/>
      <c r="GA120" s="83"/>
      <c r="GI120" s="405"/>
      <c r="GO120" s="83"/>
      <c r="GW120" s="405"/>
      <c r="HC120" s="83"/>
      <c r="HK120" s="405"/>
      <c r="HQ120" s="83"/>
      <c r="HY120" s="405"/>
      <c r="IE120" s="83"/>
      <c r="IM120" s="405"/>
      <c r="IS120" s="83"/>
      <c r="JA120" s="405"/>
      <c r="JG120" s="83"/>
      <c r="JO120" s="405"/>
      <c r="JU120" s="83"/>
      <c r="KC120" s="405"/>
      <c r="KI120" s="83"/>
      <c r="KQ120" s="405"/>
      <c r="KW120" s="83"/>
      <c r="LE120" s="405"/>
      <c r="LK120" s="83"/>
      <c r="LS120" s="405"/>
      <c r="LY120" s="83"/>
      <c r="MG120" s="405"/>
      <c r="MM120" s="83"/>
      <c r="MU120" s="405"/>
      <c r="NA120" s="83"/>
    </row>
    <row r="121">
      <c r="A121" s="380"/>
      <c r="B121" s="380"/>
      <c r="C121" s="380"/>
      <c r="D121" s="380"/>
      <c r="E121" s="380"/>
      <c r="F121" s="380"/>
      <c r="G121" s="380"/>
      <c r="H121" s="380"/>
      <c r="I121" s="403"/>
      <c r="J121" s="380"/>
      <c r="K121" s="380"/>
      <c r="L121" s="380"/>
      <c r="M121" s="380"/>
      <c r="N121" s="380"/>
      <c r="O121" s="404"/>
      <c r="P121" s="380"/>
      <c r="Q121" s="380"/>
      <c r="R121" s="380"/>
      <c r="S121" s="380"/>
      <c r="T121" s="380"/>
      <c r="U121" s="380"/>
      <c r="V121" s="380"/>
      <c r="W121" s="403"/>
      <c r="X121" s="380"/>
      <c r="Y121" s="380"/>
      <c r="Z121" s="380"/>
      <c r="AA121" s="380"/>
      <c r="AB121" s="380"/>
      <c r="AC121" s="404"/>
      <c r="AD121" s="380"/>
      <c r="AE121" s="380"/>
      <c r="AF121" s="380"/>
      <c r="AG121" s="380"/>
      <c r="AH121" s="380"/>
      <c r="AI121" s="380"/>
      <c r="AJ121" s="380"/>
      <c r="AK121" s="403"/>
      <c r="AL121" s="380"/>
      <c r="AM121" s="380"/>
      <c r="AN121" s="380"/>
      <c r="AO121" s="380"/>
      <c r="AP121" s="380"/>
      <c r="AQ121" s="404"/>
      <c r="AR121" s="380"/>
      <c r="AS121" s="380"/>
      <c r="AT121" s="380"/>
      <c r="AU121" s="380"/>
      <c r="AV121" s="380"/>
      <c r="AW121" s="380"/>
      <c r="AX121" s="380"/>
      <c r="AY121" s="403"/>
      <c r="AZ121" s="380"/>
      <c r="BA121" s="380"/>
      <c r="BB121" s="380"/>
      <c r="BC121" s="380"/>
      <c r="BD121" s="380"/>
      <c r="BE121" s="404"/>
      <c r="BF121" s="380"/>
      <c r="BG121" s="380"/>
      <c r="BH121" s="380"/>
      <c r="BI121" s="380"/>
      <c r="BJ121" s="380"/>
      <c r="BK121" s="380"/>
      <c r="BL121" s="380"/>
      <c r="BM121" s="403"/>
      <c r="BS121" s="83"/>
      <c r="CA121" s="405"/>
      <c r="CG121" s="83"/>
      <c r="CO121" s="405"/>
      <c r="CU121" s="83"/>
      <c r="DC121" s="405"/>
      <c r="DI121" s="83"/>
      <c r="DQ121" s="405"/>
      <c r="DW121" s="83"/>
      <c r="EE121" s="405"/>
      <c r="EK121" s="83"/>
      <c r="ES121" s="405"/>
      <c r="EY121" s="83"/>
      <c r="FG121" s="405"/>
      <c r="FM121" s="83"/>
      <c r="FU121" s="405"/>
      <c r="GA121" s="83"/>
      <c r="GI121" s="405"/>
      <c r="GO121" s="83"/>
      <c r="GW121" s="405"/>
      <c r="HC121" s="83"/>
      <c r="HK121" s="405"/>
      <c r="HQ121" s="83"/>
      <c r="HY121" s="405"/>
      <c r="IE121" s="83"/>
      <c r="IM121" s="405"/>
      <c r="IS121" s="83"/>
      <c r="JA121" s="405"/>
      <c r="JG121" s="83"/>
      <c r="JO121" s="405"/>
      <c r="JU121" s="83"/>
      <c r="KC121" s="405"/>
      <c r="KI121" s="83"/>
      <c r="KQ121" s="405"/>
      <c r="KW121" s="83"/>
      <c r="LE121" s="405"/>
      <c r="LK121" s="83"/>
      <c r="LS121" s="405"/>
      <c r="LY121" s="83"/>
      <c r="MG121" s="405"/>
      <c r="MM121" s="83"/>
      <c r="MU121" s="405"/>
      <c r="NA121" s="83"/>
    </row>
    <row r="122">
      <c r="A122" s="380"/>
      <c r="B122" s="380"/>
      <c r="C122" s="380"/>
      <c r="D122" s="380"/>
      <c r="E122" s="380"/>
      <c r="F122" s="380"/>
      <c r="G122" s="380"/>
      <c r="H122" s="380"/>
      <c r="I122" s="403"/>
      <c r="J122" s="380"/>
      <c r="K122" s="380"/>
      <c r="L122" s="380"/>
      <c r="M122" s="380"/>
      <c r="N122" s="380"/>
      <c r="O122" s="404"/>
      <c r="P122" s="380"/>
      <c r="Q122" s="380"/>
      <c r="R122" s="380"/>
      <c r="S122" s="380"/>
      <c r="T122" s="380"/>
      <c r="U122" s="380"/>
      <c r="V122" s="380"/>
      <c r="W122" s="403"/>
      <c r="X122" s="380"/>
      <c r="Y122" s="380"/>
      <c r="Z122" s="380"/>
      <c r="AA122" s="380"/>
      <c r="AB122" s="380"/>
      <c r="AC122" s="404"/>
      <c r="AD122" s="380"/>
      <c r="AE122" s="380"/>
      <c r="AF122" s="380"/>
      <c r="AG122" s="380"/>
      <c r="AH122" s="380"/>
      <c r="AI122" s="380"/>
      <c r="AJ122" s="380"/>
      <c r="AK122" s="403"/>
      <c r="AL122" s="380"/>
      <c r="AM122" s="380"/>
      <c r="AN122" s="380"/>
      <c r="AO122" s="380"/>
      <c r="AP122" s="380"/>
      <c r="AQ122" s="404"/>
      <c r="AR122" s="380"/>
      <c r="AS122" s="380"/>
      <c r="AT122" s="380"/>
      <c r="AU122" s="380"/>
      <c r="AV122" s="380"/>
      <c r="AW122" s="380"/>
      <c r="AX122" s="380"/>
      <c r="AY122" s="403"/>
      <c r="AZ122" s="380"/>
      <c r="BA122" s="380"/>
      <c r="BB122" s="380"/>
      <c r="BC122" s="380"/>
      <c r="BD122" s="380"/>
      <c r="BE122" s="404"/>
      <c r="BF122" s="380"/>
      <c r="BG122" s="380"/>
      <c r="BH122" s="380"/>
      <c r="BI122" s="380"/>
      <c r="BJ122" s="380"/>
      <c r="BK122" s="380"/>
      <c r="BL122" s="380"/>
      <c r="BM122" s="403"/>
      <c r="BS122" s="83"/>
      <c r="CA122" s="405"/>
      <c r="CG122" s="83"/>
      <c r="CO122" s="405"/>
      <c r="CU122" s="83"/>
      <c r="DC122" s="405"/>
      <c r="DI122" s="83"/>
      <c r="DQ122" s="405"/>
      <c r="DW122" s="83"/>
      <c r="EE122" s="405"/>
      <c r="EK122" s="83"/>
      <c r="ES122" s="405"/>
      <c r="EY122" s="83"/>
      <c r="FG122" s="405"/>
      <c r="FM122" s="83"/>
      <c r="FU122" s="405"/>
      <c r="GA122" s="83"/>
      <c r="GI122" s="405"/>
      <c r="GO122" s="83"/>
      <c r="GW122" s="405"/>
      <c r="HC122" s="83"/>
      <c r="HK122" s="405"/>
      <c r="HQ122" s="83"/>
      <c r="HY122" s="405"/>
      <c r="IE122" s="83"/>
      <c r="IM122" s="405"/>
      <c r="IS122" s="83"/>
      <c r="JA122" s="405"/>
      <c r="JG122" s="83"/>
      <c r="JO122" s="405"/>
      <c r="JU122" s="83"/>
      <c r="KC122" s="405"/>
      <c r="KI122" s="83"/>
      <c r="KQ122" s="405"/>
      <c r="KW122" s="83"/>
      <c r="LE122" s="405"/>
      <c r="LK122" s="83"/>
      <c r="LS122" s="405"/>
      <c r="LY122" s="83"/>
      <c r="MG122" s="405"/>
      <c r="MM122" s="83"/>
      <c r="MU122" s="405"/>
      <c r="NA122" s="83"/>
    </row>
    <row r="123">
      <c r="A123" s="380"/>
      <c r="B123" s="380"/>
      <c r="C123" s="380"/>
      <c r="D123" s="380"/>
      <c r="E123" s="380"/>
      <c r="F123" s="380"/>
      <c r="G123" s="380"/>
      <c r="H123" s="380"/>
      <c r="I123" s="403"/>
      <c r="J123" s="380"/>
      <c r="K123" s="380"/>
      <c r="L123" s="380"/>
      <c r="M123" s="380"/>
      <c r="N123" s="380"/>
      <c r="O123" s="404"/>
      <c r="P123" s="380"/>
      <c r="Q123" s="380"/>
      <c r="R123" s="380"/>
      <c r="S123" s="380"/>
      <c r="T123" s="380"/>
      <c r="U123" s="380"/>
      <c r="V123" s="380"/>
      <c r="W123" s="403"/>
      <c r="X123" s="380"/>
      <c r="Y123" s="380"/>
      <c r="Z123" s="380"/>
      <c r="AA123" s="380"/>
      <c r="AB123" s="380"/>
      <c r="AC123" s="404"/>
      <c r="AD123" s="380"/>
      <c r="AE123" s="380"/>
      <c r="AF123" s="380"/>
      <c r="AG123" s="380"/>
      <c r="AH123" s="380"/>
      <c r="AI123" s="380"/>
      <c r="AJ123" s="380"/>
      <c r="AK123" s="403"/>
      <c r="AL123" s="380"/>
      <c r="AM123" s="380"/>
      <c r="AN123" s="380"/>
      <c r="AO123" s="380"/>
      <c r="AP123" s="380"/>
      <c r="AQ123" s="404"/>
      <c r="AR123" s="380"/>
      <c r="AS123" s="380"/>
      <c r="AT123" s="380"/>
      <c r="AU123" s="380"/>
      <c r="AV123" s="380"/>
      <c r="AW123" s="380"/>
      <c r="AX123" s="380"/>
      <c r="AY123" s="403"/>
      <c r="AZ123" s="380"/>
      <c r="BA123" s="380"/>
      <c r="BB123" s="380"/>
      <c r="BC123" s="380"/>
      <c r="BD123" s="380"/>
      <c r="BE123" s="404"/>
      <c r="BF123" s="380"/>
      <c r="BG123" s="380"/>
      <c r="BH123" s="380"/>
      <c r="BI123" s="380"/>
      <c r="BJ123" s="380"/>
      <c r="BK123" s="380"/>
      <c r="BL123" s="380"/>
      <c r="BM123" s="403"/>
      <c r="BS123" s="83"/>
      <c r="CA123" s="405"/>
      <c r="CG123" s="83"/>
      <c r="CO123" s="405"/>
      <c r="CU123" s="83"/>
      <c r="DC123" s="405"/>
      <c r="DI123" s="83"/>
      <c r="DQ123" s="405"/>
      <c r="DW123" s="83"/>
      <c r="EE123" s="405"/>
      <c r="EK123" s="83"/>
      <c r="ES123" s="405"/>
      <c r="EY123" s="83"/>
      <c r="FG123" s="405"/>
      <c r="FM123" s="83"/>
      <c r="FU123" s="405"/>
      <c r="GA123" s="83"/>
      <c r="GI123" s="405"/>
      <c r="GO123" s="83"/>
      <c r="GW123" s="405"/>
      <c r="HC123" s="83"/>
      <c r="HK123" s="405"/>
      <c r="HQ123" s="83"/>
      <c r="HY123" s="405"/>
      <c r="IE123" s="83"/>
      <c r="IM123" s="405"/>
      <c r="IS123" s="83"/>
      <c r="JA123" s="405"/>
      <c r="JG123" s="83"/>
      <c r="JO123" s="405"/>
      <c r="JU123" s="83"/>
      <c r="KC123" s="405"/>
      <c r="KI123" s="83"/>
      <c r="KQ123" s="405"/>
      <c r="KW123" s="83"/>
      <c r="LE123" s="405"/>
      <c r="LK123" s="83"/>
      <c r="LS123" s="405"/>
      <c r="LY123" s="83"/>
      <c r="MG123" s="405"/>
      <c r="MM123" s="83"/>
      <c r="MU123" s="405"/>
      <c r="NA123" s="83"/>
    </row>
    <row r="124">
      <c r="A124" s="380"/>
      <c r="B124" s="380"/>
      <c r="C124" s="380"/>
      <c r="D124" s="380"/>
      <c r="E124" s="380"/>
      <c r="F124" s="380"/>
      <c r="G124" s="380"/>
      <c r="H124" s="380"/>
      <c r="I124" s="403"/>
      <c r="J124" s="380"/>
      <c r="K124" s="380"/>
      <c r="L124" s="380"/>
      <c r="M124" s="380"/>
      <c r="N124" s="380"/>
      <c r="O124" s="404"/>
      <c r="P124" s="380"/>
      <c r="Q124" s="380"/>
      <c r="R124" s="380"/>
      <c r="S124" s="380"/>
      <c r="T124" s="380"/>
      <c r="U124" s="380"/>
      <c r="V124" s="380"/>
      <c r="W124" s="403"/>
      <c r="X124" s="380"/>
      <c r="Y124" s="380"/>
      <c r="Z124" s="380"/>
      <c r="AA124" s="380"/>
      <c r="AB124" s="380"/>
      <c r="AC124" s="404"/>
      <c r="AD124" s="380"/>
      <c r="AE124" s="380"/>
      <c r="AF124" s="380"/>
      <c r="AG124" s="380"/>
      <c r="AH124" s="380"/>
      <c r="AI124" s="380"/>
      <c r="AJ124" s="380"/>
      <c r="AK124" s="403"/>
      <c r="AL124" s="380"/>
      <c r="AM124" s="380"/>
      <c r="AN124" s="380"/>
      <c r="AO124" s="380"/>
      <c r="AP124" s="380"/>
      <c r="AQ124" s="404"/>
      <c r="AR124" s="380"/>
      <c r="AS124" s="380"/>
      <c r="AT124" s="380"/>
      <c r="AU124" s="380"/>
      <c r="AV124" s="380"/>
      <c r="AW124" s="380"/>
      <c r="AX124" s="380"/>
      <c r="AY124" s="403"/>
      <c r="AZ124" s="380"/>
      <c r="BA124" s="380"/>
      <c r="BB124" s="380"/>
      <c r="BC124" s="380"/>
      <c r="BD124" s="380"/>
      <c r="BE124" s="404"/>
      <c r="BF124" s="380"/>
      <c r="BG124" s="380"/>
      <c r="BH124" s="380"/>
      <c r="BI124" s="380"/>
      <c r="BJ124" s="380"/>
      <c r="BK124" s="380"/>
      <c r="BL124" s="380"/>
      <c r="BM124" s="403"/>
      <c r="BS124" s="83"/>
      <c r="CA124" s="405"/>
      <c r="CG124" s="83"/>
      <c r="CO124" s="405"/>
      <c r="CU124" s="83"/>
      <c r="DC124" s="405"/>
      <c r="DI124" s="83"/>
      <c r="DQ124" s="405"/>
      <c r="DW124" s="83"/>
      <c r="EE124" s="405"/>
      <c r="EK124" s="83"/>
      <c r="ES124" s="405"/>
      <c r="EY124" s="83"/>
      <c r="FG124" s="405"/>
      <c r="FM124" s="83"/>
      <c r="FU124" s="405"/>
      <c r="GA124" s="83"/>
      <c r="GI124" s="405"/>
      <c r="GO124" s="83"/>
      <c r="GW124" s="405"/>
      <c r="HC124" s="83"/>
      <c r="HK124" s="405"/>
      <c r="HQ124" s="83"/>
      <c r="HY124" s="405"/>
      <c r="IE124" s="83"/>
      <c r="IM124" s="405"/>
      <c r="IS124" s="83"/>
      <c r="JA124" s="405"/>
      <c r="JG124" s="83"/>
      <c r="JO124" s="405"/>
      <c r="JU124" s="83"/>
      <c r="KC124" s="405"/>
      <c r="KI124" s="83"/>
      <c r="KQ124" s="405"/>
      <c r="KW124" s="83"/>
      <c r="LE124" s="405"/>
      <c r="LK124" s="83"/>
      <c r="LS124" s="405"/>
      <c r="LY124" s="83"/>
      <c r="MG124" s="405"/>
      <c r="MM124" s="83"/>
      <c r="MU124" s="405"/>
      <c r="NA124" s="83"/>
    </row>
    <row r="125">
      <c r="A125" s="380"/>
      <c r="B125" s="380"/>
      <c r="C125" s="380"/>
      <c r="D125" s="380"/>
      <c r="E125" s="380"/>
      <c r="F125" s="380"/>
      <c r="G125" s="380"/>
      <c r="H125" s="380"/>
      <c r="I125" s="403"/>
      <c r="J125" s="380"/>
      <c r="K125" s="380"/>
      <c r="L125" s="380"/>
      <c r="M125" s="380"/>
      <c r="N125" s="380"/>
      <c r="O125" s="404"/>
      <c r="P125" s="380"/>
      <c r="Q125" s="380"/>
      <c r="R125" s="380"/>
      <c r="S125" s="380"/>
      <c r="T125" s="380"/>
      <c r="U125" s="380"/>
      <c r="V125" s="380"/>
      <c r="W125" s="403"/>
      <c r="X125" s="380"/>
      <c r="Y125" s="380"/>
      <c r="Z125" s="380"/>
      <c r="AA125" s="380"/>
      <c r="AB125" s="380"/>
      <c r="AC125" s="404"/>
      <c r="AD125" s="380"/>
      <c r="AE125" s="380"/>
      <c r="AF125" s="380"/>
      <c r="AG125" s="380"/>
      <c r="AH125" s="380"/>
      <c r="AI125" s="380"/>
      <c r="AJ125" s="380"/>
      <c r="AK125" s="403"/>
      <c r="AL125" s="380"/>
      <c r="AM125" s="380"/>
      <c r="AN125" s="380"/>
      <c r="AO125" s="380"/>
      <c r="AP125" s="380"/>
      <c r="AQ125" s="404"/>
      <c r="AR125" s="380"/>
      <c r="AS125" s="380"/>
      <c r="AT125" s="380"/>
      <c r="AU125" s="380"/>
      <c r="AV125" s="380"/>
      <c r="AW125" s="380"/>
      <c r="AX125" s="380"/>
      <c r="AY125" s="403"/>
      <c r="AZ125" s="380"/>
      <c r="BA125" s="380"/>
      <c r="BB125" s="380"/>
      <c r="BC125" s="380"/>
      <c r="BD125" s="380"/>
      <c r="BE125" s="404"/>
      <c r="BF125" s="380"/>
      <c r="BG125" s="380"/>
      <c r="BH125" s="380"/>
      <c r="BI125" s="380"/>
      <c r="BJ125" s="380"/>
      <c r="BK125" s="380"/>
      <c r="BL125" s="380"/>
      <c r="BM125" s="403"/>
      <c r="BS125" s="83"/>
      <c r="CA125" s="405"/>
      <c r="CG125" s="83"/>
      <c r="CO125" s="405"/>
      <c r="CU125" s="83"/>
      <c r="DC125" s="405"/>
      <c r="DI125" s="83"/>
      <c r="DQ125" s="405"/>
      <c r="DW125" s="83"/>
      <c r="EE125" s="405"/>
      <c r="EK125" s="83"/>
      <c r="ES125" s="405"/>
      <c r="EY125" s="83"/>
      <c r="FG125" s="405"/>
      <c r="FM125" s="83"/>
      <c r="FU125" s="405"/>
      <c r="GA125" s="83"/>
      <c r="GI125" s="405"/>
      <c r="GO125" s="83"/>
      <c r="GW125" s="405"/>
      <c r="HC125" s="83"/>
      <c r="HK125" s="405"/>
      <c r="HQ125" s="83"/>
      <c r="HY125" s="405"/>
      <c r="IE125" s="83"/>
      <c r="IM125" s="405"/>
      <c r="IS125" s="83"/>
      <c r="JA125" s="405"/>
      <c r="JG125" s="83"/>
      <c r="JO125" s="405"/>
      <c r="JU125" s="83"/>
      <c r="KC125" s="405"/>
      <c r="KI125" s="83"/>
      <c r="KQ125" s="405"/>
      <c r="KW125" s="83"/>
      <c r="LE125" s="405"/>
      <c r="LK125" s="83"/>
      <c r="LS125" s="405"/>
      <c r="LY125" s="83"/>
      <c r="MG125" s="405"/>
      <c r="MM125" s="83"/>
      <c r="MU125" s="405"/>
      <c r="NA125" s="83"/>
    </row>
    <row r="126">
      <c r="A126" s="380"/>
      <c r="B126" s="380"/>
      <c r="C126" s="380"/>
      <c r="D126" s="380"/>
      <c r="E126" s="380"/>
      <c r="F126" s="380"/>
      <c r="G126" s="380"/>
      <c r="H126" s="380"/>
      <c r="I126" s="403"/>
      <c r="J126" s="380"/>
      <c r="K126" s="380"/>
      <c r="L126" s="380"/>
      <c r="M126" s="380"/>
      <c r="N126" s="380"/>
      <c r="O126" s="404"/>
      <c r="P126" s="380"/>
      <c r="Q126" s="380"/>
      <c r="R126" s="380"/>
      <c r="S126" s="380"/>
      <c r="T126" s="380"/>
      <c r="U126" s="380"/>
      <c r="V126" s="380"/>
      <c r="W126" s="403"/>
      <c r="X126" s="380"/>
      <c r="Y126" s="380"/>
      <c r="Z126" s="380"/>
      <c r="AA126" s="380"/>
      <c r="AB126" s="380"/>
      <c r="AC126" s="404"/>
      <c r="AD126" s="380"/>
      <c r="AE126" s="380"/>
      <c r="AF126" s="380"/>
      <c r="AG126" s="380"/>
      <c r="AH126" s="380"/>
      <c r="AI126" s="380"/>
      <c r="AJ126" s="380"/>
      <c r="AK126" s="403"/>
      <c r="AL126" s="380"/>
      <c r="AM126" s="380"/>
      <c r="AN126" s="380"/>
      <c r="AO126" s="380"/>
      <c r="AP126" s="380"/>
      <c r="AQ126" s="404"/>
      <c r="AR126" s="380"/>
      <c r="AS126" s="380"/>
      <c r="AT126" s="380"/>
      <c r="AU126" s="380"/>
      <c r="AV126" s="380"/>
      <c r="AW126" s="380"/>
      <c r="AX126" s="380"/>
      <c r="AY126" s="403"/>
      <c r="AZ126" s="380"/>
      <c r="BA126" s="380"/>
      <c r="BB126" s="380"/>
      <c r="BC126" s="380"/>
      <c r="BD126" s="380"/>
      <c r="BE126" s="404"/>
      <c r="BF126" s="380"/>
      <c r="BG126" s="380"/>
      <c r="BH126" s="380"/>
      <c r="BI126" s="380"/>
      <c r="BJ126" s="380"/>
      <c r="BK126" s="380"/>
      <c r="BL126" s="380"/>
      <c r="BM126" s="403"/>
      <c r="BS126" s="83"/>
      <c r="CA126" s="405"/>
      <c r="CG126" s="83"/>
      <c r="CO126" s="405"/>
      <c r="CU126" s="83"/>
      <c r="DC126" s="405"/>
      <c r="DI126" s="83"/>
      <c r="DQ126" s="405"/>
      <c r="DW126" s="83"/>
      <c r="EE126" s="405"/>
      <c r="EK126" s="83"/>
      <c r="ES126" s="405"/>
      <c r="EY126" s="83"/>
      <c r="FG126" s="405"/>
      <c r="FM126" s="83"/>
      <c r="FU126" s="405"/>
      <c r="GA126" s="83"/>
      <c r="GI126" s="405"/>
      <c r="GO126" s="83"/>
      <c r="GW126" s="405"/>
      <c r="HC126" s="83"/>
      <c r="HK126" s="405"/>
      <c r="HQ126" s="83"/>
      <c r="HY126" s="405"/>
      <c r="IE126" s="83"/>
      <c r="IM126" s="405"/>
      <c r="IS126" s="83"/>
      <c r="JA126" s="405"/>
      <c r="JG126" s="83"/>
      <c r="JO126" s="405"/>
      <c r="JU126" s="83"/>
      <c r="KC126" s="405"/>
      <c r="KI126" s="83"/>
      <c r="KQ126" s="405"/>
      <c r="KW126" s="83"/>
      <c r="LE126" s="405"/>
      <c r="LK126" s="83"/>
      <c r="LS126" s="405"/>
      <c r="LY126" s="83"/>
      <c r="MG126" s="405"/>
      <c r="MM126" s="83"/>
      <c r="MU126" s="405"/>
      <c r="NA126" s="83"/>
    </row>
    <row r="127">
      <c r="A127" s="380"/>
      <c r="B127" s="380"/>
      <c r="C127" s="380"/>
      <c r="D127" s="380"/>
      <c r="E127" s="380"/>
      <c r="F127" s="380"/>
      <c r="G127" s="380"/>
      <c r="H127" s="380"/>
      <c r="I127" s="403"/>
      <c r="J127" s="380"/>
      <c r="K127" s="380"/>
      <c r="L127" s="380"/>
      <c r="M127" s="380"/>
      <c r="N127" s="380"/>
      <c r="O127" s="404"/>
      <c r="P127" s="380"/>
      <c r="Q127" s="380"/>
      <c r="R127" s="380"/>
      <c r="S127" s="380"/>
      <c r="T127" s="380"/>
      <c r="U127" s="380"/>
      <c r="V127" s="380"/>
      <c r="W127" s="403"/>
      <c r="X127" s="380"/>
      <c r="Y127" s="380"/>
      <c r="Z127" s="380"/>
      <c r="AA127" s="380"/>
      <c r="AB127" s="380"/>
      <c r="AC127" s="404"/>
      <c r="AD127" s="380"/>
      <c r="AE127" s="380"/>
      <c r="AF127" s="380"/>
      <c r="AG127" s="380"/>
      <c r="AH127" s="380"/>
      <c r="AI127" s="380"/>
      <c r="AJ127" s="380"/>
      <c r="AK127" s="403"/>
      <c r="AL127" s="380"/>
      <c r="AM127" s="380"/>
      <c r="AN127" s="380"/>
      <c r="AO127" s="380"/>
      <c r="AP127" s="380"/>
      <c r="AQ127" s="404"/>
      <c r="AR127" s="380"/>
      <c r="AS127" s="380"/>
      <c r="AT127" s="380"/>
      <c r="AU127" s="380"/>
      <c r="AV127" s="380"/>
      <c r="AW127" s="380"/>
      <c r="AX127" s="380"/>
      <c r="AY127" s="403"/>
      <c r="AZ127" s="380"/>
      <c r="BA127" s="380"/>
      <c r="BB127" s="380"/>
      <c r="BC127" s="380"/>
      <c r="BD127" s="380"/>
      <c r="BE127" s="404"/>
      <c r="BF127" s="380"/>
      <c r="BG127" s="380"/>
      <c r="BH127" s="380"/>
      <c r="BI127" s="380"/>
      <c r="BJ127" s="380"/>
      <c r="BK127" s="380"/>
      <c r="BL127" s="380"/>
      <c r="BM127" s="403"/>
      <c r="BS127" s="83"/>
      <c r="CA127" s="405"/>
      <c r="CG127" s="83"/>
      <c r="CO127" s="405"/>
      <c r="CU127" s="83"/>
      <c r="DC127" s="405"/>
      <c r="DI127" s="83"/>
      <c r="DQ127" s="405"/>
      <c r="DW127" s="83"/>
      <c r="EE127" s="405"/>
      <c r="EK127" s="83"/>
      <c r="ES127" s="405"/>
      <c r="EY127" s="83"/>
      <c r="FG127" s="405"/>
      <c r="FM127" s="83"/>
      <c r="FU127" s="405"/>
      <c r="GA127" s="83"/>
      <c r="GI127" s="405"/>
      <c r="GO127" s="83"/>
      <c r="GW127" s="405"/>
      <c r="HC127" s="83"/>
      <c r="HK127" s="405"/>
      <c r="HQ127" s="83"/>
      <c r="HY127" s="405"/>
      <c r="IE127" s="83"/>
      <c r="IM127" s="405"/>
      <c r="IS127" s="83"/>
      <c r="JA127" s="405"/>
      <c r="JG127" s="83"/>
      <c r="JO127" s="405"/>
      <c r="JU127" s="83"/>
      <c r="KC127" s="405"/>
      <c r="KI127" s="83"/>
      <c r="KQ127" s="405"/>
      <c r="KW127" s="83"/>
      <c r="LE127" s="405"/>
      <c r="LK127" s="83"/>
      <c r="LS127" s="405"/>
      <c r="LY127" s="83"/>
      <c r="MG127" s="405"/>
      <c r="MM127" s="83"/>
      <c r="MU127" s="405"/>
      <c r="NA127" s="83"/>
    </row>
    <row r="128">
      <c r="A128" s="380"/>
      <c r="B128" s="380"/>
      <c r="C128" s="380"/>
      <c r="D128" s="380"/>
      <c r="E128" s="380"/>
      <c r="F128" s="380"/>
      <c r="G128" s="380"/>
      <c r="H128" s="380"/>
      <c r="I128" s="403"/>
      <c r="J128" s="380"/>
      <c r="K128" s="380"/>
      <c r="L128" s="380"/>
      <c r="M128" s="380"/>
      <c r="N128" s="380"/>
      <c r="O128" s="404"/>
      <c r="P128" s="380"/>
      <c r="Q128" s="380"/>
      <c r="R128" s="380"/>
      <c r="S128" s="380"/>
      <c r="T128" s="380"/>
      <c r="U128" s="380"/>
      <c r="V128" s="380"/>
      <c r="W128" s="403"/>
      <c r="X128" s="380"/>
      <c r="Y128" s="380"/>
      <c r="Z128" s="380"/>
      <c r="AA128" s="380"/>
      <c r="AB128" s="380"/>
      <c r="AC128" s="404"/>
      <c r="AD128" s="380"/>
      <c r="AE128" s="380"/>
      <c r="AF128" s="380"/>
      <c r="AG128" s="380"/>
      <c r="AH128" s="380"/>
      <c r="AI128" s="380"/>
      <c r="AJ128" s="380"/>
      <c r="AK128" s="403"/>
      <c r="AL128" s="380"/>
      <c r="AM128" s="380"/>
      <c r="AN128" s="380"/>
      <c r="AO128" s="380"/>
      <c r="AP128" s="380"/>
      <c r="AQ128" s="404"/>
      <c r="AR128" s="380"/>
      <c r="AS128" s="380"/>
      <c r="AT128" s="380"/>
      <c r="AU128" s="380"/>
      <c r="AV128" s="380"/>
      <c r="AW128" s="380"/>
      <c r="AX128" s="380"/>
      <c r="AY128" s="403"/>
      <c r="AZ128" s="380"/>
      <c r="BA128" s="380"/>
      <c r="BB128" s="380"/>
      <c r="BC128" s="380"/>
      <c r="BD128" s="380"/>
      <c r="BE128" s="404"/>
      <c r="BF128" s="380"/>
      <c r="BG128" s="380"/>
      <c r="BH128" s="380"/>
      <c r="BI128" s="380"/>
      <c r="BJ128" s="380"/>
      <c r="BK128" s="380"/>
      <c r="BL128" s="380"/>
      <c r="BM128" s="403"/>
      <c r="BS128" s="83"/>
      <c r="CA128" s="405"/>
      <c r="CG128" s="83"/>
      <c r="CO128" s="405"/>
      <c r="CU128" s="83"/>
      <c r="DC128" s="405"/>
      <c r="DI128" s="83"/>
      <c r="DQ128" s="405"/>
      <c r="DW128" s="83"/>
      <c r="EE128" s="405"/>
      <c r="EK128" s="83"/>
      <c r="ES128" s="405"/>
      <c r="EY128" s="83"/>
      <c r="FG128" s="405"/>
      <c r="FM128" s="83"/>
      <c r="FU128" s="405"/>
      <c r="GA128" s="83"/>
      <c r="GI128" s="405"/>
      <c r="GO128" s="83"/>
      <c r="GW128" s="405"/>
      <c r="HC128" s="83"/>
      <c r="HK128" s="405"/>
      <c r="HQ128" s="83"/>
      <c r="HY128" s="405"/>
      <c r="IE128" s="83"/>
      <c r="IM128" s="405"/>
      <c r="IS128" s="83"/>
      <c r="JA128" s="405"/>
      <c r="JG128" s="83"/>
      <c r="JO128" s="405"/>
      <c r="JU128" s="83"/>
      <c r="KC128" s="405"/>
      <c r="KI128" s="83"/>
      <c r="KQ128" s="405"/>
      <c r="KW128" s="83"/>
      <c r="LE128" s="405"/>
      <c r="LK128" s="83"/>
      <c r="LS128" s="405"/>
      <c r="LY128" s="83"/>
      <c r="MG128" s="405"/>
      <c r="MM128" s="83"/>
      <c r="MU128" s="405"/>
      <c r="NA128" s="83"/>
    </row>
    <row r="129">
      <c r="A129" s="380"/>
      <c r="B129" s="380"/>
      <c r="C129" s="380"/>
      <c r="D129" s="380"/>
      <c r="E129" s="380"/>
      <c r="F129" s="380"/>
      <c r="G129" s="380"/>
      <c r="H129" s="380"/>
      <c r="I129" s="403"/>
      <c r="J129" s="380"/>
      <c r="K129" s="380"/>
      <c r="L129" s="380"/>
      <c r="M129" s="380"/>
      <c r="N129" s="380"/>
      <c r="O129" s="404"/>
      <c r="P129" s="380"/>
      <c r="Q129" s="380"/>
      <c r="R129" s="380"/>
      <c r="S129" s="380"/>
      <c r="T129" s="380"/>
      <c r="U129" s="380"/>
      <c r="V129" s="380"/>
      <c r="W129" s="403"/>
      <c r="X129" s="380"/>
      <c r="Y129" s="380"/>
      <c r="Z129" s="380"/>
      <c r="AA129" s="380"/>
      <c r="AB129" s="380"/>
      <c r="AC129" s="404"/>
      <c r="AD129" s="380"/>
      <c r="AE129" s="380"/>
      <c r="AF129" s="380"/>
      <c r="AG129" s="380"/>
      <c r="AH129" s="380"/>
      <c r="AI129" s="380"/>
      <c r="AJ129" s="380"/>
      <c r="AK129" s="403"/>
      <c r="AL129" s="380"/>
      <c r="AM129" s="380"/>
      <c r="AN129" s="380"/>
      <c r="AO129" s="380"/>
      <c r="AP129" s="380"/>
      <c r="AQ129" s="404"/>
      <c r="AR129" s="380"/>
      <c r="AS129" s="380"/>
      <c r="AT129" s="380"/>
      <c r="AU129" s="380"/>
      <c r="AV129" s="380"/>
      <c r="AW129" s="380"/>
      <c r="AX129" s="380"/>
      <c r="AY129" s="403"/>
      <c r="AZ129" s="380"/>
      <c r="BA129" s="380"/>
      <c r="BB129" s="380"/>
      <c r="BC129" s="380"/>
      <c r="BD129" s="380"/>
      <c r="BE129" s="404"/>
      <c r="BF129" s="380"/>
      <c r="BG129" s="380"/>
      <c r="BH129" s="380"/>
      <c r="BI129" s="380"/>
      <c r="BJ129" s="380"/>
      <c r="BK129" s="380"/>
      <c r="BL129" s="380"/>
      <c r="BM129" s="403"/>
      <c r="BS129" s="83"/>
      <c r="CA129" s="405"/>
      <c r="CG129" s="83"/>
      <c r="CO129" s="405"/>
      <c r="CU129" s="83"/>
      <c r="DC129" s="405"/>
      <c r="DI129" s="83"/>
      <c r="DQ129" s="405"/>
      <c r="DW129" s="83"/>
      <c r="EE129" s="405"/>
      <c r="EK129" s="83"/>
      <c r="ES129" s="405"/>
      <c r="EY129" s="83"/>
      <c r="FG129" s="405"/>
      <c r="FM129" s="83"/>
      <c r="FU129" s="405"/>
      <c r="GA129" s="83"/>
      <c r="GI129" s="405"/>
      <c r="GO129" s="83"/>
      <c r="GW129" s="405"/>
      <c r="HC129" s="83"/>
      <c r="HK129" s="405"/>
      <c r="HQ129" s="83"/>
      <c r="HY129" s="405"/>
      <c r="IE129" s="83"/>
      <c r="IM129" s="405"/>
      <c r="IS129" s="83"/>
      <c r="JA129" s="405"/>
      <c r="JG129" s="83"/>
      <c r="JO129" s="405"/>
      <c r="JU129" s="83"/>
      <c r="KC129" s="405"/>
      <c r="KI129" s="83"/>
      <c r="KQ129" s="405"/>
      <c r="KW129" s="83"/>
      <c r="LE129" s="405"/>
      <c r="LK129" s="83"/>
      <c r="LS129" s="405"/>
      <c r="LY129" s="83"/>
      <c r="MG129" s="405"/>
      <c r="MM129" s="83"/>
      <c r="MU129" s="405"/>
      <c r="NA129" s="83"/>
    </row>
    <row r="130">
      <c r="A130" s="380"/>
      <c r="B130" s="380"/>
      <c r="C130" s="380"/>
      <c r="D130" s="380"/>
      <c r="E130" s="380"/>
      <c r="F130" s="380"/>
      <c r="G130" s="380"/>
      <c r="H130" s="380"/>
      <c r="I130" s="403"/>
      <c r="J130" s="380"/>
      <c r="K130" s="380"/>
      <c r="L130" s="380"/>
      <c r="M130" s="380"/>
      <c r="N130" s="380"/>
      <c r="O130" s="404"/>
      <c r="P130" s="380"/>
      <c r="Q130" s="380"/>
      <c r="R130" s="380"/>
      <c r="S130" s="380"/>
      <c r="T130" s="380"/>
      <c r="U130" s="380"/>
      <c r="V130" s="380"/>
      <c r="W130" s="403"/>
      <c r="X130" s="380"/>
      <c r="Y130" s="380"/>
      <c r="Z130" s="380"/>
      <c r="AA130" s="380"/>
      <c r="AB130" s="380"/>
      <c r="AC130" s="404"/>
      <c r="AD130" s="380"/>
      <c r="AE130" s="380"/>
      <c r="AF130" s="380"/>
      <c r="AG130" s="380"/>
      <c r="AH130" s="380"/>
      <c r="AI130" s="380"/>
      <c r="AJ130" s="380"/>
      <c r="AK130" s="403"/>
      <c r="AL130" s="380"/>
      <c r="AM130" s="380"/>
      <c r="AN130" s="380"/>
      <c r="AO130" s="380"/>
      <c r="AP130" s="380"/>
      <c r="AQ130" s="404"/>
      <c r="AR130" s="380"/>
      <c r="AS130" s="380"/>
      <c r="AT130" s="380"/>
      <c r="AU130" s="380"/>
      <c r="AV130" s="380"/>
      <c r="AW130" s="380"/>
      <c r="AX130" s="380"/>
      <c r="AY130" s="403"/>
      <c r="AZ130" s="380"/>
      <c r="BA130" s="380"/>
      <c r="BB130" s="380"/>
      <c r="BC130" s="380"/>
      <c r="BD130" s="380"/>
      <c r="BE130" s="404"/>
      <c r="BF130" s="380"/>
      <c r="BG130" s="380"/>
      <c r="BH130" s="380"/>
      <c r="BI130" s="380"/>
      <c r="BJ130" s="380"/>
      <c r="BK130" s="380"/>
      <c r="BL130" s="380"/>
      <c r="BM130" s="403"/>
      <c r="BS130" s="83"/>
      <c r="CA130" s="405"/>
      <c r="CG130" s="83"/>
      <c r="CO130" s="405"/>
      <c r="CU130" s="83"/>
      <c r="DC130" s="405"/>
      <c r="DI130" s="83"/>
      <c r="DQ130" s="405"/>
      <c r="DW130" s="83"/>
      <c r="EE130" s="405"/>
      <c r="EK130" s="83"/>
      <c r="ES130" s="405"/>
      <c r="EY130" s="83"/>
      <c r="FG130" s="405"/>
      <c r="FM130" s="83"/>
      <c r="FU130" s="405"/>
      <c r="GA130" s="83"/>
      <c r="GI130" s="405"/>
      <c r="GO130" s="83"/>
      <c r="GW130" s="405"/>
      <c r="HC130" s="83"/>
      <c r="HK130" s="405"/>
      <c r="HQ130" s="83"/>
      <c r="HY130" s="405"/>
      <c r="IE130" s="83"/>
      <c r="IM130" s="405"/>
      <c r="IS130" s="83"/>
      <c r="JA130" s="405"/>
      <c r="JG130" s="83"/>
      <c r="JO130" s="405"/>
      <c r="JU130" s="83"/>
      <c r="KC130" s="405"/>
      <c r="KI130" s="83"/>
      <c r="KQ130" s="405"/>
      <c r="KW130" s="83"/>
      <c r="LE130" s="405"/>
      <c r="LK130" s="83"/>
      <c r="LS130" s="405"/>
      <c r="LY130" s="83"/>
      <c r="MG130" s="405"/>
      <c r="MM130" s="83"/>
      <c r="MU130" s="405"/>
      <c r="NA130" s="83"/>
    </row>
    <row r="131">
      <c r="A131" s="380"/>
      <c r="B131" s="380"/>
      <c r="C131" s="380"/>
      <c r="D131" s="380"/>
      <c r="E131" s="380"/>
      <c r="F131" s="380"/>
      <c r="G131" s="380"/>
      <c r="H131" s="380"/>
      <c r="I131" s="403"/>
      <c r="J131" s="380"/>
      <c r="K131" s="380"/>
      <c r="L131" s="380"/>
      <c r="M131" s="380"/>
      <c r="N131" s="380"/>
      <c r="O131" s="404"/>
      <c r="P131" s="380"/>
      <c r="Q131" s="380"/>
      <c r="R131" s="380"/>
      <c r="S131" s="380"/>
      <c r="T131" s="380"/>
      <c r="U131" s="380"/>
      <c r="V131" s="380"/>
      <c r="W131" s="403"/>
      <c r="X131" s="380"/>
      <c r="Y131" s="380"/>
      <c r="Z131" s="380"/>
      <c r="AA131" s="380"/>
      <c r="AB131" s="380"/>
      <c r="AC131" s="404"/>
      <c r="AD131" s="380"/>
      <c r="AE131" s="380"/>
      <c r="AF131" s="380"/>
      <c r="AG131" s="380"/>
      <c r="AH131" s="380"/>
      <c r="AI131" s="380"/>
      <c r="AJ131" s="380"/>
      <c r="AK131" s="403"/>
      <c r="AL131" s="380"/>
      <c r="AM131" s="380"/>
      <c r="AN131" s="380"/>
      <c r="AO131" s="380"/>
      <c r="AP131" s="380"/>
      <c r="AQ131" s="404"/>
      <c r="AR131" s="380"/>
      <c r="AS131" s="380"/>
      <c r="AT131" s="380"/>
      <c r="AU131" s="380"/>
      <c r="AV131" s="380"/>
      <c r="AW131" s="380"/>
      <c r="AX131" s="380"/>
      <c r="AY131" s="403"/>
      <c r="AZ131" s="380"/>
      <c r="BA131" s="380"/>
      <c r="BB131" s="380"/>
      <c r="BC131" s="380"/>
      <c r="BD131" s="380"/>
      <c r="BE131" s="404"/>
      <c r="BF131" s="380"/>
      <c r="BG131" s="380"/>
      <c r="BH131" s="380"/>
      <c r="BI131" s="380"/>
      <c r="BJ131" s="380"/>
      <c r="BK131" s="380"/>
      <c r="BL131" s="380"/>
      <c r="BM131" s="403"/>
      <c r="BS131" s="83"/>
      <c r="CA131" s="405"/>
      <c r="CG131" s="83"/>
      <c r="CO131" s="405"/>
      <c r="CU131" s="83"/>
      <c r="DC131" s="405"/>
      <c r="DI131" s="83"/>
      <c r="DQ131" s="405"/>
      <c r="DW131" s="83"/>
      <c r="EE131" s="405"/>
      <c r="EK131" s="83"/>
      <c r="ES131" s="405"/>
      <c r="EY131" s="83"/>
      <c r="FG131" s="405"/>
      <c r="FM131" s="83"/>
      <c r="FU131" s="405"/>
      <c r="GA131" s="83"/>
      <c r="GI131" s="405"/>
      <c r="GO131" s="83"/>
      <c r="GW131" s="405"/>
      <c r="HC131" s="83"/>
      <c r="HK131" s="405"/>
      <c r="HQ131" s="83"/>
      <c r="HY131" s="405"/>
      <c r="IE131" s="83"/>
      <c r="IM131" s="405"/>
      <c r="IS131" s="83"/>
      <c r="JA131" s="405"/>
      <c r="JG131" s="83"/>
      <c r="JO131" s="405"/>
      <c r="JU131" s="83"/>
      <c r="KC131" s="405"/>
      <c r="KI131" s="83"/>
      <c r="KQ131" s="405"/>
      <c r="KW131" s="83"/>
      <c r="LE131" s="405"/>
      <c r="LK131" s="83"/>
      <c r="LS131" s="405"/>
      <c r="LY131" s="83"/>
      <c r="MG131" s="405"/>
      <c r="MM131" s="83"/>
      <c r="MU131" s="405"/>
      <c r="NA131" s="83"/>
    </row>
    <row r="132">
      <c r="A132" s="380"/>
      <c r="B132" s="380"/>
      <c r="C132" s="380"/>
      <c r="D132" s="380"/>
      <c r="E132" s="380"/>
      <c r="F132" s="380"/>
      <c r="G132" s="380"/>
      <c r="H132" s="380"/>
      <c r="I132" s="403"/>
      <c r="J132" s="380"/>
      <c r="K132" s="380"/>
      <c r="L132" s="380"/>
      <c r="M132" s="380"/>
      <c r="N132" s="380"/>
      <c r="O132" s="404"/>
      <c r="P132" s="380"/>
      <c r="Q132" s="380"/>
      <c r="R132" s="380"/>
      <c r="S132" s="380"/>
      <c r="T132" s="380"/>
      <c r="U132" s="380"/>
      <c r="V132" s="380"/>
      <c r="W132" s="403"/>
      <c r="X132" s="380"/>
      <c r="Y132" s="380"/>
      <c r="Z132" s="380"/>
      <c r="AA132" s="380"/>
      <c r="AB132" s="380"/>
      <c r="AC132" s="404"/>
      <c r="AD132" s="380"/>
      <c r="AE132" s="380"/>
      <c r="AF132" s="380"/>
      <c r="AG132" s="380"/>
      <c r="AH132" s="380"/>
      <c r="AI132" s="380"/>
      <c r="AJ132" s="380"/>
      <c r="AK132" s="403"/>
      <c r="AL132" s="380"/>
      <c r="AM132" s="380"/>
      <c r="AN132" s="380"/>
      <c r="AO132" s="380"/>
      <c r="AP132" s="380"/>
      <c r="AQ132" s="404"/>
      <c r="AR132" s="380"/>
      <c r="AS132" s="380"/>
      <c r="AT132" s="380"/>
      <c r="AU132" s="380"/>
      <c r="AV132" s="380"/>
      <c r="AW132" s="380"/>
      <c r="AX132" s="380"/>
      <c r="AY132" s="403"/>
      <c r="AZ132" s="380"/>
      <c r="BA132" s="380"/>
      <c r="BB132" s="380"/>
      <c r="BC132" s="380"/>
      <c r="BD132" s="380"/>
      <c r="BE132" s="404"/>
      <c r="BF132" s="380"/>
      <c r="BG132" s="380"/>
      <c r="BH132" s="380"/>
      <c r="BI132" s="380"/>
      <c r="BJ132" s="380"/>
      <c r="BK132" s="380"/>
      <c r="BL132" s="380"/>
      <c r="BM132" s="403"/>
      <c r="BS132" s="83"/>
      <c r="CA132" s="405"/>
      <c r="CG132" s="83"/>
      <c r="CO132" s="405"/>
      <c r="CU132" s="83"/>
      <c r="DC132" s="405"/>
      <c r="DI132" s="83"/>
      <c r="DQ132" s="405"/>
      <c r="DW132" s="83"/>
      <c r="EE132" s="405"/>
      <c r="EK132" s="83"/>
      <c r="ES132" s="405"/>
      <c r="EY132" s="83"/>
      <c r="FG132" s="405"/>
      <c r="FM132" s="83"/>
      <c r="FU132" s="405"/>
      <c r="GA132" s="83"/>
      <c r="GI132" s="405"/>
      <c r="GO132" s="83"/>
      <c r="GW132" s="405"/>
      <c r="HC132" s="83"/>
      <c r="HK132" s="405"/>
      <c r="HQ132" s="83"/>
      <c r="HY132" s="405"/>
      <c r="IE132" s="83"/>
      <c r="IM132" s="405"/>
      <c r="IS132" s="83"/>
      <c r="JA132" s="405"/>
      <c r="JG132" s="83"/>
      <c r="JO132" s="405"/>
      <c r="JU132" s="83"/>
      <c r="KC132" s="405"/>
      <c r="KI132" s="83"/>
      <c r="KQ132" s="405"/>
      <c r="KW132" s="83"/>
      <c r="LE132" s="405"/>
      <c r="LK132" s="83"/>
      <c r="LS132" s="405"/>
      <c r="LY132" s="83"/>
      <c r="MG132" s="405"/>
      <c r="MM132" s="83"/>
      <c r="MU132" s="405"/>
      <c r="NA132" s="83"/>
    </row>
    <row r="133">
      <c r="A133" s="380"/>
      <c r="B133" s="380"/>
      <c r="C133" s="380"/>
      <c r="D133" s="380"/>
      <c r="E133" s="380"/>
      <c r="F133" s="380"/>
      <c r="G133" s="380"/>
      <c r="H133" s="380"/>
      <c r="I133" s="403"/>
      <c r="J133" s="380"/>
      <c r="K133" s="380"/>
      <c r="L133" s="380"/>
      <c r="M133" s="380"/>
      <c r="N133" s="380"/>
      <c r="O133" s="404"/>
      <c r="P133" s="380"/>
      <c r="Q133" s="380"/>
      <c r="R133" s="380"/>
      <c r="S133" s="380"/>
      <c r="T133" s="380"/>
      <c r="U133" s="380"/>
      <c r="V133" s="380"/>
      <c r="W133" s="403"/>
      <c r="X133" s="380"/>
      <c r="Y133" s="380"/>
      <c r="Z133" s="380"/>
      <c r="AA133" s="380"/>
      <c r="AB133" s="380"/>
      <c r="AC133" s="404"/>
      <c r="AD133" s="380"/>
      <c r="AE133" s="380"/>
      <c r="AF133" s="380"/>
      <c r="AG133" s="380"/>
      <c r="AH133" s="380"/>
      <c r="AI133" s="380"/>
      <c r="AJ133" s="380"/>
      <c r="AK133" s="403"/>
      <c r="AL133" s="380"/>
      <c r="AM133" s="380"/>
      <c r="AN133" s="380"/>
      <c r="AO133" s="380"/>
      <c r="AP133" s="380"/>
      <c r="AQ133" s="404"/>
      <c r="AR133" s="380"/>
      <c r="AS133" s="380"/>
      <c r="AT133" s="380"/>
      <c r="AU133" s="380"/>
      <c r="AV133" s="380"/>
      <c r="AW133" s="380"/>
      <c r="AX133" s="380"/>
      <c r="AY133" s="403"/>
      <c r="AZ133" s="380"/>
      <c r="BA133" s="380"/>
      <c r="BB133" s="380"/>
      <c r="BC133" s="380"/>
      <c r="BD133" s="380"/>
      <c r="BE133" s="404"/>
      <c r="BF133" s="380"/>
      <c r="BG133" s="380"/>
      <c r="BH133" s="380"/>
      <c r="BI133" s="380"/>
      <c r="BJ133" s="380"/>
      <c r="BK133" s="380"/>
      <c r="BL133" s="380"/>
      <c r="BM133" s="403"/>
      <c r="BS133" s="83"/>
      <c r="CA133" s="405"/>
      <c r="CG133" s="83"/>
      <c r="CO133" s="405"/>
      <c r="CU133" s="83"/>
      <c r="DC133" s="405"/>
      <c r="DI133" s="83"/>
      <c r="DQ133" s="405"/>
      <c r="DW133" s="83"/>
      <c r="EE133" s="405"/>
      <c r="EK133" s="83"/>
      <c r="ES133" s="405"/>
      <c r="EY133" s="83"/>
      <c r="FG133" s="405"/>
      <c r="FM133" s="83"/>
      <c r="FU133" s="405"/>
      <c r="GA133" s="83"/>
      <c r="GI133" s="405"/>
      <c r="GO133" s="83"/>
      <c r="GW133" s="405"/>
      <c r="HC133" s="83"/>
      <c r="HK133" s="405"/>
      <c r="HQ133" s="83"/>
      <c r="HY133" s="405"/>
      <c r="IE133" s="83"/>
      <c r="IM133" s="405"/>
      <c r="IS133" s="83"/>
      <c r="JA133" s="405"/>
      <c r="JG133" s="83"/>
      <c r="JO133" s="405"/>
      <c r="JU133" s="83"/>
      <c r="KC133" s="405"/>
      <c r="KI133" s="83"/>
      <c r="KQ133" s="405"/>
      <c r="KW133" s="83"/>
      <c r="LE133" s="405"/>
      <c r="LK133" s="83"/>
      <c r="LS133" s="405"/>
      <c r="LY133" s="83"/>
      <c r="MG133" s="405"/>
      <c r="MM133" s="83"/>
      <c r="MU133" s="405"/>
      <c r="NA133" s="83"/>
    </row>
    <row r="134">
      <c r="A134" s="380"/>
      <c r="B134" s="380"/>
      <c r="C134" s="380"/>
      <c r="D134" s="380"/>
      <c r="E134" s="380"/>
      <c r="F134" s="380"/>
      <c r="G134" s="380"/>
      <c r="H134" s="380"/>
      <c r="I134" s="403"/>
      <c r="J134" s="380"/>
      <c r="K134" s="380"/>
      <c r="L134" s="380"/>
      <c r="M134" s="380"/>
      <c r="N134" s="380"/>
      <c r="O134" s="404"/>
      <c r="P134" s="380"/>
      <c r="Q134" s="380"/>
      <c r="R134" s="380"/>
      <c r="S134" s="380"/>
      <c r="T134" s="380"/>
      <c r="U134" s="380"/>
      <c r="V134" s="380"/>
      <c r="W134" s="403"/>
      <c r="X134" s="380"/>
      <c r="Y134" s="380"/>
      <c r="Z134" s="380"/>
      <c r="AA134" s="380"/>
      <c r="AB134" s="380"/>
      <c r="AC134" s="404"/>
      <c r="AD134" s="380"/>
      <c r="AE134" s="380"/>
      <c r="AF134" s="380"/>
      <c r="AG134" s="380"/>
      <c r="AH134" s="380"/>
      <c r="AI134" s="380"/>
      <c r="AJ134" s="380"/>
      <c r="AK134" s="403"/>
      <c r="AL134" s="380"/>
      <c r="AM134" s="380"/>
      <c r="AN134" s="380"/>
      <c r="AO134" s="380"/>
      <c r="AP134" s="380"/>
      <c r="AQ134" s="404"/>
      <c r="AR134" s="380"/>
      <c r="AS134" s="380"/>
      <c r="AT134" s="380"/>
      <c r="AU134" s="380"/>
      <c r="AV134" s="380"/>
      <c r="AW134" s="380"/>
      <c r="AX134" s="380"/>
      <c r="AY134" s="403"/>
      <c r="AZ134" s="380"/>
      <c r="BA134" s="380"/>
      <c r="BB134" s="380"/>
      <c r="BC134" s="380"/>
      <c r="BD134" s="380"/>
      <c r="BE134" s="404"/>
      <c r="BF134" s="380"/>
      <c r="BG134" s="380"/>
      <c r="BH134" s="380"/>
      <c r="BI134" s="380"/>
      <c r="BJ134" s="380"/>
      <c r="BK134" s="380"/>
      <c r="BL134" s="380"/>
      <c r="BM134" s="403"/>
      <c r="BS134" s="83"/>
      <c r="CA134" s="405"/>
      <c r="CG134" s="83"/>
      <c r="CO134" s="405"/>
      <c r="CU134" s="83"/>
      <c r="DC134" s="405"/>
      <c r="DI134" s="83"/>
      <c r="DQ134" s="405"/>
      <c r="DW134" s="83"/>
      <c r="EE134" s="405"/>
      <c r="EK134" s="83"/>
      <c r="ES134" s="405"/>
      <c r="EY134" s="83"/>
      <c r="FG134" s="405"/>
      <c r="FM134" s="83"/>
      <c r="FU134" s="405"/>
      <c r="GA134" s="83"/>
      <c r="GI134" s="405"/>
      <c r="GO134" s="83"/>
      <c r="GW134" s="405"/>
      <c r="HC134" s="83"/>
      <c r="HK134" s="405"/>
      <c r="HQ134" s="83"/>
      <c r="HY134" s="405"/>
      <c r="IE134" s="83"/>
      <c r="IM134" s="405"/>
      <c r="IS134" s="83"/>
      <c r="JA134" s="405"/>
      <c r="JG134" s="83"/>
      <c r="JO134" s="405"/>
      <c r="JU134" s="83"/>
      <c r="KC134" s="405"/>
      <c r="KI134" s="83"/>
      <c r="KQ134" s="405"/>
      <c r="KW134" s="83"/>
      <c r="LE134" s="405"/>
      <c r="LK134" s="83"/>
      <c r="LS134" s="405"/>
      <c r="LY134" s="83"/>
      <c r="MG134" s="405"/>
      <c r="MM134" s="83"/>
      <c r="MU134" s="405"/>
      <c r="NA134" s="83"/>
    </row>
    <row r="135">
      <c r="A135" s="380"/>
      <c r="B135" s="380"/>
      <c r="C135" s="380"/>
      <c r="D135" s="380"/>
      <c r="E135" s="380"/>
      <c r="F135" s="380"/>
      <c r="G135" s="380"/>
      <c r="H135" s="380"/>
      <c r="I135" s="403"/>
      <c r="J135" s="380"/>
      <c r="K135" s="380"/>
      <c r="L135" s="380"/>
      <c r="M135" s="380"/>
      <c r="N135" s="380"/>
      <c r="O135" s="404"/>
      <c r="P135" s="380"/>
      <c r="Q135" s="380"/>
      <c r="R135" s="380"/>
      <c r="S135" s="380"/>
      <c r="T135" s="380"/>
      <c r="U135" s="380"/>
      <c r="V135" s="380"/>
      <c r="W135" s="403"/>
      <c r="X135" s="380"/>
      <c r="Y135" s="380"/>
      <c r="Z135" s="380"/>
      <c r="AA135" s="380"/>
      <c r="AB135" s="380"/>
      <c r="AC135" s="404"/>
      <c r="AD135" s="380"/>
      <c r="AE135" s="380"/>
      <c r="AF135" s="380"/>
      <c r="AG135" s="380"/>
      <c r="AH135" s="380"/>
      <c r="AI135" s="380"/>
      <c r="AJ135" s="380"/>
      <c r="AK135" s="403"/>
      <c r="AL135" s="380"/>
      <c r="AM135" s="380"/>
      <c r="AN135" s="380"/>
      <c r="AO135" s="380"/>
      <c r="AP135" s="380"/>
      <c r="AQ135" s="404"/>
      <c r="AR135" s="380"/>
      <c r="AS135" s="380"/>
      <c r="AT135" s="380"/>
      <c r="AU135" s="380"/>
      <c r="AV135" s="380"/>
      <c r="AW135" s="380"/>
      <c r="AX135" s="380"/>
      <c r="AY135" s="403"/>
      <c r="AZ135" s="380"/>
      <c r="BA135" s="380"/>
      <c r="BB135" s="380"/>
      <c r="BC135" s="380"/>
      <c r="BD135" s="380"/>
      <c r="BE135" s="404"/>
      <c r="BF135" s="380"/>
      <c r="BG135" s="380"/>
      <c r="BH135" s="380"/>
      <c r="BI135" s="380"/>
      <c r="BJ135" s="380"/>
      <c r="BK135" s="380"/>
      <c r="BL135" s="380"/>
      <c r="BM135" s="403"/>
      <c r="BS135" s="83"/>
      <c r="CA135" s="405"/>
      <c r="CG135" s="83"/>
      <c r="CO135" s="405"/>
      <c r="CU135" s="83"/>
      <c r="DC135" s="405"/>
      <c r="DI135" s="83"/>
      <c r="DQ135" s="405"/>
      <c r="DW135" s="83"/>
      <c r="EE135" s="405"/>
      <c r="EK135" s="83"/>
      <c r="ES135" s="405"/>
      <c r="EY135" s="83"/>
      <c r="FG135" s="405"/>
      <c r="FM135" s="83"/>
      <c r="FU135" s="405"/>
      <c r="GA135" s="83"/>
      <c r="GI135" s="405"/>
      <c r="GO135" s="83"/>
      <c r="GW135" s="405"/>
      <c r="HC135" s="83"/>
      <c r="HK135" s="405"/>
      <c r="HQ135" s="83"/>
      <c r="HY135" s="405"/>
      <c r="IE135" s="83"/>
      <c r="IM135" s="405"/>
      <c r="IS135" s="83"/>
      <c r="JA135" s="405"/>
      <c r="JG135" s="83"/>
      <c r="JO135" s="405"/>
      <c r="JU135" s="83"/>
      <c r="KC135" s="405"/>
      <c r="KI135" s="83"/>
      <c r="KQ135" s="405"/>
      <c r="KW135" s="83"/>
      <c r="LE135" s="405"/>
      <c r="LK135" s="83"/>
      <c r="LS135" s="405"/>
      <c r="LY135" s="83"/>
      <c r="MG135" s="405"/>
      <c r="MM135" s="83"/>
      <c r="MU135" s="405"/>
      <c r="NA135" s="83"/>
    </row>
    <row r="136">
      <c r="A136" s="380"/>
      <c r="B136" s="380"/>
      <c r="C136" s="380"/>
      <c r="D136" s="380"/>
      <c r="E136" s="380"/>
      <c r="F136" s="380"/>
      <c r="G136" s="380"/>
      <c r="H136" s="380"/>
      <c r="I136" s="403"/>
      <c r="J136" s="380"/>
      <c r="K136" s="380"/>
      <c r="L136" s="380"/>
      <c r="M136" s="380"/>
      <c r="N136" s="380"/>
      <c r="O136" s="404"/>
      <c r="P136" s="380"/>
      <c r="Q136" s="380"/>
      <c r="R136" s="380"/>
      <c r="S136" s="380"/>
      <c r="T136" s="380"/>
      <c r="U136" s="380"/>
      <c r="V136" s="380"/>
      <c r="W136" s="403"/>
      <c r="X136" s="380"/>
      <c r="Y136" s="380"/>
      <c r="Z136" s="380"/>
      <c r="AA136" s="380"/>
      <c r="AB136" s="380"/>
      <c r="AC136" s="404"/>
      <c r="AD136" s="380"/>
      <c r="AE136" s="380"/>
      <c r="AF136" s="380"/>
      <c r="AG136" s="380"/>
      <c r="AH136" s="380"/>
      <c r="AI136" s="380"/>
      <c r="AJ136" s="380"/>
      <c r="AK136" s="403"/>
      <c r="AL136" s="380"/>
      <c r="AM136" s="380"/>
      <c r="AN136" s="380"/>
      <c r="AO136" s="380"/>
      <c r="AP136" s="380"/>
      <c r="AQ136" s="404"/>
      <c r="AR136" s="380"/>
      <c r="AS136" s="380"/>
      <c r="AT136" s="380"/>
      <c r="AU136" s="380"/>
      <c r="AV136" s="380"/>
      <c r="AW136" s="380"/>
      <c r="AX136" s="380"/>
      <c r="AY136" s="403"/>
      <c r="AZ136" s="380"/>
      <c r="BA136" s="380"/>
      <c r="BB136" s="380"/>
      <c r="BC136" s="380"/>
      <c r="BD136" s="380"/>
      <c r="BE136" s="404"/>
      <c r="BF136" s="380"/>
      <c r="BG136" s="380"/>
      <c r="BH136" s="380"/>
      <c r="BI136" s="380"/>
      <c r="BJ136" s="380"/>
      <c r="BK136" s="380"/>
      <c r="BL136" s="380"/>
      <c r="BM136" s="403"/>
      <c r="BS136" s="83"/>
      <c r="CA136" s="405"/>
      <c r="CG136" s="83"/>
      <c r="CO136" s="405"/>
      <c r="CU136" s="83"/>
      <c r="DC136" s="405"/>
      <c r="DI136" s="83"/>
      <c r="DQ136" s="405"/>
      <c r="DW136" s="83"/>
      <c r="EE136" s="405"/>
      <c r="EK136" s="83"/>
      <c r="ES136" s="405"/>
      <c r="EY136" s="83"/>
      <c r="FG136" s="405"/>
      <c r="FM136" s="83"/>
      <c r="FU136" s="405"/>
      <c r="GA136" s="83"/>
      <c r="GI136" s="405"/>
      <c r="GO136" s="83"/>
      <c r="GW136" s="405"/>
      <c r="HC136" s="83"/>
      <c r="HK136" s="405"/>
      <c r="HQ136" s="83"/>
      <c r="HY136" s="405"/>
      <c r="IE136" s="83"/>
      <c r="IM136" s="405"/>
      <c r="IS136" s="83"/>
      <c r="JA136" s="405"/>
      <c r="JG136" s="83"/>
      <c r="JO136" s="405"/>
      <c r="JU136" s="83"/>
      <c r="KC136" s="405"/>
      <c r="KI136" s="83"/>
      <c r="KQ136" s="405"/>
      <c r="KW136" s="83"/>
      <c r="LE136" s="405"/>
      <c r="LK136" s="83"/>
      <c r="LS136" s="405"/>
      <c r="LY136" s="83"/>
      <c r="MG136" s="405"/>
      <c r="MM136" s="83"/>
      <c r="MU136" s="405"/>
      <c r="NA136" s="83"/>
    </row>
    <row r="137">
      <c r="A137" s="380"/>
      <c r="B137" s="380"/>
      <c r="C137" s="380"/>
      <c r="D137" s="380"/>
      <c r="E137" s="380"/>
      <c r="F137" s="380"/>
      <c r="G137" s="380"/>
      <c r="H137" s="380"/>
      <c r="I137" s="403"/>
      <c r="J137" s="380"/>
      <c r="K137" s="380"/>
      <c r="L137" s="380"/>
      <c r="M137" s="380"/>
      <c r="N137" s="380"/>
      <c r="O137" s="404"/>
      <c r="P137" s="380"/>
      <c r="Q137" s="380"/>
      <c r="R137" s="380"/>
      <c r="S137" s="380"/>
      <c r="T137" s="380"/>
      <c r="U137" s="380"/>
      <c r="V137" s="380"/>
      <c r="W137" s="403"/>
      <c r="X137" s="380"/>
      <c r="Y137" s="380"/>
      <c r="Z137" s="380"/>
      <c r="AA137" s="380"/>
      <c r="AB137" s="380"/>
      <c r="AC137" s="404"/>
      <c r="AD137" s="380"/>
      <c r="AE137" s="380"/>
      <c r="AF137" s="380"/>
      <c r="AG137" s="380"/>
      <c r="AH137" s="380"/>
      <c r="AI137" s="380"/>
      <c r="AJ137" s="380"/>
      <c r="AK137" s="403"/>
      <c r="AL137" s="380"/>
      <c r="AM137" s="380"/>
      <c r="AN137" s="380"/>
      <c r="AO137" s="380"/>
      <c r="AP137" s="380"/>
      <c r="AQ137" s="404"/>
      <c r="AR137" s="380"/>
      <c r="AS137" s="380"/>
      <c r="AT137" s="380"/>
      <c r="AU137" s="380"/>
      <c r="AV137" s="380"/>
      <c r="AW137" s="380"/>
      <c r="AX137" s="380"/>
      <c r="AY137" s="403"/>
      <c r="AZ137" s="380"/>
      <c r="BA137" s="380"/>
      <c r="BB137" s="380"/>
      <c r="BC137" s="380"/>
      <c r="BD137" s="380"/>
      <c r="BE137" s="404"/>
      <c r="BF137" s="380"/>
      <c r="BG137" s="380"/>
      <c r="BH137" s="380"/>
      <c r="BI137" s="380"/>
      <c r="BJ137" s="380"/>
      <c r="BK137" s="380"/>
      <c r="BL137" s="380"/>
      <c r="BM137" s="403"/>
      <c r="BS137" s="83"/>
      <c r="CA137" s="405"/>
      <c r="CG137" s="83"/>
      <c r="CO137" s="405"/>
      <c r="CU137" s="83"/>
      <c r="DC137" s="405"/>
      <c r="DI137" s="83"/>
      <c r="DQ137" s="405"/>
      <c r="DW137" s="83"/>
      <c r="EE137" s="405"/>
      <c r="EK137" s="83"/>
      <c r="ES137" s="405"/>
      <c r="EY137" s="83"/>
      <c r="FG137" s="405"/>
      <c r="FM137" s="83"/>
      <c r="FU137" s="405"/>
      <c r="GA137" s="83"/>
      <c r="GI137" s="405"/>
      <c r="GO137" s="83"/>
      <c r="GW137" s="405"/>
      <c r="HC137" s="83"/>
      <c r="HK137" s="405"/>
      <c r="HQ137" s="83"/>
      <c r="HY137" s="405"/>
      <c r="IE137" s="83"/>
      <c r="IM137" s="405"/>
      <c r="IS137" s="83"/>
      <c r="JA137" s="405"/>
      <c r="JG137" s="83"/>
      <c r="JO137" s="405"/>
      <c r="JU137" s="83"/>
      <c r="KC137" s="405"/>
      <c r="KI137" s="83"/>
      <c r="KQ137" s="405"/>
      <c r="KW137" s="83"/>
      <c r="LE137" s="405"/>
      <c r="LK137" s="83"/>
      <c r="LS137" s="405"/>
      <c r="LY137" s="83"/>
      <c r="MG137" s="405"/>
      <c r="MM137" s="83"/>
      <c r="MU137" s="405"/>
      <c r="NA137" s="83"/>
    </row>
    <row r="138">
      <c r="A138" s="380"/>
      <c r="B138" s="380"/>
      <c r="C138" s="380"/>
      <c r="D138" s="380"/>
      <c r="E138" s="380"/>
      <c r="F138" s="380"/>
      <c r="G138" s="380"/>
      <c r="H138" s="380"/>
      <c r="I138" s="403"/>
      <c r="J138" s="380"/>
      <c r="K138" s="380"/>
      <c r="L138" s="380"/>
      <c r="M138" s="380"/>
      <c r="N138" s="380"/>
      <c r="O138" s="404"/>
      <c r="P138" s="380"/>
      <c r="Q138" s="380"/>
      <c r="R138" s="380"/>
      <c r="S138" s="380"/>
      <c r="T138" s="380"/>
      <c r="U138" s="380"/>
      <c r="V138" s="380"/>
      <c r="W138" s="403"/>
      <c r="X138" s="380"/>
      <c r="Y138" s="380"/>
      <c r="Z138" s="380"/>
      <c r="AA138" s="380"/>
      <c r="AB138" s="380"/>
      <c r="AC138" s="404"/>
      <c r="AD138" s="380"/>
      <c r="AE138" s="380"/>
      <c r="AF138" s="380"/>
      <c r="AG138" s="380"/>
      <c r="AH138" s="380"/>
      <c r="AI138" s="380"/>
      <c r="AJ138" s="380"/>
      <c r="AK138" s="403"/>
      <c r="AL138" s="380"/>
      <c r="AM138" s="380"/>
      <c r="AN138" s="380"/>
      <c r="AO138" s="380"/>
      <c r="AP138" s="380"/>
      <c r="AQ138" s="404"/>
      <c r="AR138" s="380"/>
      <c r="AS138" s="380"/>
      <c r="AT138" s="380"/>
      <c r="AU138" s="380"/>
      <c r="AV138" s="380"/>
      <c r="AW138" s="380"/>
      <c r="AX138" s="380"/>
      <c r="AY138" s="403"/>
      <c r="AZ138" s="380"/>
      <c r="BA138" s="380"/>
      <c r="BB138" s="380"/>
      <c r="BC138" s="380"/>
      <c r="BD138" s="380"/>
      <c r="BE138" s="404"/>
      <c r="BF138" s="380"/>
      <c r="BG138" s="380"/>
      <c r="BH138" s="380"/>
      <c r="BI138" s="380"/>
      <c r="BJ138" s="380"/>
      <c r="BK138" s="380"/>
      <c r="BL138" s="380"/>
      <c r="BM138" s="403"/>
      <c r="BS138" s="83"/>
      <c r="CA138" s="405"/>
      <c r="CG138" s="83"/>
      <c r="CO138" s="405"/>
      <c r="CU138" s="83"/>
      <c r="DC138" s="405"/>
      <c r="DI138" s="83"/>
      <c r="DQ138" s="405"/>
      <c r="DW138" s="83"/>
      <c r="EE138" s="405"/>
      <c r="EK138" s="83"/>
      <c r="ES138" s="405"/>
      <c r="EY138" s="83"/>
      <c r="FG138" s="405"/>
      <c r="FM138" s="83"/>
      <c r="FU138" s="405"/>
      <c r="GA138" s="83"/>
      <c r="GI138" s="405"/>
      <c r="GO138" s="83"/>
      <c r="GW138" s="405"/>
      <c r="HC138" s="83"/>
      <c r="HK138" s="405"/>
      <c r="HQ138" s="83"/>
      <c r="HY138" s="405"/>
      <c r="IE138" s="83"/>
      <c r="IM138" s="405"/>
      <c r="IS138" s="83"/>
      <c r="JA138" s="405"/>
      <c r="JG138" s="83"/>
      <c r="JO138" s="405"/>
      <c r="JU138" s="83"/>
      <c r="KC138" s="405"/>
      <c r="KI138" s="83"/>
      <c r="KQ138" s="405"/>
      <c r="KW138" s="83"/>
      <c r="LE138" s="405"/>
      <c r="LK138" s="83"/>
      <c r="LS138" s="405"/>
      <c r="LY138" s="83"/>
      <c r="MG138" s="405"/>
      <c r="MM138" s="83"/>
      <c r="MU138" s="405"/>
      <c r="NA138" s="83"/>
    </row>
    <row r="139">
      <c r="A139" s="380"/>
      <c r="B139" s="380"/>
      <c r="C139" s="380"/>
      <c r="D139" s="380"/>
      <c r="E139" s="380"/>
      <c r="F139" s="380"/>
      <c r="G139" s="380"/>
      <c r="H139" s="380"/>
      <c r="I139" s="403"/>
      <c r="J139" s="380"/>
      <c r="K139" s="380"/>
      <c r="L139" s="380"/>
      <c r="M139" s="380"/>
      <c r="N139" s="380"/>
      <c r="O139" s="404"/>
      <c r="P139" s="380"/>
      <c r="Q139" s="380"/>
      <c r="R139" s="380"/>
      <c r="S139" s="380"/>
      <c r="T139" s="380"/>
      <c r="U139" s="380"/>
      <c r="V139" s="380"/>
      <c r="W139" s="403"/>
      <c r="X139" s="380"/>
      <c r="Y139" s="380"/>
      <c r="Z139" s="380"/>
      <c r="AA139" s="380"/>
      <c r="AB139" s="380"/>
      <c r="AC139" s="404"/>
      <c r="AD139" s="380"/>
      <c r="AE139" s="380"/>
      <c r="AF139" s="380"/>
      <c r="AG139" s="380"/>
      <c r="AH139" s="380"/>
      <c r="AI139" s="380"/>
      <c r="AJ139" s="380"/>
      <c r="AK139" s="403"/>
      <c r="AL139" s="380"/>
      <c r="AM139" s="380"/>
      <c r="AN139" s="380"/>
      <c r="AO139" s="380"/>
      <c r="AP139" s="380"/>
      <c r="AQ139" s="404"/>
      <c r="AR139" s="380"/>
      <c r="AS139" s="380"/>
      <c r="AT139" s="380"/>
      <c r="AU139" s="380"/>
      <c r="AV139" s="380"/>
      <c r="AW139" s="380"/>
      <c r="AX139" s="380"/>
      <c r="AY139" s="403"/>
      <c r="AZ139" s="380"/>
      <c r="BA139" s="380"/>
      <c r="BB139" s="380"/>
      <c r="BC139" s="380"/>
      <c r="BD139" s="380"/>
      <c r="BE139" s="404"/>
      <c r="BF139" s="380"/>
      <c r="BG139" s="380"/>
      <c r="BH139" s="380"/>
      <c r="BI139" s="380"/>
      <c r="BJ139" s="380"/>
      <c r="BK139" s="380"/>
      <c r="BL139" s="380"/>
      <c r="BM139" s="403"/>
      <c r="BS139" s="83"/>
      <c r="CA139" s="405"/>
      <c r="CG139" s="83"/>
      <c r="CO139" s="405"/>
      <c r="CU139" s="83"/>
      <c r="DC139" s="405"/>
      <c r="DI139" s="83"/>
      <c r="DQ139" s="405"/>
      <c r="DW139" s="83"/>
      <c r="EE139" s="405"/>
      <c r="EK139" s="83"/>
      <c r="ES139" s="405"/>
      <c r="EY139" s="83"/>
      <c r="FG139" s="405"/>
      <c r="FM139" s="83"/>
      <c r="FU139" s="405"/>
      <c r="GA139" s="83"/>
      <c r="GI139" s="405"/>
      <c r="GO139" s="83"/>
      <c r="GW139" s="405"/>
      <c r="HC139" s="83"/>
      <c r="HK139" s="405"/>
      <c r="HQ139" s="83"/>
      <c r="HY139" s="405"/>
      <c r="IE139" s="83"/>
      <c r="IM139" s="405"/>
      <c r="IS139" s="83"/>
      <c r="JA139" s="405"/>
      <c r="JG139" s="83"/>
      <c r="JO139" s="405"/>
      <c r="JU139" s="83"/>
      <c r="KC139" s="405"/>
      <c r="KI139" s="83"/>
      <c r="KQ139" s="405"/>
      <c r="KW139" s="83"/>
      <c r="LE139" s="405"/>
      <c r="LK139" s="83"/>
      <c r="LS139" s="405"/>
      <c r="LY139" s="83"/>
      <c r="MG139" s="405"/>
      <c r="MM139" s="83"/>
      <c r="MU139" s="405"/>
      <c r="NA139" s="83"/>
    </row>
    <row r="140">
      <c r="A140" s="380"/>
      <c r="B140" s="380"/>
      <c r="C140" s="380"/>
      <c r="D140" s="380"/>
      <c r="E140" s="380"/>
      <c r="F140" s="380"/>
      <c r="G140" s="380"/>
      <c r="H140" s="380"/>
      <c r="I140" s="403"/>
      <c r="J140" s="380"/>
      <c r="K140" s="380"/>
      <c r="L140" s="380"/>
      <c r="M140" s="380"/>
      <c r="N140" s="380"/>
      <c r="O140" s="404"/>
      <c r="P140" s="380"/>
      <c r="Q140" s="380"/>
      <c r="R140" s="380"/>
      <c r="S140" s="380"/>
      <c r="T140" s="380"/>
      <c r="U140" s="380"/>
      <c r="V140" s="380"/>
      <c r="W140" s="403"/>
      <c r="X140" s="380"/>
      <c r="Y140" s="380"/>
      <c r="Z140" s="380"/>
      <c r="AA140" s="380"/>
      <c r="AB140" s="380"/>
      <c r="AC140" s="404"/>
      <c r="AD140" s="380"/>
      <c r="AE140" s="380"/>
      <c r="AF140" s="380"/>
      <c r="AG140" s="380"/>
      <c r="AH140" s="380"/>
      <c r="AI140" s="380"/>
      <c r="AJ140" s="380"/>
      <c r="AK140" s="403"/>
      <c r="AL140" s="380"/>
      <c r="AM140" s="380"/>
      <c r="AN140" s="380"/>
      <c r="AO140" s="380"/>
      <c r="AP140" s="380"/>
      <c r="AQ140" s="404"/>
      <c r="AR140" s="380"/>
      <c r="AS140" s="380"/>
      <c r="AT140" s="380"/>
      <c r="AU140" s="380"/>
      <c r="AV140" s="380"/>
      <c r="AW140" s="380"/>
      <c r="AX140" s="380"/>
      <c r="AY140" s="403"/>
      <c r="AZ140" s="380"/>
      <c r="BA140" s="380"/>
      <c r="BB140" s="380"/>
      <c r="BC140" s="380"/>
      <c r="BD140" s="380"/>
      <c r="BE140" s="404"/>
      <c r="BF140" s="380"/>
      <c r="BG140" s="380"/>
      <c r="BH140" s="380"/>
      <c r="BI140" s="380"/>
      <c r="BJ140" s="380"/>
      <c r="BK140" s="380"/>
      <c r="BL140" s="380"/>
      <c r="BM140" s="403"/>
      <c r="BS140" s="83"/>
      <c r="CA140" s="405"/>
      <c r="CG140" s="83"/>
      <c r="CO140" s="405"/>
      <c r="CU140" s="83"/>
      <c r="DC140" s="405"/>
      <c r="DI140" s="83"/>
      <c r="DQ140" s="405"/>
      <c r="DW140" s="83"/>
      <c r="EE140" s="405"/>
      <c r="EK140" s="83"/>
      <c r="ES140" s="405"/>
      <c r="EY140" s="83"/>
      <c r="FG140" s="405"/>
      <c r="FM140" s="83"/>
      <c r="FU140" s="405"/>
      <c r="GA140" s="83"/>
      <c r="GI140" s="405"/>
      <c r="GO140" s="83"/>
      <c r="GW140" s="405"/>
      <c r="HC140" s="83"/>
      <c r="HK140" s="405"/>
      <c r="HQ140" s="83"/>
      <c r="HY140" s="405"/>
      <c r="IE140" s="83"/>
      <c r="IM140" s="405"/>
      <c r="IS140" s="83"/>
      <c r="JA140" s="405"/>
      <c r="JG140" s="83"/>
      <c r="JO140" s="405"/>
      <c r="JU140" s="83"/>
      <c r="KC140" s="405"/>
      <c r="KI140" s="83"/>
      <c r="KQ140" s="405"/>
      <c r="KW140" s="83"/>
      <c r="LE140" s="405"/>
      <c r="LK140" s="83"/>
      <c r="LS140" s="405"/>
      <c r="LY140" s="83"/>
      <c r="MG140" s="405"/>
      <c r="MM140" s="83"/>
      <c r="MU140" s="405"/>
      <c r="NA140" s="83"/>
    </row>
    <row r="141">
      <c r="A141" s="380"/>
      <c r="B141" s="380"/>
      <c r="C141" s="380"/>
      <c r="D141" s="380"/>
      <c r="E141" s="380"/>
      <c r="F141" s="380"/>
      <c r="G141" s="380"/>
      <c r="H141" s="380"/>
      <c r="I141" s="403"/>
      <c r="J141" s="380"/>
      <c r="K141" s="380"/>
      <c r="L141" s="380"/>
      <c r="M141" s="380"/>
      <c r="N141" s="380"/>
      <c r="O141" s="404"/>
      <c r="P141" s="380"/>
      <c r="Q141" s="380"/>
      <c r="R141" s="380"/>
      <c r="S141" s="380"/>
      <c r="T141" s="380"/>
      <c r="U141" s="380"/>
      <c r="V141" s="380"/>
      <c r="W141" s="403"/>
      <c r="X141" s="380"/>
      <c r="Y141" s="380"/>
      <c r="Z141" s="380"/>
      <c r="AA141" s="380"/>
      <c r="AB141" s="380"/>
      <c r="AC141" s="404"/>
      <c r="AD141" s="380"/>
      <c r="AE141" s="380"/>
      <c r="AF141" s="380"/>
      <c r="AG141" s="380"/>
      <c r="AH141" s="380"/>
      <c r="AI141" s="380"/>
      <c r="AJ141" s="380"/>
      <c r="AK141" s="403"/>
      <c r="AL141" s="380"/>
      <c r="AM141" s="380"/>
      <c r="AN141" s="380"/>
      <c r="AO141" s="380"/>
      <c r="AP141" s="380"/>
      <c r="AQ141" s="404"/>
      <c r="AR141" s="380"/>
      <c r="AS141" s="380"/>
      <c r="AT141" s="380"/>
      <c r="AU141" s="380"/>
      <c r="AV141" s="380"/>
      <c r="AW141" s="380"/>
      <c r="AX141" s="380"/>
      <c r="AY141" s="403"/>
      <c r="AZ141" s="380"/>
      <c r="BA141" s="380"/>
      <c r="BB141" s="380"/>
      <c r="BC141" s="380"/>
      <c r="BD141" s="380"/>
      <c r="BE141" s="404"/>
      <c r="BF141" s="380"/>
      <c r="BG141" s="380"/>
      <c r="BH141" s="380"/>
      <c r="BI141" s="380"/>
      <c r="BJ141" s="380"/>
      <c r="BK141" s="380"/>
      <c r="BL141" s="380"/>
      <c r="BM141" s="403"/>
      <c r="BS141" s="83"/>
      <c r="CA141" s="405"/>
      <c r="CG141" s="83"/>
      <c r="CO141" s="405"/>
      <c r="CU141" s="83"/>
      <c r="DC141" s="405"/>
      <c r="DI141" s="83"/>
      <c r="DQ141" s="405"/>
      <c r="DW141" s="83"/>
      <c r="EE141" s="405"/>
      <c r="EK141" s="83"/>
      <c r="ES141" s="405"/>
      <c r="EY141" s="83"/>
      <c r="FG141" s="405"/>
      <c r="FM141" s="83"/>
      <c r="FU141" s="405"/>
      <c r="GA141" s="83"/>
      <c r="GI141" s="405"/>
      <c r="GO141" s="83"/>
      <c r="GW141" s="405"/>
      <c r="HC141" s="83"/>
      <c r="HK141" s="405"/>
      <c r="HQ141" s="83"/>
      <c r="HY141" s="405"/>
      <c r="IE141" s="83"/>
      <c r="IM141" s="405"/>
      <c r="IS141" s="83"/>
      <c r="JA141" s="405"/>
      <c r="JG141" s="83"/>
      <c r="JO141" s="405"/>
      <c r="JU141" s="83"/>
      <c r="KC141" s="405"/>
      <c r="KI141" s="83"/>
      <c r="KQ141" s="405"/>
      <c r="KW141" s="83"/>
      <c r="LE141" s="405"/>
      <c r="LK141" s="83"/>
      <c r="LS141" s="405"/>
      <c r="LY141" s="83"/>
      <c r="MG141" s="405"/>
      <c r="MM141" s="83"/>
      <c r="MU141" s="405"/>
      <c r="NA141" s="83"/>
    </row>
    <row r="142">
      <c r="A142" s="380"/>
      <c r="B142" s="380"/>
      <c r="C142" s="380"/>
      <c r="D142" s="380"/>
      <c r="E142" s="380"/>
      <c r="F142" s="380"/>
      <c r="G142" s="380"/>
      <c r="H142" s="380"/>
      <c r="I142" s="403"/>
      <c r="J142" s="380"/>
      <c r="K142" s="380"/>
      <c r="L142" s="380"/>
      <c r="M142" s="380"/>
      <c r="N142" s="380"/>
      <c r="O142" s="404"/>
      <c r="P142" s="380"/>
      <c r="Q142" s="380"/>
      <c r="R142" s="380"/>
      <c r="S142" s="380"/>
      <c r="T142" s="380"/>
      <c r="U142" s="380"/>
      <c r="V142" s="380"/>
      <c r="W142" s="403"/>
      <c r="X142" s="380"/>
      <c r="Y142" s="380"/>
      <c r="Z142" s="380"/>
      <c r="AA142" s="380"/>
      <c r="AB142" s="380"/>
      <c r="AC142" s="404"/>
      <c r="AD142" s="380"/>
      <c r="AE142" s="380"/>
      <c r="AF142" s="380"/>
      <c r="AG142" s="380"/>
      <c r="AH142" s="380"/>
      <c r="AI142" s="380"/>
      <c r="AJ142" s="380"/>
      <c r="AK142" s="403"/>
      <c r="AL142" s="380"/>
      <c r="AM142" s="380"/>
      <c r="AN142" s="380"/>
      <c r="AO142" s="380"/>
      <c r="AP142" s="380"/>
      <c r="AQ142" s="404"/>
      <c r="AR142" s="380"/>
      <c r="AS142" s="380"/>
      <c r="AT142" s="380"/>
      <c r="AU142" s="380"/>
      <c r="AV142" s="380"/>
      <c r="AW142" s="380"/>
      <c r="AX142" s="380"/>
      <c r="AY142" s="403"/>
      <c r="AZ142" s="380"/>
      <c r="BA142" s="380"/>
      <c r="BB142" s="380"/>
      <c r="BC142" s="380"/>
      <c r="BD142" s="380"/>
      <c r="BE142" s="404"/>
      <c r="BF142" s="380"/>
      <c r="BG142" s="380"/>
      <c r="BH142" s="380"/>
      <c r="BI142" s="380"/>
      <c r="BJ142" s="380"/>
      <c r="BK142" s="380"/>
      <c r="BL142" s="380"/>
      <c r="BM142" s="403"/>
      <c r="BS142" s="83"/>
      <c r="CA142" s="405"/>
      <c r="CG142" s="83"/>
      <c r="CO142" s="405"/>
      <c r="CU142" s="83"/>
      <c r="DC142" s="405"/>
      <c r="DI142" s="83"/>
      <c r="DQ142" s="405"/>
      <c r="DW142" s="83"/>
      <c r="EE142" s="405"/>
      <c r="EK142" s="83"/>
      <c r="ES142" s="405"/>
      <c r="EY142" s="83"/>
      <c r="FG142" s="405"/>
      <c r="FM142" s="83"/>
      <c r="FU142" s="405"/>
      <c r="GA142" s="83"/>
      <c r="GI142" s="405"/>
      <c r="GO142" s="83"/>
      <c r="GW142" s="405"/>
      <c r="HC142" s="83"/>
      <c r="HK142" s="405"/>
      <c r="HQ142" s="83"/>
      <c r="HY142" s="405"/>
      <c r="IE142" s="83"/>
      <c r="IM142" s="405"/>
      <c r="IS142" s="83"/>
      <c r="JA142" s="405"/>
      <c r="JG142" s="83"/>
      <c r="JO142" s="405"/>
      <c r="JU142" s="83"/>
      <c r="KC142" s="405"/>
      <c r="KI142" s="83"/>
      <c r="KQ142" s="405"/>
      <c r="KW142" s="83"/>
      <c r="LE142" s="405"/>
      <c r="LK142" s="83"/>
      <c r="LS142" s="405"/>
      <c r="LY142" s="83"/>
      <c r="MG142" s="405"/>
      <c r="MM142" s="83"/>
      <c r="MU142" s="405"/>
      <c r="NA142" s="83"/>
    </row>
    <row r="143">
      <c r="A143" s="380"/>
      <c r="B143" s="380"/>
      <c r="C143" s="380"/>
      <c r="D143" s="380"/>
      <c r="E143" s="380"/>
      <c r="F143" s="380"/>
      <c r="G143" s="380"/>
      <c r="H143" s="380"/>
      <c r="I143" s="403"/>
      <c r="J143" s="380"/>
      <c r="K143" s="380"/>
      <c r="L143" s="380"/>
      <c r="M143" s="380"/>
      <c r="N143" s="380"/>
      <c r="O143" s="404"/>
      <c r="P143" s="380"/>
      <c r="Q143" s="380"/>
      <c r="R143" s="380"/>
      <c r="S143" s="380"/>
      <c r="T143" s="380"/>
      <c r="U143" s="380"/>
      <c r="V143" s="380"/>
      <c r="W143" s="403"/>
      <c r="X143" s="380"/>
      <c r="Y143" s="380"/>
      <c r="Z143" s="380"/>
      <c r="AA143" s="380"/>
      <c r="AB143" s="380"/>
      <c r="AC143" s="404"/>
      <c r="AD143" s="380"/>
      <c r="AE143" s="380"/>
      <c r="AF143" s="380"/>
      <c r="AG143" s="380"/>
      <c r="AH143" s="380"/>
      <c r="AI143" s="380"/>
      <c r="AJ143" s="380"/>
      <c r="AK143" s="403"/>
      <c r="AL143" s="380"/>
      <c r="AM143" s="380"/>
      <c r="AN143" s="380"/>
      <c r="AO143" s="380"/>
      <c r="AP143" s="380"/>
      <c r="AQ143" s="404"/>
      <c r="AR143" s="380"/>
      <c r="AS143" s="380"/>
      <c r="AT143" s="380"/>
      <c r="AU143" s="380"/>
      <c r="AV143" s="380"/>
      <c r="AW143" s="380"/>
      <c r="AX143" s="380"/>
      <c r="AY143" s="403"/>
      <c r="AZ143" s="380"/>
      <c r="BA143" s="380"/>
      <c r="BB143" s="380"/>
      <c r="BC143" s="380"/>
      <c r="BD143" s="380"/>
      <c r="BE143" s="404"/>
      <c r="BF143" s="380"/>
      <c r="BG143" s="380"/>
      <c r="BH143" s="380"/>
      <c r="BI143" s="380"/>
      <c r="BJ143" s="380"/>
      <c r="BK143" s="380"/>
      <c r="BL143" s="380"/>
      <c r="BM143" s="403"/>
      <c r="BS143" s="83"/>
      <c r="CA143" s="405"/>
      <c r="CG143" s="83"/>
      <c r="CO143" s="405"/>
      <c r="CU143" s="83"/>
      <c r="DC143" s="405"/>
      <c r="DI143" s="83"/>
      <c r="DQ143" s="405"/>
      <c r="DW143" s="83"/>
      <c r="EE143" s="405"/>
      <c r="EK143" s="83"/>
      <c r="ES143" s="405"/>
      <c r="EY143" s="83"/>
      <c r="FG143" s="405"/>
      <c r="FM143" s="83"/>
      <c r="FU143" s="405"/>
      <c r="GA143" s="83"/>
      <c r="GI143" s="405"/>
      <c r="GO143" s="83"/>
      <c r="GW143" s="405"/>
      <c r="HC143" s="83"/>
      <c r="HK143" s="405"/>
      <c r="HQ143" s="83"/>
      <c r="HY143" s="405"/>
      <c r="IE143" s="83"/>
      <c r="IM143" s="405"/>
      <c r="IS143" s="83"/>
      <c r="JA143" s="405"/>
      <c r="JG143" s="83"/>
      <c r="JO143" s="405"/>
      <c r="JU143" s="83"/>
      <c r="KC143" s="405"/>
      <c r="KI143" s="83"/>
      <c r="KQ143" s="405"/>
      <c r="KW143" s="83"/>
      <c r="LE143" s="405"/>
      <c r="LK143" s="83"/>
      <c r="LS143" s="405"/>
      <c r="LY143" s="83"/>
      <c r="MG143" s="405"/>
      <c r="MM143" s="83"/>
      <c r="MU143" s="405"/>
      <c r="NA143" s="83"/>
    </row>
    <row r="144">
      <c r="A144" s="380"/>
      <c r="B144" s="380"/>
      <c r="C144" s="380"/>
      <c r="D144" s="380"/>
      <c r="E144" s="380"/>
      <c r="F144" s="380"/>
      <c r="G144" s="380"/>
      <c r="H144" s="380"/>
      <c r="I144" s="403"/>
      <c r="J144" s="380"/>
      <c r="K144" s="380"/>
      <c r="L144" s="380"/>
      <c r="M144" s="380"/>
      <c r="N144" s="380"/>
      <c r="O144" s="404"/>
      <c r="P144" s="380"/>
      <c r="Q144" s="380"/>
      <c r="R144" s="380"/>
      <c r="S144" s="380"/>
      <c r="T144" s="380"/>
      <c r="U144" s="380"/>
      <c r="V144" s="380"/>
      <c r="W144" s="403"/>
      <c r="X144" s="380"/>
      <c r="Y144" s="380"/>
      <c r="Z144" s="380"/>
      <c r="AA144" s="380"/>
      <c r="AB144" s="380"/>
      <c r="AC144" s="404"/>
      <c r="AD144" s="380"/>
      <c r="AE144" s="380"/>
      <c r="AF144" s="380"/>
      <c r="AG144" s="380"/>
      <c r="AH144" s="380"/>
      <c r="AI144" s="380"/>
      <c r="AJ144" s="380"/>
      <c r="AK144" s="403"/>
      <c r="AL144" s="380"/>
      <c r="AM144" s="380"/>
      <c r="AN144" s="380"/>
      <c r="AO144" s="380"/>
      <c r="AP144" s="380"/>
      <c r="AQ144" s="404"/>
      <c r="AR144" s="380"/>
      <c r="AS144" s="380"/>
      <c r="AT144" s="380"/>
      <c r="AU144" s="380"/>
      <c r="AV144" s="380"/>
      <c r="AW144" s="380"/>
      <c r="AX144" s="380"/>
      <c r="AY144" s="403"/>
      <c r="AZ144" s="380"/>
      <c r="BA144" s="380"/>
      <c r="BB144" s="380"/>
      <c r="BC144" s="380"/>
      <c r="BD144" s="380"/>
      <c r="BE144" s="404"/>
      <c r="BF144" s="380"/>
      <c r="BG144" s="380"/>
      <c r="BH144" s="380"/>
      <c r="BI144" s="380"/>
      <c r="BJ144" s="380"/>
      <c r="BK144" s="380"/>
      <c r="BL144" s="380"/>
      <c r="BM144" s="403"/>
      <c r="BS144" s="83"/>
      <c r="CA144" s="405"/>
      <c r="CG144" s="83"/>
      <c r="CO144" s="405"/>
      <c r="CU144" s="83"/>
      <c r="DC144" s="405"/>
      <c r="DI144" s="83"/>
      <c r="DQ144" s="405"/>
      <c r="DW144" s="83"/>
      <c r="EE144" s="405"/>
      <c r="EK144" s="83"/>
      <c r="ES144" s="405"/>
      <c r="EY144" s="83"/>
      <c r="FG144" s="405"/>
      <c r="FM144" s="83"/>
      <c r="FU144" s="405"/>
      <c r="GA144" s="83"/>
      <c r="GI144" s="405"/>
      <c r="GO144" s="83"/>
      <c r="GW144" s="405"/>
      <c r="HC144" s="83"/>
      <c r="HK144" s="405"/>
      <c r="HQ144" s="83"/>
      <c r="HY144" s="405"/>
      <c r="IE144" s="83"/>
      <c r="IM144" s="405"/>
      <c r="IS144" s="83"/>
      <c r="JA144" s="405"/>
      <c r="JG144" s="83"/>
      <c r="JO144" s="405"/>
      <c r="JU144" s="83"/>
      <c r="KC144" s="405"/>
      <c r="KI144" s="83"/>
      <c r="KQ144" s="405"/>
      <c r="KW144" s="83"/>
      <c r="LE144" s="405"/>
      <c r="LK144" s="83"/>
      <c r="LS144" s="405"/>
      <c r="LY144" s="83"/>
      <c r="MG144" s="405"/>
      <c r="MM144" s="83"/>
      <c r="MU144" s="405"/>
      <c r="NA144" s="83"/>
    </row>
    <row r="145">
      <c r="A145" s="380"/>
      <c r="B145" s="380"/>
      <c r="C145" s="380"/>
      <c r="D145" s="380"/>
      <c r="E145" s="380"/>
      <c r="F145" s="380"/>
      <c r="G145" s="380"/>
      <c r="H145" s="380"/>
      <c r="I145" s="403"/>
      <c r="J145" s="380"/>
      <c r="K145" s="380"/>
      <c r="L145" s="380"/>
      <c r="M145" s="380"/>
      <c r="N145" s="380"/>
      <c r="O145" s="404"/>
      <c r="P145" s="380"/>
      <c r="Q145" s="380"/>
      <c r="R145" s="380"/>
      <c r="S145" s="380"/>
      <c r="T145" s="380"/>
      <c r="U145" s="380"/>
      <c r="V145" s="380"/>
      <c r="W145" s="403"/>
      <c r="X145" s="380"/>
      <c r="Y145" s="380"/>
      <c r="Z145" s="380"/>
      <c r="AA145" s="380"/>
      <c r="AB145" s="380"/>
      <c r="AC145" s="404"/>
      <c r="AD145" s="380"/>
      <c r="AE145" s="380"/>
      <c r="AF145" s="380"/>
      <c r="AG145" s="380"/>
      <c r="AH145" s="380"/>
      <c r="AI145" s="380"/>
      <c r="AJ145" s="380"/>
      <c r="AK145" s="403"/>
      <c r="AL145" s="380"/>
      <c r="AM145" s="380"/>
      <c r="AN145" s="380"/>
      <c r="AO145" s="380"/>
      <c r="AP145" s="380"/>
      <c r="AQ145" s="404"/>
      <c r="AR145" s="380"/>
      <c r="AS145" s="380"/>
      <c r="AT145" s="380"/>
      <c r="AU145" s="380"/>
      <c r="AV145" s="380"/>
      <c r="AW145" s="380"/>
      <c r="AX145" s="380"/>
      <c r="AY145" s="403"/>
      <c r="AZ145" s="380"/>
      <c r="BA145" s="380"/>
      <c r="BB145" s="380"/>
      <c r="BC145" s="380"/>
      <c r="BD145" s="380"/>
      <c r="BE145" s="404"/>
      <c r="BF145" s="380"/>
      <c r="BG145" s="380"/>
      <c r="BH145" s="380"/>
      <c r="BI145" s="380"/>
      <c r="BJ145" s="380"/>
      <c r="BK145" s="380"/>
      <c r="BL145" s="380"/>
      <c r="BM145" s="403"/>
      <c r="BS145" s="83"/>
      <c r="CA145" s="405"/>
      <c r="CG145" s="83"/>
      <c r="CO145" s="405"/>
      <c r="CU145" s="83"/>
      <c r="DC145" s="405"/>
      <c r="DI145" s="83"/>
      <c r="DQ145" s="405"/>
      <c r="DW145" s="83"/>
      <c r="EE145" s="405"/>
      <c r="EK145" s="83"/>
      <c r="ES145" s="405"/>
      <c r="EY145" s="83"/>
      <c r="FG145" s="405"/>
      <c r="FM145" s="83"/>
      <c r="FU145" s="405"/>
      <c r="GA145" s="83"/>
      <c r="GI145" s="405"/>
      <c r="GO145" s="83"/>
      <c r="GW145" s="405"/>
      <c r="HC145" s="83"/>
      <c r="HK145" s="405"/>
      <c r="HQ145" s="83"/>
      <c r="HY145" s="405"/>
      <c r="IE145" s="83"/>
      <c r="IM145" s="405"/>
      <c r="IS145" s="83"/>
      <c r="JA145" s="405"/>
      <c r="JG145" s="83"/>
      <c r="JO145" s="405"/>
      <c r="JU145" s="83"/>
      <c r="KC145" s="405"/>
      <c r="KI145" s="83"/>
      <c r="KQ145" s="405"/>
      <c r="KW145" s="83"/>
      <c r="LE145" s="405"/>
      <c r="LK145" s="83"/>
      <c r="LS145" s="405"/>
      <c r="LY145" s="83"/>
      <c r="MG145" s="405"/>
      <c r="MM145" s="83"/>
      <c r="MU145" s="405"/>
      <c r="NA145" s="83"/>
    </row>
    <row r="146">
      <c r="A146" s="380"/>
      <c r="B146" s="380"/>
      <c r="C146" s="380"/>
      <c r="D146" s="380"/>
      <c r="E146" s="380"/>
      <c r="F146" s="380"/>
      <c r="G146" s="380"/>
      <c r="H146" s="380"/>
      <c r="I146" s="403"/>
      <c r="J146" s="380"/>
      <c r="K146" s="380"/>
      <c r="L146" s="380"/>
      <c r="M146" s="380"/>
      <c r="N146" s="380"/>
      <c r="O146" s="404"/>
      <c r="P146" s="380"/>
      <c r="Q146" s="380"/>
      <c r="R146" s="380"/>
      <c r="S146" s="380"/>
      <c r="T146" s="380"/>
      <c r="U146" s="380"/>
      <c r="V146" s="380"/>
      <c r="W146" s="403"/>
      <c r="X146" s="380"/>
      <c r="Y146" s="380"/>
      <c r="Z146" s="380"/>
      <c r="AA146" s="380"/>
      <c r="AB146" s="380"/>
      <c r="AC146" s="404"/>
      <c r="AD146" s="380"/>
      <c r="AE146" s="380"/>
      <c r="AF146" s="380"/>
      <c r="AG146" s="380"/>
      <c r="AH146" s="380"/>
      <c r="AI146" s="380"/>
      <c r="AJ146" s="380"/>
      <c r="AK146" s="403"/>
      <c r="AL146" s="380"/>
      <c r="AM146" s="380"/>
      <c r="AN146" s="380"/>
      <c r="AO146" s="380"/>
      <c r="AP146" s="380"/>
      <c r="AQ146" s="404"/>
      <c r="AR146" s="380"/>
      <c r="AS146" s="380"/>
      <c r="AT146" s="380"/>
      <c r="AU146" s="380"/>
      <c r="AV146" s="380"/>
      <c r="AW146" s="380"/>
      <c r="AX146" s="380"/>
      <c r="AY146" s="403"/>
      <c r="AZ146" s="380"/>
      <c r="BA146" s="380"/>
      <c r="BB146" s="380"/>
      <c r="BC146" s="380"/>
      <c r="BD146" s="380"/>
      <c r="BE146" s="404"/>
      <c r="BF146" s="380"/>
      <c r="BG146" s="380"/>
      <c r="BH146" s="380"/>
      <c r="BI146" s="380"/>
      <c r="BJ146" s="380"/>
      <c r="BK146" s="380"/>
      <c r="BL146" s="380"/>
      <c r="BM146" s="403"/>
      <c r="BS146" s="83"/>
      <c r="CA146" s="405"/>
      <c r="CG146" s="83"/>
      <c r="CO146" s="405"/>
      <c r="CU146" s="83"/>
      <c r="DC146" s="405"/>
      <c r="DI146" s="83"/>
      <c r="DQ146" s="405"/>
      <c r="DW146" s="83"/>
      <c r="EE146" s="405"/>
      <c r="EK146" s="83"/>
      <c r="ES146" s="405"/>
      <c r="EY146" s="83"/>
      <c r="FG146" s="405"/>
      <c r="FM146" s="83"/>
      <c r="FU146" s="405"/>
      <c r="GA146" s="83"/>
      <c r="GI146" s="405"/>
      <c r="GO146" s="83"/>
      <c r="GW146" s="405"/>
      <c r="HC146" s="83"/>
      <c r="HK146" s="405"/>
      <c r="HQ146" s="83"/>
      <c r="HY146" s="405"/>
      <c r="IE146" s="83"/>
      <c r="IM146" s="405"/>
      <c r="IS146" s="83"/>
      <c r="JA146" s="405"/>
      <c r="JG146" s="83"/>
      <c r="JO146" s="405"/>
      <c r="JU146" s="83"/>
      <c r="KC146" s="405"/>
      <c r="KI146" s="83"/>
      <c r="KQ146" s="405"/>
      <c r="KW146" s="83"/>
      <c r="LE146" s="405"/>
      <c r="LK146" s="83"/>
      <c r="LS146" s="405"/>
      <c r="LY146" s="83"/>
      <c r="MG146" s="405"/>
      <c r="MM146" s="83"/>
      <c r="MU146" s="405"/>
      <c r="NA146" s="83"/>
    </row>
    <row r="147">
      <c r="A147" s="380"/>
      <c r="B147" s="380"/>
      <c r="C147" s="380"/>
      <c r="D147" s="380"/>
      <c r="E147" s="380"/>
      <c r="F147" s="380"/>
      <c r="G147" s="380"/>
      <c r="H147" s="380"/>
      <c r="I147" s="403"/>
      <c r="J147" s="380"/>
      <c r="K147" s="380"/>
      <c r="L147" s="380"/>
      <c r="M147" s="380"/>
      <c r="N147" s="380"/>
      <c r="O147" s="404"/>
      <c r="P147" s="380"/>
      <c r="Q147" s="380"/>
      <c r="R147" s="380"/>
      <c r="S147" s="380"/>
      <c r="T147" s="380"/>
      <c r="U147" s="380"/>
      <c r="V147" s="380"/>
      <c r="W147" s="403"/>
      <c r="X147" s="380"/>
      <c r="Y147" s="380"/>
      <c r="Z147" s="380"/>
      <c r="AA147" s="380"/>
      <c r="AB147" s="380"/>
      <c r="AC147" s="404"/>
      <c r="AD147" s="380"/>
      <c r="AE147" s="380"/>
      <c r="AF147" s="380"/>
      <c r="AG147" s="380"/>
      <c r="AH147" s="380"/>
      <c r="AI147" s="380"/>
      <c r="AJ147" s="380"/>
      <c r="AK147" s="403"/>
      <c r="AL147" s="380"/>
      <c r="AM147" s="380"/>
      <c r="AN147" s="380"/>
      <c r="AO147" s="380"/>
      <c r="AP147" s="380"/>
      <c r="AQ147" s="404"/>
      <c r="AR147" s="380"/>
      <c r="AS147" s="380"/>
      <c r="AT147" s="380"/>
      <c r="AU147" s="380"/>
      <c r="AV147" s="380"/>
      <c r="AW147" s="380"/>
      <c r="AX147" s="380"/>
      <c r="AY147" s="403"/>
      <c r="AZ147" s="380"/>
      <c r="BA147" s="380"/>
      <c r="BB147" s="380"/>
      <c r="BC147" s="380"/>
      <c r="BD147" s="380"/>
      <c r="BE147" s="404"/>
      <c r="BF147" s="380"/>
      <c r="BG147" s="380"/>
      <c r="BH147" s="380"/>
      <c r="BI147" s="380"/>
      <c r="BJ147" s="380"/>
      <c r="BK147" s="380"/>
      <c r="BL147" s="380"/>
      <c r="BM147" s="403"/>
      <c r="BS147" s="83"/>
      <c r="CA147" s="405"/>
      <c r="CG147" s="83"/>
      <c r="CO147" s="405"/>
      <c r="CU147" s="83"/>
      <c r="DC147" s="405"/>
      <c r="DI147" s="83"/>
      <c r="DQ147" s="405"/>
      <c r="DW147" s="83"/>
      <c r="EE147" s="405"/>
      <c r="EK147" s="83"/>
      <c r="ES147" s="405"/>
      <c r="EY147" s="83"/>
      <c r="FG147" s="405"/>
      <c r="FM147" s="83"/>
      <c r="FU147" s="405"/>
      <c r="GA147" s="83"/>
      <c r="GI147" s="405"/>
      <c r="GO147" s="83"/>
      <c r="GW147" s="405"/>
      <c r="HC147" s="83"/>
      <c r="HK147" s="405"/>
      <c r="HQ147" s="83"/>
      <c r="HY147" s="405"/>
      <c r="IE147" s="83"/>
      <c r="IM147" s="405"/>
      <c r="IS147" s="83"/>
      <c r="JA147" s="405"/>
      <c r="JG147" s="83"/>
      <c r="JO147" s="405"/>
      <c r="JU147" s="83"/>
      <c r="KC147" s="405"/>
      <c r="KI147" s="83"/>
      <c r="KQ147" s="405"/>
      <c r="KW147" s="83"/>
      <c r="LE147" s="405"/>
      <c r="LK147" s="83"/>
      <c r="LS147" s="405"/>
      <c r="LY147" s="83"/>
      <c r="MG147" s="405"/>
      <c r="MM147" s="83"/>
      <c r="MU147" s="405"/>
      <c r="NA147" s="83"/>
    </row>
    <row r="148">
      <c r="A148" s="380"/>
      <c r="B148" s="380"/>
      <c r="C148" s="380"/>
      <c r="D148" s="380"/>
      <c r="E148" s="380"/>
      <c r="F148" s="380"/>
      <c r="G148" s="380"/>
      <c r="H148" s="380"/>
      <c r="I148" s="403"/>
      <c r="J148" s="380"/>
      <c r="K148" s="380"/>
      <c r="L148" s="380"/>
      <c r="M148" s="380"/>
      <c r="N148" s="380"/>
      <c r="O148" s="404"/>
      <c r="P148" s="380"/>
      <c r="Q148" s="380"/>
      <c r="R148" s="380"/>
      <c r="S148" s="380"/>
      <c r="T148" s="380"/>
      <c r="U148" s="380"/>
      <c r="V148" s="380"/>
      <c r="W148" s="403"/>
      <c r="X148" s="380"/>
      <c r="Y148" s="380"/>
      <c r="Z148" s="380"/>
      <c r="AA148" s="380"/>
      <c r="AB148" s="380"/>
      <c r="AC148" s="404"/>
      <c r="AD148" s="380"/>
      <c r="AE148" s="380"/>
      <c r="AF148" s="380"/>
      <c r="AG148" s="380"/>
      <c r="AH148" s="380"/>
      <c r="AI148" s="380"/>
      <c r="AJ148" s="380"/>
      <c r="AK148" s="403"/>
      <c r="AL148" s="380"/>
      <c r="AM148" s="380"/>
      <c r="AN148" s="380"/>
      <c r="AO148" s="380"/>
      <c r="AP148" s="380"/>
      <c r="AQ148" s="404"/>
      <c r="AR148" s="380"/>
      <c r="AS148" s="380"/>
      <c r="AT148" s="380"/>
      <c r="AU148" s="380"/>
      <c r="AV148" s="380"/>
      <c r="AW148" s="380"/>
      <c r="AX148" s="380"/>
      <c r="AY148" s="403"/>
      <c r="AZ148" s="380"/>
      <c r="BA148" s="380"/>
      <c r="BB148" s="380"/>
      <c r="BC148" s="380"/>
      <c r="BD148" s="380"/>
      <c r="BE148" s="404"/>
      <c r="BF148" s="380"/>
      <c r="BG148" s="380"/>
      <c r="BH148" s="380"/>
      <c r="BI148" s="380"/>
      <c r="BJ148" s="380"/>
      <c r="BK148" s="380"/>
      <c r="BL148" s="380"/>
      <c r="BM148" s="403"/>
      <c r="BS148" s="83"/>
      <c r="CA148" s="405"/>
      <c r="CG148" s="83"/>
      <c r="CO148" s="405"/>
      <c r="CU148" s="83"/>
      <c r="DC148" s="405"/>
      <c r="DI148" s="83"/>
      <c r="DQ148" s="405"/>
      <c r="DW148" s="83"/>
      <c r="EE148" s="405"/>
      <c r="EK148" s="83"/>
      <c r="ES148" s="405"/>
      <c r="EY148" s="83"/>
      <c r="FG148" s="405"/>
      <c r="FM148" s="83"/>
      <c r="FU148" s="405"/>
      <c r="GA148" s="83"/>
      <c r="GI148" s="405"/>
      <c r="GO148" s="83"/>
      <c r="GW148" s="405"/>
      <c r="HC148" s="83"/>
      <c r="HK148" s="405"/>
      <c r="HQ148" s="83"/>
      <c r="HY148" s="405"/>
      <c r="IE148" s="83"/>
      <c r="IM148" s="405"/>
      <c r="IS148" s="83"/>
      <c r="JA148" s="405"/>
      <c r="JG148" s="83"/>
      <c r="JO148" s="405"/>
      <c r="JU148" s="83"/>
      <c r="KC148" s="405"/>
      <c r="KI148" s="83"/>
      <c r="KQ148" s="405"/>
      <c r="KW148" s="83"/>
      <c r="LE148" s="405"/>
      <c r="LK148" s="83"/>
      <c r="LS148" s="405"/>
      <c r="LY148" s="83"/>
      <c r="MG148" s="405"/>
      <c r="MM148" s="83"/>
      <c r="MU148" s="405"/>
      <c r="NA148" s="83"/>
    </row>
    <row r="149">
      <c r="A149" s="380"/>
      <c r="B149" s="380"/>
      <c r="C149" s="380"/>
      <c r="D149" s="380"/>
      <c r="E149" s="380"/>
      <c r="F149" s="380"/>
      <c r="G149" s="380"/>
      <c r="H149" s="380"/>
      <c r="I149" s="403"/>
      <c r="J149" s="380"/>
      <c r="K149" s="380"/>
      <c r="L149" s="380"/>
      <c r="M149" s="380"/>
      <c r="N149" s="380"/>
      <c r="O149" s="404"/>
      <c r="P149" s="380"/>
      <c r="Q149" s="380"/>
      <c r="R149" s="380"/>
      <c r="S149" s="380"/>
      <c r="T149" s="380"/>
      <c r="U149" s="380"/>
      <c r="V149" s="380"/>
      <c r="W149" s="403"/>
      <c r="X149" s="380"/>
      <c r="Y149" s="380"/>
      <c r="Z149" s="380"/>
      <c r="AA149" s="380"/>
      <c r="AB149" s="380"/>
      <c r="AC149" s="404"/>
      <c r="AD149" s="380"/>
      <c r="AE149" s="380"/>
      <c r="AF149" s="380"/>
      <c r="AG149" s="380"/>
      <c r="AH149" s="380"/>
      <c r="AI149" s="380"/>
      <c r="AJ149" s="380"/>
      <c r="AK149" s="403"/>
      <c r="AL149" s="380"/>
      <c r="AM149" s="380"/>
      <c r="AN149" s="380"/>
      <c r="AO149" s="380"/>
      <c r="AP149" s="380"/>
      <c r="AQ149" s="404"/>
      <c r="AR149" s="380"/>
      <c r="AS149" s="380"/>
      <c r="AT149" s="380"/>
      <c r="AU149" s="380"/>
      <c r="AV149" s="380"/>
      <c r="AW149" s="380"/>
      <c r="AX149" s="380"/>
      <c r="AY149" s="403"/>
      <c r="AZ149" s="380"/>
      <c r="BA149" s="380"/>
      <c r="BB149" s="380"/>
      <c r="BC149" s="380"/>
      <c r="BD149" s="380"/>
      <c r="BE149" s="404"/>
      <c r="BF149" s="380"/>
      <c r="BG149" s="380"/>
      <c r="BH149" s="380"/>
      <c r="BI149" s="380"/>
      <c r="BJ149" s="380"/>
      <c r="BK149" s="380"/>
      <c r="BL149" s="380"/>
      <c r="BM149" s="403"/>
      <c r="BS149" s="83"/>
      <c r="CA149" s="405"/>
      <c r="CG149" s="83"/>
      <c r="CO149" s="405"/>
      <c r="CU149" s="83"/>
      <c r="DC149" s="405"/>
      <c r="DI149" s="83"/>
      <c r="DQ149" s="405"/>
      <c r="DW149" s="83"/>
      <c r="EE149" s="405"/>
      <c r="EK149" s="83"/>
      <c r="ES149" s="405"/>
      <c r="EY149" s="83"/>
      <c r="FG149" s="405"/>
      <c r="FM149" s="83"/>
      <c r="FU149" s="405"/>
      <c r="GA149" s="83"/>
      <c r="GI149" s="405"/>
      <c r="GO149" s="83"/>
      <c r="GW149" s="405"/>
      <c r="HC149" s="83"/>
      <c r="HK149" s="405"/>
      <c r="HQ149" s="83"/>
      <c r="HY149" s="405"/>
      <c r="IE149" s="83"/>
      <c r="IM149" s="405"/>
      <c r="IS149" s="83"/>
      <c r="JA149" s="405"/>
      <c r="JG149" s="83"/>
      <c r="JO149" s="405"/>
      <c r="JU149" s="83"/>
      <c r="KC149" s="405"/>
      <c r="KI149" s="83"/>
      <c r="KQ149" s="405"/>
      <c r="KW149" s="83"/>
      <c r="LE149" s="405"/>
      <c r="LK149" s="83"/>
      <c r="LS149" s="405"/>
      <c r="LY149" s="83"/>
      <c r="MG149" s="405"/>
      <c r="MM149" s="83"/>
      <c r="MU149" s="405"/>
      <c r="NA149" s="83"/>
    </row>
    <row r="150">
      <c r="A150" s="380"/>
      <c r="B150" s="380"/>
      <c r="C150" s="380"/>
      <c r="D150" s="380"/>
      <c r="E150" s="380"/>
      <c r="F150" s="380"/>
      <c r="G150" s="380"/>
      <c r="H150" s="380"/>
      <c r="I150" s="403"/>
      <c r="J150" s="380"/>
      <c r="K150" s="380"/>
      <c r="L150" s="380"/>
      <c r="M150" s="380"/>
      <c r="N150" s="380"/>
      <c r="O150" s="404"/>
      <c r="P150" s="380"/>
      <c r="Q150" s="380"/>
      <c r="R150" s="380"/>
      <c r="S150" s="380"/>
      <c r="T150" s="380"/>
      <c r="U150" s="380"/>
      <c r="V150" s="380"/>
      <c r="W150" s="403"/>
      <c r="X150" s="380"/>
      <c r="Y150" s="380"/>
      <c r="Z150" s="380"/>
      <c r="AA150" s="380"/>
      <c r="AB150" s="380"/>
      <c r="AC150" s="404"/>
      <c r="AD150" s="380"/>
      <c r="AE150" s="380"/>
      <c r="AF150" s="380"/>
      <c r="AG150" s="380"/>
      <c r="AH150" s="380"/>
      <c r="AI150" s="380"/>
      <c r="AJ150" s="380"/>
      <c r="AK150" s="403"/>
      <c r="AL150" s="380"/>
      <c r="AM150" s="380"/>
      <c r="AN150" s="380"/>
      <c r="AO150" s="380"/>
      <c r="AP150" s="380"/>
      <c r="AQ150" s="404"/>
      <c r="AR150" s="380"/>
      <c r="AS150" s="380"/>
      <c r="AT150" s="380"/>
      <c r="AU150" s="380"/>
      <c r="AV150" s="380"/>
      <c r="AW150" s="380"/>
      <c r="AX150" s="380"/>
      <c r="AY150" s="403"/>
      <c r="AZ150" s="380"/>
      <c r="BA150" s="380"/>
      <c r="BB150" s="380"/>
      <c r="BC150" s="380"/>
      <c r="BD150" s="380"/>
      <c r="BE150" s="404"/>
      <c r="BF150" s="380"/>
      <c r="BG150" s="380"/>
      <c r="BH150" s="380"/>
      <c r="BI150" s="380"/>
      <c r="BJ150" s="380"/>
      <c r="BK150" s="380"/>
      <c r="BL150" s="380"/>
      <c r="BM150" s="403"/>
      <c r="BS150" s="83"/>
      <c r="CA150" s="405"/>
      <c r="CG150" s="83"/>
      <c r="CO150" s="405"/>
      <c r="CU150" s="83"/>
      <c r="DC150" s="405"/>
      <c r="DI150" s="83"/>
      <c r="DQ150" s="405"/>
      <c r="DW150" s="83"/>
      <c r="EE150" s="405"/>
      <c r="EK150" s="83"/>
      <c r="ES150" s="405"/>
      <c r="EY150" s="83"/>
      <c r="FG150" s="405"/>
      <c r="FM150" s="83"/>
      <c r="FU150" s="405"/>
      <c r="GA150" s="83"/>
      <c r="GI150" s="405"/>
      <c r="GO150" s="83"/>
      <c r="GW150" s="405"/>
      <c r="HC150" s="83"/>
      <c r="HK150" s="405"/>
      <c r="HQ150" s="83"/>
      <c r="HY150" s="405"/>
      <c r="IE150" s="83"/>
      <c r="IM150" s="405"/>
      <c r="IS150" s="83"/>
      <c r="JA150" s="405"/>
      <c r="JG150" s="83"/>
      <c r="JO150" s="405"/>
      <c r="JU150" s="83"/>
      <c r="KC150" s="405"/>
      <c r="KI150" s="83"/>
      <c r="KQ150" s="405"/>
      <c r="KW150" s="83"/>
      <c r="LE150" s="405"/>
      <c r="LK150" s="83"/>
      <c r="LS150" s="405"/>
      <c r="LY150" s="83"/>
      <c r="MG150" s="405"/>
      <c r="MM150" s="83"/>
      <c r="MU150" s="405"/>
      <c r="NA150" s="83"/>
    </row>
    <row r="151">
      <c r="A151" s="380"/>
      <c r="B151" s="380"/>
      <c r="C151" s="380"/>
      <c r="D151" s="380"/>
      <c r="E151" s="380"/>
      <c r="F151" s="380"/>
      <c r="G151" s="380"/>
      <c r="H151" s="380"/>
      <c r="I151" s="403"/>
      <c r="J151" s="380"/>
      <c r="K151" s="380"/>
      <c r="L151" s="380"/>
      <c r="M151" s="380"/>
      <c r="N151" s="380"/>
      <c r="O151" s="404"/>
      <c r="P151" s="380"/>
      <c r="Q151" s="380"/>
      <c r="R151" s="380"/>
      <c r="S151" s="380"/>
      <c r="T151" s="380"/>
      <c r="U151" s="380"/>
      <c r="V151" s="380"/>
      <c r="W151" s="403"/>
      <c r="X151" s="380"/>
      <c r="Y151" s="380"/>
      <c r="Z151" s="380"/>
      <c r="AA151" s="380"/>
      <c r="AB151" s="380"/>
      <c r="AC151" s="404"/>
      <c r="AD151" s="380"/>
      <c r="AE151" s="380"/>
      <c r="AF151" s="380"/>
      <c r="AG151" s="380"/>
      <c r="AH151" s="380"/>
      <c r="AI151" s="380"/>
      <c r="AJ151" s="380"/>
      <c r="AK151" s="403"/>
      <c r="AL151" s="380"/>
      <c r="AM151" s="380"/>
      <c r="AN151" s="380"/>
      <c r="AO151" s="380"/>
      <c r="AP151" s="380"/>
      <c r="AQ151" s="404"/>
      <c r="AR151" s="380"/>
      <c r="AS151" s="380"/>
      <c r="AT151" s="380"/>
      <c r="AU151" s="380"/>
      <c r="AV151" s="380"/>
      <c r="AW151" s="380"/>
      <c r="AX151" s="380"/>
      <c r="AY151" s="403"/>
      <c r="AZ151" s="380"/>
      <c r="BA151" s="380"/>
      <c r="BB151" s="380"/>
      <c r="BC151" s="380"/>
      <c r="BD151" s="380"/>
      <c r="BE151" s="404"/>
      <c r="BF151" s="380"/>
      <c r="BG151" s="380"/>
      <c r="BH151" s="380"/>
      <c r="BI151" s="380"/>
      <c r="BJ151" s="380"/>
      <c r="BK151" s="380"/>
      <c r="BL151" s="380"/>
      <c r="BM151" s="403"/>
      <c r="BS151" s="83"/>
      <c r="CA151" s="405"/>
      <c r="CG151" s="83"/>
      <c r="CO151" s="405"/>
      <c r="CU151" s="83"/>
      <c r="DC151" s="405"/>
      <c r="DI151" s="83"/>
      <c r="DQ151" s="405"/>
      <c r="DW151" s="83"/>
      <c r="EE151" s="405"/>
      <c r="EK151" s="83"/>
      <c r="ES151" s="405"/>
      <c r="EY151" s="83"/>
      <c r="FG151" s="405"/>
      <c r="FM151" s="83"/>
      <c r="FU151" s="405"/>
      <c r="GA151" s="83"/>
      <c r="GI151" s="405"/>
      <c r="GO151" s="83"/>
      <c r="GW151" s="405"/>
      <c r="HC151" s="83"/>
      <c r="HK151" s="405"/>
      <c r="HQ151" s="83"/>
      <c r="HY151" s="405"/>
      <c r="IE151" s="83"/>
      <c r="IM151" s="405"/>
      <c r="IS151" s="83"/>
      <c r="JA151" s="405"/>
      <c r="JG151" s="83"/>
      <c r="JO151" s="405"/>
      <c r="JU151" s="83"/>
      <c r="KC151" s="405"/>
      <c r="KI151" s="83"/>
      <c r="KQ151" s="405"/>
      <c r="KW151" s="83"/>
      <c r="LE151" s="405"/>
      <c r="LK151" s="83"/>
      <c r="LS151" s="405"/>
      <c r="LY151" s="83"/>
      <c r="MG151" s="405"/>
      <c r="MM151" s="83"/>
      <c r="MU151" s="405"/>
      <c r="NA151" s="83"/>
    </row>
    <row r="152">
      <c r="A152" s="380"/>
      <c r="B152" s="380"/>
      <c r="C152" s="380"/>
      <c r="D152" s="380"/>
      <c r="E152" s="380"/>
      <c r="F152" s="380"/>
      <c r="G152" s="380"/>
      <c r="H152" s="380"/>
      <c r="I152" s="403"/>
      <c r="J152" s="380"/>
      <c r="K152" s="380"/>
      <c r="L152" s="380"/>
      <c r="M152" s="380"/>
      <c r="N152" s="380"/>
      <c r="O152" s="404"/>
      <c r="P152" s="380"/>
      <c r="Q152" s="380"/>
      <c r="R152" s="380"/>
      <c r="S152" s="380"/>
      <c r="T152" s="380"/>
      <c r="U152" s="380"/>
      <c r="V152" s="380"/>
      <c r="W152" s="403"/>
      <c r="X152" s="380"/>
      <c r="Y152" s="380"/>
      <c r="Z152" s="380"/>
      <c r="AA152" s="380"/>
      <c r="AB152" s="380"/>
      <c r="AC152" s="404"/>
      <c r="AD152" s="380"/>
      <c r="AE152" s="380"/>
      <c r="AF152" s="380"/>
      <c r="AG152" s="380"/>
      <c r="AH152" s="380"/>
      <c r="AI152" s="380"/>
      <c r="AJ152" s="380"/>
      <c r="AK152" s="403"/>
      <c r="AL152" s="380"/>
      <c r="AM152" s="380"/>
      <c r="AN152" s="380"/>
      <c r="AO152" s="380"/>
      <c r="AP152" s="380"/>
      <c r="AQ152" s="404"/>
      <c r="AR152" s="380"/>
      <c r="AS152" s="380"/>
      <c r="AT152" s="380"/>
      <c r="AU152" s="380"/>
      <c r="AV152" s="380"/>
      <c r="AW152" s="380"/>
      <c r="AX152" s="380"/>
      <c r="AY152" s="403"/>
      <c r="AZ152" s="380"/>
      <c r="BA152" s="380"/>
      <c r="BB152" s="380"/>
      <c r="BC152" s="380"/>
      <c r="BD152" s="380"/>
      <c r="BE152" s="404"/>
      <c r="BF152" s="380"/>
      <c r="BG152" s="380"/>
      <c r="BH152" s="380"/>
      <c r="BI152" s="380"/>
      <c r="BJ152" s="380"/>
      <c r="BK152" s="380"/>
      <c r="BL152" s="380"/>
      <c r="BM152" s="403"/>
      <c r="BS152" s="83"/>
      <c r="CA152" s="405"/>
      <c r="CG152" s="83"/>
      <c r="CO152" s="405"/>
      <c r="CU152" s="83"/>
      <c r="DC152" s="405"/>
      <c r="DI152" s="83"/>
      <c r="DQ152" s="405"/>
      <c r="DW152" s="83"/>
      <c r="EE152" s="405"/>
      <c r="EK152" s="83"/>
      <c r="ES152" s="405"/>
      <c r="EY152" s="83"/>
      <c r="FG152" s="405"/>
      <c r="FM152" s="83"/>
      <c r="FU152" s="405"/>
      <c r="GA152" s="83"/>
      <c r="GI152" s="405"/>
      <c r="GO152" s="83"/>
      <c r="GW152" s="405"/>
      <c r="HC152" s="83"/>
      <c r="HK152" s="405"/>
      <c r="HQ152" s="83"/>
      <c r="HY152" s="405"/>
      <c r="IE152" s="83"/>
      <c r="IM152" s="405"/>
      <c r="IS152" s="83"/>
      <c r="JA152" s="405"/>
      <c r="JG152" s="83"/>
      <c r="JO152" s="405"/>
      <c r="JU152" s="83"/>
      <c r="KC152" s="405"/>
      <c r="KI152" s="83"/>
      <c r="KQ152" s="405"/>
      <c r="KW152" s="83"/>
      <c r="LE152" s="405"/>
      <c r="LK152" s="83"/>
      <c r="LS152" s="405"/>
      <c r="LY152" s="83"/>
      <c r="MG152" s="405"/>
      <c r="MM152" s="83"/>
      <c r="MU152" s="405"/>
      <c r="NA152" s="83"/>
    </row>
    <row r="153">
      <c r="A153" s="380"/>
      <c r="B153" s="380"/>
      <c r="C153" s="380"/>
      <c r="D153" s="380"/>
      <c r="E153" s="380"/>
      <c r="F153" s="380"/>
      <c r="G153" s="380"/>
      <c r="H153" s="380"/>
      <c r="I153" s="403"/>
      <c r="J153" s="380"/>
      <c r="K153" s="380"/>
      <c r="L153" s="380"/>
      <c r="M153" s="380"/>
      <c r="N153" s="380"/>
      <c r="O153" s="404"/>
      <c r="P153" s="380"/>
      <c r="Q153" s="380"/>
      <c r="R153" s="380"/>
      <c r="S153" s="380"/>
      <c r="T153" s="380"/>
      <c r="U153" s="380"/>
      <c r="V153" s="380"/>
      <c r="W153" s="403"/>
      <c r="X153" s="380"/>
      <c r="Y153" s="380"/>
      <c r="Z153" s="380"/>
      <c r="AA153" s="380"/>
      <c r="AB153" s="380"/>
      <c r="AC153" s="404"/>
      <c r="AD153" s="380"/>
      <c r="AE153" s="380"/>
      <c r="AF153" s="380"/>
      <c r="AG153" s="380"/>
      <c r="AH153" s="380"/>
      <c r="AI153" s="380"/>
      <c r="AJ153" s="380"/>
      <c r="AK153" s="403"/>
      <c r="AL153" s="380"/>
      <c r="AM153" s="380"/>
      <c r="AN153" s="380"/>
      <c r="AO153" s="380"/>
      <c r="AP153" s="380"/>
      <c r="AQ153" s="404"/>
      <c r="AR153" s="380"/>
      <c r="AS153" s="380"/>
      <c r="AT153" s="380"/>
      <c r="AU153" s="380"/>
      <c r="AV153" s="380"/>
      <c r="AW153" s="380"/>
      <c r="AX153" s="380"/>
      <c r="AY153" s="403"/>
      <c r="AZ153" s="380"/>
      <c r="BA153" s="380"/>
      <c r="BB153" s="380"/>
      <c r="BC153" s="380"/>
      <c r="BD153" s="380"/>
      <c r="BE153" s="404"/>
      <c r="BF153" s="380"/>
      <c r="BG153" s="380"/>
      <c r="BH153" s="380"/>
      <c r="BI153" s="380"/>
      <c r="BJ153" s="380"/>
      <c r="BK153" s="380"/>
      <c r="BL153" s="380"/>
      <c r="BM153" s="403"/>
      <c r="BS153" s="83"/>
      <c r="CA153" s="405"/>
      <c r="CG153" s="83"/>
      <c r="CO153" s="405"/>
      <c r="CU153" s="83"/>
      <c r="DC153" s="405"/>
      <c r="DI153" s="83"/>
      <c r="DQ153" s="405"/>
      <c r="DW153" s="83"/>
      <c r="EE153" s="405"/>
      <c r="EK153" s="83"/>
      <c r="ES153" s="405"/>
      <c r="EY153" s="83"/>
      <c r="FG153" s="405"/>
      <c r="FM153" s="83"/>
      <c r="FU153" s="405"/>
      <c r="GA153" s="83"/>
      <c r="GI153" s="405"/>
      <c r="GO153" s="83"/>
      <c r="GW153" s="405"/>
      <c r="HC153" s="83"/>
      <c r="HK153" s="405"/>
      <c r="HQ153" s="83"/>
      <c r="HY153" s="405"/>
      <c r="IE153" s="83"/>
      <c r="IM153" s="405"/>
      <c r="IS153" s="83"/>
      <c r="JA153" s="405"/>
      <c r="JG153" s="83"/>
      <c r="JO153" s="405"/>
      <c r="JU153" s="83"/>
      <c r="KC153" s="405"/>
      <c r="KI153" s="83"/>
      <c r="KQ153" s="405"/>
      <c r="KW153" s="83"/>
      <c r="LE153" s="405"/>
      <c r="LK153" s="83"/>
      <c r="LS153" s="405"/>
      <c r="LY153" s="83"/>
      <c r="MG153" s="405"/>
      <c r="MM153" s="83"/>
      <c r="MU153" s="405"/>
      <c r="NA153" s="83"/>
    </row>
    <row r="154">
      <c r="A154" s="380"/>
      <c r="B154" s="380"/>
      <c r="C154" s="380"/>
      <c r="D154" s="380"/>
      <c r="E154" s="380"/>
      <c r="F154" s="380"/>
      <c r="G154" s="380"/>
      <c r="H154" s="380"/>
      <c r="I154" s="403"/>
      <c r="J154" s="380"/>
      <c r="K154" s="380"/>
      <c r="L154" s="380"/>
      <c r="M154" s="380"/>
      <c r="N154" s="380"/>
      <c r="O154" s="404"/>
      <c r="P154" s="380"/>
      <c r="Q154" s="380"/>
      <c r="R154" s="380"/>
      <c r="S154" s="380"/>
      <c r="T154" s="380"/>
      <c r="U154" s="380"/>
      <c r="V154" s="380"/>
      <c r="W154" s="403"/>
      <c r="X154" s="380"/>
      <c r="Y154" s="380"/>
      <c r="Z154" s="380"/>
      <c r="AA154" s="380"/>
      <c r="AB154" s="380"/>
      <c r="AC154" s="404"/>
      <c r="AD154" s="380"/>
      <c r="AE154" s="380"/>
      <c r="AF154" s="380"/>
      <c r="AG154" s="380"/>
      <c r="AH154" s="380"/>
      <c r="AI154" s="380"/>
      <c r="AJ154" s="380"/>
      <c r="AK154" s="403"/>
      <c r="AL154" s="380"/>
      <c r="AM154" s="380"/>
      <c r="AN154" s="380"/>
      <c r="AO154" s="380"/>
      <c r="AP154" s="380"/>
      <c r="AQ154" s="404"/>
      <c r="AR154" s="380"/>
      <c r="AS154" s="380"/>
      <c r="AT154" s="380"/>
      <c r="AU154" s="380"/>
      <c r="AV154" s="380"/>
      <c r="AW154" s="380"/>
      <c r="AX154" s="380"/>
      <c r="AY154" s="403"/>
      <c r="AZ154" s="380"/>
      <c r="BA154" s="380"/>
      <c r="BB154" s="380"/>
      <c r="BC154" s="380"/>
      <c r="BD154" s="380"/>
      <c r="BE154" s="404"/>
      <c r="BF154" s="380"/>
      <c r="BG154" s="380"/>
      <c r="BH154" s="380"/>
      <c r="BI154" s="380"/>
      <c r="BJ154" s="380"/>
      <c r="BK154" s="380"/>
      <c r="BL154" s="380"/>
      <c r="BM154" s="403"/>
      <c r="BS154" s="83"/>
      <c r="CA154" s="405"/>
      <c r="CG154" s="83"/>
      <c r="CO154" s="405"/>
      <c r="CU154" s="83"/>
      <c r="DC154" s="405"/>
      <c r="DI154" s="83"/>
      <c r="DQ154" s="405"/>
      <c r="DW154" s="83"/>
      <c r="EE154" s="405"/>
      <c r="EK154" s="83"/>
      <c r="ES154" s="405"/>
      <c r="EY154" s="83"/>
      <c r="FG154" s="405"/>
      <c r="FM154" s="83"/>
      <c r="FU154" s="405"/>
      <c r="GA154" s="83"/>
      <c r="GI154" s="405"/>
      <c r="GO154" s="83"/>
      <c r="GW154" s="405"/>
      <c r="HC154" s="83"/>
      <c r="HK154" s="405"/>
      <c r="HQ154" s="83"/>
      <c r="HY154" s="405"/>
      <c r="IE154" s="83"/>
      <c r="IM154" s="405"/>
      <c r="IS154" s="83"/>
      <c r="JA154" s="405"/>
      <c r="JG154" s="83"/>
      <c r="JO154" s="405"/>
      <c r="JU154" s="83"/>
      <c r="KC154" s="405"/>
      <c r="KI154" s="83"/>
      <c r="KQ154" s="405"/>
      <c r="KW154" s="83"/>
      <c r="LE154" s="405"/>
      <c r="LK154" s="83"/>
      <c r="LS154" s="405"/>
      <c r="LY154" s="83"/>
      <c r="MG154" s="405"/>
      <c r="MM154" s="83"/>
      <c r="MU154" s="405"/>
      <c r="NA154" s="83"/>
    </row>
    <row r="155">
      <c r="A155" s="380"/>
      <c r="B155" s="380"/>
      <c r="C155" s="380"/>
      <c r="D155" s="380"/>
      <c r="E155" s="380"/>
      <c r="F155" s="380"/>
      <c r="G155" s="380"/>
      <c r="H155" s="380"/>
      <c r="I155" s="403"/>
      <c r="J155" s="380"/>
      <c r="K155" s="380"/>
      <c r="L155" s="380"/>
      <c r="M155" s="380"/>
      <c r="N155" s="380"/>
      <c r="O155" s="404"/>
      <c r="P155" s="380"/>
      <c r="Q155" s="380"/>
      <c r="R155" s="380"/>
      <c r="S155" s="380"/>
      <c r="T155" s="380"/>
      <c r="U155" s="380"/>
      <c r="V155" s="380"/>
      <c r="W155" s="403"/>
      <c r="X155" s="380"/>
      <c r="Y155" s="380"/>
      <c r="Z155" s="380"/>
      <c r="AA155" s="380"/>
      <c r="AB155" s="380"/>
      <c r="AC155" s="404"/>
      <c r="AD155" s="380"/>
      <c r="AE155" s="380"/>
      <c r="AF155" s="380"/>
      <c r="AG155" s="380"/>
      <c r="AH155" s="380"/>
      <c r="AI155" s="380"/>
      <c r="AJ155" s="380"/>
      <c r="AK155" s="403"/>
      <c r="AL155" s="380"/>
      <c r="AM155" s="380"/>
      <c r="AN155" s="380"/>
      <c r="AO155" s="380"/>
      <c r="AP155" s="380"/>
      <c r="AQ155" s="404"/>
      <c r="AR155" s="380"/>
      <c r="AS155" s="380"/>
      <c r="AT155" s="380"/>
      <c r="AU155" s="380"/>
      <c r="AV155" s="380"/>
      <c r="AW155" s="380"/>
      <c r="AX155" s="380"/>
      <c r="AY155" s="403"/>
      <c r="AZ155" s="380"/>
      <c r="BA155" s="380"/>
      <c r="BB155" s="380"/>
      <c r="BC155" s="380"/>
      <c r="BD155" s="380"/>
      <c r="BE155" s="404"/>
      <c r="BF155" s="380"/>
      <c r="BG155" s="380"/>
      <c r="BH155" s="380"/>
      <c r="BI155" s="380"/>
      <c r="BJ155" s="380"/>
      <c r="BK155" s="380"/>
      <c r="BL155" s="380"/>
      <c r="BM155" s="403"/>
      <c r="BS155" s="83"/>
      <c r="CA155" s="405"/>
      <c r="CG155" s="83"/>
      <c r="CO155" s="405"/>
      <c r="CU155" s="83"/>
      <c r="DC155" s="405"/>
      <c r="DI155" s="83"/>
      <c r="DQ155" s="405"/>
      <c r="DW155" s="83"/>
      <c r="EE155" s="405"/>
      <c r="EK155" s="83"/>
      <c r="ES155" s="405"/>
      <c r="EY155" s="83"/>
      <c r="FG155" s="405"/>
      <c r="FM155" s="83"/>
      <c r="FU155" s="405"/>
      <c r="GA155" s="83"/>
      <c r="GI155" s="405"/>
      <c r="GO155" s="83"/>
      <c r="GW155" s="405"/>
      <c r="HC155" s="83"/>
      <c r="HK155" s="405"/>
      <c r="HQ155" s="83"/>
      <c r="HY155" s="405"/>
      <c r="IE155" s="83"/>
      <c r="IM155" s="405"/>
      <c r="IS155" s="83"/>
      <c r="JA155" s="405"/>
      <c r="JG155" s="83"/>
      <c r="JO155" s="405"/>
      <c r="JU155" s="83"/>
      <c r="KC155" s="405"/>
      <c r="KI155" s="83"/>
      <c r="KQ155" s="405"/>
      <c r="KW155" s="83"/>
      <c r="LE155" s="405"/>
      <c r="LK155" s="83"/>
      <c r="LS155" s="405"/>
      <c r="LY155" s="83"/>
      <c r="MG155" s="405"/>
      <c r="MM155" s="83"/>
      <c r="MU155" s="405"/>
      <c r="NA155" s="83"/>
    </row>
    <row r="156">
      <c r="A156" s="380"/>
      <c r="B156" s="380"/>
      <c r="C156" s="380"/>
      <c r="D156" s="380"/>
      <c r="E156" s="380"/>
      <c r="F156" s="380"/>
      <c r="G156" s="380"/>
      <c r="H156" s="380"/>
      <c r="I156" s="403"/>
      <c r="J156" s="380"/>
      <c r="K156" s="380"/>
      <c r="L156" s="380"/>
      <c r="M156" s="380"/>
      <c r="N156" s="380"/>
      <c r="O156" s="404"/>
      <c r="P156" s="380"/>
      <c r="Q156" s="380"/>
      <c r="R156" s="380"/>
      <c r="S156" s="380"/>
      <c r="T156" s="380"/>
      <c r="U156" s="380"/>
      <c r="V156" s="380"/>
      <c r="W156" s="403"/>
      <c r="X156" s="380"/>
      <c r="Y156" s="380"/>
      <c r="Z156" s="380"/>
      <c r="AA156" s="380"/>
      <c r="AB156" s="380"/>
      <c r="AC156" s="404"/>
      <c r="AD156" s="380"/>
      <c r="AE156" s="380"/>
      <c r="AF156" s="380"/>
      <c r="AG156" s="380"/>
      <c r="AH156" s="380"/>
      <c r="AI156" s="380"/>
      <c r="AJ156" s="380"/>
      <c r="AK156" s="403"/>
      <c r="AL156" s="380"/>
      <c r="AM156" s="380"/>
      <c r="AN156" s="380"/>
      <c r="AO156" s="380"/>
      <c r="AP156" s="380"/>
      <c r="AQ156" s="404"/>
      <c r="AR156" s="380"/>
      <c r="AS156" s="380"/>
      <c r="AT156" s="380"/>
      <c r="AU156" s="380"/>
      <c r="AV156" s="380"/>
      <c r="AW156" s="380"/>
      <c r="AX156" s="380"/>
      <c r="AY156" s="403"/>
      <c r="AZ156" s="380"/>
      <c r="BA156" s="380"/>
      <c r="BB156" s="380"/>
      <c r="BC156" s="380"/>
      <c r="BD156" s="380"/>
      <c r="BE156" s="404"/>
      <c r="BF156" s="380"/>
      <c r="BG156" s="380"/>
      <c r="BH156" s="380"/>
      <c r="BI156" s="380"/>
      <c r="BJ156" s="380"/>
      <c r="BK156" s="380"/>
      <c r="BL156" s="380"/>
      <c r="BM156" s="403"/>
      <c r="BS156" s="83"/>
      <c r="CA156" s="405"/>
      <c r="CG156" s="83"/>
      <c r="CO156" s="405"/>
      <c r="CU156" s="83"/>
      <c r="DC156" s="405"/>
      <c r="DI156" s="83"/>
      <c r="DQ156" s="405"/>
      <c r="DW156" s="83"/>
      <c r="EE156" s="405"/>
      <c r="EK156" s="83"/>
      <c r="ES156" s="405"/>
      <c r="EY156" s="83"/>
      <c r="FG156" s="405"/>
      <c r="FM156" s="83"/>
      <c r="FU156" s="405"/>
      <c r="GA156" s="83"/>
      <c r="GI156" s="405"/>
      <c r="GO156" s="83"/>
      <c r="GW156" s="405"/>
      <c r="HC156" s="83"/>
      <c r="HK156" s="405"/>
      <c r="HQ156" s="83"/>
      <c r="HY156" s="405"/>
      <c r="IE156" s="83"/>
      <c r="IM156" s="405"/>
      <c r="IS156" s="83"/>
      <c r="JA156" s="405"/>
      <c r="JG156" s="83"/>
      <c r="JO156" s="405"/>
      <c r="JU156" s="83"/>
      <c r="KC156" s="405"/>
      <c r="KI156" s="83"/>
      <c r="KQ156" s="405"/>
      <c r="KW156" s="83"/>
      <c r="LE156" s="405"/>
      <c r="LK156" s="83"/>
      <c r="LS156" s="405"/>
      <c r="LY156" s="83"/>
      <c r="MG156" s="405"/>
      <c r="MM156" s="83"/>
      <c r="MU156" s="405"/>
      <c r="NA156" s="83"/>
    </row>
    <row r="157">
      <c r="A157" s="380"/>
      <c r="B157" s="380"/>
      <c r="C157" s="380"/>
      <c r="D157" s="380"/>
      <c r="E157" s="380"/>
      <c r="F157" s="380"/>
      <c r="G157" s="380"/>
      <c r="H157" s="380"/>
      <c r="I157" s="403"/>
      <c r="J157" s="380"/>
      <c r="K157" s="380"/>
      <c r="L157" s="380"/>
      <c r="M157" s="380"/>
      <c r="N157" s="380"/>
      <c r="O157" s="404"/>
      <c r="P157" s="380"/>
      <c r="Q157" s="380"/>
      <c r="R157" s="380"/>
      <c r="S157" s="380"/>
      <c r="T157" s="380"/>
      <c r="U157" s="380"/>
      <c r="V157" s="380"/>
      <c r="W157" s="403"/>
      <c r="X157" s="380"/>
      <c r="Y157" s="380"/>
      <c r="Z157" s="380"/>
      <c r="AA157" s="380"/>
      <c r="AB157" s="380"/>
      <c r="AC157" s="404"/>
      <c r="AD157" s="380"/>
      <c r="AE157" s="380"/>
      <c r="AF157" s="380"/>
      <c r="AG157" s="380"/>
      <c r="AH157" s="380"/>
      <c r="AI157" s="380"/>
      <c r="AJ157" s="380"/>
      <c r="AK157" s="403"/>
      <c r="AL157" s="380"/>
      <c r="AM157" s="380"/>
      <c r="AN157" s="380"/>
      <c r="AO157" s="380"/>
      <c r="AP157" s="380"/>
      <c r="AQ157" s="404"/>
      <c r="AR157" s="380"/>
      <c r="AS157" s="380"/>
      <c r="AT157" s="380"/>
      <c r="AU157" s="380"/>
      <c r="AV157" s="380"/>
      <c r="AW157" s="380"/>
      <c r="AX157" s="380"/>
      <c r="AY157" s="403"/>
      <c r="AZ157" s="380"/>
      <c r="BA157" s="380"/>
      <c r="BB157" s="380"/>
      <c r="BC157" s="380"/>
      <c r="BD157" s="380"/>
      <c r="BE157" s="404"/>
      <c r="BF157" s="380"/>
      <c r="BG157" s="380"/>
      <c r="BH157" s="380"/>
      <c r="BI157" s="380"/>
      <c r="BJ157" s="380"/>
      <c r="BK157" s="380"/>
      <c r="BL157" s="380"/>
      <c r="BM157" s="403"/>
      <c r="BS157" s="83"/>
      <c r="CA157" s="405"/>
      <c r="CG157" s="83"/>
      <c r="CO157" s="405"/>
      <c r="CU157" s="83"/>
      <c r="DC157" s="405"/>
      <c r="DI157" s="83"/>
      <c r="DQ157" s="405"/>
      <c r="DW157" s="83"/>
      <c r="EE157" s="405"/>
      <c r="EK157" s="83"/>
      <c r="ES157" s="405"/>
      <c r="EY157" s="83"/>
      <c r="FG157" s="405"/>
      <c r="FM157" s="83"/>
      <c r="FU157" s="405"/>
      <c r="GA157" s="83"/>
      <c r="GI157" s="405"/>
      <c r="GO157" s="83"/>
      <c r="GW157" s="405"/>
      <c r="HC157" s="83"/>
      <c r="HK157" s="405"/>
      <c r="HQ157" s="83"/>
      <c r="HY157" s="405"/>
      <c r="IE157" s="83"/>
      <c r="IM157" s="405"/>
      <c r="IS157" s="83"/>
      <c r="JA157" s="405"/>
      <c r="JG157" s="83"/>
      <c r="JO157" s="405"/>
      <c r="JU157" s="83"/>
      <c r="KC157" s="405"/>
      <c r="KI157" s="83"/>
      <c r="KQ157" s="405"/>
      <c r="KW157" s="83"/>
      <c r="LE157" s="405"/>
      <c r="LK157" s="83"/>
      <c r="LS157" s="405"/>
      <c r="LY157" s="83"/>
      <c r="MG157" s="405"/>
      <c r="MM157" s="83"/>
      <c r="MU157" s="405"/>
      <c r="NA157" s="83"/>
    </row>
    <row r="158">
      <c r="A158" s="380"/>
      <c r="B158" s="380"/>
      <c r="C158" s="380"/>
      <c r="D158" s="380"/>
      <c r="E158" s="380"/>
      <c r="F158" s="380"/>
      <c r="G158" s="380"/>
      <c r="H158" s="380"/>
      <c r="I158" s="403"/>
      <c r="J158" s="380"/>
      <c r="K158" s="380"/>
      <c r="L158" s="380"/>
      <c r="M158" s="380"/>
      <c r="N158" s="380"/>
      <c r="O158" s="404"/>
      <c r="P158" s="380"/>
      <c r="Q158" s="380"/>
      <c r="R158" s="380"/>
      <c r="S158" s="380"/>
      <c r="T158" s="380"/>
      <c r="U158" s="380"/>
      <c r="V158" s="380"/>
      <c r="W158" s="403"/>
      <c r="X158" s="380"/>
      <c r="Y158" s="380"/>
      <c r="Z158" s="380"/>
      <c r="AA158" s="380"/>
      <c r="AB158" s="380"/>
      <c r="AC158" s="404"/>
      <c r="AD158" s="380"/>
      <c r="AE158" s="380"/>
      <c r="AF158" s="380"/>
      <c r="AG158" s="380"/>
      <c r="AH158" s="380"/>
      <c r="AI158" s="380"/>
      <c r="AJ158" s="380"/>
      <c r="AK158" s="403"/>
      <c r="AL158" s="380"/>
      <c r="AM158" s="380"/>
      <c r="AN158" s="380"/>
      <c r="AO158" s="380"/>
      <c r="AP158" s="380"/>
      <c r="AQ158" s="404"/>
      <c r="AR158" s="380"/>
      <c r="AS158" s="380"/>
      <c r="AT158" s="380"/>
      <c r="AU158" s="380"/>
      <c r="AV158" s="380"/>
      <c r="AW158" s="380"/>
      <c r="AX158" s="380"/>
      <c r="AY158" s="403"/>
      <c r="AZ158" s="380"/>
      <c r="BA158" s="380"/>
      <c r="BB158" s="380"/>
      <c r="BC158" s="380"/>
      <c r="BD158" s="380"/>
      <c r="BE158" s="404"/>
      <c r="BF158" s="380"/>
      <c r="BG158" s="380"/>
      <c r="BH158" s="380"/>
      <c r="BI158" s="380"/>
      <c r="BJ158" s="380"/>
      <c r="BK158" s="380"/>
      <c r="BL158" s="380"/>
      <c r="BM158" s="403"/>
      <c r="BS158" s="83"/>
      <c r="CA158" s="405"/>
      <c r="CG158" s="83"/>
      <c r="CO158" s="405"/>
      <c r="CU158" s="83"/>
      <c r="DC158" s="405"/>
      <c r="DI158" s="83"/>
      <c r="DQ158" s="405"/>
      <c r="DW158" s="83"/>
      <c r="EE158" s="405"/>
      <c r="EK158" s="83"/>
      <c r="ES158" s="405"/>
      <c r="EY158" s="83"/>
      <c r="FG158" s="405"/>
      <c r="FM158" s="83"/>
      <c r="FU158" s="405"/>
      <c r="GA158" s="83"/>
      <c r="GI158" s="405"/>
      <c r="GO158" s="83"/>
      <c r="GW158" s="405"/>
      <c r="HC158" s="83"/>
      <c r="HK158" s="405"/>
      <c r="HQ158" s="83"/>
      <c r="HY158" s="405"/>
      <c r="IE158" s="83"/>
      <c r="IM158" s="405"/>
      <c r="IS158" s="83"/>
      <c r="JA158" s="405"/>
      <c r="JG158" s="83"/>
      <c r="JO158" s="405"/>
      <c r="JU158" s="83"/>
      <c r="KC158" s="405"/>
      <c r="KI158" s="83"/>
      <c r="KQ158" s="405"/>
      <c r="KW158" s="83"/>
      <c r="LE158" s="405"/>
      <c r="LK158" s="83"/>
      <c r="LS158" s="405"/>
      <c r="LY158" s="83"/>
      <c r="MG158" s="405"/>
      <c r="MM158" s="83"/>
      <c r="MU158" s="405"/>
      <c r="NA158" s="83"/>
    </row>
    <row r="159">
      <c r="A159" s="380"/>
      <c r="B159" s="380"/>
      <c r="C159" s="380"/>
      <c r="D159" s="380"/>
      <c r="E159" s="380"/>
      <c r="F159" s="380"/>
      <c r="G159" s="380"/>
      <c r="H159" s="380"/>
      <c r="I159" s="403"/>
      <c r="J159" s="380"/>
      <c r="K159" s="380"/>
      <c r="L159" s="380"/>
      <c r="M159" s="380"/>
      <c r="N159" s="380"/>
      <c r="O159" s="404"/>
      <c r="P159" s="380"/>
      <c r="Q159" s="380"/>
      <c r="R159" s="380"/>
      <c r="S159" s="380"/>
      <c r="T159" s="380"/>
      <c r="U159" s="380"/>
      <c r="V159" s="380"/>
      <c r="W159" s="403"/>
      <c r="X159" s="380"/>
      <c r="Y159" s="380"/>
      <c r="Z159" s="380"/>
      <c r="AA159" s="380"/>
      <c r="AB159" s="380"/>
      <c r="AC159" s="404"/>
      <c r="AD159" s="380"/>
      <c r="AE159" s="380"/>
      <c r="AF159" s="380"/>
      <c r="AG159" s="380"/>
      <c r="AH159" s="380"/>
      <c r="AI159" s="380"/>
      <c r="AJ159" s="380"/>
      <c r="AK159" s="403"/>
      <c r="AL159" s="380"/>
      <c r="AM159" s="380"/>
      <c r="AN159" s="380"/>
      <c r="AO159" s="380"/>
      <c r="AP159" s="380"/>
      <c r="AQ159" s="404"/>
      <c r="AR159" s="380"/>
      <c r="AS159" s="380"/>
      <c r="AT159" s="380"/>
      <c r="AU159" s="380"/>
      <c r="AV159" s="380"/>
      <c r="AW159" s="380"/>
      <c r="AX159" s="380"/>
      <c r="AY159" s="403"/>
      <c r="AZ159" s="380"/>
      <c r="BA159" s="380"/>
      <c r="BB159" s="380"/>
      <c r="BC159" s="380"/>
      <c r="BD159" s="380"/>
      <c r="BE159" s="404"/>
      <c r="BF159" s="380"/>
      <c r="BG159" s="380"/>
      <c r="BH159" s="380"/>
      <c r="BI159" s="380"/>
      <c r="BJ159" s="380"/>
      <c r="BK159" s="380"/>
      <c r="BL159" s="380"/>
      <c r="BM159" s="403"/>
      <c r="BS159" s="83"/>
      <c r="CA159" s="405"/>
      <c r="CG159" s="83"/>
      <c r="CO159" s="405"/>
      <c r="CU159" s="83"/>
      <c r="DC159" s="405"/>
      <c r="DI159" s="83"/>
      <c r="DQ159" s="405"/>
      <c r="DW159" s="83"/>
      <c r="EE159" s="405"/>
      <c r="EK159" s="83"/>
      <c r="ES159" s="405"/>
      <c r="EY159" s="83"/>
      <c r="FG159" s="405"/>
      <c r="FM159" s="83"/>
      <c r="FU159" s="405"/>
      <c r="GA159" s="83"/>
      <c r="GI159" s="405"/>
      <c r="GO159" s="83"/>
      <c r="GW159" s="405"/>
      <c r="HC159" s="83"/>
      <c r="HK159" s="405"/>
      <c r="HQ159" s="83"/>
      <c r="HY159" s="405"/>
      <c r="IE159" s="83"/>
      <c r="IM159" s="405"/>
      <c r="IS159" s="83"/>
      <c r="JA159" s="405"/>
      <c r="JG159" s="83"/>
      <c r="JO159" s="405"/>
      <c r="JU159" s="83"/>
      <c r="KC159" s="405"/>
      <c r="KI159" s="83"/>
      <c r="KQ159" s="405"/>
      <c r="KW159" s="83"/>
      <c r="LE159" s="405"/>
      <c r="LK159" s="83"/>
      <c r="LS159" s="405"/>
      <c r="LY159" s="83"/>
      <c r="MG159" s="405"/>
      <c r="MM159" s="83"/>
      <c r="MU159" s="405"/>
      <c r="NA159" s="83"/>
    </row>
    <row r="160">
      <c r="A160" s="380"/>
      <c r="B160" s="380"/>
      <c r="C160" s="380"/>
      <c r="D160" s="380"/>
      <c r="E160" s="380"/>
      <c r="F160" s="380"/>
      <c r="G160" s="380"/>
      <c r="H160" s="380"/>
      <c r="I160" s="403"/>
      <c r="J160" s="380"/>
      <c r="K160" s="380"/>
      <c r="L160" s="380"/>
      <c r="M160" s="380"/>
      <c r="N160" s="380"/>
      <c r="O160" s="404"/>
      <c r="P160" s="380"/>
      <c r="Q160" s="380"/>
      <c r="R160" s="380"/>
      <c r="S160" s="380"/>
      <c r="T160" s="380"/>
      <c r="U160" s="380"/>
      <c r="V160" s="380"/>
      <c r="W160" s="403"/>
      <c r="X160" s="380"/>
      <c r="Y160" s="380"/>
      <c r="Z160" s="380"/>
      <c r="AA160" s="380"/>
      <c r="AB160" s="380"/>
      <c r="AC160" s="404"/>
      <c r="AD160" s="380"/>
      <c r="AE160" s="380"/>
      <c r="AF160" s="380"/>
      <c r="AG160" s="380"/>
      <c r="AH160" s="380"/>
      <c r="AI160" s="380"/>
      <c r="AJ160" s="380"/>
      <c r="AK160" s="403"/>
      <c r="AL160" s="380"/>
      <c r="AM160" s="380"/>
      <c r="AN160" s="380"/>
      <c r="AO160" s="380"/>
      <c r="AP160" s="380"/>
      <c r="AQ160" s="404"/>
      <c r="AR160" s="380"/>
      <c r="AS160" s="380"/>
      <c r="AT160" s="380"/>
      <c r="AU160" s="380"/>
      <c r="AV160" s="380"/>
      <c r="AW160" s="380"/>
      <c r="AX160" s="380"/>
      <c r="AY160" s="403"/>
      <c r="AZ160" s="380"/>
      <c r="BA160" s="380"/>
      <c r="BB160" s="380"/>
      <c r="BC160" s="380"/>
      <c r="BD160" s="380"/>
      <c r="BE160" s="404"/>
      <c r="BF160" s="380"/>
      <c r="BG160" s="380"/>
      <c r="BH160" s="380"/>
      <c r="BI160" s="380"/>
      <c r="BJ160" s="380"/>
      <c r="BK160" s="380"/>
      <c r="BL160" s="380"/>
      <c r="BM160" s="403"/>
      <c r="BS160" s="83"/>
      <c r="CA160" s="405"/>
      <c r="CG160" s="83"/>
      <c r="CO160" s="405"/>
      <c r="CU160" s="83"/>
      <c r="DC160" s="405"/>
      <c r="DI160" s="83"/>
      <c r="DQ160" s="405"/>
      <c r="DW160" s="83"/>
      <c r="EE160" s="405"/>
      <c r="EK160" s="83"/>
      <c r="ES160" s="405"/>
      <c r="EY160" s="83"/>
      <c r="FG160" s="405"/>
      <c r="FM160" s="83"/>
      <c r="FU160" s="405"/>
      <c r="GA160" s="83"/>
      <c r="GI160" s="405"/>
      <c r="GO160" s="83"/>
      <c r="GW160" s="405"/>
      <c r="HC160" s="83"/>
      <c r="HK160" s="405"/>
      <c r="HQ160" s="83"/>
      <c r="HY160" s="405"/>
      <c r="IE160" s="83"/>
      <c r="IM160" s="405"/>
      <c r="IS160" s="83"/>
      <c r="JA160" s="405"/>
      <c r="JG160" s="83"/>
      <c r="JO160" s="405"/>
      <c r="JU160" s="83"/>
      <c r="KC160" s="405"/>
      <c r="KI160" s="83"/>
      <c r="KQ160" s="405"/>
      <c r="KW160" s="83"/>
      <c r="LE160" s="405"/>
      <c r="LK160" s="83"/>
      <c r="LS160" s="405"/>
      <c r="LY160" s="83"/>
      <c r="MG160" s="405"/>
      <c r="MM160" s="83"/>
      <c r="MU160" s="405"/>
      <c r="NA160" s="83"/>
    </row>
    <row r="161">
      <c r="A161" s="380"/>
      <c r="B161" s="380"/>
      <c r="C161" s="380"/>
      <c r="D161" s="380"/>
      <c r="E161" s="380"/>
      <c r="F161" s="380"/>
      <c r="G161" s="380"/>
      <c r="H161" s="380"/>
      <c r="I161" s="403"/>
      <c r="J161" s="380"/>
      <c r="K161" s="380"/>
      <c r="L161" s="380"/>
      <c r="M161" s="380"/>
      <c r="N161" s="380"/>
      <c r="O161" s="404"/>
      <c r="P161" s="380"/>
      <c r="Q161" s="380"/>
      <c r="R161" s="380"/>
      <c r="S161" s="380"/>
      <c r="T161" s="380"/>
      <c r="U161" s="380"/>
      <c r="V161" s="380"/>
      <c r="W161" s="403"/>
      <c r="X161" s="380"/>
      <c r="Y161" s="380"/>
      <c r="Z161" s="380"/>
      <c r="AA161" s="380"/>
      <c r="AB161" s="380"/>
      <c r="AC161" s="404"/>
      <c r="AD161" s="380"/>
      <c r="AE161" s="380"/>
      <c r="AF161" s="380"/>
      <c r="AG161" s="380"/>
      <c r="AH161" s="380"/>
      <c r="AI161" s="380"/>
      <c r="AJ161" s="380"/>
      <c r="AK161" s="403"/>
      <c r="AL161" s="380"/>
      <c r="AM161" s="380"/>
      <c r="AN161" s="380"/>
      <c r="AO161" s="380"/>
      <c r="AP161" s="380"/>
      <c r="AQ161" s="404"/>
      <c r="AR161" s="380"/>
      <c r="AS161" s="380"/>
      <c r="AT161" s="380"/>
      <c r="AU161" s="380"/>
      <c r="AV161" s="380"/>
      <c r="AW161" s="380"/>
      <c r="AX161" s="380"/>
      <c r="AY161" s="403"/>
      <c r="AZ161" s="380"/>
      <c r="BA161" s="380"/>
      <c r="BB161" s="380"/>
      <c r="BC161" s="380"/>
      <c r="BD161" s="380"/>
      <c r="BE161" s="404"/>
      <c r="BF161" s="380"/>
      <c r="BG161" s="380"/>
      <c r="BH161" s="380"/>
      <c r="BI161" s="380"/>
      <c r="BJ161" s="380"/>
      <c r="BK161" s="380"/>
      <c r="BL161" s="380"/>
      <c r="BM161" s="403"/>
      <c r="BS161" s="83"/>
      <c r="CA161" s="405"/>
      <c r="CG161" s="83"/>
      <c r="CO161" s="405"/>
      <c r="CU161" s="83"/>
      <c r="DC161" s="405"/>
      <c r="DI161" s="83"/>
      <c r="DQ161" s="405"/>
      <c r="DW161" s="83"/>
      <c r="EE161" s="405"/>
      <c r="EK161" s="83"/>
      <c r="ES161" s="405"/>
      <c r="EY161" s="83"/>
      <c r="FG161" s="405"/>
      <c r="FM161" s="83"/>
      <c r="FU161" s="405"/>
      <c r="GA161" s="83"/>
      <c r="GI161" s="405"/>
      <c r="GO161" s="83"/>
      <c r="GW161" s="405"/>
      <c r="HC161" s="83"/>
      <c r="HK161" s="405"/>
      <c r="HQ161" s="83"/>
      <c r="HY161" s="405"/>
      <c r="IE161" s="83"/>
      <c r="IM161" s="405"/>
      <c r="IS161" s="83"/>
      <c r="JA161" s="405"/>
      <c r="JG161" s="83"/>
      <c r="JO161" s="405"/>
      <c r="JU161" s="83"/>
      <c r="KC161" s="405"/>
      <c r="KI161" s="83"/>
      <c r="KQ161" s="405"/>
      <c r="KW161" s="83"/>
      <c r="LE161" s="405"/>
      <c r="LK161" s="83"/>
      <c r="LS161" s="405"/>
      <c r="LY161" s="83"/>
      <c r="MG161" s="405"/>
      <c r="MM161" s="83"/>
      <c r="MU161" s="405"/>
      <c r="NA161" s="83"/>
    </row>
    <row r="162">
      <c r="A162" s="380"/>
      <c r="B162" s="380"/>
      <c r="C162" s="380"/>
      <c r="D162" s="380"/>
      <c r="E162" s="380"/>
      <c r="F162" s="380"/>
      <c r="G162" s="380"/>
      <c r="H162" s="380"/>
      <c r="I162" s="403"/>
      <c r="J162" s="380"/>
      <c r="K162" s="380"/>
      <c r="L162" s="380"/>
      <c r="M162" s="380"/>
      <c r="N162" s="380"/>
      <c r="O162" s="404"/>
      <c r="P162" s="380"/>
      <c r="Q162" s="380"/>
      <c r="R162" s="380"/>
      <c r="S162" s="380"/>
      <c r="T162" s="380"/>
      <c r="U162" s="380"/>
      <c r="V162" s="380"/>
      <c r="W162" s="403"/>
      <c r="X162" s="380"/>
      <c r="Y162" s="380"/>
      <c r="Z162" s="380"/>
      <c r="AA162" s="380"/>
      <c r="AB162" s="380"/>
      <c r="AC162" s="404"/>
      <c r="AD162" s="380"/>
      <c r="AE162" s="380"/>
      <c r="AF162" s="380"/>
      <c r="AG162" s="380"/>
      <c r="AH162" s="380"/>
      <c r="AI162" s="380"/>
      <c r="AJ162" s="380"/>
      <c r="AK162" s="403"/>
      <c r="AL162" s="380"/>
      <c r="AM162" s="380"/>
      <c r="AN162" s="380"/>
      <c r="AO162" s="380"/>
      <c r="AP162" s="380"/>
      <c r="AQ162" s="404"/>
      <c r="AR162" s="380"/>
      <c r="AS162" s="380"/>
      <c r="AT162" s="380"/>
      <c r="AU162" s="380"/>
      <c r="AV162" s="380"/>
      <c r="AW162" s="380"/>
      <c r="AX162" s="380"/>
      <c r="AY162" s="403"/>
      <c r="AZ162" s="380"/>
      <c r="BA162" s="380"/>
      <c r="BB162" s="380"/>
      <c r="BC162" s="380"/>
      <c r="BD162" s="380"/>
      <c r="BE162" s="404"/>
      <c r="BF162" s="380"/>
      <c r="BG162" s="380"/>
      <c r="BH162" s="380"/>
      <c r="BI162" s="380"/>
      <c r="BJ162" s="380"/>
      <c r="BK162" s="380"/>
      <c r="BL162" s="380"/>
      <c r="BM162" s="403"/>
      <c r="BS162" s="83"/>
      <c r="CA162" s="405"/>
      <c r="CG162" s="83"/>
      <c r="CO162" s="405"/>
      <c r="CU162" s="83"/>
      <c r="DC162" s="405"/>
      <c r="DI162" s="83"/>
      <c r="DQ162" s="405"/>
      <c r="DW162" s="83"/>
      <c r="EE162" s="405"/>
      <c r="EK162" s="83"/>
      <c r="ES162" s="405"/>
      <c r="EY162" s="83"/>
      <c r="FG162" s="405"/>
      <c r="FM162" s="83"/>
      <c r="FU162" s="405"/>
      <c r="GA162" s="83"/>
      <c r="GI162" s="405"/>
      <c r="GO162" s="83"/>
      <c r="GW162" s="405"/>
      <c r="HC162" s="83"/>
      <c r="HK162" s="405"/>
      <c r="HQ162" s="83"/>
      <c r="HY162" s="405"/>
      <c r="IE162" s="83"/>
      <c r="IM162" s="405"/>
      <c r="IS162" s="83"/>
      <c r="JA162" s="405"/>
      <c r="JG162" s="83"/>
      <c r="JO162" s="405"/>
      <c r="JU162" s="83"/>
      <c r="KC162" s="405"/>
      <c r="KI162" s="83"/>
      <c r="KQ162" s="405"/>
      <c r="KW162" s="83"/>
      <c r="LE162" s="405"/>
      <c r="LK162" s="83"/>
      <c r="LS162" s="405"/>
      <c r="LY162" s="83"/>
      <c r="MG162" s="405"/>
      <c r="MM162" s="83"/>
      <c r="MU162" s="405"/>
      <c r="NA162" s="83"/>
    </row>
    <row r="163">
      <c r="A163" s="380"/>
      <c r="B163" s="380"/>
      <c r="C163" s="380"/>
      <c r="D163" s="380"/>
      <c r="E163" s="380"/>
      <c r="F163" s="380"/>
      <c r="G163" s="380"/>
      <c r="H163" s="380"/>
      <c r="I163" s="403"/>
      <c r="J163" s="380"/>
      <c r="K163" s="380"/>
      <c r="L163" s="380"/>
      <c r="M163" s="380"/>
      <c r="N163" s="380"/>
      <c r="O163" s="404"/>
      <c r="P163" s="380"/>
      <c r="Q163" s="380"/>
      <c r="R163" s="380"/>
      <c r="S163" s="380"/>
      <c r="T163" s="380"/>
      <c r="U163" s="380"/>
      <c r="V163" s="380"/>
      <c r="W163" s="403"/>
      <c r="X163" s="380"/>
      <c r="Y163" s="380"/>
      <c r="Z163" s="380"/>
      <c r="AA163" s="380"/>
      <c r="AB163" s="380"/>
      <c r="AC163" s="404"/>
      <c r="AD163" s="380"/>
      <c r="AE163" s="380"/>
      <c r="AF163" s="380"/>
      <c r="AG163" s="380"/>
      <c r="AH163" s="380"/>
      <c r="AI163" s="380"/>
      <c r="AJ163" s="380"/>
      <c r="AK163" s="403"/>
      <c r="AL163" s="380"/>
      <c r="AM163" s="380"/>
      <c r="AN163" s="380"/>
      <c r="AO163" s="380"/>
      <c r="AP163" s="380"/>
      <c r="AQ163" s="404"/>
      <c r="AR163" s="380"/>
      <c r="AS163" s="380"/>
      <c r="AT163" s="380"/>
      <c r="AU163" s="380"/>
      <c r="AV163" s="380"/>
      <c r="AW163" s="380"/>
      <c r="AX163" s="380"/>
      <c r="AY163" s="403"/>
      <c r="AZ163" s="380"/>
      <c r="BA163" s="380"/>
      <c r="BB163" s="380"/>
      <c r="BC163" s="380"/>
      <c r="BD163" s="380"/>
      <c r="BE163" s="404"/>
      <c r="BF163" s="380"/>
      <c r="BG163" s="380"/>
      <c r="BH163" s="380"/>
      <c r="BI163" s="380"/>
      <c r="BJ163" s="380"/>
      <c r="BK163" s="380"/>
      <c r="BL163" s="380"/>
      <c r="BM163" s="403"/>
      <c r="BS163" s="83"/>
      <c r="CA163" s="405"/>
      <c r="CG163" s="83"/>
      <c r="CO163" s="405"/>
      <c r="CU163" s="83"/>
      <c r="DC163" s="405"/>
      <c r="DI163" s="83"/>
      <c r="DQ163" s="405"/>
      <c r="DW163" s="83"/>
      <c r="EE163" s="405"/>
      <c r="EK163" s="83"/>
      <c r="ES163" s="405"/>
      <c r="EY163" s="83"/>
      <c r="FG163" s="405"/>
      <c r="FM163" s="83"/>
      <c r="FU163" s="405"/>
      <c r="GA163" s="83"/>
      <c r="GI163" s="405"/>
      <c r="GO163" s="83"/>
      <c r="GW163" s="405"/>
      <c r="HC163" s="83"/>
      <c r="HK163" s="405"/>
      <c r="HQ163" s="83"/>
      <c r="HY163" s="405"/>
      <c r="IE163" s="83"/>
      <c r="IM163" s="405"/>
      <c r="IS163" s="83"/>
      <c r="JA163" s="405"/>
      <c r="JG163" s="83"/>
      <c r="JO163" s="405"/>
      <c r="JU163" s="83"/>
      <c r="KC163" s="405"/>
      <c r="KI163" s="83"/>
      <c r="KQ163" s="405"/>
      <c r="KW163" s="83"/>
      <c r="LE163" s="405"/>
      <c r="LK163" s="83"/>
      <c r="LS163" s="405"/>
      <c r="LY163" s="83"/>
      <c r="MG163" s="405"/>
      <c r="MM163" s="83"/>
      <c r="MU163" s="405"/>
      <c r="NA163" s="83"/>
    </row>
    <row r="164">
      <c r="A164" s="380"/>
      <c r="B164" s="380"/>
      <c r="C164" s="380"/>
      <c r="D164" s="380"/>
      <c r="E164" s="380"/>
      <c r="F164" s="380"/>
      <c r="G164" s="380"/>
      <c r="H164" s="380"/>
      <c r="I164" s="403"/>
      <c r="J164" s="380"/>
      <c r="K164" s="380"/>
      <c r="L164" s="380"/>
      <c r="M164" s="380"/>
      <c r="N164" s="380"/>
      <c r="O164" s="404"/>
      <c r="P164" s="380"/>
      <c r="Q164" s="380"/>
      <c r="R164" s="380"/>
      <c r="S164" s="380"/>
      <c r="T164" s="380"/>
      <c r="U164" s="380"/>
      <c r="V164" s="380"/>
      <c r="W164" s="403"/>
      <c r="X164" s="380"/>
      <c r="Y164" s="380"/>
      <c r="Z164" s="380"/>
      <c r="AA164" s="380"/>
      <c r="AB164" s="380"/>
      <c r="AC164" s="404"/>
      <c r="AD164" s="380"/>
      <c r="AE164" s="380"/>
      <c r="AF164" s="380"/>
      <c r="AG164" s="380"/>
      <c r="AH164" s="380"/>
      <c r="AI164" s="380"/>
      <c r="AJ164" s="380"/>
      <c r="AK164" s="403"/>
      <c r="AL164" s="380"/>
      <c r="AM164" s="380"/>
      <c r="AN164" s="380"/>
      <c r="AO164" s="380"/>
      <c r="AP164" s="380"/>
      <c r="AQ164" s="404"/>
      <c r="AR164" s="380"/>
      <c r="AS164" s="380"/>
      <c r="AT164" s="380"/>
      <c r="AU164" s="380"/>
      <c r="AV164" s="380"/>
      <c r="AW164" s="380"/>
      <c r="AX164" s="380"/>
      <c r="AY164" s="403"/>
      <c r="AZ164" s="380"/>
      <c r="BA164" s="380"/>
      <c r="BB164" s="380"/>
      <c r="BC164" s="380"/>
      <c r="BD164" s="380"/>
      <c r="BE164" s="404"/>
      <c r="BF164" s="380"/>
      <c r="BG164" s="380"/>
      <c r="BH164" s="380"/>
      <c r="BI164" s="380"/>
      <c r="BJ164" s="380"/>
      <c r="BK164" s="380"/>
      <c r="BL164" s="380"/>
      <c r="BM164" s="403"/>
      <c r="BS164" s="83"/>
      <c r="CA164" s="405"/>
      <c r="CG164" s="83"/>
      <c r="CO164" s="405"/>
      <c r="CU164" s="83"/>
      <c r="DC164" s="405"/>
      <c r="DI164" s="83"/>
      <c r="DQ164" s="405"/>
      <c r="DW164" s="83"/>
      <c r="EE164" s="405"/>
      <c r="EK164" s="83"/>
      <c r="ES164" s="405"/>
      <c r="EY164" s="83"/>
      <c r="FG164" s="405"/>
      <c r="FM164" s="83"/>
      <c r="FU164" s="405"/>
      <c r="GA164" s="83"/>
      <c r="GI164" s="405"/>
      <c r="GO164" s="83"/>
      <c r="GW164" s="405"/>
      <c r="HC164" s="83"/>
      <c r="HK164" s="405"/>
      <c r="HQ164" s="83"/>
      <c r="HY164" s="405"/>
      <c r="IE164" s="83"/>
      <c r="IM164" s="405"/>
      <c r="IS164" s="83"/>
      <c r="JA164" s="405"/>
      <c r="JG164" s="83"/>
      <c r="JO164" s="405"/>
      <c r="JU164" s="83"/>
      <c r="KC164" s="405"/>
      <c r="KI164" s="83"/>
      <c r="KQ164" s="405"/>
      <c r="KW164" s="83"/>
      <c r="LE164" s="405"/>
      <c r="LK164" s="83"/>
      <c r="LS164" s="405"/>
      <c r="LY164" s="83"/>
      <c r="MG164" s="405"/>
      <c r="MM164" s="83"/>
      <c r="MU164" s="405"/>
      <c r="NA164" s="83"/>
    </row>
    <row r="165">
      <c r="A165" s="380"/>
      <c r="B165" s="380"/>
      <c r="C165" s="380"/>
      <c r="D165" s="380"/>
      <c r="E165" s="380"/>
      <c r="F165" s="380"/>
      <c r="G165" s="380"/>
      <c r="H165" s="380"/>
      <c r="I165" s="403"/>
      <c r="J165" s="380"/>
      <c r="K165" s="380"/>
      <c r="L165" s="380"/>
      <c r="M165" s="380"/>
      <c r="N165" s="380"/>
      <c r="O165" s="404"/>
      <c r="P165" s="380"/>
      <c r="Q165" s="380"/>
      <c r="R165" s="380"/>
      <c r="S165" s="380"/>
      <c r="T165" s="380"/>
      <c r="U165" s="380"/>
      <c r="V165" s="380"/>
      <c r="W165" s="403"/>
      <c r="X165" s="380"/>
      <c r="Y165" s="380"/>
      <c r="Z165" s="380"/>
      <c r="AA165" s="380"/>
      <c r="AB165" s="380"/>
      <c r="AC165" s="404"/>
      <c r="AD165" s="380"/>
      <c r="AE165" s="380"/>
      <c r="AF165" s="380"/>
      <c r="AG165" s="380"/>
      <c r="AH165" s="380"/>
      <c r="AI165" s="380"/>
      <c r="AJ165" s="380"/>
      <c r="AK165" s="403"/>
      <c r="AL165" s="380"/>
      <c r="AM165" s="380"/>
      <c r="AN165" s="380"/>
      <c r="AO165" s="380"/>
      <c r="AP165" s="380"/>
      <c r="AQ165" s="404"/>
      <c r="AR165" s="380"/>
      <c r="AS165" s="380"/>
      <c r="AT165" s="380"/>
      <c r="AU165" s="380"/>
      <c r="AV165" s="380"/>
      <c r="AW165" s="380"/>
      <c r="AX165" s="380"/>
      <c r="AY165" s="403"/>
      <c r="AZ165" s="380"/>
      <c r="BA165" s="380"/>
      <c r="BB165" s="380"/>
      <c r="BC165" s="380"/>
      <c r="BD165" s="380"/>
      <c r="BE165" s="404"/>
      <c r="BF165" s="380"/>
      <c r="BG165" s="380"/>
      <c r="BH165" s="380"/>
      <c r="BI165" s="380"/>
      <c r="BJ165" s="380"/>
      <c r="BK165" s="380"/>
      <c r="BL165" s="380"/>
      <c r="BM165" s="403"/>
      <c r="BS165" s="83"/>
      <c r="CA165" s="405"/>
      <c r="CG165" s="83"/>
      <c r="CO165" s="405"/>
      <c r="CU165" s="83"/>
      <c r="DC165" s="405"/>
      <c r="DI165" s="83"/>
      <c r="DQ165" s="405"/>
      <c r="DW165" s="83"/>
      <c r="EE165" s="405"/>
      <c r="EK165" s="83"/>
      <c r="ES165" s="405"/>
      <c r="EY165" s="83"/>
      <c r="FG165" s="405"/>
      <c r="FM165" s="83"/>
      <c r="FU165" s="405"/>
      <c r="GA165" s="83"/>
      <c r="GI165" s="405"/>
      <c r="GO165" s="83"/>
      <c r="GW165" s="405"/>
      <c r="HC165" s="83"/>
      <c r="HK165" s="405"/>
      <c r="HQ165" s="83"/>
      <c r="HY165" s="405"/>
      <c r="IE165" s="83"/>
      <c r="IM165" s="405"/>
      <c r="IS165" s="83"/>
      <c r="JA165" s="405"/>
      <c r="JG165" s="83"/>
      <c r="JO165" s="405"/>
      <c r="JU165" s="83"/>
      <c r="KC165" s="405"/>
      <c r="KI165" s="83"/>
      <c r="KQ165" s="405"/>
      <c r="KW165" s="83"/>
      <c r="LE165" s="405"/>
      <c r="LK165" s="83"/>
      <c r="LS165" s="405"/>
      <c r="LY165" s="83"/>
      <c r="MG165" s="405"/>
      <c r="MM165" s="83"/>
      <c r="MU165" s="405"/>
      <c r="NA165" s="83"/>
    </row>
    <row r="166">
      <c r="A166" s="380"/>
      <c r="B166" s="380"/>
      <c r="C166" s="380"/>
      <c r="D166" s="380"/>
      <c r="E166" s="380"/>
      <c r="F166" s="380"/>
      <c r="G166" s="380"/>
      <c r="H166" s="380"/>
      <c r="I166" s="403"/>
      <c r="J166" s="380"/>
      <c r="K166" s="380"/>
      <c r="L166" s="380"/>
      <c r="M166" s="380"/>
      <c r="N166" s="380"/>
      <c r="O166" s="404"/>
      <c r="P166" s="380"/>
      <c r="Q166" s="380"/>
      <c r="R166" s="380"/>
      <c r="S166" s="380"/>
      <c r="T166" s="380"/>
      <c r="U166" s="380"/>
      <c r="V166" s="380"/>
      <c r="W166" s="403"/>
      <c r="X166" s="380"/>
      <c r="Y166" s="380"/>
      <c r="Z166" s="380"/>
      <c r="AA166" s="380"/>
      <c r="AB166" s="380"/>
      <c r="AC166" s="404"/>
      <c r="AD166" s="380"/>
      <c r="AE166" s="380"/>
      <c r="AF166" s="380"/>
      <c r="AG166" s="380"/>
      <c r="AH166" s="380"/>
      <c r="AI166" s="380"/>
      <c r="AJ166" s="380"/>
      <c r="AK166" s="403"/>
      <c r="AL166" s="380"/>
      <c r="AM166" s="380"/>
      <c r="AN166" s="380"/>
      <c r="AO166" s="380"/>
      <c r="AP166" s="380"/>
      <c r="AQ166" s="404"/>
      <c r="AR166" s="380"/>
      <c r="AS166" s="380"/>
      <c r="AT166" s="380"/>
      <c r="AU166" s="380"/>
      <c r="AV166" s="380"/>
      <c r="AW166" s="380"/>
      <c r="AX166" s="380"/>
      <c r="AY166" s="403"/>
      <c r="AZ166" s="380"/>
      <c r="BA166" s="380"/>
      <c r="BB166" s="380"/>
      <c r="BC166" s="380"/>
      <c r="BD166" s="380"/>
      <c r="BE166" s="404"/>
      <c r="BF166" s="380"/>
      <c r="BG166" s="380"/>
      <c r="BH166" s="380"/>
      <c r="BI166" s="380"/>
      <c r="BJ166" s="380"/>
      <c r="BK166" s="380"/>
      <c r="BL166" s="380"/>
      <c r="BM166" s="403"/>
      <c r="BS166" s="83"/>
      <c r="CA166" s="405"/>
      <c r="CG166" s="83"/>
      <c r="CO166" s="405"/>
      <c r="CU166" s="83"/>
      <c r="DC166" s="405"/>
      <c r="DI166" s="83"/>
      <c r="DQ166" s="405"/>
      <c r="DW166" s="83"/>
      <c r="EE166" s="405"/>
      <c r="EK166" s="83"/>
      <c r="ES166" s="405"/>
      <c r="EY166" s="83"/>
      <c r="FG166" s="405"/>
      <c r="FM166" s="83"/>
      <c r="FU166" s="405"/>
      <c r="GA166" s="83"/>
      <c r="GI166" s="405"/>
      <c r="GO166" s="83"/>
      <c r="GW166" s="405"/>
      <c r="HC166" s="83"/>
      <c r="HK166" s="405"/>
      <c r="HQ166" s="83"/>
      <c r="HY166" s="405"/>
      <c r="IE166" s="83"/>
      <c r="IM166" s="405"/>
      <c r="IS166" s="83"/>
      <c r="JA166" s="405"/>
      <c r="JG166" s="83"/>
      <c r="JO166" s="405"/>
      <c r="JU166" s="83"/>
      <c r="KC166" s="405"/>
      <c r="KI166" s="83"/>
      <c r="KQ166" s="405"/>
      <c r="KW166" s="83"/>
      <c r="LE166" s="405"/>
      <c r="LK166" s="83"/>
      <c r="LS166" s="405"/>
      <c r="LY166" s="83"/>
      <c r="MG166" s="405"/>
      <c r="MM166" s="83"/>
      <c r="MU166" s="405"/>
      <c r="NA166" s="83"/>
    </row>
    <row r="167">
      <c r="A167" s="380"/>
      <c r="B167" s="380"/>
      <c r="C167" s="380"/>
      <c r="D167" s="380"/>
      <c r="E167" s="380"/>
      <c r="F167" s="380"/>
      <c r="G167" s="380"/>
      <c r="H167" s="380"/>
      <c r="I167" s="403"/>
      <c r="J167" s="380"/>
      <c r="K167" s="380"/>
      <c r="L167" s="380"/>
      <c r="M167" s="380"/>
      <c r="N167" s="380"/>
      <c r="O167" s="404"/>
      <c r="P167" s="380"/>
      <c r="Q167" s="380"/>
      <c r="R167" s="380"/>
      <c r="S167" s="380"/>
      <c r="T167" s="380"/>
      <c r="U167" s="380"/>
      <c r="V167" s="380"/>
      <c r="W167" s="403"/>
      <c r="X167" s="380"/>
      <c r="Y167" s="380"/>
      <c r="Z167" s="380"/>
      <c r="AA167" s="380"/>
      <c r="AB167" s="380"/>
      <c r="AC167" s="404"/>
      <c r="AD167" s="380"/>
      <c r="AE167" s="380"/>
      <c r="AF167" s="380"/>
      <c r="AG167" s="380"/>
      <c r="AH167" s="380"/>
      <c r="AI167" s="380"/>
      <c r="AJ167" s="380"/>
      <c r="AK167" s="403"/>
      <c r="AL167" s="380"/>
      <c r="AM167" s="380"/>
      <c r="AN167" s="380"/>
      <c r="AO167" s="380"/>
      <c r="AP167" s="380"/>
      <c r="AQ167" s="404"/>
      <c r="AR167" s="380"/>
      <c r="AS167" s="380"/>
      <c r="AT167" s="380"/>
      <c r="AU167" s="380"/>
      <c r="AV167" s="380"/>
      <c r="AW167" s="380"/>
      <c r="AX167" s="380"/>
      <c r="AY167" s="403"/>
      <c r="AZ167" s="380"/>
      <c r="BA167" s="380"/>
      <c r="BB167" s="380"/>
      <c r="BC167" s="380"/>
      <c r="BD167" s="380"/>
      <c r="BE167" s="404"/>
      <c r="BF167" s="380"/>
      <c r="BG167" s="380"/>
      <c r="BH167" s="380"/>
      <c r="BI167" s="380"/>
      <c r="BJ167" s="380"/>
      <c r="BK167" s="380"/>
      <c r="BL167" s="380"/>
      <c r="BM167" s="403"/>
      <c r="BS167" s="83"/>
      <c r="CA167" s="405"/>
      <c r="CG167" s="83"/>
      <c r="CO167" s="405"/>
      <c r="CU167" s="83"/>
      <c r="DC167" s="405"/>
      <c r="DI167" s="83"/>
      <c r="DQ167" s="405"/>
      <c r="DW167" s="83"/>
      <c r="EE167" s="405"/>
      <c r="EK167" s="83"/>
      <c r="ES167" s="405"/>
      <c r="EY167" s="83"/>
      <c r="FG167" s="405"/>
      <c r="FM167" s="83"/>
      <c r="FU167" s="405"/>
      <c r="GA167" s="83"/>
      <c r="GI167" s="405"/>
      <c r="GO167" s="83"/>
      <c r="GW167" s="405"/>
      <c r="HC167" s="83"/>
      <c r="HK167" s="405"/>
      <c r="HQ167" s="83"/>
      <c r="HY167" s="405"/>
      <c r="IE167" s="83"/>
      <c r="IM167" s="405"/>
      <c r="IS167" s="83"/>
      <c r="JA167" s="405"/>
      <c r="JG167" s="83"/>
      <c r="JO167" s="405"/>
      <c r="JU167" s="83"/>
      <c r="KC167" s="405"/>
      <c r="KI167" s="83"/>
      <c r="KQ167" s="405"/>
      <c r="KW167" s="83"/>
      <c r="LE167" s="405"/>
      <c r="LK167" s="83"/>
      <c r="LS167" s="405"/>
      <c r="LY167" s="83"/>
      <c r="MG167" s="405"/>
      <c r="MM167" s="83"/>
      <c r="MU167" s="405"/>
      <c r="NA167" s="83"/>
    </row>
    <row r="168">
      <c r="A168" s="380"/>
      <c r="B168" s="380"/>
      <c r="C168" s="380"/>
      <c r="D168" s="380"/>
      <c r="E168" s="380"/>
      <c r="F168" s="380"/>
      <c r="G168" s="380"/>
      <c r="H168" s="380"/>
      <c r="I168" s="403"/>
      <c r="J168" s="380"/>
      <c r="K168" s="380"/>
      <c r="L168" s="380"/>
      <c r="M168" s="380"/>
      <c r="N168" s="380"/>
      <c r="O168" s="404"/>
      <c r="P168" s="380"/>
      <c r="Q168" s="380"/>
      <c r="R168" s="380"/>
      <c r="S168" s="380"/>
      <c r="T168" s="380"/>
      <c r="U168" s="380"/>
      <c r="V168" s="380"/>
      <c r="W168" s="403"/>
      <c r="X168" s="380"/>
      <c r="Y168" s="380"/>
      <c r="Z168" s="380"/>
      <c r="AA168" s="380"/>
      <c r="AB168" s="380"/>
      <c r="AC168" s="404"/>
      <c r="AD168" s="380"/>
      <c r="AE168" s="380"/>
      <c r="AF168" s="380"/>
      <c r="AG168" s="380"/>
      <c r="AH168" s="380"/>
      <c r="AI168" s="380"/>
      <c r="AJ168" s="380"/>
      <c r="AK168" s="403"/>
      <c r="AL168" s="380"/>
      <c r="AM168" s="380"/>
      <c r="AN168" s="380"/>
      <c r="AO168" s="380"/>
      <c r="AP168" s="380"/>
      <c r="AQ168" s="404"/>
      <c r="AR168" s="380"/>
      <c r="AS168" s="380"/>
      <c r="AT168" s="380"/>
      <c r="AU168" s="380"/>
      <c r="AV168" s="380"/>
      <c r="AW168" s="380"/>
      <c r="AX168" s="380"/>
      <c r="AY168" s="403"/>
      <c r="AZ168" s="380"/>
      <c r="BA168" s="380"/>
      <c r="BB168" s="380"/>
      <c r="BC168" s="380"/>
      <c r="BD168" s="380"/>
      <c r="BE168" s="404"/>
      <c r="BF168" s="380"/>
      <c r="BG168" s="380"/>
      <c r="BH168" s="380"/>
      <c r="BI168" s="380"/>
      <c r="BJ168" s="380"/>
      <c r="BK168" s="380"/>
      <c r="BL168" s="380"/>
      <c r="BM168" s="403"/>
      <c r="BS168" s="83"/>
      <c r="CA168" s="405"/>
      <c r="CG168" s="83"/>
      <c r="CO168" s="405"/>
      <c r="CU168" s="83"/>
      <c r="DC168" s="405"/>
      <c r="DI168" s="83"/>
      <c r="DQ168" s="405"/>
      <c r="DW168" s="83"/>
      <c r="EE168" s="405"/>
      <c r="EK168" s="83"/>
      <c r="ES168" s="405"/>
      <c r="EY168" s="83"/>
      <c r="FG168" s="405"/>
      <c r="FM168" s="83"/>
      <c r="FU168" s="405"/>
      <c r="GA168" s="83"/>
      <c r="GI168" s="405"/>
      <c r="GO168" s="83"/>
      <c r="GW168" s="405"/>
      <c r="HC168" s="83"/>
      <c r="HK168" s="405"/>
      <c r="HQ168" s="83"/>
      <c r="HY168" s="405"/>
      <c r="IE168" s="83"/>
      <c r="IM168" s="405"/>
      <c r="IS168" s="83"/>
      <c r="JA168" s="405"/>
      <c r="JG168" s="83"/>
      <c r="JO168" s="405"/>
      <c r="JU168" s="83"/>
      <c r="KC168" s="405"/>
      <c r="KI168" s="83"/>
      <c r="KQ168" s="405"/>
      <c r="KW168" s="83"/>
      <c r="LE168" s="405"/>
      <c r="LK168" s="83"/>
      <c r="LS168" s="405"/>
      <c r="LY168" s="83"/>
      <c r="MG168" s="405"/>
      <c r="MM168" s="83"/>
      <c r="MU168" s="405"/>
      <c r="NA168" s="83"/>
    </row>
    <row r="169">
      <c r="A169" s="380"/>
      <c r="B169" s="380"/>
      <c r="C169" s="380"/>
      <c r="D169" s="380"/>
      <c r="E169" s="380"/>
      <c r="F169" s="380"/>
      <c r="G169" s="380"/>
      <c r="H169" s="380"/>
      <c r="I169" s="403"/>
      <c r="J169" s="380"/>
      <c r="K169" s="380"/>
      <c r="L169" s="380"/>
      <c r="M169" s="380"/>
      <c r="N169" s="380"/>
      <c r="O169" s="404"/>
      <c r="P169" s="380"/>
      <c r="Q169" s="380"/>
      <c r="R169" s="380"/>
      <c r="S169" s="380"/>
      <c r="T169" s="380"/>
      <c r="U169" s="380"/>
      <c r="V169" s="380"/>
      <c r="W169" s="403"/>
      <c r="X169" s="380"/>
      <c r="Y169" s="380"/>
      <c r="Z169" s="380"/>
      <c r="AA169" s="380"/>
      <c r="AB169" s="380"/>
      <c r="AC169" s="404"/>
      <c r="AD169" s="380"/>
      <c r="AE169" s="380"/>
      <c r="AF169" s="380"/>
      <c r="AG169" s="380"/>
      <c r="AH169" s="380"/>
      <c r="AI169" s="380"/>
      <c r="AJ169" s="380"/>
      <c r="AK169" s="403"/>
      <c r="AL169" s="380"/>
      <c r="AM169" s="380"/>
      <c r="AN169" s="380"/>
      <c r="AO169" s="380"/>
      <c r="AP169" s="380"/>
      <c r="AQ169" s="404"/>
      <c r="AR169" s="380"/>
      <c r="AS169" s="380"/>
      <c r="AT169" s="380"/>
      <c r="AU169" s="380"/>
      <c r="AV169" s="380"/>
      <c r="AW169" s="380"/>
      <c r="AX169" s="380"/>
      <c r="AY169" s="403"/>
      <c r="AZ169" s="380"/>
      <c r="BA169" s="380"/>
      <c r="BB169" s="380"/>
      <c r="BC169" s="380"/>
      <c r="BD169" s="380"/>
      <c r="BE169" s="404"/>
      <c r="BF169" s="380"/>
      <c r="BG169" s="380"/>
      <c r="BH169" s="380"/>
      <c r="BI169" s="380"/>
      <c r="BJ169" s="380"/>
      <c r="BK169" s="380"/>
      <c r="BL169" s="380"/>
      <c r="BM169" s="403"/>
      <c r="BS169" s="83"/>
      <c r="CA169" s="405"/>
      <c r="CG169" s="83"/>
      <c r="CO169" s="405"/>
      <c r="CU169" s="83"/>
      <c r="DC169" s="405"/>
      <c r="DI169" s="83"/>
      <c r="DQ169" s="405"/>
      <c r="DW169" s="83"/>
      <c r="EE169" s="405"/>
      <c r="EK169" s="83"/>
      <c r="ES169" s="405"/>
      <c r="EY169" s="83"/>
      <c r="FG169" s="405"/>
      <c r="FM169" s="83"/>
      <c r="FU169" s="405"/>
      <c r="GA169" s="83"/>
      <c r="GI169" s="405"/>
      <c r="GO169" s="83"/>
      <c r="GW169" s="405"/>
      <c r="HC169" s="83"/>
      <c r="HK169" s="405"/>
      <c r="HQ169" s="83"/>
      <c r="HY169" s="405"/>
      <c r="IE169" s="83"/>
      <c r="IM169" s="405"/>
      <c r="IS169" s="83"/>
      <c r="JA169" s="405"/>
      <c r="JG169" s="83"/>
      <c r="JO169" s="405"/>
      <c r="JU169" s="83"/>
      <c r="KC169" s="405"/>
      <c r="KI169" s="83"/>
      <c r="KQ169" s="405"/>
      <c r="KW169" s="83"/>
      <c r="LE169" s="405"/>
      <c r="LK169" s="83"/>
      <c r="LS169" s="405"/>
      <c r="LY169" s="83"/>
      <c r="MG169" s="405"/>
      <c r="MM169" s="83"/>
      <c r="MU169" s="405"/>
      <c r="NA169" s="83"/>
    </row>
    <row r="170">
      <c r="A170" s="380"/>
      <c r="B170" s="380"/>
      <c r="C170" s="380"/>
      <c r="D170" s="380"/>
      <c r="E170" s="380"/>
      <c r="F170" s="380"/>
      <c r="G170" s="380"/>
      <c r="H170" s="380"/>
      <c r="I170" s="403"/>
      <c r="J170" s="380"/>
      <c r="K170" s="380"/>
      <c r="L170" s="380"/>
      <c r="M170" s="380"/>
      <c r="N170" s="380"/>
      <c r="O170" s="404"/>
      <c r="P170" s="380"/>
      <c r="Q170" s="380"/>
      <c r="R170" s="380"/>
      <c r="S170" s="380"/>
      <c r="T170" s="380"/>
      <c r="U170" s="380"/>
      <c r="V170" s="380"/>
      <c r="W170" s="403"/>
      <c r="X170" s="380"/>
      <c r="Y170" s="380"/>
      <c r="Z170" s="380"/>
      <c r="AA170" s="380"/>
      <c r="AB170" s="380"/>
      <c r="AC170" s="404"/>
      <c r="AD170" s="380"/>
      <c r="AE170" s="380"/>
      <c r="AF170" s="380"/>
      <c r="AG170" s="380"/>
      <c r="AH170" s="380"/>
      <c r="AI170" s="380"/>
      <c r="AJ170" s="380"/>
      <c r="AK170" s="403"/>
      <c r="AL170" s="380"/>
      <c r="AM170" s="380"/>
      <c r="AN170" s="380"/>
      <c r="AO170" s="380"/>
      <c r="AP170" s="380"/>
      <c r="AQ170" s="404"/>
      <c r="AR170" s="380"/>
      <c r="AS170" s="380"/>
      <c r="AT170" s="380"/>
      <c r="AU170" s="380"/>
      <c r="AV170" s="380"/>
      <c r="AW170" s="380"/>
      <c r="AX170" s="380"/>
      <c r="AY170" s="403"/>
      <c r="AZ170" s="380"/>
      <c r="BA170" s="380"/>
      <c r="BB170" s="380"/>
      <c r="BC170" s="380"/>
      <c r="BD170" s="380"/>
      <c r="BE170" s="404"/>
      <c r="BF170" s="380"/>
      <c r="BG170" s="380"/>
      <c r="BH170" s="380"/>
      <c r="BI170" s="380"/>
      <c r="BJ170" s="380"/>
      <c r="BK170" s="380"/>
      <c r="BL170" s="380"/>
      <c r="BM170" s="403"/>
      <c r="BS170" s="83"/>
      <c r="CA170" s="405"/>
      <c r="CG170" s="83"/>
      <c r="CO170" s="405"/>
      <c r="CU170" s="83"/>
      <c r="DC170" s="405"/>
      <c r="DI170" s="83"/>
      <c r="DQ170" s="405"/>
      <c r="DW170" s="83"/>
      <c r="EE170" s="405"/>
      <c r="EK170" s="83"/>
      <c r="ES170" s="405"/>
      <c r="EY170" s="83"/>
      <c r="FG170" s="405"/>
      <c r="FM170" s="83"/>
      <c r="FU170" s="405"/>
      <c r="GA170" s="83"/>
      <c r="GI170" s="405"/>
      <c r="GO170" s="83"/>
      <c r="GW170" s="405"/>
      <c r="HC170" s="83"/>
      <c r="HK170" s="405"/>
      <c r="HQ170" s="83"/>
      <c r="HY170" s="405"/>
      <c r="IE170" s="83"/>
      <c r="IM170" s="405"/>
      <c r="IS170" s="83"/>
      <c r="JA170" s="405"/>
      <c r="JG170" s="83"/>
      <c r="JO170" s="405"/>
      <c r="JU170" s="83"/>
      <c r="KC170" s="405"/>
      <c r="KI170" s="83"/>
      <c r="KQ170" s="405"/>
      <c r="KW170" s="83"/>
      <c r="LE170" s="405"/>
      <c r="LK170" s="83"/>
      <c r="LS170" s="405"/>
      <c r="LY170" s="83"/>
      <c r="MG170" s="405"/>
      <c r="MM170" s="83"/>
      <c r="MU170" s="405"/>
      <c r="NA170" s="83"/>
    </row>
    <row r="171">
      <c r="A171" s="380"/>
      <c r="B171" s="380"/>
      <c r="C171" s="380"/>
      <c r="D171" s="380"/>
      <c r="E171" s="380"/>
      <c r="F171" s="380"/>
      <c r="G171" s="380"/>
      <c r="H171" s="380"/>
      <c r="I171" s="403"/>
      <c r="J171" s="380"/>
      <c r="K171" s="380"/>
      <c r="L171" s="380"/>
      <c r="M171" s="380"/>
      <c r="N171" s="380"/>
      <c r="O171" s="404"/>
      <c r="P171" s="380"/>
      <c r="Q171" s="380"/>
      <c r="R171" s="380"/>
      <c r="S171" s="380"/>
      <c r="T171" s="380"/>
      <c r="U171" s="380"/>
      <c r="V171" s="380"/>
      <c r="W171" s="403"/>
      <c r="X171" s="380"/>
      <c r="Y171" s="380"/>
      <c r="Z171" s="380"/>
      <c r="AA171" s="380"/>
      <c r="AB171" s="380"/>
      <c r="AC171" s="404"/>
      <c r="AD171" s="380"/>
      <c r="AE171" s="380"/>
      <c r="AF171" s="380"/>
      <c r="AG171" s="380"/>
      <c r="AH171" s="380"/>
      <c r="AI171" s="380"/>
      <c r="AJ171" s="380"/>
      <c r="AK171" s="403"/>
      <c r="AL171" s="380"/>
      <c r="AM171" s="380"/>
      <c r="AN171" s="380"/>
      <c r="AO171" s="380"/>
      <c r="AP171" s="380"/>
      <c r="AQ171" s="404"/>
      <c r="AR171" s="380"/>
      <c r="AS171" s="380"/>
      <c r="AT171" s="380"/>
      <c r="AU171" s="380"/>
      <c r="AV171" s="380"/>
      <c r="AW171" s="380"/>
      <c r="AX171" s="380"/>
      <c r="AY171" s="403"/>
      <c r="AZ171" s="380"/>
      <c r="BA171" s="380"/>
      <c r="BB171" s="380"/>
      <c r="BC171" s="380"/>
      <c r="BD171" s="380"/>
      <c r="BE171" s="404"/>
      <c r="BF171" s="380"/>
      <c r="BG171" s="380"/>
      <c r="BH171" s="380"/>
      <c r="BI171" s="380"/>
      <c r="BJ171" s="380"/>
      <c r="BK171" s="380"/>
      <c r="BL171" s="380"/>
      <c r="BM171" s="403"/>
      <c r="BS171" s="83"/>
      <c r="CA171" s="405"/>
      <c r="CG171" s="83"/>
      <c r="CO171" s="405"/>
      <c r="CU171" s="83"/>
      <c r="DC171" s="405"/>
      <c r="DI171" s="83"/>
      <c r="DQ171" s="405"/>
      <c r="DW171" s="83"/>
      <c r="EE171" s="405"/>
      <c r="EK171" s="83"/>
      <c r="ES171" s="405"/>
      <c r="EY171" s="83"/>
      <c r="FG171" s="405"/>
      <c r="FM171" s="83"/>
      <c r="FU171" s="405"/>
      <c r="GA171" s="83"/>
      <c r="GI171" s="405"/>
      <c r="GO171" s="83"/>
      <c r="GW171" s="405"/>
      <c r="HC171" s="83"/>
      <c r="HK171" s="405"/>
      <c r="HQ171" s="83"/>
      <c r="HY171" s="405"/>
      <c r="IE171" s="83"/>
      <c r="IM171" s="405"/>
      <c r="IS171" s="83"/>
      <c r="JA171" s="405"/>
      <c r="JG171" s="83"/>
      <c r="JO171" s="405"/>
      <c r="JU171" s="83"/>
      <c r="KC171" s="405"/>
      <c r="KI171" s="83"/>
      <c r="KQ171" s="405"/>
      <c r="KW171" s="83"/>
      <c r="LE171" s="405"/>
      <c r="LK171" s="83"/>
      <c r="LS171" s="405"/>
      <c r="LY171" s="83"/>
      <c r="MG171" s="405"/>
      <c r="MM171" s="83"/>
      <c r="MU171" s="405"/>
      <c r="NA171" s="83"/>
    </row>
    <row r="172">
      <c r="A172" s="380"/>
      <c r="B172" s="380"/>
      <c r="C172" s="380"/>
      <c r="D172" s="380"/>
      <c r="E172" s="380"/>
      <c r="F172" s="380"/>
      <c r="G172" s="380"/>
      <c r="H172" s="380"/>
      <c r="I172" s="403"/>
      <c r="J172" s="380"/>
      <c r="K172" s="380"/>
      <c r="L172" s="380"/>
      <c r="M172" s="380"/>
      <c r="N172" s="380"/>
      <c r="O172" s="404"/>
      <c r="P172" s="380"/>
      <c r="Q172" s="380"/>
      <c r="R172" s="380"/>
      <c r="S172" s="380"/>
      <c r="T172" s="380"/>
      <c r="U172" s="380"/>
      <c r="V172" s="380"/>
      <c r="W172" s="403"/>
      <c r="X172" s="380"/>
      <c r="Y172" s="380"/>
      <c r="Z172" s="380"/>
      <c r="AA172" s="380"/>
      <c r="AB172" s="380"/>
      <c r="AC172" s="404"/>
      <c r="AD172" s="380"/>
      <c r="AE172" s="380"/>
      <c r="AF172" s="380"/>
      <c r="AG172" s="380"/>
      <c r="AH172" s="380"/>
      <c r="AI172" s="380"/>
      <c r="AJ172" s="380"/>
      <c r="AK172" s="403"/>
      <c r="AL172" s="380"/>
      <c r="AM172" s="380"/>
      <c r="AN172" s="380"/>
      <c r="AO172" s="380"/>
      <c r="AP172" s="380"/>
      <c r="AQ172" s="404"/>
      <c r="AR172" s="380"/>
      <c r="AS172" s="380"/>
      <c r="AT172" s="380"/>
      <c r="AU172" s="380"/>
      <c r="AV172" s="380"/>
      <c r="AW172" s="380"/>
      <c r="AX172" s="380"/>
      <c r="AY172" s="403"/>
      <c r="AZ172" s="380"/>
      <c r="BA172" s="380"/>
      <c r="BB172" s="380"/>
      <c r="BC172" s="380"/>
      <c r="BD172" s="380"/>
      <c r="BE172" s="404"/>
      <c r="BF172" s="380"/>
      <c r="BG172" s="380"/>
      <c r="BH172" s="380"/>
      <c r="BI172" s="380"/>
      <c r="BJ172" s="380"/>
      <c r="BK172" s="380"/>
      <c r="BL172" s="380"/>
      <c r="BM172" s="403"/>
      <c r="BS172" s="83"/>
      <c r="CA172" s="405"/>
      <c r="CG172" s="83"/>
      <c r="CO172" s="405"/>
      <c r="CU172" s="83"/>
      <c r="DC172" s="405"/>
      <c r="DI172" s="83"/>
      <c r="DQ172" s="405"/>
      <c r="DW172" s="83"/>
      <c r="EE172" s="405"/>
      <c r="EK172" s="83"/>
      <c r="ES172" s="405"/>
      <c r="EY172" s="83"/>
      <c r="FG172" s="405"/>
      <c r="FM172" s="83"/>
      <c r="FU172" s="405"/>
      <c r="GA172" s="83"/>
      <c r="GI172" s="405"/>
      <c r="GO172" s="83"/>
      <c r="GW172" s="405"/>
      <c r="HC172" s="83"/>
      <c r="HK172" s="405"/>
      <c r="HQ172" s="83"/>
      <c r="HY172" s="405"/>
      <c r="IE172" s="83"/>
      <c r="IM172" s="405"/>
      <c r="IS172" s="83"/>
      <c r="JA172" s="405"/>
      <c r="JG172" s="83"/>
      <c r="JO172" s="405"/>
      <c r="JU172" s="83"/>
      <c r="KC172" s="405"/>
      <c r="KI172" s="83"/>
      <c r="KQ172" s="405"/>
      <c r="KW172" s="83"/>
      <c r="LE172" s="405"/>
      <c r="LK172" s="83"/>
      <c r="LS172" s="405"/>
      <c r="LY172" s="83"/>
      <c r="MG172" s="405"/>
      <c r="MM172" s="83"/>
      <c r="MU172" s="405"/>
      <c r="NA172" s="83"/>
    </row>
    <row r="173">
      <c r="A173" s="380"/>
      <c r="B173" s="380"/>
      <c r="C173" s="380"/>
      <c r="D173" s="380"/>
      <c r="E173" s="380"/>
      <c r="F173" s="380"/>
      <c r="G173" s="380"/>
      <c r="H173" s="380"/>
      <c r="I173" s="403"/>
      <c r="J173" s="380"/>
      <c r="K173" s="380"/>
      <c r="L173" s="380"/>
      <c r="M173" s="380"/>
      <c r="N173" s="380"/>
      <c r="O173" s="404"/>
      <c r="P173" s="380"/>
      <c r="Q173" s="380"/>
      <c r="R173" s="380"/>
      <c r="S173" s="380"/>
      <c r="T173" s="380"/>
      <c r="U173" s="380"/>
      <c r="V173" s="380"/>
      <c r="W173" s="403"/>
      <c r="X173" s="380"/>
      <c r="Y173" s="380"/>
      <c r="Z173" s="380"/>
      <c r="AA173" s="380"/>
      <c r="AB173" s="380"/>
      <c r="AC173" s="404"/>
      <c r="AD173" s="380"/>
      <c r="AE173" s="380"/>
      <c r="AF173" s="380"/>
      <c r="AG173" s="380"/>
      <c r="AH173" s="380"/>
      <c r="AI173" s="380"/>
      <c r="AJ173" s="380"/>
      <c r="AK173" s="403"/>
      <c r="AL173" s="380"/>
      <c r="AM173" s="380"/>
      <c r="AN173" s="380"/>
      <c r="AO173" s="380"/>
      <c r="AP173" s="380"/>
      <c r="AQ173" s="404"/>
      <c r="AR173" s="380"/>
      <c r="AS173" s="380"/>
      <c r="AT173" s="380"/>
      <c r="AU173" s="380"/>
      <c r="AV173" s="380"/>
      <c r="AW173" s="380"/>
      <c r="AX173" s="380"/>
      <c r="AY173" s="403"/>
      <c r="AZ173" s="380"/>
      <c r="BA173" s="380"/>
      <c r="BB173" s="380"/>
      <c r="BC173" s="380"/>
      <c r="BD173" s="380"/>
      <c r="BE173" s="404"/>
      <c r="BF173" s="380"/>
      <c r="BG173" s="380"/>
      <c r="BH173" s="380"/>
      <c r="BI173" s="380"/>
      <c r="BJ173" s="380"/>
      <c r="BK173" s="380"/>
      <c r="BL173" s="380"/>
      <c r="BM173" s="403"/>
      <c r="BS173" s="83"/>
      <c r="CA173" s="405"/>
      <c r="CG173" s="83"/>
      <c r="CO173" s="405"/>
      <c r="CU173" s="83"/>
      <c r="DC173" s="405"/>
      <c r="DI173" s="83"/>
      <c r="DQ173" s="405"/>
      <c r="DW173" s="83"/>
      <c r="EE173" s="405"/>
      <c r="EK173" s="83"/>
      <c r="ES173" s="405"/>
      <c r="EY173" s="83"/>
      <c r="FG173" s="405"/>
      <c r="FM173" s="83"/>
      <c r="FU173" s="405"/>
      <c r="GA173" s="83"/>
      <c r="GI173" s="405"/>
      <c r="GO173" s="83"/>
      <c r="GW173" s="405"/>
      <c r="HC173" s="83"/>
      <c r="HK173" s="405"/>
      <c r="HQ173" s="83"/>
      <c r="HY173" s="405"/>
      <c r="IE173" s="83"/>
      <c r="IM173" s="405"/>
      <c r="IS173" s="83"/>
      <c r="JA173" s="405"/>
      <c r="JG173" s="83"/>
      <c r="JO173" s="405"/>
      <c r="JU173" s="83"/>
      <c r="KC173" s="405"/>
      <c r="KI173" s="83"/>
      <c r="KQ173" s="405"/>
      <c r="KW173" s="83"/>
      <c r="LE173" s="405"/>
      <c r="LK173" s="83"/>
      <c r="LS173" s="405"/>
      <c r="LY173" s="83"/>
      <c r="MG173" s="405"/>
      <c r="MM173" s="83"/>
      <c r="MU173" s="405"/>
      <c r="NA173" s="83"/>
    </row>
    <row r="174">
      <c r="A174" s="380"/>
      <c r="B174" s="380"/>
      <c r="C174" s="380"/>
      <c r="D174" s="380"/>
      <c r="E174" s="380"/>
      <c r="F174" s="380"/>
      <c r="G174" s="380"/>
      <c r="H174" s="380"/>
      <c r="I174" s="403"/>
      <c r="J174" s="380"/>
      <c r="K174" s="380"/>
      <c r="L174" s="380"/>
      <c r="M174" s="380"/>
      <c r="N174" s="380"/>
      <c r="O174" s="404"/>
      <c r="P174" s="380"/>
      <c r="Q174" s="380"/>
      <c r="R174" s="380"/>
      <c r="S174" s="380"/>
      <c r="T174" s="380"/>
      <c r="U174" s="380"/>
      <c r="V174" s="380"/>
      <c r="W174" s="403"/>
      <c r="X174" s="380"/>
      <c r="Y174" s="380"/>
      <c r="Z174" s="380"/>
      <c r="AA174" s="380"/>
      <c r="AB174" s="380"/>
      <c r="AC174" s="404"/>
      <c r="AD174" s="380"/>
      <c r="AE174" s="380"/>
      <c r="AF174" s="380"/>
      <c r="AG174" s="380"/>
      <c r="AH174" s="380"/>
      <c r="AI174" s="380"/>
      <c r="AJ174" s="380"/>
      <c r="AK174" s="403"/>
      <c r="AL174" s="380"/>
      <c r="AM174" s="380"/>
      <c r="AN174" s="380"/>
      <c r="AO174" s="380"/>
      <c r="AP174" s="380"/>
      <c r="AQ174" s="404"/>
      <c r="AR174" s="380"/>
      <c r="AS174" s="380"/>
      <c r="AT174" s="380"/>
      <c r="AU174" s="380"/>
      <c r="AV174" s="380"/>
      <c r="AW174" s="380"/>
      <c r="AX174" s="380"/>
      <c r="AY174" s="403"/>
      <c r="AZ174" s="380"/>
      <c r="BA174" s="380"/>
      <c r="BB174" s="380"/>
      <c r="BC174" s="380"/>
      <c r="BD174" s="380"/>
      <c r="BE174" s="404"/>
      <c r="BF174" s="380"/>
      <c r="BG174" s="380"/>
      <c r="BH174" s="380"/>
      <c r="BI174" s="380"/>
      <c r="BJ174" s="380"/>
      <c r="BK174" s="380"/>
      <c r="BL174" s="380"/>
      <c r="BM174" s="403"/>
      <c r="BS174" s="83"/>
      <c r="CA174" s="405"/>
      <c r="CG174" s="83"/>
      <c r="CO174" s="405"/>
      <c r="CU174" s="83"/>
      <c r="DC174" s="405"/>
      <c r="DI174" s="83"/>
      <c r="DQ174" s="405"/>
      <c r="DW174" s="83"/>
      <c r="EE174" s="405"/>
      <c r="EK174" s="83"/>
      <c r="ES174" s="405"/>
      <c r="EY174" s="83"/>
      <c r="FG174" s="405"/>
      <c r="FM174" s="83"/>
      <c r="FU174" s="405"/>
      <c r="GA174" s="83"/>
      <c r="GI174" s="405"/>
      <c r="GO174" s="83"/>
      <c r="GW174" s="405"/>
      <c r="HC174" s="83"/>
      <c r="HK174" s="405"/>
      <c r="HQ174" s="83"/>
      <c r="HY174" s="405"/>
      <c r="IE174" s="83"/>
      <c r="IM174" s="405"/>
      <c r="IS174" s="83"/>
      <c r="JA174" s="405"/>
      <c r="JG174" s="83"/>
      <c r="JO174" s="405"/>
      <c r="JU174" s="83"/>
      <c r="KC174" s="405"/>
      <c r="KI174" s="83"/>
      <c r="KQ174" s="405"/>
      <c r="KW174" s="83"/>
      <c r="LE174" s="405"/>
      <c r="LK174" s="83"/>
      <c r="LS174" s="405"/>
      <c r="LY174" s="83"/>
      <c r="MG174" s="405"/>
      <c r="MM174" s="83"/>
      <c r="MU174" s="405"/>
      <c r="NA174" s="83"/>
    </row>
    <row r="175">
      <c r="A175" s="380"/>
      <c r="B175" s="380"/>
      <c r="C175" s="380"/>
      <c r="D175" s="380"/>
      <c r="E175" s="380"/>
      <c r="F175" s="380"/>
      <c r="G175" s="380"/>
      <c r="H175" s="380"/>
      <c r="I175" s="403"/>
      <c r="J175" s="380"/>
      <c r="K175" s="380"/>
      <c r="L175" s="380"/>
      <c r="M175" s="380"/>
      <c r="N175" s="380"/>
      <c r="O175" s="404"/>
      <c r="P175" s="380"/>
      <c r="Q175" s="380"/>
      <c r="R175" s="380"/>
      <c r="S175" s="380"/>
      <c r="T175" s="380"/>
      <c r="U175" s="380"/>
      <c r="V175" s="380"/>
      <c r="W175" s="403"/>
      <c r="X175" s="380"/>
      <c r="Y175" s="380"/>
      <c r="Z175" s="380"/>
      <c r="AA175" s="380"/>
      <c r="AB175" s="380"/>
      <c r="AC175" s="404"/>
      <c r="AD175" s="380"/>
      <c r="AE175" s="380"/>
      <c r="AF175" s="380"/>
      <c r="AG175" s="380"/>
      <c r="AH175" s="380"/>
      <c r="AI175" s="380"/>
      <c r="AJ175" s="380"/>
      <c r="AK175" s="403"/>
      <c r="AL175" s="380"/>
      <c r="AM175" s="380"/>
      <c r="AN175" s="380"/>
      <c r="AO175" s="380"/>
      <c r="AP175" s="380"/>
      <c r="AQ175" s="404"/>
      <c r="AR175" s="380"/>
      <c r="AS175" s="380"/>
      <c r="AT175" s="380"/>
      <c r="AU175" s="380"/>
      <c r="AV175" s="380"/>
      <c r="AW175" s="380"/>
      <c r="AX175" s="380"/>
      <c r="AY175" s="403"/>
      <c r="AZ175" s="380"/>
      <c r="BA175" s="380"/>
      <c r="BB175" s="380"/>
      <c r="BC175" s="380"/>
      <c r="BD175" s="380"/>
      <c r="BE175" s="404"/>
      <c r="BF175" s="380"/>
      <c r="BG175" s="380"/>
      <c r="BH175" s="380"/>
      <c r="BI175" s="380"/>
      <c r="BJ175" s="380"/>
      <c r="BK175" s="380"/>
      <c r="BL175" s="380"/>
      <c r="BM175" s="403"/>
      <c r="BS175" s="83"/>
      <c r="CA175" s="405"/>
      <c r="CG175" s="83"/>
      <c r="CO175" s="405"/>
      <c r="CU175" s="83"/>
      <c r="DC175" s="405"/>
      <c r="DI175" s="83"/>
      <c r="DQ175" s="405"/>
      <c r="DW175" s="83"/>
      <c r="EE175" s="405"/>
      <c r="EK175" s="83"/>
      <c r="ES175" s="405"/>
      <c r="EY175" s="83"/>
      <c r="FG175" s="405"/>
      <c r="FM175" s="83"/>
      <c r="FU175" s="405"/>
      <c r="GA175" s="83"/>
      <c r="GI175" s="405"/>
      <c r="GO175" s="83"/>
      <c r="GW175" s="405"/>
      <c r="HC175" s="83"/>
      <c r="HK175" s="405"/>
      <c r="HQ175" s="83"/>
      <c r="HY175" s="405"/>
      <c r="IE175" s="83"/>
      <c r="IM175" s="405"/>
      <c r="IS175" s="83"/>
      <c r="JA175" s="405"/>
      <c r="JG175" s="83"/>
      <c r="JO175" s="405"/>
      <c r="JU175" s="83"/>
      <c r="KC175" s="405"/>
      <c r="KI175" s="83"/>
      <c r="KQ175" s="405"/>
      <c r="KW175" s="83"/>
      <c r="LE175" s="405"/>
      <c r="LK175" s="83"/>
      <c r="LS175" s="405"/>
      <c r="LY175" s="83"/>
      <c r="MG175" s="405"/>
      <c r="MM175" s="83"/>
      <c r="MU175" s="405"/>
      <c r="NA175" s="83"/>
    </row>
    <row r="176">
      <c r="A176" s="380"/>
      <c r="B176" s="380"/>
      <c r="C176" s="380"/>
      <c r="D176" s="380"/>
      <c r="E176" s="380"/>
      <c r="F176" s="380"/>
      <c r="G176" s="380"/>
      <c r="H176" s="380"/>
      <c r="I176" s="403"/>
      <c r="J176" s="380"/>
      <c r="K176" s="380"/>
      <c r="L176" s="380"/>
      <c r="M176" s="380"/>
      <c r="N176" s="380"/>
      <c r="O176" s="404"/>
      <c r="P176" s="380"/>
      <c r="Q176" s="380"/>
      <c r="R176" s="380"/>
      <c r="S176" s="380"/>
      <c r="T176" s="380"/>
      <c r="U176" s="380"/>
      <c r="V176" s="380"/>
      <c r="W176" s="403"/>
      <c r="X176" s="380"/>
      <c r="Y176" s="380"/>
      <c r="Z176" s="380"/>
      <c r="AA176" s="380"/>
      <c r="AB176" s="380"/>
      <c r="AC176" s="404"/>
      <c r="AD176" s="380"/>
      <c r="AE176" s="380"/>
      <c r="AF176" s="380"/>
      <c r="AG176" s="380"/>
      <c r="AH176" s="380"/>
      <c r="AI176" s="380"/>
      <c r="AJ176" s="380"/>
      <c r="AK176" s="403"/>
      <c r="AL176" s="380"/>
      <c r="AM176" s="380"/>
      <c r="AN176" s="380"/>
      <c r="AO176" s="380"/>
      <c r="AP176" s="380"/>
      <c r="AQ176" s="404"/>
      <c r="AR176" s="380"/>
      <c r="AS176" s="380"/>
      <c r="AT176" s="380"/>
      <c r="AU176" s="380"/>
      <c r="AV176" s="380"/>
      <c r="AW176" s="380"/>
      <c r="AX176" s="380"/>
      <c r="AY176" s="403"/>
      <c r="AZ176" s="380"/>
      <c r="BA176" s="380"/>
      <c r="BB176" s="380"/>
      <c r="BC176" s="380"/>
      <c r="BD176" s="380"/>
      <c r="BE176" s="404"/>
      <c r="BF176" s="380"/>
      <c r="BG176" s="380"/>
      <c r="BH176" s="380"/>
      <c r="BI176" s="380"/>
      <c r="BJ176" s="380"/>
      <c r="BK176" s="380"/>
      <c r="BL176" s="380"/>
      <c r="BM176" s="403"/>
      <c r="BS176" s="83"/>
      <c r="CA176" s="405"/>
      <c r="CG176" s="83"/>
      <c r="CO176" s="405"/>
      <c r="CU176" s="83"/>
      <c r="DC176" s="405"/>
      <c r="DI176" s="83"/>
      <c r="DQ176" s="405"/>
      <c r="DW176" s="83"/>
      <c r="EE176" s="405"/>
      <c r="EK176" s="83"/>
      <c r="ES176" s="405"/>
      <c r="EY176" s="83"/>
      <c r="FG176" s="405"/>
      <c r="FM176" s="83"/>
      <c r="FU176" s="405"/>
      <c r="GA176" s="83"/>
      <c r="GI176" s="405"/>
      <c r="GO176" s="83"/>
      <c r="GW176" s="405"/>
      <c r="HC176" s="83"/>
      <c r="HK176" s="405"/>
      <c r="HQ176" s="83"/>
      <c r="HY176" s="405"/>
      <c r="IE176" s="83"/>
      <c r="IM176" s="405"/>
      <c r="IS176" s="83"/>
      <c r="JA176" s="405"/>
      <c r="JG176" s="83"/>
      <c r="JO176" s="405"/>
      <c r="JU176" s="83"/>
      <c r="KC176" s="405"/>
      <c r="KI176" s="83"/>
      <c r="KQ176" s="405"/>
      <c r="KW176" s="83"/>
      <c r="LE176" s="405"/>
      <c r="LK176" s="83"/>
      <c r="LS176" s="405"/>
      <c r="LY176" s="83"/>
      <c r="MG176" s="405"/>
      <c r="MM176" s="83"/>
      <c r="MU176" s="405"/>
      <c r="NA176" s="83"/>
    </row>
    <row r="177">
      <c r="A177" s="380"/>
      <c r="B177" s="380"/>
      <c r="C177" s="380"/>
      <c r="D177" s="380"/>
      <c r="E177" s="380"/>
      <c r="F177" s="380"/>
      <c r="G177" s="380"/>
      <c r="H177" s="380"/>
      <c r="I177" s="403"/>
      <c r="J177" s="380"/>
      <c r="K177" s="380"/>
      <c r="L177" s="380"/>
      <c r="M177" s="380"/>
      <c r="N177" s="380"/>
      <c r="O177" s="404"/>
      <c r="P177" s="380"/>
      <c r="Q177" s="380"/>
      <c r="R177" s="380"/>
      <c r="S177" s="380"/>
      <c r="T177" s="380"/>
      <c r="U177" s="380"/>
      <c r="V177" s="380"/>
      <c r="W177" s="403"/>
      <c r="X177" s="380"/>
      <c r="Y177" s="380"/>
      <c r="Z177" s="380"/>
      <c r="AA177" s="380"/>
      <c r="AB177" s="380"/>
      <c r="AC177" s="404"/>
      <c r="AD177" s="380"/>
      <c r="AE177" s="380"/>
      <c r="AF177" s="380"/>
      <c r="AG177" s="380"/>
      <c r="AH177" s="380"/>
      <c r="AI177" s="380"/>
      <c r="AJ177" s="380"/>
      <c r="AK177" s="403"/>
      <c r="AL177" s="380"/>
      <c r="AM177" s="380"/>
      <c r="AN177" s="380"/>
      <c r="AO177" s="380"/>
      <c r="AP177" s="380"/>
      <c r="AQ177" s="404"/>
      <c r="AR177" s="380"/>
      <c r="AS177" s="380"/>
      <c r="AT177" s="380"/>
      <c r="AU177" s="380"/>
      <c r="AV177" s="380"/>
      <c r="AW177" s="380"/>
      <c r="AX177" s="380"/>
      <c r="AY177" s="403"/>
      <c r="AZ177" s="380"/>
      <c r="BA177" s="380"/>
      <c r="BB177" s="380"/>
      <c r="BC177" s="380"/>
      <c r="BD177" s="380"/>
      <c r="BE177" s="404"/>
      <c r="BF177" s="380"/>
      <c r="BG177" s="380"/>
      <c r="BH177" s="380"/>
      <c r="BI177" s="380"/>
      <c r="BJ177" s="380"/>
      <c r="BK177" s="380"/>
      <c r="BL177" s="380"/>
      <c r="BM177" s="403"/>
      <c r="BS177" s="83"/>
      <c r="CA177" s="405"/>
      <c r="CG177" s="83"/>
      <c r="CO177" s="405"/>
      <c r="CU177" s="83"/>
      <c r="DC177" s="405"/>
      <c r="DI177" s="83"/>
      <c r="DQ177" s="405"/>
      <c r="DW177" s="83"/>
      <c r="EE177" s="405"/>
      <c r="EK177" s="83"/>
      <c r="ES177" s="405"/>
      <c r="EY177" s="83"/>
      <c r="FG177" s="405"/>
      <c r="FM177" s="83"/>
      <c r="FU177" s="405"/>
      <c r="GA177" s="83"/>
      <c r="GI177" s="405"/>
      <c r="GO177" s="83"/>
      <c r="GW177" s="405"/>
      <c r="HC177" s="83"/>
      <c r="HK177" s="405"/>
      <c r="HQ177" s="83"/>
      <c r="HY177" s="405"/>
      <c r="IE177" s="83"/>
      <c r="IM177" s="405"/>
      <c r="IS177" s="83"/>
      <c r="JA177" s="405"/>
      <c r="JG177" s="83"/>
      <c r="JO177" s="405"/>
      <c r="JU177" s="83"/>
      <c r="KC177" s="405"/>
      <c r="KI177" s="83"/>
      <c r="KQ177" s="405"/>
      <c r="KW177" s="83"/>
      <c r="LE177" s="405"/>
      <c r="LK177" s="83"/>
      <c r="LS177" s="405"/>
      <c r="LY177" s="83"/>
      <c r="MG177" s="405"/>
      <c r="MM177" s="83"/>
      <c r="MU177" s="405"/>
      <c r="NA177" s="83"/>
    </row>
    <row r="178">
      <c r="A178" s="380"/>
      <c r="B178" s="380"/>
      <c r="C178" s="380"/>
      <c r="D178" s="380"/>
      <c r="E178" s="380"/>
      <c r="F178" s="380"/>
      <c r="G178" s="380"/>
      <c r="H178" s="380"/>
      <c r="I178" s="403"/>
      <c r="J178" s="380"/>
      <c r="K178" s="380"/>
      <c r="L178" s="380"/>
      <c r="M178" s="380"/>
      <c r="N178" s="380"/>
      <c r="O178" s="404"/>
      <c r="P178" s="380"/>
      <c r="Q178" s="380"/>
      <c r="R178" s="380"/>
      <c r="S178" s="380"/>
      <c r="T178" s="380"/>
      <c r="U178" s="380"/>
      <c r="V178" s="380"/>
      <c r="W178" s="403"/>
      <c r="X178" s="380"/>
      <c r="Y178" s="380"/>
      <c r="Z178" s="380"/>
      <c r="AA178" s="380"/>
      <c r="AB178" s="380"/>
      <c r="AC178" s="404"/>
      <c r="AD178" s="380"/>
      <c r="AE178" s="380"/>
      <c r="AF178" s="380"/>
      <c r="AG178" s="380"/>
      <c r="AH178" s="380"/>
      <c r="AI178" s="380"/>
      <c r="AJ178" s="380"/>
      <c r="AK178" s="403"/>
      <c r="AL178" s="380"/>
      <c r="AM178" s="380"/>
      <c r="AN178" s="380"/>
      <c r="AO178" s="380"/>
      <c r="AP178" s="380"/>
      <c r="AQ178" s="404"/>
      <c r="AR178" s="380"/>
      <c r="AS178" s="380"/>
      <c r="AT178" s="380"/>
      <c r="AU178" s="380"/>
      <c r="AV178" s="380"/>
      <c r="AW178" s="380"/>
      <c r="AX178" s="380"/>
      <c r="AY178" s="403"/>
      <c r="AZ178" s="380"/>
      <c r="BA178" s="380"/>
      <c r="BB178" s="380"/>
      <c r="BC178" s="380"/>
      <c r="BD178" s="380"/>
      <c r="BE178" s="404"/>
      <c r="BF178" s="380"/>
      <c r="BG178" s="380"/>
      <c r="BH178" s="380"/>
      <c r="BI178" s="380"/>
      <c r="BJ178" s="380"/>
      <c r="BK178" s="380"/>
      <c r="BL178" s="380"/>
      <c r="BM178" s="403"/>
      <c r="BS178" s="83"/>
      <c r="CA178" s="405"/>
      <c r="CG178" s="83"/>
      <c r="CO178" s="405"/>
      <c r="CU178" s="83"/>
      <c r="DC178" s="405"/>
      <c r="DI178" s="83"/>
      <c r="DQ178" s="405"/>
      <c r="DW178" s="83"/>
      <c r="EE178" s="405"/>
      <c r="EK178" s="83"/>
      <c r="ES178" s="405"/>
      <c r="EY178" s="83"/>
      <c r="FG178" s="405"/>
      <c r="FM178" s="83"/>
      <c r="FU178" s="405"/>
      <c r="GA178" s="83"/>
      <c r="GI178" s="405"/>
      <c r="GO178" s="83"/>
      <c r="GW178" s="405"/>
      <c r="HC178" s="83"/>
      <c r="HK178" s="405"/>
      <c r="HQ178" s="83"/>
      <c r="HY178" s="405"/>
      <c r="IE178" s="83"/>
      <c r="IM178" s="405"/>
      <c r="IS178" s="83"/>
      <c r="JA178" s="405"/>
      <c r="JG178" s="83"/>
      <c r="JO178" s="405"/>
      <c r="JU178" s="83"/>
      <c r="KC178" s="405"/>
      <c r="KI178" s="83"/>
      <c r="KQ178" s="405"/>
      <c r="KW178" s="83"/>
      <c r="LE178" s="405"/>
      <c r="LK178" s="83"/>
      <c r="LS178" s="405"/>
      <c r="LY178" s="83"/>
      <c r="MG178" s="405"/>
      <c r="MM178" s="83"/>
      <c r="MU178" s="405"/>
      <c r="NA178" s="83"/>
    </row>
    <row r="179">
      <c r="A179" s="380"/>
      <c r="B179" s="380"/>
      <c r="C179" s="380"/>
      <c r="D179" s="380"/>
      <c r="E179" s="380"/>
      <c r="F179" s="380"/>
      <c r="G179" s="380"/>
      <c r="H179" s="380"/>
      <c r="I179" s="403"/>
      <c r="J179" s="380"/>
      <c r="K179" s="380"/>
      <c r="L179" s="380"/>
      <c r="M179" s="380"/>
      <c r="N179" s="380"/>
      <c r="O179" s="404"/>
      <c r="P179" s="380"/>
      <c r="Q179" s="380"/>
      <c r="R179" s="380"/>
      <c r="S179" s="380"/>
      <c r="T179" s="380"/>
      <c r="U179" s="380"/>
      <c r="V179" s="380"/>
      <c r="W179" s="403"/>
      <c r="X179" s="380"/>
      <c r="Y179" s="380"/>
      <c r="Z179" s="380"/>
      <c r="AA179" s="380"/>
      <c r="AB179" s="380"/>
      <c r="AC179" s="404"/>
      <c r="AD179" s="380"/>
      <c r="AE179" s="380"/>
      <c r="AF179" s="380"/>
      <c r="AG179" s="380"/>
      <c r="AH179" s="380"/>
      <c r="AI179" s="380"/>
      <c r="AJ179" s="380"/>
      <c r="AK179" s="403"/>
      <c r="AL179" s="380"/>
      <c r="AM179" s="380"/>
      <c r="AN179" s="380"/>
      <c r="AO179" s="380"/>
      <c r="AP179" s="380"/>
      <c r="AQ179" s="404"/>
      <c r="AR179" s="380"/>
      <c r="AS179" s="380"/>
      <c r="AT179" s="380"/>
      <c r="AU179" s="380"/>
      <c r="AV179" s="380"/>
      <c r="AW179" s="380"/>
      <c r="AX179" s="380"/>
      <c r="AY179" s="403"/>
      <c r="AZ179" s="380"/>
      <c r="BA179" s="380"/>
      <c r="BB179" s="380"/>
      <c r="BC179" s="380"/>
      <c r="BD179" s="380"/>
      <c r="BE179" s="404"/>
      <c r="BF179" s="380"/>
      <c r="BG179" s="380"/>
      <c r="BH179" s="380"/>
      <c r="BI179" s="380"/>
      <c r="BJ179" s="380"/>
      <c r="BK179" s="380"/>
      <c r="BL179" s="380"/>
      <c r="BM179" s="403"/>
      <c r="BS179" s="83"/>
      <c r="CA179" s="405"/>
      <c r="CG179" s="83"/>
      <c r="CO179" s="405"/>
      <c r="CU179" s="83"/>
      <c r="DC179" s="405"/>
      <c r="DI179" s="83"/>
      <c r="DQ179" s="405"/>
      <c r="DW179" s="83"/>
      <c r="EE179" s="405"/>
      <c r="EK179" s="83"/>
      <c r="ES179" s="405"/>
      <c r="EY179" s="83"/>
      <c r="FG179" s="405"/>
      <c r="FM179" s="83"/>
      <c r="FU179" s="405"/>
      <c r="GA179" s="83"/>
      <c r="GI179" s="405"/>
      <c r="GO179" s="83"/>
      <c r="GW179" s="405"/>
      <c r="HC179" s="83"/>
      <c r="HK179" s="405"/>
      <c r="HQ179" s="83"/>
      <c r="HY179" s="405"/>
      <c r="IE179" s="83"/>
      <c r="IM179" s="405"/>
      <c r="IS179" s="83"/>
      <c r="JA179" s="405"/>
      <c r="JG179" s="83"/>
      <c r="JO179" s="405"/>
      <c r="JU179" s="83"/>
      <c r="KC179" s="405"/>
      <c r="KI179" s="83"/>
      <c r="KQ179" s="405"/>
      <c r="KW179" s="83"/>
      <c r="LE179" s="405"/>
      <c r="LK179" s="83"/>
      <c r="LS179" s="405"/>
      <c r="LY179" s="83"/>
      <c r="MG179" s="405"/>
      <c r="MM179" s="83"/>
      <c r="MU179" s="405"/>
      <c r="NA179" s="83"/>
    </row>
    <row r="180">
      <c r="A180" s="380"/>
      <c r="B180" s="380"/>
      <c r="C180" s="380"/>
      <c r="D180" s="380"/>
      <c r="E180" s="380"/>
      <c r="F180" s="380"/>
      <c r="G180" s="380"/>
      <c r="H180" s="380"/>
      <c r="I180" s="403"/>
      <c r="J180" s="380"/>
      <c r="K180" s="380"/>
      <c r="L180" s="380"/>
      <c r="M180" s="380"/>
      <c r="N180" s="380"/>
      <c r="O180" s="404"/>
      <c r="P180" s="380"/>
      <c r="Q180" s="380"/>
      <c r="R180" s="380"/>
      <c r="S180" s="380"/>
      <c r="T180" s="380"/>
      <c r="U180" s="380"/>
      <c r="V180" s="380"/>
      <c r="W180" s="403"/>
      <c r="X180" s="380"/>
      <c r="Y180" s="380"/>
      <c r="Z180" s="380"/>
      <c r="AA180" s="380"/>
      <c r="AB180" s="380"/>
      <c r="AC180" s="404"/>
      <c r="AD180" s="380"/>
      <c r="AE180" s="380"/>
      <c r="AF180" s="380"/>
      <c r="AG180" s="380"/>
      <c r="AH180" s="380"/>
      <c r="AI180" s="380"/>
      <c r="AJ180" s="380"/>
      <c r="AK180" s="403"/>
      <c r="AL180" s="380"/>
      <c r="AM180" s="380"/>
      <c r="AN180" s="380"/>
      <c r="AO180" s="380"/>
      <c r="AP180" s="380"/>
      <c r="AQ180" s="404"/>
      <c r="AR180" s="380"/>
      <c r="AS180" s="380"/>
      <c r="AT180" s="380"/>
      <c r="AU180" s="380"/>
      <c r="AV180" s="380"/>
      <c r="AW180" s="380"/>
      <c r="AX180" s="380"/>
      <c r="AY180" s="403"/>
      <c r="AZ180" s="380"/>
      <c r="BA180" s="380"/>
      <c r="BB180" s="380"/>
      <c r="BC180" s="380"/>
      <c r="BD180" s="380"/>
      <c r="BE180" s="404"/>
      <c r="BF180" s="380"/>
      <c r="BG180" s="380"/>
      <c r="BH180" s="380"/>
      <c r="BI180" s="380"/>
      <c r="BJ180" s="380"/>
      <c r="BK180" s="380"/>
      <c r="BL180" s="380"/>
      <c r="BM180" s="403"/>
      <c r="BS180" s="83"/>
      <c r="CA180" s="405"/>
      <c r="CG180" s="83"/>
      <c r="CO180" s="405"/>
      <c r="CU180" s="83"/>
      <c r="DC180" s="405"/>
      <c r="DI180" s="83"/>
      <c r="DQ180" s="405"/>
      <c r="DW180" s="83"/>
      <c r="EE180" s="405"/>
      <c r="EK180" s="83"/>
      <c r="ES180" s="405"/>
      <c r="EY180" s="83"/>
      <c r="FG180" s="405"/>
      <c r="FM180" s="83"/>
      <c r="FU180" s="405"/>
      <c r="GA180" s="83"/>
      <c r="GI180" s="405"/>
      <c r="GO180" s="83"/>
      <c r="GW180" s="405"/>
      <c r="HC180" s="83"/>
      <c r="HK180" s="405"/>
      <c r="HQ180" s="83"/>
      <c r="HY180" s="405"/>
      <c r="IE180" s="83"/>
      <c r="IM180" s="405"/>
      <c r="IS180" s="83"/>
      <c r="JA180" s="405"/>
      <c r="JG180" s="83"/>
      <c r="JO180" s="405"/>
      <c r="JU180" s="83"/>
      <c r="KC180" s="405"/>
      <c r="KI180" s="83"/>
      <c r="KQ180" s="405"/>
      <c r="KW180" s="83"/>
      <c r="LE180" s="405"/>
      <c r="LK180" s="83"/>
      <c r="LS180" s="405"/>
      <c r="LY180" s="83"/>
      <c r="MG180" s="405"/>
      <c r="MM180" s="83"/>
      <c r="MU180" s="405"/>
      <c r="NA180" s="83"/>
    </row>
    <row r="181">
      <c r="A181" s="380"/>
      <c r="B181" s="380"/>
      <c r="C181" s="380"/>
      <c r="D181" s="380"/>
      <c r="E181" s="380"/>
      <c r="F181" s="380"/>
      <c r="G181" s="380"/>
      <c r="H181" s="380"/>
      <c r="I181" s="403"/>
      <c r="J181" s="380"/>
      <c r="K181" s="380"/>
      <c r="L181" s="380"/>
      <c r="M181" s="380"/>
      <c r="N181" s="380"/>
      <c r="O181" s="404"/>
      <c r="P181" s="380"/>
      <c r="Q181" s="380"/>
      <c r="R181" s="380"/>
      <c r="S181" s="380"/>
      <c r="T181" s="380"/>
      <c r="U181" s="380"/>
      <c r="V181" s="380"/>
      <c r="W181" s="403"/>
      <c r="X181" s="380"/>
      <c r="Y181" s="380"/>
      <c r="Z181" s="380"/>
      <c r="AA181" s="380"/>
      <c r="AB181" s="380"/>
      <c r="AC181" s="404"/>
      <c r="AD181" s="380"/>
      <c r="AE181" s="380"/>
      <c r="AF181" s="380"/>
      <c r="AG181" s="380"/>
      <c r="AH181" s="380"/>
      <c r="AI181" s="380"/>
      <c r="AJ181" s="380"/>
      <c r="AK181" s="403"/>
      <c r="AL181" s="380"/>
      <c r="AM181" s="380"/>
      <c r="AN181" s="380"/>
      <c r="AO181" s="380"/>
      <c r="AP181" s="380"/>
      <c r="AQ181" s="404"/>
      <c r="AR181" s="380"/>
      <c r="AS181" s="380"/>
      <c r="AT181" s="380"/>
      <c r="AU181" s="380"/>
      <c r="AV181" s="380"/>
      <c r="AW181" s="380"/>
      <c r="AX181" s="380"/>
      <c r="AY181" s="403"/>
      <c r="AZ181" s="380"/>
      <c r="BA181" s="380"/>
      <c r="BB181" s="380"/>
      <c r="BC181" s="380"/>
      <c r="BD181" s="380"/>
      <c r="BE181" s="404"/>
      <c r="BF181" s="380"/>
      <c r="BG181" s="380"/>
      <c r="BH181" s="380"/>
      <c r="BI181" s="380"/>
      <c r="BJ181" s="380"/>
      <c r="BK181" s="380"/>
      <c r="BL181" s="380"/>
      <c r="BM181" s="403"/>
      <c r="BS181" s="83"/>
      <c r="CA181" s="405"/>
      <c r="CG181" s="83"/>
      <c r="CO181" s="405"/>
      <c r="CU181" s="83"/>
      <c r="DC181" s="405"/>
      <c r="DI181" s="83"/>
      <c r="DQ181" s="405"/>
      <c r="DW181" s="83"/>
      <c r="EE181" s="405"/>
      <c r="EK181" s="83"/>
      <c r="ES181" s="405"/>
      <c r="EY181" s="83"/>
      <c r="FG181" s="405"/>
      <c r="FM181" s="83"/>
      <c r="FU181" s="405"/>
      <c r="GA181" s="83"/>
      <c r="GI181" s="405"/>
      <c r="GO181" s="83"/>
      <c r="GW181" s="405"/>
      <c r="HC181" s="83"/>
      <c r="HK181" s="405"/>
      <c r="HQ181" s="83"/>
      <c r="HY181" s="405"/>
      <c r="IE181" s="83"/>
      <c r="IM181" s="405"/>
      <c r="IS181" s="83"/>
      <c r="JA181" s="405"/>
      <c r="JG181" s="83"/>
      <c r="JO181" s="405"/>
      <c r="JU181" s="83"/>
      <c r="KC181" s="405"/>
      <c r="KI181" s="83"/>
      <c r="KQ181" s="405"/>
      <c r="KW181" s="83"/>
      <c r="LE181" s="405"/>
      <c r="LK181" s="83"/>
      <c r="LS181" s="405"/>
      <c r="LY181" s="83"/>
      <c r="MG181" s="405"/>
      <c r="MM181" s="83"/>
      <c r="MU181" s="405"/>
      <c r="NA181" s="83"/>
    </row>
    <row r="182">
      <c r="A182" s="380"/>
      <c r="B182" s="380"/>
      <c r="C182" s="380"/>
      <c r="D182" s="380"/>
      <c r="E182" s="380"/>
      <c r="F182" s="380"/>
      <c r="G182" s="380"/>
      <c r="H182" s="380"/>
      <c r="I182" s="403"/>
      <c r="J182" s="380"/>
      <c r="K182" s="380"/>
      <c r="L182" s="380"/>
      <c r="M182" s="380"/>
      <c r="N182" s="380"/>
      <c r="O182" s="404"/>
      <c r="P182" s="380"/>
      <c r="Q182" s="380"/>
      <c r="R182" s="380"/>
      <c r="S182" s="380"/>
      <c r="T182" s="380"/>
      <c r="U182" s="380"/>
      <c r="V182" s="380"/>
      <c r="W182" s="403"/>
      <c r="X182" s="380"/>
      <c r="Y182" s="380"/>
      <c r="Z182" s="380"/>
      <c r="AA182" s="380"/>
      <c r="AB182" s="380"/>
      <c r="AC182" s="404"/>
      <c r="AD182" s="380"/>
      <c r="AE182" s="380"/>
      <c r="AF182" s="380"/>
      <c r="AG182" s="380"/>
      <c r="AH182" s="380"/>
      <c r="AI182" s="380"/>
      <c r="AJ182" s="380"/>
      <c r="AK182" s="403"/>
      <c r="AL182" s="380"/>
      <c r="AM182" s="380"/>
      <c r="AN182" s="380"/>
      <c r="AO182" s="380"/>
      <c r="AP182" s="380"/>
      <c r="AQ182" s="404"/>
      <c r="AR182" s="380"/>
      <c r="AS182" s="380"/>
      <c r="AT182" s="380"/>
      <c r="AU182" s="380"/>
      <c r="AV182" s="380"/>
      <c r="AW182" s="380"/>
      <c r="AX182" s="380"/>
      <c r="AY182" s="403"/>
      <c r="AZ182" s="380"/>
      <c r="BA182" s="380"/>
      <c r="BB182" s="380"/>
      <c r="BC182" s="380"/>
      <c r="BD182" s="380"/>
      <c r="BE182" s="404"/>
      <c r="BF182" s="380"/>
      <c r="BG182" s="380"/>
      <c r="BH182" s="380"/>
      <c r="BI182" s="380"/>
      <c r="BJ182" s="380"/>
      <c r="BK182" s="380"/>
      <c r="BL182" s="380"/>
      <c r="BM182" s="403"/>
      <c r="BS182" s="83"/>
      <c r="CA182" s="405"/>
      <c r="CG182" s="83"/>
      <c r="CO182" s="405"/>
      <c r="CU182" s="83"/>
      <c r="DC182" s="405"/>
      <c r="DI182" s="83"/>
      <c r="DQ182" s="405"/>
      <c r="DW182" s="83"/>
      <c r="EE182" s="405"/>
      <c r="EK182" s="83"/>
      <c r="ES182" s="405"/>
      <c r="EY182" s="83"/>
      <c r="FG182" s="405"/>
      <c r="FM182" s="83"/>
      <c r="FU182" s="405"/>
      <c r="GA182" s="83"/>
      <c r="GI182" s="405"/>
      <c r="GO182" s="83"/>
      <c r="GW182" s="405"/>
      <c r="HC182" s="83"/>
      <c r="HK182" s="405"/>
      <c r="HQ182" s="83"/>
      <c r="HY182" s="405"/>
      <c r="IE182" s="83"/>
      <c r="IM182" s="405"/>
      <c r="IS182" s="83"/>
      <c r="JA182" s="405"/>
      <c r="JG182" s="83"/>
      <c r="JO182" s="405"/>
      <c r="JU182" s="83"/>
      <c r="KC182" s="405"/>
      <c r="KI182" s="83"/>
      <c r="KQ182" s="405"/>
      <c r="KW182" s="83"/>
      <c r="LE182" s="405"/>
      <c r="LK182" s="83"/>
      <c r="LS182" s="405"/>
      <c r="LY182" s="83"/>
      <c r="MG182" s="405"/>
      <c r="MM182" s="83"/>
      <c r="MU182" s="405"/>
      <c r="NA182" s="83"/>
    </row>
    <row r="183">
      <c r="A183" s="380"/>
      <c r="B183" s="380"/>
      <c r="C183" s="380"/>
      <c r="D183" s="380"/>
      <c r="E183" s="380"/>
      <c r="F183" s="380"/>
      <c r="G183" s="380"/>
      <c r="H183" s="380"/>
      <c r="I183" s="403"/>
      <c r="J183" s="380"/>
      <c r="K183" s="380"/>
      <c r="L183" s="380"/>
      <c r="M183" s="380"/>
      <c r="N183" s="380"/>
      <c r="O183" s="404"/>
      <c r="P183" s="380"/>
      <c r="Q183" s="380"/>
      <c r="R183" s="380"/>
      <c r="S183" s="380"/>
      <c r="T183" s="380"/>
      <c r="U183" s="380"/>
      <c r="V183" s="380"/>
      <c r="W183" s="403"/>
      <c r="X183" s="380"/>
      <c r="Y183" s="380"/>
      <c r="Z183" s="380"/>
      <c r="AA183" s="380"/>
      <c r="AB183" s="380"/>
      <c r="AC183" s="404"/>
      <c r="AD183" s="380"/>
      <c r="AE183" s="380"/>
      <c r="AF183" s="380"/>
      <c r="AG183" s="380"/>
      <c r="AH183" s="380"/>
      <c r="AI183" s="380"/>
      <c r="AJ183" s="380"/>
      <c r="AK183" s="403"/>
      <c r="AL183" s="380"/>
      <c r="AM183" s="380"/>
      <c r="AN183" s="380"/>
      <c r="AO183" s="380"/>
      <c r="AP183" s="380"/>
      <c r="AQ183" s="404"/>
      <c r="AR183" s="380"/>
      <c r="AS183" s="380"/>
      <c r="AT183" s="380"/>
      <c r="AU183" s="380"/>
      <c r="AV183" s="380"/>
      <c r="AW183" s="380"/>
      <c r="AX183" s="380"/>
      <c r="AY183" s="403"/>
      <c r="AZ183" s="380"/>
      <c r="BA183" s="380"/>
      <c r="BB183" s="380"/>
      <c r="BC183" s="380"/>
      <c r="BD183" s="380"/>
      <c r="BE183" s="404"/>
      <c r="BF183" s="380"/>
      <c r="BG183" s="380"/>
      <c r="BH183" s="380"/>
      <c r="BI183" s="380"/>
      <c r="BJ183" s="380"/>
      <c r="BK183" s="380"/>
      <c r="BL183" s="380"/>
      <c r="BM183" s="403"/>
      <c r="BS183" s="83"/>
      <c r="CA183" s="405"/>
      <c r="CG183" s="83"/>
      <c r="CO183" s="405"/>
      <c r="CU183" s="83"/>
      <c r="DC183" s="405"/>
      <c r="DI183" s="83"/>
      <c r="DQ183" s="405"/>
      <c r="DW183" s="83"/>
      <c r="EE183" s="405"/>
      <c r="EK183" s="83"/>
      <c r="ES183" s="405"/>
      <c r="EY183" s="83"/>
      <c r="FG183" s="405"/>
      <c r="FM183" s="83"/>
      <c r="FU183" s="405"/>
      <c r="GA183" s="83"/>
      <c r="GI183" s="405"/>
      <c r="GO183" s="83"/>
      <c r="GW183" s="405"/>
      <c r="HC183" s="83"/>
      <c r="HK183" s="405"/>
      <c r="HQ183" s="83"/>
      <c r="HY183" s="405"/>
      <c r="IE183" s="83"/>
      <c r="IM183" s="405"/>
      <c r="IS183" s="83"/>
      <c r="JA183" s="405"/>
      <c r="JG183" s="83"/>
      <c r="JO183" s="405"/>
      <c r="JU183" s="83"/>
      <c r="KC183" s="405"/>
      <c r="KI183" s="83"/>
      <c r="KQ183" s="405"/>
      <c r="KW183" s="83"/>
      <c r="LE183" s="405"/>
      <c r="LK183" s="83"/>
      <c r="LS183" s="405"/>
      <c r="LY183" s="83"/>
      <c r="MG183" s="405"/>
      <c r="MM183" s="83"/>
      <c r="MU183" s="405"/>
      <c r="NA183" s="83"/>
    </row>
    <row r="184">
      <c r="A184" s="380"/>
      <c r="B184" s="380"/>
      <c r="C184" s="380"/>
      <c r="D184" s="380"/>
      <c r="E184" s="380"/>
      <c r="F184" s="380"/>
      <c r="G184" s="380"/>
      <c r="H184" s="380"/>
      <c r="I184" s="403"/>
      <c r="J184" s="380"/>
      <c r="K184" s="380"/>
      <c r="L184" s="380"/>
      <c r="M184" s="380"/>
      <c r="N184" s="380"/>
      <c r="O184" s="404"/>
      <c r="P184" s="380"/>
      <c r="Q184" s="380"/>
      <c r="R184" s="380"/>
      <c r="S184" s="380"/>
      <c r="T184" s="380"/>
      <c r="U184" s="380"/>
      <c r="V184" s="380"/>
      <c r="W184" s="403"/>
      <c r="X184" s="380"/>
      <c r="Y184" s="380"/>
      <c r="Z184" s="380"/>
      <c r="AA184" s="380"/>
      <c r="AB184" s="380"/>
      <c r="AC184" s="404"/>
      <c r="AD184" s="380"/>
      <c r="AE184" s="380"/>
      <c r="AF184" s="380"/>
      <c r="AG184" s="380"/>
      <c r="AH184" s="380"/>
      <c r="AI184" s="380"/>
      <c r="AJ184" s="380"/>
      <c r="AK184" s="403"/>
      <c r="AL184" s="380"/>
      <c r="AM184" s="380"/>
      <c r="AN184" s="380"/>
      <c r="AO184" s="380"/>
      <c r="AP184" s="380"/>
      <c r="AQ184" s="404"/>
      <c r="AR184" s="380"/>
      <c r="AS184" s="380"/>
      <c r="AT184" s="380"/>
      <c r="AU184" s="380"/>
      <c r="AV184" s="380"/>
      <c r="AW184" s="380"/>
      <c r="AX184" s="380"/>
      <c r="AY184" s="403"/>
      <c r="AZ184" s="380"/>
      <c r="BA184" s="380"/>
      <c r="BB184" s="380"/>
      <c r="BC184" s="380"/>
      <c r="BD184" s="380"/>
      <c r="BE184" s="404"/>
      <c r="BF184" s="380"/>
      <c r="BG184" s="380"/>
      <c r="BH184" s="380"/>
      <c r="BI184" s="380"/>
      <c r="BJ184" s="380"/>
      <c r="BK184" s="380"/>
      <c r="BL184" s="380"/>
      <c r="BM184" s="403"/>
      <c r="BS184" s="83"/>
      <c r="CA184" s="405"/>
      <c r="CG184" s="83"/>
      <c r="CO184" s="405"/>
      <c r="CU184" s="83"/>
      <c r="DC184" s="405"/>
      <c r="DI184" s="83"/>
      <c r="DQ184" s="405"/>
      <c r="DW184" s="83"/>
      <c r="EE184" s="405"/>
      <c r="EK184" s="83"/>
      <c r="ES184" s="405"/>
      <c r="EY184" s="83"/>
      <c r="FG184" s="405"/>
      <c r="FM184" s="83"/>
      <c r="FU184" s="405"/>
      <c r="GA184" s="83"/>
      <c r="GI184" s="405"/>
      <c r="GO184" s="83"/>
      <c r="GW184" s="405"/>
      <c r="HC184" s="83"/>
      <c r="HK184" s="405"/>
      <c r="HQ184" s="83"/>
      <c r="HY184" s="405"/>
      <c r="IE184" s="83"/>
      <c r="IM184" s="405"/>
      <c r="IS184" s="83"/>
      <c r="JA184" s="405"/>
      <c r="JG184" s="83"/>
      <c r="JO184" s="405"/>
      <c r="JU184" s="83"/>
      <c r="KC184" s="405"/>
      <c r="KI184" s="83"/>
      <c r="KQ184" s="405"/>
      <c r="KW184" s="83"/>
      <c r="LE184" s="405"/>
      <c r="LK184" s="83"/>
      <c r="LS184" s="405"/>
      <c r="LY184" s="83"/>
      <c r="MG184" s="405"/>
      <c r="MM184" s="83"/>
      <c r="MU184" s="405"/>
      <c r="NA184" s="83"/>
    </row>
    <row r="185">
      <c r="A185" s="380"/>
      <c r="B185" s="380"/>
      <c r="C185" s="380"/>
      <c r="D185" s="380"/>
      <c r="E185" s="380"/>
      <c r="F185" s="380"/>
      <c r="G185" s="380"/>
      <c r="H185" s="380"/>
      <c r="I185" s="403"/>
      <c r="J185" s="380"/>
      <c r="K185" s="380"/>
      <c r="L185" s="380"/>
      <c r="M185" s="380"/>
      <c r="N185" s="380"/>
      <c r="O185" s="404"/>
      <c r="P185" s="380"/>
      <c r="Q185" s="380"/>
      <c r="R185" s="380"/>
      <c r="S185" s="380"/>
      <c r="T185" s="380"/>
      <c r="U185" s="380"/>
      <c r="V185" s="380"/>
      <c r="W185" s="403"/>
      <c r="X185" s="380"/>
      <c r="Y185" s="380"/>
      <c r="Z185" s="380"/>
      <c r="AA185" s="380"/>
      <c r="AB185" s="380"/>
      <c r="AC185" s="404"/>
      <c r="AD185" s="380"/>
      <c r="AE185" s="380"/>
      <c r="AF185" s="380"/>
      <c r="AG185" s="380"/>
      <c r="AH185" s="380"/>
      <c r="AI185" s="380"/>
      <c r="AJ185" s="380"/>
      <c r="AK185" s="403"/>
      <c r="AL185" s="380"/>
      <c r="AM185" s="380"/>
      <c r="AN185" s="380"/>
      <c r="AO185" s="380"/>
      <c r="AP185" s="380"/>
      <c r="AQ185" s="404"/>
      <c r="AR185" s="380"/>
      <c r="AS185" s="380"/>
      <c r="AT185" s="380"/>
      <c r="AU185" s="380"/>
      <c r="AV185" s="380"/>
      <c r="AW185" s="380"/>
      <c r="AX185" s="380"/>
      <c r="AY185" s="403"/>
      <c r="AZ185" s="380"/>
      <c r="BA185" s="380"/>
      <c r="BB185" s="380"/>
      <c r="BC185" s="380"/>
      <c r="BD185" s="380"/>
      <c r="BE185" s="404"/>
      <c r="BF185" s="380"/>
      <c r="BG185" s="380"/>
      <c r="BH185" s="380"/>
      <c r="BI185" s="380"/>
      <c r="BJ185" s="380"/>
      <c r="BK185" s="380"/>
      <c r="BL185" s="380"/>
      <c r="BM185" s="403"/>
      <c r="BS185" s="83"/>
      <c r="CA185" s="405"/>
      <c r="CG185" s="83"/>
      <c r="CO185" s="405"/>
      <c r="CU185" s="83"/>
      <c r="DC185" s="405"/>
      <c r="DI185" s="83"/>
      <c r="DQ185" s="405"/>
      <c r="DW185" s="83"/>
      <c r="EE185" s="405"/>
      <c r="EK185" s="83"/>
      <c r="ES185" s="405"/>
      <c r="EY185" s="83"/>
      <c r="FG185" s="405"/>
      <c r="FM185" s="83"/>
      <c r="FU185" s="405"/>
      <c r="GA185" s="83"/>
      <c r="GI185" s="405"/>
      <c r="GO185" s="83"/>
      <c r="GW185" s="405"/>
      <c r="HC185" s="83"/>
      <c r="HK185" s="405"/>
      <c r="HQ185" s="83"/>
      <c r="HY185" s="405"/>
      <c r="IE185" s="83"/>
      <c r="IM185" s="405"/>
      <c r="IS185" s="83"/>
      <c r="JA185" s="405"/>
      <c r="JG185" s="83"/>
      <c r="JO185" s="405"/>
      <c r="JU185" s="83"/>
      <c r="KC185" s="405"/>
      <c r="KI185" s="83"/>
      <c r="KQ185" s="405"/>
      <c r="KW185" s="83"/>
      <c r="LE185" s="405"/>
      <c r="LK185" s="83"/>
      <c r="LS185" s="405"/>
      <c r="LY185" s="83"/>
      <c r="MG185" s="405"/>
      <c r="MM185" s="83"/>
      <c r="MU185" s="405"/>
      <c r="NA185" s="83"/>
    </row>
    <row r="186">
      <c r="A186" s="380"/>
      <c r="B186" s="380"/>
      <c r="C186" s="380"/>
      <c r="D186" s="380"/>
      <c r="E186" s="380"/>
      <c r="F186" s="380"/>
      <c r="G186" s="380"/>
      <c r="H186" s="380"/>
      <c r="I186" s="403"/>
      <c r="J186" s="380"/>
      <c r="K186" s="380"/>
      <c r="L186" s="380"/>
      <c r="M186" s="380"/>
      <c r="N186" s="380"/>
      <c r="O186" s="404"/>
      <c r="P186" s="380"/>
      <c r="Q186" s="380"/>
      <c r="R186" s="380"/>
      <c r="S186" s="380"/>
      <c r="T186" s="380"/>
      <c r="U186" s="380"/>
      <c r="V186" s="380"/>
      <c r="W186" s="403"/>
      <c r="X186" s="380"/>
      <c r="Y186" s="380"/>
      <c r="Z186" s="380"/>
      <c r="AA186" s="380"/>
      <c r="AB186" s="380"/>
      <c r="AC186" s="404"/>
      <c r="AD186" s="380"/>
      <c r="AE186" s="380"/>
      <c r="AF186" s="380"/>
      <c r="AG186" s="380"/>
      <c r="AH186" s="380"/>
      <c r="AI186" s="380"/>
      <c r="AJ186" s="380"/>
      <c r="AK186" s="403"/>
      <c r="AL186" s="380"/>
      <c r="AM186" s="380"/>
      <c r="AN186" s="380"/>
      <c r="AO186" s="380"/>
      <c r="AP186" s="380"/>
      <c r="AQ186" s="404"/>
      <c r="AR186" s="380"/>
      <c r="AS186" s="380"/>
      <c r="AT186" s="380"/>
      <c r="AU186" s="380"/>
      <c r="AV186" s="380"/>
      <c r="AW186" s="380"/>
      <c r="AX186" s="380"/>
      <c r="AY186" s="403"/>
      <c r="AZ186" s="380"/>
      <c r="BA186" s="380"/>
      <c r="BB186" s="380"/>
      <c r="BC186" s="380"/>
      <c r="BD186" s="380"/>
      <c r="BE186" s="404"/>
      <c r="BF186" s="380"/>
      <c r="BG186" s="380"/>
      <c r="BH186" s="380"/>
      <c r="BI186" s="380"/>
      <c r="BJ186" s="380"/>
      <c r="BK186" s="380"/>
      <c r="BL186" s="380"/>
      <c r="BM186" s="403"/>
      <c r="BS186" s="83"/>
      <c r="CA186" s="405"/>
      <c r="CG186" s="83"/>
      <c r="CO186" s="405"/>
      <c r="CU186" s="83"/>
      <c r="DC186" s="405"/>
      <c r="DI186" s="83"/>
      <c r="DQ186" s="405"/>
      <c r="DW186" s="83"/>
      <c r="EE186" s="405"/>
      <c r="EK186" s="83"/>
      <c r="ES186" s="405"/>
      <c r="EY186" s="83"/>
      <c r="FG186" s="405"/>
      <c r="FM186" s="83"/>
      <c r="FU186" s="405"/>
      <c r="GA186" s="83"/>
      <c r="GI186" s="405"/>
      <c r="GO186" s="83"/>
      <c r="GW186" s="405"/>
      <c r="HC186" s="83"/>
      <c r="HK186" s="405"/>
      <c r="HQ186" s="83"/>
      <c r="HY186" s="405"/>
      <c r="IE186" s="83"/>
      <c r="IM186" s="405"/>
      <c r="IS186" s="83"/>
      <c r="JA186" s="405"/>
      <c r="JG186" s="83"/>
      <c r="JO186" s="405"/>
      <c r="JU186" s="83"/>
      <c r="KC186" s="405"/>
      <c r="KI186" s="83"/>
      <c r="KQ186" s="405"/>
      <c r="KW186" s="83"/>
      <c r="LE186" s="405"/>
      <c r="LK186" s="83"/>
      <c r="LS186" s="405"/>
      <c r="LY186" s="83"/>
      <c r="MG186" s="405"/>
      <c r="MM186" s="83"/>
      <c r="MU186" s="405"/>
      <c r="NA186" s="83"/>
    </row>
    <row r="187">
      <c r="A187" s="380"/>
      <c r="B187" s="380"/>
      <c r="C187" s="380"/>
      <c r="D187" s="380"/>
      <c r="E187" s="380"/>
      <c r="F187" s="380"/>
      <c r="G187" s="380"/>
      <c r="H187" s="380"/>
      <c r="I187" s="403"/>
      <c r="J187" s="380"/>
      <c r="K187" s="380"/>
      <c r="L187" s="380"/>
      <c r="M187" s="380"/>
      <c r="N187" s="380"/>
      <c r="O187" s="404"/>
      <c r="P187" s="380"/>
      <c r="Q187" s="380"/>
      <c r="R187" s="380"/>
      <c r="S187" s="380"/>
      <c r="T187" s="380"/>
      <c r="U187" s="380"/>
      <c r="V187" s="380"/>
      <c r="W187" s="403"/>
      <c r="X187" s="380"/>
      <c r="Y187" s="380"/>
      <c r="Z187" s="380"/>
      <c r="AA187" s="380"/>
      <c r="AB187" s="380"/>
      <c r="AC187" s="404"/>
      <c r="AD187" s="380"/>
      <c r="AE187" s="380"/>
      <c r="AF187" s="380"/>
      <c r="AG187" s="380"/>
      <c r="AH187" s="380"/>
      <c r="AI187" s="380"/>
      <c r="AJ187" s="380"/>
      <c r="AK187" s="403"/>
      <c r="AL187" s="380"/>
      <c r="AM187" s="380"/>
      <c r="AN187" s="380"/>
      <c r="AO187" s="380"/>
      <c r="AP187" s="380"/>
      <c r="AQ187" s="404"/>
      <c r="AR187" s="380"/>
      <c r="AS187" s="380"/>
      <c r="AT187" s="380"/>
      <c r="AU187" s="380"/>
      <c r="AV187" s="380"/>
      <c r="AW187" s="380"/>
      <c r="AX187" s="380"/>
      <c r="AY187" s="403"/>
      <c r="AZ187" s="380"/>
      <c r="BA187" s="380"/>
      <c r="BB187" s="380"/>
      <c r="BC187" s="380"/>
      <c r="BD187" s="380"/>
      <c r="BE187" s="404"/>
      <c r="BF187" s="380"/>
      <c r="BG187" s="380"/>
      <c r="BH187" s="380"/>
      <c r="BI187" s="380"/>
      <c r="BJ187" s="380"/>
      <c r="BK187" s="380"/>
      <c r="BL187" s="380"/>
      <c r="BM187" s="403"/>
      <c r="BS187" s="83"/>
      <c r="CA187" s="405"/>
      <c r="CG187" s="83"/>
      <c r="CO187" s="405"/>
      <c r="CU187" s="83"/>
      <c r="DC187" s="405"/>
      <c r="DI187" s="83"/>
      <c r="DQ187" s="405"/>
      <c r="DW187" s="83"/>
      <c r="EE187" s="405"/>
      <c r="EK187" s="83"/>
      <c r="ES187" s="405"/>
      <c r="EY187" s="83"/>
      <c r="FG187" s="405"/>
      <c r="FM187" s="83"/>
      <c r="FU187" s="405"/>
      <c r="GA187" s="83"/>
      <c r="GI187" s="405"/>
      <c r="GO187" s="83"/>
      <c r="GW187" s="405"/>
      <c r="HC187" s="83"/>
      <c r="HK187" s="405"/>
      <c r="HQ187" s="83"/>
      <c r="HY187" s="405"/>
      <c r="IE187" s="83"/>
      <c r="IM187" s="405"/>
      <c r="IS187" s="83"/>
      <c r="JA187" s="405"/>
      <c r="JG187" s="83"/>
      <c r="JO187" s="405"/>
      <c r="JU187" s="83"/>
      <c r="KC187" s="405"/>
      <c r="KI187" s="83"/>
      <c r="KQ187" s="405"/>
      <c r="KW187" s="83"/>
      <c r="LE187" s="405"/>
      <c r="LK187" s="83"/>
      <c r="LS187" s="405"/>
      <c r="LY187" s="83"/>
      <c r="MG187" s="405"/>
      <c r="MM187" s="83"/>
      <c r="MU187" s="405"/>
      <c r="NA187" s="83"/>
    </row>
    <row r="188">
      <c r="A188" s="380"/>
      <c r="B188" s="380"/>
      <c r="C188" s="380"/>
      <c r="D188" s="380"/>
      <c r="E188" s="380"/>
      <c r="F188" s="380"/>
      <c r="G188" s="380"/>
      <c r="H188" s="380"/>
      <c r="I188" s="403"/>
      <c r="J188" s="380"/>
      <c r="K188" s="380"/>
      <c r="L188" s="380"/>
      <c r="M188" s="380"/>
      <c r="N188" s="380"/>
      <c r="O188" s="404"/>
      <c r="P188" s="380"/>
      <c r="Q188" s="380"/>
      <c r="R188" s="380"/>
      <c r="S188" s="380"/>
      <c r="T188" s="380"/>
      <c r="U188" s="380"/>
      <c r="V188" s="380"/>
      <c r="W188" s="403"/>
      <c r="X188" s="380"/>
      <c r="Y188" s="380"/>
      <c r="Z188" s="380"/>
      <c r="AA188" s="380"/>
      <c r="AB188" s="380"/>
      <c r="AC188" s="404"/>
      <c r="AD188" s="380"/>
      <c r="AE188" s="380"/>
      <c r="AF188" s="380"/>
      <c r="AG188" s="380"/>
      <c r="AH188" s="380"/>
      <c r="AI188" s="380"/>
      <c r="AJ188" s="380"/>
      <c r="AK188" s="403"/>
      <c r="AL188" s="380"/>
      <c r="AM188" s="380"/>
      <c r="AN188" s="380"/>
      <c r="AO188" s="380"/>
      <c r="AP188" s="380"/>
      <c r="AQ188" s="404"/>
      <c r="AR188" s="380"/>
      <c r="AS188" s="380"/>
      <c r="AT188" s="380"/>
      <c r="AU188" s="380"/>
      <c r="AV188" s="380"/>
      <c r="AW188" s="380"/>
      <c r="AX188" s="380"/>
      <c r="AY188" s="403"/>
      <c r="AZ188" s="380"/>
      <c r="BA188" s="380"/>
      <c r="BB188" s="380"/>
      <c r="BC188" s="380"/>
      <c r="BD188" s="380"/>
      <c r="BE188" s="404"/>
      <c r="BF188" s="380"/>
      <c r="BG188" s="380"/>
      <c r="BH188" s="380"/>
      <c r="BI188" s="380"/>
      <c r="BJ188" s="380"/>
      <c r="BK188" s="380"/>
      <c r="BL188" s="380"/>
      <c r="BM188" s="403"/>
      <c r="BS188" s="83"/>
      <c r="CA188" s="405"/>
      <c r="CG188" s="83"/>
      <c r="CO188" s="405"/>
      <c r="CU188" s="83"/>
      <c r="DC188" s="405"/>
      <c r="DI188" s="83"/>
      <c r="DQ188" s="405"/>
      <c r="DW188" s="83"/>
      <c r="EE188" s="405"/>
      <c r="EK188" s="83"/>
      <c r="ES188" s="405"/>
      <c r="EY188" s="83"/>
      <c r="FG188" s="405"/>
      <c r="FM188" s="83"/>
      <c r="FU188" s="405"/>
      <c r="GA188" s="83"/>
      <c r="GI188" s="405"/>
      <c r="GO188" s="83"/>
      <c r="GW188" s="405"/>
      <c r="HC188" s="83"/>
      <c r="HK188" s="405"/>
      <c r="HQ188" s="83"/>
      <c r="HY188" s="405"/>
      <c r="IE188" s="83"/>
      <c r="IM188" s="405"/>
      <c r="IS188" s="83"/>
      <c r="JA188" s="405"/>
      <c r="JG188" s="83"/>
      <c r="JO188" s="405"/>
      <c r="JU188" s="83"/>
      <c r="KC188" s="405"/>
      <c r="KI188" s="83"/>
      <c r="KQ188" s="405"/>
      <c r="KW188" s="83"/>
      <c r="LE188" s="405"/>
      <c r="LK188" s="83"/>
      <c r="LS188" s="405"/>
      <c r="LY188" s="83"/>
      <c r="MG188" s="405"/>
      <c r="MM188" s="83"/>
      <c r="MU188" s="405"/>
      <c r="NA188" s="83"/>
    </row>
    <row r="189">
      <c r="A189" s="380"/>
      <c r="B189" s="380"/>
      <c r="C189" s="380"/>
      <c r="D189" s="380"/>
      <c r="E189" s="380"/>
      <c r="F189" s="380"/>
      <c r="G189" s="380"/>
      <c r="H189" s="380"/>
      <c r="I189" s="403"/>
      <c r="J189" s="380"/>
      <c r="K189" s="380"/>
      <c r="L189" s="380"/>
      <c r="M189" s="380"/>
      <c r="N189" s="380"/>
      <c r="O189" s="404"/>
      <c r="P189" s="380"/>
      <c r="Q189" s="380"/>
      <c r="R189" s="380"/>
      <c r="S189" s="380"/>
      <c r="T189" s="380"/>
      <c r="U189" s="380"/>
      <c r="V189" s="380"/>
      <c r="W189" s="403"/>
      <c r="X189" s="380"/>
      <c r="Y189" s="380"/>
      <c r="Z189" s="380"/>
      <c r="AA189" s="380"/>
      <c r="AB189" s="380"/>
      <c r="AC189" s="404"/>
      <c r="AD189" s="380"/>
      <c r="AE189" s="380"/>
      <c r="AF189" s="380"/>
      <c r="AG189" s="380"/>
      <c r="AH189" s="380"/>
      <c r="AI189" s="380"/>
      <c r="AJ189" s="380"/>
      <c r="AK189" s="403"/>
      <c r="AL189" s="380"/>
      <c r="AM189" s="380"/>
      <c r="AN189" s="380"/>
      <c r="AO189" s="380"/>
      <c r="AP189" s="380"/>
      <c r="AQ189" s="404"/>
      <c r="AR189" s="380"/>
      <c r="AS189" s="380"/>
      <c r="AT189" s="380"/>
      <c r="AU189" s="380"/>
      <c r="AV189" s="380"/>
      <c r="AW189" s="380"/>
      <c r="AX189" s="380"/>
      <c r="AY189" s="403"/>
      <c r="AZ189" s="380"/>
      <c r="BA189" s="380"/>
      <c r="BB189" s="380"/>
      <c r="BC189" s="380"/>
      <c r="BD189" s="380"/>
      <c r="BE189" s="404"/>
      <c r="BF189" s="380"/>
      <c r="BG189" s="380"/>
      <c r="BH189" s="380"/>
      <c r="BI189" s="380"/>
      <c r="BJ189" s="380"/>
      <c r="BK189" s="380"/>
      <c r="BL189" s="380"/>
      <c r="BM189" s="403"/>
      <c r="BS189" s="83"/>
      <c r="CA189" s="405"/>
      <c r="CG189" s="83"/>
      <c r="CO189" s="405"/>
      <c r="CU189" s="83"/>
      <c r="DC189" s="405"/>
      <c r="DI189" s="83"/>
      <c r="DQ189" s="405"/>
      <c r="DW189" s="83"/>
      <c r="EE189" s="405"/>
      <c r="EK189" s="83"/>
      <c r="ES189" s="405"/>
      <c r="EY189" s="83"/>
      <c r="FG189" s="405"/>
      <c r="FM189" s="83"/>
      <c r="FU189" s="405"/>
      <c r="GA189" s="83"/>
      <c r="GI189" s="405"/>
      <c r="GO189" s="83"/>
      <c r="GW189" s="405"/>
      <c r="HC189" s="83"/>
      <c r="HK189" s="405"/>
      <c r="HQ189" s="83"/>
      <c r="HY189" s="405"/>
      <c r="IE189" s="83"/>
      <c r="IM189" s="405"/>
      <c r="IS189" s="83"/>
      <c r="JA189" s="405"/>
      <c r="JG189" s="83"/>
      <c r="JO189" s="405"/>
      <c r="JU189" s="83"/>
      <c r="KC189" s="405"/>
      <c r="KI189" s="83"/>
      <c r="KQ189" s="405"/>
      <c r="KW189" s="83"/>
      <c r="LE189" s="405"/>
      <c r="LK189" s="83"/>
      <c r="LS189" s="405"/>
      <c r="LY189" s="83"/>
      <c r="MG189" s="405"/>
      <c r="MM189" s="83"/>
      <c r="MU189" s="405"/>
      <c r="NA189" s="83"/>
    </row>
    <row r="190">
      <c r="A190" s="380"/>
      <c r="B190" s="380"/>
      <c r="C190" s="380"/>
      <c r="D190" s="380"/>
      <c r="E190" s="380"/>
      <c r="F190" s="380"/>
      <c r="G190" s="380"/>
      <c r="H190" s="380"/>
      <c r="I190" s="403"/>
      <c r="J190" s="380"/>
      <c r="K190" s="380"/>
      <c r="L190" s="380"/>
      <c r="M190" s="380"/>
      <c r="N190" s="380"/>
      <c r="O190" s="404"/>
      <c r="P190" s="380"/>
      <c r="Q190" s="380"/>
      <c r="R190" s="380"/>
      <c r="S190" s="380"/>
      <c r="T190" s="380"/>
      <c r="U190" s="380"/>
      <c r="V190" s="380"/>
      <c r="W190" s="403"/>
      <c r="X190" s="380"/>
      <c r="Y190" s="380"/>
      <c r="Z190" s="380"/>
      <c r="AA190" s="380"/>
      <c r="AB190" s="380"/>
      <c r="AC190" s="404"/>
      <c r="AD190" s="380"/>
      <c r="AE190" s="380"/>
      <c r="AF190" s="380"/>
      <c r="AG190" s="380"/>
      <c r="AH190" s="380"/>
      <c r="AI190" s="380"/>
      <c r="AJ190" s="380"/>
      <c r="AK190" s="403"/>
      <c r="AL190" s="380"/>
      <c r="AM190" s="380"/>
      <c r="AN190" s="380"/>
      <c r="AO190" s="380"/>
      <c r="AP190" s="380"/>
      <c r="AQ190" s="404"/>
      <c r="AR190" s="380"/>
      <c r="AS190" s="380"/>
      <c r="AT190" s="380"/>
      <c r="AU190" s="380"/>
      <c r="AV190" s="380"/>
      <c r="AW190" s="380"/>
      <c r="AX190" s="380"/>
      <c r="AY190" s="403"/>
      <c r="AZ190" s="380"/>
      <c r="BA190" s="380"/>
      <c r="BB190" s="380"/>
      <c r="BC190" s="380"/>
      <c r="BD190" s="380"/>
      <c r="BE190" s="404"/>
      <c r="BF190" s="380"/>
      <c r="BG190" s="380"/>
      <c r="BH190" s="380"/>
      <c r="BI190" s="380"/>
      <c r="BJ190" s="380"/>
      <c r="BK190" s="380"/>
      <c r="BL190" s="380"/>
      <c r="BM190" s="403"/>
      <c r="BS190" s="83"/>
      <c r="CA190" s="405"/>
      <c r="CG190" s="83"/>
      <c r="CO190" s="405"/>
      <c r="CU190" s="83"/>
      <c r="DC190" s="405"/>
      <c r="DI190" s="83"/>
      <c r="DQ190" s="405"/>
      <c r="DW190" s="83"/>
      <c r="EE190" s="405"/>
      <c r="EK190" s="83"/>
      <c r="ES190" s="405"/>
      <c r="EY190" s="83"/>
      <c r="FG190" s="405"/>
      <c r="FM190" s="83"/>
      <c r="FU190" s="405"/>
      <c r="GA190" s="83"/>
      <c r="GI190" s="405"/>
      <c r="GO190" s="83"/>
      <c r="GW190" s="405"/>
      <c r="HC190" s="83"/>
      <c r="HK190" s="405"/>
      <c r="HQ190" s="83"/>
      <c r="HY190" s="405"/>
      <c r="IE190" s="83"/>
      <c r="IM190" s="405"/>
      <c r="IS190" s="83"/>
      <c r="JA190" s="405"/>
      <c r="JG190" s="83"/>
      <c r="JO190" s="405"/>
      <c r="JU190" s="83"/>
      <c r="KC190" s="405"/>
      <c r="KI190" s="83"/>
      <c r="KQ190" s="405"/>
      <c r="KW190" s="83"/>
      <c r="LE190" s="405"/>
      <c r="LK190" s="83"/>
      <c r="LS190" s="405"/>
      <c r="LY190" s="83"/>
      <c r="MG190" s="405"/>
      <c r="MM190" s="83"/>
      <c r="MU190" s="405"/>
      <c r="NA190" s="83"/>
    </row>
    <row r="191">
      <c r="A191" s="380"/>
      <c r="B191" s="380"/>
      <c r="C191" s="380"/>
      <c r="D191" s="380"/>
      <c r="E191" s="380"/>
      <c r="F191" s="380"/>
      <c r="G191" s="380"/>
      <c r="H191" s="380"/>
      <c r="I191" s="403"/>
      <c r="J191" s="380"/>
      <c r="K191" s="380"/>
      <c r="L191" s="380"/>
      <c r="M191" s="380"/>
      <c r="N191" s="380"/>
      <c r="O191" s="404"/>
      <c r="P191" s="380"/>
      <c r="Q191" s="380"/>
      <c r="R191" s="380"/>
      <c r="S191" s="380"/>
      <c r="T191" s="380"/>
      <c r="U191" s="380"/>
      <c r="V191" s="380"/>
      <c r="W191" s="403"/>
      <c r="X191" s="380"/>
      <c r="Y191" s="380"/>
      <c r="Z191" s="380"/>
      <c r="AA191" s="380"/>
      <c r="AB191" s="380"/>
      <c r="AC191" s="404"/>
      <c r="AD191" s="380"/>
      <c r="AE191" s="380"/>
      <c r="AF191" s="380"/>
      <c r="AG191" s="380"/>
      <c r="AH191" s="380"/>
      <c r="AI191" s="380"/>
      <c r="AJ191" s="380"/>
      <c r="AK191" s="403"/>
      <c r="AL191" s="380"/>
      <c r="AM191" s="380"/>
      <c r="AN191" s="380"/>
      <c r="AO191" s="380"/>
      <c r="AP191" s="380"/>
      <c r="AQ191" s="404"/>
      <c r="AR191" s="380"/>
      <c r="AS191" s="380"/>
      <c r="AT191" s="380"/>
      <c r="AU191" s="380"/>
      <c r="AV191" s="380"/>
      <c r="AW191" s="380"/>
      <c r="AX191" s="380"/>
      <c r="AY191" s="403"/>
      <c r="AZ191" s="380"/>
      <c r="BA191" s="380"/>
      <c r="BB191" s="380"/>
      <c r="BC191" s="380"/>
      <c r="BD191" s="380"/>
      <c r="BE191" s="404"/>
      <c r="BF191" s="380"/>
      <c r="BG191" s="380"/>
      <c r="BH191" s="380"/>
      <c r="BI191" s="380"/>
      <c r="BJ191" s="380"/>
      <c r="BK191" s="380"/>
      <c r="BL191" s="380"/>
      <c r="BM191" s="403"/>
      <c r="BS191" s="83"/>
      <c r="CA191" s="405"/>
      <c r="CG191" s="83"/>
      <c r="CO191" s="405"/>
      <c r="CU191" s="83"/>
      <c r="DC191" s="405"/>
      <c r="DI191" s="83"/>
      <c r="DQ191" s="405"/>
      <c r="DW191" s="83"/>
      <c r="EE191" s="405"/>
      <c r="EK191" s="83"/>
      <c r="ES191" s="405"/>
      <c r="EY191" s="83"/>
      <c r="FG191" s="405"/>
      <c r="FM191" s="83"/>
      <c r="FU191" s="405"/>
      <c r="GA191" s="83"/>
      <c r="GI191" s="405"/>
      <c r="GO191" s="83"/>
      <c r="GW191" s="405"/>
      <c r="HC191" s="83"/>
      <c r="HK191" s="405"/>
      <c r="HQ191" s="83"/>
      <c r="HY191" s="405"/>
      <c r="IE191" s="83"/>
      <c r="IM191" s="405"/>
      <c r="IS191" s="83"/>
      <c r="JA191" s="405"/>
      <c r="JG191" s="83"/>
      <c r="JO191" s="405"/>
      <c r="JU191" s="83"/>
      <c r="KC191" s="405"/>
      <c r="KI191" s="83"/>
      <c r="KQ191" s="405"/>
      <c r="KW191" s="83"/>
      <c r="LE191" s="405"/>
      <c r="LK191" s="83"/>
      <c r="LS191" s="405"/>
      <c r="LY191" s="83"/>
      <c r="MG191" s="405"/>
      <c r="MM191" s="83"/>
      <c r="MU191" s="405"/>
      <c r="NA191" s="83"/>
    </row>
    <row r="192">
      <c r="A192" s="380"/>
      <c r="B192" s="380"/>
      <c r="C192" s="380"/>
      <c r="D192" s="380"/>
      <c r="E192" s="380"/>
      <c r="F192" s="380"/>
      <c r="G192" s="380"/>
      <c r="H192" s="380"/>
      <c r="I192" s="403"/>
      <c r="J192" s="380"/>
      <c r="K192" s="380"/>
      <c r="L192" s="380"/>
      <c r="M192" s="380"/>
      <c r="N192" s="380"/>
      <c r="O192" s="404"/>
      <c r="P192" s="380"/>
      <c r="Q192" s="380"/>
      <c r="R192" s="380"/>
      <c r="S192" s="380"/>
      <c r="T192" s="380"/>
      <c r="U192" s="380"/>
      <c r="V192" s="380"/>
      <c r="W192" s="403"/>
      <c r="X192" s="380"/>
      <c r="Y192" s="380"/>
      <c r="Z192" s="380"/>
      <c r="AA192" s="380"/>
      <c r="AB192" s="380"/>
      <c r="AC192" s="404"/>
      <c r="AD192" s="380"/>
      <c r="AE192" s="380"/>
      <c r="AF192" s="380"/>
      <c r="AG192" s="380"/>
      <c r="AH192" s="380"/>
      <c r="AI192" s="380"/>
      <c r="AJ192" s="380"/>
      <c r="AK192" s="403"/>
      <c r="AL192" s="380"/>
      <c r="AM192" s="380"/>
      <c r="AN192" s="380"/>
      <c r="AO192" s="380"/>
      <c r="AP192" s="380"/>
      <c r="AQ192" s="404"/>
      <c r="AR192" s="380"/>
      <c r="AS192" s="380"/>
      <c r="AT192" s="380"/>
      <c r="AU192" s="380"/>
      <c r="AV192" s="380"/>
      <c r="AW192" s="380"/>
      <c r="AX192" s="380"/>
      <c r="AY192" s="403"/>
      <c r="AZ192" s="380"/>
      <c r="BA192" s="380"/>
      <c r="BB192" s="380"/>
      <c r="BC192" s="380"/>
      <c r="BD192" s="380"/>
      <c r="BE192" s="404"/>
      <c r="BF192" s="380"/>
      <c r="BG192" s="380"/>
      <c r="BH192" s="380"/>
      <c r="BI192" s="380"/>
      <c r="BJ192" s="380"/>
      <c r="BK192" s="380"/>
      <c r="BL192" s="380"/>
      <c r="BM192" s="403"/>
      <c r="BS192" s="83"/>
      <c r="CA192" s="405"/>
      <c r="CG192" s="83"/>
      <c r="CO192" s="405"/>
      <c r="CU192" s="83"/>
      <c r="DC192" s="405"/>
      <c r="DI192" s="83"/>
      <c r="DQ192" s="405"/>
      <c r="DW192" s="83"/>
      <c r="EE192" s="405"/>
      <c r="EK192" s="83"/>
      <c r="ES192" s="405"/>
      <c r="EY192" s="83"/>
      <c r="FG192" s="405"/>
      <c r="FM192" s="83"/>
      <c r="FU192" s="405"/>
      <c r="GA192" s="83"/>
      <c r="GI192" s="405"/>
      <c r="GO192" s="83"/>
      <c r="GW192" s="405"/>
      <c r="HC192" s="83"/>
      <c r="HK192" s="405"/>
      <c r="HQ192" s="83"/>
      <c r="HY192" s="405"/>
      <c r="IE192" s="83"/>
      <c r="IM192" s="405"/>
      <c r="IS192" s="83"/>
      <c r="JA192" s="405"/>
      <c r="JG192" s="83"/>
      <c r="JO192" s="405"/>
      <c r="JU192" s="83"/>
      <c r="KC192" s="405"/>
      <c r="KI192" s="83"/>
      <c r="KQ192" s="405"/>
      <c r="KW192" s="83"/>
      <c r="LE192" s="405"/>
      <c r="LK192" s="83"/>
      <c r="LS192" s="405"/>
      <c r="LY192" s="83"/>
      <c r="MG192" s="405"/>
      <c r="MM192" s="83"/>
      <c r="MU192" s="405"/>
      <c r="NA192" s="83"/>
    </row>
    <row r="193">
      <c r="A193" s="380"/>
      <c r="B193" s="380"/>
      <c r="C193" s="380"/>
      <c r="D193" s="380"/>
      <c r="E193" s="380"/>
      <c r="F193" s="380"/>
      <c r="G193" s="380"/>
      <c r="H193" s="380"/>
      <c r="I193" s="403"/>
      <c r="J193" s="380"/>
      <c r="K193" s="380"/>
      <c r="L193" s="380"/>
      <c r="M193" s="380"/>
      <c r="N193" s="380"/>
      <c r="O193" s="404"/>
      <c r="P193" s="380"/>
      <c r="Q193" s="380"/>
      <c r="R193" s="380"/>
      <c r="S193" s="380"/>
      <c r="T193" s="380"/>
      <c r="U193" s="380"/>
      <c r="V193" s="380"/>
      <c r="W193" s="403"/>
      <c r="X193" s="380"/>
      <c r="Y193" s="380"/>
      <c r="Z193" s="380"/>
      <c r="AA193" s="380"/>
      <c r="AB193" s="380"/>
      <c r="AC193" s="404"/>
      <c r="AD193" s="380"/>
      <c r="AE193" s="380"/>
      <c r="AF193" s="380"/>
      <c r="AG193" s="380"/>
      <c r="AH193" s="380"/>
      <c r="AI193" s="380"/>
      <c r="AJ193" s="380"/>
      <c r="AK193" s="403"/>
      <c r="AL193" s="380"/>
      <c r="AM193" s="380"/>
      <c r="AN193" s="380"/>
      <c r="AO193" s="380"/>
      <c r="AP193" s="380"/>
      <c r="AQ193" s="404"/>
      <c r="AR193" s="380"/>
      <c r="AS193" s="380"/>
      <c r="AT193" s="380"/>
      <c r="AU193" s="380"/>
      <c r="AV193" s="380"/>
      <c r="AW193" s="380"/>
      <c r="AX193" s="380"/>
      <c r="AY193" s="403"/>
      <c r="AZ193" s="380"/>
      <c r="BA193" s="380"/>
      <c r="BB193" s="380"/>
      <c r="BC193" s="380"/>
      <c r="BD193" s="380"/>
      <c r="BE193" s="404"/>
      <c r="BF193" s="380"/>
      <c r="BG193" s="380"/>
      <c r="BH193" s="380"/>
      <c r="BI193" s="380"/>
      <c r="BJ193" s="380"/>
      <c r="BK193" s="380"/>
      <c r="BL193" s="380"/>
      <c r="BM193" s="403"/>
      <c r="BS193" s="83"/>
      <c r="CA193" s="405"/>
      <c r="CG193" s="83"/>
      <c r="CO193" s="405"/>
      <c r="CU193" s="83"/>
      <c r="DC193" s="405"/>
      <c r="DI193" s="83"/>
      <c r="DQ193" s="405"/>
      <c r="DW193" s="83"/>
      <c r="EE193" s="405"/>
      <c r="EK193" s="83"/>
      <c r="ES193" s="405"/>
      <c r="EY193" s="83"/>
      <c r="FG193" s="405"/>
      <c r="FM193" s="83"/>
      <c r="FU193" s="405"/>
      <c r="GA193" s="83"/>
      <c r="GI193" s="405"/>
      <c r="GO193" s="83"/>
      <c r="GW193" s="405"/>
      <c r="HC193" s="83"/>
      <c r="HK193" s="405"/>
      <c r="HQ193" s="83"/>
      <c r="HY193" s="405"/>
      <c r="IE193" s="83"/>
      <c r="IM193" s="405"/>
      <c r="IS193" s="83"/>
      <c r="JA193" s="405"/>
      <c r="JG193" s="83"/>
      <c r="JO193" s="405"/>
      <c r="JU193" s="83"/>
      <c r="KC193" s="405"/>
      <c r="KI193" s="83"/>
      <c r="KQ193" s="405"/>
      <c r="KW193" s="83"/>
      <c r="LE193" s="405"/>
      <c r="LK193" s="83"/>
      <c r="LS193" s="405"/>
      <c r="LY193" s="83"/>
      <c r="MG193" s="405"/>
      <c r="MM193" s="83"/>
      <c r="MU193" s="405"/>
      <c r="NA193" s="83"/>
    </row>
    <row r="194">
      <c r="A194" s="380"/>
      <c r="B194" s="380"/>
      <c r="C194" s="380"/>
      <c r="D194" s="380"/>
      <c r="E194" s="380"/>
      <c r="F194" s="380"/>
      <c r="G194" s="380"/>
      <c r="H194" s="380"/>
      <c r="I194" s="403"/>
      <c r="J194" s="380"/>
      <c r="K194" s="380"/>
      <c r="L194" s="380"/>
      <c r="M194" s="380"/>
      <c r="N194" s="380"/>
      <c r="O194" s="404"/>
      <c r="P194" s="380"/>
      <c r="Q194" s="380"/>
      <c r="R194" s="380"/>
      <c r="S194" s="380"/>
      <c r="T194" s="380"/>
      <c r="U194" s="380"/>
      <c r="V194" s="380"/>
      <c r="W194" s="403"/>
      <c r="X194" s="380"/>
      <c r="Y194" s="380"/>
      <c r="Z194" s="380"/>
      <c r="AA194" s="380"/>
      <c r="AB194" s="380"/>
      <c r="AC194" s="404"/>
      <c r="AD194" s="380"/>
      <c r="AE194" s="380"/>
      <c r="AF194" s="380"/>
      <c r="AG194" s="380"/>
      <c r="AH194" s="380"/>
      <c r="AI194" s="380"/>
      <c r="AJ194" s="380"/>
      <c r="AK194" s="403"/>
      <c r="AL194" s="380"/>
      <c r="AM194" s="380"/>
      <c r="AN194" s="380"/>
      <c r="AO194" s="380"/>
      <c r="AP194" s="380"/>
      <c r="AQ194" s="404"/>
      <c r="AR194" s="380"/>
      <c r="AS194" s="380"/>
      <c r="AT194" s="380"/>
      <c r="AU194" s="380"/>
      <c r="AV194" s="380"/>
      <c r="AW194" s="380"/>
      <c r="AX194" s="380"/>
      <c r="AY194" s="403"/>
      <c r="AZ194" s="380"/>
      <c r="BA194" s="380"/>
      <c r="BB194" s="380"/>
      <c r="BC194" s="380"/>
      <c r="BD194" s="380"/>
      <c r="BE194" s="404"/>
      <c r="BF194" s="380"/>
      <c r="BG194" s="380"/>
      <c r="BH194" s="380"/>
      <c r="BI194" s="380"/>
      <c r="BJ194" s="380"/>
      <c r="BK194" s="380"/>
      <c r="BL194" s="380"/>
      <c r="BM194" s="403"/>
      <c r="BS194" s="83"/>
      <c r="CA194" s="405"/>
      <c r="CG194" s="83"/>
      <c r="CO194" s="405"/>
      <c r="CU194" s="83"/>
      <c r="DC194" s="405"/>
      <c r="DI194" s="83"/>
      <c r="DQ194" s="405"/>
      <c r="DW194" s="83"/>
      <c r="EE194" s="405"/>
      <c r="EK194" s="83"/>
      <c r="ES194" s="405"/>
      <c r="EY194" s="83"/>
      <c r="FG194" s="405"/>
      <c r="FM194" s="83"/>
      <c r="FU194" s="405"/>
      <c r="GA194" s="83"/>
      <c r="GI194" s="405"/>
      <c r="GO194" s="83"/>
      <c r="GW194" s="405"/>
      <c r="HC194" s="83"/>
      <c r="HK194" s="405"/>
      <c r="HQ194" s="83"/>
      <c r="HY194" s="405"/>
      <c r="IE194" s="83"/>
      <c r="IM194" s="405"/>
      <c r="IS194" s="83"/>
      <c r="JA194" s="405"/>
      <c r="JG194" s="83"/>
      <c r="JO194" s="405"/>
      <c r="JU194" s="83"/>
      <c r="KC194" s="405"/>
      <c r="KI194" s="83"/>
      <c r="KQ194" s="405"/>
      <c r="KW194" s="83"/>
      <c r="LE194" s="405"/>
      <c r="LK194" s="83"/>
      <c r="LS194" s="405"/>
      <c r="LY194" s="83"/>
      <c r="MG194" s="405"/>
      <c r="MM194" s="83"/>
      <c r="MU194" s="405"/>
      <c r="NA194" s="83"/>
    </row>
    <row r="195">
      <c r="A195" s="380"/>
      <c r="B195" s="380"/>
      <c r="C195" s="380"/>
      <c r="D195" s="380"/>
      <c r="E195" s="380"/>
      <c r="F195" s="380"/>
      <c r="G195" s="380"/>
      <c r="H195" s="380"/>
      <c r="I195" s="403"/>
      <c r="J195" s="380"/>
      <c r="K195" s="380"/>
      <c r="L195" s="380"/>
      <c r="M195" s="380"/>
      <c r="N195" s="380"/>
      <c r="O195" s="404"/>
      <c r="P195" s="380"/>
      <c r="Q195" s="380"/>
      <c r="R195" s="380"/>
      <c r="S195" s="380"/>
      <c r="T195" s="380"/>
      <c r="U195" s="380"/>
      <c r="V195" s="380"/>
      <c r="W195" s="403"/>
      <c r="X195" s="380"/>
      <c r="Y195" s="380"/>
      <c r="Z195" s="380"/>
      <c r="AA195" s="380"/>
      <c r="AB195" s="380"/>
      <c r="AC195" s="404"/>
      <c r="AD195" s="380"/>
      <c r="AE195" s="380"/>
      <c r="AF195" s="380"/>
      <c r="AG195" s="380"/>
      <c r="AH195" s="380"/>
      <c r="AI195" s="380"/>
      <c r="AJ195" s="380"/>
      <c r="AK195" s="403"/>
      <c r="AL195" s="380"/>
      <c r="AM195" s="380"/>
      <c r="AN195" s="380"/>
      <c r="AO195" s="380"/>
      <c r="AP195" s="380"/>
      <c r="AQ195" s="404"/>
      <c r="AR195" s="380"/>
      <c r="AS195" s="380"/>
      <c r="AT195" s="380"/>
      <c r="AU195" s="380"/>
      <c r="AV195" s="380"/>
      <c r="AW195" s="380"/>
      <c r="AX195" s="380"/>
      <c r="AY195" s="403"/>
      <c r="AZ195" s="380"/>
      <c r="BA195" s="380"/>
      <c r="BB195" s="380"/>
      <c r="BC195" s="380"/>
      <c r="BD195" s="380"/>
      <c r="BE195" s="404"/>
      <c r="BF195" s="380"/>
      <c r="BG195" s="380"/>
      <c r="BH195" s="380"/>
      <c r="BI195" s="380"/>
      <c r="BJ195" s="380"/>
      <c r="BK195" s="380"/>
      <c r="BL195" s="380"/>
      <c r="BM195" s="403"/>
      <c r="BS195" s="83"/>
      <c r="CA195" s="405"/>
      <c r="CG195" s="83"/>
      <c r="CO195" s="405"/>
      <c r="CU195" s="83"/>
      <c r="DC195" s="405"/>
      <c r="DI195" s="83"/>
      <c r="DQ195" s="405"/>
      <c r="DW195" s="83"/>
      <c r="EE195" s="405"/>
      <c r="EK195" s="83"/>
      <c r="ES195" s="405"/>
      <c r="EY195" s="83"/>
      <c r="FG195" s="405"/>
      <c r="FM195" s="83"/>
      <c r="FU195" s="405"/>
      <c r="GA195" s="83"/>
      <c r="GI195" s="405"/>
      <c r="GO195" s="83"/>
      <c r="GW195" s="405"/>
      <c r="HC195" s="83"/>
      <c r="HK195" s="405"/>
      <c r="HQ195" s="83"/>
      <c r="HY195" s="405"/>
      <c r="IE195" s="83"/>
      <c r="IM195" s="405"/>
      <c r="IS195" s="83"/>
      <c r="JA195" s="405"/>
      <c r="JG195" s="83"/>
      <c r="JO195" s="405"/>
      <c r="JU195" s="83"/>
      <c r="KC195" s="405"/>
      <c r="KI195" s="83"/>
      <c r="KQ195" s="405"/>
      <c r="KW195" s="83"/>
      <c r="LE195" s="405"/>
      <c r="LK195" s="83"/>
      <c r="LS195" s="405"/>
      <c r="LY195" s="83"/>
      <c r="MG195" s="405"/>
      <c r="MM195" s="83"/>
      <c r="MU195" s="405"/>
      <c r="NA195" s="83"/>
    </row>
    <row r="196">
      <c r="A196" s="380"/>
      <c r="B196" s="380"/>
      <c r="C196" s="380"/>
      <c r="D196" s="380"/>
      <c r="E196" s="380"/>
      <c r="F196" s="380"/>
      <c r="G196" s="380"/>
      <c r="H196" s="380"/>
      <c r="I196" s="403"/>
      <c r="J196" s="380"/>
      <c r="K196" s="380"/>
      <c r="L196" s="380"/>
      <c r="M196" s="380"/>
      <c r="N196" s="380"/>
      <c r="O196" s="404"/>
      <c r="P196" s="380"/>
      <c r="Q196" s="380"/>
      <c r="R196" s="380"/>
      <c r="S196" s="380"/>
      <c r="T196" s="380"/>
      <c r="U196" s="380"/>
      <c r="V196" s="380"/>
      <c r="W196" s="403"/>
      <c r="X196" s="380"/>
      <c r="Y196" s="380"/>
      <c r="Z196" s="380"/>
      <c r="AA196" s="380"/>
      <c r="AB196" s="380"/>
      <c r="AC196" s="404"/>
      <c r="AD196" s="380"/>
      <c r="AE196" s="380"/>
      <c r="AF196" s="380"/>
      <c r="AG196" s="380"/>
      <c r="AH196" s="380"/>
      <c r="AI196" s="380"/>
      <c r="AJ196" s="380"/>
      <c r="AK196" s="403"/>
      <c r="AL196" s="380"/>
      <c r="AM196" s="380"/>
      <c r="AN196" s="380"/>
      <c r="AO196" s="380"/>
      <c r="AP196" s="380"/>
      <c r="AQ196" s="404"/>
      <c r="AR196" s="380"/>
      <c r="AS196" s="380"/>
      <c r="AT196" s="380"/>
      <c r="AU196" s="380"/>
      <c r="AV196" s="380"/>
      <c r="AW196" s="380"/>
      <c r="AX196" s="380"/>
      <c r="AY196" s="403"/>
      <c r="AZ196" s="380"/>
      <c r="BA196" s="380"/>
      <c r="BB196" s="380"/>
      <c r="BC196" s="380"/>
      <c r="BD196" s="380"/>
      <c r="BE196" s="404"/>
      <c r="BF196" s="380"/>
      <c r="BG196" s="380"/>
      <c r="BH196" s="380"/>
      <c r="BI196" s="380"/>
      <c r="BJ196" s="380"/>
      <c r="BK196" s="380"/>
      <c r="BL196" s="380"/>
      <c r="BM196" s="403"/>
      <c r="BS196" s="83"/>
      <c r="CA196" s="405"/>
      <c r="CG196" s="83"/>
      <c r="CO196" s="405"/>
      <c r="CU196" s="83"/>
      <c r="DC196" s="405"/>
      <c r="DI196" s="83"/>
      <c r="DQ196" s="405"/>
      <c r="DW196" s="83"/>
      <c r="EE196" s="405"/>
      <c r="EK196" s="83"/>
      <c r="ES196" s="405"/>
      <c r="EY196" s="83"/>
      <c r="FG196" s="405"/>
      <c r="FM196" s="83"/>
      <c r="FU196" s="405"/>
      <c r="GA196" s="83"/>
      <c r="GI196" s="405"/>
      <c r="GO196" s="83"/>
      <c r="GW196" s="405"/>
      <c r="HC196" s="83"/>
      <c r="HK196" s="405"/>
      <c r="HQ196" s="83"/>
      <c r="HY196" s="405"/>
      <c r="IE196" s="83"/>
      <c r="IM196" s="405"/>
      <c r="IS196" s="83"/>
      <c r="JA196" s="405"/>
      <c r="JG196" s="83"/>
      <c r="JO196" s="405"/>
      <c r="JU196" s="83"/>
      <c r="KC196" s="405"/>
      <c r="KI196" s="83"/>
      <c r="KQ196" s="405"/>
      <c r="KW196" s="83"/>
      <c r="LE196" s="405"/>
      <c r="LK196" s="83"/>
      <c r="LS196" s="405"/>
      <c r="LY196" s="83"/>
      <c r="MG196" s="405"/>
      <c r="MM196" s="83"/>
      <c r="MU196" s="405"/>
      <c r="NA196" s="83"/>
    </row>
    <row r="197">
      <c r="A197" s="380"/>
      <c r="B197" s="380"/>
      <c r="C197" s="380"/>
      <c r="D197" s="380"/>
      <c r="E197" s="380"/>
      <c r="F197" s="380"/>
      <c r="G197" s="380"/>
      <c r="H197" s="380"/>
      <c r="I197" s="403"/>
      <c r="J197" s="380"/>
      <c r="K197" s="380"/>
      <c r="L197" s="380"/>
      <c r="M197" s="380"/>
      <c r="N197" s="380"/>
      <c r="O197" s="404"/>
      <c r="P197" s="380"/>
      <c r="Q197" s="380"/>
      <c r="R197" s="380"/>
      <c r="S197" s="380"/>
      <c r="T197" s="380"/>
      <c r="U197" s="380"/>
      <c r="V197" s="380"/>
      <c r="W197" s="403"/>
      <c r="X197" s="380"/>
      <c r="Y197" s="380"/>
      <c r="Z197" s="380"/>
      <c r="AA197" s="380"/>
      <c r="AB197" s="380"/>
      <c r="AC197" s="404"/>
      <c r="AD197" s="380"/>
      <c r="AE197" s="380"/>
      <c r="AF197" s="380"/>
      <c r="AG197" s="380"/>
      <c r="AH197" s="380"/>
      <c r="AI197" s="380"/>
      <c r="AJ197" s="380"/>
      <c r="AK197" s="403"/>
      <c r="AL197" s="380"/>
      <c r="AM197" s="380"/>
      <c r="AN197" s="380"/>
      <c r="AO197" s="380"/>
      <c r="AP197" s="380"/>
      <c r="AQ197" s="404"/>
      <c r="AR197" s="380"/>
      <c r="AS197" s="380"/>
      <c r="AT197" s="380"/>
      <c r="AU197" s="380"/>
      <c r="AV197" s="380"/>
      <c r="AW197" s="380"/>
      <c r="AX197" s="380"/>
      <c r="AY197" s="403"/>
      <c r="AZ197" s="380"/>
      <c r="BA197" s="380"/>
      <c r="BB197" s="380"/>
      <c r="BC197" s="380"/>
      <c r="BD197" s="380"/>
      <c r="BE197" s="404"/>
      <c r="BF197" s="380"/>
      <c r="BG197" s="380"/>
      <c r="BH197" s="380"/>
      <c r="BI197" s="380"/>
      <c r="BJ197" s="380"/>
      <c r="BK197" s="380"/>
      <c r="BL197" s="380"/>
      <c r="BM197" s="403"/>
      <c r="BS197" s="83"/>
      <c r="CA197" s="405"/>
      <c r="CG197" s="83"/>
      <c r="CO197" s="405"/>
      <c r="CU197" s="83"/>
      <c r="DC197" s="405"/>
      <c r="DI197" s="83"/>
      <c r="DQ197" s="405"/>
      <c r="DW197" s="83"/>
      <c r="EE197" s="405"/>
      <c r="EK197" s="83"/>
      <c r="ES197" s="405"/>
      <c r="EY197" s="83"/>
      <c r="FG197" s="405"/>
      <c r="FM197" s="83"/>
      <c r="FU197" s="405"/>
      <c r="GA197" s="83"/>
      <c r="GI197" s="405"/>
      <c r="GO197" s="83"/>
      <c r="GW197" s="405"/>
      <c r="HC197" s="83"/>
      <c r="HK197" s="405"/>
      <c r="HQ197" s="83"/>
      <c r="HY197" s="405"/>
      <c r="IE197" s="83"/>
      <c r="IM197" s="405"/>
      <c r="IS197" s="83"/>
      <c r="JA197" s="405"/>
      <c r="JG197" s="83"/>
      <c r="JO197" s="405"/>
      <c r="JU197" s="83"/>
      <c r="KC197" s="405"/>
      <c r="KI197" s="83"/>
      <c r="KQ197" s="405"/>
      <c r="KW197" s="83"/>
      <c r="LE197" s="405"/>
      <c r="LK197" s="83"/>
      <c r="LS197" s="405"/>
      <c r="LY197" s="83"/>
      <c r="MG197" s="405"/>
      <c r="MM197" s="83"/>
      <c r="MU197" s="405"/>
      <c r="NA197" s="83"/>
    </row>
    <row r="198">
      <c r="A198" s="380"/>
      <c r="B198" s="380"/>
      <c r="C198" s="380"/>
      <c r="D198" s="380"/>
      <c r="E198" s="380"/>
      <c r="F198" s="380"/>
      <c r="G198" s="380"/>
      <c r="H198" s="380"/>
      <c r="I198" s="403"/>
      <c r="J198" s="380"/>
      <c r="K198" s="380"/>
      <c r="L198" s="380"/>
      <c r="M198" s="380"/>
      <c r="N198" s="380"/>
      <c r="O198" s="404"/>
      <c r="P198" s="380"/>
      <c r="Q198" s="380"/>
      <c r="R198" s="380"/>
      <c r="S198" s="380"/>
      <c r="T198" s="380"/>
      <c r="U198" s="380"/>
      <c r="V198" s="380"/>
      <c r="W198" s="403"/>
      <c r="X198" s="380"/>
      <c r="Y198" s="380"/>
      <c r="Z198" s="380"/>
      <c r="AA198" s="380"/>
      <c r="AB198" s="380"/>
      <c r="AC198" s="404"/>
      <c r="AD198" s="380"/>
      <c r="AE198" s="380"/>
      <c r="AF198" s="380"/>
      <c r="AG198" s="380"/>
      <c r="AH198" s="380"/>
      <c r="AI198" s="380"/>
      <c r="AJ198" s="380"/>
      <c r="AK198" s="403"/>
      <c r="AL198" s="380"/>
      <c r="AM198" s="380"/>
      <c r="AN198" s="380"/>
      <c r="AO198" s="380"/>
      <c r="AP198" s="380"/>
      <c r="AQ198" s="404"/>
      <c r="AR198" s="380"/>
      <c r="AS198" s="380"/>
      <c r="AT198" s="380"/>
      <c r="AU198" s="380"/>
      <c r="AV198" s="380"/>
      <c r="AW198" s="380"/>
      <c r="AX198" s="380"/>
      <c r="AY198" s="403"/>
      <c r="AZ198" s="380"/>
      <c r="BA198" s="380"/>
      <c r="BB198" s="380"/>
      <c r="BC198" s="380"/>
      <c r="BD198" s="380"/>
      <c r="BE198" s="404"/>
      <c r="BF198" s="380"/>
      <c r="BG198" s="380"/>
      <c r="BH198" s="380"/>
      <c r="BI198" s="380"/>
      <c r="BJ198" s="380"/>
      <c r="BK198" s="380"/>
      <c r="BL198" s="380"/>
      <c r="BM198" s="403"/>
      <c r="BS198" s="83"/>
      <c r="CA198" s="405"/>
      <c r="CG198" s="83"/>
      <c r="CO198" s="405"/>
      <c r="CU198" s="83"/>
      <c r="DC198" s="405"/>
      <c r="DI198" s="83"/>
      <c r="DQ198" s="405"/>
      <c r="DW198" s="83"/>
      <c r="EE198" s="405"/>
      <c r="EK198" s="83"/>
      <c r="ES198" s="405"/>
      <c r="EY198" s="83"/>
      <c r="FG198" s="405"/>
      <c r="FM198" s="83"/>
      <c r="FU198" s="405"/>
      <c r="GA198" s="83"/>
      <c r="GI198" s="405"/>
      <c r="GO198" s="83"/>
      <c r="GW198" s="405"/>
      <c r="HC198" s="83"/>
      <c r="HK198" s="405"/>
      <c r="HQ198" s="83"/>
      <c r="HY198" s="405"/>
      <c r="IE198" s="83"/>
      <c r="IM198" s="405"/>
      <c r="IS198" s="83"/>
      <c r="JA198" s="405"/>
      <c r="JG198" s="83"/>
      <c r="JO198" s="405"/>
      <c r="JU198" s="83"/>
      <c r="KC198" s="405"/>
      <c r="KI198" s="83"/>
      <c r="KQ198" s="405"/>
      <c r="KW198" s="83"/>
      <c r="LE198" s="405"/>
      <c r="LK198" s="83"/>
      <c r="LS198" s="405"/>
      <c r="LY198" s="83"/>
      <c r="MG198" s="405"/>
      <c r="MM198" s="83"/>
      <c r="MU198" s="405"/>
      <c r="NA198" s="83"/>
    </row>
    <row r="199">
      <c r="A199" s="380"/>
      <c r="B199" s="380"/>
      <c r="C199" s="380"/>
      <c r="D199" s="380"/>
      <c r="E199" s="380"/>
      <c r="F199" s="380"/>
      <c r="G199" s="380"/>
      <c r="H199" s="380"/>
      <c r="I199" s="403"/>
      <c r="J199" s="380"/>
      <c r="K199" s="380"/>
      <c r="L199" s="380"/>
      <c r="M199" s="380"/>
      <c r="N199" s="380"/>
      <c r="O199" s="404"/>
      <c r="P199" s="380"/>
      <c r="Q199" s="380"/>
      <c r="R199" s="380"/>
      <c r="S199" s="380"/>
      <c r="T199" s="380"/>
      <c r="U199" s="380"/>
      <c r="V199" s="380"/>
      <c r="W199" s="403"/>
      <c r="X199" s="380"/>
      <c r="Y199" s="380"/>
      <c r="Z199" s="380"/>
      <c r="AA199" s="380"/>
      <c r="AB199" s="380"/>
      <c r="AC199" s="404"/>
      <c r="AD199" s="380"/>
      <c r="AE199" s="380"/>
      <c r="AF199" s="380"/>
      <c r="AG199" s="380"/>
      <c r="AH199" s="380"/>
      <c r="AI199" s="380"/>
      <c r="AJ199" s="380"/>
      <c r="AK199" s="403"/>
      <c r="AL199" s="380"/>
      <c r="AM199" s="380"/>
      <c r="AN199" s="380"/>
      <c r="AO199" s="380"/>
      <c r="AP199" s="380"/>
      <c r="AQ199" s="404"/>
      <c r="AR199" s="380"/>
      <c r="AS199" s="380"/>
      <c r="AT199" s="380"/>
      <c r="AU199" s="380"/>
      <c r="AV199" s="380"/>
      <c r="AW199" s="380"/>
      <c r="AX199" s="380"/>
      <c r="AY199" s="403"/>
      <c r="AZ199" s="380"/>
      <c r="BA199" s="380"/>
      <c r="BB199" s="380"/>
      <c r="BC199" s="380"/>
      <c r="BD199" s="380"/>
      <c r="BE199" s="404"/>
      <c r="BF199" s="380"/>
      <c r="BG199" s="380"/>
      <c r="BH199" s="380"/>
      <c r="BI199" s="380"/>
      <c r="BJ199" s="380"/>
      <c r="BK199" s="380"/>
      <c r="BL199" s="380"/>
      <c r="BM199" s="403"/>
      <c r="BS199" s="83"/>
      <c r="CA199" s="405"/>
      <c r="CG199" s="83"/>
      <c r="CO199" s="405"/>
      <c r="CU199" s="83"/>
      <c r="DC199" s="405"/>
      <c r="DI199" s="83"/>
      <c r="DQ199" s="405"/>
      <c r="DW199" s="83"/>
      <c r="EE199" s="405"/>
      <c r="EK199" s="83"/>
      <c r="ES199" s="405"/>
      <c r="EY199" s="83"/>
      <c r="FG199" s="405"/>
      <c r="FM199" s="83"/>
      <c r="FU199" s="405"/>
      <c r="GA199" s="83"/>
      <c r="GI199" s="405"/>
      <c r="GO199" s="83"/>
      <c r="GW199" s="405"/>
      <c r="HC199" s="83"/>
      <c r="HK199" s="405"/>
      <c r="HQ199" s="83"/>
      <c r="HY199" s="405"/>
      <c r="IE199" s="83"/>
      <c r="IM199" s="405"/>
      <c r="IS199" s="83"/>
      <c r="JA199" s="405"/>
      <c r="JG199" s="83"/>
      <c r="JO199" s="405"/>
      <c r="JU199" s="83"/>
      <c r="KC199" s="405"/>
      <c r="KI199" s="83"/>
      <c r="KQ199" s="405"/>
      <c r="KW199" s="83"/>
      <c r="LE199" s="405"/>
      <c r="LK199" s="83"/>
      <c r="LS199" s="405"/>
      <c r="LY199" s="83"/>
      <c r="MG199" s="405"/>
      <c r="MM199" s="83"/>
      <c r="MU199" s="405"/>
      <c r="NA199" s="83"/>
    </row>
    <row r="200">
      <c r="A200" s="380"/>
      <c r="B200" s="380"/>
      <c r="C200" s="380"/>
      <c r="D200" s="380"/>
      <c r="E200" s="380"/>
      <c r="F200" s="380"/>
      <c r="G200" s="380"/>
      <c r="H200" s="380"/>
      <c r="I200" s="403"/>
      <c r="J200" s="380"/>
      <c r="K200" s="380"/>
      <c r="L200" s="380"/>
      <c r="M200" s="380"/>
      <c r="N200" s="380"/>
      <c r="O200" s="404"/>
      <c r="P200" s="380"/>
      <c r="Q200" s="380"/>
      <c r="R200" s="380"/>
      <c r="S200" s="380"/>
      <c r="T200" s="380"/>
      <c r="U200" s="380"/>
      <c r="V200" s="380"/>
      <c r="W200" s="403"/>
      <c r="X200" s="380"/>
      <c r="Y200" s="380"/>
      <c r="Z200" s="380"/>
      <c r="AA200" s="380"/>
      <c r="AB200" s="380"/>
      <c r="AC200" s="404"/>
      <c r="AD200" s="380"/>
      <c r="AE200" s="380"/>
      <c r="AF200" s="380"/>
      <c r="AG200" s="380"/>
      <c r="AH200" s="380"/>
      <c r="AI200" s="380"/>
      <c r="AJ200" s="380"/>
      <c r="AK200" s="403"/>
      <c r="AL200" s="380"/>
      <c r="AM200" s="380"/>
      <c r="AN200" s="380"/>
      <c r="AO200" s="380"/>
      <c r="AP200" s="380"/>
      <c r="AQ200" s="404"/>
      <c r="AR200" s="380"/>
      <c r="AS200" s="380"/>
      <c r="AT200" s="380"/>
      <c r="AU200" s="380"/>
      <c r="AV200" s="380"/>
      <c r="AW200" s="380"/>
      <c r="AX200" s="380"/>
      <c r="AY200" s="403"/>
      <c r="AZ200" s="380"/>
      <c r="BA200" s="380"/>
      <c r="BB200" s="380"/>
      <c r="BC200" s="380"/>
      <c r="BD200" s="380"/>
      <c r="BE200" s="404"/>
      <c r="BF200" s="380"/>
      <c r="BG200" s="380"/>
      <c r="BH200" s="380"/>
      <c r="BI200" s="380"/>
      <c r="BJ200" s="380"/>
      <c r="BK200" s="380"/>
      <c r="BL200" s="380"/>
      <c r="BM200" s="403"/>
      <c r="BS200" s="83"/>
      <c r="CA200" s="405"/>
      <c r="CG200" s="83"/>
      <c r="CO200" s="405"/>
      <c r="CU200" s="83"/>
      <c r="DC200" s="405"/>
      <c r="DI200" s="83"/>
      <c r="DQ200" s="405"/>
      <c r="DW200" s="83"/>
      <c r="EE200" s="405"/>
      <c r="EK200" s="83"/>
      <c r="ES200" s="405"/>
      <c r="EY200" s="83"/>
      <c r="FG200" s="405"/>
      <c r="FM200" s="83"/>
      <c r="FU200" s="405"/>
      <c r="GA200" s="83"/>
      <c r="GI200" s="405"/>
      <c r="GO200" s="83"/>
      <c r="GW200" s="405"/>
      <c r="HC200" s="83"/>
      <c r="HK200" s="405"/>
      <c r="HQ200" s="83"/>
      <c r="HY200" s="405"/>
      <c r="IE200" s="83"/>
      <c r="IM200" s="405"/>
      <c r="IS200" s="83"/>
      <c r="JA200" s="405"/>
      <c r="JG200" s="83"/>
      <c r="JO200" s="405"/>
      <c r="JU200" s="83"/>
      <c r="KC200" s="405"/>
      <c r="KI200" s="83"/>
      <c r="KQ200" s="405"/>
      <c r="KW200" s="83"/>
      <c r="LE200" s="405"/>
      <c r="LK200" s="83"/>
      <c r="LS200" s="405"/>
      <c r="LY200" s="83"/>
      <c r="MG200" s="405"/>
      <c r="MM200" s="83"/>
      <c r="MU200" s="405"/>
      <c r="NA200" s="83"/>
    </row>
    <row r="201">
      <c r="A201" s="380"/>
      <c r="B201" s="380"/>
      <c r="C201" s="380"/>
      <c r="D201" s="380"/>
      <c r="E201" s="380"/>
      <c r="F201" s="380"/>
      <c r="G201" s="380"/>
      <c r="H201" s="380"/>
      <c r="I201" s="403"/>
      <c r="J201" s="380"/>
      <c r="K201" s="380"/>
      <c r="L201" s="380"/>
      <c r="M201" s="380"/>
      <c r="N201" s="380"/>
      <c r="O201" s="404"/>
      <c r="P201" s="380"/>
      <c r="Q201" s="380"/>
      <c r="R201" s="380"/>
      <c r="S201" s="380"/>
      <c r="T201" s="380"/>
      <c r="U201" s="380"/>
      <c r="V201" s="380"/>
      <c r="W201" s="403"/>
      <c r="X201" s="380"/>
      <c r="Y201" s="380"/>
      <c r="Z201" s="380"/>
      <c r="AA201" s="380"/>
      <c r="AB201" s="380"/>
      <c r="AC201" s="404"/>
      <c r="AD201" s="380"/>
      <c r="AE201" s="380"/>
      <c r="AF201" s="380"/>
      <c r="AG201" s="380"/>
      <c r="AH201" s="380"/>
      <c r="AI201" s="380"/>
      <c r="AJ201" s="380"/>
      <c r="AK201" s="403"/>
      <c r="AL201" s="380"/>
      <c r="AM201" s="380"/>
      <c r="AN201" s="380"/>
      <c r="AO201" s="380"/>
      <c r="AP201" s="380"/>
      <c r="AQ201" s="404"/>
      <c r="AR201" s="380"/>
      <c r="AS201" s="380"/>
      <c r="AT201" s="380"/>
      <c r="AU201" s="380"/>
      <c r="AV201" s="380"/>
      <c r="AW201" s="380"/>
      <c r="AX201" s="380"/>
      <c r="AY201" s="403"/>
      <c r="AZ201" s="380"/>
      <c r="BA201" s="380"/>
      <c r="BB201" s="380"/>
      <c r="BC201" s="380"/>
      <c r="BD201" s="380"/>
      <c r="BE201" s="404"/>
      <c r="BF201" s="380"/>
      <c r="BG201" s="380"/>
      <c r="BH201" s="380"/>
      <c r="BI201" s="380"/>
      <c r="BJ201" s="380"/>
      <c r="BK201" s="380"/>
      <c r="BL201" s="380"/>
      <c r="BM201" s="403"/>
      <c r="BS201" s="83"/>
      <c r="CA201" s="405"/>
      <c r="CG201" s="83"/>
      <c r="CO201" s="405"/>
      <c r="CU201" s="83"/>
      <c r="DC201" s="405"/>
      <c r="DI201" s="83"/>
      <c r="DQ201" s="405"/>
      <c r="DW201" s="83"/>
      <c r="EE201" s="405"/>
      <c r="EK201" s="83"/>
      <c r="ES201" s="405"/>
      <c r="EY201" s="83"/>
      <c r="FG201" s="405"/>
      <c r="FM201" s="83"/>
      <c r="FU201" s="405"/>
      <c r="GA201" s="83"/>
      <c r="GI201" s="405"/>
      <c r="GO201" s="83"/>
      <c r="GW201" s="405"/>
      <c r="HC201" s="83"/>
      <c r="HK201" s="405"/>
      <c r="HQ201" s="83"/>
      <c r="HY201" s="405"/>
      <c r="IE201" s="83"/>
      <c r="IM201" s="405"/>
      <c r="IS201" s="83"/>
      <c r="JA201" s="405"/>
      <c r="JG201" s="83"/>
      <c r="JO201" s="405"/>
      <c r="JU201" s="83"/>
      <c r="KC201" s="405"/>
      <c r="KI201" s="83"/>
      <c r="KQ201" s="405"/>
      <c r="KW201" s="83"/>
      <c r="LE201" s="405"/>
      <c r="LK201" s="83"/>
      <c r="LS201" s="405"/>
      <c r="LY201" s="83"/>
      <c r="MG201" s="405"/>
      <c r="MM201" s="83"/>
      <c r="MU201" s="405"/>
      <c r="NA201" s="83"/>
    </row>
    <row r="202">
      <c r="A202" s="380"/>
      <c r="B202" s="380"/>
      <c r="C202" s="380"/>
      <c r="D202" s="380"/>
      <c r="E202" s="380"/>
      <c r="F202" s="380"/>
      <c r="G202" s="380"/>
      <c r="H202" s="380"/>
      <c r="I202" s="403"/>
      <c r="J202" s="380"/>
      <c r="K202" s="380"/>
      <c r="L202" s="380"/>
      <c r="M202" s="380"/>
      <c r="N202" s="380"/>
      <c r="O202" s="404"/>
      <c r="P202" s="380"/>
      <c r="Q202" s="380"/>
      <c r="R202" s="380"/>
      <c r="S202" s="380"/>
      <c r="T202" s="380"/>
      <c r="U202" s="380"/>
      <c r="V202" s="380"/>
      <c r="W202" s="403"/>
      <c r="X202" s="380"/>
      <c r="Y202" s="380"/>
      <c r="Z202" s="380"/>
      <c r="AA202" s="380"/>
      <c r="AB202" s="380"/>
      <c r="AC202" s="404"/>
      <c r="AD202" s="380"/>
      <c r="AE202" s="380"/>
      <c r="AF202" s="380"/>
      <c r="AG202" s="380"/>
      <c r="AH202" s="380"/>
      <c r="AI202" s="380"/>
      <c r="AJ202" s="380"/>
      <c r="AK202" s="403"/>
      <c r="AL202" s="380"/>
      <c r="AM202" s="380"/>
      <c r="AN202" s="380"/>
      <c r="AO202" s="380"/>
      <c r="AP202" s="380"/>
      <c r="AQ202" s="404"/>
      <c r="AR202" s="380"/>
      <c r="AS202" s="380"/>
      <c r="AT202" s="380"/>
      <c r="AU202" s="380"/>
      <c r="AV202" s="380"/>
      <c r="AW202" s="380"/>
      <c r="AX202" s="380"/>
      <c r="AY202" s="403"/>
      <c r="AZ202" s="380"/>
      <c r="BA202" s="380"/>
      <c r="BB202" s="380"/>
      <c r="BC202" s="380"/>
      <c r="BD202" s="380"/>
      <c r="BE202" s="404"/>
      <c r="BF202" s="380"/>
      <c r="BG202" s="380"/>
      <c r="BH202" s="380"/>
      <c r="BI202" s="380"/>
      <c r="BJ202" s="380"/>
      <c r="BK202" s="380"/>
      <c r="BL202" s="380"/>
      <c r="BM202" s="403"/>
      <c r="BS202" s="83"/>
      <c r="CA202" s="405"/>
      <c r="CG202" s="83"/>
      <c r="CO202" s="405"/>
      <c r="CU202" s="83"/>
      <c r="DC202" s="405"/>
      <c r="DI202" s="83"/>
      <c r="DQ202" s="405"/>
      <c r="DW202" s="83"/>
      <c r="EE202" s="405"/>
      <c r="EK202" s="83"/>
      <c r="ES202" s="405"/>
      <c r="EY202" s="83"/>
      <c r="FG202" s="405"/>
      <c r="FM202" s="83"/>
      <c r="FU202" s="405"/>
      <c r="GA202" s="83"/>
      <c r="GI202" s="405"/>
      <c r="GO202" s="83"/>
      <c r="GW202" s="405"/>
      <c r="HC202" s="83"/>
      <c r="HK202" s="405"/>
      <c r="HQ202" s="83"/>
      <c r="HY202" s="405"/>
      <c r="IE202" s="83"/>
      <c r="IM202" s="405"/>
      <c r="IS202" s="83"/>
      <c r="JA202" s="405"/>
      <c r="JG202" s="83"/>
      <c r="JO202" s="405"/>
      <c r="JU202" s="83"/>
      <c r="KC202" s="405"/>
      <c r="KI202" s="83"/>
      <c r="KQ202" s="405"/>
      <c r="KW202" s="83"/>
      <c r="LE202" s="405"/>
      <c r="LK202" s="83"/>
      <c r="LS202" s="405"/>
      <c r="LY202" s="83"/>
      <c r="MG202" s="405"/>
      <c r="MM202" s="83"/>
      <c r="MU202" s="405"/>
      <c r="NA202" s="83"/>
    </row>
    <row r="203">
      <c r="A203" s="380"/>
      <c r="B203" s="380"/>
      <c r="C203" s="380"/>
      <c r="D203" s="380"/>
      <c r="E203" s="380"/>
      <c r="F203" s="380"/>
      <c r="G203" s="380"/>
      <c r="H203" s="380"/>
      <c r="I203" s="403"/>
      <c r="J203" s="380"/>
      <c r="K203" s="380"/>
      <c r="L203" s="380"/>
      <c r="M203" s="380"/>
      <c r="N203" s="380"/>
      <c r="O203" s="404"/>
      <c r="P203" s="380"/>
      <c r="Q203" s="380"/>
      <c r="R203" s="380"/>
      <c r="S203" s="380"/>
      <c r="T203" s="380"/>
      <c r="U203" s="380"/>
      <c r="V203" s="380"/>
      <c r="W203" s="403"/>
      <c r="X203" s="380"/>
      <c r="Y203" s="380"/>
      <c r="Z203" s="380"/>
      <c r="AA203" s="380"/>
      <c r="AB203" s="380"/>
      <c r="AC203" s="404"/>
      <c r="AD203" s="380"/>
      <c r="AE203" s="380"/>
      <c r="AF203" s="380"/>
      <c r="AG203" s="380"/>
      <c r="AH203" s="380"/>
      <c r="AI203" s="380"/>
      <c r="AJ203" s="380"/>
      <c r="AK203" s="403"/>
      <c r="AL203" s="380"/>
      <c r="AM203" s="380"/>
      <c r="AN203" s="380"/>
      <c r="AO203" s="380"/>
      <c r="AP203" s="380"/>
      <c r="AQ203" s="404"/>
      <c r="AR203" s="380"/>
      <c r="AS203" s="380"/>
      <c r="AT203" s="380"/>
      <c r="AU203" s="380"/>
      <c r="AV203" s="380"/>
      <c r="AW203" s="380"/>
      <c r="AX203" s="380"/>
      <c r="AY203" s="403"/>
      <c r="AZ203" s="380"/>
      <c r="BA203" s="380"/>
      <c r="BB203" s="380"/>
      <c r="BC203" s="380"/>
      <c r="BD203" s="380"/>
      <c r="BE203" s="404"/>
      <c r="BF203" s="380"/>
      <c r="BG203" s="380"/>
      <c r="BH203" s="380"/>
      <c r="BI203" s="380"/>
      <c r="BJ203" s="380"/>
      <c r="BK203" s="380"/>
      <c r="BL203" s="380"/>
      <c r="BM203" s="403"/>
      <c r="BS203" s="83"/>
      <c r="CA203" s="405"/>
      <c r="CG203" s="83"/>
      <c r="CO203" s="405"/>
      <c r="CU203" s="83"/>
      <c r="DC203" s="405"/>
      <c r="DI203" s="83"/>
      <c r="DQ203" s="405"/>
      <c r="DW203" s="83"/>
      <c r="EE203" s="405"/>
      <c r="EK203" s="83"/>
      <c r="ES203" s="405"/>
      <c r="EY203" s="83"/>
      <c r="FG203" s="405"/>
      <c r="FM203" s="83"/>
      <c r="FU203" s="405"/>
      <c r="GA203" s="83"/>
      <c r="GI203" s="405"/>
      <c r="GO203" s="83"/>
      <c r="GW203" s="405"/>
      <c r="HC203" s="83"/>
      <c r="HK203" s="405"/>
      <c r="HQ203" s="83"/>
      <c r="HY203" s="405"/>
      <c r="IE203" s="83"/>
      <c r="IM203" s="405"/>
      <c r="IS203" s="83"/>
      <c r="JA203" s="405"/>
      <c r="JG203" s="83"/>
      <c r="JO203" s="405"/>
      <c r="JU203" s="83"/>
      <c r="KC203" s="405"/>
      <c r="KI203" s="83"/>
      <c r="KQ203" s="405"/>
      <c r="KW203" s="83"/>
      <c r="LE203" s="405"/>
      <c r="LK203" s="83"/>
      <c r="LS203" s="405"/>
      <c r="LY203" s="83"/>
      <c r="MG203" s="405"/>
      <c r="MM203" s="83"/>
      <c r="MU203" s="405"/>
      <c r="NA203" s="83"/>
    </row>
    <row r="204">
      <c r="A204" s="380"/>
      <c r="B204" s="380"/>
      <c r="C204" s="380"/>
      <c r="D204" s="380"/>
      <c r="E204" s="380"/>
      <c r="F204" s="380"/>
      <c r="G204" s="380"/>
      <c r="H204" s="380"/>
      <c r="I204" s="403"/>
      <c r="J204" s="380"/>
      <c r="K204" s="380"/>
      <c r="L204" s="380"/>
      <c r="M204" s="380"/>
      <c r="N204" s="380"/>
      <c r="O204" s="404"/>
      <c r="P204" s="380"/>
      <c r="Q204" s="380"/>
      <c r="R204" s="380"/>
      <c r="S204" s="380"/>
      <c r="T204" s="380"/>
      <c r="U204" s="380"/>
      <c r="V204" s="380"/>
      <c r="W204" s="403"/>
      <c r="X204" s="380"/>
      <c r="Y204" s="380"/>
      <c r="Z204" s="380"/>
      <c r="AA204" s="380"/>
      <c r="AB204" s="380"/>
      <c r="AC204" s="404"/>
      <c r="AD204" s="380"/>
      <c r="AE204" s="380"/>
      <c r="AF204" s="380"/>
      <c r="AG204" s="380"/>
      <c r="AH204" s="380"/>
      <c r="AI204" s="380"/>
      <c r="AJ204" s="380"/>
      <c r="AK204" s="403"/>
      <c r="AL204" s="380"/>
      <c r="AM204" s="380"/>
      <c r="AN204" s="380"/>
      <c r="AO204" s="380"/>
      <c r="AP204" s="380"/>
      <c r="AQ204" s="404"/>
      <c r="AR204" s="380"/>
      <c r="AS204" s="380"/>
      <c r="AT204" s="380"/>
      <c r="AU204" s="380"/>
      <c r="AV204" s="380"/>
      <c r="AW204" s="380"/>
      <c r="AX204" s="380"/>
      <c r="AY204" s="403"/>
      <c r="AZ204" s="380"/>
      <c r="BA204" s="380"/>
      <c r="BB204" s="380"/>
      <c r="BC204" s="380"/>
      <c r="BD204" s="380"/>
      <c r="BE204" s="404"/>
      <c r="BF204" s="380"/>
      <c r="BG204" s="380"/>
      <c r="BH204" s="380"/>
      <c r="BI204" s="380"/>
      <c r="BJ204" s="380"/>
      <c r="BK204" s="380"/>
      <c r="BL204" s="380"/>
      <c r="BM204" s="403"/>
      <c r="BS204" s="83"/>
      <c r="CA204" s="405"/>
      <c r="CG204" s="83"/>
      <c r="CO204" s="405"/>
      <c r="CU204" s="83"/>
      <c r="DC204" s="405"/>
      <c r="DI204" s="83"/>
      <c r="DQ204" s="405"/>
      <c r="DW204" s="83"/>
      <c r="EE204" s="405"/>
      <c r="EK204" s="83"/>
      <c r="ES204" s="405"/>
      <c r="EY204" s="83"/>
      <c r="FG204" s="405"/>
      <c r="FM204" s="83"/>
      <c r="FU204" s="405"/>
      <c r="GA204" s="83"/>
      <c r="GI204" s="405"/>
      <c r="GO204" s="83"/>
      <c r="GW204" s="405"/>
      <c r="HC204" s="83"/>
      <c r="HK204" s="405"/>
      <c r="HQ204" s="83"/>
      <c r="HY204" s="405"/>
      <c r="IE204" s="83"/>
      <c r="IM204" s="405"/>
      <c r="IS204" s="83"/>
      <c r="JA204" s="405"/>
      <c r="JG204" s="83"/>
      <c r="JO204" s="405"/>
      <c r="JU204" s="83"/>
      <c r="KC204" s="405"/>
      <c r="KI204" s="83"/>
      <c r="KQ204" s="405"/>
      <c r="KW204" s="83"/>
      <c r="LE204" s="405"/>
      <c r="LK204" s="83"/>
      <c r="LS204" s="405"/>
      <c r="LY204" s="83"/>
      <c r="MG204" s="405"/>
      <c r="MM204" s="83"/>
      <c r="MU204" s="405"/>
      <c r="NA204" s="83"/>
    </row>
    <row r="205">
      <c r="A205" s="380"/>
      <c r="B205" s="380"/>
      <c r="C205" s="380"/>
      <c r="D205" s="380"/>
      <c r="E205" s="380"/>
      <c r="F205" s="380"/>
      <c r="G205" s="380"/>
      <c r="H205" s="380"/>
      <c r="I205" s="403"/>
      <c r="J205" s="380"/>
      <c r="K205" s="380"/>
      <c r="L205" s="380"/>
      <c r="M205" s="380"/>
      <c r="N205" s="380"/>
      <c r="O205" s="404"/>
      <c r="P205" s="380"/>
      <c r="Q205" s="380"/>
      <c r="R205" s="380"/>
      <c r="S205" s="380"/>
      <c r="T205" s="380"/>
      <c r="U205" s="380"/>
      <c r="V205" s="380"/>
      <c r="W205" s="403"/>
      <c r="X205" s="380"/>
      <c r="Y205" s="380"/>
      <c r="Z205" s="380"/>
      <c r="AA205" s="380"/>
      <c r="AB205" s="380"/>
      <c r="AC205" s="404"/>
      <c r="AD205" s="380"/>
      <c r="AE205" s="380"/>
      <c r="AF205" s="380"/>
      <c r="AG205" s="380"/>
      <c r="AH205" s="380"/>
      <c r="AI205" s="380"/>
      <c r="AJ205" s="380"/>
      <c r="AK205" s="403"/>
      <c r="AL205" s="380"/>
      <c r="AM205" s="380"/>
      <c r="AN205" s="380"/>
      <c r="AO205" s="380"/>
      <c r="AP205" s="380"/>
      <c r="AQ205" s="404"/>
      <c r="AR205" s="380"/>
      <c r="AS205" s="380"/>
      <c r="AT205" s="380"/>
      <c r="AU205" s="380"/>
      <c r="AV205" s="380"/>
      <c r="AW205" s="380"/>
      <c r="AX205" s="380"/>
      <c r="AY205" s="403"/>
      <c r="AZ205" s="380"/>
      <c r="BA205" s="380"/>
      <c r="BB205" s="380"/>
      <c r="BC205" s="380"/>
      <c r="BD205" s="380"/>
      <c r="BE205" s="404"/>
      <c r="BF205" s="380"/>
      <c r="BG205" s="380"/>
      <c r="BH205" s="380"/>
      <c r="BI205" s="380"/>
      <c r="BJ205" s="380"/>
      <c r="BK205" s="380"/>
      <c r="BL205" s="380"/>
      <c r="BM205" s="403"/>
      <c r="BS205" s="83"/>
      <c r="CA205" s="405"/>
      <c r="CG205" s="83"/>
      <c r="CO205" s="405"/>
      <c r="CU205" s="83"/>
      <c r="DC205" s="405"/>
      <c r="DI205" s="83"/>
      <c r="DQ205" s="405"/>
      <c r="DW205" s="83"/>
      <c r="EE205" s="405"/>
      <c r="EK205" s="83"/>
      <c r="ES205" s="405"/>
      <c r="EY205" s="83"/>
      <c r="FG205" s="405"/>
      <c r="FM205" s="83"/>
      <c r="FU205" s="405"/>
      <c r="GA205" s="83"/>
      <c r="GI205" s="405"/>
      <c r="GO205" s="83"/>
      <c r="GW205" s="405"/>
      <c r="HC205" s="83"/>
      <c r="HK205" s="405"/>
      <c r="HQ205" s="83"/>
      <c r="HY205" s="405"/>
      <c r="IE205" s="83"/>
      <c r="IM205" s="405"/>
      <c r="IS205" s="83"/>
      <c r="JA205" s="405"/>
      <c r="JG205" s="83"/>
      <c r="JO205" s="405"/>
      <c r="JU205" s="83"/>
      <c r="KC205" s="405"/>
      <c r="KI205" s="83"/>
      <c r="KQ205" s="405"/>
      <c r="KW205" s="83"/>
      <c r="LE205" s="405"/>
      <c r="LK205" s="83"/>
      <c r="LS205" s="405"/>
      <c r="LY205" s="83"/>
      <c r="MG205" s="405"/>
      <c r="MM205" s="83"/>
      <c r="MU205" s="405"/>
      <c r="NA205" s="83"/>
    </row>
    <row r="206">
      <c r="A206" s="380"/>
      <c r="B206" s="380"/>
      <c r="C206" s="380"/>
      <c r="D206" s="380"/>
      <c r="E206" s="380"/>
      <c r="F206" s="380"/>
      <c r="G206" s="380"/>
      <c r="H206" s="380"/>
      <c r="I206" s="403"/>
      <c r="J206" s="380"/>
      <c r="K206" s="380"/>
      <c r="L206" s="380"/>
      <c r="M206" s="380"/>
      <c r="N206" s="380"/>
      <c r="O206" s="404"/>
      <c r="P206" s="380"/>
      <c r="Q206" s="380"/>
      <c r="R206" s="380"/>
      <c r="S206" s="380"/>
      <c r="T206" s="380"/>
      <c r="U206" s="380"/>
      <c r="V206" s="380"/>
      <c r="W206" s="403"/>
      <c r="X206" s="380"/>
      <c r="Y206" s="380"/>
      <c r="Z206" s="380"/>
      <c r="AA206" s="380"/>
      <c r="AB206" s="380"/>
      <c r="AC206" s="404"/>
      <c r="AD206" s="380"/>
      <c r="AE206" s="380"/>
      <c r="AF206" s="380"/>
      <c r="AG206" s="380"/>
      <c r="AH206" s="380"/>
      <c r="AI206" s="380"/>
      <c r="AJ206" s="380"/>
      <c r="AK206" s="403"/>
      <c r="AL206" s="380"/>
      <c r="AM206" s="380"/>
      <c r="AN206" s="380"/>
      <c r="AO206" s="380"/>
      <c r="AP206" s="380"/>
      <c r="AQ206" s="404"/>
      <c r="AR206" s="380"/>
      <c r="AS206" s="380"/>
      <c r="AT206" s="380"/>
      <c r="AU206" s="380"/>
      <c r="AV206" s="380"/>
      <c r="AW206" s="380"/>
      <c r="AX206" s="380"/>
      <c r="AY206" s="403"/>
      <c r="AZ206" s="380"/>
      <c r="BA206" s="380"/>
      <c r="BB206" s="380"/>
      <c r="BC206" s="380"/>
      <c r="BD206" s="380"/>
      <c r="BE206" s="404"/>
      <c r="BF206" s="380"/>
      <c r="BG206" s="380"/>
      <c r="BH206" s="380"/>
      <c r="BI206" s="380"/>
      <c r="BJ206" s="380"/>
      <c r="BK206" s="380"/>
      <c r="BL206" s="380"/>
      <c r="BM206" s="403"/>
      <c r="BS206" s="83"/>
      <c r="CA206" s="405"/>
      <c r="CG206" s="83"/>
      <c r="CO206" s="405"/>
      <c r="CU206" s="83"/>
      <c r="DC206" s="405"/>
      <c r="DI206" s="83"/>
      <c r="DQ206" s="405"/>
      <c r="DW206" s="83"/>
      <c r="EE206" s="405"/>
      <c r="EK206" s="83"/>
      <c r="ES206" s="405"/>
      <c r="EY206" s="83"/>
      <c r="FG206" s="405"/>
      <c r="FM206" s="83"/>
      <c r="FU206" s="405"/>
      <c r="GA206" s="83"/>
      <c r="GI206" s="405"/>
      <c r="GO206" s="83"/>
      <c r="GW206" s="405"/>
      <c r="HC206" s="83"/>
      <c r="HK206" s="405"/>
      <c r="HQ206" s="83"/>
      <c r="HY206" s="405"/>
      <c r="IE206" s="83"/>
      <c r="IM206" s="405"/>
      <c r="IS206" s="83"/>
      <c r="JA206" s="405"/>
      <c r="JG206" s="83"/>
      <c r="JO206" s="405"/>
      <c r="JU206" s="83"/>
      <c r="KC206" s="405"/>
      <c r="KI206" s="83"/>
      <c r="KQ206" s="405"/>
      <c r="KW206" s="83"/>
      <c r="LE206" s="405"/>
      <c r="LK206" s="83"/>
      <c r="LS206" s="405"/>
      <c r="LY206" s="83"/>
      <c r="MG206" s="405"/>
      <c r="MM206" s="83"/>
      <c r="MU206" s="405"/>
      <c r="NA206" s="83"/>
    </row>
    <row r="207">
      <c r="A207" s="380"/>
      <c r="B207" s="380"/>
      <c r="C207" s="380"/>
      <c r="D207" s="380"/>
      <c r="E207" s="380"/>
      <c r="F207" s="380"/>
      <c r="G207" s="380"/>
      <c r="H207" s="380"/>
      <c r="I207" s="403"/>
      <c r="J207" s="380"/>
      <c r="K207" s="380"/>
      <c r="L207" s="380"/>
      <c r="M207" s="380"/>
      <c r="N207" s="380"/>
      <c r="O207" s="404"/>
      <c r="P207" s="380"/>
      <c r="Q207" s="380"/>
      <c r="R207" s="380"/>
      <c r="S207" s="380"/>
      <c r="T207" s="380"/>
      <c r="U207" s="380"/>
      <c r="V207" s="380"/>
      <c r="W207" s="403"/>
      <c r="X207" s="380"/>
      <c r="Y207" s="380"/>
      <c r="Z207" s="380"/>
      <c r="AA207" s="380"/>
      <c r="AB207" s="380"/>
      <c r="AC207" s="404"/>
      <c r="AD207" s="380"/>
      <c r="AE207" s="380"/>
      <c r="AF207" s="380"/>
      <c r="AG207" s="380"/>
      <c r="AH207" s="380"/>
      <c r="AI207" s="380"/>
      <c r="AJ207" s="380"/>
      <c r="AK207" s="403"/>
      <c r="AL207" s="380"/>
      <c r="AM207" s="380"/>
      <c r="AN207" s="380"/>
      <c r="AO207" s="380"/>
      <c r="AP207" s="380"/>
      <c r="AQ207" s="404"/>
      <c r="AR207" s="380"/>
      <c r="AS207" s="380"/>
      <c r="AT207" s="380"/>
      <c r="AU207" s="380"/>
      <c r="AV207" s="380"/>
      <c r="AW207" s="380"/>
      <c r="AX207" s="380"/>
      <c r="AY207" s="403"/>
      <c r="AZ207" s="380"/>
      <c r="BA207" s="380"/>
      <c r="BB207" s="380"/>
      <c r="BC207" s="380"/>
      <c r="BD207" s="380"/>
      <c r="BE207" s="404"/>
      <c r="BF207" s="380"/>
      <c r="BG207" s="380"/>
      <c r="BH207" s="380"/>
      <c r="BI207" s="380"/>
      <c r="BJ207" s="380"/>
      <c r="BK207" s="380"/>
      <c r="BL207" s="380"/>
      <c r="BM207" s="403"/>
      <c r="BS207" s="83"/>
      <c r="CA207" s="405"/>
      <c r="CG207" s="83"/>
      <c r="CO207" s="405"/>
      <c r="CU207" s="83"/>
      <c r="DC207" s="405"/>
      <c r="DI207" s="83"/>
      <c r="DQ207" s="405"/>
      <c r="DW207" s="83"/>
      <c r="EE207" s="405"/>
      <c r="EK207" s="83"/>
      <c r="ES207" s="405"/>
      <c r="EY207" s="83"/>
      <c r="FG207" s="405"/>
      <c r="FM207" s="83"/>
      <c r="FU207" s="405"/>
      <c r="GA207" s="83"/>
      <c r="GI207" s="405"/>
      <c r="GO207" s="83"/>
      <c r="GW207" s="405"/>
      <c r="HC207" s="83"/>
      <c r="HK207" s="405"/>
      <c r="HQ207" s="83"/>
      <c r="HY207" s="405"/>
      <c r="IE207" s="83"/>
      <c r="IM207" s="405"/>
      <c r="IS207" s="83"/>
      <c r="JA207" s="405"/>
      <c r="JG207" s="83"/>
      <c r="JO207" s="405"/>
      <c r="JU207" s="83"/>
      <c r="KC207" s="405"/>
      <c r="KI207" s="83"/>
      <c r="KQ207" s="405"/>
      <c r="KW207" s="83"/>
      <c r="LE207" s="405"/>
      <c r="LK207" s="83"/>
      <c r="LS207" s="405"/>
      <c r="LY207" s="83"/>
      <c r="MG207" s="405"/>
      <c r="MM207" s="83"/>
      <c r="MU207" s="405"/>
      <c r="NA207" s="83"/>
    </row>
    <row r="208">
      <c r="A208" s="380"/>
      <c r="B208" s="380"/>
      <c r="C208" s="380"/>
      <c r="D208" s="380"/>
      <c r="E208" s="380"/>
      <c r="F208" s="380"/>
      <c r="G208" s="380"/>
      <c r="H208" s="380"/>
      <c r="I208" s="403"/>
      <c r="J208" s="380"/>
      <c r="K208" s="380"/>
      <c r="L208" s="380"/>
      <c r="M208" s="380"/>
      <c r="N208" s="380"/>
      <c r="O208" s="404"/>
      <c r="P208" s="380"/>
      <c r="Q208" s="380"/>
      <c r="R208" s="380"/>
      <c r="S208" s="380"/>
      <c r="T208" s="380"/>
      <c r="U208" s="380"/>
      <c r="V208" s="380"/>
      <c r="W208" s="403"/>
      <c r="X208" s="380"/>
      <c r="Y208" s="380"/>
      <c r="Z208" s="380"/>
      <c r="AA208" s="380"/>
      <c r="AB208" s="380"/>
      <c r="AC208" s="404"/>
      <c r="AD208" s="380"/>
      <c r="AE208" s="380"/>
      <c r="AF208" s="380"/>
      <c r="AG208" s="380"/>
      <c r="AH208" s="380"/>
      <c r="AI208" s="380"/>
      <c r="AJ208" s="380"/>
      <c r="AK208" s="403"/>
      <c r="AL208" s="380"/>
      <c r="AM208" s="380"/>
      <c r="AN208" s="380"/>
      <c r="AO208" s="380"/>
      <c r="AP208" s="380"/>
      <c r="AQ208" s="404"/>
      <c r="AR208" s="380"/>
      <c r="AS208" s="380"/>
      <c r="AT208" s="380"/>
      <c r="AU208" s="380"/>
      <c r="AV208" s="380"/>
      <c r="AW208" s="380"/>
      <c r="AX208" s="380"/>
      <c r="AY208" s="403"/>
      <c r="AZ208" s="380"/>
      <c r="BA208" s="380"/>
      <c r="BB208" s="380"/>
      <c r="BC208" s="380"/>
      <c r="BD208" s="380"/>
      <c r="BE208" s="404"/>
      <c r="BF208" s="380"/>
      <c r="BG208" s="380"/>
      <c r="BH208" s="380"/>
      <c r="BI208" s="380"/>
      <c r="BJ208" s="380"/>
      <c r="BK208" s="380"/>
      <c r="BL208" s="380"/>
      <c r="BM208" s="403"/>
      <c r="BS208" s="83"/>
      <c r="CA208" s="405"/>
      <c r="CG208" s="83"/>
      <c r="CO208" s="405"/>
      <c r="CU208" s="83"/>
      <c r="DC208" s="405"/>
      <c r="DI208" s="83"/>
      <c r="DQ208" s="405"/>
      <c r="DW208" s="83"/>
      <c r="EE208" s="405"/>
      <c r="EK208" s="83"/>
      <c r="ES208" s="405"/>
      <c r="EY208" s="83"/>
      <c r="FG208" s="405"/>
      <c r="FM208" s="83"/>
      <c r="FU208" s="405"/>
      <c r="GA208" s="83"/>
      <c r="GI208" s="405"/>
      <c r="GO208" s="83"/>
      <c r="GW208" s="405"/>
      <c r="HC208" s="83"/>
      <c r="HK208" s="405"/>
      <c r="HQ208" s="83"/>
      <c r="HY208" s="405"/>
      <c r="IE208" s="83"/>
      <c r="IM208" s="405"/>
      <c r="IS208" s="83"/>
      <c r="JA208" s="405"/>
      <c r="JG208" s="83"/>
      <c r="JO208" s="405"/>
      <c r="JU208" s="83"/>
      <c r="KC208" s="405"/>
      <c r="KI208" s="83"/>
      <c r="KQ208" s="405"/>
      <c r="KW208" s="83"/>
      <c r="LE208" s="405"/>
      <c r="LK208" s="83"/>
      <c r="LS208" s="405"/>
      <c r="LY208" s="83"/>
      <c r="MG208" s="405"/>
      <c r="MM208" s="83"/>
      <c r="MU208" s="405"/>
      <c r="NA208" s="83"/>
    </row>
    <row r="209">
      <c r="A209" s="380"/>
      <c r="B209" s="380"/>
      <c r="C209" s="380"/>
      <c r="D209" s="380"/>
      <c r="E209" s="380"/>
      <c r="F209" s="380"/>
      <c r="G209" s="380"/>
      <c r="H209" s="380"/>
      <c r="I209" s="403"/>
      <c r="J209" s="380"/>
      <c r="K209" s="380"/>
      <c r="L209" s="380"/>
      <c r="M209" s="380"/>
      <c r="N209" s="380"/>
      <c r="O209" s="404"/>
      <c r="P209" s="380"/>
      <c r="Q209" s="380"/>
      <c r="R209" s="380"/>
      <c r="S209" s="380"/>
      <c r="T209" s="380"/>
      <c r="U209" s="380"/>
      <c r="V209" s="380"/>
      <c r="W209" s="403"/>
      <c r="X209" s="380"/>
      <c r="Y209" s="380"/>
      <c r="Z209" s="380"/>
      <c r="AA209" s="380"/>
      <c r="AB209" s="380"/>
      <c r="AC209" s="404"/>
      <c r="AD209" s="380"/>
      <c r="AE209" s="380"/>
      <c r="AF209" s="380"/>
      <c r="AG209" s="380"/>
      <c r="AH209" s="380"/>
      <c r="AI209" s="380"/>
      <c r="AJ209" s="380"/>
      <c r="AK209" s="403"/>
      <c r="AL209" s="380"/>
      <c r="AM209" s="380"/>
      <c r="AN209" s="380"/>
      <c r="AO209" s="380"/>
      <c r="AP209" s="380"/>
      <c r="AQ209" s="404"/>
      <c r="AR209" s="380"/>
      <c r="AS209" s="380"/>
      <c r="AT209" s="380"/>
      <c r="AU209" s="380"/>
      <c r="AV209" s="380"/>
      <c r="AW209" s="380"/>
      <c r="AX209" s="380"/>
      <c r="AY209" s="403"/>
      <c r="AZ209" s="380"/>
      <c r="BA209" s="380"/>
      <c r="BB209" s="380"/>
      <c r="BC209" s="380"/>
      <c r="BD209" s="380"/>
      <c r="BE209" s="404"/>
      <c r="BF209" s="380"/>
      <c r="BG209" s="380"/>
      <c r="BH209" s="380"/>
      <c r="BI209" s="380"/>
      <c r="BJ209" s="380"/>
      <c r="BK209" s="380"/>
      <c r="BL209" s="380"/>
      <c r="BM209" s="403"/>
      <c r="BS209" s="83"/>
      <c r="CA209" s="405"/>
      <c r="CG209" s="83"/>
      <c r="CO209" s="405"/>
      <c r="CU209" s="83"/>
      <c r="DC209" s="405"/>
      <c r="DI209" s="83"/>
      <c r="DQ209" s="405"/>
      <c r="DW209" s="83"/>
      <c r="EE209" s="405"/>
      <c r="EK209" s="83"/>
      <c r="ES209" s="405"/>
      <c r="EY209" s="83"/>
      <c r="FG209" s="405"/>
      <c r="FM209" s="83"/>
      <c r="FU209" s="405"/>
      <c r="GA209" s="83"/>
      <c r="GI209" s="405"/>
      <c r="GO209" s="83"/>
      <c r="GW209" s="405"/>
      <c r="HC209" s="83"/>
      <c r="HK209" s="405"/>
      <c r="HQ209" s="83"/>
      <c r="HY209" s="405"/>
      <c r="IE209" s="83"/>
      <c r="IM209" s="405"/>
      <c r="IS209" s="83"/>
      <c r="JA209" s="405"/>
      <c r="JG209" s="83"/>
      <c r="JO209" s="405"/>
      <c r="JU209" s="83"/>
      <c r="KC209" s="405"/>
      <c r="KI209" s="83"/>
      <c r="KQ209" s="405"/>
      <c r="KW209" s="83"/>
      <c r="LE209" s="405"/>
      <c r="LK209" s="83"/>
      <c r="LS209" s="405"/>
      <c r="LY209" s="83"/>
      <c r="MG209" s="405"/>
      <c r="MM209" s="83"/>
      <c r="MU209" s="405"/>
      <c r="NA209" s="83"/>
    </row>
    <row r="210">
      <c r="A210" s="380"/>
      <c r="B210" s="380"/>
      <c r="C210" s="380"/>
      <c r="D210" s="380"/>
      <c r="E210" s="380"/>
      <c r="F210" s="380"/>
      <c r="G210" s="380"/>
      <c r="H210" s="380"/>
      <c r="I210" s="403"/>
      <c r="J210" s="380"/>
      <c r="K210" s="380"/>
      <c r="L210" s="380"/>
      <c r="M210" s="380"/>
      <c r="N210" s="380"/>
      <c r="O210" s="404"/>
      <c r="P210" s="380"/>
      <c r="Q210" s="380"/>
      <c r="R210" s="380"/>
      <c r="S210" s="380"/>
      <c r="T210" s="380"/>
      <c r="U210" s="380"/>
      <c r="V210" s="380"/>
      <c r="W210" s="403"/>
      <c r="X210" s="380"/>
      <c r="Y210" s="380"/>
      <c r="Z210" s="380"/>
      <c r="AA210" s="380"/>
      <c r="AB210" s="380"/>
      <c r="AC210" s="404"/>
      <c r="AD210" s="380"/>
      <c r="AE210" s="380"/>
      <c r="AF210" s="380"/>
      <c r="AG210" s="380"/>
      <c r="AH210" s="380"/>
      <c r="AI210" s="380"/>
      <c r="AJ210" s="380"/>
      <c r="AK210" s="403"/>
      <c r="AL210" s="380"/>
      <c r="AM210" s="380"/>
      <c r="AN210" s="380"/>
      <c r="AO210" s="380"/>
      <c r="AP210" s="380"/>
      <c r="AQ210" s="404"/>
      <c r="AR210" s="380"/>
      <c r="AS210" s="380"/>
      <c r="AT210" s="380"/>
      <c r="AU210" s="380"/>
      <c r="AV210" s="380"/>
      <c r="AW210" s="380"/>
      <c r="AX210" s="380"/>
      <c r="AY210" s="403"/>
      <c r="AZ210" s="380"/>
      <c r="BA210" s="380"/>
      <c r="BB210" s="380"/>
      <c r="BC210" s="380"/>
      <c r="BD210" s="380"/>
      <c r="BE210" s="404"/>
      <c r="BF210" s="380"/>
      <c r="BG210" s="380"/>
      <c r="BH210" s="380"/>
      <c r="BI210" s="380"/>
      <c r="BJ210" s="380"/>
      <c r="BK210" s="380"/>
      <c r="BL210" s="380"/>
      <c r="BM210" s="403"/>
      <c r="BS210" s="83"/>
      <c r="CA210" s="405"/>
      <c r="CG210" s="83"/>
      <c r="CO210" s="405"/>
      <c r="CU210" s="83"/>
      <c r="DC210" s="405"/>
      <c r="DI210" s="83"/>
      <c r="DQ210" s="405"/>
      <c r="DW210" s="83"/>
      <c r="EE210" s="405"/>
      <c r="EK210" s="83"/>
      <c r="ES210" s="405"/>
      <c r="EY210" s="83"/>
      <c r="FG210" s="405"/>
      <c r="FM210" s="83"/>
      <c r="FU210" s="405"/>
      <c r="GA210" s="83"/>
      <c r="GI210" s="405"/>
      <c r="GO210" s="83"/>
      <c r="GW210" s="405"/>
      <c r="HC210" s="83"/>
      <c r="HK210" s="405"/>
      <c r="HQ210" s="83"/>
      <c r="HY210" s="405"/>
      <c r="IE210" s="83"/>
      <c r="IM210" s="405"/>
      <c r="IS210" s="83"/>
      <c r="JA210" s="405"/>
      <c r="JG210" s="83"/>
      <c r="JO210" s="405"/>
      <c r="JU210" s="83"/>
      <c r="KC210" s="405"/>
      <c r="KI210" s="83"/>
      <c r="KQ210" s="405"/>
      <c r="KW210" s="83"/>
      <c r="LE210" s="405"/>
      <c r="LK210" s="83"/>
      <c r="LS210" s="405"/>
      <c r="LY210" s="83"/>
      <c r="MG210" s="405"/>
      <c r="MM210" s="83"/>
      <c r="MU210" s="405"/>
      <c r="NA210" s="83"/>
    </row>
    <row r="211">
      <c r="A211" s="380"/>
      <c r="B211" s="380"/>
      <c r="C211" s="380"/>
      <c r="D211" s="380"/>
      <c r="E211" s="380"/>
      <c r="F211" s="380"/>
      <c r="G211" s="380"/>
      <c r="H211" s="380"/>
      <c r="I211" s="403"/>
      <c r="J211" s="380"/>
      <c r="K211" s="380"/>
      <c r="L211" s="380"/>
      <c r="M211" s="380"/>
      <c r="N211" s="380"/>
      <c r="O211" s="404"/>
      <c r="P211" s="380"/>
      <c r="Q211" s="380"/>
      <c r="R211" s="380"/>
      <c r="S211" s="380"/>
      <c r="T211" s="380"/>
      <c r="U211" s="380"/>
      <c r="V211" s="380"/>
      <c r="W211" s="403"/>
      <c r="X211" s="380"/>
      <c r="Y211" s="380"/>
      <c r="Z211" s="380"/>
      <c r="AA211" s="380"/>
      <c r="AB211" s="380"/>
      <c r="AC211" s="404"/>
      <c r="AD211" s="380"/>
      <c r="AE211" s="380"/>
      <c r="AF211" s="380"/>
      <c r="AG211" s="380"/>
      <c r="AH211" s="380"/>
      <c r="AI211" s="380"/>
      <c r="AJ211" s="380"/>
      <c r="AK211" s="403"/>
      <c r="AL211" s="380"/>
      <c r="AM211" s="380"/>
      <c r="AN211" s="380"/>
      <c r="AO211" s="380"/>
      <c r="AP211" s="380"/>
      <c r="AQ211" s="404"/>
      <c r="AR211" s="380"/>
      <c r="AS211" s="380"/>
      <c r="AT211" s="380"/>
      <c r="AU211" s="380"/>
      <c r="AV211" s="380"/>
      <c r="AW211" s="380"/>
      <c r="AX211" s="380"/>
      <c r="AY211" s="403"/>
      <c r="AZ211" s="380"/>
      <c r="BA211" s="380"/>
      <c r="BB211" s="380"/>
      <c r="BC211" s="380"/>
      <c r="BD211" s="380"/>
      <c r="BE211" s="404"/>
      <c r="BF211" s="380"/>
      <c r="BG211" s="380"/>
      <c r="BH211" s="380"/>
      <c r="BI211" s="380"/>
      <c r="BJ211" s="380"/>
      <c r="BK211" s="380"/>
      <c r="BL211" s="380"/>
      <c r="BM211" s="403"/>
      <c r="BS211" s="83"/>
      <c r="CA211" s="405"/>
      <c r="CG211" s="83"/>
      <c r="CO211" s="405"/>
      <c r="CU211" s="83"/>
      <c r="DC211" s="405"/>
      <c r="DI211" s="83"/>
      <c r="DQ211" s="405"/>
      <c r="DW211" s="83"/>
      <c r="EE211" s="405"/>
      <c r="EK211" s="83"/>
      <c r="ES211" s="405"/>
      <c r="EY211" s="83"/>
      <c r="FG211" s="405"/>
      <c r="FM211" s="83"/>
      <c r="FU211" s="405"/>
      <c r="GA211" s="83"/>
      <c r="GI211" s="405"/>
      <c r="GO211" s="83"/>
      <c r="GW211" s="405"/>
      <c r="HC211" s="83"/>
      <c r="HK211" s="405"/>
      <c r="HQ211" s="83"/>
      <c r="HY211" s="405"/>
      <c r="IE211" s="83"/>
      <c r="IM211" s="405"/>
      <c r="IS211" s="83"/>
      <c r="JA211" s="405"/>
      <c r="JG211" s="83"/>
      <c r="JO211" s="405"/>
      <c r="JU211" s="83"/>
      <c r="KC211" s="405"/>
      <c r="KI211" s="83"/>
      <c r="KQ211" s="405"/>
      <c r="KW211" s="83"/>
      <c r="LE211" s="405"/>
      <c r="LK211" s="83"/>
      <c r="LS211" s="405"/>
      <c r="LY211" s="83"/>
      <c r="MG211" s="405"/>
      <c r="MM211" s="83"/>
      <c r="MU211" s="405"/>
      <c r="NA211" s="83"/>
    </row>
    <row r="212">
      <c r="A212" s="380"/>
      <c r="B212" s="380"/>
      <c r="C212" s="380"/>
      <c r="D212" s="380"/>
      <c r="E212" s="380"/>
      <c r="F212" s="380"/>
      <c r="G212" s="380"/>
      <c r="H212" s="380"/>
      <c r="I212" s="403"/>
      <c r="J212" s="380"/>
      <c r="K212" s="380"/>
      <c r="L212" s="380"/>
      <c r="M212" s="380"/>
      <c r="N212" s="380"/>
      <c r="O212" s="404"/>
      <c r="P212" s="380"/>
      <c r="Q212" s="380"/>
      <c r="R212" s="380"/>
      <c r="S212" s="380"/>
      <c r="T212" s="380"/>
      <c r="U212" s="380"/>
      <c r="V212" s="380"/>
      <c r="W212" s="403"/>
      <c r="X212" s="380"/>
      <c r="Y212" s="380"/>
      <c r="Z212" s="380"/>
      <c r="AA212" s="380"/>
      <c r="AB212" s="380"/>
      <c r="AC212" s="404"/>
      <c r="AD212" s="380"/>
      <c r="AE212" s="380"/>
      <c r="AF212" s="380"/>
      <c r="AG212" s="380"/>
      <c r="AH212" s="380"/>
      <c r="AI212" s="380"/>
      <c r="AJ212" s="380"/>
      <c r="AK212" s="403"/>
      <c r="AL212" s="380"/>
      <c r="AM212" s="380"/>
      <c r="AN212" s="380"/>
      <c r="AO212" s="380"/>
      <c r="AP212" s="380"/>
      <c r="AQ212" s="404"/>
      <c r="AR212" s="380"/>
      <c r="AS212" s="380"/>
      <c r="AT212" s="380"/>
      <c r="AU212" s="380"/>
      <c r="AV212" s="380"/>
      <c r="AW212" s="380"/>
      <c r="AX212" s="380"/>
      <c r="AY212" s="403"/>
      <c r="AZ212" s="380"/>
      <c r="BA212" s="380"/>
      <c r="BB212" s="380"/>
      <c r="BC212" s="380"/>
      <c r="BD212" s="380"/>
      <c r="BE212" s="404"/>
      <c r="BF212" s="380"/>
      <c r="BG212" s="380"/>
      <c r="BH212" s="380"/>
      <c r="BI212" s="380"/>
      <c r="BJ212" s="380"/>
      <c r="BK212" s="380"/>
      <c r="BL212" s="380"/>
      <c r="BM212" s="403"/>
      <c r="BS212" s="83"/>
      <c r="CA212" s="405"/>
      <c r="CG212" s="83"/>
      <c r="CO212" s="405"/>
      <c r="CU212" s="83"/>
      <c r="DC212" s="405"/>
      <c r="DI212" s="83"/>
      <c r="DQ212" s="405"/>
      <c r="DW212" s="83"/>
      <c r="EE212" s="405"/>
      <c r="EK212" s="83"/>
      <c r="ES212" s="405"/>
      <c r="EY212" s="83"/>
      <c r="FG212" s="405"/>
      <c r="FM212" s="83"/>
      <c r="FU212" s="405"/>
      <c r="GA212" s="83"/>
      <c r="GI212" s="405"/>
      <c r="GO212" s="83"/>
      <c r="GW212" s="405"/>
      <c r="HC212" s="83"/>
      <c r="HK212" s="405"/>
      <c r="HQ212" s="83"/>
      <c r="HY212" s="405"/>
      <c r="IE212" s="83"/>
      <c r="IM212" s="405"/>
      <c r="IS212" s="83"/>
      <c r="JA212" s="405"/>
      <c r="JG212" s="83"/>
      <c r="JO212" s="405"/>
      <c r="JU212" s="83"/>
      <c r="KC212" s="405"/>
      <c r="KI212" s="83"/>
      <c r="KQ212" s="405"/>
      <c r="KW212" s="83"/>
      <c r="LE212" s="405"/>
      <c r="LK212" s="83"/>
      <c r="LS212" s="405"/>
      <c r="LY212" s="83"/>
      <c r="MG212" s="405"/>
      <c r="MM212" s="83"/>
      <c r="MU212" s="405"/>
      <c r="NA212" s="83"/>
    </row>
    <row r="213">
      <c r="A213" s="380"/>
      <c r="B213" s="380"/>
      <c r="C213" s="380"/>
      <c r="D213" s="380"/>
      <c r="E213" s="380"/>
      <c r="F213" s="380"/>
      <c r="G213" s="380"/>
      <c r="H213" s="380"/>
      <c r="I213" s="403"/>
      <c r="J213" s="380"/>
      <c r="K213" s="380"/>
      <c r="L213" s="380"/>
      <c r="M213" s="380"/>
      <c r="N213" s="380"/>
      <c r="O213" s="404"/>
      <c r="P213" s="380"/>
      <c r="Q213" s="380"/>
      <c r="R213" s="380"/>
      <c r="S213" s="380"/>
      <c r="T213" s="380"/>
      <c r="U213" s="380"/>
      <c r="V213" s="380"/>
      <c r="W213" s="403"/>
      <c r="X213" s="380"/>
      <c r="Y213" s="380"/>
      <c r="Z213" s="380"/>
      <c r="AA213" s="380"/>
      <c r="AB213" s="380"/>
      <c r="AC213" s="404"/>
      <c r="AD213" s="380"/>
      <c r="AE213" s="380"/>
      <c r="AF213" s="380"/>
      <c r="AG213" s="380"/>
      <c r="AH213" s="380"/>
      <c r="AI213" s="380"/>
      <c r="AJ213" s="380"/>
      <c r="AK213" s="403"/>
      <c r="AL213" s="380"/>
      <c r="AM213" s="380"/>
      <c r="AN213" s="380"/>
      <c r="AO213" s="380"/>
      <c r="AP213" s="380"/>
      <c r="AQ213" s="404"/>
      <c r="AR213" s="380"/>
      <c r="AS213" s="380"/>
      <c r="AT213" s="380"/>
      <c r="AU213" s="380"/>
      <c r="AV213" s="380"/>
      <c r="AW213" s="380"/>
      <c r="AX213" s="380"/>
      <c r="AY213" s="403"/>
      <c r="AZ213" s="380"/>
      <c r="BA213" s="380"/>
      <c r="BB213" s="380"/>
      <c r="BC213" s="380"/>
      <c r="BD213" s="380"/>
      <c r="BE213" s="404"/>
      <c r="BF213" s="380"/>
      <c r="BG213" s="380"/>
      <c r="BH213" s="380"/>
      <c r="BI213" s="380"/>
      <c r="BJ213" s="380"/>
      <c r="BK213" s="380"/>
      <c r="BL213" s="380"/>
      <c r="BM213" s="403"/>
      <c r="BS213" s="83"/>
      <c r="CA213" s="405"/>
      <c r="CG213" s="83"/>
      <c r="CO213" s="405"/>
      <c r="CU213" s="83"/>
      <c r="DC213" s="405"/>
      <c r="DI213" s="83"/>
      <c r="DQ213" s="405"/>
      <c r="DW213" s="83"/>
      <c r="EE213" s="405"/>
      <c r="EK213" s="83"/>
      <c r="ES213" s="405"/>
      <c r="EY213" s="83"/>
      <c r="FG213" s="405"/>
      <c r="FM213" s="83"/>
      <c r="FU213" s="405"/>
      <c r="GA213" s="83"/>
      <c r="GI213" s="405"/>
      <c r="GO213" s="83"/>
      <c r="GW213" s="405"/>
      <c r="HC213" s="83"/>
      <c r="HK213" s="405"/>
      <c r="HQ213" s="83"/>
      <c r="HY213" s="405"/>
      <c r="IE213" s="83"/>
      <c r="IM213" s="405"/>
      <c r="IS213" s="83"/>
      <c r="JA213" s="405"/>
      <c r="JG213" s="83"/>
      <c r="JO213" s="405"/>
      <c r="JU213" s="83"/>
      <c r="KC213" s="405"/>
      <c r="KI213" s="83"/>
      <c r="KQ213" s="405"/>
      <c r="KW213" s="83"/>
      <c r="LE213" s="405"/>
      <c r="LK213" s="83"/>
      <c r="LS213" s="405"/>
      <c r="LY213" s="83"/>
      <c r="MG213" s="405"/>
      <c r="MM213" s="83"/>
      <c r="MU213" s="405"/>
      <c r="NA213" s="83"/>
    </row>
    <row r="214">
      <c r="A214" s="380"/>
      <c r="B214" s="380"/>
      <c r="C214" s="380"/>
      <c r="D214" s="380"/>
      <c r="E214" s="380"/>
      <c r="F214" s="380"/>
      <c r="G214" s="380"/>
      <c r="H214" s="380"/>
      <c r="I214" s="403"/>
      <c r="J214" s="380"/>
      <c r="K214" s="380"/>
      <c r="L214" s="380"/>
      <c r="M214" s="380"/>
      <c r="N214" s="380"/>
      <c r="O214" s="404"/>
      <c r="P214" s="380"/>
      <c r="Q214" s="380"/>
      <c r="R214" s="380"/>
      <c r="S214" s="380"/>
      <c r="T214" s="380"/>
      <c r="U214" s="380"/>
      <c r="V214" s="380"/>
      <c r="W214" s="403"/>
      <c r="X214" s="380"/>
      <c r="Y214" s="380"/>
      <c r="Z214" s="380"/>
      <c r="AA214" s="380"/>
      <c r="AB214" s="380"/>
      <c r="AC214" s="404"/>
      <c r="AD214" s="380"/>
      <c r="AE214" s="380"/>
      <c r="AF214" s="380"/>
      <c r="AG214" s="380"/>
      <c r="AH214" s="380"/>
      <c r="AI214" s="380"/>
      <c r="AJ214" s="380"/>
      <c r="AK214" s="403"/>
      <c r="AL214" s="380"/>
      <c r="AM214" s="380"/>
      <c r="AN214" s="380"/>
      <c r="AO214" s="380"/>
      <c r="AP214" s="380"/>
      <c r="AQ214" s="404"/>
      <c r="AR214" s="380"/>
      <c r="AS214" s="380"/>
      <c r="AT214" s="380"/>
      <c r="AU214" s="380"/>
      <c r="AV214" s="380"/>
      <c r="AW214" s="380"/>
      <c r="AX214" s="380"/>
      <c r="AY214" s="403"/>
      <c r="AZ214" s="380"/>
      <c r="BA214" s="380"/>
      <c r="BB214" s="380"/>
      <c r="BC214" s="380"/>
      <c r="BD214" s="380"/>
      <c r="BE214" s="404"/>
      <c r="BF214" s="380"/>
      <c r="BG214" s="380"/>
      <c r="BH214" s="380"/>
      <c r="BI214" s="380"/>
      <c r="BJ214" s="380"/>
      <c r="BK214" s="380"/>
      <c r="BL214" s="380"/>
      <c r="BM214" s="403"/>
      <c r="BS214" s="83"/>
      <c r="CA214" s="405"/>
      <c r="CG214" s="83"/>
      <c r="CO214" s="405"/>
      <c r="CU214" s="83"/>
      <c r="DC214" s="405"/>
      <c r="DI214" s="83"/>
      <c r="DQ214" s="405"/>
      <c r="DW214" s="83"/>
      <c r="EE214" s="405"/>
      <c r="EK214" s="83"/>
      <c r="ES214" s="405"/>
      <c r="EY214" s="83"/>
      <c r="FG214" s="405"/>
      <c r="FM214" s="83"/>
      <c r="FU214" s="405"/>
      <c r="GA214" s="83"/>
      <c r="GI214" s="405"/>
      <c r="GO214" s="83"/>
      <c r="GW214" s="405"/>
      <c r="HC214" s="83"/>
      <c r="HK214" s="405"/>
      <c r="HQ214" s="83"/>
      <c r="HY214" s="405"/>
      <c r="IE214" s="83"/>
      <c r="IM214" s="405"/>
      <c r="IS214" s="83"/>
      <c r="JA214" s="405"/>
      <c r="JG214" s="83"/>
      <c r="JO214" s="405"/>
      <c r="JU214" s="83"/>
      <c r="KC214" s="405"/>
      <c r="KI214" s="83"/>
      <c r="KQ214" s="405"/>
      <c r="KW214" s="83"/>
      <c r="LE214" s="405"/>
      <c r="LK214" s="83"/>
      <c r="LS214" s="405"/>
      <c r="LY214" s="83"/>
      <c r="MG214" s="405"/>
      <c r="MM214" s="83"/>
      <c r="MU214" s="405"/>
      <c r="NA214" s="83"/>
    </row>
    <row r="215">
      <c r="A215" s="380"/>
      <c r="B215" s="380"/>
      <c r="C215" s="380"/>
      <c r="D215" s="380"/>
      <c r="E215" s="380"/>
      <c r="F215" s="380"/>
      <c r="G215" s="380"/>
      <c r="H215" s="380"/>
      <c r="I215" s="403"/>
      <c r="J215" s="380"/>
      <c r="K215" s="380"/>
      <c r="L215" s="380"/>
      <c r="M215" s="380"/>
      <c r="N215" s="380"/>
      <c r="O215" s="404"/>
      <c r="P215" s="380"/>
      <c r="Q215" s="380"/>
      <c r="R215" s="380"/>
      <c r="S215" s="380"/>
      <c r="T215" s="380"/>
      <c r="U215" s="380"/>
      <c r="V215" s="380"/>
      <c r="W215" s="403"/>
      <c r="X215" s="380"/>
      <c r="Y215" s="380"/>
      <c r="Z215" s="380"/>
      <c r="AA215" s="380"/>
      <c r="AB215" s="380"/>
      <c r="AC215" s="404"/>
      <c r="AD215" s="380"/>
      <c r="AE215" s="380"/>
      <c r="AF215" s="380"/>
      <c r="AG215" s="380"/>
      <c r="AH215" s="380"/>
      <c r="AI215" s="380"/>
      <c r="AJ215" s="380"/>
      <c r="AK215" s="403"/>
      <c r="AL215" s="380"/>
      <c r="AM215" s="380"/>
      <c r="AN215" s="380"/>
      <c r="AO215" s="380"/>
      <c r="AP215" s="380"/>
      <c r="AQ215" s="404"/>
      <c r="AR215" s="380"/>
      <c r="AS215" s="380"/>
      <c r="AT215" s="380"/>
      <c r="AU215" s="380"/>
      <c r="AV215" s="380"/>
      <c r="AW215" s="380"/>
      <c r="AX215" s="380"/>
      <c r="AY215" s="403"/>
      <c r="AZ215" s="380"/>
      <c r="BA215" s="380"/>
      <c r="BB215" s="380"/>
      <c r="BC215" s="380"/>
      <c r="BD215" s="380"/>
      <c r="BE215" s="404"/>
      <c r="BF215" s="380"/>
      <c r="BG215" s="380"/>
      <c r="BH215" s="380"/>
      <c r="BI215" s="380"/>
      <c r="BJ215" s="380"/>
      <c r="BK215" s="380"/>
      <c r="BL215" s="380"/>
      <c r="BM215" s="403"/>
      <c r="BS215" s="83"/>
      <c r="CA215" s="405"/>
      <c r="CG215" s="83"/>
      <c r="CO215" s="405"/>
      <c r="CU215" s="83"/>
      <c r="DC215" s="405"/>
      <c r="DI215" s="83"/>
      <c r="DQ215" s="405"/>
      <c r="DW215" s="83"/>
      <c r="EE215" s="405"/>
      <c r="EK215" s="83"/>
      <c r="ES215" s="405"/>
      <c r="EY215" s="83"/>
      <c r="FG215" s="405"/>
      <c r="FM215" s="83"/>
      <c r="FU215" s="405"/>
      <c r="GA215" s="83"/>
      <c r="GI215" s="405"/>
      <c r="GO215" s="83"/>
      <c r="GW215" s="405"/>
      <c r="HC215" s="83"/>
      <c r="HK215" s="405"/>
      <c r="HQ215" s="83"/>
      <c r="HY215" s="405"/>
      <c r="IE215" s="83"/>
      <c r="IM215" s="405"/>
      <c r="IS215" s="83"/>
      <c r="JA215" s="405"/>
      <c r="JG215" s="83"/>
      <c r="JO215" s="405"/>
      <c r="JU215" s="83"/>
      <c r="KC215" s="405"/>
      <c r="KI215" s="83"/>
      <c r="KQ215" s="405"/>
      <c r="KW215" s="83"/>
      <c r="LE215" s="405"/>
      <c r="LK215" s="83"/>
      <c r="LS215" s="405"/>
      <c r="LY215" s="83"/>
      <c r="MG215" s="405"/>
      <c r="MM215" s="83"/>
      <c r="MU215" s="405"/>
      <c r="NA215" s="83"/>
    </row>
    <row r="216">
      <c r="A216" s="380"/>
      <c r="B216" s="380"/>
      <c r="C216" s="380"/>
      <c r="D216" s="380"/>
      <c r="E216" s="380"/>
      <c r="F216" s="380"/>
      <c r="G216" s="380"/>
      <c r="H216" s="380"/>
      <c r="I216" s="403"/>
      <c r="J216" s="380"/>
      <c r="K216" s="380"/>
      <c r="L216" s="380"/>
      <c r="M216" s="380"/>
      <c r="N216" s="380"/>
      <c r="O216" s="404"/>
      <c r="P216" s="380"/>
      <c r="Q216" s="380"/>
      <c r="R216" s="380"/>
      <c r="S216" s="380"/>
      <c r="T216" s="380"/>
      <c r="U216" s="380"/>
      <c r="V216" s="380"/>
      <c r="W216" s="403"/>
      <c r="X216" s="380"/>
      <c r="Y216" s="380"/>
      <c r="Z216" s="380"/>
      <c r="AA216" s="380"/>
      <c r="AB216" s="380"/>
      <c r="AC216" s="404"/>
      <c r="AD216" s="380"/>
      <c r="AE216" s="380"/>
      <c r="AF216" s="380"/>
      <c r="AG216" s="380"/>
      <c r="AH216" s="380"/>
      <c r="AI216" s="380"/>
      <c r="AJ216" s="380"/>
      <c r="AK216" s="403"/>
      <c r="AL216" s="380"/>
      <c r="AM216" s="380"/>
      <c r="AN216" s="380"/>
      <c r="AO216" s="380"/>
      <c r="AP216" s="380"/>
      <c r="AQ216" s="404"/>
      <c r="AR216" s="380"/>
      <c r="AS216" s="380"/>
      <c r="AT216" s="380"/>
      <c r="AU216" s="380"/>
      <c r="AV216" s="380"/>
      <c r="AW216" s="380"/>
      <c r="AX216" s="380"/>
      <c r="AY216" s="403"/>
      <c r="AZ216" s="380"/>
      <c r="BA216" s="380"/>
      <c r="BB216" s="380"/>
      <c r="BC216" s="380"/>
      <c r="BD216" s="380"/>
      <c r="BE216" s="404"/>
      <c r="BF216" s="380"/>
      <c r="BG216" s="380"/>
      <c r="BH216" s="380"/>
      <c r="BI216" s="380"/>
      <c r="BJ216" s="380"/>
      <c r="BK216" s="380"/>
      <c r="BL216" s="380"/>
      <c r="BM216" s="403"/>
      <c r="BS216" s="83"/>
      <c r="CA216" s="405"/>
      <c r="CG216" s="83"/>
      <c r="CO216" s="405"/>
      <c r="CU216" s="83"/>
      <c r="DC216" s="405"/>
      <c r="DI216" s="83"/>
      <c r="DQ216" s="405"/>
      <c r="DW216" s="83"/>
      <c r="EE216" s="405"/>
      <c r="EK216" s="83"/>
      <c r="ES216" s="405"/>
      <c r="EY216" s="83"/>
      <c r="FG216" s="405"/>
      <c r="FM216" s="83"/>
      <c r="FU216" s="405"/>
      <c r="GA216" s="83"/>
      <c r="GI216" s="405"/>
      <c r="GO216" s="83"/>
      <c r="GW216" s="405"/>
      <c r="HC216" s="83"/>
      <c r="HK216" s="405"/>
      <c r="HQ216" s="83"/>
      <c r="HY216" s="405"/>
      <c r="IE216" s="83"/>
      <c r="IM216" s="405"/>
      <c r="IS216" s="83"/>
      <c r="JA216" s="405"/>
      <c r="JG216" s="83"/>
      <c r="JO216" s="405"/>
      <c r="JU216" s="83"/>
      <c r="KC216" s="405"/>
      <c r="KI216" s="83"/>
      <c r="KQ216" s="405"/>
      <c r="KW216" s="83"/>
      <c r="LE216" s="405"/>
      <c r="LK216" s="83"/>
      <c r="LS216" s="405"/>
      <c r="LY216" s="83"/>
      <c r="MG216" s="405"/>
      <c r="MM216" s="83"/>
      <c r="MU216" s="405"/>
      <c r="NA216" s="83"/>
    </row>
    <row r="217">
      <c r="A217" s="380"/>
      <c r="B217" s="380"/>
      <c r="C217" s="380"/>
      <c r="D217" s="380"/>
      <c r="E217" s="380"/>
      <c r="F217" s="380"/>
      <c r="G217" s="380"/>
      <c r="H217" s="380"/>
      <c r="I217" s="403"/>
      <c r="J217" s="380"/>
      <c r="K217" s="380"/>
      <c r="L217" s="380"/>
      <c r="M217" s="380"/>
      <c r="N217" s="380"/>
      <c r="O217" s="404"/>
      <c r="P217" s="380"/>
      <c r="Q217" s="380"/>
      <c r="R217" s="380"/>
      <c r="S217" s="380"/>
      <c r="T217" s="380"/>
      <c r="U217" s="380"/>
      <c r="V217" s="380"/>
      <c r="W217" s="403"/>
      <c r="X217" s="380"/>
      <c r="Y217" s="380"/>
      <c r="Z217" s="380"/>
      <c r="AA217" s="380"/>
      <c r="AB217" s="380"/>
      <c r="AC217" s="404"/>
      <c r="AD217" s="380"/>
      <c r="AE217" s="380"/>
      <c r="AF217" s="380"/>
      <c r="AG217" s="380"/>
      <c r="AH217" s="380"/>
      <c r="AI217" s="380"/>
      <c r="AJ217" s="380"/>
      <c r="AK217" s="403"/>
      <c r="AL217" s="380"/>
      <c r="AM217" s="380"/>
      <c r="AN217" s="380"/>
      <c r="AO217" s="380"/>
      <c r="AP217" s="380"/>
      <c r="AQ217" s="404"/>
      <c r="AR217" s="380"/>
      <c r="AS217" s="380"/>
      <c r="AT217" s="380"/>
      <c r="AU217" s="380"/>
      <c r="AV217" s="380"/>
      <c r="AW217" s="380"/>
      <c r="AX217" s="380"/>
      <c r="AY217" s="403"/>
      <c r="AZ217" s="380"/>
      <c r="BA217" s="380"/>
      <c r="BB217" s="380"/>
      <c r="BC217" s="380"/>
      <c r="BD217" s="380"/>
      <c r="BE217" s="404"/>
      <c r="BF217" s="380"/>
      <c r="BG217" s="380"/>
      <c r="BH217" s="380"/>
      <c r="BI217" s="380"/>
      <c r="BJ217" s="380"/>
      <c r="BK217" s="380"/>
      <c r="BL217" s="380"/>
      <c r="BM217" s="403"/>
      <c r="BS217" s="83"/>
      <c r="CA217" s="405"/>
      <c r="CG217" s="83"/>
      <c r="CO217" s="405"/>
      <c r="CU217" s="83"/>
      <c r="DC217" s="405"/>
      <c r="DI217" s="83"/>
      <c r="DQ217" s="405"/>
      <c r="DW217" s="83"/>
      <c r="EE217" s="405"/>
      <c r="EK217" s="83"/>
      <c r="ES217" s="405"/>
      <c r="EY217" s="83"/>
      <c r="FG217" s="405"/>
      <c r="FM217" s="83"/>
      <c r="FU217" s="405"/>
      <c r="GA217" s="83"/>
      <c r="GI217" s="405"/>
      <c r="GO217" s="83"/>
      <c r="GW217" s="405"/>
      <c r="HC217" s="83"/>
      <c r="HK217" s="405"/>
      <c r="HQ217" s="83"/>
      <c r="HY217" s="405"/>
      <c r="IE217" s="83"/>
      <c r="IM217" s="405"/>
      <c r="IS217" s="83"/>
      <c r="JA217" s="405"/>
      <c r="JG217" s="83"/>
      <c r="JO217" s="405"/>
      <c r="JU217" s="83"/>
      <c r="KC217" s="405"/>
      <c r="KI217" s="83"/>
      <c r="KQ217" s="405"/>
      <c r="KW217" s="83"/>
      <c r="LE217" s="405"/>
      <c r="LK217" s="83"/>
      <c r="LS217" s="405"/>
      <c r="LY217" s="83"/>
      <c r="MG217" s="405"/>
      <c r="MM217" s="83"/>
      <c r="MU217" s="405"/>
      <c r="NA217" s="83"/>
    </row>
    <row r="218">
      <c r="A218" s="380"/>
      <c r="B218" s="380"/>
      <c r="C218" s="380"/>
      <c r="D218" s="380"/>
      <c r="E218" s="380"/>
      <c r="F218" s="380"/>
      <c r="G218" s="380"/>
      <c r="H218" s="380"/>
      <c r="I218" s="403"/>
      <c r="J218" s="380"/>
      <c r="K218" s="380"/>
      <c r="L218" s="380"/>
      <c r="M218" s="380"/>
      <c r="N218" s="380"/>
      <c r="O218" s="404"/>
      <c r="P218" s="380"/>
      <c r="Q218" s="380"/>
      <c r="R218" s="380"/>
      <c r="S218" s="380"/>
      <c r="T218" s="380"/>
      <c r="U218" s="380"/>
      <c r="V218" s="380"/>
      <c r="W218" s="403"/>
      <c r="X218" s="380"/>
      <c r="Y218" s="380"/>
      <c r="Z218" s="380"/>
      <c r="AA218" s="380"/>
      <c r="AB218" s="380"/>
      <c r="AC218" s="404"/>
      <c r="AD218" s="380"/>
      <c r="AE218" s="380"/>
      <c r="AF218" s="380"/>
      <c r="AG218" s="380"/>
      <c r="AH218" s="380"/>
      <c r="AI218" s="380"/>
      <c r="AJ218" s="380"/>
      <c r="AK218" s="403"/>
      <c r="AL218" s="380"/>
      <c r="AM218" s="380"/>
      <c r="AN218" s="380"/>
      <c r="AO218" s="380"/>
      <c r="AP218" s="380"/>
      <c r="AQ218" s="404"/>
      <c r="AR218" s="380"/>
      <c r="AS218" s="380"/>
      <c r="AT218" s="380"/>
      <c r="AU218" s="380"/>
      <c r="AV218" s="380"/>
      <c r="AW218" s="380"/>
      <c r="AX218" s="380"/>
      <c r="AY218" s="403"/>
      <c r="AZ218" s="380"/>
      <c r="BA218" s="380"/>
      <c r="BB218" s="380"/>
      <c r="BC218" s="380"/>
      <c r="BD218" s="380"/>
      <c r="BE218" s="404"/>
      <c r="BF218" s="380"/>
      <c r="BG218" s="380"/>
      <c r="BH218" s="380"/>
      <c r="BI218" s="380"/>
      <c r="BJ218" s="380"/>
      <c r="BK218" s="380"/>
      <c r="BL218" s="380"/>
      <c r="BM218" s="403"/>
      <c r="BS218" s="83"/>
      <c r="CA218" s="405"/>
      <c r="CG218" s="83"/>
      <c r="CO218" s="405"/>
      <c r="CU218" s="83"/>
      <c r="DC218" s="405"/>
      <c r="DI218" s="83"/>
      <c r="DQ218" s="405"/>
      <c r="DW218" s="83"/>
      <c r="EE218" s="405"/>
      <c r="EK218" s="83"/>
      <c r="ES218" s="405"/>
      <c r="EY218" s="83"/>
      <c r="FG218" s="405"/>
      <c r="FM218" s="83"/>
      <c r="FU218" s="405"/>
      <c r="GA218" s="83"/>
      <c r="GI218" s="405"/>
      <c r="GO218" s="83"/>
      <c r="GW218" s="405"/>
      <c r="HC218" s="83"/>
      <c r="HK218" s="405"/>
      <c r="HQ218" s="83"/>
      <c r="HY218" s="405"/>
      <c r="IE218" s="83"/>
      <c r="IM218" s="405"/>
      <c r="IS218" s="83"/>
      <c r="JA218" s="405"/>
      <c r="JG218" s="83"/>
      <c r="JO218" s="405"/>
      <c r="JU218" s="83"/>
      <c r="KC218" s="405"/>
      <c r="KI218" s="83"/>
      <c r="KQ218" s="405"/>
      <c r="KW218" s="83"/>
      <c r="LE218" s="405"/>
      <c r="LK218" s="83"/>
      <c r="LS218" s="405"/>
      <c r="LY218" s="83"/>
      <c r="MG218" s="405"/>
      <c r="MM218" s="83"/>
      <c r="MU218" s="405"/>
      <c r="NA218" s="83"/>
    </row>
    <row r="219">
      <c r="A219" s="380"/>
      <c r="B219" s="380"/>
      <c r="C219" s="380"/>
      <c r="D219" s="380"/>
      <c r="E219" s="380"/>
      <c r="F219" s="380"/>
      <c r="G219" s="380"/>
      <c r="H219" s="380"/>
      <c r="I219" s="403"/>
      <c r="J219" s="380"/>
      <c r="K219" s="380"/>
      <c r="L219" s="380"/>
      <c r="M219" s="380"/>
      <c r="N219" s="380"/>
      <c r="O219" s="404"/>
      <c r="P219" s="380"/>
      <c r="Q219" s="380"/>
      <c r="R219" s="380"/>
      <c r="S219" s="380"/>
      <c r="T219" s="380"/>
      <c r="U219" s="380"/>
      <c r="V219" s="380"/>
      <c r="W219" s="403"/>
      <c r="X219" s="380"/>
      <c r="Y219" s="380"/>
      <c r="Z219" s="380"/>
      <c r="AA219" s="380"/>
      <c r="AB219" s="380"/>
      <c r="AC219" s="404"/>
      <c r="AD219" s="380"/>
      <c r="AE219" s="380"/>
      <c r="AF219" s="380"/>
      <c r="AG219" s="380"/>
      <c r="AH219" s="380"/>
      <c r="AI219" s="380"/>
      <c r="AJ219" s="380"/>
      <c r="AK219" s="403"/>
      <c r="AL219" s="380"/>
      <c r="AM219" s="380"/>
      <c r="AN219" s="380"/>
      <c r="AO219" s="380"/>
      <c r="AP219" s="380"/>
      <c r="AQ219" s="404"/>
      <c r="AR219" s="380"/>
      <c r="AS219" s="380"/>
      <c r="AT219" s="380"/>
      <c r="AU219" s="380"/>
      <c r="AV219" s="380"/>
      <c r="AW219" s="380"/>
      <c r="AX219" s="380"/>
      <c r="AY219" s="403"/>
      <c r="AZ219" s="380"/>
      <c r="BA219" s="380"/>
      <c r="BB219" s="380"/>
      <c r="BC219" s="380"/>
      <c r="BD219" s="380"/>
      <c r="BE219" s="404"/>
      <c r="BF219" s="380"/>
      <c r="BG219" s="380"/>
      <c r="BH219" s="380"/>
      <c r="BI219" s="380"/>
      <c r="BJ219" s="380"/>
      <c r="BK219" s="380"/>
      <c r="BL219" s="380"/>
      <c r="BM219" s="403"/>
      <c r="BS219" s="83"/>
      <c r="CA219" s="405"/>
      <c r="CG219" s="83"/>
      <c r="CO219" s="405"/>
      <c r="CU219" s="83"/>
      <c r="DC219" s="405"/>
      <c r="DI219" s="83"/>
      <c r="DQ219" s="405"/>
      <c r="DW219" s="83"/>
      <c r="EE219" s="405"/>
      <c r="EK219" s="83"/>
      <c r="ES219" s="405"/>
      <c r="EY219" s="83"/>
      <c r="FG219" s="405"/>
      <c r="FM219" s="83"/>
      <c r="FU219" s="405"/>
      <c r="GA219" s="83"/>
      <c r="GI219" s="405"/>
      <c r="GO219" s="83"/>
      <c r="GW219" s="405"/>
      <c r="HC219" s="83"/>
      <c r="HK219" s="405"/>
      <c r="HQ219" s="83"/>
      <c r="HY219" s="405"/>
      <c r="IE219" s="83"/>
      <c r="IM219" s="405"/>
      <c r="IS219" s="83"/>
      <c r="JA219" s="405"/>
      <c r="JG219" s="83"/>
      <c r="JO219" s="405"/>
      <c r="JU219" s="83"/>
      <c r="KC219" s="405"/>
      <c r="KI219" s="83"/>
      <c r="KQ219" s="405"/>
      <c r="KW219" s="83"/>
      <c r="LE219" s="405"/>
      <c r="LK219" s="83"/>
      <c r="LS219" s="405"/>
      <c r="LY219" s="83"/>
      <c r="MG219" s="405"/>
      <c r="MM219" s="83"/>
      <c r="MU219" s="405"/>
      <c r="NA219" s="83"/>
    </row>
    <row r="220">
      <c r="A220" s="380"/>
      <c r="B220" s="380"/>
      <c r="C220" s="380"/>
      <c r="D220" s="380"/>
      <c r="E220" s="380"/>
      <c r="F220" s="380"/>
      <c r="G220" s="380"/>
      <c r="H220" s="380"/>
      <c r="I220" s="403"/>
      <c r="J220" s="380"/>
      <c r="K220" s="380"/>
      <c r="L220" s="380"/>
      <c r="M220" s="380"/>
      <c r="N220" s="380"/>
      <c r="O220" s="404"/>
      <c r="P220" s="380"/>
      <c r="Q220" s="380"/>
      <c r="R220" s="380"/>
      <c r="S220" s="380"/>
      <c r="T220" s="380"/>
      <c r="U220" s="380"/>
      <c r="V220" s="380"/>
      <c r="W220" s="403"/>
      <c r="X220" s="380"/>
      <c r="Y220" s="380"/>
      <c r="Z220" s="380"/>
      <c r="AA220" s="380"/>
      <c r="AB220" s="380"/>
      <c r="AC220" s="404"/>
      <c r="AD220" s="380"/>
      <c r="AE220" s="380"/>
      <c r="AF220" s="380"/>
      <c r="AG220" s="380"/>
      <c r="AH220" s="380"/>
      <c r="AI220" s="380"/>
      <c r="AJ220" s="380"/>
      <c r="AK220" s="403"/>
      <c r="AL220" s="380"/>
      <c r="AM220" s="380"/>
      <c r="AN220" s="380"/>
      <c r="AO220" s="380"/>
      <c r="AP220" s="380"/>
      <c r="AQ220" s="404"/>
      <c r="AR220" s="380"/>
      <c r="AS220" s="380"/>
      <c r="AT220" s="380"/>
      <c r="AU220" s="380"/>
      <c r="AV220" s="380"/>
      <c r="AW220" s="380"/>
      <c r="AX220" s="380"/>
      <c r="AY220" s="403"/>
      <c r="AZ220" s="380"/>
      <c r="BA220" s="380"/>
      <c r="BB220" s="380"/>
      <c r="BC220" s="380"/>
      <c r="BD220" s="380"/>
      <c r="BE220" s="404"/>
      <c r="BF220" s="380"/>
      <c r="BG220" s="380"/>
      <c r="BH220" s="380"/>
      <c r="BI220" s="380"/>
      <c r="BJ220" s="380"/>
      <c r="BK220" s="380"/>
      <c r="BL220" s="380"/>
      <c r="BM220" s="403"/>
      <c r="BS220" s="83"/>
      <c r="CA220" s="405"/>
      <c r="CG220" s="83"/>
      <c r="CO220" s="405"/>
      <c r="CU220" s="83"/>
      <c r="DC220" s="405"/>
      <c r="DI220" s="83"/>
      <c r="DQ220" s="405"/>
      <c r="DW220" s="83"/>
      <c r="EE220" s="405"/>
      <c r="EK220" s="83"/>
      <c r="ES220" s="405"/>
      <c r="EY220" s="83"/>
      <c r="FG220" s="405"/>
      <c r="FM220" s="83"/>
      <c r="FU220" s="405"/>
      <c r="GA220" s="83"/>
      <c r="GI220" s="405"/>
      <c r="GO220" s="83"/>
      <c r="GW220" s="405"/>
      <c r="HC220" s="83"/>
      <c r="HK220" s="405"/>
      <c r="HQ220" s="83"/>
      <c r="HY220" s="405"/>
      <c r="IE220" s="83"/>
      <c r="IM220" s="405"/>
      <c r="IS220" s="83"/>
      <c r="JA220" s="405"/>
      <c r="JG220" s="83"/>
      <c r="JO220" s="405"/>
      <c r="JU220" s="83"/>
      <c r="KC220" s="405"/>
      <c r="KI220" s="83"/>
      <c r="KQ220" s="405"/>
      <c r="KW220" s="83"/>
      <c r="LE220" s="405"/>
      <c r="LK220" s="83"/>
      <c r="LS220" s="405"/>
      <c r="LY220" s="83"/>
      <c r="MG220" s="405"/>
      <c r="MM220" s="83"/>
      <c r="MU220" s="405"/>
      <c r="NA220" s="83"/>
    </row>
    <row r="221">
      <c r="A221" s="380"/>
      <c r="B221" s="380"/>
      <c r="C221" s="380"/>
      <c r="D221" s="380"/>
      <c r="E221" s="380"/>
      <c r="F221" s="380"/>
      <c r="G221" s="380"/>
      <c r="H221" s="380"/>
      <c r="I221" s="403"/>
      <c r="J221" s="380"/>
      <c r="K221" s="380"/>
      <c r="L221" s="380"/>
      <c r="M221" s="380"/>
      <c r="N221" s="380"/>
      <c r="O221" s="404"/>
      <c r="P221" s="380"/>
      <c r="Q221" s="380"/>
      <c r="R221" s="380"/>
      <c r="S221" s="380"/>
      <c r="T221" s="380"/>
      <c r="U221" s="380"/>
      <c r="V221" s="380"/>
      <c r="W221" s="403"/>
      <c r="X221" s="380"/>
      <c r="Y221" s="380"/>
      <c r="Z221" s="380"/>
      <c r="AA221" s="380"/>
      <c r="AB221" s="380"/>
      <c r="AC221" s="404"/>
      <c r="AD221" s="380"/>
      <c r="AE221" s="380"/>
      <c r="AF221" s="380"/>
      <c r="AG221" s="380"/>
      <c r="AH221" s="380"/>
      <c r="AI221" s="380"/>
      <c r="AJ221" s="380"/>
      <c r="AK221" s="403"/>
      <c r="AL221" s="380"/>
      <c r="AM221" s="380"/>
      <c r="AN221" s="380"/>
      <c r="AO221" s="380"/>
      <c r="AP221" s="380"/>
      <c r="AQ221" s="404"/>
      <c r="AR221" s="380"/>
      <c r="AS221" s="380"/>
      <c r="AT221" s="380"/>
      <c r="AU221" s="380"/>
      <c r="AV221" s="380"/>
      <c r="AW221" s="380"/>
      <c r="AX221" s="380"/>
      <c r="AY221" s="403"/>
      <c r="AZ221" s="380"/>
      <c r="BA221" s="380"/>
      <c r="BB221" s="380"/>
      <c r="BC221" s="380"/>
      <c r="BD221" s="380"/>
      <c r="BE221" s="404"/>
      <c r="BF221" s="380"/>
      <c r="BG221" s="380"/>
      <c r="BH221" s="380"/>
      <c r="BI221" s="380"/>
      <c r="BJ221" s="380"/>
      <c r="BK221" s="380"/>
      <c r="BL221" s="380"/>
      <c r="BM221" s="403"/>
      <c r="BS221" s="83"/>
      <c r="CA221" s="405"/>
      <c r="CG221" s="83"/>
      <c r="CO221" s="405"/>
      <c r="CU221" s="83"/>
      <c r="DC221" s="405"/>
      <c r="DI221" s="83"/>
      <c r="DQ221" s="405"/>
      <c r="DW221" s="83"/>
      <c r="EE221" s="405"/>
      <c r="EK221" s="83"/>
      <c r="ES221" s="405"/>
      <c r="EY221" s="83"/>
      <c r="FG221" s="405"/>
      <c r="FM221" s="83"/>
      <c r="FU221" s="405"/>
      <c r="GA221" s="83"/>
      <c r="GI221" s="405"/>
      <c r="GO221" s="83"/>
      <c r="GW221" s="405"/>
      <c r="HC221" s="83"/>
      <c r="HK221" s="405"/>
      <c r="HQ221" s="83"/>
      <c r="HY221" s="405"/>
      <c r="IE221" s="83"/>
      <c r="IM221" s="405"/>
      <c r="IS221" s="83"/>
      <c r="JA221" s="405"/>
      <c r="JG221" s="83"/>
      <c r="JO221" s="405"/>
      <c r="JU221" s="83"/>
      <c r="KC221" s="405"/>
      <c r="KI221" s="83"/>
      <c r="KQ221" s="405"/>
      <c r="KW221" s="83"/>
      <c r="LE221" s="405"/>
      <c r="LK221" s="83"/>
      <c r="LS221" s="405"/>
      <c r="LY221" s="83"/>
      <c r="MG221" s="405"/>
      <c r="MM221" s="83"/>
      <c r="MU221" s="405"/>
      <c r="NA221" s="83"/>
    </row>
    <row r="222">
      <c r="A222" s="380"/>
      <c r="B222" s="380"/>
      <c r="C222" s="380"/>
      <c r="D222" s="380"/>
      <c r="E222" s="380"/>
      <c r="F222" s="380"/>
      <c r="G222" s="380"/>
      <c r="H222" s="380"/>
      <c r="I222" s="403"/>
      <c r="J222" s="380"/>
      <c r="K222" s="380"/>
      <c r="L222" s="380"/>
      <c r="M222" s="380"/>
      <c r="N222" s="380"/>
      <c r="O222" s="404"/>
      <c r="P222" s="380"/>
      <c r="Q222" s="380"/>
      <c r="R222" s="380"/>
      <c r="S222" s="380"/>
      <c r="T222" s="380"/>
      <c r="U222" s="380"/>
      <c r="V222" s="380"/>
      <c r="W222" s="403"/>
      <c r="X222" s="380"/>
      <c r="Y222" s="380"/>
      <c r="Z222" s="380"/>
      <c r="AA222" s="380"/>
      <c r="AB222" s="380"/>
      <c r="AC222" s="404"/>
      <c r="AD222" s="380"/>
      <c r="AE222" s="380"/>
      <c r="AF222" s="380"/>
      <c r="AG222" s="380"/>
      <c r="AH222" s="380"/>
      <c r="AI222" s="380"/>
      <c r="AJ222" s="380"/>
      <c r="AK222" s="403"/>
      <c r="AL222" s="380"/>
      <c r="AM222" s="380"/>
      <c r="AN222" s="380"/>
      <c r="AO222" s="380"/>
      <c r="AP222" s="380"/>
      <c r="AQ222" s="404"/>
      <c r="AR222" s="380"/>
      <c r="AS222" s="380"/>
      <c r="AT222" s="380"/>
      <c r="AU222" s="380"/>
      <c r="AV222" s="380"/>
      <c r="AW222" s="380"/>
      <c r="AX222" s="380"/>
      <c r="AY222" s="403"/>
      <c r="AZ222" s="380"/>
      <c r="BA222" s="380"/>
      <c r="BB222" s="380"/>
      <c r="BC222" s="380"/>
      <c r="BD222" s="380"/>
      <c r="BE222" s="404"/>
      <c r="BF222" s="380"/>
      <c r="BG222" s="380"/>
      <c r="BH222" s="380"/>
      <c r="BI222" s="380"/>
      <c r="BJ222" s="380"/>
      <c r="BK222" s="380"/>
      <c r="BL222" s="380"/>
      <c r="BM222" s="403"/>
      <c r="BS222" s="83"/>
      <c r="CA222" s="405"/>
      <c r="CG222" s="83"/>
      <c r="CO222" s="405"/>
      <c r="CU222" s="83"/>
      <c r="DC222" s="405"/>
      <c r="DI222" s="83"/>
      <c r="DQ222" s="405"/>
      <c r="DW222" s="83"/>
      <c r="EE222" s="405"/>
      <c r="EK222" s="83"/>
      <c r="ES222" s="405"/>
      <c r="EY222" s="83"/>
      <c r="FG222" s="405"/>
      <c r="FM222" s="83"/>
      <c r="FU222" s="405"/>
      <c r="GA222" s="83"/>
      <c r="GI222" s="405"/>
      <c r="GO222" s="83"/>
      <c r="GW222" s="405"/>
      <c r="HC222" s="83"/>
      <c r="HK222" s="405"/>
      <c r="HQ222" s="83"/>
      <c r="HY222" s="405"/>
      <c r="IE222" s="83"/>
      <c r="IM222" s="405"/>
      <c r="IS222" s="83"/>
      <c r="JA222" s="405"/>
      <c r="JG222" s="83"/>
      <c r="JO222" s="405"/>
      <c r="JU222" s="83"/>
      <c r="KC222" s="405"/>
      <c r="KI222" s="83"/>
      <c r="KQ222" s="405"/>
      <c r="KW222" s="83"/>
      <c r="LE222" s="405"/>
      <c r="LK222" s="83"/>
      <c r="LS222" s="405"/>
      <c r="LY222" s="83"/>
      <c r="MG222" s="405"/>
      <c r="MM222" s="83"/>
      <c r="MU222" s="405"/>
      <c r="NA222" s="83"/>
    </row>
    <row r="223">
      <c r="A223" s="380"/>
      <c r="B223" s="380"/>
      <c r="C223" s="380"/>
      <c r="D223" s="380"/>
      <c r="E223" s="380"/>
      <c r="F223" s="380"/>
      <c r="G223" s="380"/>
      <c r="H223" s="380"/>
      <c r="I223" s="403"/>
      <c r="J223" s="380"/>
      <c r="K223" s="380"/>
      <c r="L223" s="380"/>
      <c r="M223" s="380"/>
      <c r="N223" s="380"/>
      <c r="O223" s="404"/>
      <c r="P223" s="380"/>
      <c r="Q223" s="380"/>
      <c r="R223" s="380"/>
      <c r="S223" s="380"/>
      <c r="T223" s="380"/>
      <c r="U223" s="380"/>
      <c r="V223" s="380"/>
      <c r="W223" s="403"/>
      <c r="X223" s="380"/>
      <c r="Y223" s="380"/>
      <c r="Z223" s="380"/>
      <c r="AA223" s="380"/>
      <c r="AB223" s="380"/>
      <c r="AC223" s="404"/>
      <c r="AD223" s="380"/>
      <c r="AE223" s="380"/>
      <c r="AF223" s="380"/>
      <c r="AG223" s="380"/>
      <c r="AH223" s="380"/>
      <c r="AI223" s="380"/>
      <c r="AJ223" s="380"/>
      <c r="AK223" s="403"/>
      <c r="AL223" s="380"/>
      <c r="AM223" s="380"/>
      <c r="AN223" s="380"/>
      <c r="AO223" s="380"/>
      <c r="AP223" s="380"/>
      <c r="AQ223" s="404"/>
      <c r="AR223" s="380"/>
      <c r="AS223" s="380"/>
      <c r="AT223" s="380"/>
      <c r="AU223" s="380"/>
      <c r="AV223" s="380"/>
      <c r="AW223" s="380"/>
      <c r="AX223" s="380"/>
      <c r="AY223" s="403"/>
      <c r="AZ223" s="380"/>
      <c r="BA223" s="380"/>
      <c r="BB223" s="380"/>
      <c r="BC223" s="380"/>
      <c r="BD223" s="380"/>
      <c r="BE223" s="404"/>
      <c r="BF223" s="380"/>
      <c r="BG223" s="380"/>
      <c r="BH223" s="380"/>
      <c r="BI223" s="380"/>
      <c r="BJ223" s="380"/>
      <c r="BK223" s="380"/>
      <c r="BL223" s="380"/>
      <c r="BM223" s="403"/>
      <c r="BS223" s="83"/>
      <c r="CA223" s="405"/>
      <c r="CG223" s="83"/>
      <c r="CO223" s="405"/>
      <c r="CU223" s="83"/>
      <c r="DC223" s="405"/>
      <c r="DI223" s="83"/>
      <c r="DQ223" s="405"/>
      <c r="DW223" s="83"/>
      <c r="EE223" s="405"/>
      <c r="EK223" s="83"/>
      <c r="ES223" s="405"/>
      <c r="EY223" s="83"/>
      <c r="FG223" s="405"/>
      <c r="FM223" s="83"/>
      <c r="FU223" s="405"/>
      <c r="GA223" s="83"/>
      <c r="GI223" s="405"/>
      <c r="GO223" s="83"/>
      <c r="GW223" s="405"/>
      <c r="HC223" s="83"/>
      <c r="HK223" s="405"/>
      <c r="HQ223" s="83"/>
      <c r="HY223" s="405"/>
      <c r="IE223" s="83"/>
      <c r="IM223" s="405"/>
      <c r="IS223" s="83"/>
      <c r="JA223" s="405"/>
      <c r="JG223" s="83"/>
      <c r="JO223" s="405"/>
      <c r="JU223" s="83"/>
      <c r="KC223" s="405"/>
      <c r="KI223" s="83"/>
      <c r="KQ223" s="405"/>
      <c r="KW223" s="83"/>
      <c r="LE223" s="405"/>
      <c r="LK223" s="83"/>
      <c r="LS223" s="405"/>
      <c r="LY223" s="83"/>
      <c r="MG223" s="405"/>
      <c r="MM223" s="83"/>
      <c r="MU223" s="405"/>
      <c r="NA223" s="83"/>
    </row>
    <row r="224">
      <c r="A224" s="380"/>
      <c r="B224" s="380"/>
      <c r="C224" s="380"/>
      <c r="D224" s="380"/>
      <c r="E224" s="380"/>
      <c r="F224" s="380"/>
      <c r="G224" s="380"/>
      <c r="H224" s="380"/>
      <c r="I224" s="403"/>
      <c r="J224" s="380"/>
      <c r="K224" s="380"/>
      <c r="L224" s="380"/>
      <c r="M224" s="380"/>
      <c r="N224" s="380"/>
      <c r="O224" s="404"/>
      <c r="P224" s="380"/>
      <c r="Q224" s="380"/>
      <c r="R224" s="380"/>
      <c r="S224" s="380"/>
      <c r="T224" s="380"/>
      <c r="U224" s="380"/>
      <c r="V224" s="380"/>
      <c r="W224" s="403"/>
      <c r="X224" s="380"/>
      <c r="Y224" s="380"/>
      <c r="Z224" s="380"/>
      <c r="AA224" s="380"/>
      <c r="AB224" s="380"/>
      <c r="AC224" s="404"/>
      <c r="AD224" s="380"/>
      <c r="AE224" s="380"/>
      <c r="AF224" s="380"/>
      <c r="AG224" s="380"/>
      <c r="AH224" s="380"/>
      <c r="AI224" s="380"/>
      <c r="AJ224" s="380"/>
      <c r="AK224" s="403"/>
      <c r="AL224" s="380"/>
      <c r="AM224" s="380"/>
      <c r="AN224" s="380"/>
      <c r="AO224" s="380"/>
      <c r="AP224" s="380"/>
      <c r="AQ224" s="404"/>
      <c r="AR224" s="380"/>
      <c r="AS224" s="380"/>
      <c r="AT224" s="380"/>
      <c r="AU224" s="380"/>
      <c r="AV224" s="380"/>
      <c r="AW224" s="380"/>
      <c r="AX224" s="380"/>
      <c r="AY224" s="403"/>
      <c r="AZ224" s="380"/>
      <c r="BA224" s="380"/>
      <c r="BB224" s="380"/>
      <c r="BC224" s="380"/>
      <c r="BD224" s="380"/>
      <c r="BE224" s="404"/>
      <c r="BF224" s="380"/>
      <c r="BG224" s="380"/>
      <c r="BH224" s="380"/>
      <c r="BI224" s="380"/>
      <c r="BJ224" s="380"/>
      <c r="BK224" s="380"/>
      <c r="BL224" s="380"/>
      <c r="BM224" s="403"/>
      <c r="BS224" s="83"/>
      <c r="CA224" s="405"/>
      <c r="CG224" s="83"/>
      <c r="CO224" s="405"/>
      <c r="CU224" s="83"/>
      <c r="DC224" s="405"/>
      <c r="DI224" s="83"/>
      <c r="DQ224" s="405"/>
      <c r="DW224" s="83"/>
      <c r="EE224" s="405"/>
      <c r="EK224" s="83"/>
      <c r="ES224" s="405"/>
      <c r="EY224" s="83"/>
      <c r="FG224" s="405"/>
      <c r="FM224" s="83"/>
      <c r="FU224" s="405"/>
      <c r="GA224" s="83"/>
      <c r="GI224" s="405"/>
      <c r="GO224" s="83"/>
      <c r="GW224" s="405"/>
      <c r="HC224" s="83"/>
      <c r="HK224" s="405"/>
      <c r="HQ224" s="83"/>
      <c r="HY224" s="405"/>
      <c r="IE224" s="83"/>
      <c r="IM224" s="405"/>
      <c r="IS224" s="83"/>
      <c r="JA224" s="405"/>
      <c r="JG224" s="83"/>
      <c r="JO224" s="405"/>
      <c r="JU224" s="83"/>
      <c r="KC224" s="405"/>
      <c r="KI224" s="83"/>
      <c r="KQ224" s="405"/>
      <c r="KW224" s="83"/>
      <c r="LE224" s="405"/>
      <c r="LK224" s="83"/>
      <c r="LS224" s="405"/>
      <c r="LY224" s="83"/>
      <c r="MG224" s="405"/>
      <c r="MM224" s="83"/>
      <c r="MU224" s="405"/>
      <c r="NA224" s="83"/>
    </row>
    <row r="225">
      <c r="A225" s="380"/>
      <c r="B225" s="380"/>
      <c r="C225" s="380"/>
      <c r="D225" s="380"/>
      <c r="E225" s="380"/>
      <c r="F225" s="380"/>
      <c r="G225" s="380"/>
      <c r="H225" s="380"/>
      <c r="I225" s="403"/>
      <c r="J225" s="380"/>
      <c r="K225" s="380"/>
      <c r="L225" s="380"/>
      <c r="M225" s="380"/>
      <c r="N225" s="380"/>
      <c r="O225" s="404"/>
      <c r="P225" s="380"/>
      <c r="Q225" s="380"/>
      <c r="R225" s="380"/>
      <c r="S225" s="380"/>
      <c r="T225" s="380"/>
      <c r="U225" s="380"/>
      <c r="V225" s="380"/>
      <c r="W225" s="403"/>
      <c r="X225" s="380"/>
      <c r="Y225" s="380"/>
      <c r="Z225" s="380"/>
      <c r="AA225" s="380"/>
      <c r="AB225" s="380"/>
      <c r="AC225" s="404"/>
      <c r="AD225" s="380"/>
      <c r="AE225" s="380"/>
      <c r="AF225" s="380"/>
      <c r="AG225" s="380"/>
      <c r="AH225" s="380"/>
      <c r="AI225" s="380"/>
      <c r="AJ225" s="380"/>
      <c r="AK225" s="403"/>
      <c r="AL225" s="380"/>
      <c r="AM225" s="380"/>
      <c r="AN225" s="380"/>
      <c r="AO225" s="380"/>
      <c r="AP225" s="380"/>
      <c r="AQ225" s="404"/>
      <c r="AR225" s="380"/>
      <c r="AS225" s="380"/>
      <c r="AT225" s="380"/>
      <c r="AU225" s="380"/>
      <c r="AV225" s="380"/>
      <c r="AW225" s="380"/>
      <c r="AX225" s="380"/>
      <c r="AY225" s="403"/>
      <c r="AZ225" s="380"/>
      <c r="BA225" s="380"/>
      <c r="BB225" s="380"/>
      <c r="BC225" s="380"/>
      <c r="BD225" s="380"/>
      <c r="BE225" s="404"/>
      <c r="BF225" s="380"/>
      <c r="BG225" s="380"/>
      <c r="BH225" s="380"/>
      <c r="BI225" s="380"/>
      <c r="BJ225" s="380"/>
      <c r="BK225" s="380"/>
      <c r="BL225" s="380"/>
      <c r="BM225" s="403"/>
      <c r="BS225" s="83"/>
      <c r="CA225" s="405"/>
      <c r="CG225" s="83"/>
      <c r="CO225" s="405"/>
      <c r="CU225" s="83"/>
      <c r="DC225" s="405"/>
      <c r="DI225" s="83"/>
      <c r="DQ225" s="405"/>
      <c r="DW225" s="83"/>
      <c r="EE225" s="405"/>
      <c r="EK225" s="83"/>
      <c r="ES225" s="405"/>
      <c r="EY225" s="83"/>
      <c r="FG225" s="405"/>
      <c r="FM225" s="83"/>
      <c r="FU225" s="405"/>
      <c r="GA225" s="83"/>
      <c r="GI225" s="405"/>
      <c r="GO225" s="83"/>
      <c r="GW225" s="405"/>
      <c r="HC225" s="83"/>
      <c r="HK225" s="405"/>
      <c r="HQ225" s="83"/>
      <c r="HY225" s="405"/>
      <c r="IE225" s="83"/>
      <c r="IM225" s="405"/>
      <c r="IS225" s="83"/>
      <c r="JA225" s="405"/>
      <c r="JG225" s="83"/>
      <c r="JO225" s="405"/>
      <c r="JU225" s="83"/>
      <c r="KC225" s="405"/>
      <c r="KI225" s="83"/>
      <c r="KQ225" s="405"/>
      <c r="KW225" s="83"/>
      <c r="LE225" s="405"/>
      <c r="LK225" s="83"/>
      <c r="LS225" s="405"/>
      <c r="LY225" s="83"/>
      <c r="MG225" s="405"/>
      <c r="MM225" s="83"/>
      <c r="MU225" s="405"/>
      <c r="NA225" s="83"/>
    </row>
    <row r="226">
      <c r="A226" s="380"/>
      <c r="B226" s="380"/>
      <c r="C226" s="380"/>
      <c r="D226" s="380"/>
      <c r="E226" s="380"/>
      <c r="F226" s="380"/>
      <c r="G226" s="380"/>
      <c r="H226" s="380"/>
      <c r="I226" s="403"/>
      <c r="J226" s="380"/>
      <c r="K226" s="380"/>
      <c r="L226" s="380"/>
      <c r="M226" s="380"/>
      <c r="N226" s="380"/>
      <c r="O226" s="404"/>
      <c r="P226" s="380"/>
      <c r="Q226" s="380"/>
      <c r="R226" s="380"/>
      <c r="S226" s="380"/>
      <c r="T226" s="380"/>
      <c r="U226" s="380"/>
      <c r="V226" s="380"/>
      <c r="W226" s="403"/>
      <c r="X226" s="380"/>
      <c r="Y226" s="380"/>
      <c r="Z226" s="380"/>
      <c r="AA226" s="380"/>
      <c r="AB226" s="380"/>
      <c r="AC226" s="404"/>
      <c r="AD226" s="380"/>
      <c r="AE226" s="380"/>
      <c r="AF226" s="380"/>
      <c r="AG226" s="380"/>
      <c r="AH226" s="380"/>
      <c r="AI226" s="380"/>
      <c r="AJ226" s="380"/>
      <c r="AK226" s="403"/>
      <c r="AL226" s="380"/>
      <c r="AM226" s="380"/>
      <c r="AN226" s="380"/>
      <c r="AO226" s="380"/>
      <c r="AP226" s="380"/>
      <c r="AQ226" s="404"/>
      <c r="AR226" s="380"/>
      <c r="AS226" s="380"/>
      <c r="AT226" s="380"/>
      <c r="AU226" s="380"/>
      <c r="AV226" s="380"/>
      <c r="AW226" s="380"/>
      <c r="AX226" s="380"/>
      <c r="AY226" s="403"/>
      <c r="AZ226" s="380"/>
      <c r="BA226" s="380"/>
      <c r="BB226" s="380"/>
      <c r="BC226" s="380"/>
      <c r="BD226" s="380"/>
      <c r="BE226" s="404"/>
      <c r="BF226" s="380"/>
      <c r="BG226" s="380"/>
      <c r="BH226" s="380"/>
      <c r="BI226" s="380"/>
      <c r="BJ226" s="380"/>
      <c r="BK226" s="380"/>
      <c r="BL226" s="380"/>
      <c r="BM226" s="403"/>
      <c r="BS226" s="83"/>
      <c r="CA226" s="405"/>
      <c r="CG226" s="83"/>
      <c r="CO226" s="405"/>
      <c r="CU226" s="83"/>
      <c r="DC226" s="405"/>
      <c r="DI226" s="83"/>
      <c r="DQ226" s="405"/>
      <c r="DW226" s="83"/>
      <c r="EE226" s="405"/>
      <c r="EK226" s="83"/>
      <c r="ES226" s="405"/>
      <c r="EY226" s="83"/>
      <c r="FG226" s="405"/>
      <c r="FM226" s="83"/>
      <c r="FU226" s="405"/>
      <c r="GA226" s="83"/>
      <c r="GI226" s="405"/>
      <c r="GO226" s="83"/>
      <c r="GW226" s="405"/>
      <c r="HC226" s="83"/>
      <c r="HK226" s="405"/>
      <c r="HQ226" s="83"/>
      <c r="HY226" s="405"/>
      <c r="IE226" s="83"/>
      <c r="IM226" s="405"/>
      <c r="IS226" s="83"/>
      <c r="JA226" s="405"/>
      <c r="JG226" s="83"/>
      <c r="JO226" s="405"/>
      <c r="JU226" s="83"/>
      <c r="KC226" s="405"/>
      <c r="KI226" s="83"/>
      <c r="KQ226" s="405"/>
      <c r="KW226" s="83"/>
      <c r="LE226" s="405"/>
      <c r="LK226" s="83"/>
      <c r="LS226" s="405"/>
      <c r="LY226" s="83"/>
      <c r="MG226" s="405"/>
      <c r="MM226" s="83"/>
      <c r="MU226" s="405"/>
      <c r="NA226" s="83"/>
    </row>
    <row r="227">
      <c r="A227" s="380"/>
      <c r="B227" s="380"/>
      <c r="C227" s="380"/>
      <c r="D227" s="380"/>
      <c r="E227" s="380"/>
      <c r="F227" s="380"/>
      <c r="G227" s="380"/>
      <c r="H227" s="380"/>
      <c r="I227" s="403"/>
      <c r="J227" s="380"/>
      <c r="K227" s="380"/>
      <c r="L227" s="380"/>
      <c r="M227" s="380"/>
      <c r="N227" s="380"/>
      <c r="O227" s="404"/>
      <c r="P227" s="380"/>
      <c r="Q227" s="380"/>
      <c r="R227" s="380"/>
      <c r="S227" s="380"/>
      <c r="T227" s="380"/>
      <c r="U227" s="380"/>
      <c r="V227" s="380"/>
      <c r="W227" s="403"/>
      <c r="X227" s="380"/>
      <c r="Y227" s="380"/>
      <c r="Z227" s="380"/>
      <c r="AA227" s="380"/>
      <c r="AB227" s="380"/>
      <c r="AC227" s="404"/>
      <c r="AD227" s="380"/>
      <c r="AE227" s="380"/>
      <c r="AF227" s="380"/>
      <c r="AG227" s="380"/>
      <c r="AH227" s="380"/>
      <c r="AI227" s="380"/>
      <c r="AJ227" s="380"/>
      <c r="AK227" s="403"/>
      <c r="AL227" s="380"/>
      <c r="AM227" s="380"/>
      <c r="AN227" s="380"/>
      <c r="AO227" s="380"/>
      <c r="AP227" s="380"/>
      <c r="AQ227" s="404"/>
      <c r="AR227" s="380"/>
      <c r="AS227" s="380"/>
      <c r="AT227" s="380"/>
      <c r="AU227" s="380"/>
      <c r="AV227" s="380"/>
      <c r="AW227" s="380"/>
      <c r="AX227" s="380"/>
      <c r="AY227" s="403"/>
      <c r="AZ227" s="380"/>
      <c r="BA227" s="380"/>
      <c r="BB227" s="380"/>
      <c r="BC227" s="380"/>
      <c r="BD227" s="380"/>
      <c r="BE227" s="404"/>
      <c r="BF227" s="380"/>
      <c r="BG227" s="380"/>
      <c r="BH227" s="380"/>
      <c r="BI227" s="380"/>
      <c r="BJ227" s="380"/>
      <c r="BK227" s="380"/>
      <c r="BL227" s="380"/>
      <c r="BM227" s="403"/>
      <c r="BS227" s="83"/>
      <c r="CA227" s="405"/>
      <c r="CG227" s="83"/>
      <c r="CO227" s="405"/>
      <c r="CU227" s="83"/>
      <c r="DC227" s="405"/>
      <c r="DI227" s="83"/>
      <c r="DQ227" s="405"/>
      <c r="DW227" s="83"/>
      <c r="EE227" s="405"/>
      <c r="EK227" s="83"/>
      <c r="ES227" s="405"/>
      <c r="EY227" s="83"/>
      <c r="FG227" s="405"/>
      <c r="FM227" s="83"/>
      <c r="FU227" s="405"/>
      <c r="GA227" s="83"/>
      <c r="GI227" s="405"/>
      <c r="GO227" s="83"/>
      <c r="GW227" s="405"/>
      <c r="HC227" s="83"/>
      <c r="HK227" s="405"/>
      <c r="HQ227" s="83"/>
      <c r="HY227" s="405"/>
      <c r="IE227" s="83"/>
      <c r="IM227" s="405"/>
      <c r="IS227" s="83"/>
      <c r="JA227" s="405"/>
      <c r="JG227" s="83"/>
      <c r="JO227" s="405"/>
      <c r="JU227" s="83"/>
      <c r="KC227" s="405"/>
      <c r="KI227" s="83"/>
      <c r="KQ227" s="405"/>
      <c r="KW227" s="83"/>
      <c r="LE227" s="405"/>
      <c r="LK227" s="83"/>
      <c r="LS227" s="405"/>
      <c r="LY227" s="83"/>
      <c r="MG227" s="405"/>
      <c r="MM227" s="83"/>
      <c r="MU227" s="405"/>
      <c r="NA227" s="83"/>
    </row>
    <row r="228">
      <c r="A228" s="380"/>
      <c r="B228" s="380"/>
      <c r="C228" s="380"/>
      <c r="D228" s="380"/>
      <c r="E228" s="380"/>
      <c r="F228" s="380"/>
      <c r="G228" s="380"/>
      <c r="H228" s="380"/>
      <c r="I228" s="403"/>
      <c r="J228" s="380"/>
      <c r="K228" s="380"/>
      <c r="L228" s="380"/>
      <c r="M228" s="380"/>
      <c r="N228" s="380"/>
      <c r="O228" s="404"/>
      <c r="P228" s="380"/>
      <c r="Q228" s="380"/>
      <c r="R228" s="380"/>
      <c r="S228" s="380"/>
      <c r="T228" s="380"/>
      <c r="U228" s="380"/>
      <c r="V228" s="380"/>
      <c r="W228" s="403"/>
      <c r="X228" s="380"/>
      <c r="Y228" s="380"/>
      <c r="Z228" s="380"/>
      <c r="AA228" s="380"/>
      <c r="AB228" s="380"/>
      <c r="AC228" s="404"/>
      <c r="AD228" s="380"/>
      <c r="AE228" s="380"/>
      <c r="AF228" s="380"/>
      <c r="AG228" s="380"/>
      <c r="AH228" s="380"/>
      <c r="AI228" s="380"/>
      <c r="AJ228" s="380"/>
      <c r="AK228" s="403"/>
      <c r="AL228" s="380"/>
      <c r="AM228" s="380"/>
      <c r="AN228" s="380"/>
      <c r="AO228" s="380"/>
      <c r="AP228" s="380"/>
      <c r="AQ228" s="404"/>
      <c r="AR228" s="380"/>
      <c r="AS228" s="380"/>
      <c r="AT228" s="380"/>
      <c r="AU228" s="380"/>
      <c r="AV228" s="380"/>
      <c r="AW228" s="380"/>
      <c r="AX228" s="380"/>
      <c r="AY228" s="403"/>
      <c r="AZ228" s="380"/>
      <c r="BA228" s="380"/>
      <c r="BB228" s="380"/>
      <c r="BC228" s="380"/>
      <c r="BD228" s="380"/>
      <c r="BE228" s="404"/>
      <c r="BF228" s="380"/>
      <c r="BG228" s="380"/>
      <c r="BH228" s="380"/>
      <c r="BI228" s="380"/>
      <c r="BJ228" s="380"/>
      <c r="BK228" s="380"/>
      <c r="BL228" s="380"/>
      <c r="BM228" s="403"/>
      <c r="BS228" s="83"/>
      <c r="CA228" s="405"/>
      <c r="CG228" s="83"/>
      <c r="CO228" s="405"/>
      <c r="CU228" s="83"/>
      <c r="DC228" s="405"/>
      <c r="DI228" s="83"/>
      <c r="DQ228" s="405"/>
      <c r="DW228" s="83"/>
      <c r="EE228" s="405"/>
      <c r="EK228" s="83"/>
      <c r="ES228" s="405"/>
      <c r="EY228" s="83"/>
      <c r="FG228" s="405"/>
      <c r="FM228" s="83"/>
      <c r="FU228" s="405"/>
      <c r="GA228" s="83"/>
      <c r="GI228" s="405"/>
      <c r="GO228" s="83"/>
      <c r="GW228" s="405"/>
      <c r="HC228" s="83"/>
      <c r="HK228" s="405"/>
      <c r="HQ228" s="83"/>
      <c r="HY228" s="405"/>
      <c r="IE228" s="83"/>
      <c r="IM228" s="405"/>
      <c r="IS228" s="83"/>
      <c r="JA228" s="405"/>
      <c r="JG228" s="83"/>
      <c r="JO228" s="405"/>
      <c r="JU228" s="83"/>
      <c r="KC228" s="405"/>
      <c r="KI228" s="83"/>
      <c r="KQ228" s="405"/>
      <c r="KW228" s="83"/>
      <c r="LE228" s="405"/>
      <c r="LK228" s="83"/>
      <c r="LS228" s="405"/>
      <c r="LY228" s="83"/>
      <c r="MG228" s="405"/>
      <c r="MM228" s="83"/>
      <c r="MU228" s="405"/>
      <c r="NA228" s="83"/>
    </row>
    <row r="229">
      <c r="A229" s="380"/>
      <c r="B229" s="380"/>
      <c r="C229" s="380"/>
      <c r="D229" s="380"/>
      <c r="E229" s="380"/>
      <c r="F229" s="380"/>
      <c r="G229" s="380"/>
      <c r="H229" s="380"/>
      <c r="I229" s="403"/>
      <c r="J229" s="380"/>
      <c r="K229" s="380"/>
      <c r="L229" s="380"/>
      <c r="M229" s="380"/>
      <c r="N229" s="380"/>
      <c r="O229" s="404"/>
      <c r="P229" s="380"/>
      <c r="Q229" s="380"/>
      <c r="R229" s="380"/>
      <c r="S229" s="380"/>
      <c r="T229" s="380"/>
      <c r="U229" s="380"/>
      <c r="V229" s="380"/>
      <c r="W229" s="403"/>
      <c r="X229" s="380"/>
      <c r="Y229" s="380"/>
      <c r="Z229" s="380"/>
      <c r="AA229" s="380"/>
      <c r="AB229" s="380"/>
      <c r="AC229" s="404"/>
      <c r="AD229" s="380"/>
      <c r="AE229" s="380"/>
      <c r="AF229" s="380"/>
      <c r="AG229" s="380"/>
      <c r="AH229" s="380"/>
      <c r="AI229" s="380"/>
      <c r="AJ229" s="380"/>
      <c r="AK229" s="403"/>
      <c r="AL229" s="380"/>
      <c r="AM229" s="380"/>
      <c r="AN229" s="380"/>
      <c r="AO229" s="380"/>
      <c r="AP229" s="380"/>
      <c r="AQ229" s="404"/>
      <c r="AR229" s="380"/>
      <c r="AS229" s="380"/>
      <c r="AT229" s="380"/>
      <c r="AU229" s="380"/>
      <c r="AV229" s="380"/>
      <c r="AW229" s="380"/>
      <c r="AX229" s="380"/>
      <c r="AY229" s="403"/>
      <c r="AZ229" s="380"/>
      <c r="BA229" s="380"/>
      <c r="BB229" s="380"/>
      <c r="BC229" s="380"/>
      <c r="BD229" s="380"/>
      <c r="BE229" s="404"/>
      <c r="BF229" s="380"/>
      <c r="BG229" s="380"/>
      <c r="BH229" s="380"/>
      <c r="BI229" s="380"/>
      <c r="BJ229" s="380"/>
      <c r="BK229" s="380"/>
      <c r="BL229" s="380"/>
      <c r="BM229" s="403"/>
      <c r="BS229" s="83"/>
      <c r="CA229" s="405"/>
      <c r="CG229" s="83"/>
      <c r="CO229" s="405"/>
      <c r="CU229" s="83"/>
      <c r="DC229" s="405"/>
      <c r="DI229" s="83"/>
      <c r="DQ229" s="405"/>
      <c r="DW229" s="83"/>
      <c r="EE229" s="405"/>
      <c r="EK229" s="83"/>
      <c r="ES229" s="405"/>
      <c r="EY229" s="83"/>
      <c r="FG229" s="405"/>
      <c r="FM229" s="83"/>
      <c r="FU229" s="405"/>
      <c r="GA229" s="83"/>
      <c r="GI229" s="405"/>
      <c r="GO229" s="83"/>
      <c r="GW229" s="405"/>
      <c r="HC229" s="83"/>
      <c r="HK229" s="405"/>
      <c r="HQ229" s="83"/>
      <c r="HY229" s="405"/>
      <c r="IE229" s="83"/>
      <c r="IM229" s="405"/>
      <c r="IS229" s="83"/>
      <c r="JA229" s="405"/>
      <c r="JG229" s="83"/>
      <c r="JO229" s="405"/>
      <c r="JU229" s="83"/>
      <c r="KC229" s="405"/>
      <c r="KI229" s="83"/>
      <c r="KQ229" s="405"/>
      <c r="KW229" s="83"/>
      <c r="LE229" s="405"/>
      <c r="LK229" s="83"/>
      <c r="LS229" s="405"/>
      <c r="LY229" s="83"/>
      <c r="MG229" s="405"/>
      <c r="MM229" s="83"/>
      <c r="MU229" s="405"/>
      <c r="NA229" s="83"/>
    </row>
    <row r="230">
      <c r="A230" s="380"/>
      <c r="B230" s="380"/>
      <c r="C230" s="380"/>
      <c r="D230" s="380"/>
      <c r="E230" s="380"/>
      <c r="F230" s="380"/>
      <c r="G230" s="380"/>
      <c r="H230" s="380"/>
      <c r="I230" s="403"/>
      <c r="J230" s="380"/>
      <c r="K230" s="380"/>
      <c r="L230" s="380"/>
      <c r="M230" s="380"/>
      <c r="N230" s="380"/>
      <c r="O230" s="404"/>
      <c r="P230" s="380"/>
      <c r="Q230" s="380"/>
      <c r="R230" s="380"/>
      <c r="S230" s="380"/>
      <c r="T230" s="380"/>
      <c r="U230" s="380"/>
      <c r="V230" s="380"/>
      <c r="W230" s="403"/>
      <c r="X230" s="380"/>
      <c r="Y230" s="380"/>
      <c r="Z230" s="380"/>
      <c r="AA230" s="380"/>
      <c r="AB230" s="380"/>
      <c r="AC230" s="404"/>
      <c r="AD230" s="380"/>
      <c r="AE230" s="380"/>
      <c r="AF230" s="380"/>
      <c r="AG230" s="380"/>
      <c r="AH230" s="380"/>
      <c r="AI230" s="380"/>
      <c r="AJ230" s="380"/>
      <c r="AK230" s="403"/>
      <c r="AL230" s="380"/>
      <c r="AM230" s="380"/>
      <c r="AN230" s="380"/>
      <c r="AO230" s="380"/>
      <c r="AP230" s="380"/>
      <c r="AQ230" s="404"/>
      <c r="AR230" s="380"/>
      <c r="AS230" s="380"/>
      <c r="AT230" s="380"/>
      <c r="AU230" s="380"/>
      <c r="AV230" s="380"/>
      <c r="AW230" s="380"/>
      <c r="AX230" s="380"/>
      <c r="AY230" s="403"/>
      <c r="AZ230" s="380"/>
      <c r="BA230" s="380"/>
      <c r="BB230" s="380"/>
      <c r="BC230" s="380"/>
      <c r="BD230" s="380"/>
      <c r="BE230" s="404"/>
      <c r="BF230" s="380"/>
      <c r="BG230" s="380"/>
      <c r="BH230" s="380"/>
      <c r="BI230" s="380"/>
      <c r="BJ230" s="380"/>
      <c r="BK230" s="380"/>
      <c r="BL230" s="380"/>
      <c r="BM230" s="403"/>
      <c r="BS230" s="83"/>
      <c r="CA230" s="405"/>
      <c r="CG230" s="83"/>
      <c r="CO230" s="405"/>
      <c r="CU230" s="83"/>
      <c r="DC230" s="405"/>
      <c r="DI230" s="83"/>
      <c r="DQ230" s="405"/>
      <c r="DW230" s="83"/>
      <c r="EE230" s="405"/>
      <c r="EK230" s="83"/>
      <c r="ES230" s="405"/>
      <c r="EY230" s="83"/>
      <c r="FG230" s="405"/>
      <c r="FM230" s="83"/>
      <c r="FU230" s="405"/>
      <c r="GA230" s="83"/>
      <c r="GI230" s="405"/>
      <c r="GO230" s="83"/>
      <c r="GW230" s="405"/>
      <c r="HC230" s="83"/>
      <c r="HK230" s="405"/>
      <c r="HQ230" s="83"/>
      <c r="HY230" s="405"/>
      <c r="IE230" s="83"/>
      <c r="IM230" s="405"/>
      <c r="IS230" s="83"/>
      <c r="JA230" s="405"/>
      <c r="JG230" s="83"/>
      <c r="JO230" s="405"/>
      <c r="JU230" s="83"/>
      <c r="KC230" s="405"/>
      <c r="KI230" s="83"/>
      <c r="KQ230" s="405"/>
      <c r="KW230" s="83"/>
      <c r="LE230" s="405"/>
      <c r="LK230" s="83"/>
      <c r="LS230" s="405"/>
      <c r="LY230" s="83"/>
      <c r="MG230" s="405"/>
      <c r="MM230" s="83"/>
      <c r="MU230" s="405"/>
      <c r="NA230" s="83"/>
    </row>
    <row r="231">
      <c r="A231" s="380"/>
      <c r="B231" s="380"/>
      <c r="C231" s="380"/>
      <c r="D231" s="380"/>
      <c r="E231" s="380"/>
      <c r="F231" s="380"/>
      <c r="G231" s="380"/>
      <c r="H231" s="380"/>
      <c r="I231" s="403"/>
      <c r="J231" s="380"/>
      <c r="K231" s="380"/>
      <c r="L231" s="380"/>
      <c r="M231" s="380"/>
      <c r="N231" s="380"/>
      <c r="O231" s="404"/>
      <c r="P231" s="380"/>
      <c r="Q231" s="380"/>
      <c r="R231" s="380"/>
      <c r="S231" s="380"/>
      <c r="T231" s="380"/>
      <c r="U231" s="380"/>
      <c r="V231" s="380"/>
      <c r="W231" s="403"/>
      <c r="X231" s="380"/>
      <c r="Y231" s="380"/>
      <c r="Z231" s="380"/>
      <c r="AA231" s="380"/>
      <c r="AB231" s="380"/>
      <c r="AC231" s="404"/>
      <c r="AD231" s="380"/>
      <c r="AE231" s="380"/>
      <c r="AF231" s="380"/>
      <c r="AG231" s="380"/>
      <c r="AH231" s="380"/>
      <c r="AI231" s="380"/>
      <c r="AJ231" s="380"/>
      <c r="AK231" s="403"/>
      <c r="AL231" s="380"/>
      <c r="AM231" s="380"/>
      <c r="AN231" s="380"/>
      <c r="AO231" s="380"/>
      <c r="AP231" s="380"/>
      <c r="AQ231" s="404"/>
      <c r="AR231" s="380"/>
      <c r="AS231" s="380"/>
      <c r="AT231" s="380"/>
      <c r="AU231" s="380"/>
      <c r="AV231" s="380"/>
      <c r="AW231" s="380"/>
      <c r="AX231" s="380"/>
      <c r="AY231" s="403"/>
      <c r="AZ231" s="380"/>
      <c r="BA231" s="380"/>
      <c r="BB231" s="380"/>
      <c r="BC231" s="380"/>
      <c r="BD231" s="380"/>
      <c r="BE231" s="404"/>
      <c r="BF231" s="380"/>
      <c r="BG231" s="380"/>
      <c r="BH231" s="380"/>
      <c r="BI231" s="380"/>
      <c r="BJ231" s="380"/>
      <c r="BK231" s="380"/>
      <c r="BL231" s="380"/>
      <c r="BM231" s="403"/>
      <c r="BS231" s="83"/>
      <c r="CA231" s="405"/>
      <c r="CG231" s="83"/>
      <c r="CO231" s="405"/>
      <c r="CU231" s="83"/>
      <c r="DC231" s="405"/>
      <c r="DI231" s="83"/>
      <c r="DQ231" s="405"/>
      <c r="DW231" s="83"/>
      <c r="EE231" s="405"/>
      <c r="EK231" s="83"/>
      <c r="ES231" s="405"/>
      <c r="EY231" s="83"/>
      <c r="FG231" s="405"/>
      <c r="FM231" s="83"/>
      <c r="FU231" s="405"/>
      <c r="GA231" s="83"/>
      <c r="GI231" s="405"/>
      <c r="GO231" s="83"/>
      <c r="GW231" s="405"/>
      <c r="HC231" s="83"/>
      <c r="HK231" s="405"/>
      <c r="HQ231" s="83"/>
      <c r="HY231" s="405"/>
      <c r="IE231" s="83"/>
      <c r="IM231" s="405"/>
      <c r="IS231" s="83"/>
      <c r="JA231" s="405"/>
      <c r="JG231" s="83"/>
      <c r="JO231" s="405"/>
      <c r="JU231" s="83"/>
      <c r="KC231" s="405"/>
      <c r="KI231" s="83"/>
      <c r="KQ231" s="405"/>
      <c r="KW231" s="83"/>
      <c r="LE231" s="405"/>
      <c r="LK231" s="83"/>
      <c r="LS231" s="405"/>
      <c r="LY231" s="83"/>
      <c r="MG231" s="405"/>
      <c r="MM231" s="83"/>
      <c r="MU231" s="405"/>
      <c r="NA231" s="83"/>
    </row>
    <row r="232">
      <c r="A232" s="380"/>
      <c r="B232" s="380"/>
      <c r="C232" s="380"/>
      <c r="D232" s="380"/>
      <c r="E232" s="380"/>
      <c r="F232" s="380"/>
      <c r="G232" s="380"/>
      <c r="H232" s="380"/>
      <c r="I232" s="403"/>
      <c r="J232" s="380"/>
      <c r="K232" s="380"/>
      <c r="L232" s="380"/>
      <c r="M232" s="380"/>
      <c r="N232" s="380"/>
      <c r="O232" s="404"/>
      <c r="P232" s="380"/>
      <c r="Q232" s="380"/>
      <c r="R232" s="380"/>
      <c r="S232" s="380"/>
      <c r="T232" s="380"/>
      <c r="U232" s="380"/>
      <c r="V232" s="380"/>
      <c r="W232" s="403"/>
      <c r="X232" s="380"/>
      <c r="Y232" s="380"/>
      <c r="Z232" s="380"/>
      <c r="AA232" s="380"/>
      <c r="AB232" s="380"/>
      <c r="AC232" s="404"/>
      <c r="AD232" s="380"/>
      <c r="AE232" s="380"/>
      <c r="AF232" s="380"/>
      <c r="AG232" s="380"/>
      <c r="AH232" s="380"/>
      <c r="AI232" s="380"/>
      <c r="AJ232" s="380"/>
      <c r="AK232" s="403"/>
      <c r="AL232" s="380"/>
      <c r="AM232" s="380"/>
      <c r="AN232" s="380"/>
      <c r="AO232" s="380"/>
      <c r="AP232" s="380"/>
      <c r="AQ232" s="404"/>
      <c r="AR232" s="380"/>
      <c r="AS232" s="380"/>
      <c r="AT232" s="380"/>
      <c r="AU232" s="380"/>
      <c r="AV232" s="380"/>
      <c r="AW232" s="380"/>
      <c r="AX232" s="380"/>
      <c r="AY232" s="403"/>
      <c r="AZ232" s="380"/>
      <c r="BA232" s="380"/>
      <c r="BB232" s="380"/>
      <c r="BC232" s="380"/>
      <c r="BD232" s="380"/>
      <c r="BE232" s="404"/>
      <c r="BF232" s="380"/>
      <c r="BG232" s="380"/>
      <c r="BH232" s="380"/>
      <c r="BI232" s="380"/>
      <c r="BJ232" s="380"/>
      <c r="BK232" s="380"/>
      <c r="BL232" s="380"/>
      <c r="BM232" s="403"/>
      <c r="BS232" s="83"/>
      <c r="CA232" s="405"/>
      <c r="CG232" s="83"/>
      <c r="CO232" s="405"/>
      <c r="CU232" s="83"/>
      <c r="DC232" s="405"/>
      <c r="DI232" s="83"/>
      <c r="DQ232" s="405"/>
      <c r="DW232" s="83"/>
      <c r="EE232" s="405"/>
      <c r="EK232" s="83"/>
      <c r="ES232" s="405"/>
      <c r="EY232" s="83"/>
      <c r="FG232" s="405"/>
      <c r="FM232" s="83"/>
      <c r="FU232" s="405"/>
      <c r="GA232" s="83"/>
      <c r="GI232" s="405"/>
      <c r="GO232" s="83"/>
      <c r="GW232" s="405"/>
      <c r="HC232" s="83"/>
      <c r="HK232" s="405"/>
      <c r="HQ232" s="83"/>
      <c r="HY232" s="405"/>
      <c r="IE232" s="83"/>
      <c r="IM232" s="405"/>
      <c r="IS232" s="83"/>
      <c r="JA232" s="405"/>
      <c r="JG232" s="83"/>
      <c r="JO232" s="405"/>
      <c r="JU232" s="83"/>
      <c r="KC232" s="405"/>
      <c r="KI232" s="83"/>
      <c r="KQ232" s="405"/>
      <c r="KW232" s="83"/>
      <c r="LE232" s="405"/>
      <c r="LK232" s="83"/>
      <c r="LS232" s="405"/>
      <c r="LY232" s="83"/>
      <c r="MG232" s="405"/>
      <c r="MM232" s="83"/>
      <c r="MU232" s="405"/>
      <c r="NA232" s="83"/>
    </row>
    <row r="233">
      <c r="A233" s="380"/>
      <c r="B233" s="380"/>
      <c r="C233" s="380"/>
      <c r="D233" s="380"/>
      <c r="E233" s="380"/>
      <c r="F233" s="380"/>
      <c r="G233" s="380"/>
      <c r="H233" s="380"/>
      <c r="I233" s="403"/>
      <c r="J233" s="380"/>
      <c r="K233" s="380"/>
      <c r="L233" s="380"/>
      <c r="M233" s="380"/>
      <c r="N233" s="380"/>
      <c r="O233" s="404"/>
      <c r="P233" s="380"/>
      <c r="Q233" s="380"/>
      <c r="R233" s="380"/>
      <c r="S233" s="380"/>
      <c r="T233" s="380"/>
      <c r="U233" s="380"/>
      <c r="V233" s="380"/>
      <c r="W233" s="403"/>
      <c r="X233" s="380"/>
      <c r="Y233" s="380"/>
      <c r="Z233" s="380"/>
      <c r="AA233" s="380"/>
      <c r="AB233" s="380"/>
      <c r="AC233" s="404"/>
      <c r="AD233" s="380"/>
      <c r="AE233" s="380"/>
      <c r="AF233" s="380"/>
      <c r="AG233" s="380"/>
      <c r="AH233" s="380"/>
      <c r="AI233" s="380"/>
      <c r="AJ233" s="380"/>
      <c r="AK233" s="403"/>
      <c r="AL233" s="380"/>
      <c r="AM233" s="380"/>
      <c r="AN233" s="380"/>
      <c r="AO233" s="380"/>
      <c r="AP233" s="380"/>
      <c r="AQ233" s="404"/>
      <c r="AR233" s="380"/>
      <c r="AS233" s="380"/>
      <c r="AT233" s="380"/>
      <c r="AU233" s="380"/>
      <c r="AV233" s="380"/>
      <c r="AW233" s="380"/>
      <c r="AX233" s="380"/>
      <c r="AY233" s="403"/>
      <c r="AZ233" s="380"/>
      <c r="BA233" s="380"/>
      <c r="BB233" s="380"/>
      <c r="BC233" s="380"/>
      <c r="BD233" s="380"/>
      <c r="BE233" s="404"/>
      <c r="BF233" s="380"/>
      <c r="BG233" s="380"/>
      <c r="BH233" s="380"/>
      <c r="BI233" s="380"/>
      <c r="BJ233" s="380"/>
      <c r="BK233" s="380"/>
      <c r="BL233" s="380"/>
      <c r="BM233" s="403"/>
      <c r="BS233" s="83"/>
      <c r="CA233" s="405"/>
      <c r="CG233" s="83"/>
      <c r="CO233" s="405"/>
      <c r="CU233" s="83"/>
      <c r="DC233" s="405"/>
      <c r="DI233" s="83"/>
      <c r="DQ233" s="405"/>
      <c r="DW233" s="83"/>
      <c r="EE233" s="405"/>
      <c r="EK233" s="83"/>
      <c r="ES233" s="405"/>
      <c r="EY233" s="83"/>
      <c r="FG233" s="405"/>
      <c r="FM233" s="83"/>
      <c r="FU233" s="405"/>
      <c r="GA233" s="83"/>
      <c r="GI233" s="405"/>
      <c r="GO233" s="83"/>
      <c r="GW233" s="405"/>
      <c r="HC233" s="83"/>
      <c r="HK233" s="405"/>
      <c r="HQ233" s="83"/>
      <c r="HY233" s="405"/>
      <c r="IE233" s="83"/>
      <c r="IM233" s="405"/>
      <c r="IS233" s="83"/>
      <c r="JA233" s="405"/>
      <c r="JG233" s="83"/>
      <c r="JO233" s="405"/>
      <c r="JU233" s="83"/>
      <c r="KC233" s="405"/>
      <c r="KI233" s="83"/>
      <c r="KQ233" s="405"/>
      <c r="KW233" s="83"/>
      <c r="LE233" s="405"/>
      <c r="LK233" s="83"/>
      <c r="LS233" s="405"/>
      <c r="LY233" s="83"/>
      <c r="MG233" s="405"/>
      <c r="MM233" s="83"/>
      <c r="MU233" s="405"/>
      <c r="NA233" s="83"/>
    </row>
    <row r="234">
      <c r="A234" s="380"/>
      <c r="B234" s="380"/>
      <c r="C234" s="380"/>
      <c r="D234" s="380"/>
      <c r="E234" s="380"/>
      <c r="F234" s="380"/>
      <c r="G234" s="380"/>
      <c r="H234" s="380"/>
      <c r="I234" s="403"/>
      <c r="J234" s="380"/>
      <c r="K234" s="380"/>
      <c r="L234" s="380"/>
      <c r="M234" s="380"/>
      <c r="N234" s="380"/>
      <c r="O234" s="404"/>
      <c r="P234" s="380"/>
      <c r="Q234" s="380"/>
      <c r="R234" s="380"/>
      <c r="S234" s="380"/>
      <c r="T234" s="380"/>
      <c r="U234" s="380"/>
      <c r="V234" s="380"/>
      <c r="W234" s="403"/>
      <c r="X234" s="380"/>
      <c r="Y234" s="380"/>
      <c r="Z234" s="380"/>
      <c r="AA234" s="380"/>
      <c r="AB234" s="380"/>
      <c r="AC234" s="404"/>
      <c r="AD234" s="380"/>
      <c r="AE234" s="380"/>
      <c r="AF234" s="380"/>
      <c r="AG234" s="380"/>
      <c r="AH234" s="380"/>
      <c r="AI234" s="380"/>
      <c r="AJ234" s="380"/>
      <c r="AK234" s="403"/>
      <c r="AL234" s="380"/>
      <c r="AM234" s="380"/>
      <c r="AN234" s="380"/>
      <c r="AO234" s="380"/>
      <c r="AP234" s="380"/>
      <c r="AQ234" s="404"/>
      <c r="AR234" s="380"/>
      <c r="AS234" s="380"/>
      <c r="AT234" s="380"/>
      <c r="AU234" s="380"/>
      <c r="AV234" s="380"/>
      <c r="AW234" s="380"/>
      <c r="AX234" s="380"/>
      <c r="AY234" s="403"/>
      <c r="AZ234" s="380"/>
      <c r="BA234" s="380"/>
      <c r="BB234" s="380"/>
      <c r="BC234" s="380"/>
      <c r="BD234" s="380"/>
      <c r="BE234" s="404"/>
      <c r="BF234" s="380"/>
      <c r="BG234" s="380"/>
      <c r="BH234" s="380"/>
      <c r="BI234" s="380"/>
      <c r="BJ234" s="380"/>
      <c r="BK234" s="380"/>
      <c r="BL234" s="380"/>
      <c r="BM234" s="403"/>
      <c r="BS234" s="83"/>
      <c r="CA234" s="405"/>
      <c r="CG234" s="83"/>
      <c r="CO234" s="405"/>
      <c r="CU234" s="83"/>
      <c r="DC234" s="405"/>
      <c r="DI234" s="83"/>
      <c r="DQ234" s="405"/>
      <c r="DW234" s="83"/>
      <c r="EE234" s="405"/>
      <c r="EK234" s="83"/>
      <c r="ES234" s="405"/>
      <c r="EY234" s="83"/>
      <c r="FG234" s="405"/>
      <c r="FM234" s="83"/>
      <c r="FU234" s="405"/>
      <c r="GA234" s="83"/>
      <c r="GI234" s="405"/>
      <c r="GO234" s="83"/>
      <c r="GW234" s="405"/>
      <c r="HC234" s="83"/>
      <c r="HK234" s="405"/>
      <c r="HQ234" s="83"/>
      <c r="HY234" s="405"/>
      <c r="IE234" s="83"/>
      <c r="IM234" s="405"/>
      <c r="IS234" s="83"/>
      <c r="JA234" s="405"/>
      <c r="JG234" s="83"/>
      <c r="JO234" s="405"/>
      <c r="JU234" s="83"/>
      <c r="KC234" s="405"/>
      <c r="KI234" s="83"/>
      <c r="KQ234" s="405"/>
      <c r="KW234" s="83"/>
      <c r="LE234" s="405"/>
      <c r="LK234" s="83"/>
      <c r="LS234" s="405"/>
      <c r="LY234" s="83"/>
      <c r="MG234" s="405"/>
      <c r="MM234" s="83"/>
      <c r="MU234" s="405"/>
      <c r="NA234" s="83"/>
    </row>
    <row r="235">
      <c r="A235" s="380"/>
      <c r="B235" s="380"/>
      <c r="C235" s="380"/>
      <c r="D235" s="380"/>
      <c r="E235" s="380"/>
      <c r="F235" s="380"/>
      <c r="G235" s="380"/>
      <c r="H235" s="380"/>
      <c r="I235" s="403"/>
      <c r="J235" s="380"/>
      <c r="K235" s="380"/>
      <c r="L235" s="380"/>
      <c r="M235" s="380"/>
      <c r="N235" s="380"/>
      <c r="O235" s="404"/>
      <c r="P235" s="380"/>
      <c r="Q235" s="380"/>
      <c r="R235" s="380"/>
      <c r="S235" s="380"/>
      <c r="T235" s="380"/>
      <c r="U235" s="380"/>
      <c r="V235" s="380"/>
      <c r="W235" s="403"/>
      <c r="X235" s="380"/>
      <c r="Y235" s="380"/>
      <c r="Z235" s="380"/>
      <c r="AA235" s="380"/>
      <c r="AB235" s="380"/>
      <c r="AC235" s="404"/>
      <c r="AD235" s="380"/>
      <c r="AE235" s="380"/>
      <c r="AF235" s="380"/>
      <c r="AG235" s="380"/>
      <c r="AH235" s="380"/>
      <c r="AI235" s="380"/>
      <c r="AJ235" s="380"/>
      <c r="AK235" s="403"/>
      <c r="AL235" s="380"/>
      <c r="AM235" s="380"/>
      <c r="AN235" s="380"/>
      <c r="AO235" s="380"/>
      <c r="AP235" s="380"/>
      <c r="AQ235" s="404"/>
      <c r="AR235" s="380"/>
      <c r="AS235" s="380"/>
      <c r="AT235" s="380"/>
      <c r="AU235" s="380"/>
      <c r="AV235" s="380"/>
      <c r="AW235" s="380"/>
      <c r="AX235" s="380"/>
      <c r="AY235" s="403"/>
      <c r="AZ235" s="380"/>
      <c r="BA235" s="380"/>
      <c r="BB235" s="380"/>
      <c r="BC235" s="380"/>
      <c r="BD235" s="380"/>
      <c r="BE235" s="404"/>
      <c r="BF235" s="380"/>
      <c r="BG235" s="380"/>
      <c r="BH235" s="380"/>
      <c r="BI235" s="380"/>
      <c r="BJ235" s="380"/>
      <c r="BK235" s="380"/>
      <c r="BL235" s="380"/>
      <c r="BM235" s="403"/>
      <c r="BS235" s="83"/>
      <c r="CA235" s="405"/>
      <c r="CG235" s="83"/>
      <c r="CO235" s="405"/>
      <c r="CU235" s="83"/>
      <c r="DC235" s="405"/>
      <c r="DI235" s="83"/>
      <c r="DQ235" s="405"/>
      <c r="DW235" s="83"/>
      <c r="EE235" s="405"/>
      <c r="EK235" s="83"/>
      <c r="ES235" s="405"/>
      <c r="EY235" s="83"/>
      <c r="FG235" s="405"/>
      <c r="FM235" s="83"/>
      <c r="FU235" s="405"/>
      <c r="GA235" s="83"/>
      <c r="GI235" s="405"/>
      <c r="GO235" s="83"/>
      <c r="GW235" s="405"/>
      <c r="HC235" s="83"/>
      <c r="HK235" s="405"/>
      <c r="HQ235" s="83"/>
      <c r="HY235" s="405"/>
      <c r="IE235" s="83"/>
      <c r="IM235" s="405"/>
      <c r="IS235" s="83"/>
      <c r="JA235" s="405"/>
      <c r="JG235" s="83"/>
      <c r="JO235" s="405"/>
      <c r="JU235" s="83"/>
      <c r="KC235" s="405"/>
      <c r="KI235" s="83"/>
      <c r="KQ235" s="405"/>
      <c r="KW235" s="83"/>
      <c r="LE235" s="405"/>
      <c r="LK235" s="83"/>
      <c r="LS235" s="405"/>
      <c r="LY235" s="83"/>
      <c r="MG235" s="405"/>
      <c r="MM235" s="83"/>
      <c r="MU235" s="405"/>
      <c r="NA235" s="83"/>
    </row>
    <row r="236">
      <c r="A236" s="380"/>
      <c r="B236" s="380"/>
      <c r="C236" s="380"/>
      <c r="D236" s="380"/>
      <c r="E236" s="380"/>
      <c r="F236" s="380"/>
      <c r="G236" s="380"/>
      <c r="H236" s="380"/>
      <c r="I236" s="403"/>
      <c r="J236" s="380"/>
      <c r="K236" s="380"/>
      <c r="L236" s="380"/>
      <c r="M236" s="380"/>
      <c r="N236" s="380"/>
      <c r="O236" s="404"/>
      <c r="P236" s="380"/>
      <c r="Q236" s="380"/>
      <c r="R236" s="380"/>
      <c r="S236" s="380"/>
      <c r="T236" s="380"/>
      <c r="U236" s="380"/>
      <c r="V236" s="380"/>
      <c r="W236" s="403"/>
      <c r="X236" s="380"/>
      <c r="Y236" s="380"/>
      <c r="Z236" s="380"/>
      <c r="AA236" s="380"/>
      <c r="AB236" s="380"/>
      <c r="AC236" s="404"/>
      <c r="AD236" s="380"/>
      <c r="AE236" s="380"/>
      <c r="AF236" s="380"/>
      <c r="AG236" s="380"/>
      <c r="AH236" s="380"/>
      <c r="AI236" s="380"/>
      <c r="AJ236" s="380"/>
      <c r="AK236" s="403"/>
      <c r="AL236" s="380"/>
      <c r="AM236" s="380"/>
      <c r="AN236" s="380"/>
      <c r="AO236" s="380"/>
      <c r="AP236" s="380"/>
      <c r="AQ236" s="404"/>
      <c r="AR236" s="380"/>
      <c r="AS236" s="380"/>
      <c r="AT236" s="380"/>
      <c r="AU236" s="380"/>
      <c r="AV236" s="380"/>
      <c r="AW236" s="380"/>
      <c r="AX236" s="380"/>
      <c r="AY236" s="403"/>
      <c r="AZ236" s="380"/>
      <c r="BA236" s="380"/>
      <c r="BB236" s="380"/>
      <c r="BC236" s="380"/>
      <c r="BD236" s="380"/>
      <c r="BE236" s="404"/>
      <c r="BF236" s="380"/>
      <c r="BG236" s="380"/>
      <c r="BH236" s="380"/>
      <c r="BI236" s="380"/>
      <c r="BJ236" s="380"/>
      <c r="BK236" s="380"/>
      <c r="BL236" s="380"/>
      <c r="BM236" s="403"/>
      <c r="BS236" s="83"/>
      <c r="CA236" s="405"/>
      <c r="CG236" s="83"/>
      <c r="CO236" s="405"/>
      <c r="CU236" s="83"/>
      <c r="DC236" s="405"/>
      <c r="DI236" s="83"/>
      <c r="DQ236" s="405"/>
      <c r="DW236" s="83"/>
      <c r="EE236" s="405"/>
      <c r="EK236" s="83"/>
      <c r="ES236" s="405"/>
      <c r="EY236" s="83"/>
      <c r="FG236" s="405"/>
      <c r="FM236" s="83"/>
      <c r="FU236" s="405"/>
      <c r="GA236" s="83"/>
      <c r="GI236" s="405"/>
      <c r="GO236" s="83"/>
      <c r="GW236" s="405"/>
      <c r="HC236" s="83"/>
      <c r="HK236" s="405"/>
      <c r="HQ236" s="83"/>
      <c r="HY236" s="405"/>
      <c r="IE236" s="83"/>
      <c r="IM236" s="405"/>
      <c r="IS236" s="83"/>
      <c r="JA236" s="405"/>
      <c r="JG236" s="83"/>
      <c r="JO236" s="405"/>
      <c r="JU236" s="83"/>
      <c r="KC236" s="405"/>
      <c r="KI236" s="83"/>
      <c r="KQ236" s="405"/>
      <c r="KW236" s="83"/>
      <c r="LE236" s="405"/>
      <c r="LK236" s="83"/>
      <c r="LS236" s="405"/>
      <c r="LY236" s="83"/>
      <c r="MG236" s="405"/>
      <c r="MM236" s="83"/>
      <c r="MU236" s="405"/>
      <c r="NA236" s="83"/>
    </row>
    <row r="237">
      <c r="A237" s="380"/>
      <c r="B237" s="380"/>
      <c r="C237" s="380"/>
      <c r="D237" s="380"/>
      <c r="E237" s="380"/>
      <c r="F237" s="380"/>
      <c r="G237" s="380"/>
      <c r="H237" s="380"/>
      <c r="I237" s="403"/>
      <c r="J237" s="380"/>
      <c r="K237" s="380"/>
      <c r="L237" s="380"/>
      <c r="M237" s="380"/>
      <c r="N237" s="380"/>
      <c r="O237" s="404"/>
      <c r="P237" s="380"/>
      <c r="Q237" s="380"/>
      <c r="R237" s="380"/>
      <c r="S237" s="380"/>
      <c r="T237" s="380"/>
      <c r="U237" s="380"/>
      <c r="V237" s="380"/>
      <c r="W237" s="403"/>
      <c r="X237" s="380"/>
      <c r="Y237" s="380"/>
      <c r="Z237" s="380"/>
      <c r="AA237" s="380"/>
      <c r="AB237" s="380"/>
      <c r="AC237" s="404"/>
      <c r="AD237" s="380"/>
      <c r="AE237" s="380"/>
      <c r="AF237" s="380"/>
      <c r="AG237" s="380"/>
      <c r="AH237" s="380"/>
      <c r="AI237" s="380"/>
      <c r="AJ237" s="380"/>
      <c r="AK237" s="403"/>
      <c r="AL237" s="380"/>
      <c r="AM237" s="380"/>
      <c r="AN237" s="380"/>
      <c r="AO237" s="380"/>
      <c r="AP237" s="380"/>
      <c r="AQ237" s="404"/>
      <c r="AR237" s="380"/>
      <c r="AS237" s="380"/>
      <c r="AT237" s="380"/>
      <c r="AU237" s="380"/>
      <c r="AV237" s="380"/>
      <c r="AW237" s="380"/>
      <c r="AX237" s="380"/>
      <c r="AY237" s="403"/>
      <c r="AZ237" s="380"/>
      <c r="BA237" s="380"/>
      <c r="BB237" s="380"/>
      <c r="BC237" s="380"/>
      <c r="BD237" s="380"/>
      <c r="BE237" s="404"/>
      <c r="BF237" s="380"/>
      <c r="BG237" s="380"/>
      <c r="BH237" s="380"/>
      <c r="BI237" s="380"/>
      <c r="BJ237" s="380"/>
      <c r="BK237" s="380"/>
      <c r="BL237" s="380"/>
      <c r="BM237" s="403"/>
      <c r="BS237" s="83"/>
      <c r="CA237" s="405"/>
      <c r="CG237" s="83"/>
      <c r="CO237" s="405"/>
      <c r="CU237" s="83"/>
      <c r="DC237" s="405"/>
      <c r="DI237" s="83"/>
      <c r="DQ237" s="405"/>
      <c r="DW237" s="83"/>
      <c r="EE237" s="405"/>
      <c r="EK237" s="83"/>
      <c r="ES237" s="405"/>
      <c r="EY237" s="83"/>
      <c r="FG237" s="405"/>
      <c r="FM237" s="83"/>
      <c r="FU237" s="405"/>
      <c r="GA237" s="83"/>
      <c r="GI237" s="405"/>
      <c r="GO237" s="83"/>
      <c r="GW237" s="405"/>
      <c r="HC237" s="83"/>
      <c r="HK237" s="405"/>
      <c r="HQ237" s="83"/>
      <c r="HY237" s="405"/>
      <c r="IE237" s="83"/>
      <c r="IM237" s="405"/>
      <c r="IS237" s="83"/>
      <c r="JA237" s="405"/>
      <c r="JG237" s="83"/>
      <c r="JO237" s="405"/>
      <c r="JU237" s="83"/>
      <c r="KC237" s="405"/>
      <c r="KI237" s="83"/>
      <c r="KQ237" s="405"/>
      <c r="KW237" s="83"/>
      <c r="LE237" s="405"/>
      <c r="LK237" s="83"/>
      <c r="LS237" s="405"/>
      <c r="LY237" s="83"/>
      <c r="MG237" s="405"/>
      <c r="MM237" s="83"/>
      <c r="MU237" s="405"/>
      <c r="NA237" s="83"/>
    </row>
    <row r="238">
      <c r="A238" s="380"/>
      <c r="B238" s="380"/>
      <c r="C238" s="380"/>
      <c r="D238" s="380"/>
      <c r="E238" s="380"/>
      <c r="F238" s="380"/>
      <c r="G238" s="380"/>
      <c r="H238" s="380"/>
      <c r="I238" s="403"/>
      <c r="J238" s="380"/>
      <c r="K238" s="380"/>
      <c r="L238" s="380"/>
      <c r="M238" s="380"/>
      <c r="N238" s="380"/>
      <c r="O238" s="404"/>
      <c r="P238" s="380"/>
      <c r="Q238" s="380"/>
      <c r="R238" s="380"/>
      <c r="S238" s="380"/>
      <c r="T238" s="380"/>
      <c r="U238" s="380"/>
      <c r="V238" s="380"/>
      <c r="W238" s="403"/>
      <c r="X238" s="380"/>
      <c r="Y238" s="380"/>
      <c r="Z238" s="380"/>
      <c r="AA238" s="380"/>
      <c r="AB238" s="380"/>
      <c r="AC238" s="404"/>
      <c r="AD238" s="380"/>
      <c r="AE238" s="380"/>
      <c r="AF238" s="380"/>
      <c r="AG238" s="380"/>
      <c r="AH238" s="380"/>
      <c r="AI238" s="380"/>
      <c r="AJ238" s="380"/>
      <c r="AK238" s="403"/>
      <c r="AL238" s="380"/>
      <c r="AM238" s="380"/>
      <c r="AN238" s="380"/>
      <c r="AO238" s="380"/>
      <c r="AP238" s="380"/>
      <c r="AQ238" s="404"/>
      <c r="AR238" s="380"/>
      <c r="AS238" s="380"/>
      <c r="AT238" s="380"/>
      <c r="AU238" s="380"/>
      <c r="AV238" s="380"/>
      <c r="AW238" s="380"/>
      <c r="AX238" s="380"/>
      <c r="AY238" s="403"/>
      <c r="AZ238" s="380"/>
      <c r="BA238" s="380"/>
      <c r="BB238" s="380"/>
      <c r="BC238" s="380"/>
      <c r="BD238" s="380"/>
      <c r="BE238" s="404"/>
      <c r="BF238" s="380"/>
      <c r="BG238" s="380"/>
      <c r="BH238" s="380"/>
      <c r="BI238" s="380"/>
      <c r="BJ238" s="380"/>
      <c r="BK238" s="380"/>
      <c r="BL238" s="380"/>
      <c r="BM238" s="403"/>
      <c r="BS238" s="83"/>
      <c r="CA238" s="405"/>
      <c r="CG238" s="83"/>
      <c r="CO238" s="405"/>
      <c r="CU238" s="83"/>
      <c r="DC238" s="405"/>
      <c r="DI238" s="83"/>
      <c r="DQ238" s="405"/>
      <c r="DW238" s="83"/>
      <c r="EE238" s="405"/>
      <c r="EK238" s="83"/>
      <c r="ES238" s="405"/>
      <c r="EY238" s="83"/>
      <c r="FG238" s="405"/>
      <c r="FM238" s="83"/>
      <c r="FU238" s="405"/>
      <c r="GA238" s="83"/>
      <c r="GI238" s="405"/>
      <c r="GO238" s="83"/>
      <c r="GW238" s="405"/>
      <c r="HC238" s="83"/>
      <c r="HK238" s="405"/>
      <c r="HQ238" s="83"/>
      <c r="HY238" s="405"/>
      <c r="IE238" s="83"/>
      <c r="IM238" s="405"/>
      <c r="IS238" s="83"/>
      <c r="JA238" s="405"/>
      <c r="JG238" s="83"/>
      <c r="JO238" s="405"/>
      <c r="JU238" s="83"/>
      <c r="KC238" s="405"/>
      <c r="KI238" s="83"/>
      <c r="KQ238" s="405"/>
      <c r="KW238" s="83"/>
      <c r="LE238" s="405"/>
      <c r="LK238" s="83"/>
      <c r="LS238" s="405"/>
      <c r="LY238" s="83"/>
      <c r="MG238" s="405"/>
      <c r="MM238" s="83"/>
      <c r="MU238" s="405"/>
      <c r="NA238" s="83"/>
    </row>
    <row r="239">
      <c r="A239" s="380"/>
      <c r="B239" s="380"/>
      <c r="C239" s="380"/>
      <c r="D239" s="380"/>
      <c r="E239" s="380"/>
      <c r="F239" s="380"/>
      <c r="G239" s="380"/>
      <c r="H239" s="380"/>
      <c r="I239" s="403"/>
      <c r="J239" s="380"/>
      <c r="K239" s="380"/>
      <c r="L239" s="380"/>
      <c r="M239" s="380"/>
      <c r="N239" s="380"/>
      <c r="O239" s="404"/>
      <c r="P239" s="380"/>
      <c r="Q239" s="380"/>
      <c r="R239" s="380"/>
      <c r="S239" s="380"/>
      <c r="T239" s="380"/>
      <c r="U239" s="380"/>
      <c r="V239" s="380"/>
      <c r="W239" s="403"/>
      <c r="X239" s="380"/>
      <c r="Y239" s="380"/>
      <c r="Z239" s="380"/>
      <c r="AA239" s="380"/>
      <c r="AB239" s="380"/>
      <c r="AC239" s="404"/>
      <c r="AD239" s="380"/>
      <c r="AE239" s="380"/>
      <c r="AF239" s="380"/>
      <c r="AG239" s="380"/>
      <c r="AH239" s="380"/>
      <c r="AI239" s="380"/>
      <c r="AJ239" s="380"/>
      <c r="AK239" s="403"/>
      <c r="AL239" s="380"/>
      <c r="AM239" s="380"/>
      <c r="AN239" s="380"/>
      <c r="AO239" s="380"/>
      <c r="AP239" s="380"/>
      <c r="AQ239" s="404"/>
      <c r="AR239" s="380"/>
      <c r="AS239" s="380"/>
      <c r="AT239" s="380"/>
      <c r="AU239" s="380"/>
      <c r="AV239" s="380"/>
      <c r="AW239" s="380"/>
      <c r="AX239" s="380"/>
      <c r="AY239" s="403"/>
      <c r="AZ239" s="380"/>
      <c r="BA239" s="380"/>
      <c r="BB239" s="380"/>
      <c r="BC239" s="380"/>
      <c r="BD239" s="380"/>
      <c r="BE239" s="404"/>
      <c r="BF239" s="380"/>
      <c r="BG239" s="380"/>
      <c r="BH239" s="380"/>
      <c r="BI239" s="380"/>
      <c r="BJ239" s="380"/>
      <c r="BK239" s="380"/>
      <c r="BL239" s="380"/>
      <c r="BM239" s="403"/>
      <c r="BS239" s="83"/>
      <c r="CA239" s="405"/>
      <c r="CG239" s="83"/>
      <c r="CO239" s="405"/>
      <c r="CU239" s="83"/>
      <c r="DC239" s="405"/>
      <c r="DI239" s="83"/>
      <c r="DQ239" s="405"/>
      <c r="DW239" s="83"/>
      <c r="EE239" s="405"/>
      <c r="EK239" s="83"/>
      <c r="ES239" s="405"/>
      <c r="EY239" s="83"/>
      <c r="FG239" s="405"/>
      <c r="FM239" s="83"/>
      <c r="FU239" s="405"/>
      <c r="GA239" s="83"/>
      <c r="GI239" s="405"/>
      <c r="GO239" s="83"/>
      <c r="GW239" s="405"/>
      <c r="HC239" s="83"/>
      <c r="HK239" s="405"/>
      <c r="HQ239" s="83"/>
      <c r="HY239" s="405"/>
      <c r="IE239" s="83"/>
      <c r="IM239" s="405"/>
      <c r="IS239" s="83"/>
      <c r="JA239" s="405"/>
      <c r="JG239" s="83"/>
      <c r="JO239" s="405"/>
      <c r="JU239" s="83"/>
      <c r="KC239" s="405"/>
      <c r="KI239" s="83"/>
      <c r="KQ239" s="405"/>
      <c r="KW239" s="83"/>
      <c r="LE239" s="405"/>
      <c r="LK239" s="83"/>
      <c r="LS239" s="405"/>
      <c r="LY239" s="83"/>
      <c r="MG239" s="405"/>
      <c r="MM239" s="83"/>
      <c r="MU239" s="405"/>
      <c r="NA239" s="83"/>
    </row>
    <row r="240">
      <c r="A240" s="380"/>
      <c r="B240" s="380"/>
      <c r="C240" s="380"/>
      <c r="D240" s="380"/>
      <c r="E240" s="380"/>
      <c r="F240" s="380"/>
      <c r="G240" s="380"/>
      <c r="H240" s="380"/>
      <c r="I240" s="403"/>
      <c r="J240" s="380"/>
      <c r="K240" s="380"/>
      <c r="L240" s="380"/>
      <c r="M240" s="380"/>
      <c r="N240" s="380"/>
      <c r="O240" s="404"/>
      <c r="P240" s="380"/>
      <c r="Q240" s="380"/>
      <c r="R240" s="380"/>
      <c r="S240" s="380"/>
      <c r="T240" s="380"/>
      <c r="U240" s="380"/>
      <c r="V240" s="380"/>
      <c r="W240" s="403"/>
      <c r="X240" s="380"/>
      <c r="Y240" s="380"/>
      <c r="Z240" s="380"/>
      <c r="AA240" s="380"/>
      <c r="AB240" s="380"/>
      <c r="AC240" s="404"/>
      <c r="AD240" s="380"/>
      <c r="AE240" s="380"/>
      <c r="AF240" s="380"/>
      <c r="AG240" s="380"/>
      <c r="AH240" s="380"/>
      <c r="AI240" s="380"/>
      <c r="AJ240" s="380"/>
      <c r="AK240" s="403"/>
      <c r="AL240" s="380"/>
      <c r="AM240" s="380"/>
      <c r="AN240" s="380"/>
      <c r="AO240" s="380"/>
      <c r="AP240" s="380"/>
      <c r="AQ240" s="404"/>
      <c r="AR240" s="380"/>
      <c r="AS240" s="380"/>
      <c r="AT240" s="380"/>
      <c r="AU240" s="380"/>
      <c r="AV240" s="380"/>
      <c r="AW240" s="380"/>
      <c r="AX240" s="380"/>
      <c r="AY240" s="403"/>
      <c r="AZ240" s="380"/>
      <c r="BA240" s="380"/>
      <c r="BB240" s="380"/>
      <c r="BC240" s="380"/>
      <c r="BD240" s="380"/>
      <c r="BE240" s="404"/>
      <c r="BF240" s="380"/>
      <c r="BG240" s="380"/>
      <c r="BH240" s="380"/>
      <c r="BI240" s="380"/>
      <c r="BJ240" s="380"/>
      <c r="BK240" s="380"/>
      <c r="BL240" s="380"/>
      <c r="BM240" s="403"/>
      <c r="BS240" s="83"/>
      <c r="CA240" s="405"/>
      <c r="CG240" s="83"/>
      <c r="CO240" s="405"/>
      <c r="CU240" s="83"/>
      <c r="DC240" s="405"/>
      <c r="DI240" s="83"/>
      <c r="DQ240" s="405"/>
      <c r="DW240" s="83"/>
      <c r="EE240" s="405"/>
      <c r="EK240" s="83"/>
      <c r="ES240" s="405"/>
      <c r="EY240" s="83"/>
      <c r="FG240" s="405"/>
      <c r="FM240" s="83"/>
      <c r="FU240" s="405"/>
      <c r="GA240" s="83"/>
      <c r="GI240" s="405"/>
      <c r="GO240" s="83"/>
      <c r="GW240" s="405"/>
      <c r="HC240" s="83"/>
      <c r="HK240" s="405"/>
      <c r="HQ240" s="83"/>
      <c r="HY240" s="405"/>
      <c r="IE240" s="83"/>
      <c r="IM240" s="405"/>
      <c r="IS240" s="83"/>
      <c r="JA240" s="405"/>
      <c r="JG240" s="83"/>
      <c r="JO240" s="405"/>
      <c r="JU240" s="83"/>
      <c r="KC240" s="405"/>
      <c r="KI240" s="83"/>
      <c r="KQ240" s="405"/>
      <c r="KW240" s="83"/>
      <c r="LE240" s="405"/>
      <c r="LK240" s="83"/>
      <c r="LS240" s="405"/>
      <c r="LY240" s="83"/>
      <c r="MG240" s="405"/>
      <c r="MM240" s="83"/>
      <c r="MU240" s="405"/>
      <c r="NA240" s="83"/>
    </row>
    <row r="241">
      <c r="A241" s="380"/>
      <c r="B241" s="380"/>
      <c r="C241" s="380"/>
      <c r="D241" s="380"/>
      <c r="E241" s="380"/>
      <c r="F241" s="380"/>
      <c r="G241" s="380"/>
      <c r="H241" s="380"/>
      <c r="I241" s="403"/>
      <c r="J241" s="380"/>
      <c r="K241" s="380"/>
      <c r="L241" s="380"/>
      <c r="M241" s="380"/>
      <c r="N241" s="380"/>
      <c r="O241" s="404"/>
      <c r="P241" s="380"/>
      <c r="Q241" s="380"/>
      <c r="R241" s="380"/>
      <c r="S241" s="380"/>
      <c r="T241" s="380"/>
      <c r="U241" s="380"/>
      <c r="V241" s="380"/>
      <c r="W241" s="403"/>
      <c r="X241" s="380"/>
      <c r="Y241" s="380"/>
      <c r="Z241" s="380"/>
      <c r="AA241" s="380"/>
      <c r="AB241" s="380"/>
      <c r="AC241" s="404"/>
      <c r="AD241" s="380"/>
      <c r="AE241" s="380"/>
      <c r="AF241" s="380"/>
      <c r="AG241" s="380"/>
      <c r="AH241" s="380"/>
      <c r="AI241" s="380"/>
      <c r="AJ241" s="380"/>
      <c r="AK241" s="403"/>
      <c r="AL241" s="380"/>
      <c r="AM241" s="380"/>
      <c r="AN241" s="380"/>
      <c r="AO241" s="380"/>
      <c r="AP241" s="380"/>
      <c r="AQ241" s="404"/>
      <c r="AR241" s="380"/>
      <c r="AS241" s="380"/>
      <c r="AT241" s="380"/>
      <c r="AU241" s="380"/>
      <c r="AV241" s="380"/>
      <c r="AW241" s="380"/>
      <c r="AX241" s="380"/>
      <c r="AY241" s="403"/>
      <c r="AZ241" s="380"/>
      <c r="BA241" s="380"/>
      <c r="BB241" s="380"/>
      <c r="BC241" s="380"/>
      <c r="BD241" s="380"/>
      <c r="BE241" s="404"/>
      <c r="BF241" s="380"/>
      <c r="BG241" s="380"/>
      <c r="BH241" s="380"/>
      <c r="BI241" s="380"/>
      <c r="BJ241" s="380"/>
      <c r="BK241" s="380"/>
      <c r="BL241" s="380"/>
      <c r="BM241" s="403"/>
      <c r="BS241" s="83"/>
      <c r="CA241" s="405"/>
      <c r="CG241" s="83"/>
      <c r="CO241" s="405"/>
      <c r="CU241" s="83"/>
      <c r="DC241" s="405"/>
      <c r="DI241" s="83"/>
      <c r="DQ241" s="405"/>
      <c r="DW241" s="83"/>
      <c r="EE241" s="405"/>
      <c r="EK241" s="83"/>
      <c r="ES241" s="405"/>
      <c r="EY241" s="83"/>
      <c r="FG241" s="405"/>
      <c r="FM241" s="83"/>
      <c r="FU241" s="405"/>
      <c r="GA241" s="83"/>
      <c r="GI241" s="405"/>
      <c r="GO241" s="83"/>
      <c r="GW241" s="405"/>
      <c r="HC241" s="83"/>
      <c r="HK241" s="405"/>
      <c r="HQ241" s="83"/>
      <c r="HY241" s="405"/>
      <c r="IE241" s="83"/>
      <c r="IM241" s="405"/>
      <c r="IS241" s="83"/>
      <c r="JA241" s="405"/>
      <c r="JG241" s="83"/>
      <c r="JO241" s="405"/>
      <c r="JU241" s="83"/>
      <c r="KC241" s="405"/>
      <c r="KI241" s="83"/>
      <c r="KQ241" s="405"/>
      <c r="KW241" s="83"/>
      <c r="LE241" s="405"/>
      <c r="LK241" s="83"/>
      <c r="LS241" s="405"/>
      <c r="LY241" s="83"/>
      <c r="MG241" s="405"/>
      <c r="MM241" s="83"/>
      <c r="MU241" s="405"/>
      <c r="NA241" s="83"/>
    </row>
    <row r="242">
      <c r="A242" s="380"/>
      <c r="B242" s="380"/>
      <c r="C242" s="380"/>
      <c r="D242" s="380"/>
      <c r="E242" s="380"/>
      <c r="F242" s="380"/>
      <c r="G242" s="380"/>
      <c r="H242" s="380"/>
      <c r="I242" s="403"/>
      <c r="J242" s="380"/>
      <c r="K242" s="380"/>
      <c r="L242" s="380"/>
      <c r="M242" s="380"/>
      <c r="N242" s="380"/>
      <c r="O242" s="404"/>
      <c r="P242" s="380"/>
      <c r="Q242" s="380"/>
      <c r="R242" s="380"/>
      <c r="S242" s="380"/>
      <c r="T242" s="380"/>
      <c r="U242" s="380"/>
      <c r="V242" s="380"/>
      <c r="W242" s="403"/>
      <c r="X242" s="380"/>
      <c r="Y242" s="380"/>
      <c r="Z242" s="380"/>
      <c r="AA242" s="380"/>
      <c r="AB242" s="380"/>
      <c r="AC242" s="404"/>
      <c r="AD242" s="380"/>
      <c r="AE242" s="380"/>
      <c r="AF242" s="380"/>
      <c r="AG242" s="380"/>
      <c r="AH242" s="380"/>
      <c r="AI242" s="380"/>
      <c r="AJ242" s="380"/>
      <c r="AK242" s="403"/>
      <c r="AL242" s="380"/>
      <c r="AM242" s="380"/>
      <c r="AN242" s="380"/>
      <c r="AO242" s="380"/>
      <c r="AP242" s="380"/>
      <c r="AQ242" s="404"/>
      <c r="AR242" s="380"/>
      <c r="AS242" s="380"/>
      <c r="AT242" s="380"/>
      <c r="AU242" s="380"/>
      <c r="AV242" s="380"/>
      <c r="AW242" s="380"/>
      <c r="AX242" s="380"/>
      <c r="AY242" s="403"/>
      <c r="AZ242" s="380"/>
      <c r="BA242" s="380"/>
      <c r="BB242" s="380"/>
      <c r="BC242" s="380"/>
      <c r="BD242" s="380"/>
      <c r="BE242" s="404"/>
      <c r="BF242" s="380"/>
      <c r="BG242" s="380"/>
      <c r="BH242" s="380"/>
      <c r="BI242" s="380"/>
      <c r="BJ242" s="380"/>
      <c r="BK242" s="380"/>
      <c r="BL242" s="380"/>
      <c r="BM242" s="403"/>
      <c r="BS242" s="83"/>
      <c r="CA242" s="405"/>
      <c r="CG242" s="83"/>
      <c r="CO242" s="405"/>
      <c r="CU242" s="83"/>
      <c r="DC242" s="405"/>
      <c r="DI242" s="83"/>
      <c r="DQ242" s="405"/>
      <c r="DW242" s="83"/>
      <c r="EE242" s="405"/>
      <c r="EK242" s="83"/>
      <c r="ES242" s="405"/>
      <c r="EY242" s="83"/>
      <c r="FG242" s="405"/>
      <c r="FM242" s="83"/>
      <c r="FU242" s="405"/>
      <c r="GA242" s="83"/>
      <c r="GI242" s="405"/>
      <c r="GO242" s="83"/>
      <c r="GW242" s="405"/>
      <c r="HC242" s="83"/>
      <c r="HK242" s="405"/>
      <c r="HQ242" s="83"/>
      <c r="HY242" s="405"/>
      <c r="IE242" s="83"/>
      <c r="IM242" s="405"/>
      <c r="IS242" s="83"/>
      <c r="JA242" s="405"/>
      <c r="JG242" s="83"/>
      <c r="JO242" s="405"/>
      <c r="JU242" s="83"/>
      <c r="KC242" s="405"/>
      <c r="KI242" s="83"/>
      <c r="KQ242" s="405"/>
      <c r="KW242" s="83"/>
      <c r="LE242" s="405"/>
      <c r="LK242" s="83"/>
      <c r="LS242" s="405"/>
      <c r="LY242" s="83"/>
      <c r="MG242" s="405"/>
      <c r="MM242" s="83"/>
      <c r="MU242" s="405"/>
      <c r="NA242" s="83"/>
    </row>
    <row r="243">
      <c r="A243" s="380"/>
      <c r="B243" s="380"/>
      <c r="C243" s="380"/>
      <c r="D243" s="380"/>
      <c r="E243" s="380"/>
      <c r="F243" s="380"/>
      <c r="G243" s="380"/>
      <c r="H243" s="380"/>
      <c r="I243" s="403"/>
      <c r="J243" s="380"/>
      <c r="K243" s="380"/>
      <c r="L243" s="380"/>
      <c r="M243" s="380"/>
      <c r="N243" s="380"/>
      <c r="O243" s="404"/>
      <c r="P243" s="380"/>
      <c r="Q243" s="380"/>
      <c r="R243" s="380"/>
      <c r="S243" s="380"/>
      <c r="T243" s="380"/>
      <c r="U243" s="380"/>
      <c r="V243" s="380"/>
      <c r="W243" s="403"/>
      <c r="X243" s="380"/>
      <c r="Y243" s="380"/>
      <c r="Z243" s="380"/>
      <c r="AA243" s="380"/>
      <c r="AB243" s="380"/>
      <c r="AC243" s="404"/>
      <c r="AD243" s="380"/>
      <c r="AE243" s="380"/>
      <c r="AF243" s="380"/>
      <c r="AG243" s="380"/>
      <c r="AH243" s="380"/>
      <c r="AI243" s="380"/>
      <c r="AJ243" s="380"/>
      <c r="AK243" s="403"/>
      <c r="AL243" s="380"/>
      <c r="AM243" s="380"/>
      <c r="AN243" s="380"/>
      <c r="AO243" s="380"/>
      <c r="AP243" s="380"/>
      <c r="AQ243" s="404"/>
      <c r="AR243" s="380"/>
      <c r="AS243" s="380"/>
      <c r="AT243" s="380"/>
      <c r="AU243" s="380"/>
      <c r="AV243" s="380"/>
      <c r="AW243" s="380"/>
      <c r="AX243" s="380"/>
      <c r="AY243" s="403"/>
      <c r="AZ243" s="380"/>
      <c r="BA243" s="380"/>
      <c r="BB243" s="380"/>
      <c r="BC243" s="380"/>
      <c r="BD243" s="380"/>
      <c r="BE243" s="404"/>
      <c r="BF243" s="380"/>
      <c r="BG243" s="380"/>
      <c r="BH243" s="380"/>
      <c r="BI243" s="380"/>
      <c r="BJ243" s="380"/>
      <c r="BK243" s="380"/>
      <c r="BL243" s="380"/>
      <c r="BM243" s="403"/>
      <c r="BS243" s="83"/>
      <c r="CA243" s="405"/>
      <c r="CG243" s="83"/>
      <c r="CO243" s="405"/>
      <c r="CU243" s="83"/>
      <c r="DC243" s="405"/>
      <c r="DI243" s="83"/>
      <c r="DQ243" s="405"/>
      <c r="DW243" s="83"/>
      <c r="EE243" s="405"/>
      <c r="EK243" s="83"/>
      <c r="ES243" s="405"/>
      <c r="EY243" s="83"/>
      <c r="FG243" s="405"/>
      <c r="FM243" s="83"/>
      <c r="FU243" s="405"/>
      <c r="GA243" s="83"/>
      <c r="GI243" s="405"/>
      <c r="GO243" s="83"/>
      <c r="GW243" s="405"/>
      <c r="HC243" s="83"/>
      <c r="HK243" s="405"/>
      <c r="HQ243" s="83"/>
      <c r="HY243" s="405"/>
      <c r="IE243" s="83"/>
      <c r="IM243" s="405"/>
      <c r="IS243" s="83"/>
      <c r="JA243" s="405"/>
      <c r="JG243" s="83"/>
      <c r="JO243" s="405"/>
      <c r="JU243" s="83"/>
      <c r="KC243" s="405"/>
      <c r="KI243" s="83"/>
      <c r="KQ243" s="405"/>
      <c r="KW243" s="83"/>
      <c r="LE243" s="405"/>
      <c r="LK243" s="83"/>
      <c r="LS243" s="405"/>
      <c r="LY243" s="83"/>
      <c r="MG243" s="405"/>
      <c r="MM243" s="83"/>
      <c r="MU243" s="405"/>
      <c r="NA243" s="83"/>
    </row>
    <row r="244">
      <c r="A244" s="380"/>
      <c r="B244" s="380"/>
      <c r="C244" s="380"/>
      <c r="D244" s="380"/>
      <c r="E244" s="380"/>
      <c r="F244" s="380"/>
      <c r="G244" s="380"/>
      <c r="H244" s="380"/>
      <c r="I244" s="403"/>
      <c r="J244" s="380"/>
      <c r="K244" s="380"/>
      <c r="L244" s="380"/>
      <c r="M244" s="380"/>
      <c r="N244" s="380"/>
      <c r="O244" s="404"/>
      <c r="P244" s="380"/>
      <c r="Q244" s="380"/>
      <c r="R244" s="380"/>
      <c r="S244" s="380"/>
      <c r="T244" s="380"/>
      <c r="U244" s="380"/>
      <c r="V244" s="380"/>
      <c r="W244" s="403"/>
      <c r="X244" s="380"/>
      <c r="Y244" s="380"/>
      <c r="Z244" s="380"/>
      <c r="AA244" s="380"/>
      <c r="AB244" s="380"/>
      <c r="AC244" s="404"/>
      <c r="AD244" s="380"/>
      <c r="AE244" s="380"/>
      <c r="AF244" s="380"/>
      <c r="AG244" s="380"/>
      <c r="AH244" s="380"/>
      <c r="AI244" s="380"/>
      <c r="AJ244" s="380"/>
      <c r="AK244" s="403"/>
      <c r="AL244" s="380"/>
      <c r="AM244" s="380"/>
      <c r="AN244" s="380"/>
      <c r="AO244" s="380"/>
      <c r="AP244" s="380"/>
      <c r="AQ244" s="404"/>
      <c r="AR244" s="380"/>
      <c r="AS244" s="380"/>
      <c r="AT244" s="380"/>
      <c r="AU244" s="380"/>
      <c r="AV244" s="380"/>
      <c r="AW244" s="380"/>
      <c r="AX244" s="380"/>
      <c r="AY244" s="403"/>
      <c r="AZ244" s="380"/>
      <c r="BA244" s="380"/>
      <c r="BB244" s="380"/>
      <c r="BC244" s="380"/>
      <c r="BD244" s="380"/>
      <c r="BE244" s="404"/>
      <c r="BF244" s="380"/>
      <c r="BG244" s="380"/>
      <c r="BH244" s="380"/>
      <c r="BI244" s="380"/>
      <c r="BJ244" s="380"/>
      <c r="BK244" s="380"/>
      <c r="BL244" s="380"/>
      <c r="BM244" s="403"/>
      <c r="BS244" s="83"/>
      <c r="CA244" s="405"/>
      <c r="CG244" s="83"/>
      <c r="CO244" s="405"/>
      <c r="CU244" s="83"/>
      <c r="DC244" s="405"/>
      <c r="DI244" s="83"/>
      <c r="DQ244" s="405"/>
      <c r="DW244" s="83"/>
      <c r="EE244" s="405"/>
      <c r="EK244" s="83"/>
      <c r="ES244" s="405"/>
      <c r="EY244" s="83"/>
      <c r="FG244" s="405"/>
      <c r="FM244" s="83"/>
      <c r="FU244" s="405"/>
      <c r="GA244" s="83"/>
      <c r="GI244" s="405"/>
      <c r="GO244" s="83"/>
      <c r="GW244" s="405"/>
      <c r="HC244" s="83"/>
      <c r="HK244" s="405"/>
      <c r="HQ244" s="83"/>
      <c r="HY244" s="405"/>
      <c r="IE244" s="83"/>
      <c r="IM244" s="405"/>
      <c r="IS244" s="83"/>
      <c r="JA244" s="405"/>
      <c r="JG244" s="83"/>
      <c r="JO244" s="405"/>
      <c r="JU244" s="83"/>
      <c r="KC244" s="405"/>
      <c r="KI244" s="83"/>
      <c r="KQ244" s="405"/>
      <c r="KW244" s="83"/>
      <c r="LE244" s="405"/>
      <c r="LK244" s="83"/>
      <c r="LS244" s="405"/>
      <c r="LY244" s="83"/>
      <c r="MG244" s="405"/>
      <c r="MM244" s="83"/>
      <c r="MU244" s="405"/>
      <c r="NA244" s="83"/>
    </row>
    <row r="245">
      <c r="A245" s="380"/>
      <c r="B245" s="380"/>
      <c r="C245" s="380"/>
      <c r="D245" s="380"/>
      <c r="E245" s="380"/>
      <c r="F245" s="380"/>
      <c r="G245" s="380"/>
      <c r="H245" s="380"/>
      <c r="I245" s="403"/>
      <c r="J245" s="380"/>
      <c r="K245" s="380"/>
      <c r="L245" s="380"/>
      <c r="M245" s="380"/>
      <c r="N245" s="380"/>
      <c r="O245" s="404"/>
      <c r="P245" s="380"/>
      <c r="Q245" s="380"/>
      <c r="R245" s="380"/>
      <c r="S245" s="380"/>
      <c r="T245" s="380"/>
      <c r="U245" s="380"/>
      <c r="V245" s="380"/>
      <c r="W245" s="403"/>
      <c r="X245" s="380"/>
      <c r="Y245" s="380"/>
      <c r="Z245" s="380"/>
      <c r="AA245" s="380"/>
      <c r="AB245" s="380"/>
      <c r="AC245" s="404"/>
      <c r="AD245" s="380"/>
      <c r="AE245" s="380"/>
      <c r="AF245" s="380"/>
      <c r="AG245" s="380"/>
      <c r="AH245" s="380"/>
      <c r="AI245" s="380"/>
      <c r="AJ245" s="380"/>
      <c r="AK245" s="403"/>
      <c r="AL245" s="380"/>
      <c r="AM245" s="380"/>
      <c r="AN245" s="380"/>
      <c r="AO245" s="380"/>
      <c r="AP245" s="380"/>
      <c r="AQ245" s="404"/>
      <c r="AR245" s="380"/>
      <c r="AS245" s="380"/>
      <c r="AT245" s="380"/>
      <c r="AU245" s="380"/>
      <c r="AV245" s="380"/>
      <c r="AW245" s="380"/>
      <c r="AX245" s="380"/>
      <c r="AY245" s="403"/>
      <c r="AZ245" s="380"/>
      <c r="BA245" s="380"/>
      <c r="BB245" s="380"/>
      <c r="BC245" s="380"/>
      <c r="BD245" s="380"/>
      <c r="BE245" s="404"/>
      <c r="BF245" s="380"/>
      <c r="BG245" s="380"/>
      <c r="BH245" s="380"/>
      <c r="BI245" s="380"/>
      <c r="BJ245" s="380"/>
      <c r="BK245" s="380"/>
      <c r="BL245" s="380"/>
      <c r="BM245" s="403"/>
      <c r="BS245" s="83"/>
      <c r="CA245" s="405"/>
      <c r="CG245" s="83"/>
      <c r="CO245" s="405"/>
      <c r="CU245" s="83"/>
      <c r="DC245" s="405"/>
      <c r="DI245" s="83"/>
      <c r="DQ245" s="405"/>
      <c r="DW245" s="83"/>
      <c r="EE245" s="405"/>
      <c r="EK245" s="83"/>
      <c r="ES245" s="405"/>
      <c r="EY245" s="83"/>
      <c r="FG245" s="405"/>
      <c r="FM245" s="83"/>
      <c r="FU245" s="405"/>
      <c r="GA245" s="83"/>
      <c r="GI245" s="405"/>
      <c r="GO245" s="83"/>
      <c r="GW245" s="405"/>
      <c r="HC245" s="83"/>
      <c r="HK245" s="405"/>
      <c r="HQ245" s="83"/>
      <c r="HY245" s="405"/>
      <c r="IE245" s="83"/>
      <c r="IM245" s="405"/>
      <c r="IS245" s="83"/>
      <c r="JA245" s="405"/>
      <c r="JG245" s="83"/>
      <c r="JO245" s="405"/>
      <c r="JU245" s="83"/>
      <c r="KC245" s="405"/>
      <c r="KI245" s="83"/>
      <c r="KQ245" s="405"/>
      <c r="KW245" s="83"/>
      <c r="LE245" s="405"/>
      <c r="LK245" s="83"/>
      <c r="LS245" s="405"/>
      <c r="LY245" s="83"/>
      <c r="MG245" s="405"/>
      <c r="MM245" s="83"/>
      <c r="MU245" s="405"/>
      <c r="NA245" s="83"/>
    </row>
    <row r="246">
      <c r="A246" s="380"/>
      <c r="B246" s="380"/>
      <c r="C246" s="380"/>
      <c r="D246" s="380"/>
      <c r="E246" s="380"/>
      <c r="F246" s="380"/>
      <c r="G246" s="380"/>
      <c r="H246" s="380"/>
      <c r="I246" s="403"/>
      <c r="J246" s="380"/>
      <c r="K246" s="380"/>
      <c r="L246" s="380"/>
      <c r="M246" s="380"/>
      <c r="N246" s="380"/>
      <c r="O246" s="404"/>
      <c r="P246" s="380"/>
      <c r="Q246" s="380"/>
      <c r="R246" s="380"/>
      <c r="S246" s="380"/>
      <c r="T246" s="380"/>
      <c r="U246" s="380"/>
      <c r="V246" s="380"/>
      <c r="W246" s="403"/>
      <c r="X246" s="380"/>
      <c r="Y246" s="380"/>
      <c r="Z246" s="380"/>
      <c r="AA246" s="380"/>
      <c r="AB246" s="380"/>
      <c r="AC246" s="404"/>
      <c r="AD246" s="380"/>
      <c r="AE246" s="380"/>
      <c r="AF246" s="380"/>
      <c r="AG246" s="380"/>
      <c r="AH246" s="380"/>
      <c r="AI246" s="380"/>
      <c r="AJ246" s="380"/>
      <c r="AK246" s="403"/>
      <c r="AL246" s="380"/>
      <c r="AM246" s="380"/>
      <c r="AN246" s="380"/>
      <c r="AO246" s="380"/>
      <c r="AP246" s="380"/>
      <c r="AQ246" s="404"/>
      <c r="AR246" s="380"/>
      <c r="AS246" s="380"/>
      <c r="AT246" s="380"/>
      <c r="AU246" s="380"/>
      <c r="AV246" s="380"/>
      <c r="AW246" s="380"/>
      <c r="AX246" s="380"/>
      <c r="AY246" s="403"/>
      <c r="AZ246" s="380"/>
      <c r="BA246" s="380"/>
      <c r="BB246" s="380"/>
      <c r="BC246" s="380"/>
      <c r="BD246" s="380"/>
      <c r="BE246" s="404"/>
      <c r="BF246" s="380"/>
      <c r="BG246" s="380"/>
      <c r="BH246" s="380"/>
      <c r="BI246" s="380"/>
      <c r="BJ246" s="380"/>
      <c r="BK246" s="380"/>
      <c r="BL246" s="380"/>
      <c r="BM246" s="403"/>
      <c r="BS246" s="83"/>
      <c r="CA246" s="405"/>
      <c r="CG246" s="83"/>
      <c r="CO246" s="405"/>
      <c r="CU246" s="83"/>
      <c r="DC246" s="405"/>
      <c r="DI246" s="83"/>
      <c r="DQ246" s="405"/>
      <c r="DW246" s="83"/>
      <c r="EE246" s="405"/>
      <c r="EK246" s="83"/>
      <c r="ES246" s="405"/>
      <c r="EY246" s="83"/>
      <c r="FG246" s="405"/>
      <c r="FM246" s="83"/>
      <c r="FU246" s="405"/>
      <c r="GA246" s="83"/>
      <c r="GI246" s="405"/>
      <c r="GO246" s="83"/>
      <c r="GW246" s="405"/>
      <c r="HC246" s="83"/>
      <c r="HK246" s="405"/>
      <c r="HQ246" s="83"/>
      <c r="HY246" s="405"/>
      <c r="IE246" s="83"/>
      <c r="IM246" s="405"/>
      <c r="IS246" s="83"/>
      <c r="JA246" s="405"/>
      <c r="JG246" s="83"/>
      <c r="JO246" s="405"/>
      <c r="JU246" s="83"/>
      <c r="KC246" s="405"/>
      <c r="KI246" s="83"/>
      <c r="KQ246" s="405"/>
      <c r="KW246" s="83"/>
      <c r="LE246" s="405"/>
      <c r="LK246" s="83"/>
      <c r="LS246" s="405"/>
      <c r="LY246" s="83"/>
      <c r="MG246" s="405"/>
      <c r="MM246" s="83"/>
      <c r="MU246" s="405"/>
      <c r="NA246" s="83"/>
    </row>
    <row r="247">
      <c r="A247" s="380"/>
      <c r="B247" s="380"/>
      <c r="C247" s="380"/>
      <c r="D247" s="380"/>
      <c r="E247" s="380"/>
      <c r="F247" s="380"/>
      <c r="G247" s="380"/>
      <c r="H247" s="380"/>
      <c r="I247" s="403"/>
      <c r="J247" s="380"/>
      <c r="K247" s="380"/>
      <c r="L247" s="380"/>
      <c r="M247" s="380"/>
      <c r="N247" s="380"/>
      <c r="O247" s="404"/>
      <c r="P247" s="380"/>
      <c r="Q247" s="380"/>
      <c r="R247" s="380"/>
      <c r="S247" s="380"/>
      <c r="T247" s="380"/>
      <c r="U247" s="380"/>
      <c r="V247" s="380"/>
      <c r="W247" s="403"/>
      <c r="X247" s="380"/>
      <c r="Y247" s="380"/>
      <c r="Z247" s="380"/>
      <c r="AA247" s="380"/>
      <c r="AB247" s="380"/>
      <c r="AC247" s="404"/>
      <c r="AD247" s="380"/>
      <c r="AE247" s="380"/>
      <c r="AF247" s="380"/>
      <c r="AG247" s="380"/>
      <c r="AH247" s="380"/>
      <c r="AI247" s="380"/>
      <c r="AJ247" s="380"/>
      <c r="AK247" s="403"/>
      <c r="AL247" s="380"/>
      <c r="AM247" s="380"/>
      <c r="AN247" s="380"/>
      <c r="AO247" s="380"/>
      <c r="AP247" s="380"/>
      <c r="AQ247" s="404"/>
      <c r="AR247" s="380"/>
      <c r="AS247" s="380"/>
      <c r="AT247" s="380"/>
      <c r="AU247" s="380"/>
      <c r="AV247" s="380"/>
      <c r="AW247" s="380"/>
      <c r="AX247" s="380"/>
      <c r="AY247" s="403"/>
      <c r="AZ247" s="380"/>
      <c r="BA247" s="380"/>
      <c r="BB247" s="380"/>
      <c r="BC247" s="380"/>
      <c r="BD247" s="380"/>
      <c r="BE247" s="404"/>
      <c r="BF247" s="380"/>
      <c r="BG247" s="380"/>
      <c r="BH247" s="380"/>
      <c r="BI247" s="380"/>
      <c r="BJ247" s="380"/>
      <c r="BK247" s="380"/>
      <c r="BL247" s="380"/>
      <c r="BM247" s="403"/>
      <c r="BS247" s="83"/>
      <c r="CA247" s="405"/>
      <c r="CG247" s="83"/>
      <c r="CO247" s="405"/>
      <c r="CU247" s="83"/>
      <c r="DC247" s="405"/>
      <c r="DI247" s="83"/>
      <c r="DQ247" s="405"/>
      <c r="DW247" s="83"/>
      <c r="EE247" s="405"/>
      <c r="EK247" s="83"/>
      <c r="ES247" s="405"/>
      <c r="EY247" s="83"/>
      <c r="FG247" s="405"/>
      <c r="FM247" s="83"/>
      <c r="FU247" s="405"/>
      <c r="GA247" s="83"/>
      <c r="GI247" s="405"/>
      <c r="GO247" s="83"/>
      <c r="GW247" s="405"/>
      <c r="HC247" s="83"/>
      <c r="HK247" s="405"/>
      <c r="HQ247" s="83"/>
      <c r="HY247" s="405"/>
      <c r="IE247" s="83"/>
      <c r="IM247" s="405"/>
      <c r="IS247" s="83"/>
      <c r="JA247" s="405"/>
      <c r="JG247" s="83"/>
      <c r="JO247" s="405"/>
      <c r="JU247" s="83"/>
      <c r="KC247" s="405"/>
      <c r="KI247" s="83"/>
      <c r="KQ247" s="405"/>
      <c r="KW247" s="83"/>
      <c r="LE247" s="405"/>
      <c r="LK247" s="83"/>
      <c r="LS247" s="405"/>
      <c r="LY247" s="83"/>
      <c r="MG247" s="405"/>
      <c r="MM247" s="83"/>
      <c r="MU247" s="405"/>
      <c r="NA247" s="83"/>
    </row>
    <row r="248">
      <c r="A248" s="380"/>
      <c r="B248" s="380"/>
      <c r="C248" s="380"/>
      <c r="D248" s="380"/>
      <c r="E248" s="380"/>
      <c r="F248" s="380"/>
      <c r="G248" s="380"/>
      <c r="H248" s="380"/>
      <c r="I248" s="403"/>
      <c r="J248" s="380"/>
      <c r="K248" s="380"/>
      <c r="L248" s="380"/>
      <c r="M248" s="380"/>
      <c r="N248" s="380"/>
      <c r="O248" s="404"/>
      <c r="P248" s="380"/>
      <c r="Q248" s="380"/>
      <c r="R248" s="380"/>
      <c r="S248" s="380"/>
      <c r="T248" s="380"/>
      <c r="U248" s="380"/>
      <c r="V248" s="380"/>
      <c r="W248" s="403"/>
      <c r="X248" s="380"/>
      <c r="Y248" s="380"/>
      <c r="Z248" s="380"/>
      <c r="AA248" s="380"/>
      <c r="AB248" s="380"/>
      <c r="AC248" s="404"/>
      <c r="AD248" s="380"/>
      <c r="AE248" s="380"/>
      <c r="AF248" s="380"/>
      <c r="AG248" s="380"/>
      <c r="AH248" s="380"/>
      <c r="AI248" s="380"/>
      <c r="AJ248" s="380"/>
      <c r="AK248" s="403"/>
      <c r="AL248" s="380"/>
      <c r="AM248" s="380"/>
      <c r="AN248" s="380"/>
      <c r="AO248" s="380"/>
      <c r="AP248" s="380"/>
      <c r="AQ248" s="404"/>
      <c r="AR248" s="380"/>
      <c r="AS248" s="380"/>
      <c r="AT248" s="380"/>
      <c r="AU248" s="380"/>
      <c r="AV248" s="380"/>
      <c r="AW248" s="380"/>
      <c r="AX248" s="380"/>
      <c r="AY248" s="403"/>
      <c r="AZ248" s="380"/>
      <c r="BA248" s="380"/>
      <c r="BB248" s="380"/>
      <c r="BC248" s="380"/>
      <c r="BD248" s="380"/>
      <c r="BE248" s="404"/>
      <c r="BF248" s="380"/>
      <c r="BG248" s="380"/>
      <c r="BH248" s="380"/>
      <c r="BI248" s="380"/>
      <c r="BJ248" s="380"/>
      <c r="BK248" s="380"/>
      <c r="BL248" s="380"/>
      <c r="BM248" s="403"/>
      <c r="BS248" s="83"/>
      <c r="CA248" s="405"/>
      <c r="CG248" s="83"/>
      <c r="CO248" s="405"/>
      <c r="CU248" s="83"/>
      <c r="DC248" s="405"/>
      <c r="DI248" s="83"/>
      <c r="DQ248" s="405"/>
      <c r="DW248" s="83"/>
      <c r="EE248" s="405"/>
      <c r="EK248" s="83"/>
      <c r="ES248" s="405"/>
      <c r="EY248" s="83"/>
      <c r="FG248" s="405"/>
      <c r="FM248" s="83"/>
      <c r="FU248" s="405"/>
      <c r="GA248" s="83"/>
      <c r="GI248" s="405"/>
      <c r="GO248" s="83"/>
      <c r="GW248" s="405"/>
      <c r="HC248" s="83"/>
      <c r="HK248" s="405"/>
      <c r="HQ248" s="83"/>
      <c r="HY248" s="405"/>
      <c r="IE248" s="83"/>
      <c r="IM248" s="405"/>
      <c r="IS248" s="83"/>
      <c r="JA248" s="405"/>
      <c r="JG248" s="83"/>
      <c r="JO248" s="405"/>
      <c r="JU248" s="83"/>
      <c r="KC248" s="405"/>
      <c r="KI248" s="83"/>
      <c r="KQ248" s="405"/>
      <c r="KW248" s="83"/>
      <c r="LE248" s="405"/>
      <c r="LK248" s="83"/>
      <c r="LS248" s="405"/>
      <c r="LY248" s="83"/>
      <c r="MG248" s="405"/>
      <c r="MM248" s="83"/>
      <c r="MU248" s="405"/>
      <c r="NA248" s="83"/>
    </row>
    <row r="249">
      <c r="A249" s="380"/>
      <c r="B249" s="380"/>
      <c r="C249" s="380"/>
      <c r="D249" s="380"/>
      <c r="E249" s="380"/>
      <c r="F249" s="380"/>
      <c r="G249" s="380"/>
      <c r="H249" s="380"/>
      <c r="I249" s="403"/>
      <c r="J249" s="380"/>
      <c r="K249" s="380"/>
      <c r="L249" s="380"/>
      <c r="M249" s="380"/>
      <c r="N249" s="380"/>
      <c r="O249" s="404"/>
      <c r="P249" s="380"/>
      <c r="Q249" s="380"/>
      <c r="R249" s="380"/>
      <c r="S249" s="380"/>
      <c r="T249" s="380"/>
      <c r="U249" s="380"/>
      <c r="V249" s="380"/>
      <c r="W249" s="403"/>
      <c r="X249" s="380"/>
      <c r="Y249" s="380"/>
      <c r="Z249" s="380"/>
      <c r="AA249" s="380"/>
      <c r="AB249" s="380"/>
      <c r="AC249" s="404"/>
      <c r="AD249" s="380"/>
      <c r="AE249" s="380"/>
      <c r="AF249" s="380"/>
      <c r="AG249" s="380"/>
      <c r="AH249" s="380"/>
      <c r="AI249" s="380"/>
      <c r="AJ249" s="380"/>
      <c r="AK249" s="403"/>
      <c r="AL249" s="380"/>
      <c r="AM249" s="380"/>
      <c r="AN249" s="380"/>
      <c r="AO249" s="380"/>
      <c r="AP249" s="380"/>
      <c r="AQ249" s="404"/>
      <c r="AR249" s="380"/>
      <c r="AS249" s="380"/>
      <c r="AT249" s="380"/>
      <c r="AU249" s="380"/>
      <c r="AV249" s="380"/>
      <c r="AW249" s="380"/>
      <c r="AX249" s="380"/>
      <c r="AY249" s="403"/>
      <c r="AZ249" s="380"/>
      <c r="BA249" s="380"/>
      <c r="BB249" s="380"/>
      <c r="BC249" s="380"/>
      <c r="BD249" s="380"/>
      <c r="BE249" s="404"/>
      <c r="BF249" s="380"/>
      <c r="BG249" s="380"/>
      <c r="BH249" s="380"/>
      <c r="BI249" s="380"/>
      <c r="BJ249" s="380"/>
      <c r="BK249" s="380"/>
      <c r="BL249" s="380"/>
      <c r="BM249" s="403"/>
      <c r="BS249" s="83"/>
      <c r="CA249" s="405"/>
      <c r="CG249" s="83"/>
      <c r="CO249" s="405"/>
      <c r="CU249" s="83"/>
      <c r="DC249" s="405"/>
      <c r="DI249" s="83"/>
      <c r="DQ249" s="405"/>
      <c r="DW249" s="83"/>
      <c r="EE249" s="405"/>
      <c r="EK249" s="83"/>
      <c r="ES249" s="405"/>
      <c r="EY249" s="83"/>
      <c r="FG249" s="405"/>
      <c r="FM249" s="83"/>
      <c r="FU249" s="405"/>
      <c r="GA249" s="83"/>
      <c r="GI249" s="405"/>
      <c r="GO249" s="83"/>
      <c r="GW249" s="405"/>
      <c r="HC249" s="83"/>
      <c r="HK249" s="405"/>
      <c r="HQ249" s="83"/>
      <c r="HY249" s="405"/>
      <c r="IE249" s="83"/>
      <c r="IM249" s="405"/>
      <c r="IS249" s="83"/>
      <c r="JA249" s="405"/>
      <c r="JG249" s="83"/>
      <c r="JO249" s="405"/>
      <c r="JU249" s="83"/>
      <c r="KC249" s="405"/>
      <c r="KI249" s="83"/>
      <c r="KQ249" s="405"/>
      <c r="KW249" s="83"/>
      <c r="LE249" s="405"/>
      <c r="LK249" s="83"/>
      <c r="LS249" s="405"/>
      <c r="LY249" s="83"/>
      <c r="MG249" s="405"/>
      <c r="MM249" s="83"/>
      <c r="MU249" s="405"/>
      <c r="NA249" s="83"/>
    </row>
    <row r="250">
      <c r="A250" s="380"/>
      <c r="B250" s="380"/>
      <c r="C250" s="380"/>
      <c r="D250" s="380"/>
      <c r="E250" s="380"/>
      <c r="F250" s="380"/>
      <c r="G250" s="380"/>
      <c r="H250" s="380"/>
      <c r="I250" s="403"/>
      <c r="J250" s="380"/>
      <c r="K250" s="380"/>
      <c r="L250" s="380"/>
      <c r="M250" s="380"/>
      <c r="N250" s="380"/>
      <c r="O250" s="404"/>
      <c r="P250" s="380"/>
      <c r="Q250" s="380"/>
      <c r="R250" s="380"/>
      <c r="S250" s="380"/>
      <c r="T250" s="380"/>
      <c r="U250" s="380"/>
      <c r="V250" s="380"/>
      <c r="W250" s="403"/>
      <c r="X250" s="380"/>
      <c r="Y250" s="380"/>
      <c r="Z250" s="380"/>
      <c r="AA250" s="380"/>
      <c r="AB250" s="380"/>
      <c r="AC250" s="404"/>
      <c r="AD250" s="380"/>
      <c r="AE250" s="380"/>
      <c r="AF250" s="380"/>
      <c r="AG250" s="380"/>
      <c r="AH250" s="380"/>
      <c r="AI250" s="380"/>
      <c r="AJ250" s="380"/>
      <c r="AK250" s="403"/>
      <c r="AL250" s="380"/>
      <c r="AM250" s="380"/>
      <c r="AN250" s="380"/>
      <c r="AO250" s="380"/>
      <c r="AP250" s="380"/>
      <c r="AQ250" s="404"/>
      <c r="AR250" s="380"/>
      <c r="AS250" s="380"/>
      <c r="AT250" s="380"/>
      <c r="AU250" s="380"/>
      <c r="AV250" s="380"/>
      <c r="AW250" s="380"/>
      <c r="AX250" s="380"/>
      <c r="AY250" s="403"/>
      <c r="AZ250" s="380"/>
      <c r="BA250" s="380"/>
      <c r="BB250" s="380"/>
      <c r="BC250" s="380"/>
      <c r="BD250" s="380"/>
      <c r="BE250" s="404"/>
      <c r="BF250" s="380"/>
      <c r="BG250" s="380"/>
      <c r="BH250" s="380"/>
      <c r="BI250" s="380"/>
      <c r="BJ250" s="380"/>
      <c r="BK250" s="380"/>
      <c r="BL250" s="380"/>
      <c r="BM250" s="403"/>
      <c r="BS250" s="83"/>
      <c r="CA250" s="405"/>
      <c r="CG250" s="83"/>
      <c r="CO250" s="405"/>
      <c r="CU250" s="83"/>
      <c r="DC250" s="405"/>
      <c r="DI250" s="83"/>
      <c r="DQ250" s="405"/>
      <c r="DW250" s="83"/>
      <c r="EE250" s="405"/>
      <c r="EK250" s="83"/>
      <c r="ES250" s="405"/>
      <c r="EY250" s="83"/>
      <c r="FG250" s="405"/>
      <c r="FM250" s="83"/>
      <c r="FU250" s="405"/>
      <c r="GA250" s="83"/>
      <c r="GI250" s="405"/>
      <c r="GO250" s="83"/>
      <c r="GW250" s="405"/>
      <c r="HC250" s="83"/>
      <c r="HK250" s="405"/>
      <c r="HQ250" s="83"/>
      <c r="HY250" s="405"/>
      <c r="IE250" s="83"/>
      <c r="IM250" s="405"/>
      <c r="IS250" s="83"/>
      <c r="JA250" s="405"/>
      <c r="JG250" s="83"/>
      <c r="JO250" s="405"/>
      <c r="JU250" s="83"/>
      <c r="KC250" s="405"/>
      <c r="KI250" s="83"/>
      <c r="KQ250" s="405"/>
      <c r="KW250" s="83"/>
      <c r="LE250" s="405"/>
      <c r="LK250" s="83"/>
      <c r="LS250" s="405"/>
      <c r="LY250" s="83"/>
      <c r="MG250" s="405"/>
      <c r="MM250" s="83"/>
      <c r="MU250" s="405"/>
      <c r="NA250" s="83"/>
    </row>
    <row r="251">
      <c r="A251" s="380"/>
      <c r="B251" s="380"/>
      <c r="C251" s="380"/>
      <c r="D251" s="380"/>
      <c r="E251" s="380"/>
      <c r="F251" s="380"/>
      <c r="G251" s="380"/>
      <c r="H251" s="380"/>
      <c r="I251" s="403"/>
      <c r="J251" s="380"/>
      <c r="K251" s="380"/>
      <c r="L251" s="380"/>
      <c r="M251" s="380"/>
      <c r="N251" s="380"/>
      <c r="O251" s="404"/>
      <c r="P251" s="380"/>
      <c r="Q251" s="380"/>
      <c r="R251" s="380"/>
      <c r="S251" s="380"/>
      <c r="T251" s="380"/>
      <c r="U251" s="380"/>
      <c r="V251" s="380"/>
      <c r="W251" s="403"/>
      <c r="X251" s="380"/>
      <c r="Y251" s="380"/>
      <c r="Z251" s="380"/>
      <c r="AA251" s="380"/>
      <c r="AB251" s="380"/>
      <c r="AC251" s="404"/>
      <c r="AD251" s="380"/>
      <c r="AE251" s="380"/>
      <c r="AF251" s="380"/>
      <c r="AG251" s="380"/>
      <c r="AH251" s="380"/>
      <c r="AI251" s="380"/>
      <c r="AJ251" s="380"/>
      <c r="AK251" s="403"/>
      <c r="AL251" s="380"/>
      <c r="AM251" s="380"/>
      <c r="AN251" s="380"/>
      <c r="AO251" s="380"/>
      <c r="AP251" s="380"/>
      <c r="AQ251" s="404"/>
      <c r="AR251" s="380"/>
      <c r="AS251" s="380"/>
      <c r="AT251" s="380"/>
      <c r="AU251" s="380"/>
      <c r="AV251" s="380"/>
      <c r="AW251" s="380"/>
      <c r="AX251" s="380"/>
      <c r="AY251" s="403"/>
      <c r="AZ251" s="380"/>
      <c r="BA251" s="380"/>
      <c r="BB251" s="380"/>
      <c r="BC251" s="380"/>
      <c r="BD251" s="380"/>
      <c r="BE251" s="404"/>
      <c r="BF251" s="380"/>
      <c r="BG251" s="380"/>
      <c r="BH251" s="380"/>
      <c r="BI251" s="380"/>
      <c r="BJ251" s="380"/>
      <c r="BK251" s="380"/>
      <c r="BL251" s="380"/>
      <c r="BM251" s="403"/>
      <c r="BS251" s="83"/>
      <c r="CA251" s="405"/>
      <c r="CG251" s="83"/>
      <c r="CO251" s="405"/>
      <c r="CU251" s="83"/>
      <c r="DC251" s="405"/>
      <c r="DI251" s="83"/>
      <c r="DQ251" s="405"/>
      <c r="DW251" s="83"/>
      <c r="EE251" s="405"/>
      <c r="EK251" s="83"/>
      <c r="ES251" s="405"/>
      <c r="EY251" s="83"/>
      <c r="FG251" s="405"/>
      <c r="FM251" s="83"/>
      <c r="FU251" s="405"/>
      <c r="GA251" s="83"/>
      <c r="GI251" s="405"/>
      <c r="GO251" s="83"/>
      <c r="GW251" s="405"/>
      <c r="HC251" s="83"/>
      <c r="HK251" s="405"/>
      <c r="HQ251" s="83"/>
      <c r="HY251" s="405"/>
      <c r="IE251" s="83"/>
      <c r="IM251" s="405"/>
      <c r="IS251" s="83"/>
      <c r="JA251" s="405"/>
      <c r="JG251" s="83"/>
      <c r="JO251" s="405"/>
      <c r="JU251" s="83"/>
      <c r="KC251" s="405"/>
      <c r="KI251" s="83"/>
      <c r="KQ251" s="405"/>
      <c r="KW251" s="83"/>
      <c r="LE251" s="405"/>
      <c r="LK251" s="83"/>
      <c r="LS251" s="405"/>
      <c r="LY251" s="83"/>
      <c r="MG251" s="405"/>
      <c r="MM251" s="83"/>
      <c r="MU251" s="405"/>
      <c r="NA251" s="83"/>
    </row>
    <row r="252">
      <c r="A252" s="380"/>
      <c r="B252" s="380"/>
      <c r="C252" s="380"/>
      <c r="D252" s="380"/>
      <c r="E252" s="380"/>
      <c r="F252" s="380"/>
      <c r="G252" s="380"/>
      <c r="H252" s="380"/>
      <c r="I252" s="403"/>
      <c r="J252" s="380"/>
      <c r="K252" s="380"/>
      <c r="L252" s="380"/>
      <c r="M252" s="380"/>
      <c r="N252" s="380"/>
      <c r="O252" s="404"/>
      <c r="P252" s="380"/>
      <c r="Q252" s="380"/>
      <c r="R252" s="380"/>
      <c r="S252" s="380"/>
      <c r="T252" s="380"/>
      <c r="U252" s="380"/>
      <c r="V252" s="380"/>
      <c r="W252" s="403"/>
      <c r="X252" s="380"/>
      <c r="Y252" s="380"/>
      <c r="Z252" s="380"/>
      <c r="AA252" s="380"/>
      <c r="AB252" s="380"/>
      <c r="AC252" s="404"/>
      <c r="AD252" s="380"/>
      <c r="AE252" s="380"/>
      <c r="AF252" s="380"/>
      <c r="AG252" s="380"/>
      <c r="AH252" s="380"/>
      <c r="AI252" s="380"/>
      <c r="AJ252" s="380"/>
      <c r="AK252" s="403"/>
      <c r="AL252" s="380"/>
      <c r="AM252" s="380"/>
      <c r="AN252" s="380"/>
      <c r="AO252" s="380"/>
      <c r="AP252" s="380"/>
      <c r="AQ252" s="404"/>
      <c r="AR252" s="380"/>
      <c r="AS252" s="380"/>
      <c r="AT252" s="380"/>
      <c r="AU252" s="380"/>
      <c r="AV252" s="380"/>
      <c r="AW252" s="380"/>
      <c r="AX252" s="380"/>
      <c r="AY252" s="403"/>
      <c r="AZ252" s="380"/>
      <c r="BA252" s="380"/>
      <c r="BB252" s="380"/>
      <c r="BC252" s="380"/>
      <c r="BD252" s="380"/>
      <c r="BE252" s="404"/>
      <c r="BF252" s="380"/>
      <c r="BG252" s="380"/>
      <c r="BH252" s="380"/>
      <c r="BI252" s="380"/>
      <c r="BJ252" s="380"/>
      <c r="BK252" s="380"/>
      <c r="BL252" s="380"/>
      <c r="BM252" s="403"/>
      <c r="BS252" s="83"/>
      <c r="CA252" s="405"/>
      <c r="CG252" s="83"/>
      <c r="CO252" s="405"/>
      <c r="CU252" s="83"/>
      <c r="DC252" s="405"/>
      <c r="DI252" s="83"/>
      <c r="DQ252" s="405"/>
      <c r="DW252" s="83"/>
      <c r="EE252" s="405"/>
      <c r="EK252" s="83"/>
      <c r="ES252" s="405"/>
      <c r="EY252" s="83"/>
      <c r="FG252" s="405"/>
      <c r="FM252" s="83"/>
      <c r="FU252" s="405"/>
      <c r="GA252" s="83"/>
      <c r="GI252" s="405"/>
      <c r="GO252" s="83"/>
      <c r="GW252" s="405"/>
      <c r="HC252" s="83"/>
      <c r="HK252" s="405"/>
      <c r="HQ252" s="83"/>
      <c r="HY252" s="405"/>
      <c r="IE252" s="83"/>
      <c r="IM252" s="405"/>
      <c r="IS252" s="83"/>
      <c r="JA252" s="405"/>
      <c r="JG252" s="83"/>
      <c r="JO252" s="405"/>
      <c r="JU252" s="83"/>
      <c r="KC252" s="405"/>
      <c r="KI252" s="83"/>
      <c r="KQ252" s="405"/>
      <c r="KW252" s="83"/>
      <c r="LE252" s="405"/>
      <c r="LK252" s="83"/>
      <c r="LS252" s="405"/>
      <c r="LY252" s="83"/>
      <c r="MG252" s="405"/>
      <c r="MM252" s="83"/>
      <c r="MU252" s="405"/>
      <c r="NA252" s="83"/>
    </row>
    <row r="253">
      <c r="A253" s="380"/>
      <c r="B253" s="380"/>
      <c r="C253" s="380"/>
      <c r="D253" s="380"/>
      <c r="E253" s="380"/>
      <c r="F253" s="380"/>
      <c r="G253" s="380"/>
      <c r="H253" s="380"/>
      <c r="I253" s="403"/>
      <c r="J253" s="380"/>
      <c r="K253" s="380"/>
      <c r="L253" s="380"/>
      <c r="M253" s="380"/>
      <c r="N253" s="380"/>
      <c r="O253" s="404"/>
      <c r="P253" s="380"/>
      <c r="Q253" s="380"/>
      <c r="R253" s="380"/>
      <c r="S253" s="380"/>
      <c r="T253" s="380"/>
      <c r="U253" s="380"/>
      <c r="V253" s="380"/>
      <c r="W253" s="403"/>
      <c r="X253" s="380"/>
      <c r="Y253" s="380"/>
      <c r="Z253" s="380"/>
      <c r="AA253" s="380"/>
      <c r="AB253" s="380"/>
      <c r="AC253" s="404"/>
      <c r="AD253" s="380"/>
      <c r="AE253" s="380"/>
      <c r="AF253" s="380"/>
      <c r="AG253" s="380"/>
      <c r="AH253" s="380"/>
      <c r="AI253" s="380"/>
      <c r="AJ253" s="380"/>
      <c r="AK253" s="403"/>
      <c r="AL253" s="380"/>
      <c r="AM253" s="380"/>
      <c r="AN253" s="380"/>
      <c r="AO253" s="380"/>
      <c r="AP253" s="380"/>
      <c r="AQ253" s="404"/>
      <c r="AR253" s="380"/>
      <c r="AS253" s="380"/>
      <c r="AT253" s="380"/>
      <c r="AU253" s="380"/>
      <c r="AV253" s="380"/>
      <c r="AW253" s="380"/>
      <c r="AX253" s="380"/>
      <c r="AY253" s="403"/>
      <c r="AZ253" s="380"/>
      <c r="BA253" s="380"/>
      <c r="BB253" s="380"/>
      <c r="BC253" s="380"/>
      <c r="BD253" s="380"/>
      <c r="BE253" s="404"/>
      <c r="BF253" s="380"/>
      <c r="BG253" s="380"/>
      <c r="BH253" s="380"/>
      <c r="BI253" s="380"/>
      <c r="BJ253" s="380"/>
      <c r="BK253" s="380"/>
      <c r="BL253" s="380"/>
      <c r="BM253" s="403"/>
      <c r="BS253" s="83"/>
      <c r="CA253" s="405"/>
      <c r="CG253" s="83"/>
      <c r="CO253" s="405"/>
      <c r="CU253" s="83"/>
      <c r="DC253" s="405"/>
      <c r="DI253" s="83"/>
      <c r="DQ253" s="405"/>
      <c r="DW253" s="83"/>
      <c r="EE253" s="405"/>
      <c r="EK253" s="83"/>
      <c r="ES253" s="405"/>
      <c r="EY253" s="83"/>
      <c r="FG253" s="405"/>
      <c r="FM253" s="83"/>
      <c r="FU253" s="405"/>
      <c r="GA253" s="83"/>
      <c r="GI253" s="405"/>
      <c r="GO253" s="83"/>
      <c r="GW253" s="405"/>
      <c r="HC253" s="83"/>
      <c r="HK253" s="405"/>
      <c r="HQ253" s="83"/>
      <c r="HY253" s="405"/>
      <c r="IE253" s="83"/>
      <c r="IM253" s="405"/>
      <c r="IS253" s="83"/>
      <c r="JA253" s="405"/>
      <c r="JG253" s="83"/>
      <c r="JO253" s="405"/>
      <c r="JU253" s="83"/>
      <c r="KC253" s="405"/>
      <c r="KI253" s="83"/>
      <c r="KQ253" s="405"/>
      <c r="KW253" s="83"/>
      <c r="LE253" s="405"/>
      <c r="LK253" s="83"/>
      <c r="LS253" s="405"/>
      <c r="LY253" s="83"/>
      <c r="MG253" s="405"/>
      <c r="MM253" s="83"/>
      <c r="MU253" s="405"/>
      <c r="NA253" s="83"/>
    </row>
    <row r="254">
      <c r="A254" s="380"/>
      <c r="B254" s="380"/>
      <c r="C254" s="380"/>
      <c r="D254" s="380"/>
      <c r="E254" s="380"/>
      <c r="F254" s="380"/>
      <c r="G254" s="380"/>
      <c r="H254" s="380"/>
      <c r="I254" s="403"/>
      <c r="J254" s="380"/>
      <c r="K254" s="380"/>
      <c r="L254" s="380"/>
      <c r="M254" s="380"/>
      <c r="N254" s="380"/>
      <c r="O254" s="404"/>
      <c r="P254" s="380"/>
      <c r="Q254" s="380"/>
      <c r="R254" s="380"/>
      <c r="S254" s="380"/>
      <c r="T254" s="380"/>
      <c r="U254" s="380"/>
      <c r="V254" s="380"/>
      <c r="W254" s="403"/>
      <c r="X254" s="380"/>
      <c r="Y254" s="380"/>
      <c r="Z254" s="380"/>
      <c r="AA254" s="380"/>
      <c r="AB254" s="380"/>
      <c r="AC254" s="404"/>
      <c r="AD254" s="380"/>
      <c r="AE254" s="380"/>
      <c r="AF254" s="380"/>
      <c r="AG254" s="380"/>
      <c r="AH254" s="380"/>
      <c r="AI254" s="380"/>
      <c r="AJ254" s="380"/>
      <c r="AK254" s="403"/>
      <c r="AL254" s="380"/>
      <c r="AM254" s="380"/>
      <c r="AN254" s="380"/>
      <c r="AO254" s="380"/>
      <c r="AP254" s="380"/>
      <c r="AQ254" s="404"/>
      <c r="AR254" s="380"/>
      <c r="AS254" s="380"/>
      <c r="AT254" s="380"/>
      <c r="AU254" s="380"/>
      <c r="AV254" s="380"/>
      <c r="AW254" s="380"/>
      <c r="AX254" s="380"/>
      <c r="AY254" s="403"/>
      <c r="AZ254" s="380"/>
      <c r="BA254" s="380"/>
      <c r="BB254" s="380"/>
      <c r="BC254" s="380"/>
      <c r="BD254" s="380"/>
      <c r="BE254" s="404"/>
      <c r="BF254" s="380"/>
      <c r="BG254" s="380"/>
      <c r="BH254" s="380"/>
      <c r="BI254" s="380"/>
      <c r="BJ254" s="380"/>
      <c r="BK254" s="380"/>
      <c r="BL254" s="380"/>
      <c r="BM254" s="403"/>
      <c r="BS254" s="83"/>
      <c r="CA254" s="405"/>
      <c r="CG254" s="83"/>
      <c r="CO254" s="405"/>
      <c r="CU254" s="83"/>
      <c r="DC254" s="405"/>
      <c r="DI254" s="83"/>
      <c r="DQ254" s="405"/>
      <c r="DW254" s="83"/>
      <c r="EE254" s="405"/>
      <c r="EK254" s="83"/>
      <c r="ES254" s="405"/>
      <c r="EY254" s="83"/>
      <c r="FG254" s="405"/>
      <c r="FM254" s="83"/>
      <c r="FU254" s="405"/>
      <c r="GA254" s="83"/>
      <c r="GI254" s="405"/>
      <c r="GO254" s="83"/>
      <c r="GW254" s="405"/>
      <c r="HC254" s="83"/>
      <c r="HK254" s="405"/>
      <c r="HQ254" s="83"/>
      <c r="HY254" s="405"/>
      <c r="IE254" s="83"/>
      <c r="IM254" s="405"/>
      <c r="IS254" s="83"/>
      <c r="JA254" s="405"/>
      <c r="JG254" s="83"/>
      <c r="JO254" s="405"/>
      <c r="JU254" s="83"/>
      <c r="KC254" s="405"/>
      <c r="KI254" s="83"/>
      <c r="KQ254" s="405"/>
      <c r="KW254" s="83"/>
      <c r="LE254" s="405"/>
      <c r="LK254" s="83"/>
      <c r="LS254" s="405"/>
      <c r="LY254" s="83"/>
      <c r="MG254" s="405"/>
      <c r="MM254" s="83"/>
      <c r="MU254" s="405"/>
      <c r="NA254" s="83"/>
    </row>
    <row r="255">
      <c r="A255" s="380"/>
      <c r="B255" s="380"/>
      <c r="C255" s="380"/>
      <c r="D255" s="380"/>
      <c r="E255" s="380"/>
      <c r="F255" s="380"/>
      <c r="G255" s="380"/>
      <c r="H255" s="380"/>
      <c r="I255" s="403"/>
      <c r="J255" s="380"/>
      <c r="K255" s="380"/>
      <c r="L255" s="380"/>
      <c r="M255" s="380"/>
      <c r="N255" s="380"/>
      <c r="O255" s="404"/>
      <c r="P255" s="380"/>
      <c r="Q255" s="380"/>
      <c r="R255" s="380"/>
      <c r="S255" s="380"/>
      <c r="T255" s="380"/>
      <c r="U255" s="380"/>
      <c r="V255" s="380"/>
      <c r="W255" s="403"/>
      <c r="X255" s="380"/>
      <c r="Y255" s="380"/>
      <c r="Z255" s="380"/>
      <c r="AA255" s="380"/>
      <c r="AB255" s="380"/>
      <c r="AC255" s="404"/>
      <c r="AD255" s="380"/>
      <c r="AE255" s="380"/>
      <c r="AF255" s="380"/>
      <c r="AG255" s="380"/>
      <c r="AH255" s="380"/>
      <c r="AI255" s="380"/>
      <c r="AJ255" s="380"/>
      <c r="AK255" s="403"/>
      <c r="AL255" s="380"/>
      <c r="AM255" s="380"/>
      <c r="AN255" s="380"/>
      <c r="AO255" s="380"/>
      <c r="AP255" s="380"/>
      <c r="AQ255" s="404"/>
      <c r="AR255" s="380"/>
      <c r="AS255" s="380"/>
      <c r="AT255" s="380"/>
      <c r="AU255" s="380"/>
      <c r="AV255" s="380"/>
      <c r="AW255" s="380"/>
      <c r="AX255" s="380"/>
      <c r="AY255" s="403"/>
      <c r="AZ255" s="380"/>
      <c r="BA255" s="380"/>
      <c r="BB255" s="380"/>
      <c r="BC255" s="380"/>
      <c r="BD255" s="380"/>
      <c r="BE255" s="404"/>
      <c r="BF255" s="380"/>
      <c r="BG255" s="380"/>
      <c r="BH255" s="380"/>
      <c r="BI255" s="380"/>
      <c r="BJ255" s="380"/>
      <c r="BK255" s="380"/>
      <c r="BL255" s="380"/>
      <c r="BM255" s="403"/>
      <c r="BS255" s="83"/>
      <c r="CA255" s="405"/>
      <c r="CG255" s="83"/>
      <c r="CO255" s="405"/>
      <c r="CU255" s="83"/>
      <c r="DC255" s="405"/>
      <c r="DI255" s="83"/>
      <c r="DQ255" s="405"/>
      <c r="DW255" s="83"/>
      <c r="EE255" s="405"/>
      <c r="EK255" s="83"/>
      <c r="ES255" s="405"/>
      <c r="EY255" s="83"/>
      <c r="FG255" s="405"/>
      <c r="FM255" s="83"/>
      <c r="FU255" s="405"/>
      <c r="GA255" s="83"/>
      <c r="GI255" s="405"/>
      <c r="GO255" s="83"/>
      <c r="GW255" s="405"/>
      <c r="HC255" s="83"/>
      <c r="HK255" s="405"/>
      <c r="HQ255" s="83"/>
      <c r="HY255" s="405"/>
      <c r="IE255" s="83"/>
      <c r="IM255" s="405"/>
      <c r="IS255" s="83"/>
      <c r="JA255" s="405"/>
      <c r="JG255" s="83"/>
      <c r="JO255" s="405"/>
      <c r="JU255" s="83"/>
      <c r="KC255" s="405"/>
      <c r="KI255" s="83"/>
      <c r="KQ255" s="405"/>
      <c r="KW255" s="83"/>
      <c r="LE255" s="405"/>
      <c r="LK255" s="83"/>
      <c r="LS255" s="405"/>
      <c r="LY255" s="83"/>
      <c r="MG255" s="405"/>
      <c r="MM255" s="83"/>
      <c r="MU255" s="405"/>
      <c r="NA255" s="83"/>
    </row>
    <row r="256">
      <c r="A256" s="380"/>
      <c r="B256" s="380"/>
      <c r="C256" s="380"/>
      <c r="D256" s="380"/>
      <c r="E256" s="380"/>
      <c r="F256" s="380"/>
      <c r="G256" s="380"/>
      <c r="H256" s="380"/>
      <c r="I256" s="403"/>
      <c r="J256" s="380"/>
      <c r="K256" s="380"/>
      <c r="L256" s="380"/>
      <c r="M256" s="380"/>
      <c r="N256" s="380"/>
      <c r="O256" s="404"/>
      <c r="P256" s="380"/>
      <c r="Q256" s="380"/>
      <c r="R256" s="380"/>
      <c r="S256" s="380"/>
      <c r="T256" s="380"/>
      <c r="U256" s="380"/>
      <c r="V256" s="380"/>
      <c r="W256" s="403"/>
      <c r="X256" s="380"/>
      <c r="Y256" s="380"/>
      <c r="Z256" s="380"/>
      <c r="AA256" s="380"/>
      <c r="AB256" s="380"/>
      <c r="AC256" s="404"/>
      <c r="AD256" s="380"/>
      <c r="AE256" s="380"/>
      <c r="AF256" s="380"/>
      <c r="AG256" s="380"/>
      <c r="AH256" s="380"/>
      <c r="AI256" s="380"/>
      <c r="AJ256" s="380"/>
      <c r="AK256" s="403"/>
      <c r="AL256" s="380"/>
      <c r="AM256" s="380"/>
      <c r="AN256" s="380"/>
      <c r="AO256" s="380"/>
      <c r="AP256" s="380"/>
      <c r="AQ256" s="404"/>
      <c r="AR256" s="380"/>
      <c r="AS256" s="380"/>
      <c r="AT256" s="380"/>
      <c r="AU256" s="380"/>
      <c r="AV256" s="380"/>
      <c r="AW256" s="380"/>
      <c r="AX256" s="380"/>
      <c r="AY256" s="403"/>
      <c r="AZ256" s="380"/>
      <c r="BA256" s="380"/>
      <c r="BB256" s="380"/>
      <c r="BC256" s="380"/>
      <c r="BD256" s="380"/>
      <c r="BE256" s="404"/>
      <c r="BF256" s="380"/>
      <c r="BG256" s="380"/>
      <c r="BH256" s="380"/>
      <c r="BI256" s="380"/>
      <c r="BJ256" s="380"/>
      <c r="BK256" s="380"/>
      <c r="BL256" s="380"/>
      <c r="BM256" s="403"/>
      <c r="BS256" s="83"/>
      <c r="CA256" s="405"/>
      <c r="CG256" s="83"/>
      <c r="CO256" s="405"/>
      <c r="CU256" s="83"/>
      <c r="DC256" s="405"/>
      <c r="DI256" s="83"/>
      <c r="DQ256" s="405"/>
      <c r="DW256" s="83"/>
      <c r="EE256" s="405"/>
      <c r="EK256" s="83"/>
      <c r="ES256" s="405"/>
      <c r="EY256" s="83"/>
      <c r="FG256" s="405"/>
      <c r="FM256" s="83"/>
      <c r="FU256" s="405"/>
      <c r="GA256" s="83"/>
      <c r="GI256" s="405"/>
      <c r="GO256" s="83"/>
      <c r="GW256" s="405"/>
      <c r="HC256" s="83"/>
      <c r="HK256" s="405"/>
      <c r="HQ256" s="83"/>
      <c r="HY256" s="405"/>
      <c r="IE256" s="83"/>
      <c r="IM256" s="405"/>
      <c r="IS256" s="83"/>
      <c r="JA256" s="405"/>
      <c r="JG256" s="83"/>
      <c r="JO256" s="405"/>
      <c r="JU256" s="83"/>
      <c r="KC256" s="405"/>
      <c r="KI256" s="83"/>
      <c r="KQ256" s="405"/>
      <c r="KW256" s="83"/>
      <c r="LE256" s="405"/>
      <c r="LK256" s="83"/>
      <c r="LS256" s="405"/>
      <c r="LY256" s="83"/>
      <c r="MG256" s="405"/>
      <c r="MM256" s="83"/>
      <c r="MU256" s="405"/>
      <c r="NA256" s="83"/>
    </row>
    <row r="257">
      <c r="A257" s="380"/>
      <c r="B257" s="380"/>
      <c r="C257" s="380"/>
      <c r="D257" s="380"/>
      <c r="E257" s="380"/>
      <c r="F257" s="380"/>
      <c r="G257" s="380"/>
      <c r="H257" s="380"/>
      <c r="I257" s="403"/>
      <c r="J257" s="380"/>
      <c r="K257" s="380"/>
      <c r="L257" s="380"/>
      <c r="M257" s="380"/>
      <c r="N257" s="380"/>
      <c r="O257" s="404"/>
      <c r="P257" s="380"/>
      <c r="Q257" s="380"/>
      <c r="R257" s="380"/>
      <c r="S257" s="380"/>
      <c r="T257" s="380"/>
      <c r="U257" s="380"/>
      <c r="V257" s="380"/>
      <c r="W257" s="403"/>
      <c r="X257" s="380"/>
      <c r="Y257" s="380"/>
      <c r="Z257" s="380"/>
      <c r="AA257" s="380"/>
      <c r="AB257" s="380"/>
      <c r="AC257" s="404"/>
      <c r="AD257" s="380"/>
      <c r="AE257" s="380"/>
      <c r="AF257" s="380"/>
      <c r="AG257" s="380"/>
      <c r="AH257" s="380"/>
      <c r="AI257" s="380"/>
      <c r="AJ257" s="380"/>
      <c r="AK257" s="403"/>
      <c r="AL257" s="380"/>
      <c r="AM257" s="380"/>
      <c r="AN257" s="380"/>
      <c r="AO257" s="380"/>
      <c r="AP257" s="380"/>
      <c r="AQ257" s="404"/>
      <c r="AR257" s="380"/>
      <c r="AS257" s="380"/>
      <c r="AT257" s="380"/>
      <c r="AU257" s="380"/>
      <c r="AV257" s="380"/>
      <c r="AW257" s="380"/>
      <c r="AX257" s="380"/>
      <c r="AY257" s="403"/>
      <c r="AZ257" s="380"/>
      <c r="BA257" s="380"/>
      <c r="BB257" s="380"/>
      <c r="BC257" s="380"/>
      <c r="BD257" s="380"/>
      <c r="BE257" s="404"/>
      <c r="BF257" s="380"/>
      <c r="BG257" s="380"/>
      <c r="BH257" s="380"/>
      <c r="BI257" s="380"/>
      <c r="BJ257" s="380"/>
      <c r="BK257" s="380"/>
      <c r="BL257" s="380"/>
      <c r="BM257" s="403"/>
      <c r="BS257" s="83"/>
      <c r="CA257" s="405"/>
      <c r="CG257" s="83"/>
      <c r="CO257" s="405"/>
      <c r="CU257" s="83"/>
      <c r="DC257" s="405"/>
      <c r="DI257" s="83"/>
      <c r="DQ257" s="405"/>
      <c r="DW257" s="83"/>
      <c r="EE257" s="405"/>
      <c r="EK257" s="83"/>
      <c r="ES257" s="405"/>
      <c r="EY257" s="83"/>
      <c r="FG257" s="405"/>
      <c r="FM257" s="83"/>
      <c r="FU257" s="405"/>
      <c r="GA257" s="83"/>
      <c r="GI257" s="405"/>
      <c r="GO257" s="83"/>
      <c r="GW257" s="405"/>
      <c r="HC257" s="83"/>
      <c r="HK257" s="405"/>
      <c r="HQ257" s="83"/>
      <c r="HY257" s="405"/>
      <c r="IE257" s="83"/>
      <c r="IM257" s="405"/>
      <c r="IS257" s="83"/>
      <c r="JA257" s="405"/>
      <c r="JG257" s="83"/>
      <c r="JO257" s="405"/>
      <c r="JU257" s="83"/>
      <c r="KC257" s="405"/>
      <c r="KI257" s="83"/>
      <c r="KQ257" s="405"/>
      <c r="KW257" s="83"/>
      <c r="LE257" s="405"/>
      <c r="LK257" s="83"/>
      <c r="LS257" s="405"/>
      <c r="LY257" s="83"/>
      <c r="MG257" s="405"/>
      <c r="MM257" s="83"/>
      <c r="MU257" s="405"/>
      <c r="NA257" s="83"/>
    </row>
    <row r="258">
      <c r="A258" s="380"/>
      <c r="B258" s="380"/>
      <c r="C258" s="380"/>
      <c r="D258" s="380"/>
      <c r="E258" s="380"/>
      <c r="F258" s="380"/>
      <c r="G258" s="380"/>
      <c r="H258" s="380"/>
      <c r="I258" s="403"/>
      <c r="J258" s="380"/>
      <c r="K258" s="380"/>
      <c r="L258" s="380"/>
      <c r="M258" s="380"/>
      <c r="N258" s="380"/>
      <c r="O258" s="404"/>
      <c r="P258" s="380"/>
      <c r="Q258" s="380"/>
      <c r="R258" s="380"/>
      <c r="S258" s="380"/>
      <c r="T258" s="380"/>
      <c r="U258" s="380"/>
      <c r="V258" s="380"/>
      <c r="W258" s="403"/>
      <c r="X258" s="380"/>
      <c r="Y258" s="380"/>
      <c r="Z258" s="380"/>
      <c r="AA258" s="380"/>
      <c r="AB258" s="380"/>
      <c r="AC258" s="404"/>
      <c r="AD258" s="380"/>
      <c r="AE258" s="380"/>
      <c r="AF258" s="380"/>
      <c r="AG258" s="380"/>
      <c r="AH258" s="380"/>
      <c r="AI258" s="380"/>
      <c r="AJ258" s="380"/>
      <c r="AK258" s="403"/>
      <c r="AL258" s="380"/>
      <c r="AM258" s="380"/>
      <c r="AN258" s="380"/>
      <c r="AO258" s="380"/>
      <c r="AP258" s="380"/>
      <c r="AQ258" s="404"/>
      <c r="AR258" s="380"/>
      <c r="AS258" s="380"/>
      <c r="AT258" s="380"/>
      <c r="AU258" s="380"/>
      <c r="AV258" s="380"/>
      <c r="AW258" s="380"/>
      <c r="AX258" s="380"/>
      <c r="AY258" s="403"/>
      <c r="AZ258" s="380"/>
      <c r="BA258" s="380"/>
      <c r="BB258" s="380"/>
      <c r="BC258" s="380"/>
      <c r="BD258" s="380"/>
      <c r="BE258" s="404"/>
      <c r="BF258" s="380"/>
      <c r="BG258" s="380"/>
      <c r="BH258" s="380"/>
      <c r="BI258" s="380"/>
      <c r="BJ258" s="380"/>
      <c r="BK258" s="380"/>
      <c r="BL258" s="380"/>
      <c r="BM258" s="403"/>
      <c r="BS258" s="83"/>
      <c r="CA258" s="405"/>
      <c r="CG258" s="83"/>
      <c r="CO258" s="405"/>
      <c r="CU258" s="83"/>
      <c r="DC258" s="405"/>
      <c r="DI258" s="83"/>
      <c r="DQ258" s="405"/>
      <c r="DW258" s="83"/>
      <c r="EE258" s="405"/>
      <c r="EK258" s="83"/>
      <c r="ES258" s="405"/>
      <c r="EY258" s="83"/>
      <c r="FG258" s="405"/>
      <c r="FM258" s="83"/>
      <c r="FU258" s="405"/>
      <c r="GA258" s="83"/>
      <c r="GI258" s="405"/>
      <c r="GO258" s="83"/>
      <c r="GW258" s="405"/>
      <c r="HC258" s="83"/>
      <c r="HK258" s="405"/>
      <c r="HQ258" s="83"/>
      <c r="HY258" s="405"/>
      <c r="IE258" s="83"/>
      <c r="IM258" s="405"/>
      <c r="IS258" s="83"/>
      <c r="JA258" s="405"/>
      <c r="JG258" s="83"/>
      <c r="JO258" s="405"/>
      <c r="JU258" s="83"/>
      <c r="KC258" s="405"/>
      <c r="KI258" s="83"/>
      <c r="KQ258" s="405"/>
      <c r="KW258" s="83"/>
      <c r="LE258" s="405"/>
      <c r="LK258" s="83"/>
      <c r="LS258" s="405"/>
      <c r="LY258" s="83"/>
      <c r="MG258" s="405"/>
      <c r="MM258" s="83"/>
      <c r="MU258" s="405"/>
      <c r="NA258" s="83"/>
    </row>
    <row r="259">
      <c r="A259" s="380"/>
      <c r="B259" s="380"/>
      <c r="C259" s="380"/>
      <c r="D259" s="380"/>
      <c r="E259" s="380"/>
      <c r="F259" s="380"/>
      <c r="G259" s="380"/>
      <c r="H259" s="380"/>
      <c r="I259" s="403"/>
      <c r="J259" s="380"/>
      <c r="K259" s="380"/>
      <c r="L259" s="380"/>
      <c r="M259" s="380"/>
      <c r="N259" s="380"/>
      <c r="O259" s="404"/>
      <c r="P259" s="380"/>
      <c r="Q259" s="380"/>
      <c r="R259" s="380"/>
      <c r="S259" s="380"/>
      <c r="T259" s="380"/>
      <c r="U259" s="380"/>
      <c r="V259" s="380"/>
      <c r="W259" s="403"/>
      <c r="X259" s="380"/>
      <c r="Y259" s="380"/>
      <c r="Z259" s="380"/>
      <c r="AA259" s="380"/>
      <c r="AB259" s="380"/>
      <c r="AC259" s="404"/>
      <c r="AD259" s="380"/>
      <c r="AE259" s="380"/>
      <c r="AF259" s="380"/>
      <c r="AG259" s="380"/>
      <c r="AH259" s="380"/>
      <c r="AI259" s="380"/>
      <c r="AJ259" s="380"/>
      <c r="AK259" s="403"/>
      <c r="AL259" s="380"/>
      <c r="AM259" s="380"/>
      <c r="AN259" s="380"/>
      <c r="AO259" s="380"/>
      <c r="AP259" s="380"/>
      <c r="AQ259" s="404"/>
      <c r="AR259" s="380"/>
      <c r="AS259" s="380"/>
      <c r="AT259" s="380"/>
      <c r="AU259" s="380"/>
      <c r="AV259" s="380"/>
      <c r="AW259" s="380"/>
      <c r="AX259" s="380"/>
      <c r="AY259" s="403"/>
      <c r="AZ259" s="380"/>
      <c r="BA259" s="380"/>
      <c r="BB259" s="380"/>
      <c r="BC259" s="380"/>
      <c r="BD259" s="380"/>
      <c r="BE259" s="404"/>
      <c r="BF259" s="380"/>
      <c r="BG259" s="380"/>
      <c r="BH259" s="380"/>
      <c r="BI259" s="380"/>
      <c r="BJ259" s="380"/>
      <c r="BK259" s="380"/>
      <c r="BL259" s="380"/>
      <c r="BM259" s="403"/>
      <c r="BS259" s="83"/>
      <c r="CA259" s="405"/>
      <c r="CG259" s="83"/>
      <c r="CO259" s="405"/>
      <c r="CU259" s="83"/>
      <c r="DC259" s="405"/>
      <c r="DI259" s="83"/>
      <c r="DQ259" s="405"/>
      <c r="DW259" s="83"/>
      <c r="EE259" s="405"/>
      <c r="EK259" s="83"/>
      <c r="ES259" s="405"/>
      <c r="EY259" s="83"/>
      <c r="FG259" s="405"/>
      <c r="FM259" s="83"/>
      <c r="FU259" s="405"/>
      <c r="GA259" s="83"/>
      <c r="GI259" s="405"/>
      <c r="GO259" s="83"/>
      <c r="GW259" s="405"/>
      <c r="HC259" s="83"/>
      <c r="HK259" s="405"/>
      <c r="HQ259" s="83"/>
      <c r="HY259" s="405"/>
      <c r="IE259" s="83"/>
      <c r="IM259" s="405"/>
      <c r="IS259" s="83"/>
      <c r="JA259" s="405"/>
      <c r="JG259" s="83"/>
      <c r="JO259" s="405"/>
      <c r="JU259" s="83"/>
      <c r="KC259" s="405"/>
      <c r="KI259" s="83"/>
      <c r="KQ259" s="405"/>
      <c r="KW259" s="83"/>
      <c r="LE259" s="405"/>
      <c r="LK259" s="83"/>
      <c r="LS259" s="405"/>
      <c r="LY259" s="83"/>
      <c r="MG259" s="405"/>
      <c r="MM259" s="83"/>
      <c r="MU259" s="405"/>
      <c r="NA259" s="83"/>
    </row>
    <row r="260">
      <c r="A260" s="380"/>
      <c r="B260" s="380"/>
      <c r="C260" s="380"/>
      <c r="D260" s="380"/>
      <c r="E260" s="380"/>
      <c r="F260" s="380"/>
      <c r="G260" s="380"/>
      <c r="H260" s="380"/>
      <c r="I260" s="403"/>
      <c r="J260" s="380"/>
      <c r="K260" s="380"/>
      <c r="L260" s="380"/>
      <c r="M260" s="380"/>
      <c r="N260" s="380"/>
      <c r="O260" s="404"/>
      <c r="P260" s="380"/>
      <c r="Q260" s="380"/>
      <c r="R260" s="380"/>
      <c r="S260" s="380"/>
      <c r="T260" s="380"/>
      <c r="U260" s="380"/>
      <c r="V260" s="380"/>
      <c r="W260" s="403"/>
      <c r="X260" s="380"/>
      <c r="Y260" s="380"/>
      <c r="Z260" s="380"/>
      <c r="AA260" s="380"/>
      <c r="AB260" s="380"/>
      <c r="AC260" s="404"/>
      <c r="AD260" s="380"/>
      <c r="AE260" s="380"/>
      <c r="AF260" s="380"/>
      <c r="AG260" s="380"/>
      <c r="AH260" s="380"/>
      <c r="AI260" s="380"/>
      <c r="AJ260" s="380"/>
      <c r="AK260" s="403"/>
      <c r="AL260" s="380"/>
      <c r="AM260" s="380"/>
      <c r="AN260" s="380"/>
      <c r="AO260" s="380"/>
      <c r="AP260" s="380"/>
      <c r="AQ260" s="404"/>
      <c r="AR260" s="380"/>
      <c r="AS260" s="380"/>
      <c r="AT260" s="380"/>
      <c r="AU260" s="380"/>
      <c r="AV260" s="380"/>
      <c r="AW260" s="380"/>
      <c r="AX260" s="380"/>
      <c r="AY260" s="403"/>
      <c r="AZ260" s="380"/>
      <c r="BA260" s="380"/>
      <c r="BB260" s="380"/>
      <c r="BC260" s="380"/>
      <c r="BD260" s="380"/>
      <c r="BE260" s="404"/>
      <c r="BF260" s="380"/>
      <c r="BG260" s="380"/>
      <c r="BH260" s="380"/>
      <c r="BI260" s="380"/>
      <c r="BJ260" s="380"/>
      <c r="BK260" s="380"/>
      <c r="BL260" s="380"/>
      <c r="BM260" s="403"/>
      <c r="BS260" s="83"/>
      <c r="CA260" s="405"/>
      <c r="CG260" s="83"/>
      <c r="CO260" s="405"/>
      <c r="CU260" s="83"/>
      <c r="DC260" s="405"/>
      <c r="DI260" s="83"/>
      <c r="DQ260" s="405"/>
      <c r="DW260" s="83"/>
      <c r="EE260" s="405"/>
      <c r="EK260" s="83"/>
      <c r="ES260" s="405"/>
      <c r="EY260" s="83"/>
      <c r="FG260" s="405"/>
      <c r="FM260" s="83"/>
      <c r="FU260" s="405"/>
      <c r="GA260" s="83"/>
      <c r="GI260" s="405"/>
      <c r="GO260" s="83"/>
      <c r="GW260" s="405"/>
      <c r="HC260" s="83"/>
      <c r="HK260" s="405"/>
      <c r="HQ260" s="83"/>
      <c r="HY260" s="405"/>
      <c r="IE260" s="83"/>
      <c r="IM260" s="405"/>
      <c r="IS260" s="83"/>
      <c r="JA260" s="405"/>
      <c r="JG260" s="83"/>
      <c r="JO260" s="405"/>
      <c r="JU260" s="83"/>
      <c r="KC260" s="405"/>
      <c r="KI260" s="83"/>
      <c r="KQ260" s="405"/>
      <c r="KW260" s="83"/>
      <c r="LE260" s="405"/>
      <c r="LK260" s="83"/>
      <c r="LS260" s="405"/>
      <c r="LY260" s="83"/>
      <c r="MG260" s="405"/>
      <c r="MM260" s="83"/>
      <c r="MU260" s="405"/>
      <c r="NA260" s="83"/>
    </row>
    <row r="261">
      <c r="A261" s="380"/>
      <c r="B261" s="380"/>
      <c r="C261" s="380"/>
      <c r="D261" s="380"/>
      <c r="E261" s="380"/>
      <c r="F261" s="380"/>
      <c r="G261" s="380"/>
      <c r="H261" s="380"/>
      <c r="I261" s="403"/>
      <c r="J261" s="380"/>
      <c r="K261" s="380"/>
      <c r="L261" s="380"/>
      <c r="M261" s="380"/>
      <c r="N261" s="380"/>
      <c r="O261" s="404"/>
      <c r="P261" s="380"/>
      <c r="Q261" s="380"/>
      <c r="R261" s="380"/>
      <c r="S261" s="380"/>
      <c r="T261" s="380"/>
      <c r="U261" s="380"/>
      <c r="V261" s="380"/>
      <c r="W261" s="403"/>
      <c r="X261" s="380"/>
      <c r="Y261" s="380"/>
      <c r="Z261" s="380"/>
      <c r="AA261" s="380"/>
      <c r="AB261" s="380"/>
      <c r="AC261" s="404"/>
      <c r="AD261" s="380"/>
      <c r="AE261" s="380"/>
      <c r="AF261" s="380"/>
      <c r="AG261" s="380"/>
      <c r="AH261" s="380"/>
      <c r="AI261" s="380"/>
      <c r="AJ261" s="380"/>
      <c r="AK261" s="403"/>
      <c r="AL261" s="380"/>
      <c r="AM261" s="380"/>
      <c r="AN261" s="380"/>
      <c r="AO261" s="380"/>
      <c r="AP261" s="380"/>
      <c r="AQ261" s="404"/>
      <c r="AR261" s="380"/>
      <c r="AS261" s="380"/>
      <c r="AT261" s="380"/>
      <c r="AU261" s="380"/>
      <c r="AV261" s="380"/>
      <c r="AW261" s="380"/>
      <c r="AX261" s="380"/>
      <c r="AY261" s="403"/>
      <c r="AZ261" s="380"/>
      <c r="BA261" s="380"/>
      <c r="BB261" s="380"/>
      <c r="BC261" s="380"/>
      <c r="BD261" s="380"/>
      <c r="BE261" s="404"/>
      <c r="BF261" s="380"/>
      <c r="BG261" s="380"/>
      <c r="BH261" s="380"/>
      <c r="BI261" s="380"/>
      <c r="BJ261" s="380"/>
      <c r="BK261" s="380"/>
      <c r="BL261" s="380"/>
      <c r="BM261" s="403"/>
      <c r="BS261" s="83"/>
      <c r="CA261" s="405"/>
      <c r="CG261" s="83"/>
      <c r="CO261" s="405"/>
      <c r="CU261" s="83"/>
      <c r="DC261" s="405"/>
      <c r="DI261" s="83"/>
      <c r="DQ261" s="405"/>
      <c r="DW261" s="83"/>
      <c r="EE261" s="405"/>
      <c r="EK261" s="83"/>
      <c r="ES261" s="405"/>
      <c r="EY261" s="83"/>
      <c r="FG261" s="405"/>
      <c r="FM261" s="83"/>
      <c r="FU261" s="405"/>
      <c r="GA261" s="83"/>
      <c r="GI261" s="405"/>
      <c r="GO261" s="83"/>
      <c r="GW261" s="405"/>
      <c r="HC261" s="83"/>
      <c r="HK261" s="405"/>
      <c r="HQ261" s="83"/>
      <c r="HY261" s="405"/>
      <c r="IE261" s="83"/>
      <c r="IM261" s="405"/>
      <c r="IS261" s="83"/>
      <c r="JA261" s="405"/>
      <c r="JG261" s="83"/>
      <c r="JO261" s="405"/>
      <c r="JU261" s="83"/>
      <c r="KC261" s="405"/>
      <c r="KI261" s="83"/>
      <c r="KQ261" s="405"/>
      <c r="KW261" s="83"/>
      <c r="LE261" s="405"/>
      <c r="LK261" s="83"/>
      <c r="LS261" s="405"/>
      <c r="LY261" s="83"/>
      <c r="MG261" s="405"/>
      <c r="MM261" s="83"/>
      <c r="MU261" s="405"/>
      <c r="NA261" s="83"/>
    </row>
    <row r="262">
      <c r="A262" s="380"/>
      <c r="B262" s="380"/>
      <c r="C262" s="380"/>
      <c r="D262" s="380"/>
      <c r="E262" s="380"/>
      <c r="F262" s="380"/>
      <c r="G262" s="380"/>
      <c r="H262" s="380"/>
      <c r="I262" s="403"/>
      <c r="J262" s="380"/>
      <c r="K262" s="380"/>
      <c r="L262" s="380"/>
      <c r="M262" s="380"/>
      <c r="N262" s="380"/>
      <c r="O262" s="404"/>
      <c r="P262" s="380"/>
      <c r="Q262" s="380"/>
      <c r="R262" s="380"/>
      <c r="S262" s="380"/>
      <c r="T262" s="380"/>
      <c r="U262" s="380"/>
      <c r="V262" s="380"/>
      <c r="W262" s="403"/>
      <c r="X262" s="380"/>
      <c r="Y262" s="380"/>
      <c r="Z262" s="380"/>
      <c r="AA262" s="380"/>
      <c r="AB262" s="380"/>
      <c r="AC262" s="404"/>
      <c r="AD262" s="380"/>
      <c r="AE262" s="380"/>
      <c r="AF262" s="380"/>
      <c r="AG262" s="380"/>
      <c r="AH262" s="380"/>
      <c r="AI262" s="380"/>
      <c r="AJ262" s="380"/>
      <c r="AK262" s="403"/>
      <c r="AL262" s="380"/>
      <c r="AM262" s="380"/>
      <c r="AN262" s="380"/>
      <c r="AO262" s="380"/>
      <c r="AP262" s="380"/>
      <c r="AQ262" s="404"/>
      <c r="AR262" s="380"/>
      <c r="AS262" s="380"/>
      <c r="AT262" s="380"/>
      <c r="AU262" s="380"/>
      <c r="AV262" s="380"/>
      <c r="AW262" s="380"/>
      <c r="AX262" s="380"/>
      <c r="AY262" s="403"/>
      <c r="AZ262" s="380"/>
      <c r="BA262" s="380"/>
      <c r="BB262" s="380"/>
      <c r="BC262" s="380"/>
      <c r="BD262" s="380"/>
      <c r="BE262" s="404"/>
      <c r="BF262" s="380"/>
      <c r="BG262" s="380"/>
      <c r="BH262" s="380"/>
      <c r="BI262" s="380"/>
      <c r="BJ262" s="380"/>
      <c r="BK262" s="380"/>
      <c r="BL262" s="380"/>
      <c r="BM262" s="403"/>
      <c r="BS262" s="83"/>
      <c r="CA262" s="405"/>
      <c r="CG262" s="83"/>
      <c r="CO262" s="405"/>
      <c r="CU262" s="83"/>
      <c r="DC262" s="405"/>
      <c r="DI262" s="83"/>
      <c r="DQ262" s="405"/>
      <c r="DW262" s="83"/>
      <c r="EE262" s="405"/>
      <c r="EK262" s="83"/>
      <c r="ES262" s="405"/>
      <c r="EY262" s="83"/>
      <c r="FG262" s="405"/>
      <c r="FM262" s="83"/>
      <c r="FU262" s="405"/>
      <c r="GA262" s="83"/>
      <c r="GI262" s="405"/>
      <c r="GO262" s="83"/>
      <c r="GW262" s="405"/>
      <c r="HC262" s="83"/>
      <c r="HK262" s="405"/>
      <c r="HQ262" s="83"/>
      <c r="HY262" s="405"/>
      <c r="IE262" s="83"/>
      <c r="IM262" s="405"/>
      <c r="IS262" s="83"/>
      <c r="JA262" s="405"/>
      <c r="JG262" s="83"/>
      <c r="JO262" s="405"/>
      <c r="JU262" s="83"/>
      <c r="KC262" s="405"/>
      <c r="KI262" s="83"/>
      <c r="KQ262" s="405"/>
      <c r="KW262" s="83"/>
      <c r="LE262" s="405"/>
      <c r="LK262" s="83"/>
      <c r="LS262" s="405"/>
      <c r="LY262" s="83"/>
      <c r="MG262" s="405"/>
      <c r="MM262" s="83"/>
      <c r="MU262" s="405"/>
      <c r="NA262" s="83"/>
    </row>
    <row r="263">
      <c r="A263" s="380"/>
      <c r="B263" s="380"/>
      <c r="C263" s="380"/>
      <c r="D263" s="380"/>
      <c r="E263" s="380"/>
      <c r="F263" s="380"/>
      <c r="G263" s="380"/>
      <c r="H263" s="380"/>
      <c r="I263" s="403"/>
      <c r="J263" s="380"/>
      <c r="K263" s="380"/>
      <c r="L263" s="380"/>
      <c r="M263" s="380"/>
      <c r="N263" s="380"/>
      <c r="O263" s="404"/>
      <c r="P263" s="380"/>
      <c r="Q263" s="380"/>
      <c r="R263" s="380"/>
      <c r="S263" s="380"/>
      <c r="T263" s="380"/>
      <c r="U263" s="380"/>
      <c r="V263" s="380"/>
      <c r="W263" s="403"/>
      <c r="X263" s="380"/>
      <c r="Y263" s="380"/>
      <c r="Z263" s="380"/>
      <c r="AA263" s="380"/>
      <c r="AB263" s="380"/>
      <c r="AC263" s="404"/>
      <c r="AD263" s="380"/>
      <c r="AE263" s="380"/>
      <c r="AF263" s="380"/>
      <c r="AG263" s="380"/>
      <c r="AH263" s="380"/>
      <c r="AI263" s="380"/>
      <c r="AJ263" s="380"/>
      <c r="AK263" s="403"/>
      <c r="AL263" s="380"/>
      <c r="AM263" s="380"/>
      <c r="AN263" s="380"/>
      <c r="AO263" s="380"/>
      <c r="AP263" s="380"/>
      <c r="AQ263" s="404"/>
      <c r="AR263" s="380"/>
      <c r="AS263" s="380"/>
      <c r="AT263" s="380"/>
      <c r="AU263" s="380"/>
      <c r="AV263" s="380"/>
      <c r="AW263" s="380"/>
      <c r="AX263" s="380"/>
      <c r="AY263" s="403"/>
      <c r="AZ263" s="380"/>
      <c r="BA263" s="380"/>
      <c r="BB263" s="380"/>
      <c r="BC263" s="380"/>
      <c r="BD263" s="380"/>
      <c r="BE263" s="404"/>
      <c r="BF263" s="380"/>
      <c r="BG263" s="380"/>
      <c r="BH263" s="380"/>
      <c r="BI263" s="380"/>
      <c r="BJ263" s="380"/>
      <c r="BK263" s="380"/>
      <c r="BL263" s="380"/>
      <c r="BM263" s="403"/>
      <c r="BS263" s="83"/>
      <c r="CA263" s="405"/>
      <c r="CG263" s="83"/>
      <c r="CO263" s="405"/>
      <c r="CU263" s="83"/>
      <c r="DC263" s="405"/>
      <c r="DI263" s="83"/>
      <c r="DQ263" s="405"/>
      <c r="DW263" s="83"/>
      <c r="EE263" s="405"/>
      <c r="EK263" s="83"/>
      <c r="ES263" s="405"/>
      <c r="EY263" s="83"/>
      <c r="FG263" s="405"/>
      <c r="FM263" s="83"/>
      <c r="FU263" s="405"/>
      <c r="GA263" s="83"/>
      <c r="GI263" s="405"/>
      <c r="GO263" s="83"/>
      <c r="GW263" s="405"/>
      <c r="HC263" s="83"/>
      <c r="HK263" s="405"/>
      <c r="HQ263" s="83"/>
      <c r="HY263" s="405"/>
      <c r="IE263" s="83"/>
      <c r="IM263" s="405"/>
      <c r="IS263" s="83"/>
      <c r="JA263" s="405"/>
      <c r="JG263" s="83"/>
      <c r="JO263" s="405"/>
      <c r="JU263" s="83"/>
      <c r="KC263" s="405"/>
      <c r="KI263" s="83"/>
      <c r="KQ263" s="405"/>
      <c r="KW263" s="83"/>
      <c r="LE263" s="405"/>
      <c r="LK263" s="83"/>
      <c r="LS263" s="405"/>
      <c r="LY263" s="83"/>
      <c r="MG263" s="405"/>
      <c r="MM263" s="83"/>
      <c r="MU263" s="405"/>
      <c r="NA263" s="83"/>
    </row>
    <row r="264">
      <c r="A264" s="380"/>
      <c r="B264" s="380"/>
      <c r="C264" s="380"/>
      <c r="D264" s="380"/>
      <c r="E264" s="380"/>
      <c r="F264" s="380"/>
      <c r="G264" s="380"/>
      <c r="H264" s="380"/>
      <c r="I264" s="403"/>
      <c r="J264" s="380"/>
      <c r="K264" s="380"/>
      <c r="L264" s="380"/>
      <c r="M264" s="380"/>
      <c r="N264" s="380"/>
      <c r="O264" s="404"/>
      <c r="P264" s="380"/>
      <c r="Q264" s="380"/>
      <c r="R264" s="380"/>
      <c r="S264" s="380"/>
      <c r="T264" s="380"/>
      <c r="U264" s="380"/>
      <c r="V264" s="380"/>
      <c r="W264" s="403"/>
      <c r="X264" s="380"/>
      <c r="Y264" s="380"/>
      <c r="Z264" s="380"/>
      <c r="AA264" s="380"/>
      <c r="AB264" s="380"/>
      <c r="AC264" s="404"/>
      <c r="AD264" s="380"/>
      <c r="AE264" s="380"/>
      <c r="AF264" s="380"/>
      <c r="AG264" s="380"/>
      <c r="AH264" s="380"/>
      <c r="AI264" s="380"/>
      <c r="AJ264" s="380"/>
      <c r="AK264" s="403"/>
      <c r="AL264" s="380"/>
      <c r="AM264" s="380"/>
      <c r="AN264" s="380"/>
      <c r="AO264" s="380"/>
      <c r="AP264" s="380"/>
      <c r="AQ264" s="404"/>
      <c r="AR264" s="380"/>
      <c r="AS264" s="380"/>
      <c r="AT264" s="380"/>
      <c r="AU264" s="380"/>
      <c r="AV264" s="380"/>
      <c r="AW264" s="380"/>
      <c r="AX264" s="380"/>
      <c r="AY264" s="403"/>
      <c r="AZ264" s="380"/>
      <c r="BA264" s="380"/>
      <c r="BB264" s="380"/>
      <c r="BC264" s="380"/>
      <c r="BD264" s="380"/>
      <c r="BE264" s="404"/>
      <c r="BF264" s="380"/>
      <c r="BG264" s="380"/>
      <c r="BH264" s="380"/>
      <c r="BI264" s="380"/>
      <c r="BJ264" s="380"/>
      <c r="BK264" s="380"/>
      <c r="BL264" s="380"/>
      <c r="BM264" s="403"/>
      <c r="BS264" s="83"/>
      <c r="CA264" s="405"/>
      <c r="CG264" s="83"/>
      <c r="CO264" s="405"/>
      <c r="CU264" s="83"/>
      <c r="DC264" s="405"/>
      <c r="DI264" s="83"/>
      <c r="DQ264" s="405"/>
      <c r="DW264" s="83"/>
      <c r="EE264" s="405"/>
      <c r="EK264" s="83"/>
      <c r="ES264" s="405"/>
      <c r="EY264" s="83"/>
      <c r="FG264" s="405"/>
      <c r="FM264" s="83"/>
      <c r="FU264" s="405"/>
      <c r="GA264" s="83"/>
      <c r="GI264" s="405"/>
      <c r="GO264" s="83"/>
      <c r="GW264" s="405"/>
      <c r="HC264" s="83"/>
      <c r="HK264" s="405"/>
      <c r="HQ264" s="83"/>
      <c r="HY264" s="405"/>
      <c r="IE264" s="83"/>
      <c r="IM264" s="405"/>
      <c r="IS264" s="83"/>
      <c r="JA264" s="405"/>
      <c r="JG264" s="83"/>
      <c r="JO264" s="405"/>
      <c r="JU264" s="83"/>
      <c r="KC264" s="405"/>
      <c r="KI264" s="83"/>
      <c r="KQ264" s="405"/>
      <c r="KW264" s="83"/>
      <c r="LE264" s="405"/>
      <c r="LK264" s="83"/>
      <c r="LS264" s="405"/>
      <c r="LY264" s="83"/>
      <c r="MG264" s="405"/>
      <c r="MM264" s="83"/>
      <c r="MU264" s="405"/>
      <c r="NA264" s="83"/>
    </row>
    <row r="265">
      <c r="A265" s="380"/>
      <c r="B265" s="380"/>
      <c r="C265" s="380"/>
      <c r="D265" s="380"/>
      <c r="E265" s="380"/>
      <c r="F265" s="380"/>
      <c r="G265" s="380"/>
      <c r="H265" s="380"/>
      <c r="I265" s="403"/>
      <c r="J265" s="380"/>
      <c r="K265" s="380"/>
      <c r="L265" s="380"/>
      <c r="M265" s="380"/>
      <c r="N265" s="380"/>
      <c r="O265" s="404"/>
      <c r="P265" s="380"/>
      <c r="Q265" s="380"/>
      <c r="R265" s="380"/>
      <c r="S265" s="380"/>
      <c r="T265" s="380"/>
      <c r="U265" s="380"/>
      <c r="V265" s="380"/>
      <c r="W265" s="403"/>
      <c r="X265" s="380"/>
      <c r="Y265" s="380"/>
      <c r="Z265" s="380"/>
      <c r="AA265" s="380"/>
      <c r="AB265" s="380"/>
      <c r="AC265" s="404"/>
      <c r="AD265" s="380"/>
      <c r="AE265" s="380"/>
      <c r="AF265" s="380"/>
      <c r="AG265" s="380"/>
      <c r="AH265" s="380"/>
      <c r="AI265" s="380"/>
      <c r="AJ265" s="380"/>
      <c r="AK265" s="403"/>
      <c r="AL265" s="380"/>
      <c r="AM265" s="380"/>
      <c r="AN265" s="380"/>
      <c r="AO265" s="380"/>
      <c r="AP265" s="380"/>
      <c r="AQ265" s="404"/>
      <c r="AR265" s="380"/>
      <c r="AS265" s="380"/>
      <c r="AT265" s="380"/>
      <c r="AU265" s="380"/>
      <c r="AV265" s="380"/>
      <c r="AW265" s="380"/>
      <c r="AX265" s="380"/>
      <c r="AY265" s="403"/>
      <c r="AZ265" s="380"/>
      <c r="BA265" s="380"/>
      <c r="BB265" s="380"/>
      <c r="BC265" s="380"/>
      <c r="BD265" s="380"/>
      <c r="BE265" s="404"/>
      <c r="BF265" s="380"/>
      <c r="BG265" s="380"/>
      <c r="BH265" s="380"/>
      <c r="BI265" s="380"/>
      <c r="BJ265" s="380"/>
      <c r="BK265" s="380"/>
      <c r="BL265" s="380"/>
      <c r="BM265" s="403"/>
      <c r="BS265" s="83"/>
      <c r="CA265" s="405"/>
      <c r="CG265" s="83"/>
      <c r="CO265" s="405"/>
      <c r="CU265" s="83"/>
      <c r="DC265" s="405"/>
      <c r="DI265" s="83"/>
      <c r="DQ265" s="405"/>
      <c r="DW265" s="83"/>
      <c r="EE265" s="405"/>
      <c r="EK265" s="83"/>
      <c r="ES265" s="405"/>
      <c r="EY265" s="83"/>
      <c r="FG265" s="405"/>
      <c r="FM265" s="83"/>
      <c r="FU265" s="405"/>
      <c r="GA265" s="83"/>
      <c r="GI265" s="405"/>
      <c r="GO265" s="83"/>
      <c r="GW265" s="405"/>
      <c r="HC265" s="83"/>
      <c r="HK265" s="405"/>
      <c r="HQ265" s="83"/>
      <c r="HY265" s="405"/>
      <c r="IE265" s="83"/>
      <c r="IM265" s="405"/>
      <c r="IS265" s="83"/>
      <c r="JA265" s="405"/>
      <c r="JG265" s="83"/>
      <c r="JO265" s="405"/>
      <c r="JU265" s="83"/>
      <c r="KC265" s="405"/>
      <c r="KI265" s="83"/>
      <c r="KQ265" s="405"/>
      <c r="KW265" s="83"/>
      <c r="LE265" s="405"/>
      <c r="LK265" s="83"/>
      <c r="LS265" s="405"/>
      <c r="LY265" s="83"/>
      <c r="MG265" s="405"/>
      <c r="MM265" s="83"/>
      <c r="MU265" s="405"/>
      <c r="NA265" s="83"/>
    </row>
    <row r="266">
      <c r="A266" s="380"/>
      <c r="B266" s="380"/>
      <c r="C266" s="380"/>
      <c r="D266" s="380"/>
      <c r="E266" s="380"/>
      <c r="F266" s="380"/>
      <c r="G266" s="380"/>
      <c r="H266" s="380"/>
      <c r="I266" s="403"/>
      <c r="J266" s="380"/>
      <c r="K266" s="380"/>
      <c r="L266" s="380"/>
      <c r="M266" s="380"/>
      <c r="N266" s="380"/>
      <c r="O266" s="404"/>
      <c r="P266" s="380"/>
      <c r="Q266" s="380"/>
      <c r="R266" s="380"/>
      <c r="S266" s="380"/>
      <c r="T266" s="380"/>
      <c r="U266" s="380"/>
      <c r="V266" s="380"/>
      <c r="W266" s="403"/>
      <c r="X266" s="380"/>
      <c r="Y266" s="380"/>
      <c r="Z266" s="380"/>
      <c r="AA266" s="380"/>
      <c r="AB266" s="380"/>
      <c r="AC266" s="404"/>
      <c r="AD266" s="380"/>
      <c r="AE266" s="380"/>
      <c r="AF266" s="380"/>
      <c r="AG266" s="380"/>
      <c r="AH266" s="380"/>
      <c r="AI266" s="380"/>
      <c r="AJ266" s="380"/>
      <c r="AK266" s="403"/>
      <c r="AL266" s="380"/>
      <c r="AM266" s="380"/>
      <c r="AN266" s="380"/>
      <c r="AO266" s="380"/>
      <c r="AP266" s="380"/>
      <c r="AQ266" s="404"/>
      <c r="AR266" s="380"/>
      <c r="AS266" s="380"/>
      <c r="AT266" s="380"/>
      <c r="AU266" s="380"/>
      <c r="AV266" s="380"/>
      <c r="AW266" s="380"/>
      <c r="AX266" s="380"/>
      <c r="AY266" s="403"/>
      <c r="AZ266" s="380"/>
      <c r="BA266" s="380"/>
      <c r="BB266" s="380"/>
      <c r="BC266" s="380"/>
      <c r="BD266" s="380"/>
      <c r="BE266" s="404"/>
      <c r="BF266" s="380"/>
      <c r="BG266" s="380"/>
      <c r="BH266" s="380"/>
      <c r="BI266" s="380"/>
      <c r="BJ266" s="380"/>
      <c r="BK266" s="380"/>
      <c r="BL266" s="380"/>
      <c r="BM266" s="403"/>
      <c r="BS266" s="83"/>
      <c r="CA266" s="405"/>
      <c r="CG266" s="83"/>
      <c r="CO266" s="405"/>
      <c r="CU266" s="83"/>
      <c r="DC266" s="405"/>
      <c r="DI266" s="83"/>
      <c r="DQ266" s="405"/>
      <c r="DW266" s="83"/>
      <c r="EE266" s="405"/>
      <c r="EK266" s="83"/>
      <c r="ES266" s="405"/>
      <c r="EY266" s="83"/>
      <c r="FG266" s="405"/>
      <c r="FM266" s="83"/>
      <c r="FU266" s="405"/>
      <c r="GA266" s="83"/>
      <c r="GI266" s="405"/>
      <c r="GO266" s="83"/>
      <c r="GW266" s="405"/>
      <c r="HC266" s="83"/>
      <c r="HK266" s="405"/>
      <c r="HQ266" s="83"/>
      <c r="HY266" s="405"/>
      <c r="IE266" s="83"/>
      <c r="IM266" s="405"/>
      <c r="IS266" s="83"/>
      <c r="JA266" s="405"/>
      <c r="JG266" s="83"/>
      <c r="JO266" s="405"/>
      <c r="JU266" s="83"/>
      <c r="KC266" s="405"/>
      <c r="KI266" s="83"/>
      <c r="KQ266" s="405"/>
      <c r="KW266" s="83"/>
      <c r="LE266" s="405"/>
      <c r="LK266" s="83"/>
      <c r="LS266" s="405"/>
      <c r="LY266" s="83"/>
      <c r="MG266" s="405"/>
      <c r="MM266" s="83"/>
      <c r="MU266" s="405"/>
      <c r="NA266" s="83"/>
    </row>
    <row r="267">
      <c r="A267" s="380"/>
      <c r="B267" s="380"/>
      <c r="C267" s="380"/>
      <c r="D267" s="380"/>
      <c r="E267" s="380"/>
      <c r="F267" s="380"/>
      <c r="G267" s="380"/>
      <c r="H267" s="380"/>
      <c r="I267" s="403"/>
      <c r="J267" s="380"/>
      <c r="K267" s="380"/>
      <c r="L267" s="380"/>
      <c r="M267" s="380"/>
      <c r="N267" s="380"/>
      <c r="O267" s="404"/>
      <c r="P267" s="380"/>
      <c r="Q267" s="380"/>
      <c r="R267" s="380"/>
      <c r="S267" s="380"/>
      <c r="T267" s="380"/>
      <c r="U267" s="380"/>
      <c r="V267" s="380"/>
      <c r="W267" s="403"/>
      <c r="X267" s="380"/>
      <c r="Y267" s="380"/>
      <c r="Z267" s="380"/>
      <c r="AA267" s="380"/>
      <c r="AB267" s="380"/>
      <c r="AC267" s="404"/>
      <c r="AD267" s="380"/>
      <c r="AE267" s="380"/>
      <c r="AF267" s="380"/>
      <c r="AG267" s="380"/>
      <c r="AH267" s="380"/>
      <c r="AI267" s="380"/>
      <c r="AJ267" s="380"/>
      <c r="AK267" s="403"/>
      <c r="AL267" s="380"/>
      <c r="AM267" s="380"/>
      <c r="AN267" s="380"/>
      <c r="AO267" s="380"/>
      <c r="AP267" s="380"/>
      <c r="AQ267" s="404"/>
      <c r="AR267" s="380"/>
      <c r="AS267" s="380"/>
      <c r="AT267" s="380"/>
      <c r="AU267" s="380"/>
      <c r="AV267" s="380"/>
      <c r="AW267" s="380"/>
      <c r="AX267" s="380"/>
      <c r="AY267" s="403"/>
      <c r="AZ267" s="380"/>
      <c r="BA267" s="380"/>
      <c r="BB267" s="380"/>
      <c r="BC267" s="380"/>
      <c r="BD267" s="380"/>
      <c r="BE267" s="404"/>
      <c r="BF267" s="380"/>
      <c r="BG267" s="380"/>
      <c r="BH267" s="380"/>
      <c r="BI267" s="380"/>
      <c r="BJ267" s="380"/>
      <c r="BK267" s="380"/>
      <c r="BL267" s="380"/>
      <c r="BM267" s="403"/>
      <c r="BS267" s="83"/>
      <c r="CA267" s="405"/>
      <c r="CG267" s="83"/>
      <c r="CO267" s="405"/>
      <c r="CU267" s="83"/>
      <c r="DC267" s="405"/>
      <c r="DI267" s="83"/>
      <c r="DQ267" s="405"/>
      <c r="DW267" s="83"/>
      <c r="EE267" s="405"/>
      <c r="EK267" s="83"/>
      <c r="ES267" s="405"/>
      <c r="EY267" s="83"/>
      <c r="FG267" s="405"/>
      <c r="FM267" s="83"/>
      <c r="FU267" s="405"/>
      <c r="GA267" s="83"/>
      <c r="GI267" s="405"/>
      <c r="GO267" s="83"/>
      <c r="GW267" s="405"/>
      <c r="HC267" s="83"/>
      <c r="HK267" s="405"/>
      <c r="HQ267" s="83"/>
      <c r="HY267" s="405"/>
      <c r="IE267" s="83"/>
      <c r="IM267" s="405"/>
      <c r="IS267" s="83"/>
      <c r="JA267" s="405"/>
      <c r="JG267" s="83"/>
      <c r="JO267" s="405"/>
      <c r="JU267" s="83"/>
      <c r="KC267" s="405"/>
      <c r="KI267" s="83"/>
      <c r="KQ267" s="405"/>
      <c r="KW267" s="83"/>
      <c r="LE267" s="405"/>
      <c r="LK267" s="83"/>
      <c r="LS267" s="405"/>
      <c r="LY267" s="83"/>
      <c r="MG267" s="405"/>
      <c r="MM267" s="83"/>
      <c r="MU267" s="405"/>
      <c r="NA267" s="83"/>
    </row>
    <row r="268">
      <c r="A268" s="380"/>
      <c r="B268" s="380"/>
      <c r="C268" s="380"/>
      <c r="D268" s="380"/>
      <c r="E268" s="380"/>
      <c r="F268" s="380"/>
      <c r="G268" s="380"/>
      <c r="H268" s="380"/>
      <c r="I268" s="403"/>
      <c r="J268" s="380"/>
      <c r="K268" s="380"/>
      <c r="L268" s="380"/>
      <c r="M268" s="380"/>
      <c r="N268" s="380"/>
      <c r="O268" s="404"/>
      <c r="P268" s="380"/>
      <c r="Q268" s="380"/>
      <c r="R268" s="380"/>
      <c r="S268" s="380"/>
      <c r="T268" s="380"/>
      <c r="U268" s="380"/>
      <c r="V268" s="380"/>
      <c r="W268" s="403"/>
      <c r="X268" s="380"/>
      <c r="Y268" s="380"/>
      <c r="Z268" s="380"/>
      <c r="AA268" s="380"/>
      <c r="AB268" s="380"/>
      <c r="AC268" s="404"/>
      <c r="AD268" s="380"/>
      <c r="AE268" s="380"/>
      <c r="AF268" s="380"/>
      <c r="AG268" s="380"/>
      <c r="AH268" s="380"/>
      <c r="AI268" s="380"/>
      <c r="AJ268" s="380"/>
      <c r="AK268" s="403"/>
      <c r="AL268" s="380"/>
      <c r="AM268" s="380"/>
      <c r="AN268" s="380"/>
      <c r="AO268" s="380"/>
      <c r="AP268" s="380"/>
      <c r="AQ268" s="404"/>
      <c r="AR268" s="380"/>
      <c r="AS268" s="380"/>
      <c r="AT268" s="380"/>
      <c r="AU268" s="380"/>
      <c r="AV268" s="380"/>
      <c r="AW268" s="380"/>
      <c r="AX268" s="380"/>
      <c r="AY268" s="403"/>
      <c r="AZ268" s="380"/>
      <c r="BA268" s="380"/>
      <c r="BB268" s="380"/>
      <c r="BC268" s="380"/>
      <c r="BD268" s="380"/>
      <c r="BE268" s="404"/>
      <c r="BF268" s="380"/>
      <c r="BG268" s="380"/>
      <c r="BH268" s="380"/>
      <c r="BI268" s="380"/>
      <c r="BJ268" s="380"/>
      <c r="BK268" s="380"/>
      <c r="BL268" s="380"/>
      <c r="BM268" s="403"/>
      <c r="BS268" s="83"/>
      <c r="CA268" s="405"/>
      <c r="CG268" s="83"/>
      <c r="CO268" s="405"/>
      <c r="CU268" s="83"/>
      <c r="DC268" s="405"/>
      <c r="DI268" s="83"/>
      <c r="DQ268" s="405"/>
      <c r="DW268" s="83"/>
      <c r="EE268" s="405"/>
      <c r="EK268" s="83"/>
      <c r="ES268" s="405"/>
      <c r="EY268" s="83"/>
      <c r="FG268" s="405"/>
      <c r="FM268" s="83"/>
      <c r="FU268" s="405"/>
      <c r="GA268" s="83"/>
      <c r="GI268" s="405"/>
      <c r="GO268" s="83"/>
      <c r="GW268" s="405"/>
      <c r="HC268" s="83"/>
      <c r="HK268" s="405"/>
      <c r="HQ268" s="83"/>
      <c r="HY268" s="405"/>
      <c r="IE268" s="83"/>
      <c r="IM268" s="405"/>
      <c r="IS268" s="83"/>
      <c r="JA268" s="405"/>
      <c r="JG268" s="83"/>
      <c r="JO268" s="405"/>
      <c r="JU268" s="83"/>
      <c r="KC268" s="405"/>
      <c r="KI268" s="83"/>
      <c r="KQ268" s="405"/>
      <c r="KW268" s="83"/>
      <c r="LE268" s="405"/>
      <c r="LK268" s="83"/>
      <c r="LS268" s="405"/>
      <c r="LY268" s="83"/>
      <c r="MG268" s="405"/>
      <c r="MM268" s="83"/>
      <c r="MU268" s="405"/>
      <c r="NA268" s="83"/>
    </row>
    <row r="269">
      <c r="A269" s="380"/>
      <c r="B269" s="380"/>
      <c r="C269" s="380"/>
      <c r="D269" s="380"/>
      <c r="E269" s="380"/>
      <c r="F269" s="380"/>
      <c r="G269" s="380"/>
      <c r="H269" s="380"/>
      <c r="I269" s="403"/>
      <c r="J269" s="380"/>
      <c r="K269" s="380"/>
      <c r="L269" s="380"/>
      <c r="M269" s="380"/>
      <c r="N269" s="380"/>
      <c r="O269" s="404"/>
      <c r="P269" s="380"/>
      <c r="Q269" s="380"/>
      <c r="R269" s="380"/>
      <c r="S269" s="380"/>
      <c r="T269" s="380"/>
      <c r="U269" s="380"/>
      <c r="V269" s="380"/>
      <c r="W269" s="403"/>
      <c r="X269" s="380"/>
      <c r="Y269" s="380"/>
      <c r="Z269" s="380"/>
      <c r="AA269" s="380"/>
      <c r="AB269" s="380"/>
      <c r="AC269" s="404"/>
      <c r="AD269" s="380"/>
      <c r="AE269" s="380"/>
      <c r="AF269" s="380"/>
      <c r="AG269" s="380"/>
      <c r="AH269" s="380"/>
      <c r="AI269" s="380"/>
      <c r="AJ269" s="380"/>
      <c r="AK269" s="403"/>
      <c r="AL269" s="380"/>
      <c r="AM269" s="380"/>
      <c r="AN269" s="380"/>
      <c r="AO269" s="380"/>
      <c r="AP269" s="380"/>
      <c r="AQ269" s="404"/>
      <c r="AR269" s="380"/>
      <c r="AS269" s="380"/>
      <c r="AT269" s="380"/>
      <c r="AU269" s="380"/>
      <c r="AV269" s="380"/>
      <c r="AW269" s="380"/>
      <c r="AX269" s="380"/>
      <c r="AY269" s="403"/>
      <c r="AZ269" s="380"/>
      <c r="BA269" s="380"/>
      <c r="BB269" s="380"/>
      <c r="BC269" s="380"/>
      <c r="BD269" s="380"/>
      <c r="BE269" s="404"/>
      <c r="BF269" s="380"/>
      <c r="BG269" s="380"/>
      <c r="BH269" s="380"/>
      <c r="BI269" s="380"/>
      <c r="BJ269" s="380"/>
      <c r="BK269" s="380"/>
      <c r="BL269" s="380"/>
      <c r="BM269" s="403"/>
      <c r="BS269" s="83"/>
      <c r="CA269" s="405"/>
      <c r="CG269" s="83"/>
      <c r="CO269" s="405"/>
      <c r="CU269" s="83"/>
      <c r="DC269" s="405"/>
      <c r="DI269" s="83"/>
      <c r="DQ269" s="405"/>
      <c r="DW269" s="83"/>
      <c r="EE269" s="405"/>
      <c r="EK269" s="83"/>
      <c r="ES269" s="405"/>
      <c r="EY269" s="83"/>
      <c r="FG269" s="405"/>
      <c r="FM269" s="83"/>
      <c r="FU269" s="405"/>
      <c r="GA269" s="83"/>
      <c r="GI269" s="405"/>
      <c r="GO269" s="83"/>
      <c r="GW269" s="405"/>
      <c r="HC269" s="83"/>
      <c r="HK269" s="405"/>
      <c r="HQ269" s="83"/>
      <c r="HY269" s="405"/>
      <c r="IE269" s="83"/>
      <c r="IM269" s="405"/>
      <c r="IS269" s="83"/>
      <c r="JA269" s="405"/>
      <c r="JG269" s="83"/>
      <c r="JO269" s="405"/>
      <c r="JU269" s="83"/>
      <c r="KC269" s="405"/>
      <c r="KI269" s="83"/>
      <c r="KQ269" s="405"/>
      <c r="KW269" s="83"/>
      <c r="LE269" s="405"/>
      <c r="LK269" s="83"/>
      <c r="LS269" s="405"/>
      <c r="LY269" s="83"/>
      <c r="MG269" s="405"/>
      <c r="MM269" s="83"/>
      <c r="MU269" s="405"/>
      <c r="NA269" s="83"/>
    </row>
    <row r="270">
      <c r="A270" s="380"/>
      <c r="B270" s="380"/>
      <c r="C270" s="380"/>
      <c r="D270" s="380"/>
      <c r="E270" s="380"/>
      <c r="F270" s="380"/>
      <c r="G270" s="380"/>
      <c r="H270" s="380"/>
      <c r="I270" s="403"/>
      <c r="J270" s="380"/>
      <c r="K270" s="380"/>
      <c r="L270" s="380"/>
      <c r="M270" s="380"/>
      <c r="N270" s="380"/>
      <c r="O270" s="404"/>
      <c r="P270" s="380"/>
      <c r="Q270" s="380"/>
      <c r="R270" s="380"/>
      <c r="S270" s="380"/>
      <c r="T270" s="380"/>
      <c r="U270" s="380"/>
      <c r="V270" s="380"/>
      <c r="W270" s="403"/>
      <c r="X270" s="380"/>
      <c r="Y270" s="380"/>
      <c r="Z270" s="380"/>
      <c r="AA270" s="380"/>
      <c r="AB270" s="380"/>
      <c r="AC270" s="404"/>
      <c r="AD270" s="380"/>
      <c r="AE270" s="380"/>
      <c r="AF270" s="380"/>
      <c r="AG270" s="380"/>
      <c r="AH270" s="380"/>
      <c r="AI270" s="380"/>
      <c r="AJ270" s="380"/>
      <c r="AK270" s="403"/>
      <c r="AL270" s="380"/>
      <c r="AM270" s="380"/>
      <c r="AN270" s="380"/>
      <c r="AO270" s="380"/>
      <c r="AP270" s="380"/>
      <c r="AQ270" s="404"/>
      <c r="AR270" s="380"/>
      <c r="AS270" s="380"/>
      <c r="AT270" s="380"/>
      <c r="AU270" s="380"/>
      <c r="AV270" s="380"/>
      <c r="AW270" s="380"/>
      <c r="AX270" s="380"/>
      <c r="AY270" s="403"/>
      <c r="AZ270" s="380"/>
      <c r="BA270" s="380"/>
      <c r="BB270" s="380"/>
      <c r="BC270" s="380"/>
      <c r="BD270" s="380"/>
      <c r="BE270" s="404"/>
      <c r="BF270" s="380"/>
      <c r="BG270" s="380"/>
      <c r="BH270" s="380"/>
      <c r="BI270" s="380"/>
      <c r="BJ270" s="380"/>
      <c r="BK270" s="380"/>
      <c r="BL270" s="380"/>
      <c r="BM270" s="403"/>
      <c r="BS270" s="83"/>
      <c r="CA270" s="405"/>
      <c r="CG270" s="83"/>
      <c r="CO270" s="405"/>
      <c r="CU270" s="83"/>
      <c r="DC270" s="405"/>
      <c r="DI270" s="83"/>
      <c r="DQ270" s="405"/>
      <c r="DW270" s="83"/>
      <c r="EE270" s="405"/>
      <c r="EK270" s="83"/>
      <c r="ES270" s="405"/>
      <c r="EY270" s="83"/>
      <c r="FG270" s="405"/>
      <c r="FM270" s="83"/>
      <c r="FU270" s="405"/>
      <c r="GA270" s="83"/>
      <c r="GI270" s="405"/>
      <c r="GO270" s="83"/>
      <c r="GW270" s="405"/>
      <c r="HC270" s="83"/>
      <c r="HK270" s="405"/>
      <c r="HQ270" s="83"/>
      <c r="HY270" s="405"/>
      <c r="IE270" s="83"/>
      <c r="IM270" s="405"/>
      <c r="IS270" s="83"/>
      <c r="JA270" s="405"/>
      <c r="JG270" s="83"/>
      <c r="JO270" s="405"/>
      <c r="JU270" s="83"/>
      <c r="KC270" s="405"/>
      <c r="KI270" s="83"/>
      <c r="KQ270" s="405"/>
      <c r="KW270" s="83"/>
      <c r="LE270" s="405"/>
      <c r="LK270" s="83"/>
      <c r="LS270" s="405"/>
      <c r="LY270" s="83"/>
      <c r="MG270" s="405"/>
      <c r="MM270" s="83"/>
      <c r="MU270" s="405"/>
      <c r="NA270" s="83"/>
    </row>
    <row r="271">
      <c r="A271" s="380"/>
      <c r="B271" s="380"/>
      <c r="C271" s="380"/>
      <c r="D271" s="380"/>
      <c r="E271" s="380"/>
      <c r="F271" s="380"/>
      <c r="G271" s="380"/>
      <c r="H271" s="380"/>
      <c r="I271" s="403"/>
      <c r="J271" s="380"/>
      <c r="K271" s="380"/>
      <c r="L271" s="380"/>
      <c r="M271" s="380"/>
      <c r="N271" s="380"/>
      <c r="O271" s="404"/>
      <c r="P271" s="380"/>
      <c r="Q271" s="380"/>
      <c r="R271" s="380"/>
      <c r="S271" s="380"/>
      <c r="T271" s="380"/>
      <c r="U271" s="380"/>
      <c r="V271" s="380"/>
      <c r="W271" s="403"/>
      <c r="X271" s="380"/>
      <c r="Y271" s="380"/>
      <c r="Z271" s="380"/>
      <c r="AA271" s="380"/>
      <c r="AB271" s="380"/>
      <c r="AC271" s="404"/>
      <c r="AD271" s="380"/>
      <c r="AE271" s="380"/>
      <c r="AF271" s="380"/>
      <c r="AG271" s="380"/>
      <c r="AH271" s="380"/>
      <c r="AI271" s="380"/>
      <c r="AJ271" s="380"/>
      <c r="AK271" s="403"/>
      <c r="AL271" s="380"/>
      <c r="AM271" s="380"/>
      <c r="AN271" s="380"/>
      <c r="AO271" s="380"/>
      <c r="AP271" s="380"/>
      <c r="AQ271" s="404"/>
      <c r="AR271" s="380"/>
      <c r="AS271" s="380"/>
      <c r="AT271" s="380"/>
      <c r="AU271" s="380"/>
      <c r="AV271" s="380"/>
      <c r="AW271" s="380"/>
      <c r="AX271" s="380"/>
      <c r="AY271" s="403"/>
      <c r="AZ271" s="380"/>
      <c r="BA271" s="380"/>
      <c r="BB271" s="380"/>
      <c r="BC271" s="380"/>
      <c r="BD271" s="380"/>
      <c r="BE271" s="404"/>
      <c r="BF271" s="380"/>
      <c r="BG271" s="380"/>
      <c r="BH271" s="380"/>
      <c r="BI271" s="380"/>
      <c r="BJ271" s="380"/>
      <c r="BK271" s="380"/>
      <c r="BL271" s="380"/>
      <c r="BM271" s="403"/>
      <c r="BS271" s="83"/>
      <c r="CA271" s="405"/>
      <c r="CG271" s="83"/>
      <c r="CO271" s="405"/>
      <c r="CU271" s="83"/>
      <c r="DC271" s="405"/>
      <c r="DI271" s="83"/>
      <c r="DQ271" s="405"/>
      <c r="DW271" s="83"/>
      <c r="EE271" s="405"/>
      <c r="EK271" s="83"/>
      <c r="ES271" s="405"/>
      <c r="EY271" s="83"/>
      <c r="FG271" s="405"/>
      <c r="FM271" s="83"/>
      <c r="FU271" s="405"/>
      <c r="GA271" s="83"/>
      <c r="GI271" s="405"/>
      <c r="GO271" s="83"/>
      <c r="GW271" s="405"/>
      <c r="HC271" s="83"/>
      <c r="HK271" s="405"/>
      <c r="HQ271" s="83"/>
      <c r="HY271" s="405"/>
      <c r="IE271" s="83"/>
      <c r="IM271" s="405"/>
      <c r="IS271" s="83"/>
      <c r="JA271" s="405"/>
      <c r="JG271" s="83"/>
      <c r="JO271" s="405"/>
      <c r="JU271" s="83"/>
      <c r="KC271" s="405"/>
      <c r="KI271" s="83"/>
      <c r="KQ271" s="405"/>
      <c r="KW271" s="83"/>
      <c r="LE271" s="405"/>
      <c r="LK271" s="83"/>
      <c r="LS271" s="405"/>
      <c r="LY271" s="83"/>
      <c r="MG271" s="405"/>
      <c r="MM271" s="83"/>
      <c r="MU271" s="405"/>
      <c r="NA271" s="83"/>
    </row>
    <row r="272">
      <c r="A272" s="380"/>
      <c r="B272" s="380"/>
      <c r="C272" s="380"/>
      <c r="D272" s="380"/>
      <c r="E272" s="380"/>
      <c r="F272" s="380"/>
      <c r="G272" s="380"/>
      <c r="H272" s="380"/>
      <c r="I272" s="403"/>
      <c r="J272" s="380"/>
      <c r="K272" s="380"/>
      <c r="L272" s="380"/>
      <c r="M272" s="380"/>
      <c r="N272" s="380"/>
      <c r="O272" s="404"/>
      <c r="P272" s="380"/>
      <c r="Q272" s="380"/>
      <c r="R272" s="380"/>
      <c r="S272" s="380"/>
      <c r="T272" s="380"/>
      <c r="U272" s="380"/>
      <c r="V272" s="380"/>
      <c r="W272" s="403"/>
      <c r="X272" s="380"/>
      <c r="Y272" s="380"/>
      <c r="Z272" s="380"/>
      <c r="AA272" s="380"/>
      <c r="AB272" s="380"/>
      <c r="AC272" s="404"/>
      <c r="AD272" s="380"/>
      <c r="AE272" s="380"/>
      <c r="AF272" s="380"/>
      <c r="AG272" s="380"/>
      <c r="AH272" s="380"/>
      <c r="AI272" s="380"/>
      <c r="AJ272" s="380"/>
      <c r="AK272" s="403"/>
      <c r="AL272" s="380"/>
      <c r="AM272" s="380"/>
      <c r="AN272" s="380"/>
      <c r="AO272" s="380"/>
      <c r="AP272" s="380"/>
      <c r="AQ272" s="404"/>
      <c r="AR272" s="380"/>
      <c r="AS272" s="380"/>
      <c r="AT272" s="380"/>
      <c r="AU272" s="380"/>
      <c r="AV272" s="380"/>
      <c r="AW272" s="380"/>
      <c r="AX272" s="380"/>
      <c r="AY272" s="403"/>
      <c r="AZ272" s="380"/>
      <c r="BA272" s="380"/>
      <c r="BB272" s="380"/>
      <c r="BC272" s="380"/>
      <c r="BD272" s="380"/>
      <c r="BE272" s="404"/>
      <c r="BF272" s="380"/>
      <c r="BG272" s="380"/>
      <c r="BH272" s="380"/>
      <c r="BI272" s="380"/>
      <c r="BJ272" s="380"/>
      <c r="BK272" s="380"/>
      <c r="BL272" s="380"/>
      <c r="BM272" s="403"/>
      <c r="BS272" s="83"/>
      <c r="CA272" s="405"/>
      <c r="CG272" s="83"/>
      <c r="CO272" s="405"/>
      <c r="CU272" s="83"/>
      <c r="DC272" s="405"/>
      <c r="DI272" s="83"/>
      <c r="DQ272" s="405"/>
      <c r="DW272" s="83"/>
      <c r="EE272" s="405"/>
      <c r="EK272" s="83"/>
      <c r="ES272" s="405"/>
      <c r="EY272" s="83"/>
      <c r="FG272" s="405"/>
      <c r="FM272" s="83"/>
      <c r="FU272" s="405"/>
      <c r="GA272" s="83"/>
      <c r="GI272" s="405"/>
      <c r="GO272" s="83"/>
      <c r="GW272" s="405"/>
      <c r="HC272" s="83"/>
      <c r="HK272" s="405"/>
      <c r="HQ272" s="83"/>
      <c r="HY272" s="405"/>
      <c r="IE272" s="83"/>
      <c r="IM272" s="405"/>
      <c r="IS272" s="83"/>
      <c r="JA272" s="405"/>
      <c r="JG272" s="83"/>
      <c r="JO272" s="405"/>
      <c r="JU272" s="83"/>
      <c r="KC272" s="405"/>
      <c r="KI272" s="83"/>
      <c r="KQ272" s="405"/>
      <c r="KW272" s="83"/>
      <c r="LE272" s="405"/>
      <c r="LK272" s="83"/>
      <c r="LS272" s="405"/>
      <c r="LY272" s="83"/>
      <c r="MG272" s="405"/>
      <c r="MM272" s="83"/>
      <c r="MU272" s="405"/>
      <c r="NA272" s="83"/>
    </row>
    <row r="273">
      <c r="A273" s="380"/>
      <c r="B273" s="380"/>
      <c r="C273" s="380"/>
      <c r="D273" s="380"/>
      <c r="E273" s="380"/>
      <c r="F273" s="380"/>
      <c r="G273" s="380"/>
      <c r="H273" s="380"/>
      <c r="I273" s="403"/>
      <c r="J273" s="380"/>
      <c r="K273" s="380"/>
      <c r="L273" s="380"/>
      <c r="M273" s="380"/>
      <c r="N273" s="380"/>
      <c r="O273" s="404"/>
      <c r="P273" s="380"/>
      <c r="Q273" s="380"/>
      <c r="R273" s="380"/>
      <c r="S273" s="380"/>
      <c r="T273" s="380"/>
      <c r="U273" s="380"/>
      <c r="V273" s="380"/>
      <c r="W273" s="403"/>
      <c r="X273" s="380"/>
      <c r="Y273" s="380"/>
      <c r="Z273" s="380"/>
      <c r="AA273" s="380"/>
      <c r="AB273" s="380"/>
      <c r="AC273" s="404"/>
      <c r="AD273" s="380"/>
      <c r="AE273" s="380"/>
      <c r="AF273" s="380"/>
      <c r="AG273" s="380"/>
      <c r="AH273" s="380"/>
      <c r="AI273" s="380"/>
      <c r="AJ273" s="380"/>
      <c r="AK273" s="403"/>
      <c r="AL273" s="380"/>
      <c r="AM273" s="380"/>
      <c r="AN273" s="380"/>
      <c r="AO273" s="380"/>
      <c r="AP273" s="380"/>
      <c r="AQ273" s="404"/>
      <c r="AR273" s="380"/>
      <c r="AS273" s="380"/>
      <c r="AT273" s="380"/>
      <c r="AU273" s="380"/>
      <c r="AV273" s="380"/>
      <c r="AW273" s="380"/>
      <c r="AX273" s="380"/>
      <c r="AY273" s="403"/>
      <c r="AZ273" s="380"/>
      <c r="BA273" s="380"/>
      <c r="BB273" s="380"/>
      <c r="BC273" s="380"/>
      <c r="BD273" s="380"/>
      <c r="BE273" s="404"/>
      <c r="BF273" s="380"/>
      <c r="BG273" s="380"/>
      <c r="BH273" s="380"/>
      <c r="BI273" s="380"/>
      <c r="BJ273" s="380"/>
      <c r="BK273" s="380"/>
      <c r="BL273" s="380"/>
      <c r="BM273" s="403"/>
      <c r="BS273" s="83"/>
      <c r="CA273" s="405"/>
      <c r="CG273" s="83"/>
      <c r="CO273" s="405"/>
      <c r="CU273" s="83"/>
      <c r="DC273" s="405"/>
      <c r="DI273" s="83"/>
      <c r="DQ273" s="405"/>
      <c r="DW273" s="83"/>
      <c r="EE273" s="405"/>
      <c r="EK273" s="83"/>
      <c r="ES273" s="405"/>
      <c r="EY273" s="83"/>
      <c r="FG273" s="405"/>
      <c r="FM273" s="83"/>
      <c r="FU273" s="405"/>
      <c r="GA273" s="83"/>
      <c r="GI273" s="405"/>
      <c r="GO273" s="83"/>
      <c r="GW273" s="405"/>
      <c r="HC273" s="83"/>
      <c r="HK273" s="405"/>
      <c r="HQ273" s="83"/>
      <c r="HY273" s="405"/>
      <c r="IE273" s="83"/>
      <c r="IM273" s="405"/>
      <c r="IS273" s="83"/>
      <c r="JA273" s="405"/>
      <c r="JG273" s="83"/>
      <c r="JO273" s="405"/>
      <c r="JU273" s="83"/>
      <c r="KC273" s="405"/>
      <c r="KI273" s="83"/>
      <c r="KQ273" s="405"/>
      <c r="KW273" s="83"/>
      <c r="LE273" s="405"/>
      <c r="LK273" s="83"/>
      <c r="LS273" s="405"/>
      <c r="LY273" s="83"/>
      <c r="MG273" s="405"/>
      <c r="MM273" s="83"/>
      <c r="MU273" s="405"/>
      <c r="NA273" s="83"/>
    </row>
    <row r="274">
      <c r="A274" s="380"/>
      <c r="B274" s="380"/>
      <c r="C274" s="380"/>
      <c r="D274" s="380"/>
      <c r="E274" s="380"/>
      <c r="F274" s="380"/>
      <c r="G274" s="380"/>
      <c r="H274" s="380"/>
      <c r="I274" s="403"/>
      <c r="J274" s="380"/>
      <c r="K274" s="380"/>
      <c r="L274" s="380"/>
      <c r="M274" s="380"/>
      <c r="N274" s="380"/>
      <c r="O274" s="404"/>
      <c r="P274" s="380"/>
      <c r="Q274" s="380"/>
      <c r="R274" s="380"/>
      <c r="S274" s="380"/>
      <c r="T274" s="380"/>
      <c r="U274" s="380"/>
      <c r="V274" s="380"/>
      <c r="W274" s="403"/>
      <c r="X274" s="380"/>
      <c r="Y274" s="380"/>
      <c r="Z274" s="380"/>
      <c r="AA274" s="380"/>
      <c r="AB274" s="380"/>
      <c r="AC274" s="404"/>
      <c r="AD274" s="380"/>
      <c r="AE274" s="380"/>
      <c r="AF274" s="380"/>
      <c r="AG274" s="380"/>
      <c r="AH274" s="380"/>
      <c r="AI274" s="380"/>
      <c r="AJ274" s="380"/>
      <c r="AK274" s="403"/>
      <c r="AL274" s="380"/>
      <c r="AM274" s="380"/>
      <c r="AN274" s="380"/>
      <c r="AO274" s="380"/>
      <c r="AP274" s="380"/>
      <c r="AQ274" s="404"/>
      <c r="AR274" s="380"/>
      <c r="AS274" s="380"/>
      <c r="AT274" s="380"/>
      <c r="AU274" s="380"/>
      <c r="AV274" s="380"/>
      <c r="AW274" s="380"/>
      <c r="AX274" s="380"/>
      <c r="AY274" s="403"/>
      <c r="AZ274" s="380"/>
      <c r="BA274" s="380"/>
      <c r="BB274" s="380"/>
      <c r="BC274" s="380"/>
      <c r="BD274" s="380"/>
      <c r="BE274" s="404"/>
      <c r="BF274" s="380"/>
      <c r="BG274" s="380"/>
      <c r="BH274" s="380"/>
      <c r="BI274" s="380"/>
      <c r="BJ274" s="380"/>
      <c r="BK274" s="380"/>
      <c r="BL274" s="380"/>
      <c r="BM274" s="403"/>
      <c r="BS274" s="83"/>
      <c r="CA274" s="405"/>
      <c r="CG274" s="83"/>
      <c r="CO274" s="405"/>
      <c r="CU274" s="83"/>
      <c r="DC274" s="405"/>
      <c r="DI274" s="83"/>
      <c r="DQ274" s="405"/>
      <c r="DW274" s="83"/>
      <c r="EE274" s="405"/>
      <c r="EK274" s="83"/>
      <c r="ES274" s="405"/>
      <c r="EY274" s="83"/>
      <c r="FG274" s="405"/>
      <c r="FM274" s="83"/>
      <c r="FU274" s="405"/>
      <c r="GA274" s="83"/>
      <c r="GI274" s="405"/>
      <c r="GO274" s="83"/>
      <c r="GW274" s="405"/>
      <c r="HC274" s="83"/>
      <c r="HK274" s="405"/>
      <c r="HQ274" s="83"/>
      <c r="HY274" s="405"/>
      <c r="IE274" s="83"/>
      <c r="IM274" s="405"/>
      <c r="IS274" s="83"/>
      <c r="JA274" s="405"/>
      <c r="JG274" s="83"/>
      <c r="JO274" s="405"/>
      <c r="JU274" s="83"/>
      <c r="KC274" s="405"/>
      <c r="KI274" s="83"/>
      <c r="KQ274" s="405"/>
      <c r="KW274" s="83"/>
      <c r="LE274" s="405"/>
      <c r="LK274" s="83"/>
      <c r="LS274" s="405"/>
      <c r="LY274" s="83"/>
      <c r="MG274" s="405"/>
      <c r="MM274" s="83"/>
      <c r="MU274" s="405"/>
      <c r="NA274" s="83"/>
    </row>
    <row r="275">
      <c r="A275" s="380"/>
      <c r="B275" s="380"/>
      <c r="C275" s="380"/>
      <c r="D275" s="380"/>
      <c r="E275" s="380"/>
      <c r="F275" s="380"/>
      <c r="G275" s="380"/>
      <c r="H275" s="380"/>
      <c r="I275" s="403"/>
      <c r="J275" s="380"/>
      <c r="K275" s="380"/>
      <c r="L275" s="380"/>
      <c r="M275" s="380"/>
      <c r="N275" s="380"/>
      <c r="O275" s="404"/>
      <c r="P275" s="380"/>
      <c r="Q275" s="380"/>
      <c r="R275" s="380"/>
      <c r="S275" s="380"/>
      <c r="T275" s="380"/>
      <c r="U275" s="380"/>
      <c r="V275" s="380"/>
      <c r="W275" s="403"/>
      <c r="X275" s="380"/>
      <c r="Y275" s="380"/>
      <c r="Z275" s="380"/>
      <c r="AA275" s="380"/>
      <c r="AB275" s="380"/>
      <c r="AC275" s="404"/>
      <c r="AD275" s="380"/>
      <c r="AE275" s="380"/>
      <c r="AF275" s="380"/>
      <c r="AG275" s="380"/>
      <c r="AH275" s="380"/>
      <c r="AI275" s="380"/>
      <c r="AJ275" s="380"/>
      <c r="AK275" s="403"/>
      <c r="AL275" s="380"/>
      <c r="AM275" s="380"/>
      <c r="AN275" s="380"/>
      <c r="AO275" s="380"/>
      <c r="AP275" s="380"/>
      <c r="AQ275" s="404"/>
      <c r="AR275" s="380"/>
      <c r="AS275" s="380"/>
      <c r="AT275" s="380"/>
      <c r="AU275" s="380"/>
      <c r="AV275" s="380"/>
      <c r="AW275" s="380"/>
      <c r="AX275" s="380"/>
      <c r="AY275" s="403"/>
      <c r="AZ275" s="380"/>
      <c r="BA275" s="380"/>
      <c r="BB275" s="380"/>
      <c r="BC275" s="380"/>
      <c r="BD275" s="380"/>
      <c r="BE275" s="404"/>
      <c r="BF275" s="380"/>
      <c r="BG275" s="380"/>
      <c r="BH275" s="380"/>
      <c r="BI275" s="380"/>
      <c r="BJ275" s="380"/>
      <c r="BK275" s="380"/>
      <c r="BL275" s="380"/>
      <c r="BM275" s="403"/>
      <c r="BS275" s="83"/>
      <c r="CA275" s="405"/>
      <c r="CG275" s="83"/>
      <c r="CO275" s="405"/>
      <c r="CU275" s="83"/>
      <c r="DC275" s="405"/>
      <c r="DI275" s="83"/>
      <c r="DQ275" s="405"/>
      <c r="DW275" s="83"/>
      <c r="EE275" s="405"/>
      <c r="EK275" s="83"/>
      <c r="ES275" s="405"/>
      <c r="EY275" s="83"/>
      <c r="FG275" s="405"/>
      <c r="FM275" s="83"/>
      <c r="FU275" s="405"/>
      <c r="GA275" s="83"/>
      <c r="GI275" s="405"/>
      <c r="GO275" s="83"/>
      <c r="GW275" s="405"/>
      <c r="HC275" s="83"/>
      <c r="HK275" s="405"/>
      <c r="HQ275" s="83"/>
      <c r="HY275" s="405"/>
      <c r="IE275" s="83"/>
      <c r="IM275" s="405"/>
      <c r="IS275" s="83"/>
      <c r="JA275" s="405"/>
      <c r="JG275" s="83"/>
      <c r="JO275" s="405"/>
      <c r="JU275" s="83"/>
      <c r="KC275" s="405"/>
      <c r="KI275" s="83"/>
      <c r="KQ275" s="405"/>
      <c r="KW275" s="83"/>
      <c r="LE275" s="405"/>
      <c r="LK275" s="83"/>
      <c r="LS275" s="405"/>
      <c r="LY275" s="83"/>
      <c r="MG275" s="405"/>
      <c r="MM275" s="83"/>
      <c r="MU275" s="405"/>
      <c r="NA275" s="83"/>
    </row>
    <row r="276">
      <c r="A276" s="380"/>
      <c r="B276" s="380"/>
      <c r="C276" s="380"/>
      <c r="D276" s="380"/>
      <c r="E276" s="380"/>
      <c r="F276" s="380"/>
      <c r="G276" s="380"/>
      <c r="H276" s="380"/>
      <c r="I276" s="403"/>
      <c r="J276" s="380"/>
      <c r="K276" s="380"/>
      <c r="L276" s="380"/>
      <c r="M276" s="380"/>
      <c r="N276" s="380"/>
      <c r="O276" s="404"/>
      <c r="P276" s="380"/>
      <c r="Q276" s="380"/>
      <c r="R276" s="380"/>
      <c r="S276" s="380"/>
      <c r="T276" s="380"/>
      <c r="U276" s="380"/>
      <c r="V276" s="380"/>
      <c r="W276" s="403"/>
      <c r="X276" s="380"/>
      <c r="Y276" s="380"/>
      <c r="Z276" s="380"/>
      <c r="AA276" s="380"/>
      <c r="AB276" s="380"/>
      <c r="AC276" s="404"/>
      <c r="AD276" s="380"/>
      <c r="AE276" s="380"/>
      <c r="AF276" s="380"/>
      <c r="AG276" s="380"/>
      <c r="AH276" s="380"/>
      <c r="AI276" s="380"/>
      <c r="AJ276" s="380"/>
      <c r="AK276" s="403"/>
      <c r="AL276" s="380"/>
      <c r="AM276" s="380"/>
      <c r="AN276" s="380"/>
      <c r="AO276" s="380"/>
      <c r="AP276" s="380"/>
      <c r="AQ276" s="404"/>
      <c r="AR276" s="380"/>
      <c r="AS276" s="380"/>
      <c r="AT276" s="380"/>
      <c r="AU276" s="380"/>
      <c r="AV276" s="380"/>
      <c r="AW276" s="380"/>
      <c r="AX276" s="380"/>
      <c r="AY276" s="403"/>
      <c r="AZ276" s="380"/>
      <c r="BA276" s="380"/>
      <c r="BB276" s="380"/>
      <c r="BC276" s="380"/>
      <c r="BD276" s="380"/>
      <c r="BE276" s="404"/>
      <c r="BF276" s="380"/>
      <c r="BG276" s="380"/>
      <c r="BH276" s="380"/>
      <c r="BI276" s="380"/>
      <c r="BJ276" s="380"/>
      <c r="BK276" s="380"/>
      <c r="BL276" s="380"/>
      <c r="BM276" s="403"/>
      <c r="BS276" s="83"/>
      <c r="CA276" s="405"/>
      <c r="CG276" s="83"/>
      <c r="CO276" s="405"/>
      <c r="CU276" s="83"/>
      <c r="DC276" s="405"/>
      <c r="DI276" s="83"/>
      <c r="DQ276" s="405"/>
      <c r="DW276" s="83"/>
      <c r="EE276" s="405"/>
      <c r="EK276" s="83"/>
      <c r="ES276" s="405"/>
      <c r="EY276" s="83"/>
      <c r="FG276" s="405"/>
      <c r="FM276" s="83"/>
      <c r="FU276" s="405"/>
      <c r="GA276" s="83"/>
      <c r="GI276" s="405"/>
      <c r="GO276" s="83"/>
      <c r="GW276" s="405"/>
      <c r="HC276" s="83"/>
      <c r="HK276" s="405"/>
      <c r="HQ276" s="83"/>
      <c r="HY276" s="405"/>
      <c r="IE276" s="83"/>
      <c r="IM276" s="405"/>
      <c r="IS276" s="83"/>
      <c r="JA276" s="405"/>
      <c r="JG276" s="83"/>
      <c r="JO276" s="405"/>
      <c r="JU276" s="83"/>
      <c r="KC276" s="405"/>
      <c r="KI276" s="83"/>
      <c r="KQ276" s="405"/>
      <c r="KW276" s="83"/>
      <c r="LE276" s="405"/>
      <c r="LK276" s="83"/>
      <c r="LS276" s="405"/>
      <c r="LY276" s="83"/>
      <c r="MG276" s="405"/>
      <c r="MM276" s="83"/>
      <c r="MU276" s="405"/>
      <c r="NA276" s="83"/>
    </row>
    <row r="277">
      <c r="A277" s="380"/>
      <c r="B277" s="380"/>
      <c r="C277" s="380"/>
      <c r="D277" s="380"/>
      <c r="E277" s="380"/>
      <c r="F277" s="380"/>
      <c r="G277" s="380"/>
      <c r="H277" s="380"/>
      <c r="I277" s="403"/>
      <c r="J277" s="380"/>
      <c r="K277" s="380"/>
      <c r="L277" s="380"/>
      <c r="M277" s="380"/>
      <c r="N277" s="380"/>
      <c r="O277" s="404"/>
      <c r="P277" s="380"/>
      <c r="Q277" s="380"/>
      <c r="R277" s="380"/>
      <c r="S277" s="380"/>
      <c r="T277" s="380"/>
      <c r="U277" s="380"/>
      <c r="V277" s="380"/>
      <c r="W277" s="403"/>
      <c r="X277" s="380"/>
      <c r="Y277" s="380"/>
      <c r="Z277" s="380"/>
      <c r="AA277" s="380"/>
      <c r="AB277" s="380"/>
      <c r="AC277" s="404"/>
      <c r="AD277" s="380"/>
      <c r="AE277" s="380"/>
      <c r="AF277" s="380"/>
      <c r="AG277" s="380"/>
      <c r="AH277" s="380"/>
      <c r="AI277" s="380"/>
      <c r="AJ277" s="380"/>
      <c r="AK277" s="403"/>
      <c r="AL277" s="380"/>
      <c r="AM277" s="380"/>
      <c r="AN277" s="380"/>
      <c r="AO277" s="380"/>
      <c r="AP277" s="380"/>
      <c r="AQ277" s="404"/>
      <c r="AR277" s="380"/>
      <c r="AS277" s="380"/>
      <c r="AT277" s="380"/>
      <c r="AU277" s="380"/>
      <c r="AV277" s="380"/>
      <c r="AW277" s="380"/>
      <c r="AX277" s="380"/>
      <c r="AY277" s="403"/>
      <c r="AZ277" s="380"/>
      <c r="BA277" s="380"/>
      <c r="BB277" s="380"/>
      <c r="BC277" s="380"/>
      <c r="BD277" s="380"/>
      <c r="BE277" s="404"/>
      <c r="BF277" s="380"/>
      <c r="BG277" s="380"/>
      <c r="BH277" s="380"/>
      <c r="BI277" s="380"/>
      <c r="BJ277" s="380"/>
      <c r="BK277" s="380"/>
      <c r="BL277" s="380"/>
      <c r="BM277" s="403"/>
      <c r="BS277" s="83"/>
      <c r="CA277" s="405"/>
      <c r="CG277" s="83"/>
      <c r="CO277" s="405"/>
      <c r="CU277" s="83"/>
      <c r="DC277" s="405"/>
      <c r="DI277" s="83"/>
      <c r="DQ277" s="405"/>
      <c r="DW277" s="83"/>
      <c r="EE277" s="405"/>
      <c r="EK277" s="83"/>
      <c r="ES277" s="405"/>
      <c r="EY277" s="83"/>
      <c r="FG277" s="405"/>
      <c r="FM277" s="83"/>
      <c r="FU277" s="405"/>
      <c r="GA277" s="83"/>
      <c r="GI277" s="405"/>
      <c r="GO277" s="83"/>
      <c r="GW277" s="405"/>
      <c r="HC277" s="83"/>
      <c r="HK277" s="405"/>
      <c r="HQ277" s="83"/>
      <c r="HY277" s="405"/>
      <c r="IE277" s="83"/>
      <c r="IM277" s="405"/>
      <c r="IS277" s="83"/>
      <c r="JA277" s="405"/>
      <c r="JG277" s="83"/>
      <c r="JO277" s="405"/>
      <c r="JU277" s="83"/>
      <c r="KC277" s="405"/>
      <c r="KI277" s="83"/>
      <c r="KQ277" s="405"/>
      <c r="KW277" s="83"/>
      <c r="LE277" s="405"/>
      <c r="LK277" s="83"/>
      <c r="LS277" s="405"/>
      <c r="LY277" s="83"/>
      <c r="MG277" s="405"/>
      <c r="MM277" s="83"/>
      <c r="MU277" s="405"/>
      <c r="NA277" s="83"/>
    </row>
    <row r="278">
      <c r="A278" s="380"/>
      <c r="B278" s="380"/>
      <c r="C278" s="380"/>
      <c r="D278" s="380"/>
      <c r="E278" s="380"/>
      <c r="F278" s="380"/>
      <c r="G278" s="380"/>
      <c r="H278" s="380"/>
      <c r="I278" s="403"/>
      <c r="J278" s="380"/>
      <c r="K278" s="380"/>
      <c r="L278" s="380"/>
      <c r="M278" s="380"/>
      <c r="N278" s="380"/>
      <c r="O278" s="404"/>
      <c r="P278" s="380"/>
      <c r="Q278" s="380"/>
      <c r="R278" s="380"/>
      <c r="S278" s="380"/>
      <c r="T278" s="380"/>
      <c r="U278" s="380"/>
      <c r="V278" s="380"/>
      <c r="W278" s="403"/>
      <c r="X278" s="380"/>
      <c r="Y278" s="380"/>
      <c r="Z278" s="380"/>
      <c r="AA278" s="380"/>
      <c r="AB278" s="380"/>
      <c r="AC278" s="404"/>
      <c r="AD278" s="380"/>
      <c r="AE278" s="380"/>
      <c r="AF278" s="380"/>
      <c r="AG278" s="380"/>
      <c r="AH278" s="380"/>
      <c r="AI278" s="380"/>
      <c r="AJ278" s="380"/>
      <c r="AK278" s="403"/>
      <c r="AL278" s="380"/>
      <c r="AM278" s="380"/>
      <c r="AN278" s="380"/>
      <c r="AO278" s="380"/>
      <c r="AP278" s="380"/>
      <c r="AQ278" s="404"/>
      <c r="AR278" s="380"/>
      <c r="AS278" s="380"/>
      <c r="AT278" s="380"/>
      <c r="AU278" s="380"/>
      <c r="AV278" s="380"/>
      <c r="AW278" s="380"/>
      <c r="AX278" s="380"/>
      <c r="AY278" s="403"/>
      <c r="AZ278" s="380"/>
      <c r="BA278" s="380"/>
      <c r="BB278" s="380"/>
      <c r="BC278" s="380"/>
      <c r="BD278" s="380"/>
      <c r="BE278" s="404"/>
      <c r="BF278" s="380"/>
      <c r="BG278" s="380"/>
      <c r="BH278" s="380"/>
      <c r="BI278" s="380"/>
      <c r="BJ278" s="380"/>
      <c r="BK278" s="380"/>
      <c r="BL278" s="380"/>
      <c r="BM278" s="403"/>
      <c r="BS278" s="83"/>
      <c r="CA278" s="405"/>
      <c r="CG278" s="83"/>
      <c r="CO278" s="405"/>
      <c r="CU278" s="83"/>
      <c r="DC278" s="405"/>
      <c r="DI278" s="83"/>
      <c r="DQ278" s="405"/>
      <c r="DW278" s="83"/>
      <c r="EE278" s="405"/>
      <c r="EK278" s="83"/>
      <c r="ES278" s="405"/>
      <c r="EY278" s="83"/>
      <c r="FG278" s="405"/>
      <c r="FM278" s="83"/>
      <c r="FU278" s="405"/>
      <c r="GA278" s="83"/>
      <c r="GI278" s="405"/>
      <c r="GO278" s="83"/>
      <c r="GW278" s="405"/>
      <c r="HC278" s="83"/>
      <c r="HK278" s="405"/>
      <c r="HQ278" s="83"/>
      <c r="HY278" s="405"/>
      <c r="IE278" s="83"/>
      <c r="IM278" s="405"/>
      <c r="IS278" s="83"/>
      <c r="JA278" s="405"/>
      <c r="JG278" s="83"/>
      <c r="JO278" s="405"/>
      <c r="JU278" s="83"/>
      <c r="KC278" s="405"/>
      <c r="KI278" s="83"/>
      <c r="KQ278" s="405"/>
      <c r="KW278" s="83"/>
      <c r="LE278" s="405"/>
      <c r="LK278" s="83"/>
      <c r="LS278" s="405"/>
      <c r="LY278" s="83"/>
      <c r="MG278" s="405"/>
      <c r="MM278" s="83"/>
      <c r="MU278" s="405"/>
      <c r="NA278" s="83"/>
    </row>
    <row r="279">
      <c r="A279" s="380"/>
      <c r="B279" s="380"/>
      <c r="C279" s="380"/>
      <c r="D279" s="380"/>
      <c r="E279" s="380"/>
      <c r="F279" s="380"/>
      <c r="G279" s="380"/>
      <c r="H279" s="380"/>
      <c r="I279" s="403"/>
      <c r="J279" s="380"/>
      <c r="K279" s="380"/>
      <c r="L279" s="380"/>
      <c r="M279" s="380"/>
      <c r="N279" s="380"/>
      <c r="O279" s="404"/>
      <c r="P279" s="380"/>
      <c r="Q279" s="380"/>
      <c r="R279" s="380"/>
      <c r="S279" s="380"/>
      <c r="T279" s="380"/>
      <c r="U279" s="380"/>
      <c r="V279" s="380"/>
      <c r="W279" s="403"/>
      <c r="X279" s="380"/>
      <c r="Y279" s="380"/>
      <c r="Z279" s="380"/>
      <c r="AA279" s="380"/>
      <c r="AB279" s="380"/>
      <c r="AC279" s="404"/>
      <c r="AD279" s="380"/>
      <c r="AE279" s="380"/>
      <c r="AF279" s="380"/>
      <c r="AG279" s="380"/>
      <c r="AH279" s="380"/>
      <c r="AI279" s="380"/>
      <c r="AJ279" s="380"/>
      <c r="AK279" s="403"/>
      <c r="AL279" s="380"/>
      <c r="AM279" s="380"/>
      <c r="AN279" s="380"/>
      <c r="AO279" s="380"/>
      <c r="AP279" s="380"/>
      <c r="AQ279" s="404"/>
      <c r="AR279" s="380"/>
      <c r="AS279" s="380"/>
      <c r="AT279" s="380"/>
      <c r="AU279" s="380"/>
      <c r="AV279" s="380"/>
      <c r="AW279" s="380"/>
      <c r="AX279" s="380"/>
      <c r="AY279" s="403"/>
      <c r="AZ279" s="380"/>
      <c r="BA279" s="380"/>
      <c r="BB279" s="380"/>
      <c r="BC279" s="380"/>
      <c r="BD279" s="380"/>
      <c r="BE279" s="404"/>
      <c r="BF279" s="380"/>
      <c r="BG279" s="380"/>
      <c r="BH279" s="380"/>
      <c r="BI279" s="380"/>
      <c r="BJ279" s="380"/>
      <c r="BK279" s="380"/>
      <c r="BL279" s="380"/>
      <c r="BM279" s="403"/>
      <c r="BS279" s="83"/>
      <c r="CA279" s="405"/>
      <c r="CG279" s="83"/>
      <c r="CO279" s="405"/>
      <c r="CU279" s="83"/>
      <c r="DC279" s="405"/>
      <c r="DI279" s="83"/>
      <c r="DQ279" s="405"/>
      <c r="DW279" s="83"/>
      <c r="EE279" s="405"/>
      <c r="EK279" s="83"/>
      <c r="ES279" s="405"/>
      <c r="EY279" s="83"/>
      <c r="FG279" s="405"/>
      <c r="FM279" s="83"/>
      <c r="FU279" s="405"/>
      <c r="GA279" s="83"/>
      <c r="GI279" s="405"/>
      <c r="GO279" s="83"/>
      <c r="GW279" s="405"/>
      <c r="HC279" s="83"/>
      <c r="HK279" s="405"/>
      <c r="HQ279" s="83"/>
      <c r="HY279" s="405"/>
      <c r="IE279" s="83"/>
      <c r="IM279" s="405"/>
      <c r="IS279" s="83"/>
      <c r="JA279" s="405"/>
      <c r="JG279" s="83"/>
      <c r="JO279" s="405"/>
      <c r="JU279" s="83"/>
      <c r="KC279" s="405"/>
      <c r="KI279" s="83"/>
      <c r="KQ279" s="405"/>
      <c r="KW279" s="83"/>
      <c r="LE279" s="405"/>
      <c r="LK279" s="83"/>
      <c r="LS279" s="405"/>
      <c r="LY279" s="83"/>
      <c r="MG279" s="405"/>
      <c r="MM279" s="83"/>
      <c r="MU279" s="405"/>
      <c r="NA279" s="83"/>
    </row>
    <row r="280">
      <c r="A280" s="380"/>
      <c r="B280" s="380"/>
      <c r="C280" s="380"/>
      <c r="D280" s="380"/>
      <c r="E280" s="380"/>
      <c r="F280" s="380"/>
      <c r="G280" s="380"/>
      <c r="H280" s="380"/>
      <c r="I280" s="403"/>
      <c r="J280" s="380"/>
      <c r="K280" s="380"/>
      <c r="L280" s="380"/>
      <c r="M280" s="380"/>
      <c r="N280" s="380"/>
      <c r="O280" s="404"/>
      <c r="P280" s="380"/>
      <c r="Q280" s="380"/>
      <c r="R280" s="380"/>
      <c r="S280" s="380"/>
      <c r="T280" s="380"/>
      <c r="U280" s="380"/>
      <c r="V280" s="380"/>
      <c r="W280" s="403"/>
      <c r="X280" s="380"/>
      <c r="Y280" s="380"/>
      <c r="Z280" s="380"/>
      <c r="AA280" s="380"/>
      <c r="AB280" s="380"/>
      <c r="AC280" s="404"/>
      <c r="AD280" s="380"/>
      <c r="AE280" s="380"/>
      <c r="AF280" s="380"/>
      <c r="AG280" s="380"/>
      <c r="AH280" s="380"/>
      <c r="AI280" s="380"/>
      <c r="AJ280" s="380"/>
      <c r="AK280" s="403"/>
      <c r="AL280" s="380"/>
      <c r="AM280" s="380"/>
      <c r="AN280" s="380"/>
      <c r="AO280" s="380"/>
      <c r="AP280" s="380"/>
      <c r="AQ280" s="404"/>
      <c r="AR280" s="380"/>
      <c r="AS280" s="380"/>
      <c r="AT280" s="380"/>
      <c r="AU280" s="380"/>
      <c r="AV280" s="380"/>
      <c r="AW280" s="380"/>
      <c r="AX280" s="380"/>
      <c r="AY280" s="403"/>
      <c r="AZ280" s="380"/>
      <c r="BA280" s="380"/>
      <c r="BB280" s="380"/>
      <c r="BC280" s="380"/>
      <c r="BD280" s="380"/>
      <c r="BE280" s="404"/>
      <c r="BF280" s="380"/>
      <c r="BG280" s="380"/>
      <c r="BH280" s="380"/>
      <c r="BI280" s="380"/>
      <c r="BJ280" s="380"/>
      <c r="BK280" s="380"/>
      <c r="BL280" s="380"/>
      <c r="BM280" s="403"/>
      <c r="BS280" s="83"/>
      <c r="CA280" s="405"/>
      <c r="CG280" s="83"/>
      <c r="CO280" s="405"/>
      <c r="CU280" s="83"/>
      <c r="DC280" s="405"/>
      <c r="DI280" s="83"/>
      <c r="DQ280" s="405"/>
      <c r="DW280" s="83"/>
      <c r="EE280" s="405"/>
      <c r="EK280" s="83"/>
      <c r="ES280" s="405"/>
      <c r="EY280" s="83"/>
      <c r="FG280" s="405"/>
      <c r="FM280" s="83"/>
      <c r="FU280" s="405"/>
      <c r="GA280" s="83"/>
      <c r="GI280" s="405"/>
      <c r="GO280" s="83"/>
      <c r="GW280" s="405"/>
      <c r="HC280" s="83"/>
      <c r="HK280" s="405"/>
      <c r="HQ280" s="83"/>
      <c r="HY280" s="405"/>
      <c r="IE280" s="83"/>
      <c r="IM280" s="405"/>
      <c r="IS280" s="83"/>
      <c r="JA280" s="405"/>
      <c r="JG280" s="83"/>
      <c r="JO280" s="405"/>
      <c r="JU280" s="83"/>
      <c r="KC280" s="405"/>
      <c r="KI280" s="83"/>
      <c r="KQ280" s="405"/>
      <c r="KW280" s="83"/>
      <c r="LE280" s="405"/>
      <c r="LK280" s="83"/>
      <c r="LS280" s="405"/>
      <c r="LY280" s="83"/>
      <c r="MG280" s="405"/>
      <c r="MM280" s="83"/>
      <c r="MU280" s="405"/>
      <c r="NA280" s="83"/>
    </row>
    <row r="281">
      <c r="A281" s="380"/>
      <c r="B281" s="380"/>
      <c r="C281" s="380"/>
      <c r="D281" s="380"/>
      <c r="E281" s="380"/>
      <c r="F281" s="380"/>
      <c r="G281" s="380"/>
      <c r="H281" s="380"/>
      <c r="I281" s="403"/>
      <c r="J281" s="380"/>
      <c r="K281" s="380"/>
      <c r="L281" s="380"/>
      <c r="M281" s="380"/>
      <c r="N281" s="380"/>
      <c r="O281" s="404"/>
      <c r="P281" s="380"/>
      <c r="Q281" s="380"/>
      <c r="R281" s="380"/>
      <c r="S281" s="380"/>
      <c r="T281" s="380"/>
      <c r="U281" s="380"/>
      <c r="V281" s="380"/>
      <c r="W281" s="403"/>
      <c r="X281" s="380"/>
      <c r="Y281" s="380"/>
      <c r="Z281" s="380"/>
      <c r="AA281" s="380"/>
      <c r="AB281" s="380"/>
      <c r="AC281" s="404"/>
      <c r="AD281" s="380"/>
      <c r="AE281" s="380"/>
      <c r="AF281" s="380"/>
      <c r="AG281" s="380"/>
      <c r="AH281" s="380"/>
      <c r="AI281" s="380"/>
      <c r="AJ281" s="380"/>
      <c r="AK281" s="403"/>
      <c r="AL281" s="380"/>
      <c r="AM281" s="380"/>
      <c r="AN281" s="380"/>
      <c r="AO281" s="380"/>
      <c r="AP281" s="380"/>
      <c r="AQ281" s="404"/>
      <c r="AR281" s="380"/>
      <c r="AS281" s="380"/>
      <c r="AT281" s="380"/>
      <c r="AU281" s="380"/>
      <c r="AV281" s="380"/>
      <c r="AW281" s="380"/>
      <c r="AX281" s="380"/>
      <c r="AY281" s="403"/>
      <c r="AZ281" s="380"/>
      <c r="BA281" s="380"/>
      <c r="BB281" s="380"/>
      <c r="BC281" s="380"/>
      <c r="BD281" s="380"/>
      <c r="BE281" s="404"/>
      <c r="BF281" s="380"/>
      <c r="BG281" s="380"/>
      <c r="BH281" s="380"/>
      <c r="BI281" s="380"/>
      <c r="BJ281" s="380"/>
      <c r="BK281" s="380"/>
      <c r="BL281" s="380"/>
      <c r="BM281" s="403"/>
      <c r="BS281" s="83"/>
      <c r="CA281" s="405"/>
      <c r="CG281" s="83"/>
      <c r="CO281" s="405"/>
      <c r="CU281" s="83"/>
      <c r="DC281" s="405"/>
      <c r="DI281" s="83"/>
      <c r="DQ281" s="405"/>
      <c r="DW281" s="83"/>
      <c r="EE281" s="405"/>
      <c r="EK281" s="83"/>
      <c r="ES281" s="405"/>
      <c r="EY281" s="83"/>
      <c r="FG281" s="405"/>
      <c r="FM281" s="83"/>
      <c r="FU281" s="405"/>
      <c r="GA281" s="83"/>
      <c r="GI281" s="405"/>
      <c r="GO281" s="83"/>
      <c r="GW281" s="405"/>
      <c r="HC281" s="83"/>
      <c r="HK281" s="405"/>
      <c r="HQ281" s="83"/>
      <c r="HY281" s="405"/>
      <c r="IE281" s="83"/>
      <c r="IM281" s="405"/>
      <c r="IS281" s="83"/>
      <c r="JA281" s="405"/>
      <c r="JG281" s="83"/>
      <c r="JO281" s="405"/>
      <c r="JU281" s="83"/>
      <c r="KC281" s="405"/>
      <c r="KI281" s="83"/>
      <c r="KQ281" s="405"/>
      <c r="KW281" s="83"/>
      <c r="LE281" s="405"/>
      <c r="LK281" s="83"/>
      <c r="LS281" s="405"/>
      <c r="LY281" s="83"/>
      <c r="MG281" s="405"/>
      <c r="MM281" s="83"/>
      <c r="MU281" s="405"/>
      <c r="NA281" s="83"/>
    </row>
    <row r="282">
      <c r="A282" s="380"/>
      <c r="B282" s="380"/>
      <c r="C282" s="380"/>
      <c r="D282" s="380"/>
      <c r="E282" s="380"/>
      <c r="F282" s="380"/>
      <c r="G282" s="380"/>
      <c r="H282" s="380"/>
      <c r="I282" s="403"/>
      <c r="J282" s="380"/>
      <c r="K282" s="380"/>
      <c r="L282" s="380"/>
      <c r="M282" s="380"/>
      <c r="N282" s="380"/>
      <c r="O282" s="404"/>
      <c r="P282" s="380"/>
      <c r="Q282" s="380"/>
      <c r="R282" s="380"/>
      <c r="S282" s="380"/>
      <c r="T282" s="380"/>
      <c r="U282" s="380"/>
      <c r="V282" s="380"/>
      <c r="W282" s="403"/>
      <c r="X282" s="380"/>
      <c r="Y282" s="380"/>
      <c r="Z282" s="380"/>
      <c r="AA282" s="380"/>
      <c r="AB282" s="380"/>
      <c r="AC282" s="404"/>
      <c r="AD282" s="380"/>
      <c r="AE282" s="380"/>
      <c r="AF282" s="380"/>
      <c r="AG282" s="380"/>
      <c r="AH282" s="380"/>
      <c r="AI282" s="380"/>
      <c r="AJ282" s="380"/>
      <c r="AK282" s="403"/>
      <c r="AL282" s="380"/>
      <c r="AM282" s="380"/>
      <c r="AN282" s="380"/>
      <c r="AO282" s="380"/>
      <c r="AP282" s="380"/>
      <c r="AQ282" s="404"/>
      <c r="AR282" s="380"/>
      <c r="AS282" s="380"/>
      <c r="AT282" s="380"/>
      <c r="AU282" s="380"/>
      <c r="AV282" s="380"/>
      <c r="AW282" s="380"/>
      <c r="AX282" s="380"/>
      <c r="AY282" s="403"/>
      <c r="AZ282" s="380"/>
      <c r="BA282" s="380"/>
      <c r="BB282" s="380"/>
      <c r="BC282" s="380"/>
      <c r="BD282" s="380"/>
      <c r="BE282" s="404"/>
      <c r="BF282" s="380"/>
      <c r="BG282" s="380"/>
      <c r="BH282" s="380"/>
      <c r="BI282" s="380"/>
      <c r="BJ282" s="380"/>
      <c r="BK282" s="380"/>
      <c r="BL282" s="380"/>
      <c r="BM282" s="403"/>
      <c r="BS282" s="83"/>
      <c r="CA282" s="405"/>
      <c r="CG282" s="83"/>
      <c r="CO282" s="405"/>
      <c r="CU282" s="83"/>
      <c r="DC282" s="405"/>
      <c r="DI282" s="83"/>
      <c r="DQ282" s="405"/>
      <c r="DW282" s="83"/>
      <c r="EE282" s="405"/>
      <c r="EK282" s="83"/>
      <c r="ES282" s="405"/>
      <c r="EY282" s="83"/>
      <c r="FG282" s="405"/>
      <c r="FM282" s="83"/>
      <c r="FU282" s="405"/>
      <c r="GA282" s="83"/>
      <c r="GI282" s="405"/>
      <c r="GO282" s="83"/>
      <c r="GW282" s="405"/>
      <c r="HC282" s="83"/>
      <c r="HK282" s="405"/>
      <c r="HQ282" s="83"/>
      <c r="HY282" s="405"/>
      <c r="IE282" s="83"/>
      <c r="IM282" s="405"/>
      <c r="IS282" s="83"/>
      <c r="JA282" s="405"/>
      <c r="JG282" s="83"/>
      <c r="JO282" s="405"/>
      <c r="JU282" s="83"/>
      <c r="KC282" s="405"/>
      <c r="KI282" s="83"/>
      <c r="KQ282" s="405"/>
      <c r="KW282" s="83"/>
      <c r="LE282" s="405"/>
      <c r="LK282" s="83"/>
      <c r="LS282" s="405"/>
      <c r="LY282" s="83"/>
      <c r="MG282" s="405"/>
      <c r="MM282" s="83"/>
      <c r="MU282" s="405"/>
      <c r="NA282" s="83"/>
    </row>
    <row r="283">
      <c r="A283" s="380"/>
      <c r="B283" s="380"/>
      <c r="C283" s="380"/>
      <c r="D283" s="380"/>
      <c r="E283" s="380"/>
      <c r="F283" s="380"/>
      <c r="G283" s="380"/>
      <c r="H283" s="380"/>
      <c r="I283" s="403"/>
      <c r="J283" s="380"/>
      <c r="K283" s="380"/>
      <c r="L283" s="380"/>
      <c r="M283" s="380"/>
      <c r="N283" s="380"/>
      <c r="O283" s="404"/>
      <c r="P283" s="380"/>
      <c r="Q283" s="380"/>
      <c r="R283" s="380"/>
      <c r="S283" s="380"/>
      <c r="T283" s="380"/>
      <c r="U283" s="380"/>
      <c r="V283" s="380"/>
      <c r="W283" s="403"/>
      <c r="X283" s="380"/>
      <c r="Y283" s="380"/>
      <c r="Z283" s="380"/>
      <c r="AA283" s="380"/>
      <c r="AB283" s="380"/>
      <c r="AC283" s="404"/>
      <c r="AD283" s="380"/>
      <c r="AE283" s="380"/>
      <c r="AF283" s="380"/>
      <c r="AG283" s="380"/>
      <c r="AH283" s="380"/>
      <c r="AI283" s="380"/>
      <c r="AJ283" s="380"/>
      <c r="AK283" s="403"/>
      <c r="AL283" s="380"/>
      <c r="AM283" s="380"/>
      <c r="AN283" s="380"/>
      <c r="AO283" s="380"/>
      <c r="AP283" s="380"/>
      <c r="AQ283" s="404"/>
      <c r="AR283" s="380"/>
      <c r="AS283" s="380"/>
      <c r="AT283" s="380"/>
      <c r="AU283" s="380"/>
      <c r="AV283" s="380"/>
      <c r="AW283" s="380"/>
      <c r="AX283" s="380"/>
      <c r="AY283" s="403"/>
      <c r="AZ283" s="380"/>
      <c r="BA283" s="380"/>
      <c r="BB283" s="380"/>
      <c r="BC283" s="380"/>
      <c r="BD283" s="380"/>
      <c r="BE283" s="404"/>
      <c r="BF283" s="380"/>
      <c r="BG283" s="380"/>
      <c r="BH283" s="380"/>
      <c r="BI283" s="380"/>
      <c r="BJ283" s="380"/>
      <c r="BK283" s="380"/>
      <c r="BL283" s="380"/>
      <c r="BM283" s="403"/>
      <c r="BS283" s="83"/>
      <c r="CA283" s="405"/>
      <c r="CG283" s="83"/>
      <c r="CO283" s="405"/>
      <c r="CU283" s="83"/>
      <c r="DC283" s="405"/>
      <c r="DI283" s="83"/>
      <c r="DQ283" s="405"/>
      <c r="DW283" s="83"/>
      <c r="EE283" s="405"/>
      <c r="EK283" s="83"/>
      <c r="ES283" s="405"/>
      <c r="EY283" s="83"/>
      <c r="FG283" s="405"/>
      <c r="FM283" s="83"/>
      <c r="FU283" s="405"/>
      <c r="GA283" s="83"/>
      <c r="GI283" s="405"/>
      <c r="GO283" s="83"/>
      <c r="GW283" s="405"/>
      <c r="HC283" s="83"/>
      <c r="HK283" s="405"/>
      <c r="HQ283" s="83"/>
      <c r="HY283" s="405"/>
      <c r="IE283" s="83"/>
      <c r="IM283" s="405"/>
      <c r="IS283" s="83"/>
      <c r="JA283" s="405"/>
      <c r="JG283" s="83"/>
      <c r="JO283" s="405"/>
      <c r="JU283" s="83"/>
      <c r="KC283" s="405"/>
      <c r="KI283" s="83"/>
      <c r="KQ283" s="405"/>
      <c r="KW283" s="83"/>
      <c r="LE283" s="405"/>
      <c r="LK283" s="83"/>
      <c r="LS283" s="405"/>
      <c r="LY283" s="83"/>
      <c r="MG283" s="405"/>
      <c r="MM283" s="83"/>
      <c r="MU283" s="405"/>
      <c r="NA283" s="83"/>
    </row>
    <row r="284">
      <c r="A284" s="380"/>
      <c r="B284" s="380"/>
      <c r="C284" s="380"/>
      <c r="D284" s="380"/>
      <c r="E284" s="380"/>
      <c r="F284" s="380"/>
      <c r="G284" s="380"/>
      <c r="H284" s="380"/>
      <c r="I284" s="403"/>
      <c r="J284" s="380"/>
      <c r="K284" s="380"/>
      <c r="L284" s="380"/>
      <c r="M284" s="380"/>
      <c r="N284" s="380"/>
      <c r="O284" s="404"/>
      <c r="P284" s="380"/>
      <c r="Q284" s="380"/>
      <c r="R284" s="380"/>
      <c r="S284" s="380"/>
      <c r="T284" s="380"/>
      <c r="U284" s="380"/>
      <c r="V284" s="380"/>
      <c r="W284" s="403"/>
      <c r="X284" s="380"/>
      <c r="Y284" s="380"/>
      <c r="Z284" s="380"/>
      <c r="AA284" s="380"/>
      <c r="AB284" s="380"/>
      <c r="AC284" s="404"/>
      <c r="AD284" s="380"/>
      <c r="AE284" s="380"/>
      <c r="AF284" s="380"/>
      <c r="AG284" s="380"/>
      <c r="AH284" s="380"/>
      <c r="AI284" s="380"/>
      <c r="AJ284" s="380"/>
      <c r="AK284" s="403"/>
      <c r="AL284" s="380"/>
      <c r="AM284" s="380"/>
      <c r="AN284" s="380"/>
      <c r="AO284" s="380"/>
      <c r="AP284" s="380"/>
      <c r="AQ284" s="404"/>
      <c r="AR284" s="380"/>
      <c r="AS284" s="380"/>
      <c r="AT284" s="380"/>
      <c r="AU284" s="380"/>
      <c r="AV284" s="380"/>
      <c r="AW284" s="380"/>
      <c r="AX284" s="380"/>
      <c r="AY284" s="403"/>
      <c r="AZ284" s="380"/>
      <c r="BA284" s="380"/>
      <c r="BB284" s="380"/>
      <c r="BC284" s="380"/>
      <c r="BD284" s="380"/>
      <c r="BE284" s="404"/>
      <c r="BF284" s="380"/>
      <c r="BG284" s="380"/>
      <c r="BH284" s="380"/>
      <c r="BI284" s="380"/>
      <c r="BJ284" s="380"/>
      <c r="BK284" s="380"/>
      <c r="BL284" s="380"/>
      <c r="BM284" s="403"/>
      <c r="BS284" s="83"/>
      <c r="CA284" s="405"/>
      <c r="CG284" s="83"/>
      <c r="CO284" s="405"/>
      <c r="CU284" s="83"/>
      <c r="DC284" s="405"/>
      <c r="DI284" s="83"/>
      <c r="DQ284" s="405"/>
      <c r="DW284" s="83"/>
      <c r="EE284" s="405"/>
      <c r="EK284" s="83"/>
      <c r="ES284" s="405"/>
      <c r="EY284" s="83"/>
      <c r="FG284" s="405"/>
      <c r="FM284" s="83"/>
      <c r="FU284" s="405"/>
      <c r="GA284" s="83"/>
      <c r="GI284" s="405"/>
      <c r="GO284" s="83"/>
      <c r="GW284" s="405"/>
      <c r="HC284" s="83"/>
      <c r="HK284" s="405"/>
      <c r="HQ284" s="83"/>
      <c r="HY284" s="405"/>
      <c r="IE284" s="83"/>
      <c r="IM284" s="405"/>
      <c r="IS284" s="83"/>
      <c r="JA284" s="405"/>
      <c r="JG284" s="83"/>
      <c r="JO284" s="405"/>
      <c r="JU284" s="83"/>
      <c r="KC284" s="405"/>
      <c r="KI284" s="83"/>
      <c r="KQ284" s="405"/>
      <c r="KW284" s="83"/>
      <c r="LE284" s="405"/>
      <c r="LK284" s="83"/>
      <c r="LS284" s="405"/>
      <c r="LY284" s="83"/>
      <c r="MG284" s="405"/>
      <c r="MM284" s="83"/>
      <c r="MU284" s="405"/>
      <c r="NA284" s="83"/>
    </row>
    <row r="285">
      <c r="A285" s="380"/>
      <c r="B285" s="380"/>
      <c r="C285" s="380"/>
      <c r="D285" s="380"/>
      <c r="E285" s="380"/>
      <c r="F285" s="380"/>
      <c r="G285" s="380"/>
      <c r="H285" s="380"/>
      <c r="I285" s="403"/>
      <c r="J285" s="380"/>
      <c r="K285" s="380"/>
      <c r="L285" s="380"/>
      <c r="M285" s="380"/>
      <c r="N285" s="380"/>
      <c r="O285" s="404"/>
      <c r="P285" s="380"/>
      <c r="Q285" s="380"/>
      <c r="R285" s="380"/>
      <c r="S285" s="380"/>
      <c r="T285" s="380"/>
      <c r="U285" s="380"/>
      <c r="V285" s="380"/>
      <c r="W285" s="403"/>
      <c r="X285" s="380"/>
      <c r="Y285" s="380"/>
      <c r="Z285" s="380"/>
      <c r="AA285" s="380"/>
      <c r="AB285" s="380"/>
      <c r="AC285" s="404"/>
      <c r="AD285" s="380"/>
      <c r="AE285" s="380"/>
      <c r="AF285" s="380"/>
      <c r="AG285" s="380"/>
      <c r="AH285" s="380"/>
      <c r="AI285" s="380"/>
      <c r="AJ285" s="380"/>
      <c r="AK285" s="403"/>
      <c r="AL285" s="380"/>
      <c r="AM285" s="380"/>
      <c r="AN285" s="380"/>
      <c r="AO285" s="380"/>
      <c r="AP285" s="380"/>
      <c r="AQ285" s="404"/>
      <c r="AR285" s="380"/>
      <c r="AS285" s="380"/>
      <c r="AT285" s="380"/>
      <c r="AU285" s="380"/>
      <c r="AV285" s="380"/>
      <c r="AW285" s="380"/>
      <c r="AX285" s="380"/>
      <c r="AY285" s="403"/>
      <c r="AZ285" s="380"/>
      <c r="BA285" s="380"/>
      <c r="BB285" s="380"/>
      <c r="BC285" s="380"/>
      <c r="BD285" s="380"/>
      <c r="BE285" s="404"/>
      <c r="BF285" s="380"/>
      <c r="BG285" s="380"/>
      <c r="BH285" s="380"/>
      <c r="BI285" s="380"/>
      <c r="BJ285" s="380"/>
      <c r="BK285" s="380"/>
      <c r="BL285" s="380"/>
      <c r="BM285" s="403"/>
      <c r="BS285" s="83"/>
      <c r="CA285" s="405"/>
      <c r="CG285" s="83"/>
      <c r="CO285" s="405"/>
      <c r="CU285" s="83"/>
      <c r="DC285" s="405"/>
      <c r="DI285" s="83"/>
      <c r="DQ285" s="405"/>
      <c r="DW285" s="83"/>
      <c r="EE285" s="405"/>
      <c r="EK285" s="83"/>
      <c r="ES285" s="405"/>
      <c r="EY285" s="83"/>
      <c r="FG285" s="405"/>
      <c r="FM285" s="83"/>
      <c r="FU285" s="405"/>
      <c r="GA285" s="83"/>
      <c r="GI285" s="405"/>
      <c r="GO285" s="83"/>
      <c r="GW285" s="405"/>
      <c r="HC285" s="83"/>
      <c r="HK285" s="405"/>
      <c r="HQ285" s="83"/>
      <c r="HY285" s="405"/>
      <c r="IE285" s="83"/>
      <c r="IM285" s="405"/>
      <c r="IS285" s="83"/>
      <c r="JA285" s="405"/>
      <c r="JG285" s="83"/>
      <c r="JO285" s="405"/>
      <c r="JU285" s="83"/>
      <c r="KC285" s="405"/>
      <c r="KI285" s="83"/>
      <c r="KQ285" s="405"/>
      <c r="KW285" s="83"/>
      <c r="LE285" s="405"/>
      <c r="LK285" s="83"/>
      <c r="LS285" s="405"/>
      <c r="LY285" s="83"/>
      <c r="MG285" s="405"/>
      <c r="MM285" s="83"/>
      <c r="MU285" s="405"/>
      <c r="NA285" s="83"/>
    </row>
    <row r="286">
      <c r="A286" s="380"/>
      <c r="B286" s="380"/>
      <c r="C286" s="380"/>
      <c r="D286" s="380"/>
      <c r="E286" s="380"/>
      <c r="F286" s="380"/>
      <c r="G286" s="380"/>
      <c r="H286" s="380"/>
      <c r="I286" s="403"/>
      <c r="J286" s="380"/>
      <c r="K286" s="380"/>
      <c r="L286" s="380"/>
      <c r="M286" s="380"/>
      <c r="N286" s="380"/>
      <c r="O286" s="404"/>
      <c r="P286" s="380"/>
      <c r="Q286" s="380"/>
      <c r="R286" s="380"/>
      <c r="S286" s="380"/>
      <c r="T286" s="380"/>
      <c r="U286" s="380"/>
      <c r="V286" s="380"/>
      <c r="W286" s="403"/>
      <c r="X286" s="380"/>
      <c r="Y286" s="380"/>
      <c r="Z286" s="380"/>
      <c r="AA286" s="380"/>
      <c r="AB286" s="380"/>
      <c r="AC286" s="404"/>
      <c r="AD286" s="380"/>
      <c r="AE286" s="380"/>
      <c r="AF286" s="380"/>
      <c r="AG286" s="380"/>
      <c r="AH286" s="380"/>
      <c r="AI286" s="380"/>
      <c r="AJ286" s="380"/>
      <c r="AK286" s="403"/>
      <c r="AL286" s="380"/>
      <c r="AM286" s="380"/>
      <c r="AN286" s="380"/>
      <c r="AO286" s="380"/>
      <c r="AP286" s="380"/>
      <c r="AQ286" s="404"/>
      <c r="AR286" s="380"/>
      <c r="AS286" s="380"/>
      <c r="AT286" s="380"/>
      <c r="AU286" s="380"/>
      <c r="AV286" s="380"/>
      <c r="AW286" s="380"/>
      <c r="AX286" s="380"/>
      <c r="AY286" s="403"/>
      <c r="AZ286" s="380"/>
      <c r="BA286" s="380"/>
      <c r="BB286" s="380"/>
      <c r="BC286" s="380"/>
      <c r="BD286" s="380"/>
      <c r="BE286" s="404"/>
      <c r="BF286" s="380"/>
      <c r="BG286" s="380"/>
      <c r="BH286" s="380"/>
      <c r="BI286" s="380"/>
      <c r="BJ286" s="380"/>
      <c r="BK286" s="380"/>
      <c r="BL286" s="380"/>
      <c r="BM286" s="403"/>
      <c r="BS286" s="83"/>
      <c r="CA286" s="405"/>
      <c r="CG286" s="83"/>
      <c r="CO286" s="405"/>
      <c r="CU286" s="83"/>
      <c r="DC286" s="405"/>
      <c r="DI286" s="83"/>
      <c r="DQ286" s="405"/>
      <c r="DW286" s="83"/>
      <c r="EE286" s="405"/>
      <c r="EK286" s="83"/>
      <c r="ES286" s="405"/>
      <c r="EY286" s="83"/>
      <c r="FG286" s="405"/>
      <c r="FM286" s="83"/>
      <c r="FU286" s="405"/>
      <c r="GA286" s="83"/>
      <c r="GI286" s="405"/>
      <c r="GO286" s="83"/>
      <c r="GW286" s="405"/>
      <c r="HC286" s="83"/>
      <c r="HK286" s="405"/>
      <c r="HQ286" s="83"/>
      <c r="HY286" s="405"/>
      <c r="IE286" s="83"/>
      <c r="IM286" s="405"/>
      <c r="IS286" s="83"/>
      <c r="JA286" s="405"/>
      <c r="JG286" s="83"/>
      <c r="JO286" s="405"/>
      <c r="JU286" s="83"/>
      <c r="KC286" s="405"/>
      <c r="KI286" s="83"/>
      <c r="KQ286" s="405"/>
      <c r="KW286" s="83"/>
      <c r="LE286" s="405"/>
      <c r="LK286" s="83"/>
      <c r="LS286" s="405"/>
      <c r="LY286" s="83"/>
      <c r="MG286" s="405"/>
      <c r="MM286" s="83"/>
      <c r="MU286" s="405"/>
      <c r="NA286" s="83"/>
    </row>
    <row r="287">
      <c r="A287" s="380"/>
      <c r="B287" s="380"/>
      <c r="C287" s="380"/>
      <c r="D287" s="380"/>
      <c r="E287" s="380"/>
      <c r="F287" s="380"/>
      <c r="G287" s="380"/>
      <c r="H287" s="380"/>
      <c r="I287" s="403"/>
      <c r="J287" s="380"/>
      <c r="K287" s="380"/>
      <c r="L287" s="380"/>
      <c r="M287" s="380"/>
      <c r="N287" s="380"/>
      <c r="O287" s="404"/>
      <c r="P287" s="380"/>
      <c r="Q287" s="380"/>
      <c r="R287" s="380"/>
      <c r="S287" s="380"/>
      <c r="T287" s="380"/>
      <c r="U287" s="380"/>
      <c r="V287" s="380"/>
      <c r="W287" s="403"/>
      <c r="X287" s="380"/>
      <c r="Y287" s="380"/>
      <c r="Z287" s="380"/>
      <c r="AA287" s="380"/>
      <c r="AB287" s="380"/>
      <c r="AC287" s="404"/>
      <c r="AD287" s="380"/>
      <c r="AE287" s="380"/>
      <c r="AF287" s="380"/>
      <c r="AG287" s="380"/>
      <c r="AH287" s="380"/>
      <c r="AI287" s="380"/>
      <c r="AJ287" s="380"/>
      <c r="AK287" s="403"/>
      <c r="AL287" s="380"/>
      <c r="AM287" s="380"/>
      <c r="AN287" s="380"/>
      <c r="AO287" s="380"/>
      <c r="AP287" s="380"/>
      <c r="AQ287" s="404"/>
      <c r="AR287" s="380"/>
      <c r="AS287" s="380"/>
      <c r="AT287" s="380"/>
      <c r="AU287" s="380"/>
      <c r="AV287" s="380"/>
      <c r="AW287" s="380"/>
      <c r="AX287" s="380"/>
      <c r="AY287" s="403"/>
      <c r="AZ287" s="380"/>
      <c r="BA287" s="380"/>
      <c r="BB287" s="380"/>
      <c r="BC287" s="380"/>
      <c r="BD287" s="380"/>
      <c r="BE287" s="404"/>
      <c r="BF287" s="380"/>
      <c r="BG287" s="380"/>
      <c r="BH287" s="380"/>
      <c r="BI287" s="380"/>
      <c r="BJ287" s="380"/>
      <c r="BK287" s="380"/>
      <c r="BL287" s="380"/>
      <c r="BM287" s="403"/>
      <c r="BS287" s="83"/>
      <c r="CA287" s="405"/>
      <c r="CG287" s="83"/>
      <c r="CO287" s="405"/>
      <c r="CU287" s="83"/>
      <c r="DC287" s="405"/>
      <c r="DI287" s="83"/>
      <c r="DQ287" s="405"/>
      <c r="DW287" s="83"/>
      <c r="EE287" s="405"/>
      <c r="EK287" s="83"/>
      <c r="ES287" s="405"/>
      <c r="EY287" s="83"/>
      <c r="FG287" s="405"/>
      <c r="FM287" s="83"/>
      <c r="FU287" s="405"/>
      <c r="GA287" s="83"/>
      <c r="GI287" s="405"/>
      <c r="GO287" s="83"/>
      <c r="GW287" s="405"/>
      <c r="HC287" s="83"/>
      <c r="HK287" s="405"/>
      <c r="HQ287" s="83"/>
      <c r="HY287" s="405"/>
      <c r="IE287" s="83"/>
      <c r="IM287" s="405"/>
      <c r="IS287" s="83"/>
      <c r="JA287" s="405"/>
      <c r="JG287" s="83"/>
      <c r="JO287" s="405"/>
      <c r="JU287" s="83"/>
      <c r="KC287" s="405"/>
      <c r="KI287" s="83"/>
      <c r="KQ287" s="405"/>
      <c r="KW287" s="83"/>
      <c r="LE287" s="405"/>
      <c r="LK287" s="83"/>
      <c r="LS287" s="405"/>
      <c r="LY287" s="83"/>
      <c r="MG287" s="405"/>
      <c r="MM287" s="83"/>
      <c r="MU287" s="405"/>
      <c r="NA287" s="83"/>
    </row>
    <row r="288">
      <c r="A288" s="380"/>
      <c r="B288" s="380"/>
      <c r="C288" s="380"/>
      <c r="D288" s="380"/>
      <c r="E288" s="380"/>
      <c r="F288" s="380"/>
      <c r="G288" s="380"/>
      <c r="H288" s="380"/>
      <c r="I288" s="403"/>
      <c r="J288" s="380"/>
      <c r="K288" s="380"/>
      <c r="L288" s="380"/>
      <c r="M288" s="380"/>
      <c r="N288" s="380"/>
      <c r="O288" s="404"/>
      <c r="P288" s="380"/>
      <c r="Q288" s="380"/>
      <c r="R288" s="380"/>
      <c r="S288" s="380"/>
      <c r="T288" s="380"/>
      <c r="U288" s="380"/>
      <c r="V288" s="380"/>
      <c r="W288" s="403"/>
      <c r="X288" s="380"/>
      <c r="Y288" s="380"/>
      <c r="Z288" s="380"/>
      <c r="AA288" s="380"/>
      <c r="AB288" s="380"/>
      <c r="AC288" s="404"/>
      <c r="AD288" s="380"/>
      <c r="AE288" s="380"/>
      <c r="AF288" s="380"/>
      <c r="AG288" s="380"/>
      <c r="AH288" s="380"/>
      <c r="AI288" s="380"/>
      <c r="AJ288" s="380"/>
      <c r="AK288" s="403"/>
      <c r="AL288" s="380"/>
      <c r="AM288" s="380"/>
      <c r="AN288" s="380"/>
      <c r="AO288" s="380"/>
      <c r="AP288" s="380"/>
      <c r="AQ288" s="404"/>
      <c r="AR288" s="380"/>
      <c r="AS288" s="380"/>
      <c r="AT288" s="380"/>
      <c r="AU288" s="380"/>
      <c r="AV288" s="380"/>
      <c r="AW288" s="380"/>
      <c r="AX288" s="380"/>
      <c r="AY288" s="403"/>
      <c r="AZ288" s="380"/>
      <c r="BA288" s="380"/>
      <c r="BB288" s="380"/>
      <c r="BC288" s="380"/>
      <c r="BD288" s="380"/>
      <c r="BE288" s="404"/>
      <c r="BF288" s="380"/>
      <c r="BG288" s="380"/>
      <c r="BH288" s="380"/>
      <c r="BI288" s="380"/>
      <c r="BJ288" s="380"/>
      <c r="BK288" s="380"/>
      <c r="BL288" s="380"/>
      <c r="BM288" s="403"/>
      <c r="BS288" s="83"/>
      <c r="CA288" s="405"/>
      <c r="CG288" s="83"/>
      <c r="CO288" s="405"/>
      <c r="CU288" s="83"/>
      <c r="DC288" s="405"/>
      <c r="DI288" s="83"/>
      <c r="DQ288" s="405"/>
      <c r="DW288" s="83"/>
      <c r="EE288" s="405"/>
      <c r="EK288" s="83"/>
      <c r="ES288" s="405"/>
      <c r="EY288" s="83"/>
      <c r="FG288" s="405"/>
      <c r="FM288" s="83"/>
      <c r="FU288" s="405"/>
      <c r="GA288" s="83"/>
      <c r="GI288" s="405"/>
      <c r="GO288" s="83"/>
      <c r="GW288" s="405"/>
      <c r="HC288" s="83"/>
      <c r="HK288" s="405"/>
      <c r="HQ288" s="83"/>
      <c r="HY288" s="405"/>
      <c r="IE288" s="83"/>
      <c r="IM288" s="405"/>
      <c r="IS288" s="83"/>
      <c r="JA288" s="405"/>
      <c r="JG288" s="83"/>
      <c r="JO288" s="405"/>
      <c r="JU288" s="83"/>
      <c r="KC288" s="405"/>
      <c r="KI288" s="83"/>
      <c r="KQ288" s="405"/>
      <c r="KW288" s="83"/>
      <c r="LE288" s="405"/>
      <c r="LK288" s="83"/>
      <c r="LS288" s="405"/>
      <c r="LY288" s="83"/>
      <c r="MG288" s="405"/>
      <c r="MM288" s="83"/>
      <c r="MU288" s="405"/>
      <c r="NA288" s="83"/>
    </row>
    <row r="289">
      <c r="A289" s="380"/>
      <c r="B289" s="380"/>
      <c r="C289" s="380"/>
      <c r="D289" s="380"/>
      <c r="E289" s="380"/>
      <c r="F289" s="380"/>
      <c r="G289" s="380"/>
      <c r="H289" s="380"/>
      <c r="I289" s="403"/>
      <c r="J289" s="380"/>
      <c r="K289" s="380"/>
      <c r="L289" s="380"/>
      <c r="M289" s="380"/>
      <c r="N289" s="380"/>
      <c r="O289" s="404"/>
      <c r="P289" s="380"/>
      <c r="Q289" s="380"/>
      <c r="R289" s="380"/>
      <c r="S289" s="380"/>
      <c r="T289" s="380"/>
      <c r="U289" s="380"/>
      <c r="V289" s="380"/>
      <c r="W289" s="403"/>
      <c r="X289" s="380"/>
      <c r="Y289" s="380"/>
      <c r="Z289" s="380"/>
      <c r="AA289" s="380"/>
      <c r="AB289" s="380"/>
      <c r="AC289" s="404"/>
      <c r="AD289" s="380"/>
      <c r="AE289" s="380"/>
      <c r="AF289" s="380"/>
      <c r="AG289" s="380"/>
      <c r="AH289" s="380"/>
      <c r="AI289" s="380"/>
      <c r="AJ289" s="380"/>
      <c r="AK289" s="403"/>
      <c r="AL289" s="380"/>
      <c r="AM289" s="380"/>
      <c r="AN289" s="380"/>
      <c r="AO289" s="380"/>
      <c r="AP289" s="380"/>
      <c r="AQ289" s="404"/>
      <c r="AR289" s="380"/>
      <c r="AS289" s="380"/>
      <c r="AT289" s="380"/>
      <c r="AU289" s="380"/>
      <c r="AV289" s="380"/>
      <c r="AW289" s="380"/>
      <c r="AX289" s="380"/>
      <c r="AY289" s="403"/>
      <c r="AZ289" s="380"/>
      <c r="BA289" s="380"/>
      <c r="BB289" s="380"/>
      <c r="BC289" s="380"/>
      <c r="BD289" s="380"/>
      <c r="BE289" s="404"/>
      <c r="BF289" s="380"/>
      <c r="BG289" s="380"/>
      <c r="BH289" s="380"/>
      <c r="BI289" s="380"/>
      <c r="BJ289" s="380"/>
      <c r="BK289" s="380"/>
      <c r="BL289" s="380"/>
      <c r="BM289" s="403"/>
      <c r="BS289" s="83"/>
      <c r="CA289" s="405"/>
      <c r="CG289" s="83"/>
      <c r="CO289" s="405"/>
      <c r="CU289" s="83"/>
      <c r="DC289" s="405"/>
      <c r="DI289" s="83"/>
      <c r="DQ289" s="405"/>
      <c r="DW289" s="83"/>
      <c r="EE289" s="405"/>
      <c r="EK289" s="83"/>
      <c r="ES289" s="405"/>
      <c r="EY289" s="83"/>
      <c r="FG289" s="405"/>
      <c r="FM289" s="83"/>
      <c r="FU289" s="405"/>
      <c r="GA289" s="83"/>
      <c r="GI289" s="405"/>
      <c r="GO289" s="83"/>
      <c r="GW289" s="405"/>
      <c r="HC289" s="83"/>
      <c r="HK289" s="405"/>
      <c r="HQ289" s="83"/>
      <c r="HY289" s="405"/>
      <c r="IE289" s="83"/>
      <c r="IM289" s="405"/>
      <c r="IS289" s="83"/>
      <c r="JA289" s="405"/>
      <c r="JG289" s="83"/>
      <c r="JO289" s="405"/>
      <c r="JU289" s="83"/>
      <c r="KC289" s="405"/>
      <c r="KI289" s="83"/>
      <c r="KQ289" s="405"/>
      <c r="KW289" s="83"/>
      <c r="LE289" s="405"/>
      <c r="LK289" s="83"/>
      <c r="LS289" s="405"/>
      <c r="LY289" s="83"/>
      <c r="MG289" s="405"/>
      <c r="MM289" s="83"/>
      <c r="MU289" s="405"/>
      <c r="NA289" s="83"/>
    </row>
    <row r="290">
      <c r="A290" s="380"/>
      <c r="B290" s="380"/>
      <c r="C290" s="380"/>
      <c r="D290" s="380"/>
      <c r="E290" s="380"/>
      <c r="F290" s="380"/>
      <c r="G290" s="380"/>
      <c r="H290" s="380"/>
      <c r="I290" s="403"/>
      <c r="J290" s="380"/>
      <c r="K290" s="380"/>
      <c r="L290" s="380"/>
      <c r="M290" s="380"/>
      <c r="N290" s="380"/>
      <c r="O290" s="404"/>
      <c r="P290" s="380"/>
      <c r="Q290" s="380"/>
      <c r="R290" s="380"/>
      <c r="S290" s="380"/>
      <c r="T290" s="380"/>
      <c r="U290" s="380"/>
      <c r="V290" s="380"/>
      <c r="W290" s="403"/>
      <c r="X290" s="380"/>
      <c r="Y290" s="380"/>
      <c r="Z290" s="380"/>
      <c r="AA290" s="380"/>
      <c r="AB290" s="380"/>
      <c r="AC290" s="404"/>
      <c r="AD290" s="380"/>
      <c r="AE290" s="380"/>
      <c r="AF290" s="380"/>
      <c r="AG290" s="380"/>
      <c r="AH290" s="380"/>
      <c r="AI290" s="380"/>
      <c r="AJ290" s="380"/>
      <c r="AK290" s="403"/>
      <c r="AL290" s="380"/>
      <c r="AM290" s="380"/>
      <c r="AN290" s="380"/>
      <c r="AO290" s="380"/>
      <c r="AP290" s="380"/>
      <c r="AQ290" s="404"/>
      <c r="AR290" s="380"/>
      <c r="AS290" s="380"/>
      <c r="AT290" s="380"/>
      <c r="AU290" s="380"/>
      <c r="AV290" s="380"/>
      <c r="AW290" s="380"/>
      <c r="AX290" s="380"/>
      <c r="AY290" s="403"/>
      <c r="AZ290" s="380"/>
      <c r="BA290" s="380"/>
      <c r="BB290" s="380"/>
      <c r="BC290" s="380"/>
      <c r="BD290" s="380"/>
      <c r="BE290" s="404"/>
      <c r="BF290" s="380"/>
      <c r="BG290" s="380"/>
      <c r="BH290" s="380"/>
      <c r="BI290" s="380"/>
      <c r="BJ290" s="380"/>
      <c r="BK290" s="380"/>
      <c r="BL290" s="380"/>
      <c r="BM290" s="403"/>
      <c r="BS290" s="83"/>
      <c r="CA290" s="405"/>
      <c r="CG290" s="83"/>
      <c r="CO290" s="405"/>
      <c r="CU290" s="83"/>
      <c r="DC290" s="405"/>
      <c r="DI290" s="83"/>
      <c r="DQ290" s="405"/>
      <c r="DW290" s="83"/>
      <c r="EE290" s="405"/>
      <c r="EK290" s="83"/>
      <c r="ES290" s="405"/>
      <c r="EY290" s="83"/>
      <c r="FG290" s="405"/>
      <c r="FM290" s="83"/>
      <c r="FU290" s="405"/>
      <c r="GA290" s="83"/>
      <c r="GI290" s="405"/>
      <c r="GO290" s="83"/>
      <c r="GW290" s="405"/>
      <c r="HC290" s="83"/>
      <c r="HK290" s="405"/>
      <c r="HQ290" s="83"/>
      <c r="HY290" s="405"/>
      <c r="IE290" s="83"/>
      <c r="IM290" s="405"/>
      <c r="IS290" s="83"/>
      <c r="JA290" s="405"/>
      <c r="JG290" s="83"/>
      <c r="JO290" s="405"/>
      <c r="JU290" s="83"/>
      <c r="KC290" s="405"/>
      <c r="KI290" s="83"/>
      <c r="KQ290" s="405"/>
      <c r="KW290" s="83"/>
      <c r="LE290" s="405"/>
      <c r="LK290" s="83"/>
      <c r="LS290" s="405"/>
      <c r="LY290" s="83"/>
      <c r="MG290" s="405"/>
      <c r="MM290" s="83"/>
      <c r="MU290" s="405"/>
      <c r="NA290" s="83"/>
    </row>
    <row r="291">
      <c r="A291" s="380"/>
      <c r="B291" s="380"/>
      <c r="C291" s="380"/>
      <c r="D291" s="380"/>
      <c r="E291" s="380"/>
      <c r="F291" s="380"/>
      <c r="G291" s="380"/>
      <c r="H291" s="380"/>
      <c r="I291" s="403"/>
      <c r="J291" s="380"/>
      <c r="K291" s="380"/>
      <c r="L291" s="380"/>
      <c r="M291" s="380"/>
      <c r="N291" s="380"/>
      <c r="O291" s="404"/>
      <c r="P291" s="380"/>
      <c r="Q291" s="380"/>
      <c r="R291" s="380"/>
      <c r="S291" s="380"/>
      <c r="T291" s="380"/>
      <c r="U291" s="380"/>
      <c r="V291" s="380"/>
      <c r="W291" s="403"/>
      <c r="X291" s="380"/>
      <c r="Y291" s="380"/>
      <c r="Z291" s="380"/>
      <c r="AA291" s="380"/>
      <c r="AB291" s="380"/>
      <c r="AC291" s="404"/>
      <c r="AD291" s="380"/>
      <c r="AE291" s="380"/>
      <c r="AF291" s="380"/>
      <c r="AG291" s="380"/>
      <c r="AH291" s="380"/>
      <c r="AI291" s="380"/>
      <c r="AJ291" s="380"/>
      <c r="AK291" s="403"/>
      <c r="AL291" s="380"/>
      <c r="AM291" s="380"/>
      <c r="AN291" s="380"/>
      <c r="AO291" s="380"/>
      <c r="AP291" s="380"/>
      <c r="AQ291" s="404"/>
      <c r="AR291" s="380"/>
      <c r="AS291" s="380"/>
      <c r="AT291" s="380"/>
      <c r="AU291" s="380"/>
      <c r="AV291" s="380"/>
      <c r="AW291" s="380"/>
      <c r="AX291" s="380"/>
      <c r="AY291" s="403"/>
      <c r="AZ291" s="380"/>
      <c r="BA291" s="380"/>
      <c r="BB291" s="380"/>
      <c r="BC291" s="380"/>
      <c r="BD291" s="380"/>
      <c r="BE291" s="404"/>
      <c r="BF291" s="380"/>
      <c r="BG291" s="380"/>
      <c r="BH291" s="380"/>
      <c r="BI291" s="380"/>
      <c r="BJ291" s="380"/>
      <c r="BK291" s="380"/>
      <c r="BL291" s="380"/>
      <c r="BM291" s="403"/>
      <c r="BS291" s="83"/>
      <c r="CA291" s="405"/>
      <c r="CG291" s="83"/>
      <c r="CO291" s="405"/>
      <c r="CU291" s="83"/>
      <c r="DC291" s="405"/>
      <c r="DI291" s="83"/>
      <c r="DQ291" s="405"/>
      <c r="DW291" s="83"/>
      <c r="EE291" s="405"/>
      <c r="EK291" s="83"/>
      <c r="ES291" s="405"/>
      <c r="EY291" s="83"/>
      <c r="FG291" s="405"/>
      <c r="FM291" s="83"/>
      <c r="FU291" s="405"/>
      <c r="GA291" s="83"/>
      <c r="GI291" s="405"/>
      <c r="GO291" s="83"/>
      <c r="GW291" s="405"/>
      <c r="HC291" s="83"/>
      <c r="HK291" s="405"/>
      <c r="HQ291" s="83"/>
      <c r="HY291" s="405"/>
      <c r="IE291" s="83"/>
      <c r="IM291" s="405"/>
      <c r="IS291" s="83"/>
      <c r="JA291" s="405"/>
      <c r="JG291" s="83"/>
      <c r="JO291" s="405"/>
      <c r="JU291" s="83"/>
      <c r="KC291" s="405"/>
      <c r="KI291" s="83"/>
      <c r="KQ291" s="405"/>
      <c r="KW291" s="83"/>
      <c r="LE291" s="405"/>
      <c r="LK291" s="83"/>
      <c r="LS291" s="405"/>
      <c r="LY291" s="83"/>
      <c r="MG291" s="405"/>
      <c r="MM291" s="83"/>
      <c r="MU291" s="405"/>
      <c r="NA291" s="83"/>
    </row>
    <row r="292">
      <c r="A292" s="380"/>
      <c r="B292" s="380"/>
      <c r="C292" s="380"/>
      <c r="D292" s="380"/>
      <c r="E292" s="380"/>
      <c r="F292" s="380"/>
      <c r="G292" s="380"/>
      <c r="H292" s="380"/>
      <c r="I292" s="403"/>
      <c r="J292" s="380"/>
      <c r="K292" s="380"/>
      <c r="L292" s="380"/>
      <c r="M292" s="380"/>
      <c r="N292" s="380"/>
      <c r="O292" s="404"/>
      <c r="P292" s="380"/>
      <c r="Q292" s="380"/>
      <c r="R292" s="380"/>
      <c r="S292" s="380"/>
      <c r="T292" s="380"/>
      <c r="U292" s="380"/>
      <c r="V292" s="380"/>
      <c r="W292" s="403"/>
      <c r="X292" s="380"/>
      <c r="Y292" s="380"/>
      <c r="Z292" s="380"/>
      <c r="AA292" s="380"/>
      <c r="AB292" s="380"/>
      <c r="AC292" s="404"/>
      <c r="AD292" s="380"/>
      <c r="AE292" s="380"/>
      <c r="AF292" s="380"/>
      <c r="AG292" s="380"/>
      <c r="AH292" s="380"/>
      <c r="AI292" s="380"/>
      <c r="AJ292" s="380"/>
      <c r="AK292" s="403"/>
      <c r="AL292" s="380"/>
      <c r="AM292" s="380"/>
      <c r="AN292" s="380"/>
      <c r="AO292" s="380"/>
      <c r="AP292" s="380"/>
      <c r="AQ292" s="404"/>
      <c r="AR292" s="380"/>
      <c r="AS292" s="380"/>
      <c r="AT292" s="380"/>
      <c r="AU292" s="380"/>
      <c r="AV292" s="380"/>
      <c r="AW292" s="380"/>
      <c r="AX292" s="380"/>
      <c r="AY292" s="403"/>
      <c r="AZ292" s="380"/>
      <c r="BA292" s="380"/>
      <c r="BB292" s="380"/>
      <c r="BC292" s="380"/>
      <c r="BD292" s="380"/>
      <c r="BE292" s="404"/>
      <c r="BF292" s="380"/>
      <c r="BG292" s="380"/>
      <c r="BH292" s="380"/>
      <c r="BI292" s="380"/>
      <c r="BJ292" s="380"/>
      <c r="BK292" s="380"/>
      <c r="BL292" s="380"/>
      <c r="BM292" s="403"/>
      <c r="BS292" s="83"/>
      <c r="CA292" s="405"/>
      <c r="CG292" s="83"/>
      <c r="CO292" s="405"/>
      <c r="CU292" s="83"/>
      <c r="DC292" s="405"/>
      <c r="DI292" s="83"/>
      <c r="DQ292" s="405"/>
      <c r="DW292" s="83"/>
      <c r="EE292" s="405"/>
      <c r="EK292" s="83"/>
      <c r="ES292" s="405"/>
      <c r="EY292" s="83"/>
      <c r="FG292" s="405"/>
      <c r="FM292" s="83"/>
      <c r="FU292" s="405"/>
      <c r="GA292" s="83"/>
      <c r="GI292" s="405"/>
      <c r="GO292" s="83"/>
      <c r="GW292" s="405"/>
      <c r="HC292" s="83"/>
      <c r="HK292" s="405"/>
      <c r="HQ292" s="83"/>
      <c r="HY292" s="405"/>
      <c r="IE292" s="83"/>
      <c r="IM292" s="405"/>
      <c r="IS292" s="83"/>
      <c r="JA292" s="405"/>
      <c r="JG292" s="83"/>
      <c r="JO292" s="405"/>
      <c r="JU292" s="83"/>
      <c r="KC292" s="405"/>
      <c r="KI292" s="83"/>
      <c r="KQ292" s="405"/>
      <c r="KW292" s="83"/>
      <c r="LE292" s="405"/>
      <c r="LK292" s="83"/>
      <c r="LS292" s="405"/>
      <c r="LY292" s="83"/>
      <c r="MG292" s="405"/>
      <c r="MM292" s="83"/>
      <c r="MU292" s="405"/>
      <c r="NA292" s="83"/>
    </row>
    <row r="293">
      <c r="A293" s="380"/>
      <c r="B293" s="380"/>
      <c r="C293" s="380"/>
      <c r="D293" s="380"/>
      <c r="E293" s="380"/>
      <c r="F293" s="380"/>
      <c r="G293" s="380"/>
      <c r="H293" s="380"/>
      <c r="I293" s="403"/>
      <c r="J293" s="380"/>
      <c r="K293" s="380"/>
      <c r="L293" s="380"/>
      <c r="M293" s="380"/>
      <c r="N293" s="380"/>
      <c r="O293" s="404"/>
      <c r="P293" s="380"/>
      <c r="Q293" s="380"/>
      <c r="R293" s="380"/>
      <c r="S293" s="380"/>
      <c r="T293" s="380"/>
      <c r="U293" s="380"/>
      <c r="V293" s="380"/>
      <c r="W293" s="403"/>
      <c r="X293" s="380"/>
      <c r="Y293" s="380"/>
      <c r="Z293" s="380"/>
      <c r="AA293" s="380"/>
      <c r="AB293" s="380"/>
      <c r="AC293" s="404"/>
      <c r="AD293" s="380"/>
      <c r="AE293" s="380"/>
      <c r="AF293" s="380"/>
      <c r="AG293" s="380"/>
      <c r="AH293" s="380"/>
      <c r="AI293" s="380"/>
      <c r="AJ293" s="380"/>
      <c r="AK293" s="403"/>
      <c r="AL293" s="380"/>
      <c r="AM293" s="380"/>
      <c r="AN293" s="380"/>
      <c r="AO293" s="380"/>
      <c r="AP293" s="380"/>
      <c r="AQ293" s="404"/>
      <c r="AR293" s="380"/>
      <c r="AS293" s="380"/>
      <c r="AT293" s="380"/>
      <c r="AU293" s="380"/>
      <c r="AV293" s="380"/>
      <c r="AW293" s="380"/>
      <c r="AX293" s="380"/>
      <c r="AY293" s="403"/>
      <c r="AZ293" s="380"/>
      <c r="BA293" s="380"/>
      <c r="BB293" s="380"/>
      <c r="BC293" s="380"/>
      <c r="BD293" s="380"/>
      <c r="BE293" s="404"/>
      <c r="BF293" s="380"/>
      <c r="BG293" s="380"/>
      <c r="BH293" s="380"/>
      <c r="BI293" s="380"/>
      <c r="BJ293" s="380"/>
      <c r="BK293" s="380"/>
      <c r="BL293" s="380"/>
      <c r="BM293" s="403"/>
      <c r="BS293" s="83"/>
      <c r="CA293" s="405"/>
      <c r="CG293" s="83"/>
      <c r="CO293" s="405"/>
      <c r="CU293" s="83"/>
      <c r="DC293" s="405"/>
      <c r="DI293" s="83"/>
      <c r="DQ293" s="405"/>
      <c r="DW293" s="83"/>
      <c r="EE293" s="405"/>
      <c r="EK293" s="83"/>
      <c r="ES293" s="405"/>
      <c r="EY293" s="83"/>
      <c r="FG293" s="405"/>
      <c r="FM293" s="83"/>
      <c r="FU293" s="405"/>
      <c r="GA293" s="83"/>
      <c r="GI293" s="405"/>
      <c r="GO293" s="83"/>
      <c r="GW293" s="405"/>
      <c r="HC293" s="83"/>
      <c r="HK293" s="405"/>
      <c r="HQ293" s="83"/>
      <c r="HY293" s="405"/>
      <c r="IE293" s="83"/>
      <c r="IM293" s="405"/>
      <c r="IS293" s="83"/>
      <c r="JA293" s="405"/>
      <c r="JG293" s="83"/>
      <c r="JO293" s="405"/>
      <c r="JU293" s="83"/>
      <c r="KC293" s="405"/>
      <c r="KI293" s="83"/>
      <c r="KQ293" s="405"/>
      <c r="KW293" s="83"/>
      <c r="LE293" s="405"/>
      <c r="LK293" s="83"/>
      <c r="LS293" s="405"/>
      <c r="LY293" s="83"/>
      <c r="MG293" s="405"/>
      <c r="MM293" s="83"/>
      <c r="MU293" s="405"/>
      <c r="NA293" s="83"/>
    </row>
    <row r="294">
      <c r="A294" s="380"/>
      <c r="B294" s="380"/>
      <c r="C294" s="380"/>
      <c r="D294" s="380"/>
      <c r="E294" s="380"/>
      <c r="F294" s="380"/>
      <c r="G294" s="380"/>
      <c r="H294" s="380"/>
      <c r="I294" s="403"/>
      <c r="J294" s="380"/>
      <c r="K294" s="380"/>
      <c r="L294" s="380"/>
      <c r="M294" s="380"/>
      <c r="N294" s="380"/>
      <c r="O294" s="404"/>
      <c r="P294" s="380"/>
      <c r="Q294" s="380"/>
      <c r="R294" s="380"/>
      <c r="S294" s="380"/>
      <c r="T294" s="380"/>
      <c r="U294" s="380"/>
      <c r="V294" s="380"/>
      <c r="W294" s="403"/>
      <c r="X294" s="380"/>
      <c r="Y294" s="380"/>
      <c r="Z294" s="380"/>
      <c r="AA294" s="380"/>
      <c r="AB294" s="380"/>
      <c r="AC294" s="404"/>
      <c r="AD294" s="380"/>
      <c r="AE294" s="380"/>
      <c r="AF294" s="380"/>
      <c r="AG294" s="380"/>
      <c r="AH294" s="380"/>
      <c r="AI294" s="380"/>
      <c r="AJ294" s="380"/>
      <c r="AK294" s="403"/>
      <c r="AL294" s="380"/>
      <c r="AM294" s="380"/>
      <c r="AN294" s="380"/>
      <c r="AO294" s="380"/>
      <c r="AP294" s="380"/>
      <c r="AQ294" s="404"/>
      <c r="AR294" s="380"/>
      <c r="AS294" s="380"/>
      <c r="AT294" s="380"/>
      <c r="AU294" s="380"/>
      <c r="AV294" s="380"/>
      <c r="AW294" s="380"/>
      <c r="AX294" s="380"/>
      <c r="AY294" s="403"/>
      <c r="AZ294" s="380"/>
      <c r="BA294" s="380"/>
      <c r="BB294" s="380"/>
      <c r="BC294" s="380"/>
      <c r="BD294" s="380"/>
      <c r="BE294" s="404"/>
      <c r="BF294" s="380"/>
      <c r="BG294" s="380"/>
      <c r="BH294" s="380"/>
      <c r="BI294" s="380"/>
      <c r="BJ294" s="380"/>
      <c r="BK294" s="380"/>
      <c r="BL294" s="380"/>
      <c r="BM294" s="403"/>
      <c r="BS294" s="83"/>
      <c r="CA294" s="405"/>
      <c r="CG294" s="83"/>
      <c r="CO294" s="405"/>
      <c r="CU294" s="83"/>
      <c r="DC294" s="405"/>
      <c r="DI294" s="83"/>
      <c r="DQ294" s="405"/>
      <c r="DW294" s="83"/>
      <c r="EE294" s="405"/>
      <c r="EK294" s="83"/>
      <c r="ES294" s="405"/>
      <c r="EY294" s="83"/>
      <c r="FG294" s="405"/>
      <c r="FM294" s="83"/>
      <c r="FU294" s="405"/>
      <c r="GA294" s="83"/>
      <c r="GI294" s="405"/>
      <c r="GO294" s="83"/>
      <c r="GW294" s="405"/>
      <c r="HC294" s="83"/>
      <c r="HK294" s="405"/>
      <c r="HQ294" s="83"/>
      <c r="HY294" s="405"/>
      <c r="IE294" s="83"/>
      <c r="IM294" s="405"/>
      <c r="IS294" s="83"/>
      <c r="JA294" s="405"/>
      <c r="JG294" s="83"/>
      <c r="JO294" s="405"/>
      <c r="JU294" s="83"/>
      <c r="KC294" s="405"/>
      <c r="KI294" s="83"/>
      <c r="KQ294" s="405"/>
      <c r="KW294" s="83"/>
      <c r="LE294" s="405"/>
      <c r="LK294" s="83"/>
      <c r="LS294" s="405"/>
      <c r="LY294" s="83"/>
      <c r="MG294" s="405"/>
      <c r="MM294" s="83"/>
      <c r="MU294" s="405"/>
      <c r="NA294" s="83"/>
    </row>
    <row r="295">
      <c r="A295" s="380"/>
      <c r="B295" s="380"/>
      <c r="C295" s="380"/>
      <c r="D295" s="380"/>
      <c r="E295" s="380"/>
      <c r="F295" s="380"/>
      <c r="G295" s="380"/>
      <c r="H295" s="380"/>
      <c r="I295" s="403"/>
      <c r="J295" s="380"/>
      <c r="K295" s="380"/>
      <c r="L295" s="380"/>
      <c r="M295" s="380"/>
      <c r="N295" s="380"/>
      <c r="O295" s="404"/>
      <c r="P295" s="380"/>
      <c r="Q295" s="380"/>
      <c r="R295" s="380"/>
      <c r="S295" s="380"/>
      <c r="T295" s="380"/>
      <c r="U295" s="380"/>
      <c r="V295" s="380"/>
      <c r="W295" s="403"/>
      <c r="X295" s="380"/>
      <c r="Y295" s="380"/>
      <c r="Z295" s="380"/>
      <c r="AA295" s="380"/>
      <c r="AB295" s="380"/>
      <c r="AC295" s="404"/>
      <c r="AD295" s="380"/>
      <c r="AE295" s="380"/>
      <c r="AF295" s="380"/>
      <c r="AG295" s="380"/>
      <c r="AH295" s="380"/>
      <c r="AI295" s="380"/>
      <c r="AJ295" s="380"/>
      <c r="AK295" s="403"/>
      <c r="AL295" s="380"/>
      <c r="AM295" s="380"/>
      <c r="AN295" s="380"/>
      <c r="AO295" s="380"/>
      <c r="AP295" s="380"/>
      <c r="AQ295" s="404"/>
      <c r="AR295" s="380"/>
      <c r="AS295" s="380"/>
      <c r="AT295" s="380"/>
      <c r="AU295" s="380"/>
      <c r="AV295" s="380"/>
      <c r="AW295" s="380"/>
      <c r="AX295" s="380"/>
      <c r="AY295" s="403"/>
      <c r="AZ295" s="380"/>
      <c r="BA295" s="380"/>
      <c r="BB295" s="380"/>
      <c r="BC295" s="380"/>
      <c r="BD295" s="380"/>
      <c r="BE295" s="404"/>
      <c r="BF295" s="380"/>
      <c r="BG295" s="380"/>
      <c r="BH295" s="380"/>
      <c r="BI295" s="380"/>
      <c r="BJ295" s="380"/>
      <c r="BK295" s="380"/>
      <c r="BL295" s="380"/>
      <c r="BM295" s="403"/>
      <c r="BS295" s="83"/>
      <c r="CA295" s="405"/>
      <c r="CG295" s="83"/>
      <c r="CO295" s="405"/>
      <c r="CU295" s="83"/>
      <c r="DC295" s="405"/>
      <c r="DI295" s="83"/>
      <c r="DQ295" s="405"/>
      <c r="DW295" s="83"/>
      <c r="EE295" s="405"/>
      <c r="EK295" s="83"/>
      <c r="ES295" s="405"/>
      <c r="EY295" s="83"/>
      <c r="FG295" s="405"/>
      <c r="FM295" s="83"/>
      <c r="FU295" s="405"/>
      <c r="GA295" s="83"/>
      <c r="GI295" s="405"/>
      <c r="GO295" s="83"/>
      <c r="GW295" s="405"/>
      <c r="HC295" s="83"/>
      <c r="HK295" s="405"/>
      <c r="HQ295" s="83"/>
      <c r="HY295" s="405"/>
      <c r="IE295" s="83"/>
      <c r="IM295" s="405"/>
      <c r="IS295" s="83"/>
      <c r="JA295" s="405"/>
      <c r="JG295" s="83"/>
      <c r="JO295" s="405"/>
      <c r="JU295" s="83"/>
      <c r="KC295" s="405"/>
      <c r="KI295" s="83"/>
      <c r="KQ295" s="405"/>
      <c r="KW295" s="83"/>
      <c r="LE295" s="405"/>
      <c r="LK295" s="83"/>
      <c r="LS295" s="405"/>
      <c r="LY295" s="83"/>
      <c r="MG295" s="405"/>
      <c r="MM295" s="83"/>
      <c r="MU295" s="405"/>
      <c r="NA295" s="83"/>
    </row>
    <row r="296">
      <c r="A296" s="380"/>
      <c r="B296" s="380"/>
      <c r="C296" s="380"/>
      <c r="D296" s="380"/>
      <c r="E296" s="380"/>
      <c r="F296" s="380"/>
      <c r="G296" s="380"/>
      <c r="H296" s="380"/>
      <c r="I296" s="403"/>
      <c r="J296" s="380"/>
      <c r="K296" s="380"/>
      <c r="L296" s="380"/>
      <c r="M296" s="380"/>
      <c r="N296" s="380"/>
      <c r="O296" s="404"/>
      <c r="P296" s="380"/>
      <c r="Q296" s="380"/>
      <c r="R296" s="380"/>
      <c r="S296" s="380"/>
      <c r="T296" s="380"/>
      <c r="U296" s="380"/>
      <c r="V296" s="380"/>
      <c r="W296" s="403"/>
      <c r="X296" s="380"/>
      <c r="Y296" s="380"/>
      <c r="Z296" s="380"/>
      <c r="AA296" s="380"/>
      <c r="AB296" s="380"/>
      <c r="AC296" s="404"/>
      <c r="AD296" s="380"/>
      <c r="AE296" s="380"/>
      <c r="AF296" s="380"/>
      <c r="AG296" s="380"/>
      <c r="AH296" s="380"/>
      <c r="AI296" s="380"/>
      <c r="AJ296" s="380"/>
      <c r="AK296" s="403"/>
      <c r="AL296" s="380"/>
      <c r="AM296" s="380"/>
      <c r="AN296" s="380"/>
      <c r="AO296" s="380"/>
      <c r="AP296" s="380"/>
      <c r="AQ296" s="404"/>
      <c r="AR296" s="380"/>
      <c r="AS296" s="380"/>
      <c r="AT296" s="380"/>
      <c r="AU296" s="380"/>
      <c r="AV296" s="380"/>
      <c r="AW296" s="380"/>
      <c r="AX296" s="380"/>
      <c r="AY296" s="403"/>
      <c r="AZ296" s="380"/>
      <c r="BA296" s="380"/>
      <c r="BB296" s="380"/>
      <c r="BC296" s="380"/>
      <c r="BD296" s="380"/>
      <c r="BE296" s="404"/>
      <c r="BF296" s="380"/>
      <c r="BG296" s="380"/>
      <c r="BH296" s="380"/>
      <c r="BI296" s="380"/>
      <c r="BJ296" s="380"/>
      <c r="BK296" s="380"/>
      <c r="BL296" s="380"/>
      <c r="BM296" s="403"/>
      <c r="BS296" s="83"/>
      <c r="CA296" s="405"/>
      <c r="CG296" s="83"/>
      <c r="CO296" s="405"/>
      <c r="CU296" s="83"/>
      <c r="DC296" s="405"/>
      <c r="DI296" s="83"/>
      <c r="DQ296" s="405"/>
      <c r="DW296" s="83"/>
      <c r="EE296" s="405"/>
      <c r="EK296" s="83"/>
      <c r="ES296" s="405"/>
      <c r="EY296" s="83"/>
      <c r="FG296" s="405"/>
      <c r="FM296" s="83"/>
      <c r="FU296" s="405"/>
      <c r="GA296" s="83"/>
      <c r="GI296" s="405"/>
      <c r="GO296" s="83"/>
      <c r="GW296" s="405"/>
      <c r="HC296" s="83"/>
      <c r="HK296" s="405"/>
      <c r="HQ296" s="83"/>
      <c r="HY296" s="405"/>
      <c r="IE296" s="83"/>
      <c r="IM296" s="405"/>
      <c r="IS296" s="83"/>
      <c r="JA296" s="405"/>
      <c r="JG296" s="83"/>
      <c r="JO296" s="405"/>
      <c r="JU296" s="83"/>
      <c r="KC296" s="405"/>
      <c r="KI296" s="83"/>
      <c r="KQ296" s="405"/>
      <c r="KW296" s="83"/>
      <c r="LE296" s="405"/>
      <c r="LK296" s="83"/>
      <c r="LS296" s="405"/>
      <c r="LY296" s="83"/>
      <c r="MG296" s="405"/>
      <c r="MM296" s="83"/>
      <c r="MU296" s="405"/>
      <c r="NA296" s="83"/>
    </row>
    <row r="297">
      <c r="A297" s="380"/>
      <c r="B297" s="380"/>
      <c r="C297" s="380"/>
      <c r="D297" s="380"/>
      <c r="E297" s="380"/>
      <c r="F297" s="380"/>
      <c r="G297" s="380"/>
      <c r="H297" s="380"/>
      <c r="I297" s="403"/>
      <c r="J297" s="380"/>
      <c r="K297" s="380"/>
      <c r="L297" s="380"/>
      <c r="M297" s="380"/>
      <c r="N297" s="380"/>
      <c r="O297" s="404"/>
      <c r="P297" s="380"/>
      <c r="Q297" s="380"/>
      <c r="R297" s="380"/>
      <c r="S297" s="380"/>
      <c r="T297" s="380"/>
      <c r="U297" s="380"/>
      <c r="V297" s="380"/>
      <c r="W297" s="403"/>
      <c r="X297" s="380"/>
      <c r="Y297" s="380"/>
      <c r="Z297" s="380"/>
      <c r="AA297" s="380"/>
      <c r="AB297" s="380"/>
      <c r="AC297" s="404"/>
      <c r="AD297" s="380"/>
      <c r="AE297" s="380"/>
      <c r="AF297" s="380"/>
      <c r="AG297" s="380"/>
      <c r="AH297" s="380"/>
      <c r="AI297" s="380"/>
      <c r="AJ297" s="380"/>
      <c r="AK297" s="403"/>
      <c r="AL297" s="380"/>
      <c r="AM297" s="380"/>
      <c r="AN297" s="380"/>
      <c r="AO297" s="380"/>
      <c r="AP297" s="380"/>
      <c r="AQ297" s="404"/>
      <c r="AR297" s="380"/>
      <c r="AS297" s="380"/>
      <c r="AT297" s="380"/>
      <c r="AU297" s="380"/>
      <c r="AV297" s="380"/>
      <c r="AW297" s="380"/>
      <c r="AX297" s="380"/>
      <c r="AY297" s="403"/>
      <c r="AZ297" s="380"/>
      <c r="BA297" s="380"/>
      <c r="BB297" s="380"/>
      <c r="BC297" s="380"/>
      <c r="BD297" s="380"/>
      <c r="BE297" s="404"/>
      <c r="BF297" s="380"/>
      <c r="BG297" s="380"/>
      <c r="BH297" s="380"/>
      <c r="BI297" s="380"/>
      <c r="BJ297" s="380"/>
      <c r="BK297" s="380"/>
      <c r="BL297" s="380"/>
      <c r="BM297" s="403"/>
      <c r="BS297" s="83"/>
      <c r="CA297" s="405"/>
      <c r="CG297" s="83"/>
      <c r="CO297" s="405"/>
      <c r="CU297" s="83"/>
      <c r="DC297" s="405"/>
      <c r="DI297" s="83"/>
      <c r="DQ297" s="405"/>
      <c r="DW297" s="83"/>
      <c r="EE297" s="405"/>
      <c r="EK297" s="83"/>
      <c r="ES297" s="405"/>
      <c r="EY297" s="83"/>
      <c r="FG297" s="405"/>
      <c r="FM297" s="83"/>
      <c r="FU297" s="405"/>
      <c r="GA297" s="83"/>
      <c r="GI297" s="405"/>
      <c r="GO297" s="83"/>
      <c r="GW297" s="405"/>
      <c r="HC297" s="83"/>
      <c r="HK297" s="405"/>
      <c r="HQ297" s="83"/>
      <c r="HY297" s="405"/>
      <c r="IE297" s="83"/>
      <c r="IM297" s="405"/>
      <c r="IS297" s="83"/>
      <c r="JA297" s="405"/>
      <c r="JG297" s="83"/>
      <c r="JO297" s="405"/>
      <c r="JU297" s="83"/>
      <c r="KC297" s="405"/>
      <c r="KI297" s="83"/>
      <c r="KQ297" s="405"/>
      <c r="KW297" s="83"/>
      <c r="LE297" s="405"/>
      <c r="LK297" s="83"/>
      <c r="LS297" s="405"/>
      <c r="LY297" s="83"/>
      <c r="MG297" s="405"/>
      <c r="MM297" s="83"/>
      <c r="MU297" s="405"/>
      <c r="NA297" s="83"/>
    </row>
    <row r="298">
      <c r="A298" s="380"/>
      <c r="B298" s="380"/>
      <c r="C298" s="380"/>
      <c r="D298" s="380"/>
      <c r="E298" s="380"/>
      <c r="F298" s="380"/>
      <c r="G298" s="380"/>
      <c r="H298" s="380"/>
      <c r="I298" s="403"/>
      <c r="J298" s="380"/>
      <c r="K298" s="380"/>
      <c r="L298" s="380"/>
      <c r="M298" s="380"/>
      <c r="N298" s="380"/>
      <c r="O298" s="404"/>
      <c r="P298" s="380"/>
      <c r="Q298" s="380"/>
      <c r="R298" s="380"/>
      <c r="S298" s="380"/>
      <c r="T298" s="380"/>
      <c r="U298" s="380"/>
      <c r="V298" s="380"/>
      <c r="W298" s="403"/>
      <c r="X298" s="380"/>
      <c r="Y298" s="380"/>
      <c r="Z298" s="380"/>
      <c r="AA298" s="380"/>
      <c r="AB298" s="380"/>
      <c r="AC298" s="404"/>
      <c r="AD298" s="380"/>
      <c r="AE298" s="380"/>
      <c r="AF298" s="380"/>
      <c r="AG298" s="380"/>
      <c r="AH298" s="380"/>
      <c r="AI298" s="380"/>
      <c r="AJ298" s="380"/>
      <c r="AK298" s="403"/>
      <c r="AL298" s="380"/>
      <c r="AM298" s="380"/>
      <c r="AN298" s="380"/>
      <c r="AO298" s="380"/>
      <c r="AP298" s="380"/>
      <c r="AQ298" s="404"/>
      <c r="AR298" s="380"/>
      <c r="AS298" s="380"/>
      <c r="AT298" s="380"/>
      <c r="AU298" s="380"/>
      <c r="AV298" s="380"/>
      <c r="AW298" s="380"/>
      <c r="AX298" s="380"/>
      <c r="AY298" s="403"/>
      <c r="AZ298" s="380"/>
      <c r="BA298" s="380"/>
      <c r="BB298" s="380"/>
      <c r="BC298" s="380"/>
      <c r="BD298" s="380"/>
      <c r="BE298" s="404"/>
      <c r="BF298" s="380"/>
      <c r="BG298" s="380"/>
      <c r="BH298" s="380"/>
      <c r="BI298" s="380"/>
      <c r="BJ298" s="380"/>
      <c r="BK298" s="380"/>
      <c r="BL298" s="380"/>
      <c r="BM298" s="403"/>
      <c r="BS298" s="83"/>
      <c r="CA298" s="405"/>
      <c r="CG298" s="83"/>
      <c r="CO298" s="405"/>
      <c r="CU298" s="83"/>
      <c r="DC298" s="405"/>
      <c r="DI298" s="83"/>
      <c r="DQ298" s="405"/>
      <c r="DW298" s="83"/>
      <c r="EE298" s="405"/>
      <c r="EK298" s="83"/>
      <c r="ES298" s="405"/>
      <c r="EY298" s="83"/>
      <c r="FG298" s="405"/>
      <c r="FM298" s="83"/>
      <c r="FU298" s="405"/>
      <c r="GA298" s="83"/>
      <c r="GI298" s="405"/>
      <c r="GO298" s="83"/>
      <c r="GW298" s="405"/>
      <c r="HC298" s="83"/>
      <c r="HK298" s="405"/>
      <c r="HQ298" s="83"/>
      <c r="HY298" s="405"/>
      <c r="IE298" s="83"/>
      <c r="IM298" s="405"/>
      <c r="IS298" s="83"/>
      <c r="JA298" s="405"/>
      <c r="JG298" s="83"/>
      <c r="JO298" s="405"/>
      <c r="JU298" s="83"/>
      <c r="KC298" s="405"/>
      <c r="KI298" s="83"/>
      <c r="KQ298" s="405"/>
      <c r="KW298" s="83"/>
      <c r="LE298" s="405"/>
      <c r="LK298" s="83"/>
      <c r="LS298" s="405"/>
      <c r="LY298" s="83"/>
      <c r="MG298" s="405"/>
      <c r="MM298" s="83"/>
      <c r="MU298" s="405"/>
      <c r="NA298" s="83"/>
    </row>
    <row r="299">
      <c r="A299" s="380"/>
      <c r="B299" s="380"/>
      <c r="C299" s="380"/>
      <c r="D299" s="380"/>
      <c r="E299" s="380"/>
      <c r="F299" s="380"/>
      <c r="G299" s="380"/>
      <c r="H299" s="380"/>
      <c r="I299" s="403"/>
      <c r="J299" s="380"/>
      <c r="K299" s="380"/>
      <c r="L299" s="380"/>
      <c r="M299" s="380"/>
      <c r="N299" s="380"/>
      <c r="O299" s="404"/>
      <c r="P299" s="380"/>
      <c r="Q299" s="380"/>
      <c r="R299" s="380"/>
      <c r="S299" s="380"/>
      <c r="T299" s="380"/>
      <c r="U299" s="380"/>
      <c r="V299" s="380"/>
      <c r="W299" s="403"/>
      <c r="X299" s="380"/>
      <c r="Y299" s="380"/>
      <c r="Z299" s="380"/>
      <c r="AA299" s="380"/>
      <c r="AB299" s="380"/>
      <c r="AC299" s="404"/>
      <c r="AD299" s="380"/>
      <c r="AE299" s="380"/>
      <c r="AF299" s="380"/>
      <c r="AG299" s="380"/>
      <c r="AH299" s="380"/>
      <c r="AI299" s="380"/>
      <c r="AJ299" s="380"/>
      <c r="AK299" s="403"/>
      <c r="AL299" s="380"/>
      <c r="AM299" s="380"/>
      <c r="AN299" s="380"/>
      <c r="AO299" s="380"/>
      <c r="AP299" s="380"/>
      <c r="AQ299" s="404"/>
      <c r="AR299" s="380"/>
      <c r="AS299" s="380"/>
      <c r="AT299" s="380"/>
      <c r="AU299" s="380"/>
      <c r="AV299" s="380"/>
      <c r="AW299" s="380"/>
      <c r="AX299" s="380"/>
      <c r="AY299" s="403"/>
      <c r="AZ299" s="380"/>
      <c r="BA299" s="380"/>
      <c r="BB299" s="380"/>
      <c r="BC299" s="380"/>
      <c r="BD299" s="380"/>
      <c r="BE299" s="404"/>
      <c r="BF299" s="380"/>
      <c r="BG299" s="380"/>
      <c r="BH299" s="380"/>
      <c r="BI299" s="380"/>
      <c r="BJ299" s="380"/>
      <c r="BK299" s="380"/>
      <c r="BL299" s="380"/>
      <c r="BM299" s="403"/>
      <c r="BS299" s="83"/>
      <c r="CA299" s="405"/>
      <c r="CG299" s="83"/>
      <c r="CO299" s="405"/>
      <c r="CU299" s="83"/>
      <c r="DC299" s="405"/>
      <c r="DI299" s="83"/>
      <c r="DQ299" s="405"/>
      <c r="DW299" s="83"/>
      <c r="EE299" s="405"/>
      <c r="EK299" s="83"/>
      <c r="ES299" s="405"/>
      <c r="EY299" s="83"/>
      <c r="FG299" s="405"/>
      <c r="FM299" s="83"/>
      <c r="FU299" s="405"/>
      <c r="GA299" s="83"/>
      <c r="GI299" s="405"/>
      <c r="GO299" s="83"/>
      <c r="GW299" s="405"/>
      <c r="HC299" s="83"/>
      <c r="HK299" s="405"/>
      <c r="HQ299" s="83"/>
      <c r="HY299" s="405"/>
      <c r="IE299" s="83"/>
      <c r="IM299" s="405"/>
      <c r="IS299" s="83"/>
      <c r="JA299" s="405"/>
      <c r="JG299" s="83"/>
      <c r="JO299" s="405"/>
      <c r="JU299" s="83"/>
      <c r="KC299" s="405"/>
      <c r="KI299" s="83"/>
      <c r="KQ299" s="405"/>
      <c r="KW299" s="83"/>
      <c r="LE299" s="405"/>
      <c r="LK299" s="83"/>
      <c r="LS299" s="405"/>
      <c r="LY299" s="83"/>
      <c r="MG299" s="405"/>
      <c r="MM299" s="83"/>
      <c r="MU299" s="405"/>
      <c r="NA299" s="83"/>
    </row>
    <row r="300">
      <c r="A300" s="380"/>
      <c r="B300" s="380"/>
      <c r="C300" s="380"/>
      <c r="D300" s="380"/>
      <c r="E300" s="380"/>
      <c r="F300" s="380"/>
      <c r="G300" s="380"/>
      <c r="H300" s="380"/>
      <c r="I300" s="403"/>
      <c r="J300" s="380"/>
      <c r="K300" s="380"/>
      <c r="L300" s="380"/>
      <c r="M300" s="380"/>
      <c r="N300" s="380"/>
      <c r="O300" s="404"/>
      <c r="P300" s="380"/>
      <c r="Q300" s="380"/>
      <c r="R300" s="380"/>
      <c r="S300" s="380"/>
      <c r="T300" s="380"/>
      <c r="U300" s="380"/>
      <c r="V300" s="380"/>
      <c r="W300" s="403"/>
      <c r="X300" s="380"/>
      <c r="Y300" s="380"/>
      <c r="Z300" s="380"/>
      <c r="AA300" s="380"/>
      <c r="AB300" s="380"/>
      <c r="AC300" s="404"/>
      <c r="AD300" s="380"/>
      <c r="AE300" s="380"/>
      <c r="AF300" s="380"/>
      <c r="AG300" s="380"/>
      <c r="AH300" s="380"/>
      <c r="AI300" s="380"/>
      <c r="AJ300" s="380"/>
      <c r="AK300" s="403"/>
      <c r="AL300" s="380"/>
      <c r="AM300" s="380"/>
      <c r="AN300" s="380"/>
      <c r="AO300" s="380"/>
      <c r="AP300" s="380"/>
      <c r="AQ300" s="404"/>
      <c r="AR300" s="380"/>
      <c r="AS300" s="380"/>
      <c r="AT300" s="380"/>
      <c r="AU300" s="380"/>
      <c r="AV300" s="380"/>
      <c r="AW300" s="380"/>
      <c r="AX300" s="380"/>
      <c r="AY300" s="403"/>
      <c r="AZ300" s="380"/>
      <c r="BA300" s="380"/>
      <c r="BB300" s="380"/>
      <c r="BC300" s="380"/>
      <c r="BD300" s="380"/>
      <c r="BE300" s="404"/>
      <c r="BF300" s="380"/>
      <c r="BG300" s="380"/>
      <c r="BH300" s="380"/>
      <c r="BI300" s="380"/>
      <c r="BJ300" s="380"/>
      <c r="BK300" s="380"/>
      <c r="BL300" s="380"/>
      <c r="BM300" s="403"/>
      <c r="BS300" s="83"/>
      <c r="CA300" s="405"/>
      <c r="CG300" s="83"/>
      <c r="CO300" s="405"/>
      <c r="CU300" s="83"/>
      <c r="DC300" s="405"/>
      <c r="DI300" s="83"/>
      <c r="DQ300" s="405"/>
      <c r="DW300" s="83"/>
      <c r="EE300" s="405"/>
      <c r="EK300" s="83"/>
      <c r="ES300" s="405"/>
      <c r="EY300" s="83"/>
      <c r="FG300" s="405"/>
      <c r="FM300" s="83"/>
      <c r="FU300" s="405"/>
      <c r="GA300" s="83"/>
      <c r="GI300" s="405"/>
      <c r="GO300" s="83"/>
      <c r="GW300" s="405"/>
      <c r="HC300" s="83"/>
      <c r="HK300" s="405"/>
      <c r="HQ300" s="83"/>
      <c r="HY300" s="405"/>
      <c r="IE300" s="83"/>
      <c r="IM300" s="405"/>
      <c r="IS300" s="83"/>
      <c r="JA300" s="405"/>
      <c r="JG300" s="83"/>
      <c r="JO300" s="405"/>
      <c r="JU300" s="83"/>
      <c r="KC300" s="405"/>
      <c r="KI300" s="83"/>
      <c r="KQ300" s="405"/>
      <c r="KW300" s="83"/>
      <c r="LE300" s="405"/>
      <c r="LK300" s="83"/>
      <c r="LS300" s="405"/>
      <c r="LY300" s="83"/>
      <c r="MG300" s="405"/>
      <c r="MM300" s="83"/>
      <c r="MU300" s="405"/>
      <c r="NA300" s="83"/>
    </row>
    <row r="301">
      <c r="A301" s="380"/>
      <c r="B301" s="380"/>
      <c r="C301" s="380"/>
      <c r="D301" s="380"/>
      <c r="E301" s="380"/>
      <c r="F301" s="380"/>
      <c r="G301" s="380"/>
      <c r="H301" s="380"/>
      <c r="I301" s="403"/>
      <c r="J301" s="380"/>
      <c r="K301" s="380"/>
      <c r="L301" s="380"/>
      <c r="M301" s="380"/>
      <c r="N301" s="380"/>
      <c r="O301" s="404"/>
      <c r="P301" s="380"/>
      <c r="Q301" s="380"/>
      <c r="R301" s="380"/>
      <c r="S301" s="380"/>
      <c r="T301" s="380"/>
      <c r="U301" s="380"/>
      <c r="V301" s="380"/>
      <c r="W301" s="403"/>
      <c r="X301" s="380"/>
      <c r="Y301" s="380"/>
      <c r="Z301" s="380"/>
      <c r="AA301" s="380"/>
      <c r="AB301" s="380"/>
      <c r="AC301" s="404"/>
      <c r="AD301" s="380"/>
      <c r="AE301" s="380"/>
      <c r="AF301" s="380"/>
      <c r="AG301" s="380"/>
      <c r="AH301" s="380"/>
      <c r="AI301" s="380"/>
      <c r="AJ301" s="380"/>
      <c r="AK301" s="403"/>
      <c r="AL301" s="380"/>
      <c r="AM301" s="380"/>
      <c r="AN301" s="380"/>
      <c r="AO301" s="380"/>
      <c r="AP301" s="380"/>
      <c r="AQ301" s="404"/>
      <c r="AR301" s="380"/>
      <c r="AS301" s="380"/>
      <c r="AT301" s="380"/>
      <c r="AU301" s="380"/>
      <c r="AV301" s="380"/>
      <c r="AW301" s="380"/>
      <c r="AX301" s="380"/>
      <c r="AY301" s="403"/>
      <c r="AZ301" s="380"/>
      <c r="BA301" s="380"/>
      <c r="BB301" s="380"/>
      <c r="BC301" s="380"/>
      <c r="BD301" s="380"/>
      <c r="BE301" s="404"/>
      <c r="BF301" s="380"/>
      <c r="BG301" s="380"/>
      <c r="BH301" s="380"/>
      <c r="BI301" s="380"/>
      <c r="BJ301" s="380"/>
      <c r="BK301" s="380"/>
      <c r="BL301" s="380"/>
      <c r="BM301" s="403"/>
      <c r="BS301" s="83"/>
      <c r="CA301" s="405"/>
      <c r="CG301" s="83"/>
      <c r="CO301" s="405"/>
      <c r="CU301" s="83"/>
      <c r="DC301" s="405"/>
      <c r="DI301" s="83"/>
      <c r="DQ301" s="405"/>
      <c r="DW301" s="83"/>
      <c r="EE301" s="405"/>
      <c r="EK301" s="83"/>
      <c r="ES301" s="405"/>
      <c r="EY301" s="83"/>
      <c r="FG301" s="405"/>
      <c r="FM301" s="83"/>
      <c r="FU301" s="405"/>
      <c r="GA301" s="83"/>
      <c r="GI301" s="405"/>
      <c r="GO301" s="83"/>
      <c r="GW301" s="405"/>
      <c r="HC301" s="83"/>
      <c r="HK301" s="405"/>
      <c r="HQ301" s="83"/>
      <c r="HY301" s="405"/>
      <c r="IE301" s="83"/>
      <c r="IM301" s="405"/>
      <c r="IS301" s="83"/>
      <c r="JA301" s="405"/>
      <c r="JG301" s="83"/>
      <c r="JO301" s="405"/>
      <c r="JU301" s="83"/>
      <c r="KC301" s="405"/>
      <c r="KI301" s="83"/>
      <c r="KQ301" s="405"/>
      <c r="KW301" s="83"/>
      <c r="LE301" s="405"/>
      <c r="LK301" s="83"/>
      <c r="LS301" s="405"/>
      <c r="LY301" s="83"/>
      <c r="MG301" s="405"/>
      <c r="MM301" s="83"/>
      <c r="MU301" s="405"/>
      <c r="NA301" s="83"/>
    </row>
    <row r="302">
      <c r="A302" s="380"/>
      <c r="B302" s="380"/>
      <c r="C302" s="380"/>
      <c r="D302" s="380"/>
      <c r="E302" s="380"/>
      <c r="F302" s="380"/>
      <c r="G302" s="380"/>
      <c r="H302" s="380"/>
      <c r="I302" s="403"/>
      <c r="J302" s="380"/>
      <c r="K302" s="380"/>
      <c r="L302" s="380"/>
      <c r="M302" s="380"/>
      <c r="N302" s="380"/>
      <c r="O302" s="404"/>
      <c r="P302" s="380"/>
      <c r="Q302" s="380"/>
      <c r="R302" s="380"/>
      <c r="S302" s="380"/>
      <c r="T302" s="380"/>
      <c r="U302" s="380"/>
      <c r="V302" s="380"/>
      <c r="W302" s="403"/>
      <c r="X302" s="380"/>
      <c r="Y302" s="380"/>
      <c r="Z302" s="380"/>
      <c r="AA302" s="380"/>
      <c r="AB302" s="380"/>
      <c r="AC302" s="404"/>
      <c r="AD302" s="380"/>
      <c r="AE302" s="380"/>
      <c r="AF302" s="380"/>
      <c r="AG302" s="380"/>
      <c r="AH302" s="380"/>
      <c r="AI302" s="380"/>
      <c r="AJ302" s="380"/>
      <c r="AK302" s="403"/>
      <c r="AL302" s="380"/>
      <c r="AM302" s="380"/>
      <c r="AN302" s="380"/>
      <c r="AO302" s="380"/>
      <c r="AP302" s="380"/>
      <c r="AQ302" s="404"/>
      <c r="AR302" s="380"/>
      <c r="AS302" s="380"/>
      <c r="AT302" s="380"/>
      <c r="AU302" s="380"/>
      <c r="AV302" s="380"/>
      <c r="AW302" s="380"/>
      <c r="AX302" s="380"/>
      <c r="AY302" s="403"/>
      <c r="AZ302" s="380"/>
      <c r="BA302" s="380"/>
      <c r="BB302" s="380"/>
      <c r="BC302" s="380"/>
      <c r="BD302" s="380"/>
      <c r="BE302" s="404"/>
      <c r="BF302" s="380"/>
      <c r="BG302" s="380"/>
      <c r="BH302" s="380"/>
      <c r="BI302" s="380"/>
      <c r="BJ302" s="380"/>
      <c r="BK302" s="380"/>
      <c r="BL302" s="380"/>
      <c r="BM302" s="403"/>
      <c r="BS302" s="83"/>
      <c r="CA302" s="405"/>
      <c r="CG302" s="83"/>
      <c r="CO302" s="405"/>
      <c r="CU302" s="83"/>
      <c r="DC302" s="405"/>
      <c r="DI302" s="83"/>
      <c r="DQ302" s="405"/>
      <c r="DW302" s="83"/>
      <c r="EE302" s="405"/>
      <c r="EK302" s="83"/>
      <c r="ES302" s="405"/>
      <c r="EY302" s="83"/>
      <c r="FG302" s="405"/>
      <c r="FM302" s="83"/>
      <c r="FU302" s="405"/>
      <c r="GA302" s="83"/>
      <c r="GI302" s="405"/>
      <c r="GO302" s="83"/>
      <c r="GW302" s="405"/>
      <c r="HC302" s="83"/>
      <c r="HK302" s="405"/>
      <c r="HQ302" s="83"/>
      <c r="HY302" s="405"/>
      <c r="IE302" s="83"/>
      <c r="IM302" s="405"/>
      <c r="IS302" s="83"/>
      <c r="JA302" s="405"/>
      <c r="JG302" s="83"/>
      <c r="JO302" s="405"/>
      <c r="JU302" s="83"/>
      <c r="KC302" s="405"/>
      <c r="KI302" s="83"/>
      <c r="KQ302" s="405"/>
      <c r="KW302" s="83"/>
      <c r="LE302" s="405"/>
      <c r="LK302" s="83"/>
      <c r="LS302" s="405"/>
      <c r="LY302" s="83"/>
      <c r="MG302" s="405"/>
      <c r="MM302" s="83"/>
      <c r="MU302" s="405"/>
      <c r="NA302" s="83"/>
    </row>
    <row r="303">
      <c r="A303" s="380"/>
      <c r="B303" s="380"/>
      <c r="C303" s="380"/>
      <c r="D303" s="380"/>
      <c r="E303" s="380"/>
      <c r="F303" s="380"/>
      <c r="G303" s="380"/>
      <c r="H303" s="380"/>
      <c r="I303" s="403"/>
      <c r="J303" s="380"/>
      <c r="K303" s="380"/>
      <c r="L303" s="380"/>
      <c r="M303" s="380"/>
      <c r="N303" s="380"/>
      <c r="O303" s="404"/>
      <c r="P303" s="380"/>
      <c r="Q303" s="380"/>
      <c r="R303" s="380"/>
      <c r="S303" s="380"/>
      <c r="T303" s="380"/>
      <c r="U303" s="380"/>
      <c r="V303" s="380"/>
      <c r="W303" s="403"/>
      <c r="X303" s="380"/>
      <c r="Y303" s="380"/>
      <c r="Z303" s="380"/>
      <c r="AA303" s="380"/>
      <c r="AB303" s="380"/>
      <c r="AC303" s="404"/>
      <c r="AD303" s="380"/>
      <c r="AE303" s="380"/>
      <c r="AF303" s="380"/>
      <c r="AG303" s="380"/>
      <c r="AH303" s="380"/>
      <c r="AI303" s="380"/>
      <c r="AJ303" s="380"/>
      <c r="AK303" s="403"/>
      <c r="AL303" s="380"/>
      <c r="AM303" s="380"/>
      <c r="AN303" s="380"/>
      <c r="AO303" s="380"/>
      <c r="AP303" s="380"/>
      <c r="AQ303" s="404"/>
      <c r="AR303" s="380"/>
      <c r="AS303" s="380"/>
      <c r="AT303" s="380"/>
      <c r="AU303" s="380"/>
      <c r="AV303" s="380"/>
      <c r="AW303" s="380"/>
      <c r="AX303" s="380"/>
      <c r="AY303" s="403"/>
      <c r="AZ303" s="380"/>
      <c r="BA303" s="380"/>
      <c r="BB303" s="380"/>
      <c r="BC303" s="380"/>
      <c r="BD303" s="380"/>
      <c r="BE303" s="404"/>
      <c r="BF303" s="380"/>
      <c r="BG303" s="380"/>
      <c r="BH303" s="380"/>
      <c r="BI303" s="380"/>
      <c r="BJ303" s="380"/>
      <c r="BK303" s="380"/>
      <c r="BL303" s="380"/>
      <c r="BM303" s="403"/>
      <c r="BS303" s="83"/>
      <c r="CA303" s="405"/>
      <c r="CG303" s="83"/>
      <c r="CO303" s="405"/>
      <c r="CU303" s="83"/>
      <c r="DC303" s="405"/>
      <c r="DI303" s="83"/>
      <c r="DQ303" s="405"/>
      <c r="DW303" s="83"/>
      <c r="EE303" s="405"/>
      <c r="EK303" s="83"/>
      <c r="ES303" s="405"/>
      <c r="EY303" s="83"/>
      <c r="FG303" s="405"/>
      <c r="FM303" s="83"/>
      <c r="FU303" s="405"/>
      <c r="GA303" s="83"/>
      <c r="GI303" s="405"/>
      <c r="GO303" s="83"/>
      <c r="GW303" s="405"/>
      <c r="HC303" s="83"/>
      <c r="HK303" s="405"/>
      <c r="HQ303" s="83"/>
      <c r="HY303" s="405"/>
      <c r="IE303" s="83"/>
      <c r="IM303" s="405"/>
      <c r="IS303" s="83"/>
      <c r="JA303" s="405"/>
      <c r="JG303" s="83"/>
      <c r="JO303" s="405"/>
      <c r="JU303" s="83"/>
      <c r="KC303" s="405"/>
      <c r="KI303" s="83"/>
      <c r="KQ303" s="405"/>
      <c r="KW303" s="83"/>
      <c r="LE303" s="405"/>
      <c r="LK303" s="83"/>
      <c r="LS303" s="405"/>
      <c r="LY303" s="83"/>
      <c r="MG303" s="405"/>
      <c r="MM303" s="83"/>
      <c r="MU303" s="405"/>
      <c r="NA303" s="83"/>
    </row>
    <row r="304">
      <c r="A304" s="380"/>
      <c r="B304" s="380"/>
      <c r="C304" s="380"/>
      <c r="D304" s="380"/>
      <c r="E304" s="380"/>
      <c r="F304" s="380"/>
      <c r="G304" s="380"/>
      <c r="H304" s="380"/>
      <c r="I304" s="403"/>
      <c r="J304" s="380"/>
      <c r="K304" s="380"/>
      <c r="L304" s="380"/>
      <c r="M304" s="380"/>
      <c r="N304" s="380"/>
      <c r="O304" s="404"/>
      <c r="P304" s="380"/>
      <c r="Q304" s="380"/>
      <c r="R304" s="380"/>
      <c r="S304" s="380"/>
      <c r="T304" s="380"/>
      <c r="U304" s="380"/>
      <c r="V304" s="380"/>
      <c r="W304" s="403"/>
      <c r="X304" s="380"/>
      <c r="Y304" s="380"/>
      <c r="Z304" s="380"/>
      <c r="AA304" s="380"/>
      <c r="AB304" s="380"/>
      <c r="AC304" s="404"/>
      <c r="AD304" s="380"/>
      <c r="AE304" s="380"/>
      <c r="AF304" s="380"/>
      <c r="AG304" s="380"/>
      <c r="AH304" s="380"/>
      <c r="AI304" s="380"/>
      <c r="AJ304" s="380"/>
      <c r="AK304" s="403"/>
      <c r="AL304" s="380"/>
      <c r="AM304" s="380"/>
      <c r="AN304" s="380"/>
      <c r="AO304" s="380"/>
      <c r="AP304" s="380"/>
      <c r="AQ304" s="404"/>
      <c r="AR304" s="380"/>
      <c r="AS304" s="380"/>
      <c r="AT304" s="380"/>
      <c r="AU304" s="380"/>
      <c r="AV304" s="380"/>
      <c r="AW304" s="380"/>
      <c r="AX304" s="380"/>
      <c r="AY304" s="403"/>
      <c r="AZ304" s="380"/>
      <c r="BA304" s="380"/>
      <c r="BB304" s="380"/>
      <c r="BC304" s="380"/>
      <c r="BD304" s="380"/>
      <c r="BE304" s="404"/>
      <c r="BF304" s="380"/>
      <c r="BG304" s="380"/>
      <c r="BH304" s="380"/>
      <c r="BI304" s="380"/>
      <c r="BJ304" s="380"/>
      <c r="BK304" s="380"/>
      <c r="BL304" s="380"/>
      <c r="BM304" s="403"/>
      <c r="BS304" s="83"/>
      <c r="CA304" s="405"/>
      <c r="CG304" s="83"/>
      <c r="CO304" s="405"/>
      <c r="CU304" s="83"/>
      <c r="DC304" s="405"/>
      <c r="DI304" s="83"/>
      <c r="DQ304" s="405"/>
      <c r="DW304" s="83"/>
      <c r="EE304" s="405"/>
      <c r="EK304" s="83"/>
      <c r="ES304" s="405"/>
      <c r="EY304" s="83"/>
      <c r="FG304" s="405"/>
      <c r="FM304" s="83"/>
      <c r="FU304" s="405"/>
      <c r="GA304" s="83"/>
      <c r="GI304" s="405"/>
      <c r="GO304" s="83"/>
      <c r="GW304" s="405"/>
      <c r="HC304" s="83"/>
      <c r="HK304" s="405"/>
      <c r="HQ304" s="83"/>
      <c r="HY304" s="405"/>
      <c r="IE304" s="83"/>
      <c r="IM304" s="405"/>
      <c r="IS304" s="83"/>
      <c r="JA304" s="405"/>
      <c r="JG304" s="83"/>
      <c r="JO304" s="405"/>
      <c r="JU304" s="83"/>
      <c r="KC304" s="405"/>
      <c r="KI304" s="83"/>
      <c r="KQ304" s="405"/>
      <c r="KW304" s="83"/>
      <c r="LE304" s="405"/>
      <c r="LK304" s="83"/>
      <c r="LS304" s="405"/>
      <c r="LY304" s="83"/>
      <c r="MG304" s="405"/>
      <c r="MM304" s="83"/>
      <c r="MU304" s="405"/>
      <c r="NA304" s="83"/>
    </row>
    <row r="305">
      <c r="A305" s="380"/>
      <c r="B305" s="380"/>
      <c r="C305" s="380"/>
      <c r="D305" s="380"/>
      <c r="E305" s="380"/>
      <c r="F305" s="380"/>
      <c r="G305" s="380"/>
      <c r="H305" s="380"/>
      <c r="I305" s="403"/>
      <c r="J305" s="380"/>
      <c r="K305" s="380"/>
      <c r="L305" s="380"/>
      <c r="M305" s="380"/>
      <c r="N305" s="380"/>
      <c r="O305" s="404"/>
      <c r="P305" s="380"/>
      <c r="Q305" s="380"/>
      <c r="R305" s="380"/>
      <c r="S305" s="380"/>
      <c r="T305" s="380"/>
      <c r="U305" s="380"/>
      <c r="V305" s="380"/>
      <c r="W305" s="403"/>
      <c r="X305" s="380"/>
      <c r="Y305" s="380"/>
      <c r="Z305" s="380"/>
      <c r="AA305" s="380"/>
      <c r="AB305" s="380"/>
      <c r="AC305" s="404"/>
      <c r="AD305" s="380"/>
      <c r="AE305" s="380"/>
      <c r="AF305" s="380"/>
      <c r="AG305" s="380"/>
      <c r="AH305" s="380"/>
      <c r="AI305" s="380"/>
      <c r="AJ305" s="380"/>
      <c r="AK305" s="403"/>
      <c r="AL305" s="380"/>
      <c r="AM305" s="380"/>
      <c r="AN305" s="380"/>
      <c r="AO305" s="380"/>
      <c r="AP305" s="380"/>
      <c r="AQ305" s="404"/>
      <c r="AR305" s="380"/>
      <c r="AS305" s="380"/>
      <c r="AT305" s="380"/>
      <c r="AU305" s="380"/>
      <c r="AV305" s="380"/>
      <c r="AW305" s="380"/>
      <c r="AX305" s="380"/>
      <c r="AY305" s="403"/>
      <c r="AZ305" s="380"/>
      <c r="BA305" s="380"/>
      <c r="BB305" s="380"/>
      <c r="BC305" s="380"/>
      <c r="BD305" s="380"/>
      <c r="BE305" s="404"/>
      <c r="BF305" s="380"/>
      <c r="BG305" s="380"/>
      <c r="BH305" s="380"/>
      <c r="BI305" s="380"/>
      <c r="BJ305" s="380"/>
      <c r="BK305" s="380"/>
      <c r="BL305" s="380"/>
      <c r="BM305" s="403"/>
      <c r="BS305" s="83"/>
      <c r="CA305" s="405"/>
      <c r="CG305" s="83"/>
      <c r="CO305" s="405"/>
      <c r="CU305" s="83"/>
      <c r="DC305" s="405"/>
      <c r="DI305" s="83"/>
      <c r="DQ305" s="405"/>
      <c r="DW305" s="83"/>
      <c r="EE305" s="405"/>
      <c r="EK305" s="83"/>
      <c r="ES305" s="405"/>
      <c r="EY305" s="83"/>
      <c r="FG305" s="405"/>
      <c r="FM305" s="83"/>
      <c r="FU305" s="405"/>
      <c r="GA305" s="83"/>
      <c r="GI305" s="405"/>
      <c r="GO305" s="83"/>
      <c r="GW305" s="405"/>
      <c r="HC305" s="83"/>
      <c r="HK305" s="405"/>
      <c r="HQ305" s="83"/>
      <c r="HY305" s="405"/>
      <c r="IE305" s="83"/>
      <c r="IM305" s="405"/>
      <c r="IS305" s="83"/>
      <c r="JA305" s="405"/>
      <c r="JG305" s="83"/>
      <c r="JO305" s="405"/>
      <c r="JU305" s="83"/>
      <c r="KC305" s="405"/>
      <c r="KI305" s="83"/>
      <c r="KQ305" s="405"/>
      <c r="KW305" s="83"/>
      <c r="LE305" s="405"/>
      <c r="LK305" s="83"/>
      <c r="LS305" s="405"/>
      <c r="LY305" s="83"/>
      <c r="MG305" s="405"/>
      <c r="MM305" s="83"/>
      <c r="MU305" s="405"/>
      <c r="NA305" s="83"/>
    </row>
    <row r="306">
      <c r="A306" s="380"/>
      <c r="B306" s="380"/>
      <c r="C306" s="380"/>
      <c r="D306" s="380"/>
      <c r="E306" s="380"/>
      <c r="F306" s="380"/>
      <c r="G306" s="380"/>
      <c r="H306" s="380"/>
      <c r="I306" s="403"/>
      <c r="J306" s="380"/>
      <c r="K306" s="380"/>
      <c r="L306" s="380"/>
      <c r="M306" s="380"/>
      <c r="N306" s="380"/>
      <c r="O306" s="404"/>
      <c r="P306" s="380"/>
      <c r="Q306" s="380"/>
      <c r="R306" s="380"/>
      <c r="S306" s="380"/>
      <c r="T306" s="380"/>
      <c r="U306" s="380"/>
      <c r="V306" s="380"/>
      <c r="W306" s="403"/>
      <c r="X306" s="380"/>
      <c r="Y306" s="380"/>
      <c r="Z306" s="380"/>
      <c r="AA306" s="380"/>
      <c r="AB306" s="380"/>
      <c r="AC306" s="404"/>
      <c r="AD306" s="380"/>
      <c r="AE306" s="380"/>
      <c r="AF306" s="380"/>
      <c r="AG306" s="380"/>
      <c r="AH306" s="380"/>
      <c r="AI306" s="380"/>
      <c r="AJ306" s="380"/>
      <c r="AK306" s="403"/>
      <c r="AL306" s="380"/>
      <c r="AM306" s="380"/>
      <c r="AN306" s="380"/>
      <c r="AO306" s="380"/>
      <c r="AP306" s="380"/>
      <c r="AQ306" s="404"/>
      <c r="AR306" s="380"/>
      <c r="AS306" s="380"/>
      <c r="AT306" s="380"/>
      <c r="AU306" s="380"/>
      <c r="AV306" s="380"/>
      <c r="AW306" s="380"/>
      <c r="AX306" s="380"/>
      <c r="AY306" s="403"/>
      <c r="AZ306" s="380"/>
      <c r="BA306" s="380"/>
      <c r="BB306" s="380"/>
      <c r="BC306" s="380"/>
      <c r="BD306" s="380"/>
      <c r="BE306" s="404"/>
      <c r="BF306" s="380"/>
      <c r="BG306" s="380"/>
      <c r="BH306" s="380"/>
      <c r="BI306" s="380"/>
      <c r="BJ306" s="380"/>
      <c r="BK306" s="380"/>
      <c r="BL306" s="380"/>
      <c r="BM306" s="403"/>
      <c r="BS306" s="83"/>
      <c r="CA306" s="405"/>
      <c r="CG306" s="83"/>
      <c r="CO306" s="405"/>
      <c r="CU306" s="83"/>
      <c r="DC306" s="405"/>
      <c r="DI306" s="83"/>
      <c r="DQ306" s="405"/>
      <c r="DW306" s="83"/>
      <c r="EE306" s="405"/>
      <c r="EK306" s="83"/>
      <c r="ES306" s="405"/>
      <c r="EY306" s="83"/>
      <c r="FG306" s="405"/>
      <c r="FM306" s="83"/>
      <c r="FU306" s="405"/>
      <c r="GA306" s="83"/>
      <c r="GI306" s="405"/>
      <c r="GO306" s="83"/>
      <c r="GW306" s="405"/>
      <c r="HC306" s="83"/>
      <c r="HK306" s="405"/>
      <c r="HQ306" s="83"/>
      <c r="HY306" s="405"/>
      <c r="IE306" s="83"/>
      <c r="IM306" s="405"/>
      <c r="IS306" s="83"/>
      <c r="JA306" s="405"/>
      <c r="JG306" s="83"/>
      <c r="JO306" s="405"/>
      <c r="JU306" s="83"/>
      <c r="KC306" s="405"/>
      <c r="KI306" s="83"/>
      <c r="KQ306" s="405"/>
      <c r="KW306" s="83"/>
      <c r="LE306" s="405"/>
      <c r="LK306" s="83"/>
      <c r="LS306" s="405"/>
      <c r="LY306" s="83"/>
      <c r="MG306" s="405"/>
      <c r="MM306" s="83"/>
      <c r="MU306" s="405"/>
      <c r="NA306" s="83"/>
    </row>
    <row r="307">
      <c r="A307" s="380"/>
      <c r="B307" s="380"/>
      <c r="C307" s="380"/>
      <c r="D307" s="380"/>
      <c r="E307" s="380"/>
      <c r="F307" s="380"/>
      <c r="G307" s="380"/>
      <c r="H307" s="380"/>
      <c r="I307" s="403"/>
      <c r="J307" s="380"/>
      <c r="K307" s="380"/>
      <c r="L307" s="380"/>
      <c r="M307" s="380"/>
      <c r="N307" s="380"/>
      <c r="O307" s="404"/>
      <c r="P307" s="380"/>
      <c r="Q307" s="380"/>
      <c r="R307" s="380"/>
      <c r="S307" s="380"/>
      <c r="T307" s="380"/>
      <c r="U307" s="380"/>
      <c r="V307" s="380"/>
      <c r="W307" s="403"/>
      <c r="X307" s="380"/>
      <c r="Y307" s="380"/>
      <c r="Z307" s="380"/>
      <c r="AA307" s="380"/>
      <c r="AB307" s="380"/>
      <c r="AC307" s="404"/>
      <c r="AD307" s="380"/>
      <c r="AE307" s="380"/>
      <c r="AF307" s="380"/>
      <c r="AG307" s="380"/>
      <c r="AH307" s="380"/>
      <c r="AI307" s="380"/>
      <c r="AJ307" s="380"/>
      <c r="AK307" s="403"/>
      <c r="AL307" s="380"/>
      <c r="AM307" s="380"/>
      <c r="AN307" s="380"/>
      <c r="AO307" s="380"/>
      <c r="AP307" s="380"/>
      <c r="AQ307" s="404"/>
      <c r="AR307" s="380"/>
      <c r="AS307" s="380"/>
      <c r="AT307" s="380"/>
      <c r="AU307" s="380"/>
      <c r="AV307" s="380"/>
      <c r="AW307" s="380"/>
      <c r="AX307" s="380"/>
      <c r="AY307" s="403"/>
      <c r="AZ307" s="380"/>
      <c r="BA307" s="380"/>
      <c r="BB307" s="380"/>
      <c r="BC307" s="380"/>
      <c r="BD307" s="380"/>
      <c r="BE307" s="404"/>
      <c r="BF307" s="380"/>
      <c r="BG307" s="380"/>
      <c r="BH307" s="380"/>
      <c r="BI307" s="380"/>
      <c r="BJ307" s="380"/>
      <c r="BK307" s="380"/>
      <c r="BL307" s="380"/>
      <c r="BM307" s="403"/>
      <c r="BS307" s="83"/>
      <c r="CA307" s="405"/>
      <c r="CG307" s="83"/>
      <c r="CO307" s="405"/>
      <c r="CU307" s="83"/>
      <c r="DC307" s="405"/>
      <c r="DI307" s="83"/>
      <c r="DQ307" s="405"/>
      <c r="DW307" s="83"/>
      <c r="EE307" s="405"/>
      <c r="EK307" s="83"/>
      <c r="ES307" s="405"/>
      <c r="EY307" s="83"/>
      <c r="FG307" s="405"/>
      <c r="FM307" s="83"/>
      <c r="FU307" s="405"/>
      <c r="GA307" s="83"/>
      <c r="GI307" s="405"/>
      <c r="GO307" s="83"/>
      <c r="GW307" s="405"/>
      <c r="HC307" s="83"/>
      <c r="HK307" s="405"/>
      <c r="HQ307" s="83"/>
      <c r="HY307" s="405"/>
      <c r="IE307" s="83"/>
      <c r="IM307" s="405"/>
      <c r="IS307" s="83"/>
      <c r="JA307" s="405"/>
      <c r="JG307" s="83"/>
      <c r="JO307" s="405"/>
      <c r="JU307" s="83"/>
      <c r="KC307" s="405"/>
      <c r="KI307" s="83"/>
      <c r="KQ307" s="405"/>
      <c r="KW307" s="83"/>
      <c r="LE307" s="405"/>
      <c r="LK307" s="83"/>
      <c r="LS307" s="405"/>
      <c r="LY307" s="83"/>
      <c r="MG307" s="405"/>
      <c r="MM307" s="83"/>
      <c r="MU307" s="405"/>
      <c r="NA307" s="83"/>
    </row>
    <row r="308">
      <c r="A308" s="380"/>
      <c r="B308" s="380"/>
      <c r="C308" s="380"/>
      <c r="D308" s="380"/>
      <c r="E308" s="380"/>
      <c r="F308" s="380"/>
      <c r="G308" s="380"/>
      <c r="H308" s="380"/>
      <c r="I308" s="403"/>
      <c r="J308" s="380"/>
      <c r="K308" s="380"/>
      <c r="L308" s="380"/>
      <c r="M308" s="380"/>
      <c r="N308" s="380"/>
      <c r="O308" s="404"/>
      <c r="P308" s="380"/>
      <c r="Q308" s="380"/>
      <c r="R308" s="380"/>
      <c r="S308" s="380"/>
      <c r="T308" s="380"/>
      <c r="U308" s="380"/>
      <c r="V308" s="380"/>
      <c r="W308" s="403"/>
      <c r="X308" s="380"/>
      <c r="Y308" s="380"/>
      <c r="Z308" s="380"/>
      <c r="AA308" s="380"/>
      <c r="AB308" s="380"/>
      <c r="AC308" s="404"/>
      <c r="AD308" s="380"/>
      <c r="AE308" s="380"/>
      <c r="AF308" s="380"/>
      <c r="AG308" s="380"/>
      <c r="AH308" s="380"/>
      <c r="AI308" s="380"/>
      <c r="AJ308" s="380"/>
      <c r="AK308" s="403"/>
      <c r="AL308" s="380"/>
      <c r="AM308" s="380"/>
      <c r="AN308" s="380"/>
      <c r="AO308" s="380"/>
      <c r="AP308" s="380"/>
      <c r="AQ308" s="404"/>
      <c r="AR308" s="380"/>
      <c r="AS308" s="380"/>
      <c r="AT308" s="380"/>
      <c r="AU308" s="380"/>
      <c r="AV308" s="380"/>
      <c r="AW308" s="380"/>
      <c r="AX308" s="380"/>
      <c r="AY308" s="403"/>
      <c r="AZ308" s="380"/>
      <c r="BA308" s="380"/>
      <c r="BB308" s="380"/>
      <c r="BC308" s="380"/>
      <c r="BD308" s="380"/>
      <c r="BE308" s="404"/>
      <c r="BF308" s="380"/>
      <c r="BG308" s="380"/>
      <c r="BH308" s="380"/>
      <c r="BI308" s="380"/>
      <c r="BJ308" s="380"/>
      <c r="BK308" s="380"/>
      <c r="BL308" s="380"/>
      <c r="BM308" s="403"/>
      <c r="BS308" s="83"/>
      <c r="CA308" s="405"/>
      <c r="CG308" s="83"/>
      <c r="CO308" s="405"/>
      <c r="CU308" s="83"/>
      <c r="DC308" s="405"/>
      <c r="DI308" s="83"/>
      <c r="DQ308" s="405"/>
      <c r="DW308" s="83"/>
      <c r="EE308" s="405"/>
      <c r="EK308" s="83"/>
      <c r="ES308" s="405"/>
      <c r="EY308" s="83"/>
      <c r="FG308" s="405"/>
      <c r="FM308" s="83"/>
      <c r="FU308" s="405"/>
      <c r="GA308" s="83"/>
      <c r="GI308" s="405"/>
      <c r="GO308" s="83"/>
      <c r="GW308" s="405"/>
      <c r="HC308" s="83"/>
      <c r="HK308" s="405"/>
      <c r="HQ308" s="83"/>
      <c r="HY308" s="405"/>
      <c r="IE308" s="83"/>
      <c r="IM308" s="405"/>
      <c r="IS308" s="83"/>
      <c r="JA308" s="405"/>
      <c r="JG308" s="83"/>
      <c r="JO308" s="405"/>
      <c r="JU308" s="83"/>
      <c r="KC308" s="405"/>
      <c r="KI308" s="83"/>
      <c r="KQ308" s="405"/>
      <c r="KW308" s="83"/>
      <c r="LE308" s="405"/>
      <c r="LK308" s="83"/>
      <c r="LS308" s="405"/>
      <c r="LY308" s="83"/>
      <c r="MG308" s="405"/>
      <c r="MM308" s="83"/>
      <c r="MU308" s="405"/>
      <c r="NA308" s="83"/>
    </row>
    <row r="309">
      <c r="A309" s="380"/>
      <c r="B309" s="380"/>
      <c r="C309" s="380"/>
      <c r="D309" s="380"/>
      <c r="E309" s="380"/>
      <c r="F309" s="380"/>
      <c r="G309" s="380"/>
      <c r="H309" s="380"/>
      <c r="I309" s="403"/>
      <c r="J309" s="380"/>
      <c r="K309" s="380"/>
      <c r="L309" s="380"/>
      <c r="M309" s="380"/>
      <c r="N309" s="380"/>
      <c r="O309" s="404"/>
      <c r="P309" s="380"/>
      <c r="Q309" s="380"/>
      <c r="R309" s="380"/>
      <c r="S309" s="380"/>
      <c r="T309" s="380"/>
      <c r="U309" s="380"/>
      <c r="V309" s="380"/>
      <c r="W309" s="403"/>
      <c r="X309" s="380"/>
      <c r="Y309" s="380"/>
      <c r="Z309" s="380"/>
      <c r="AA309" s="380"/>
      <c r="AB309" s="380"/>
      <c r="AC309" s="404"/>
      <c r="AD309" s="380"/>
      <c r="AE309" s="380"/>
      <c r="AF309" s="380"/>
      <c r="AG309" s="380"/>
      <c r="AH309" s="380"/>
      <c r="AI309" s="380"/>
      <c r="AJ309" s="380"/>
      <c r="AK309" s="403"/>
      <c r="AL309" s="380"/>
      <c r="AM309" s="380"/>
      <c r="AN309" s="380"/>
      <c r="AO309" s="380"/>
      <c r="AP309" s="380"/>
      <c r="AQ309" s="404"/>
      <c r="AR309" s="380"/>
      <c r="AS309" s="380"/>
      <c r="AT309" s="380"/>
      <c r="AU309" s="380"/>
      <c r="AV309" s="380"/>
      <c r="AW309" s="380"/>
      <c r="AX309" s="380"/>
      <c r="AY309" s="403"/>
      <c r="AZ309" s="380"/>
      <c r="BA309" s="380"/>
      <c r="BB309" s="380"/>
      <c r="BC309" s="380"/>
      <c r="BD309" s="380"/>
      <c r="BE309" s="404"/>
      <c r="BF309" s="380"/>
      <c r="BG309" s="380"/>
      <c r="BH309" s="380"/>
      <c r="BI309" s="380"/>
      <c r="BJ309" s="380"/>
      <c r="BK309" s="380"/>
      <c r="BL309" s="380"/>
      <c r="BM309" s="403"/>
      <c r="BS309" s="83"/>
      <c r="CA309" s="405"/>
      <c r="CG309" s="83"/>
      <c r="CO309" s="405"/>
      <c r="CU309" s="83"/>
      <c r="DC309" s="405"/>
      <c r="DI309" s="83"/>
      <c r="DQ309" s="405"/>
      <c r="DW309" s="83"/>
      <c r="EE309" s="405"/>
      <c r="EK309" s="83"/>
      <c r="ES309" s="405"/>
      <c r="EY309" s="83"/>
      <c r="FG309" s="405"/>
      <c r="FM309" s="83"/>
      <c r="FU309" s="405"/>
      <c r="GA309" s="83"/>
      <c r="GI309" s="405"/>
      <c r="GO309" s="83"/>
      <c r="GW309" s="405"/>
      <c r="HC309" s="83"/>
      <c r="HK309" s="405"/>
      <c r="HQ309" s="83"/>
      <c r="HY309" s="405"/>
      <c r="IE309" s="83"/>
      <c r="IM309" s="405"/>
      <c r="IS309" s="83"/>
      <c r="JA309" s="405"/>
      <c r="JG309" s="83"/>
      <c r="JO309" s="405"/>
      <c r="JU309" s="83"/>
      <c r="KC309" s="405"/>
      <c r="KI309" s="83"/>
      <c r="KQ309" s="405"/>
      <c r="KW309" s="83"/>
      <c r="LE309" s="405"/>
      <c r="LK309" s="83"/>
      <c r="LS309" s="405"/>
      <c r="LY309" s="83"/>
      <c r="MG309" s="405"/>
      <c r="MM309" s="83"/>
      <c r="MU309" s="405"/>
      <c r="NA309" s="83"/>
    </row>
    <row r="310">
      <c r="A310" s="380"/>
      <c r="B310" s="380"/>
      <c r="C310" s="380"/>
      <c r="D310" s="380"/>
      <c r="E310" s="380"/>
      <c r="F310" s="380"/>
      <c r="G310" s="380"/>
      <c r="H310" s="380"/>
      <c r="I310" s="403"/>
      <c r="J310" s="380"/>
      <c r="K310" s="380"/>
      <c r="L310" s="380"/>
      <c r="M310" s="380"/>
      <c r="N310" s="380"/>
      <c r="O310" s="404"/>
      <c r="P310" s="380"/>
      <c r="Q310" s="380"/>
      <c r="R310" s="380"/>
      <c r="S310" s="380"/>
      <c r="T310" s="380"/>
      <c r="U310" s="380"/>
      <c r="V310" s="380"/>
      <c r="W310" s="403"/>
      <c r="X310" s="380"/>
      <c r="Y310" s="380"/>
      <c r="Z310" s="380"/>
      <c r="AA310" s="380"/>
      <c r="AB310" s="380"/>
      <c r="AC310" s="404"/>
      <c r="AD310" s="380"/>
      <c r="AE310" s="380"/>
      <c r="AF310" s="380"/>
      <c r="AG310" s="380"/>
      <c r="AH310" s="380"/>
      <c r="AI310" s="380"/>
      <c r="AJ310" s="380"/>
      <c r="AK310" s="403"/>
      <c r="AL310" s="380"/>
      <c r="AM310" s="380"/>
      <c r="AN310" s="380"/>
      <c r="AO310" s="380"/>
      <c r="AP310" s="380"/>
      <c r="AQ310" s="404"/>
      <c r="AR310" s="380"/>
      <c r="AS310" s="380"/>
      <c r="AT310" s="380"/>
      <c r="AU310" s="380"/>
      <c r="AV310" s="380"/>
      <c r="AW310" s="380"/>
      <c r="AX310" s="380"/>
      <c r="AY310" s="403"/>
      <c r="AZ310" s="380"/>
      <c r="BA310" s="380"/>
      <c r="BB310" s="380"/>
      <c r="BC310" s="380"/>
      <c r="BD310" s="380"/>
      <c r="BE310" s="404"/>
      <c r="BF310" s="380"/>
      <c r="BG310" s="380"/>
      <c r="BH310" s="380"/>
      <c r="BI310" s="380"/>
      <c r="BJ310" s="380"/>
      <c r="BK310" s="380"/>
      <c r="BL310" s="380"/>
      <c r="BM310" s="403"/>
      <c r="BS310" s="83"/>
      <c r="CA310" s="405"/>
      <c r="CG310" s="83"/>
      <c r="CO310" s="405"/>
      <c r="CU310" s="83"/>
      <c r="DC310" s="405"/>
      <c r="DI310" s="83"/>
      <c r="DQ310" s="405"/>
      <c r="DW310" s="83"/>
      <c r="EE310" s="405"/>
      <c r="EK310" s="83"/>
      <c r="ES310" s="405"/>
      <c r="EY310" s="83"/>
      <c r="FG310" s="405"/>
      <c r="FM310" s="83"/>
      <c r="FU310" s="405"/>
      <c r="GA310" s="83"/>
      <c r="GI310" s="405"/>
      <c r="GO310" s="83"/>
      <c r="GW310" s="405"/>
      <c r="HC310" s="83"/>
      <c r="HK310" s="405"/>
      <c r="HQ310" s="83"/>
      <c r="HY310" s="405"/>
      <c r="IE310" s="83"/>
      <c r="IM310" s="405"/>
      <c r="IS310" s="83"/>
      <c r="JA310" s="405"/>
      <c r="JG310" s="83"/>
      <c r="JO310" s="405"/>
      <c r="JU310" s="83"/>
      <c r="KC310" s="405"/>
      <c r="KI310" s="83"/>
      <c r="KQ310" s="405"/>
      <c r="KW310" s="83"/>
      <c r="LE310" s="405"/>
      <c r="LK310" s="83"/>
      <c r="LS310" s="405"/>
      <c r="LY310" s="83"/>
      <c r="MG310" s="405"/>
      <c r="MM310" s="83"/>
      <c r="MU310" s="405"/>
      <c r="NA310" s="83"/>
    </row>
    <row r="311">
      <c r="A311" s="380"/>
      <c r="B311" s="380"/>
      <c r="C311" s="380"/>
      <c r="D311" s="380"/>
      <c r="E311" s="380"/>
      <c r="F311" s="380"/>
      <c r="G311" s="380"/>
      <c r="H311" s="380"/>
      <c r="I311" s="403"/>
      <c r="J311" s="380"/>
      <c r="K311" s="380"/>
      <c r="L311" s="380"/>
      <c r="M311" s="380"/>
      <c r="N311" s="380"/>
      <c r="O311" s="404"/>
      <c r="P311" s="380"/>
      <c r="Q311" s="380"/>
      <c r="R311" s="380"/>
      <c r="S311" s="380"/>
      <c r="T311" s="380"/>
      <c r="U311" s="380"/>
      <c r="V311" s="380"/>
      <c r="W311" s="403"/>
      <c r="X311" s="380"/>
      <c r="Y311" s="380"/>
      <c r="Z311" s="380"/>
      <c r="AA311" s="380"/>
      <c r="AB311" s="380"/>
      <c r="AC311" s="404"/>
      <c r="AD311" s="380"/>
      <c r="AE311" s="380"/>
      <c r="AF311" s="380"/>
      <c r="AG311" s="380"/>
      <c r="AH311" s="380"/>
      <c r="AI311" s="380"/>
      <c r="AJ311" s="380"/>
      <c r="AK311" s="403"/>
      <c r="AL311" s="380"/>
      <c r="AM311" s="380"/>
      <c r="AN311" s="380"/>
      <c r="AO311" s="380"/>
      <c r="AP311" s="380"/>
      <c r="AQ311" s="404"/>
      <c r="AR311" s="380"/>
      <c r="AS311" s="380"/>
      <c r="AT311" s="380"/>
      <c r="AU311" s="380"/>
      <c r="AV311" s="380"/>
      <c r="AW311" s="380"/>
      <c r="AX311" s="380"/>
      <c r="AY311" s="403"/>
      <c r="AZ311" s="380"/>
      <c r="BA311" s="380"/>
      <c r="BB311" s="380"/>
      <c r="BC311" s="380"/>
      <c r="BD311" s="380"/>
      <c r="BE311" s="404"/>
      <c r="BF311" s="380"/>
      <c r="BG311" s="380"/>
      <c r="BH311" s="380"/>
      <c r="BI311" s="380"/>
      <c r="BJ311" s="380"/>
      <c r="BK311" s="380"/>
      <c r="BL311" s="380"/>
      <c r="BM311" s="403"/>
      <c r="BS311" s="83"/>
      <c r="CA311" s="405"/>
      <c r="CG311" s="83"/>
      <c r="CO311" s="405"/>
      <c r="CU311" s="83"/>
      <c r="DC311" s="405"/>
      <c r="DI311" s="83"/>
      <c r="DQ311" s="405"/>
      <c r="DW311" s="83"/>
      <c r="EE311" s="405"/>
      <c r="EK311" s="83"/>
      <c r="ES311" s="405"/>
      <c r="EY311" s="83"/>
      <c r="FG311" s="405"/>
      <c r="FM311" s="83"/>
      <c r="FU311" s="405"/>
      <c r="GA311" s="83"/>
      <c r="GI311" s="405"/>
      <c r="GO311" s="83"/>
      <c r="GW311" s="405"/>
      <c r="HC311" s="83"/>
      <c r="HK311" s="405"/>
      <c r="HQ311" s="83"/>
      <c r="HY311" s="405"/>
      <c r="IE311" s="83"/>
      <c r="IM311" s="405"/>
      <c r="IS311" s="83"/>
      <c r="JA311" s="405"/>
      <c r="JG311" s="83"/>
      <c r="JO311" s="405"/>
      <c r="JU311" s="83"/>
      <c r="KC311" s="405"/>
      <c r="KI311" s="83"/>
      <c r="KQ311" s="405"/>
      <c r="KW311" s="83"/>
      <c r="LE311" s="405"/>
      <c r="LK311" s="83"/>
      <c r="LS311" s="405"/>
      <c r="LY311" s="83"/>
      <c r="MG311" s="405"/>
      <c r="MM311" s="83"/>
      <c r="MU311" s="405"/>
      <c r="NA311" s="83"/>
    </row>
    <row r="312">
      <c r="A312" s="380"/>
      <c r="B312" s="380"/>
      <c r="C312" s="380"/>
      <c r="D312" s="380"/>
      <c r="E312" s="380"/>
      <c r="F312" s="380"/>
      <c r="G312" s="380"/>
      <c r="H312" s="380"/>
      <c r="I312" s="403"/>
      <c r="J312" s="380"/>
      <c r="K312" s="380"/>
      <c r="L312" s="380"/>
      <c r="M312" s="380"/>
      <c r="N312" s="380"/>
      <c r="O312" s="404"/>
      <c r="P312" s="380"/>
      <c r="Q312" s="380"/>
      <c r="R312" s="380"/>
      <c r="S312" s="380"/>
      <c r="T312" s="380"/>
      <c r="U312" s="380"/>
      <c r="V312" s="380"/>
      <c r="W312" s="403"/>
      <c r="X312" s="380"/>
      <c r="Y312" s="380"/>
      <c r="Z312" s="380"/>
      <c r="AA312" s="380"/>
      <c r="AB312" s="380"/>
      <c r="AC312" s="404"/>
      <c r="AD312" s="380"/>
      <c r="AE312" s="380"/>
      <c r="AF312" s="380"/>
      <c r="AG312" s="380"/>
      <c r="AH312" s="380"/>
      <c r="AI312" s="380"/>
      <c r="AJ312" s="380"/>
      <c r="AK312" s="403"/>
      <c r="AL312" s="380"/>
      <c r="AM312" s="380"/>
      <c r="AN312" s="380"/>
      <c r="AO312" s="380"/>
      <c r="AP312" s="380"/>
      <c r="AQ312" s="404"/>
      <c r="AR312" s="380"/>
      <c r="AS312" s="380"/>
      <c r="AT312" s="380"/>
      <c r="AU312" s="380"/>
      <c r="AV312" s="380"/>
      <c r="AW312" s="380"/>
      <c r="AX312" s="380"/>
      <c r="AY312" s="403"/>
      <c r="AZ312" s="380"/>
      <c r="BA312" s="380"/>
      <c r="BB312" s="380"/>
      <c r="BC312" s="380"/>
      <c r="BD312" s="380"/>
      <c r="BE312" s="404"/>
      <c r="BF312" s="380"/>
      <c r="BG312" s="380"/>
      <c r="BH312" s="380"/>
      <c r="BI312" s="380"/>
      <c r="BJ312" s="380"/>
      <c r="BK312" s="380"/>
      <c r="BL312" s="380"/>
      <c r="BM312" s="403"/>
      <c r="BS312" s="83"/>
      <c r="CA312" s="405"/>
      <c r="CG312" s="83"/>
      <c r="CO312" s="405"/>
      <c r="CU312" s="83"/>
      <c r="DC312" s="405"/>
      <c r="DI312" s="83"/>
      <c r="DQ312" s="405"/>
      <c r="DW312" s="83"/>
      <c r="EE312" s="405"/>
      <c r="EK312" s="83"/>
      <c r="ES312" s="405"/>
      <c r="EY312" s="83"/>
      <c r="FG312" s="405"/>
      <c r="FM312" s="83"/>
      <c r="FU312" s="405"/>
      <c r="GA312" s="83"/>
      <c r="GI312" s="405"/>
      <c r="GO312" s="83"/>
      <c r="GW312" s="405"/>
      <c r="HC312" s="83"/>
      <c r="HK312" s="405"/>
      <c r="HQ312" s="83"/>
      <c r="HY312" s="405"/>
      <c r="IE312" s="83"/>
      <c r="IM312" s="405"/>
      <c r="IS312" s="83"/>
      <c r="JA312" s="405"/>
      <c r="JG312" s="83"/>
      <c r="JO312" s="405"/>
      <c r="JU312" s="83"/>
      <c r="KC312" s="405"/>
      <c r="KI312" s="83"/>
      <c r="KQ312" s="405"/>
      <c r="KW312" s="83"/>
      <c r="LE312" s="405"/>
      <c r="LK312" s="83"/>
      <c r="LS312" s="405"/>
      <c r="LY312" s="83"/>
      <c r="MG312" s="405"/>
      <c r="MM312" s="83"/>
      <c r="MU312" s="405"/>
      <c r="NA312" s="83"/>
    </row>
    <row r="313">
      <c r="A313" s="380"/>
      <c r="B313" s="380"/>
      <c r="C313" s="380"/>
      <c r="D313" s="380"/>
      <c r="E313" s="380"/>
      <c r="F313" s="380"/>
      <c r="G313" s="380"/>
      <c r="H313" s="380"/>
      <c r="I313" s="403"/>
      <c r="J313" s="380"/>
      <c r="K313" s="380"/>
      <c r="L313" s="380"/>
      <c r="M313" s="380"/>
      <c r="N313" s="380"/>
      <c r="O313" s="404"/>
      <c r="P313" s="380"/>
      <c r="Q313" s="380"/>
      <c r="R313" s="380"/>
      <c r="S313" s="380"/>
      <c r="T313" s="380"/>
      <c r="U313" s="380"/>
      <c r="V313" s="380"/>
      <c r="W313" s="403"/>
      <c r="X313" s="380"/>
      <c r="Y313" s="380"/>
      <c r="Z313" s="380"/>
      <c r="AA313" s="380"/>
      <c r="AB313" s="380"/>
      <c r="AC313" s="404"/>
      <c r="AD313" s="380"/>
      <c r="AE313" s="380"/>
      <c r="AF313" s="380"/>
      <c r="AG313" s="380"/>
      <c r="AH313" s="380"/>
      <c r="AI313" s="380"/>
      <c r="AJ313" s="380"/>
      <c r="AK313" s="403"/>
      <c r="AL313" s="380"/>
      <c r="AM313" s="380"/>
      <c r="AN313" s="380"/>
      <c r="AO313" s="380"/>
      <c r="AP313" s="380"/>
      <c r="AQ313" s="404"/>
      <c r="AR313" s="380"/>
      <c r="AS313" s="380"/>
      <c r="AT313" s="380"/>
      <c r="AU313" s="380"/>
      <c r="AV313" s="380"/>
      <c r="AW313" s="380"/>
      <c r="AX313" s="380"/>
      <c r="AY313" s="403"/>
      <c r="AZ313" s="380"/>
      <c r="BA313" s="380"/>
      <c r="BB313" s="380"/>
      <c r="BC313" s="380"/>
      <c r="BD313" s="380"/>
      <c r="BE313" s="404"/>
      <c r="BF313" s="380"/>
      <c r="BG313" s="380"/>
      <c r="BH313" s="380"/>
      <c r="BI313" s="380"/>
      <c r="BJ313" s="380"/>
      <c r="BK313" s="380"/>
      <c r="BL313" s="380"/>
      <c r="BM313" s="403"/>
      <c r="BS313" s="83"/>
      <c r="CA313" s="405"/>
      <c r="CG313" s="83"/>
      <c r="CO313" s="405"/>
      <c r="CU313" s="83"/>
      <c r="DC313" s="405"/>
      <c r="DI313" s="83"/>
      <c r="DQ313" s="405"/>
      <c r="DW313" s="83"/>
      <c r="EE313" s="405"/>
      <c r="EK313" s="83"/>
      <c r="ES313" s="405"/>
      <c r="EY313" s="83"/>
      <c r="FG313" s="405"/>
      <c r="FM313" s="83"/>
      <c r="FU313" s="405"/>
      <c r="GA313" s="83"/>
      <c r="GI313" s="405"/>
      <c r="GO313" s="83"/>
      <c r="GW313" s="405"/>
      <c r="HC313" s="83"/>
      <c r="HK313" s="405"/>
      <c r="HQ313" s="83"/>
      <c r="HY313" s="405"/>
      <c r="IE313" s="83"/>
      <c r="IM313" s="405"/>
      <c r="IS313" s="83"/>
      <c r="JA313" s="405"/>
      <c r="JG313" s="83"/>
      <c r="JO313" s="405"/>
      <c r="JU313" s="83"/>
      <c r="KC313" s="405"/>
      <c r="KI313" s="83"/>
      <c r="KQ313" s="405"/>
      <c r="KW313" s="83"/>
      <c r="LE313" s="405"/>
      <c r="LK313" s="83"/>
      <c r="LS313" s="405"/>
      <c r="LY313" s="83"/>
      <c r="MG313" s="405"/>
      <c r="MM313" s="83"/>
      <c r="MU313" s="405"/>
      <c r="NA313" s="83"/>
    </row>
    <row r="314">
      <c r="A314" s="380"/>
      <c r="B314" s="380"/>
      <c r="C314" s="380"/>
      <c r="D314" s="380"/>
      <c r="E314" s="380"/>
      <c r="F314" s="380"/>
      <c r="G314" s="380"/>
      <c r="H314" s="380"/>
      <c r="I314" s="403"/>
      <c r="J314" s="380"/>
      <c r="K314" s="380"/>
      <c r="L314" s="380"/>
      <c r="M314" s="380"/>
      <c r="N314" s="380"/>
      <c r="O314" s="404"/>
      <c r="P314" s="380"/>
      <c r="Q314" s="380"/>
      <c r="R314" s="380"/>
      <c r="S314" s="380"/>
      <c r="T314" s="380"/>
      <c r="U314" s="380"/>
      <c r="V314" s="380"/>
      <c r="W314" s="403"/>
      <c r="X314" s="380"/>
      <c r="Y314" s="380"/>
      <c r="Z314" s="380"/>
      <c r="AA314" s="380"/>
      <c r="AB314" s="380"/>
      <c r="AC314" s="404"/>
      <c r="AD314" s="380"/>
      <c r="AE314" s="380"/>
      <c r="AF314" s="380"/>
      <c r="AG314" s="380"/>
      <c r="AH314" s="380"/>
      <c r="AI314" s="380"/>
      <c r="AJ314" s="380"/>
      <c r="AK314" s="403"/>
      <c r="AL314" s="380"/>
      <c r="AM314" s="380"/>
      <c r="AN314" s="380"/>
      <c r="AO314" s="380"/>
      <c r="AP314" s="380"/>
      <c r="AQ314" s="404"/>
      <c r="AR314" s="380"/>
      <c r="AS314" s="380"/>
      <c r="AT314" s="380"/>
      <c r="AU314" s="380"/>
      <c r="AV314" s="380"/>
      <c r="AW314" s="380"/>
      <c r="AX314" s="380"/>
      <c r="AY314" s="403"/>
      <c r="AZ314" s="380"/>
      <c r="BA314" s="380"/>
      <c r="BB314" s="380"/>
      <c r="BC314" s="380"/>
      <c r="BD314" s="380"/>
      <c r="BE314" s="404"/>
      <c r="BF314" s="380"/>
      <c r="BG314" s="380"/>
      <c r="BH314" s="380"/>
      <c r="BI314" s="380"/>
      <c r="BJ314" s="380"/>
      <c r="BK314" s="380"/>
      <c r="BL314" s="380"/>
      <c r="BM314" s="403"/>
      <c r="BS314" s="83"/>
      <c r="CA314" s="405"/>
      <c r="CG314" s="83"/>
      <c r="CO314" s="405"/>
      <c r="CU314" s="83"/>
      <c r="DC314" s="405"/>
      <c r="DI314" s="83"/>
      <c r="DQ314" s="405"/>
      <c r="DW314" s="83"/>
      <c r="EE314" s="405"/>
      <c r="EK314" s="83"/>
      <c r="ES314" s="405"/>
      <c r="EY314" s="83"/>
      <c r="FG314" s="405"/>
      <c r="FM314" s="83"/>
      <c r="FU314" s="405"/>
      <c r="GA314" s="83"/>
      <c r="GI314" s="405"/>
      <c r="GO314" s="83"/>
      <c r="GW314" s="405"/>
      <c r="HC314" s="83"/>
      <c r="HK314" s="405"/>
      <c r="HQ314" s="83"/>
      <c r="HY314" s="405"/>
      <c r="IE314" s="83"/>
      <c r="IM314" s="405"/>
      <c r="IS314" s="83"/>
      <c r="JA314" s="405"/>
      <c r="JG314" s="83"/>
      <c r="JO314" s="405"/>
      <c r="JU314" s="83"/>
      <c r="KC314" s="405"/>
      <c r="KI314" s="83"/>
      <c r="KQ314" s="405"/>
      <c r="KW314" s="83"/>
      <c r="LE314" s="405"/>
      <c r="LK314" s="83"/>
      <c r="LS314" s="405"/>
      <c r="LY314" s="83"/>
      <c r="MG314" s="405"/>
      <c r="MM314" s="83"/>
      <c r="MU314" s="405"/>
      <c r="NA314" s="83"/>
    </row>
    <row r="315">
      <c r="A315" s="380"/>
      <c r="B315" s="380"/>
      <c r="C315" s="380"/>
      <c r="D315" s="380"/>
      <c r="E315" s="380"/>
      <c r="F315" s="380"/>
      <c r="G315" s="380"/>
      <c r="H315" s="380"/>
      <c r="I315" s="403"/>
      <c r="J315" s="380"/>
      <c r="K315" s="380"/>
      <c r="L315" s="380"/>
      <c r="M315" s="380"/>
      <c r="N315" s="380"/>
      <c r="O315" s="404"/>
      <c r="P315" s="380"/>
      <c r="Q315" s="380"/>
      <c r="R315" s="380"/>
      <c r="S315" s="380"/>
      <c r="T315" s="380"/>
      <c r="U315" s="380"/>
      <c r="V315" s="380"/>
      <c r="W315" s="403"/>
      <c r="X315" s="380"/>
      <c r="Y315" s="380"/>
      <c r="Z315" s="380"/>
      <c r="AA315" s="380"/>
      <c r="AB315" s="380"/>
      <c r="AC315" s="404"/>
      <c r="AD315" s="380"/>
      <c r="AE315" s="380"/>
      <c r="AF315" s="380"/>
      <c r="AG315" s="380"/>
      <c r="AH315" s="380"/>
      <c r="AI315" s="380"/>
      <c r="AJ315" s="380"/>
      <c r="AK315" s="403"/>
      <c r="AL315" s="380"/>
      <c r="AM315" s="380"/>
      <c r="AN315" s="380"/>
      <c r="AO315" s="380"/>
      <c r="AP315" s="380"/>
      <c r="AQ315" s="404"/>
      <c r="AR315" s="380"/>
      <c r="AS315" s="380"/>
      <c r="AT315" s="380"/>
      <c r="AU315" s="380"/>
      <c r="AV315" s="380"/>
      <c r="AW315" s="380"/>
      <c r="AX315" s="380"/>
      <c r="AY315" s="403"/>
      <c r="AZ315" s="380"/>
      <c r="BA315" s="380"/>
      <c r="BB315" s="380"/>
      <c r="BC315" s="380"/>
      <c r="BD315" s="380"/>
      <c r="BE315" s="404"/>
      <c r="BF315" s="380"/>
      <c r="BG315" s="380"/>
      <c r="BH315" s="380"/>
      <c r="BI315" s="380"/>
      <c r="BJ315" s="380"/>
      <c r="BK315" s="380"/>
      <c r="BL315" s="380"/>
      <c r="BM315" s="403"/>
      <c r="BS315" s="83"/>
      <c r="CA315" s="405"/>
      <c r="CG315" s="83"/>
      <c r="CO315" s="405"/>
      <c r="CU315" s="83"/>
      <c r="DC315" s="405"/>
      <c r="DI315" s="83"/>
      <c r="DQ315" s="405"/>
      <c r="DW315" s="83"/>
      <c r="EE315" s="405"/>
      <c r="EK315" s="83"/>
      <c r="ES315" s="405"/>
      <c r="EY315" s="83"/>
      <c r="FG315" s="405"/>
      <c r="FM315" s="83"/>
      <c r="FU315" s="405"/>
      <c r="GA315" s="83"/>
      <c r="GI315" s="405"/>
      <c r="GO315" s="83"/>
      <c r="GW315" s="405"/>
      <c r="HC315" s="83"/>
      <c r="HK315" s="405"/>
      <c r="HQ315" s="83"/>
      <c r="HY315" s="405"/>
      <c r="IE315" s="83"/>
      <c r="IM315" s="405"/>
      <c r="IS315" s="83"/>
      <c r="JA315" s="405"/>
      <c r="JG315" s="83"/>
      <c r="JO315" s="405"/>
      <c r="JU315" s="83"/>
      <c r="KC315" s="405"/>
      <c r="KI315" s="83"/>
      <c r="KQ315" s="405"/>
      <c r="KW315" s="83"/>
      <c r="LE315" s="405"/>
      <c r="LK315" s="83"/>
      <c r="LS315" s="405"/>
      <c r="LY315" s="83"/>
      <c r="MG315" s="405"/>
      <c r="MM315" s="83"/>
      <c r="MU315" s="405"/>
      <c r="NA315" s="83"/>
    </row>
    <row r="316">
      <c r="A316" s="380"/>
      <c r="B316" s="380"/>
      <c r="C316" s="380"/>
      <c r="D316" s="380"/>
      <c r="E316" s="380"/>
      <c r="F316" s="380"/>
      <c r="G316" s="380"/>
      <c r="H316" s="380"/>
      <c r="I316" s="403"/>
      <c r="J316" s="380"/>
      <c r="K316" s="380"/>
      <c r="L316" s="380"/>
      <c r="M316" s="380"/>
      <c r="N316" s="380"/>
      <c r="O316" s="404"/>
      <c r="P316" s="380"/>
      <c r="Q316" s="380"/>
      <c r="R316" s="380"/>
      <c r="S316" s="380"/>
      <c r="T316" s="380"/>
      <c r="U316" s="380"/>
      <c r="V316" s="380"/>
      <c r="W316" s="403"/>
      <c r="X316" s="380"/>
      <c r="Y316" s="380"/>
      <c r="Z316" s="380"/>
      <c r="AA316" s="380"/>
      <c r="AB316" s="380"/>
      <c r="AC316" s="404"/>
      <c r="AD316" s="380"/>
      <c r="AE316" s="380"/>
      <c r="AF316" s="380"/>
      <c r="AG316" s="380"/>
      <c r="AH316" s="380"/>
      <c r="AI316" s="380"/>
      <c r="AJ316" s="380"/>
      <c r="AK316" s="403"/>
      <c r="AL316" s="380"/>
      <c r="AM316" s="380"/>
      <c r="AN316" s="380"/>
      <c r="AO316" s="380"/>
      <c r="AP316" s="380"/>
      <c r="AQ316" s="404"/>
      <c r="AR316" s="380"/>
      <c r="AS316" s="380"/>
      <c r="AT316" s="380"/>
      <c r="AU316" s="380"/>
      <c r="AV316" s="380"/>
      <c r="AW316" s="380"/>
      <c r="AX316" s="380"/>
      <c r="AY316" s="403"/>
      <c r="AZ316" s="380"/>
      <c r="BA316" s="380"/>
      <c r="BB316" s="380"/>
      <c r="BC316" s="380"/>
      <c r="BD316" s="380"/>
      <c r="BE316" s="404"/>
      <c r="BF316" s="380"/>
      <c r="BG316" s="380"/>
      <c r="BH316" s="380"/>
      <c r="BI316" s="380"/>
      <c r="BJ316" s="380"/>
      <c r="BK316" s="380"/>
      <c r="BL316" s="380"/>
      <c r="BM316" s="403"/>
      <c r="BS316" s="83"/>
      <c r="CA316" s="405"/>
      <c r="CG316" s="83"/>
      <c r="CO316" s="405"/>
      <c r="CU316" s="83"/>
      <c r="DC316" s="405"/>
      <c r="DI316" s="83"/>
      <c r="DQ316" s="405"/>
      <c r="DW316" s="83"/>
      <c r="EE316" s="405"/>
      <c r="EK316" s="83"/>
      <c r="ES316" s="405"/>
      <c r="EY316" s="83"/>
      <c r="FG316" s="405"/>
      <c r="FM316" s="83"/>
      <c r="FU316" s="405"/>
      <c r="GA316" s="83"/>
      <c r="GI316" s="405"/>
      <c r="GO316" s="83"/>
      <c r="GW316" s="405"/>
      <c r="HC316" s="83"/>
      <c r="HK316" s="405"/>
      <c r="HQ316" s="83"/>
      <c r="HY316" s="405"/>
      <c r="IE316" s="83"/>
      <c r="IM316" s="405"/>
      <c r="IS316" s="83"/>
      <c r="JA316" s="405"/>
      <c r="JG316" s="83"/>
      <c r="JO316" s="405"/>
      <c r="JU316" s="83"/>
      <c r="KC316" s="405"/>
      <c r="KI316" s="83"/>
      <c r="KQ316" s="405"/>
      <c r="KW316" s="83"/>
      <c r="LE316" s="405"/>
      <c r="LK316" s="83"/>
      <c r="LS316" s="405"/>
      <c r="LY316" s="83"/>
      <c r="MG316" s="405"/>
      <c r="MM316" s="83"/>
      <c r="MU316" s="405"/>
      <c r="NA316" s="83"/>
    </row>
    <row r="317">
      <c r="A317" s="380"/>
      <c r="B317" s="380"/>
      <c r="C317" s="380"/>
      <c r="D317" s="380"/>
      <c r="E317" s="380"/>
      <c r="F317" s="380"/>
      <c r="G317" s="380"/>
      <c r="H317" s="380"/>
      <c r="I317" s="403"/>
      <c r="J317" s="380"/>
      <c r="K317" s="380"/>
      <c r="L317" s="380"/>
      <c r="M317" s="380"/>
      <c r="N317" s="380"/>
      <c r="O317" s="404"/>
      <c r="P317" s="380"/>
      <c r="Q317" s="380"/>
      <c r="R317" s="380"/>
      <c r="S317" s="380"/>
      <c r="T317" s="380"/>
      <c r="U317" s="380"/>
      <c r="V317" s="380"/>
      <c r="W317" s="403"/>
      <c r="X317" s="380"/>
      <c r="Y317" s="380"/>
      <c r="Z317" s="380"/>
      <c r="AA317" s="380"/>
      <c r="AB317" s="380"/>
      <c r="AC317" s="404"/>
      <c r="AD317" s="380"/>
      <c r="AE317" s="380"/>
      <c r="AF317" s="380"/>
      <c r="AG317" s="380"/>
      <c r="AH317" s="380"/>
      <c r="AI317" s="380"/>
      <c r="AJ317" s="380"/>
      <c r="AK317" s="403"/>
      <c r="AL317" s="380"/>
      <c r="AM317" s="380"/>
      <c r="AN317" s="380"/>
      <c r="AO317" s="380"/>
      <c r="AP317" s="380"/>
      <c r="AQ317" s="404"/>
      <c r="AR317" s="380"/>
      <c r="AS317" s="380"/>
      <c r="AT317" s="380"/>
      <c r="AU317" s="380"/>
      <c r="AV317" s="380"/>
      <c r="AW317" s="380"/>
      <c r="AX317" s="380"/>
      <c r="AY317" s="403"/>
      <c r="AZ317" s="380"/>
      <c r="BA317" s="380"/>
      <c r="BB317" s="380"/>
      <c r="BC317" s="380"/>
      <c r="BD317" s="380"/>
      <c r="BE317" s="404"/>
      <c r="BF317" s="380"/>
      <c r="BG317" s="380"/>
      <c r="BH317" s="380"/>
      <c r="BI317" s="380"/>
      <c r="BJ317" s="380"/>
      <c r="BK317" s="380"/>
      <c r="BL317" s="380"/>
      <c r="BM317" s="403"/>
      <c r="BS317" s="83"/>
      <c r="CA317" s="405"/>
      <c r="CG317" s="83"/>
      <c r="CO317" s="405"/>
      <c r="CU317" s="83"/>
      <c r="DC317" s="405"/>
      <c r="DI317" s="83"/>
      <c r="DQ317" s="405"/>
      <c r="DW317" s="83"/>
      <c r="EE317" s="405"/>
      <c r="EK317" s="83"/>
      <c r="ES317" s="405"/>
      <c r="EY317" s="83"/>
      <c r="FG317" s="405"/>
      <c r="FM317" s="83"/>
      <c r="FU317" s="405"/>
      <c r="GA317" s="83"/>
      <c r="GI317" s="405"/>
      <c r="GO317" s="83"/>
      <c r="GW317" s="405"/>
      <c r="HC317" s="83"/>
      <c r="HK317" s="405"/>
      <c r="HQ317" s="83"/>
      <c r="HY317" s="405"/>
      <c r="IE317" s="83"/>
      <c r="IM317" s="405"/>
      <c r="IS317" s="83"/>
      <c r="JA317" s="405"/>
      <c r="JG317" s="83"/>
      <c r="JO317" s="405"/>
      <c r="JU317" s="83"/>
      <c r="KC317" s="405"/>
      <c r="KI317" s="83"/>
      <c r="KQ317" s="405"/>
      <c r="KW317" s="83"/>
      <c r="LE317" s="405"/>
      <c r="LK317" s="83"/>
      <c r="LS317" s="405"/>
      <c r="LY317" s="83"/>
      <c r="MG317" s="405"/>
      <c r="MM317" s="83"/>
      <c r="MU317" s="405"/>
      <c r="NA317" s="83"/>
    </row>
    <row r="318">
      <c r="A318" s="380"/>
      <c r="B318" s="380"/>
      <c r="C318" s="380"/>
      <c r="D318" s="380"/>
      <c r="E318" s="380"/>
      <c r="F318" s="380"/>
      <c r="G318" s="380"/>
      <c r="H318" s="380"/>
      <c r="I318" s="403"/>
      <c r="J318" s="380"/>
      <c r="K318" s="380"/>
      <c r="L318" s="380"/>
      <c r="M318" s="380"/>
      <c r="N318" s="380"/>
      <c r="O318" s="404"/>
      <c r="P318" s="380"/>
      <c r="Q318" s="380"/>
      <c r="R318" s="380"/>
      <c r="S318" s="380"/>
      <c r="T318" s="380"/>
      <c r="U318" s="380"/>
      <c r="V318" s="380"/>
      <c r="W318" s="403"/>
      <c r="X318" s="380"/>
      <c r="Y318" s="380"/>
      <c r="Z318" s="380"/>
      <c r="AA318" s="380"/>
      <c r="AB318" s="380"/>
      <c r="AC318" s="404"/>
      <c r="AD318" s="380"/>
      <c r="AE318" s="380"/>
      <c r="AF318" s="380"/>
      <c r="AG318" s="380"/>
      <c r="AH318" s="380"/>
      <c r="AI318" s="380"/>
      <c r="AJ318" s="380"/>
      <c r="AK318" s="403"/>
      <c r="AL318" s="380"/>
      <c r="AM318" s="380"/>
      <c r="AN318" s="380"/>
      <c r="AO318" s="380"/>
      <c r="AP318" s="380"/>
      <c r="AQ318" s="404"/>
      <c r="AR318" s="380"/>
      <c r="AS318" s="380"/>
      <c r="AT318" s="380"/>
      <c r="AU318" s="380"/>
      <c r="AV318" s="380"/>
      <c r="AW318" s="380"/>
      <c r="AX318" s="380"/>
      <c r="AY318" s="403"/>
      <c r="AZ318" s="380"/>
      <c r="BA318" s="380"/>
      <c r="BB318" s="380"/>
      <c r="BC318" s="380"/>
      <c r="BD318" s="380"/>
      <c r="BE318" s="404"/>
      <c r="BF318" s="380"/>
      <c r="BG318" s="380"/>
      <c r="BH318" s="380"/>
      <c r="BI318" s="380"/>
      <c r="BJ318" s="380"/>
      <c r="BK318" s="380"/>
      <c r="BL318" s="380"/>
      <c r="BM318" s="403"/>
      <c r="BS318" s="83"/>
      <c r="CA318" s="405"/>
      <c r="CG318" s="83"/>
      <c r="CO318" s="405"/>
      <c r="CU318" s="83"/>
      <c r="DC318" s="405"/>
      <c r="DI318" s="83"/>
      <c r="DQ318" s="405"/>
      <c r="DW318" s="83"/>
      <c r="EE318" s="405"/>
      <c r="EK318" s="83"/>
      <c r="ES318" s="405"/>
      <c r="EY318" s="83"/>
      <c r="FG318" s="405"/>
      <c r="FM318" s="83"/>
      <c r="FU318" s="405"/>
      <c r="GA318" s="83"/>
      <c r="GI318" s="405"/>
      <c r="GO318" s="83"/>
      <c r="GW318" s="405"/>
      <c r="HC318" s="83"/>
      <c r="HK318" s="405"/>
      <c r="HQ318" s="83"/>
      <c r="HY318" s="405"/>
      <c r="IE318" s="83"/>
      <c r="IM318" s="405"/>
      <c r="IS318" s="83"/>
      <c r="JA318" s="405"/>
      <c r="JG318" s="83"/>
      <c r="JO318" s="405"/>
      <c r="JU318" s="83"/>
      <c r="KC318" s="405"/>
      <c r="KI318" s="83"/>
      <c r="KQ318" s="405"/>
      <c r="KW318" s="83"/>
      <c r="LE318" s="405"/>
      <c r="LK318" s="83"/>
      <c r="LS318" s="405"/>
      <c r="LY318" s="83"/>
      <c r="MG318" s="405"/>
      <c r="MM318" s="83"/>
      <c r="MU318" s="405"/>
      <c r="NA318" s="83"/>
    </row>
    <row r="319">
      <c r="A319" s="380"/>
      <c r="B319" s="380"/>
      <c r="C319" s="380"/>
      <c r="D319" s="380"/>
      <c r="E319" s="380"/>
      <c r="F319" s="380"/>
      <c r="G319" s="380"/>
      <c r="H319" s="380"/>
      <c r="I319" s="403"/>
      <c r="J319" s="380"/>
      <c r="K319" s="380"/>
      <c r="L319" s="380"/>
      <c r="M319" s="380"/>
      <c r="N319" s="380"/>
      <c r="O319" s="404"/>
      <c r="P319" s="380"/>
      <c r="Q319" s="380"/>
      <c r="R319" s="380"/>
      <c r="S319" s="380"/>
      <c r="T319" s="380"/>
      <c r="U319" s="380"/>
      <c r="V319" s="380"/>
      <c r="W319" s="403"/>
      <c r="X319" s="380"/>
      <c r="Y319" s="380"/>
      <c r="Z319" s="380"/>
      <c r="AA319" s="380"/>
      <c r="AB319" s="380"/>
      <c r="AC319" s="404"/>
      <c r="AD319" s="380"/>
      <c r="AE319" s="380"/>
      <c r="AF319" s="380"/>
      <c r="AG319" s="380"/>
      <c r="AH319" s="380"/>
      <c r="AI319" s="380"/>
      <c r="AJ319" s="380"/>
      <c r="AK319" s="403"/>
      <c r="AL319" s="380"/>
      <c r="AM319" s="380"/>
      <c r="AN319" s="380"/>
      <c r="AO319" s="380"/>
      <c r="AP319" s="380"/>
      <c r="AQ319" s="404"/>
      <c r="AR319" s="380"/>
      <c r="AS319" s="380"/>
      <c r="AT319" s="380"/>
      <c r="AU319" s="380"/>
      <c r="AV319" s="380"/>
      <c r="AW319" s="380"/>
      <c r="AX319" s="380"/>
      <c r="AY319" s="403"/>
      <c r="AZ319" s="380"/>
      <c r="BA319" s="380"/>
      <c r="BB319" s="380"/>
      <c r="BC319" s="380"/>
      <c r="BD319" s="380"/>
      <c r="BE319" s="404"/>
      <c r="BF319" s="380"/>
      <c r="BG319" s="380"/>
      <c r="BH319" s="380"/>
      <c r="BI319" s="380"/>
      <c r="BJ319" s="380"/>
      <c r="BK319" s="380"/>
      <c r="BL319" s="380"/>
      <c r="BM319" s="403"/>
      <c r="BS319" s="83"/>
      <c r="CA319" s="405"/>
      <c r="CG319" s="83"/>
      <c r="CO319" s="405"/>
      <c r="CU319" s="83"/>
      <c r="DC319" s="405"/>
      <c r="DI319" s="83"/>
      <c r="DQ319" s="405"/>
      <c r="DW319" s="83"/>
      <c r="EE319" s="405"/>
      <c r="EK319" s="83"/>
      <c r="ES319" s="405"/>
      <c r="EY319" s="83"/>
      <c r="FG319" s="405"/>
      <c r="FM319" s="83"/>
      <c r="FU319" s="405"/>
      <c r="GA319" s="83"/>
      <c r="GI319" s="405"/>
      <c r="GO319" s="83"/>
      <c r="GW319" s="405"/>
      <c r="HC319" s="83"/>
      <c r="HK319" s="405"/>
      <c r="HQ319" s="83"/>
      <c r="HY319" s="405"/>
      <c r="IE319" s="83"/>
      <c r="IM319" s="405"/>
      <c r="IS319" s="83"/>
      <c r="JA319" s="405"/>
      <c r="JG319" s="83"/>
      <c r="JO319" s="405"/>
      <c r="JU319" s="83"/>
      <c r="KC319" s="405"/>
      <c r="KI319" s="83"/>
      <c r="KQ319" s="405"/>
      <c r="KW319" s="83"/>
      <c r="LE319" s="405"/>
      <c r="LK319" s="83"/>
      <c r="LS319" s="405"/>
      <c r="LY319" s="83"/>
      <c r="MG319" s="405"/>
      <c r="MM319" s="83"/>
      <c r="MU319" s="405"/>
      <c r="NA319" s="83"/>
    </row>
    <row r="320">
      <c r="A320" s="380"/>
      <c r="B320" s="380"/>
      <c r="C320" s="380"/>
      <c r="D320" s="380"/>
      <c r="E320" s="380"/>
      <c r="F320" s="380"/>
      <c r="G320" s="380"/>
      <c r="H320" s="380"/>
      <c r="I320" s="403"/>
      <c r="J320" s="380"/>
      <c r="K320" s="380"/>
      <c r="L320" s="380"/>
      <c r="M320" s="380"/>
      <c r="N320" s="380"/>
      <c r="O320" s="404"/>
      <c r="P320" s="380"/>
      <c r="Q320" s="380"/>
      <c r="R320" s="380"/>
      <c r="S320" s="380"/>
      <c r="T320" s="380"/>
      <c r="U320" s="380"/>
      <c r="V320" s="380"/>
      <c r="W320" s="403"/>
      <c r="X320" s="380"/>
      <c r="Y320" s="380"/>
      <c r="Z320" s="380"/>
      <c r="AA320" s="380"/>
      <c r="AB320" s="380"/>
      <c r="AC320" s="404"/>
      <c r="AD320" s="380"/>
      <c r="AE320" s="380"/>
      <c r="AF320" s="380"/>
      <c r="AG320" s="380"/>
      <c r="AH320" s="380"/>
      <c r="AI320" s="380"/>
      <c r="AJ320" s="380"/>
      <c r="AK320" s="403"/>
      <c r="AL320" s="380"/>
      <c r="AM320" s="380"/>
      <c r="AN320" s="380"/>
      <c r="AO320" s="380"/>
      <c r="AP320" s="380"/>
      <c r="AQ320" s="404"/>
      <c r="AR320" s="380"/>
      <c r="AS320" s="380"/>
      <c r="AT320" s="380"/>
      <c r="AU320" s="380"/>
      <c r="AV320" s="380"/>
      <c r="AW320" s="380"/>
      <c r="AX320" s="380"/>
      <c r="AY320" s="403"/>
      <c r="AZ320" s="380"/>
      <c r="BA320" s="380"/>
      <c r="BB320" s="380"/>
      <c r="BC320" s="380"/>
      <c r="BD320" s="380"/>
      <c r="BE320" s="404"/>
      <c r="BF320" s="380"/>
      <c r="BG320" s="380"/>
      <c r="BH320" s="380"/>
      <c r="BI320" s="380"/>
      <c r="BJ320" s="380"/>
      <c r="BK320" s="380"/>
      <c r="BL320" s="380"/>
      <c r="BM320" s="403"/>
      <c r="BS320" s="83"/>
      <c r="CA320" s="405"/>
      <c r="CG320" s="83"/>
      <c r="CO320" s="405"/>
      <c r="CU320" s="83"/>
      <c r="DC320" s="405"/>
      <c r="DI320" s="83"/>
      <c r="DQ320" s="405"/>
      <c r="DW320" s="83"/>
      <c r="EE320" s="405"/>
      <c r="EK320" s="83"/>
      <c r="ES320" s="405"/>
      <c r="EY320" s="83"/>
      <c r="FG320" s="405"/>
      <c r="FM320" s="83"/>
      <c r="FU320" s="405"/>
      <c r="GA320" s="83"/>
      <c r="GI320" s="405"/>
      <c r="GO320" s="83"/>
      <c r="GW320" s="405"/>
      <c r="HC320" s="83"/>
      <c r="HK320" s="405"/>
      <c r="HQ320" s="83"/>
      <c r="HY320" s="405"/>
      <c r="IE320" s="83"/>
      <c r="IM320" s="405"/>
      <c r="IS320" s="83"/>
      <c r="JA320" s="405"/>
      <c r="JG320" s="83"/>
      <c r="JO320" s="405"/>
      <c r="JU320" s="83"/>
      <c r="KC320" s="405"/>
      <c r="KI320" s="83"/>
      <c r="KQ320" s="405"/>
      <c r="KW320" s="83"/>
      <c r="LE320" s="405"/>
      <c r="LK320" s="83"/>
      <c r="LS320" s="405"/>
      <c r="LY320" s="83"/>
      <c r="MG320" s="405"/>
      <c r="MM320" s="83"/>
      <c r="MU320" s="405"/>
      <c r="NA320" s="83"/>
    </row>
    <row r="321">
      <c r="A321" s="380"/>
      <c r="B321" s="380"/>
      <c r="C321" s="380"/>
      <c r="D321" s="380"/>
      <c r="E321" s="380"/>
      <c r="F321" s="380"/>
      <c r="G321" s="380"/>
      <c r="H321" s="380"/>
      <c r="I321" s="403"/>
      <c r="J321" s="380"/>
      <c r="K321" s="380"/>
      <c r="L321" s="380"/>
      <c r="M321" s="380"/>
      <c r="N321" s="380"/>
      <c r="O321" s="404"/>
      <c r="P321" s="380"/>
      <c r="Q321" s="380"/>
      <c r="R321" s="380"/>
      <c r="S321" s="380"/>
      <c r="T321" s="380"/>
      <c r="U321" s="380"/>
      <c r="V321" s="380"/>
      <c r="W321" s="403"/>
      <c r="X321" s="380"/>
      <c r="Y321" s="380"/>
      <c r="Z321" s="380"/>
      <c r="AA321" s="380"/>
      <c r="AB321" s="380"/>
      <c r="AC321" s="404"/>
      <c r="AD321" s="380"/>
      <c r="AE321" s="380"/>
      <c r="AF321" s="380"/>
      <c r="AG321" s="380"/>
      <c r="AH321" s="380"/>
      <c r="AI321" s="380"/>
      <c r="AJ321" s="380"/>
      <c r="AK321" s="403"/>
      <c r="AL321" s="380"/>
      <c r="AM321" s="380"/>
      <c r="AN321" s="380"/>
      <c r="AO321" s="380"/>
      <c r="AP321" s="380"/>
      <c r="AQ321" s="404"/>
      <c r="AR321" s="380"/>
      <c r="AS321" s="380"/>
      <c r="AT321" s="380"/>
      <c r="AU321" s="380"/>
      <c r="AV321" s="380"/>
      <c r="AW321" s="380"/>
      <c r="AX321" s="380"/>
      <c r="AY321" s="403"/>
      <c r="AZ321" s="380"/>
      <c r="BA321" s="380"/>
      <c r="BB321" s="380"/>
      <c r="BC321" s="380"/>
      <c r="BD321" s="380"/>
      <c r="BE321" s="404"/>
      <c r="BF321" s="380"/>
      <c r="BG321" s="380"/>
      <c r="BH321" s="380"/>
      <c r="BI321" s="380"/>
      <c r="BJ321" s="380"/>
      <c r="BK321" s="380"/>
      <c r="BL321" s="380"/>
      <c r="BM321" s="403"/>
      <c r="BS321" s="83"/>
      <c r="CA321" s="405"/>
      <c r="CG321" s="83"/>
      <c r="CO321" s="405"/>
      <c r="CU321" s="83"/>
      <c r="DC321" s="405"/>
      <c r="DI321" s="83"/>
      <c r="DQ321" s="405"/>
      <c r="DW321" s="83"/>
      <c r="EE321" s="405"/>
      <c r="EK321" s="83"/>
      <c r="ES321" s="405"/>
      <c r="EY321" s="83"/>
      <c r="FG321" s="405"/>
      <c r="FM321" s="83"/>
      <c r="FU321" s="405"/>
      <c r="GA321" s="83"/>
      <c r="GI321" s="405"/>
      <c r="GO321" s="83"/>
      <c r="GW321" s="405"/>
      <c r="HC321" s="83"/>
      <c r="HK321" s="405"/>
      <c r="HQ321" s="83"/>
      <c r="HY321" s="405"/>
      <c r="IE321" s="83"/>
      <c r="IM321" s="405"/>
      <c r="IS321" s="83"/>
      <c r="JA321" s="405"/>
      <c r="JG321" s="83"/>
      <c r="JO321" s="405"/>
      <c r="JU321" s="83"/>
      <c r="KC321" s="405"/>
      <c r="KI321" s="83"/>
      <c r="KQ321" s="405"/>
      <c r="KW321" s="83"/>
      <c r="LE321" s="405"/>
      <c r="LK321" s="83"/>
      <c r="LS321" s="405"/>
      <c r="LY321" s="83"/>
      <c r="MG321" s="405"/>
      <c r="MM321" s="83"/>
      <c r="MU321" s="405"/>
      <c r="NA321" s="83"/>
    </row>
    <row r="322">
      <c r="A322" s="380"/>
      <c r="B322" s="380"/>
      <c r="C322" s="380"/>
      <c r="D322" s="380"/>
      <c r="E322" s="380"/>
      <c r="F322" s="380"/>
      <c r="G322" s="380"/>
      <c r="H322" s="380"/>
      <c r="I322" s="403"/>
      <c r="J322" s="380"/>
      <c r="K322" s="380"/>
      <c r="L322" s="380"/>
      <c r="M322" s="380"/>
      <c r="N322" s="380"/>
      <c r="O322" s="404"/>
      <c r="P322" s="380"/>
      <c r="Q322" s="380"/>
      <c r="R322" s="380"/>
      <c r="S322" s="380"/>
      <c r="T322" s="380"/>
      <c r="U322" s="380"/>
      <c r="V322" s="380"/>
      <c r="W322" s="403"/>
      <c r="X322" s="380"/>
      <c r="Y322" s="380"/>
      <c r="Z322" s="380"/>
      <c r="AA322" s="380"/>
      <c r="AB322" s="380"/>
      <c r="AC322" s="404"/>
      <c r="AD322" s="380"/>
      <c r="AE322" s="380"/>
      <c r="AF322" s="380"/>
      <c r="AG322" s="380"/>
      <c r="AH322" s="380"/>
      <c r="AI322" s="380"/>
      <c r="AJ322" s="380"/>
      <c r="AK322" s="403"/>
      <c r="AL322" s="380"/>
      <c r="AM322" s="380"/>
      <c r="AN322" s="380"/>
      <c r="AO322" s="380"/>
      <c r="AP322" s="380"/>
      <c r="AQ322" s="404"/>
      <c r="AR322" s="380"/>
      <c r="AS322" s="380"/>
      <c r="AT322" s="380"/>
      <c r="AU322" s="380"/>
      <c r="AV322" s="380"/>
      <c r="AW322" s="380"/>
      <c r="AX322" s="380"/>
      <c r="AY322" s="403"/>
      <c r="AZ322" s="380"/>
      <c r="BA322" s="380"/>
      <c r="BB322" s="380"/>
      <c r="BC322" s="380"/>
      <c r="BD322" s="380"/>
      <c r="BE322" s="404"/>
      <c r="BF322" s="380"/>
      <c r="BG322" s="380"/>
      <c r="BH322" s="380"/>
      <c r="BI322" s="380"/>
      <c r="BJ322" s="380"/>
      <c r="BK322" s="380"/>
      <c r="BL322" s="380"/>
      <c r="BM322" s="403"/>
      <c r="BS322" s="83"/>
      <c r="CA322" s="405"/>
      <c r="CG322" s="83"/>
      <c r="CO322" s="405"/>
      <c r="CU322" s="83"/>
      <c r="DC322" s="405"/>
      <c r="DI322" s="83"/>
      <c r="DQ322" s="405"/>
      <c r="DW322" s="83"/>
      <c r="EE322" s="405"/>
      <c r="EK322" s="83"/>
      <c r="ES322" s="405"/>
      <c r="EY322" s="83"/>
      <c r="FG322" s="405"/>
      <c r="FM322" s="83"/>
      <c r="FU322" s="405"/>
      <c r="GA322" s="83"/>
      <c r="GI322" s="405"/>
      <c r="GO322" s="83"/>
      <c r="GW322" s="405"/>
      <c r="HC322" s="83"/>
      <c r="HK322" s="405"/>
      <c r="HQ322" s="83"/>
      <c r="HY322" s="405"/>
      <c r="IE322" s="83"/>
      <c r="IM322" s="405"/>
      <c r="IS322" s="83"/>
      <c r="JA322" s="405"/>
      <c r="JG322" s="83"/>
      <c r="JO322" s="405"/>
      <c r="JU322" s="83"/>
      <c r="KC322" s="405"/>
      <c r="KI322" s="83"/>
      <c r="KQ322" s="405"/>
      <c r="KW322" s="83"/>
      <c r="LE322" s="405"/>
      <c r="LK322" s="83"/>
      <c r="LS322" s="405"/>
      <c r="LY322" s="83"/>
      <c r="MG322" s="405"/>
      <c r="MM322" s="83"/>
      <c r="MU322" s="405"/>
      <c r="NA322" s="83"/>
    </row>
    <row r="323">
      <c r="A323" s="380"/>
      <c r="B323" s="380"/>
      <c r="C323" s="380"/>
      <c r="D323" s="380"/>
      <c r="E323" s="380"/>
      <c r="F323" s="380"/>
      <c r="G323" s="380"/>
      <c r="H323" s="380"/>
      <c r="I323" s="403"/>
      <c r="J323" s="380"/>
      <c r="K323" s="380"/>
      <c r="L323" s="380"/>
      <c r="M323" s="380"/>
      <c r="N323" s="380"/>
      <c r="O323" s="404"/>
      <c r="P323" s="380"/>
      <c r="Q323" s="380"/>
      <c r="R323" s="380"/>
      <c r="S323" s="380"/>
      <c r="T323" s="380"/>
      <c r="U323" s="380"/>
      <c r="V323" s="380"/>
      <c r="W323" s="403"/>
      <c r="X323" s="380"/>
      <c r="Y323" s="380"/>
      <c r="Z323" s="380"/>
      <c r="AA323" s="380"/>
      <c r="AB323" s="380"/>
      <c r="AC323" s="404"/>
      <c r="AD323" s="380"/>
      <c r="AE323" s="380"/>
      <c r="AF323" s="380"/>
      <c r="AG323" s="380"/>
      <c r="AH323" s="380"/>
      <c r="AI323" s="380"/>
      <c r="AJ323" s="380"/>
      <c r="AK323" s="403"/>
      <c r="AL323" s="380"/>
      <c r="AM323" s="380"/>
      <c r="AN323" s="380"/>
      <c r="AO323" s="380"/>
      <c r="AP323" s="380"/>
      <c r="AQ323" s="404"/>
      <c r="AR323" s="380"/>
      <c r="AS323" s="380"/>
      <c r="AT323" s="380"/>
      <c r="AU323" s="380"/>
      <c r="AV323" s="380"/>
      <c r="AW323" s="380"/>
      <c r="AX323" s="380"/>
      <c r="AY323" s="403"/>
      <c r="AZ323" s="380"/>
      <c r="BA323" s="380"/>
      <c r="BB323" s="380"/>
      <c r="BC323" s="380"/>
      <c r="BD323" s="380"/>
      <c r="BE323" s="404"/>
      <c r="BF323" s="380"/>
      <c r="BG323" s="380"/>
      <c r="BH323" s="380"/>
      <c r="BI323" s="380"/>
      <c r="BJ323" s="380"/>
      <c r="BK323" s="380"/>
      <c r="BL323" s="380"/>
      <c r="BM323" s="403"/>
      <c r="BS323" s="83"/>
      <c r="CA323" s="405"/>
      <c r="CG323" s="83"/>
      <c r="CO323" s="405"/>
      <c r="CU323" s="83"/>
      <c r="DC323" s="405"/>
      <c r="DI323" s="83"/>
      <c r="DQ323" s="405"/>
      <c r="DW323" s="83"/>
      <c r="EE323" s="405"/>
      <c r="EK323" s="83"/>
      <c r="ES323" s="405"/>
      <c r="EY323" s="83"/>
      <c r="FG323" s="405"/>
      <c r="FM323" s="83"/>
      <c r="FU323" s="405"/>
      <c r="GA323" s="83"/>
      <c r="GI323" s="405"/>
      <c r="GO323" s="83"/>
      <c r="GW323" s="405"/>
      <c r="HC323" s="83"/>
      <c r="HK323" s="405"/>
      <c r="HQ323" s="83"/>
      <c r="HY323" s="405"/>
      <c r="IE323" s="83"/>
      <c r="IM323" s="405"/>
      <c r="IS323" s="83"/>
      <c r="JA323" s="405"/>
      <c r="JG323" s="83"/>
      <c r="JO323" s="405"/>
      <c r="JU323" s="83"/>
      <c r="KC323" s="405"/>
      <c r="KI323" s="83"/>
      <c r="KQ323" s="405"/>
      <c r="KW323" s="83"/>
      <c r="LE323" s="405"/>
      <c r="LK323" s="83"/>
      <c r="LS323" s="405"/>
      <c r="LY323" s="83"/>
      <c r="MG323" s="405"/>
      <c r="MM323" s="83"/>
      <c r="MU323" s="405"/>
      <c r="NA323" s="83"/>
    </row>
    <row r="324">
      <c r="A324" s="380"/>
      <c r="B324" s="380"/>
      <c r="C324" s="380"/>
      <c r="D324" s="380"/>
      <c r="E324" s="380"/>
      <c r="F324" s="380"/>
      <c r="G324" s="380"/>
      <c r="H324" s="380"/>
      <c r="I324" s="403"/>
      <c r="J324" s="380"/>
      <c r="K324" s="380"/>
      <c r="L324" s="380"/>
      <c r="M324" s="380"/>
      <c r="N324" s="380"/>
      <c r="O324" s="404"/>
      <c r="P324" s="380"/>
      <c r="Q324" s="380"/>
      <c r="R324" s="380"/>
      <c r="S324" s="380"/>
      <c r="T324" s="380"/>
      <c r="U324" s="380"/>
      <c r="V324" s="380"/>
      <c r="W324" s="403"/>
      <c r="X324" s="380"/>
      <c r="Y324" s="380"/>
      <c r="Z324" s="380"/>
      <c r="AA324" s="380"/>
      <c r="AB324" s="380"/>
      <c r="AC324" s="404"/>
      <c r="AD324" s="380"/>
      <c r="AE324" s="380"/>
      <c r="AF324" s="380"/>
      <c r="AG324" s="380"/>
      <c r="AH324" s="380"/>
      <c r="AI324" s="380"/>
      <c r="AJ324" s="380"/>
      <c r="AK324" s="403"/>
      <c r="AL324" s="380"/>
      <c r="AM324" s="380"/>
      <c r="AN324" s="380"/>
      <c r="AO324" s="380"/>
      <c r="AP324" s="380"/>
      <c r="AQ324" s="404"/>
      <c r="AR324" s="380"/>
      <c r="AS324" s="380"/>
      <c r="AT324" s="380"/>
      <c r="AU324" s="380"/>
      <c r="AV324" s="380"/>
      <c r="AW324" s="380"/>
      <c r="AX324" s="380"/>
      <c r="AY324" s="403"/>
      <c r="AZ324" s="380"/>
      <c r="BA324" s="380"/>
      <c r="BB324" s="380"/>
      <c r="BC324" s="380"/>
      <c r="BD324" s="380"/>
      <c r="BE324" s="404"/>
      <c r="BF324" s="380"/>
      <c r="BG324" s="380"/>
      <c r="BH324" s="380"/>
      <c r="BI324" s="380"/>
      <c r="BJ324" s="380"/>
      <c r="BK324" s="380"/>
      <c r="BL324" s="380"/>
      <c r="BM324" s="403"/>
      <c r="BS324" s="83"/>
      <c r="CA324" s="405"/>
      <c r="CG324" s="83"/>
      <c r="CO324" s="405"/>
      <c r="CU324" s="83"/>
      <c r="DC324" s="405"/>
      <c r="DI324" s="83"/>
      <c r="DQ324" s="405"/>
      <c r="DW324" s="83"/>
      <c r="EE324" s="405"/>
      <c r="EK324" s="83"/>
      <c r="ES324" s="405"/>
      <c r="EY324" s="83"/>
      <c r="FG324" s="405"/>
      <c r="FM324" s="83"/>
      <c r="FU324" s="405"/>
      <c r="GA324" s="83"/>
      <c r="GI324" s="405"/>
      <c r="GO324" s="83"/>
      <c r="GW324" s="405"/>
      <c r="HC324" s="83"/>
      <c r="HK324" s="405"/>
      <c r="HQ324" s="83"/>
      <c r="HY324" s="405"/>
      <c r="IE324" s="83"/>
      <c r="IM324" s="405"/>
      <c r="IS324" s="83"/>
      <c r="JA324" s="405"/>
      <c r="JG324" s="83"/>
      <c r="JO324" s="405"/>
      <c r="JU324" s="83"/>
      <c r="KC324" s="405"/>
      <c r="KI324" s="83"/>
      <c r="KQ324" s="405"/>
      <c r="KW324" s="83"/>
      <c r="LE324" s="405"/>
      <c r="LK324" s="83"/>
      <c r="LS324" s="405"/>
      <c r="LY324" s="83"/>
      <c r="MG324" s="405"/>
      <c r="MM324" s="83"/>
      <c r="MU324" s="405"/>
      <c r="NA324" s="83"/>
    </row>
    <row r="325">
      <c r="A325" s="380"/>
      <c r="B325" s="380"/>
      <c r="C325" s="380"/>
      <c r="D325" s="380"/>
      <c r="E325" s="380"/>
      <c r="F325" s="380"/>
      <c r="G325" s="380"/>
      <c r="H325" s="380"/>
      <c r="I325" s="403"/>
      <c r="J325" s="380"/>
      <c r="K325" s="380"/>
      <c r="L325" s="380"/>
      <c r="M325" s="380"/>
      <c r="N325" s="380"/>
      <c r="O325" s="404"/>
      <c r="P325" s="380"/>
      <c r="Q325" s="380"/>
      <c r="R325" s="380"/>
      <c r="S325" s="380"/>
      <c r="T325" s="380"/>
      <c r="U325" s="380"/>
      <c r="V325" s="380"/>
      <c r="W325" s="403"/>
      <c r="X325" s="380"/>
      <c r="Y325" s="380"/>
      <c r="Z325" s="380"/>
      <c r="AA325" s="380"/>
      <c r="AB325" s="380"/>
      <c r="AC325" s="404"/>
      <c r="AD325" s="380"/>
      <c r="AE325" s="380"/>
      <c r="AF325" s="380"/>
      <c r="AG325" s="380"/>
      <c r="AH325" s="380"/>
      <c r="AI325" s="380"/>
      <c r="AJ325" s="380"/>
      <c r="AK325" s="403"/>
      <c r="AL325" s="380"/>
      <c r="AM325" s="380"/>
      <c r="AN325" s="380"/>
      <c r="AO325" s="380"/>
      <c r="AP325" s="380"/>
      <c r="AQ325" s="404"/>
      <c r="AR325" s="380"/>
      <c r="AS325" s="380"/>
      <c r="AT325" s="380"/>
      <c r="AU325" s="380"/>
      <c r="AV325" s="380"/>
      <c r="AW325" s="380"/>
      <c r="AX325" s="380"/>
      <c r="AY325" s="403"/>
      <c r="AZ325" s="380"/>
      <c r="BA325" s="380"/>
      <c r="BB325" s="380"/>
      <c r="BC325" s="380"/>
      <c r="BD325" s="380"/>
      <c r="BE325" s="404"/>
      <c r="BF325" s="380"/>
      <c r="BG325" s="380"/>
      <c r="BH325" s="380"/>
      <c r="BI325" s="380"/>
      <c r="BJ325" s="380"/>
      <c r="BK325" s="380"/>
      <c r="BL325" s="380"/>
      <c r="BM325" s="403"/>
      <c r="BS325" s="83"/>
      <c r="CA325" s="405"/>
      <c r="CG325" s="83"/>
      <c r="CO325" s="405"/>
      <c r="CU325" s="83"/>
      <c r="DC325" s="405"/>
      <c r="DI325" s="83"/>
      <c r="DQ325" s="405"/>
      <c r="DW325" s="83"/>
      <c r="EE325" s="405"/>
      <c r="EK325" s="83"/>
      <c r="ES325" s="405"/>
      <c r="EY325" s="83"/>
      <c r="FG325" s="405"/>
      <c r="FM325" s="83"/>
      <c r="FU325" s="405"/>
      <c r="GA325" s="83"/>
      <c r="GI325" s="405"/>
      <c r="GO325" s="83"/>
      <c r="GW325" s="405"/>
      <c r="HC325" s="83"/>
      <c r="HK325" s="405"/>
      <c r="HQ325" s="83"/>
      <c r="HY325" s="405"/>
      <c r="IE325" s="83"/>
      <c r="IM325" s="405"/>
      <c r="IS325" s="83"/>
      <c r="JA325" s="405"/>
      <c r="JG325" s="83"/>
      <c r="JO325" s="405"/>
      <c r="JU325" s="83"/>
      <c r="KC325" s="405"/>
      <c r="KI325" s="83"/>
      <c r="KQ325" s="405"/>
      <c r="KW325" s="83"/>
      <c r="LE325" s="405"/>
      <c r="LK325" s="83"/>
      <c r="LS325" s="405"/>
      <c r="LY325" s="83"/>
      <c r="MG325" s="405"/>
      <c r="MM325" s="83"/>
      <c r="MU325" s="405"/>
      <c r="NA325" s="83"/>
    </row>
    <row r="326">
      <c r="A326" s="380"/>
      <c r="B326" s="380"/>
      <c r="C326" s="380"/>
      <c r="D326" s="380"/>
      <c r="E326" s="380"/>
      <c r="F326" s="380"/>
      <c r="G326" s="380"/>
      <c r="H326" s="380"/>
      <c r="I326" s="403"/>
      <c r="J326" s="380"/>
      <c r="K326" s="380"/>
      <c r="L326" s="380"/>
      <c r="M326" s="380"/>
      <c r="N326" s="380"/>
      <c r="O326" s="404"/>
      <c r="P326" s="380"/>
      <c r="Q326" s="380"/>
      <c r="R326" s="380"/>
      <c r="S326" s="380"/>
      <c r="T326" s="380"/>
      <c r="U326" s="380"/>
      <c r="V326" s="380"/>
      <c r="W326" s="403"/>
      <c r="X326" s="380"/>
      <c r="Y326" s="380"/>
      <c r="Z326" s="380"/>
      <c r="AA326" s="380"/>
      <c r="AB326" s="380"/>
      <c r="AC326" s="404"/>
      <c r="AD326" s="380"/>
      <c r="AE326" s="380"/>
      <c r="AF326" s="380"/>
      <c r="AG326" s="380"/>
      <c r="AH326" s="380"/>
      <c r="AI326" s="380"/>
      <c r="AJ326" s="380"/>
      <c r="AK326" s="403"/>
      <c r="AL326" s="380"/>
      <c r="AM326" s="380"/>
      <c r="AN326" s="380"/>
      <c r="AO326" s="380"/>
      <c r="AP326" s="380"/>
      <c r="AQ326" s="404"/>
      <c r="AR326" s="380"/>
      <c r="AS326" s="380"/>
      <c r="AT326" s="380"/>
      <c r="AU326" s="380"/>
      <c r="AV326" s="380"/>
      <c r="AW326" s="380"/>
      <c r="AX326" s="380"/>
      <c r="AY326" s="403"/>
      <c r="AZ326" s="380"/>
      <c r="BA326" s="380"/>
      <c r="BB326" s="380"/>
      <c r="BC326" s="380"/>
      <c r="BD326" s="380"/>
      <c r="BE326" s="404"/>
      <c r="BF326" s="380"/>
      <c r="BG326" s="380"/>
      <c r="BH326" s="380"/>
      <c r="BI326" s="380"/>
      <c r="BJ326" s="380"/>
      <c r="BK326" s="380"/>
      <c r="BL326" s="380"/>
      <c r="BM326" s="403"/>
      <c r="BS326" s="83"/>
      <c r="CA326" s="405"/>
      <c r="CG326" s="83"/>
      <c r="CO326" s="405"/>
      <c r="CU326" s="83"/>
      <c r="DC326" s="405"/>
      <c r="DI326" s="83"/>
      <c r="DQ326" s="405"/>
      <c r="DW326" s="83"/>
      <c r="EE326" s="405"/>
      <c r="EK326" s="83"/>
      <c r="ES326" s="405"/>
      <c r="EY326" s="83"/>
      <c r="FG326" s="405"/>
      <c r="FM326" s="83"/>
      <c r="FU326" s="405"/>
      <c r="GA326" s="83"/>
      <c r="GI326" s="405"/>
      <c r="GO326" s="83"/>
      <c r="GW326" s="405"/>
      <c r="HC326" s="83"/>
      <c r="HK326" s="405"/>
      <c r="HQ326" s="83"/>
      <c r="HY326" s="405"/>
      <c r="IE326" s="83"/>
      <c r="IM326" s="405"/>
      <c r="IS326" s="83"/>
      <c r="JA326" s="405"/>
      <c r="JG326" s="83"/>
      <c r="JO326" s="405"/>
      <c r="JU326" s="83"/>
      <c r="KC326" s="405"/>
      <c r="KI326" s="83"/>
      <c r="KQ326" s="405"/>
      <c r="KW326" s="83"/>
      <c r="LE326" s="405"/>
      <c r="LK326" s="83"/>
      <c r="LS326" s="405"/>
      <c r="LY326" s="83"/>
      <c r="MG326" s="405"/>
      <c r="MM326" s="83"/>
      <c r="MU326" s="405"/>
      <c r="NA326" s="83"/>
    </row>
    <row r="327">
      <c r="A327" s="380"/>
      <c r="B327" s="380"/>
      <c r="C327" s="380"/>
      <c r="D327" s="380"/>
      <c r="E327" s="380"/>
      <c r="F327" s="380"/>
      <c r="G327" s="380"/>
      <c r="H327" s="380"/>
      <c r="I327" s="403"/>
      <c r="J327" s="380"/>
      <c r="K327" s="380"/>
      <c r="L327" s="380"/>
      <c r="M327" s="380"/>
      <c r="N327" s="380"/>
      <c r="O327" s="404"/>
      <c r="P327" s="380"/>
      <c r="Q327" s="380"/>
      <c r="R327" s="380"/>
      <c r="S327" s="380"/>
      <c r="T327" s="380"/>
      <c r="U327" s="380"/>
      <c r="V327" s="380"/>
      <c r="W327" s="403"/>
      <c r="X327" s="380"/>
      <c r="Y327" s="380"/>
      <c r="Z327" s="380"/>
      <c r="AA327" s="380"/>
      <c r="AB327" s="380"/>
      <c r="AC327" s="404"/>
      <c r="AD327" s="380"/>
      <c r="AE327" s="380"/>
      <c r="AF327" s="380"/>
      <c r="AG327" s="380"/>
      <c r="AH327" s="380"/>
      <c r="AI327" s="380"/>
      <c r="AJ327" s="380"/>
      <c r="AK327" s="403"/>
      <c r="AL327" s="380"/>
      <c r="AM327" s="380"/>
      <c r="AN327" s="380"/>
      <c r="AO327" s="380"/>
      <c r="AP327" s="380"/>
      <c r="AQ327" s="404"/>
      <c r="AR327" s="380"/>
      <c r="AS327" s="380"/>
      <c r="AT327" s="380"/>
      <c r="AU327" s="380"/>
      <c r="AV327" s="380"/>
      <c r="AW327" s="380"/>
      <c r="AX327" s="380"/>
      <c r="AY327" s="403"/>
      <c r="AZ327" s="380"/>
      <c r="BA327" s="380"/>
      <c r="BB327" s="380"/>
      <c r="BC327" s="380"/>
      <c r="BD327" s="380"/>
      <c r="BE327" s="404"/>
      <c r="BF327" s="380"/>
      <c r="BG327" s="380"/>
      <c r="BH327" s="380"/>
      <c r="BI327" s="380"/>
      <c r="BJ327" s="380"/>
      <c r="BK327" s="380"/>
      <c r="BL327" s="380"/>
      <c r="BM327" s="403"/>
      <c r="BS327" s="83"/>
      <c r="CA327" s="405"/>
      <c r="CG327" s="83"/>
      <c r="CO327" s="405"/>
      <c r="CU327" s="83"/>
      <c r="DC327" s="405"/>
      <c r="DI327" s="83"/>
      <c r="DQ327" s="405"/>
      <c r="DW327" s="83"/>
      <c r="EE327" s="405"/>
      <c r="EK327" s="83"/>
      <c r="ES327" s="405"/>
      <c r="EY327" s="83"/>
      <c r="FG327" s="405"/>
      <c r="FM327" s="83"/>
      <c r="FU327" s="405"/>
      <c r="GA327" s="83"/>
      <c r="GI327" s="405"/>
      <c r="GO327" s="83"/>
      <c r="GW327" s="405"/>
      <c r="HC327" s="83"/>
      <c r="HK327" s="405"/>
      <c r="HQ327" s="83"/>
      <c r="HY327" s="405"/>
      <c r="IE327" s="83"/>
      <c r="IM327" s="405"/>
      <c r="IS327" s="83"/>
      <c r="JA327" s="405"/>
      <c r="JG327" s="83"/>
      <c r="JO327" s="405"/>
      <c r="JU327" s="83"/>
      <c r="KC327" s="405"/>
      <c r="KI327" s="83"/>
      <c r="KQ327" s="405"/>
      <c r="KW327" s="83"/>
      <c r="LE327" s="405"/>
      <c r="LK327" s="83"/>
      <c r="LS327" s="405"/>
      <c r="LY327" s="83"/>
      <c r="MG327" s="405"/>
      <c r="MM327" s="83"/>
      <c r="MU327" s="405"/>
      <c r="NA327" s="83"/>
    </row>
    <row r="328">
      <c r="A328" s="380"/>
      <c r="B328" s="380"/>
      <c r="C328" s="380"/>
      <c r="D328" s="380"/>
      <c r="E328" s="380"/>
      <c r="F328" s="380"/>
      <c r="G328" s="380"/>
      <c r="H328" s="380"/>
      <c r="I328" s="403"/>
      <c r="J328" s="380"/>
      <c r="K328" s="380"/>
      <c r="L328" s="380"/>
      <c r="M328" s="380"/>
      <c r="N328" s="380"/>
      <c r="O328" s="404"/>
      <c r="P328" s="380"/>
      <c r="Q328" s="380"/>
      <c r="R328" s="380"/>
      <c r="S328" s="380"/>
      <c r="T328" s="380"/>
      <c r="U328" s="380"/>
      <c r="V328" s="380"/>
      <c r="W328" s="403"/>
      <c r="X328" s="380"/>
      <c r="Y328" s="380"/>
      <c r="Z328" s="380"/>
      <c r="AA328" s="380"/>
      <c r="AB328" s="380"/>
      <c r="AC328" s="404"/>
      <c r="AD328" s="380"/>
      <c r="AE328" s="380"/>
      <c r="AF328" s="380"/>
      <c r="AG328" s="380"/>
      <c r="AH328" s="380"/>
      <c r="AI328" s="380"/>
      <c r="AJ328" s="380"/>
      <c r="AK328" s="403"/>
      <c r="AL328" s="380"/>
      <c r="AM328" s="380"/>
      <c r="AN328" s="380"/>
      <c r="AO328" s="380"/>
      <c r="AP328" s="380"/>
      <c r="AQ328" s="404"/>
      <c r="AR328" s="380"/>
      <c r="AS328" s="380"/>
      <c r="AT328" s="380"/>
      <c r="AU328" s="380"/>
      <c r="AV328" s="380"/>
      <c r="AW328" s="380"/>
      <c r="AX328" s="380"/>
      <c r="AY328" s="403"/>
      <c r="AZ328" s="380"/>
      <c r="BA328" s="380"/>
      <c r="BB328" s="380"/>
      <c r="BC328" s="380"/>
      <c r="BD328" s="380"/>
      <c r="BE328" s="404"/>
      <c r="BF328" s="380"/>
      <c r="BG328" s="380"/>
      <c r="BH328" s="380"/>
      <c r="BI328" s="380"/>
      <c r="BJ328" s="380"/>
      <c r="BK328" s="380"/>
      <c r="BL328" s="380"/>
      <c r="BM328" s="403"/>
      <c r="BS328" s="83"/>
      <c r="CA328" s="405"/>
      <c r="CG328" s="83"/>
      <c r="CO328" s="405"/>
      <c r="CU328" s="83"/>
      <c r="DC328" s="405"/>
      <c r="DI328" s="83"/>
      <c r="DQ328" s="405"/>
      <c r="DW328" s="83"/>
      <c r="EE328" s="405"/>
      <c r="EK328" s="83"/>
      <c r="ES328" s="405"/>
      <c r="EY328" s="83"/>
      <c r="FG328" s="405"/>
      <c r="FM328" s="83"/>
      <c r="FU328" s="405"/>
      <c r="GA328" s="83"/>
      <c r="GI328" s="405"/>
      <c r="GO328" s="83"/>
      <c r="GW328" s="405"/>
      <c r="HC328" s="83"/>
      <c r="HK328" s="405"/>
      <c r="HQ328" s="83"/>
      <c r="HY328" s="405"/>
      <c r="IE328" s="83"/>
      <c r="IM328" s="405"/>
      <c r="IS328" s="83"/>
      <c r="JA328" s="405"/>
      <c r="JG328" s="83"/>
      <c r="JO328" s="405"/>
      <c r="JU328" s="83"/>
      <c r="KC328" s="405"/>
      <c r="KI328" s="83"/>
      <c r="KQ328" s="405"/>
      <c r="KW328" s="83"/>
      <c r="LE328" s="405"/>
      <c r="LK328" s="83"/>
      <c r="LS328" s="405"/>
      <c r="LY328" s="83"/>
      <c r="MG328" s="405"/>
      <c r="MM328" s="83"/>
      <c r="MU328" s="405"/>
      <c r="NA328" s="83"/>
    </row>
    <row r="329">
      <c r="A329" s="380"/>
      <c r="B329" s="380"/>
      <c r="C329" s="380"/>
      <c r="D329" s="380"/>
      <c r="E329" s="380"/>
      <c r="F329" s="380"/>
      <c r="G329" s="380"/>
      <c r="H329" s="380"/>
      <c r="I329" s="403"/>
      <c r="J329" s="380"/>
      <c r="K329" s="380"/>
      <c r="L329" s="380"/>
      <c r="M329" s="380"/>
      <c r="N329" s="380"/>
      <c r="O329" s="404"/>
      <c r="P329" s="380"/>
      <c r="Q329" s="380"/>
      <c r="R329" s="380"/>
      <c r="S329" s="380"/>
      <c r="T329" s="380"/>
      <c r="U329" s="380"/>
      <c r="V329" s="380"/>
      <c r="W329" s="403"/>
      <c r="X329" s="380"/>
      <c r="Y329" s="380"/>
      <c r="Z329" s="380"/>
      <c r="AA329" s="380"/>
      <c r="AB329" s="380"/>
      <c r="AC329" s="404"/>
      <c r="AD329" s="380"/>
      <c r="AE329" s="380"/>
      <c r="AF329" s="380"/>
      <c r="AG329" s="380"/>
      <c r="AH329" s="380"/>
      <c r="AI329" s="380"/>
      <c r="AJ329" s="380"/>
      <c r="AK329" s="403"/>
      <c r="AL329" s="380"/>
      <c r="AM329" s="380"/>
      <c r="AN329" s="380"/>
      <c r="AO329" s="380"/>
      <c r="AP329" s="380"/>
      <c r="AQ329" s="404"/>
      <c r="AR329" s="380"/>
      <c r="AS329" s="380"/>
      <c r="AT329" s="380"/>
      <c r="AU329" s="380"/>
      <c r="AV329" s="380"/>
      <c r="AW329" s="380"/>
      <c r="AX329" s="380"/>
      <c r="AY329" s="403"/>
      <c r="AZ329" s="380"/>
      <c r="BA329" s="380"/>
      <c r="BB329" s="380"/>
      <c r="BC329" s="380"/>
      <c r="BD329" s="380"/>
      <c r="BE329" s="404"/>
      <c r="BF329" s="380"/>
      <c r="BG329" s="380"/>
      <c r="BH329" s="380"/>
      <c r="BI329" s="380"/>
      <c r="BJ329" s="380"/>
      <c r="BK329" s="380"/>
      <c r="BL329" s="380"/>
      <c r="BM329" s="403"/>
      <c r="BS329" s="83"/>
      <c r="CA329" s="405"/>
      <c r="CG329" s="83"/>
      <c r="CO329" s="405"/>
      <c r="CU329" s="83"/>
      <c r="DC329" s="405"/>
      <c r="DI329" s="83"/>
      <c r="DQ329" s="405"/>
      <c r="DW329" s="83"/>
      <c r="EE329" s="405"/>
      <c r="EK329" s="83"/>
      <c r="ES329" s="405"/>
      <c r="EY329" s="83"/>
      <c r="FG329" s="405"/>
      <c r="FM329" s="83"/>
      <c r="FU329" s="405"/>
      <c r="GA329" s="83"/>
      <c r="GI329" s="405"/>
      <c r="GO329" s="83"/>
      <c r="GW329" s="405"/>
      <c r="HC329" s="83"/>
      <c r="HK329" s="405"/>
      <c r="HQ329" s="83"/>
      <c r="HY329" s="405"/>
      <c r="IE329" s="83"/>
      <c r="IM329" s="405"/>
      <c r="IS329" s="83"/>
      <c r="JA329" s="405"/>
      <c r="JG329" s="83"/>
      <c r="JO329" s="405"/>
      <c r="JU329" s="83"/>
      <c r="KC329" s="405"/>
      <c r="KI329" s="83"/>
      <c r="KQ329" s="405"/>
      <c r="KW329" s="83"/>
      <c r="LE329" s="405"/>
      <c r="LK329" s="83"/>
      <c r="LS329" s="405"/>
      <c r="LY329" s="83"/>
      <c r="MG329" s="405"/>
      <c r="MM329" s="83"/>
      <c r="MU329" s="405"/>
      <c r="NA329" s="83"/>
    </row>
    <row r="330">
      <c r="A330" s="380"/>
      <c r="B330" s="380"/>
      <c r="C330" s="380"/>
      <c r="D330" s="380"/>
      <c r="E330" s="380"/>
      <c r="F330" s="380"/>
      <c r="G330" s="380"/>
      <c r="H330" s="380"/>
      <c r="I330" s="403"/>
      <c r="J330" s="380"/>
      <c r="K330" s="380"/>
      <c r="L330" s="380"/>
      <c r="M330" s="380"/>
      <c r="N330" s="380"/>
      <c r="O330" s="404"/>
      <c r="P330" s="380"/>
      <c r="Q330" s="380"/>
      <c r="R330" s="380"/>
      <c r="S330" s="380"/>
      <c r="T330" s="380"/>
      <c r="U330" s="380"/>
      <c r="V330" s="380"/>
      <c r="W330" s="403"/>
      <c r="X330" s="380"/>
      <c r="Y330" s="380"/>
      <c r="Z330" s="380"/>
      <c r="AA330" s="380"/>
      <c r="AB330" s="380"/>
      <c r="AC330" s="404"/>
      <c r="AD330" s="380"/>
      <c r="AE330" s="380"/>
      <c r="AF330" s="380"/>
      <c r="AG330" s="380"/>
      <c r="AH330" s="380"/>
      <c r="AI330" s="380"/>
      <c r="AJ330" s="380"/>
      <c r="AK330" s="403"/>
      <c r="AL330" s="380"/>
      <c r="AM330" s="380"/>
      <c r="AN330" s="380"/>
      <c r="AO330" s="380"/>
      <c r="AP330" s="380"/>
      <c r="AQ330" s="404"/>
      <c r="AR330" s="380"/>
      <c r="AS330" s="380"/>
      <c r="AT330" s="380"/>
      <c r="AU330" s="380"/>
      <c r="AV330" s="380"/>
      <c r="AW330" s="380"/>
      <c r="AX330" s="380"/>
      <c r="AY330" s="403"/>
      <c r="AZ330" s="380"/>
      <c r="BA330" s="380"/>
      <c r="BB330" s="380"/>
      <c r="BC330" s="380"/>
      <c r="BD330" s="380"/>
      <c r="BE330" s="404"/>
      <c r="BF330" s="380"/>
      <c r="BG330" s="380"/>
      <c r="BH330" s="380"/>
      <c r="BI330" s="380"/>
      <c r="BJ330" s="380"/>
      <c r="BK330" s="380"/>
      <c r="BL330" s="380"/>
      <c r="BM330" s="403"/>
      <c r="BS330" s="83"/>
      <c r="CA330" s="405"/>
      <c r="CG330" s="83"/>
      <c r="CO330" s="405"/>
      <c r="CU330" s="83"/>
      <c r="DC330" s="405"/>
      <c r="DI330" s="83"/>
      <c r="DQ330" s="405"/>
      <c r="DW330" s="83"/>
      <c r="EE330" s="405"/>
      <c r="EK330" s="83"/>
      <c r="ES330" s="405"/>
      <c r="EY330" s="83"/>
      <c r="FG330" s="405"/>
      <c r="FM330" s="83"/>
      <c r="FU330" s="405"/>
      <c r="GA330" s="83"/>
      <c r="GI330" s="405"/>
      <c r="GO330" s="83"/>
      <c r="GW330" s="405"/>
      <c r="HC330" s="83"/>
      <c r="HK330" s="405"/>
      <c r="HQ330" s="83"/>
      <c r="HY330" s="405"/>
      <c r="IE330" s="83"/>
      <c r="IM330" s="405"/>
      <c r="IS330" s="83"/>
      <c r="JA330" s="405"/>
      <c r="JG330" s="83"/>
      <c r="JO330" s="405"/>
      <c r="JU330" s="83"/>
      <c r="KC330" s="405"/>
      <c r="KI330" s="83"/>
      <c r="KQ330" s="405"/>
      <c r="KW330" s="83"/>
      <c r="LE330" s="405"/>
      <c r="LK330" s="83"/>
      <c r="LS330" s="405"/>
      <c r="LY330" s="83"/>
      <c r="MG330" s="405"/>
      <c r="MM330" s="83"/>
      <c r="MU330" s="405"/>
      <c r="NA330" s="83"/>
    </row>
    <row r="331">
      <c r="A331" s="380"/>
      <c r="B331" s="380"/>
      <c r="C331" s="380"/>
      <c r="D331" s="380"/>
      <c r="E331" s="380"/>
      <c r="F331" s="380"/>
      <c r="G331" s="380"/>
      <c r="H331" s="380"/>
      <c r="I331" s="403"/>
      <c r="J331" s="380"/>
      <c r="K331" s="380"/>
      <c r="L331" s="380"/>
      <c r="M331" s="380"/>
      <c r="N331" s="380"/>
      <c r="O331" s="404"/>
      <c r="P331" s="380"/>
      <c r="Q331" s="380"/>
      <c r="R331" s="380"/>
      <c r="S331" s="380"/>
      <c r="T331" s="380"/>
      <c r="U331" s="380"/>
      <c r="V331" s="380"/>
      <c r="W331" s="403"/>
      <c r="X331" s="380"/>
      <c r="Y331" s="380"/>
      <c r="Z331" s="380"/>
      <c r="AA331" s="380"/>
      <c r="AB331" s="380"/>
      <c r="AC331" s="404"/>
      <c r="AD331" s="380"/>
      <c r="AE331" s="380"/>
      <c r="AF331" s="380"/>
      <c r="AG331" s="380"/>
      <c r="AH331" s="380"/>
      <c r="AI331" s="380"/>
      <c r="AJ331" s="380"/>
      <c r="AK331" s="403"/>
      <c r="AL331" s="380"/>
      <c r="AM331" s="380"/>
      <c r="AN331" s="380"/>
      <c r="AO331" s="380"/>
      <c r="AP331" s="380"/>
      <c r="AQ331" s="404"/>
      <c r="AR331" s="380"/>
      <c r="AS331" s="380"/>
      <c r="AT331" s="380"/>
      <c r="AU331" s="380"/>
      <c r="AV331" s="380"/>
      <c r="AW331" s="380"/>
      <c r="AX331" s="380"/>
      <c r="AY331" s="403"/>
      <c r="AZ331" s="380"/>
      <c r="BA331" s="380"/>
      <c r="BB331" s="380"/>
      <c r="BC331" s="380"/>
      <c r="BD331" s="380"/>
      <c r="BE331" s="404"/>
      <c r="BF331" s="380"/>
      <c r="BG331" s="380"/>
      <c r="BH331" s="380"/>
      <c r="BI331" s="380"/>
      <c r="BJ331" s="380"/>
      <c r="BK331" s="380"/>
      <c r="BL331" s="380"/>
      <c r="BM331" s="403"/>
      <c r="BS331" s="83"/>
      <c r="CA331" s="405"/>
      <c r="CG331" s="83"/>
      <c r="CO331" s="405"/>
      <c r="CU331" s="83"/>
      <c r="DC331" s="405"/>
      <c r="DI331" s="83"/>
      <c r="DQ331" s="405"/>
      <c r="DW331" s="83"/>
      <c r="EE331" s="405"/>
      <c r="EK331" s="83"/>
      <c r="ES331" s="405"/>
      <c r="EY331" s="83"/>
      <c r="FG331" s="405"/>
      <c r="FM331" s="83"/>
      <c r="FU331" s="405"/>
      <c r="GA331" s="83"/>
      <c r="GI331" s="405"/>
      <c r="GO331" s="83"/>
      <c r="GW331" s="405"/>
      <c r="HC331" s="83"/>
      <c r="HK331" s="405"/>
      <c r="HQ331" s="83"/>
      <c r="HY331" s="405"/>
      <c r="IE331" s="83"/>
      <c r="IM331" s="405"/>
      <c r="IS331" s="83"/>
      <c r="JA331" s="405"/>
      <c r="JG331" s="83"/>
      <c r="JO331" s="405"/>
      <c r="JU331" s="83"/>
      <c r="KC331" s="405"/>
      <c r="KI331" s="83"/>
      <c r="KQ331" s="405"/>
      <c r="KW331" s="83"/>
      <c r="LE331" s="405"/>
      <c r="LK331" s="83"/>
      <c r="LS331" s="405"/>
      <c r="LY331" s="83"/>
      <c r="MG331" s="405"/>
      <c r="MM331" s="83"/>
      <c r="MU331" s="405"/>
      <c r="NA331" s="83"/>
    </row>
    <row r="332">
      <c r="A332" s="380"/>
      <c r="B332" s="380"/>
      <c r="C332" s="380"/>
      <c r="D332" s="380"/>
      <c r="E332" s="380"/>
      <c r="F332" s="380"/>
      <c r="G332" s="380"/>
      <c r="H332" s="380"/>
      <c r="I332" s="403"/>
      <c r="J332" s="380"/>
      <c r="K332" s="380"/>
      <c r="L332" s="380"/>
      <c r="M332" s="380"/>
      <c r="N332" s="380"/>
      <c r="O332" s="404"/>
      <c r="P332" s="380"/>
      <c r="Q332" s="380"/>
      <c r="R332" s="380"/>
      <c r="S332" s="380"/>
      <c r="T332" s="380"/>
      <c r="U332" s="380"/>
      <c r="V332" s="380"/>
      <c r="W332" s="403"/>
      <c r="X332" s="380"/>
      <c r="Y332" s="380"/>
      <c r="Z332" s="380"/>
      <c r="AA332" s="380"/>
      <c r="AB332" s="380"/>
      <c r="AC332" s="404"/>
      <c r="AD332" s="380"/>
      <c r="AE332" s="380"/>
      <c r="AF332" s="380"/>
      <c r="AG332" s="380"/>
      <c r="AH332" s="380"/>
      <c r="AI332" s="380"/>
      <c r="AJ332" s="380"/>
      <c r="AK332" s="403"/>
      <c r="AL332" s="380"/>
      <c r="AM332" s="380"/>
      <c r="AN332" s="380"/>
      <c r="AO332" s="380"/>
      <c r="AP332" s="380"/>
      <c r="AQ332" s="404"/>
      <c r="AR332" s="380"/>
      <c r="AS332" s="380"/>
      <c r="AT332" s="380"/>
      <c r="AU332" s="380"/>
      <c r="AV332" s="380"/>
      <c r="AW332" s="380"/>
      <c r="AX332" s="380"/>
      <c r="AY332" s="403"/>
      <c r="AZ332" s="380"/>
      <c r="BA332" s="380"/>
      <c r="BB332" s="380"/>
      <c r="BC332" s="380"/>
      <c r="BD332" s="380"/>
      <c r="BE332" s="404"/>
      <c r="BF332" s="380"/>
      <c r="BG332" s="380"/>
      <c r="BH332" s="380"/>
      <c r="BI332" s="380"/>
      <c r="BJ332" s="380"/>
      <c r="BK332" s="380"/>
      <c r="BL332" s="380"/>
      <c r="BM332" s="403"/>
      <c r="BS332" s="83"/>
      <c r="CA332" s="405"/>
      <c r="CG332" s="83"/>
      <c r="CO332" s="405"/>
      <c r="CU332" s="83"/>
      <c r="DC332" s="405"/>
      <c r="DI332" s="83"/>
      <c r="DQ332" s="405"/>
      <c r="DW332" s="83"/>
      <c r="EE332" s="405"/>
      <c r="EK332" s="83"/>
      <c r="ES332" s="405"/>
      <c r="EY332" s="83"/>
      <c r="FG332" s="405"/>
      <c r="FM332" s="83"/>
      <c r="FU332" s="405"/>
      <c r="GA332" s="83"/>
      <c r="GI332" s="405"/>
      <c r="GO332" s="83"/>
      <c r="GW332" s="405"/>
      <c r="HC332" s="83"/>
      <c r="HK332" s="405"/>
      <c r="HQ332" s="83"/>
      <c r="HY332" s="405"/>
      <c r="IE332" s="83"/>
      <c r="IM332" s="405"/>
      <c r="IS332" s="83"/>
      <c r="JA332" s="405"/>
      <c r="JG332" s="83"/>
      <c r="JO332" s="405"/>
      <c r="JU332" s="83"/>
      <c r="KC332" s="405"/>
      <c r="KI332" s="83"/>
      <c r="KQ332" s="405"/>
      <c r="KW332" s="83"/>
      <c r="LE332" s="405"/>
      <c r="LK332" s="83"/>
      <c r="LS332" s="405"/>
      <c r="LY332" s="83"/>
      <c r="MG332" s="405"/>
      <c r="MM332" s="83"/>
      <c r="MU332" s="405"/>
      <c r="NA332" s="83"/>
    </row>
    <row r="333">
      <c r="A333" s="380"/>
      <c r="B333" s="380"/>
      <c r="C333" s="380"/>
      <c r="D333" s="380"/>
      <c r="E333" s="380"/>
      <c r="F333" s="380"/>
      <c r="G333" s="380"/>
      <c r="H333" s="380"/>
      <c r="I333" s="403"/>
      <c r="J333" s="380"/>
      <c r="K333" s="380"/>
      <c r="L333" s="380"/>
      <c r="M333" s="380"/>
      <c r="N333" s="380"/>
      <c r="O333" s="404"/>
      <c r="P333" s="380"/>
      <c r="Q333" s="380"/>
      <c r="R333" s="380"/>
      <c r="S333" s="380"/>
      <c r="T333" s="380"/>
      <c r="U333" s="380"/>
      <c r="V333" s="380"/>
      <c r="W333" s="403"/>
      <c r="X333" s="380"/>
      <c r="Y333" s="380"/>
      <c r="Z333" s="380"/>
      <c r="AA333" s="380"/>
      <c r="AB333" s="380"/>
      <c r="AC333" s="404"/>
      <c r="AD333" s="380"/>
      <c r="AE333" s="380"/>
      <c r="AF333" s="380"/>
      <c r="AG333" s="380"/>
      <c r="AH333" s="380"/>
      <c r="AI333" s="380"/>
      <c r="AJ333" s="380"/>
      <c r="AK333" s="403"/>
      <c r="AL333" s="380"/>
      <c r="AM333" s="380"/>
      <c r="AN333" s="380"/>
      <c r="AO333" s="380"/>
      <c r="AP333" s="380"/>
      <c r="AQ333" s="404"/>
      <c r="AR333" s="380"/>
      <c r="AS333" s="380"/>
      <c r="AT333" s="380"/>
      <c r="AU333" s="380"/>
      <c r="AV333" s="380"/>
      <c r="AW333" s="380"/>
      <c r="AX333" s="380"/>
      <c r="AY333" s="403"/>
      <c r="AZ333" s="380"/>
      <c r="BA333" s="380"/>
      <c r="BB333" s="380"/>
      <c r="BC333" s="380"/>
      <c r="BD333" s="380"/>
      <c r="BE333" s="404"/>
      <c r="BF333" s="380"/>
      <c r="BG333" s="380"/>
      <c r="BH333" s="380"/>
      <c r="BI333" s="380"/>
      <c r="BJ333" s="380"/>
      <c r="BK333" s="380"/>
      <c r="BL333" s="380"/>
      <c r="BM333" s="403"/>
      <c r="BS333" s="83"/>
      <c r="CA333" s="405"/>
      <c r="CG333" s="83"/>
      <c r="CO333" s="405"/>
      <c r="CU333" s="83"/>
      <c r="DC333" s="405"/>
      <c r="DI333" s="83"/>
      <c r="DQ333" s="405"/>
      <c r="DW333" s="83"/>
      <c r="EE333" s="405"/>
      <c r="EK333" s="83"/>
      <c r="ES333" s="405"/>
      <c r="EY333" s="83"/>
      <c r="FG333" s="405"/>
      <c r="FM333" s="83"/>
      <c r="FU333" s="405"/>
      <c r="GA333" s="83"/>
      <c r="GI333" s="405"/>
      <c r="GO333" s="83"/>
      <c r="GW333" s="405"/>
      <c r="HC333" s="83"/>
      <c r="HK333" s="405"/>
      <c r="HQ333" s="83"/>
      <c r="HY333" s="405"/>
      <c r="IE333" s="83"/>
      <c r="IM333" s="405"/>
      <c r="IS333" s="83"/>
      <c r="JA333" s="405"/>
      <c r="JG333" s="83"/>
      <c r="JO333" s="405"/>
      <c r="JU333" s="83"/>
      <c r="KC333" s="405"/>
      <c r="KI333" s="83"/>
      <c r="KQ333" s="405"/>
      <c r="KW333" s="83"/>
      <c r="LE333" s="405"/>
      <c r="LK333" s="83"/>
      <c r="LS333" s="405"/>
      <c r="LY333" s="83"/>
      <c r="MG333" s="405"/>
      <c r="MM333" s="83"/>
      <c r="MU333" s="405"/>
      <c r="NA333" s="83"/>
    </row>
    <row r="334">
      <c r="A334" s="380"/>
      <c r="B334" s="380"/>
      <c r="C334" s="380"/>
      <c r="D334" s="380"/>
      <c r="E334" s="380"/>
      <c r="F334" s="380"/>
      <c r="G334" s="380"/>
      <c r="H334" s="380"/>
      <c r="I334" s="403"/>
      <c r="J334" s="380"/>
      <c r="K334" s="380"/>
      <c r="L334" s="380"/>
      <c r="M334" s="380"/>
      <c r="N334" s="380"/>
      <c r="O334" s="404"/>
      <c r="P334" s="380"/>
      <c r="Q334" s="380"/>
      <c r="R334" s="380"/>
      <c r="S334" s="380"/>
      <c r="T334" s="380"/>
      <c r="U334" s="380"/>
      <c r="V334" s="380"/>
      <c r="W334" s="403"/>
      <c r="X334" s="380"/>
      <c r="Y334" s="380"/>
      <c r="Z334" s="380"/>
      <c r="AA334" s="380"/>
      <c r="AB334" s="380"/>
      <c r="AC334" s="404"/>
      <c r="AD334" s="380"/>
      <c r="AE334" s="380"/>
      <c r="AF334" s="380"/>
      <c r="AG334" s="380"/>
      <c r="AH334" s="380"/>
      <c r="AI334" s="380"/>
      <c r="AJ334" s="380"/>
      <c r="AK334" s="403"/>
      <c r="AL334" s="380"/>
      <c r="AM334" s="380"/>
      <c r="AN334" s="380"/>
      <c r="AO334" s="380"/>
      <c r="AP334" s="380"/>
      <c r="AQ334" s="404"/>
      <c r="AR334" s="380"/>
      <c r="AS334" s="380"/>
      <c r="AT334" s="380"/>
      <c r="AU334" s="380"/>
      <c r="AV334" s="380"/>
      <c r="AW334" s="380"/>
      <c r="AX334" s="380"/>
      <c r="AY334" s="403"/>
      <c r="AZ334" s="380"/>
      <c r="BA334" s="380"/>
      <c r="BB334" s="380"/>
      <c r="BC334" s="380"/>
      <c r="BD334" s="380"/>
      <c r="BE334" s="404"/>
      <c r="BF334" s="380"/>
      <c r="BG334" s="380"/>
      <c r="BH334" s="380"/>
      <c r="BI334" s="380"/>
      <c r="BJ334" s="380"/>
      <c r="BK334" s="380"/>
      <c r="BL334" s="380"/>
      <c r="BM334" s="403"/>
      <c r="BS334" s="83"/>
      <c r="CA334" s="405"/>
      <c r="CG334" s="83"/>
      <c r="CO334" s="405"/>
      <c r="CU334" s="83"/>
      <c r="DC334" s="405"/>
      <c r="DI334" s="83"/>
      <c r="DQ334" s="405"/>
      <c r="DW334" s="83"/>
      <c r="EE334" s="405"/>
      <c r="EK334" s="83"/>
      <c r="ES334" s="405"/>
      <c r="EY334" s="83"/>
      <c r="FG334" s="405"/>
      <c r="FM334" s="83"/>
      <c r="FU334" s="405"/>
      <c r="GA334" s="83"/>
      <c r="GI334" s="405"/>
      <c r="GO334" s="83"/>
      <c r="GW334" s="405"/>
      <c r="HC334" s="83"/>
      <c r="HK334" s="405"/>
      <c r="HQ334" s="83"/>
      <c r="HY334" s="405"/>
      <c r="IE334" s="83"/>
      <c r="IM334" s="405"/>
      <c r="IS334" s="83"/>
      <c r="JA334" s="405"/>
      <c r="JG334" s="83"/>
      <c r="JO334" s="405"/>
      <c r="JU334" s="83"/>
      <c r="KC334" s="405"/>
      <c r="KI334" s="83"/>
      <c r="KQ334" s="405"/>
      <c r="KW334" s="83"/>
      <c r="LE334" s="405"/>
      <c r="LK334" s="83"/>
      <c r="LS334" s="405"/>
      <c r="LY334" s="83"/>
      <c r="MG334" s="405"/>
      <c r="MM334" s="83"/>
      <c r="MU334" s="405"/>
      <c r="NA334" s="83"/>
    </row>
    <row r="335">
      <c r="A335" s="380"/>
      <c r="B335" s="380"/>
      <c r="C335" s="380"/>
      <c r="D335" s="380"/>
      <c r="E335" s="380"/>
      <c r="F335" s="380"/>
      <c r="G335" s="380"/>
      <c r="H335" s="380"/>
      <c r="I335" s="403"/>
      <c r="J335" s="380"/>
      <c r="K335" s="380"/>
      <c r="L335" s="380"/>
      <c r="M335" s="380"/>
      <c r="N335" s="380"/>
      <c r="O335" s="404"/>
      <c r="P335" s="380"/>
      <c r="Q335" s="380"/>
      <c r="R335" s="380"/>
      <c r="S335" s="380"/>
      <c r="T335" s="380"/>
      <c r="U335" s="380"/>
      <c r="V335" s="380"/>
      <c r="W335" s="403"/>
      <c r="X335" s="380"/>
      <c r="Y335" s="380"/>
      <c r="Z335" s="380"/>
      <c r="AA335" s="380"/>
      <c r="AB335" s="380"/>
      <c r="AC335" s="404"/>
      <c r="AD335" s="380"/>
      <c r="AE335" s="380"/>
      <c r="AF335" s="380"/>
      <c r="AG335" s="380"/>
      <c r="AH335" s="380"/>
      <c r="AI335" s="380"/>
      <c r="AJ335" s="380"/>
      <c r="AK335" s="403"/>
      <c r="AL335" s="380"/>
      <c r="AM335" s="380"/>
      <c r="AN335" s="380"/>
      <c r="AO335" s="380"/>
      <c r="AP335" s="380"/>
      <c r="AQ335" s="404"/>
      <c r="AR335" s="380"/>
      <c r="AS335" s="380"/>
      <c r="AT335" s="380"/>
      <c r="AU335" s="380"/>
      <c r="AV335" s="380"/>
      <c r="AW335" s="380"/>
      <c r="AX335" s="380"/>
      <c r="AY335" s="403"/>
      <c r="AZ335" s="380"/>
      <c r="BA335" s="380"/>
      <c r="BB335" s="380"/>
      <c r="BC335" s="380"/>
      <c r="BD335" s="380"/>
      <c r="BE335" s="404"/>
      <c r="BF335" s="380"/>
      <c r="BG335" s="380"/>
      <c r="BH335" s="380"/>
      <c r="BI335" s="380"/>
      <c r="BJ335" s="380"/>
      <c r="BK335" s="380"/>
      <c r="BL335" s="380"/>
      <c r="BM335" s="403"/>
      <c r="BS335" s="83"/>
      <c r="CA335" s="405"/>
      <c r="CG335" s="83"/>
      <c r="CO335" s="405"/>
      <c r="CU335" s="83"/>
      <c r="DC335" s="405"/>
      <c r="DI335" s="83"/>
      <c r="DQ335" s="405"/>
      <c r="DW335" s="83"/>
      <c r="EE335" s="405"/>
      <c r="EK335" s="83"/>
      <c r="ES335" s="405"/>
      <c r="EY335" s="83"/>
      <c r="FG335" s="405"/>
      <c r="FM335" s="83"/>
      <c r="FU335" s="405"/>
      <c r="GA335" s="83"/>
      <c r="GI335" s="405"/>
      <c r="GO335" s="83"/>
      <c r="GW335" s="405"/>
      <c r="HC335" s="83"/>
      <c r="HK335" s="405"/>
      <c r="HQ335" s="83"/>
      <c r="HY335" s="405"/>
      <c r="IE335" s="83"/>
      <c r="IM335" s="405"/>
      <c r="IS335" s="83"/>
      <c r="JA335" s="405"/>
      <c r="JG335" s="83"/>
      <c r="JO335" s="405"/>
      <c r="JU335" s="83"/>
      <c r="KC335" s="405"/>
      <c r="KI335" s="83"/>
      <c r="KQ335" s="405"/>
      <c r="KW335" s="83"/>
      <c r="LE335" s="405"/>
      <c r="LK335" s="83"/>
      <c r="LS335" s="405"/>
      <c r="LY335" s="83"/>
      <c r="MG335" s="405"/>
      <c r="MM335" s="83"/>
      <c r="MU335" s="405"/>
      <c r="NA335" s="83"/>
    </row>
    <row r="336">
      <c r="A336" s="380"/>
      <c r="B336" s="380"/>
      <c r="C336" s="380"/>
      <c r="D336" s="380"/>
      <c r="E336" s="380"/>
      <c r="F336" s="380"/>
      <c r="G336" s="380"/>
      <c r="H336" s="380"/>
      <c r="I336" s="403"/>
      <c r="J336" s="380"/>
      <c r="K336" s="380"/>
      <c r="L336" s="380"/>
      <c r="M336" s="380"/>
      <c r="N336" s="380"/>
      <c r="O336" s="404"/>
      <c r="P336" s="380"/>
      <c r="Q336" s="380"/>
      <c r="R336" s="380"/>
      <c r="S336" s="380"/>
      <c r="T336" s="380"/>
      <c r="U336" s="380"/>
      <c r="V336" s="380"/>
      <c r="W336" s="403"/>
      <c r="X336" s="380"/>
      <c r="Y336" s="380"/>
      <c r="Z336" s="380"/>
      <c r="AA336" s="380"/>
      <c r="AB336" s="380"/>
      <c r="AC336" s="404"/>
      <c r="AD336" s="380"/>
      <c r="AE336" s="380"/>
      <c r="AF336" s="380"/>
      <c r="AG336" s="380"/>
      <c r="AH336" s="380"/>
      <c r="AI336" s="380"/>
      <c r="AJ336" s="380"/>
      <c r="AK336" s="403"/>
      <c r="AL336" s="380"/>
      <c r="AM336" s="380"/>
      <c r="AN336" s="380"/>
      <c r="AO336" s="380"/>
      <c r="AP336" s="380"/>
      <c r="AQ336" s="404"/>
      <c r="AR336" s="380"/>
      <c r="AS336" s="380"/>
      <c r="AT336" s="380"/>
      <c r="AU336" s="380"/>
      <c r="AV336" s="380"/>
      <c r="AW336" s="380"/>
      <c r="AX336" s="380"/>
      <c r="AY336" s="403"/>
      <c r="AZ336" s="380"/>
      <c r="BA336" s="380"/>
      <c r="BB336" s="380"/>
      <c r="BC336" s="380"/>
      <c r="BD336" s="380"/>
      <c r="BE336" s="404"/>
      <c r="BF336" s="380"/>
      <c r="BG336" s="380"/>
      <c r="BH336" s="380"/>
      <c r="BI336" s="380"/>
      <c r="BJ336" s="380"/>
      <c r="BK336" s="380"/>
      <c r="BL336" s="380"/>
      <c r="BM336" s="403"/>
      <c r="BS336" s="83"/>
      <c r="CA336" s="405"/>
      <c r="CG336" s="83"/>
      <c r="CO336" s="405"/>
      <c r="CU336" s="83"/>
      <c r="DC336" s="405"/>
      <c r="DI336" s="83"/>
      <c r="DQ336" s="405"/>
      <c r="DW336" s="83"/>
      <c r="EE336" s="405"/>
      <c r="EK336" s="83"/>
      <c r="ES336" s="405"/>
      <c r="EY336" s="83"/>
      <c r="FG336" s="405"/>
      <c r="FM336" s="83"/>
      <c r="FU336" s="405"/>
      <c r="GA336" s="83"/>
      <c r="GI336" s="405"/>
      <c r="GO336" s="83"/>
      <c r="GW336" s="405"/>
      <c r="HC336" s="83"/>
      <c r="HK336" s="405"/>
      <c r="HQ336" s="83"/>
      <c r="HY336" s="405"/>
      <c r="IE336" s="83"/>
      <c r="IM336" s="405"/>
      <c r="IS336" s="83"/>
      <c r="JA336" s="405"/>
      <c r="JG336" s="83"/>
      <c r="JO336" s="405"/>
      <c r="JU336" s="83"/>
      <c r="KC336" s="405"/>
      <c r="KI336" s="83"/>
      <c r="KQ336" s="405"/>
      <c r="KW336" s="83"/>
      <c r="LE336" s="405"/>
      <c r="LK336" s="83"/>
      <c r="LS336" s="405"/>
      <c r="LY336" s="83"/>
      <c r="MG336" s="405"/>
      <c r="MM336" s="83"/>
      <c r="MU336" s="405"/>
      <c r="NA336" s="83"/>
    </row>
    <row r="337">
      <c r="A337" s="380"/>
      <c r="B337" s="380"/>
      <c r="C337" s="380"/>
      <c r="D337" s="380"/>
      <c r="E337" s="380"/>
      <c r="F337" s="380"/>
      <c r="G337" s="380"/>
      <c r="H337" s="380"/>
      <c r="I337" s="403"/>
      <c r="J337" s="380"/>
      <c r="K337" s="380"/>
      <c r="L337" s="380"/>
      <c r="M337" s="380"/>
      <c r="N337" s="380"/>
      <c r="O337" s="404"/>
      <c r="P337" s="380"/>
      <c r="Q337" s="380"/>
      <c r="R337" s="380"/>
      <c r="S337" s="380"/>
      <c r="T337" s="380"/>
      <c r="U337" s="380"/>
      <c r="V337" s="380"/>
      <c r="W337" s="403"/>
      <c r="X337" s="380"/>
      <c r="Y337" s="380"/>
      <c r="Z337" s="380"/>
      <c r="AA337" s="380"/>
      <c r="AB337" s="380"/>
      <c r="AC337" s="404"/>
      <c r="AD337" s="380"/>
      <c r="AE337" s="380"/>
      <c r="AF337" s="380"/>
      <c r="AG337" s="380"/>
      <c r="AH337" s="380"/>
      <c r="AI337" s="380"/>
      <c r="AJ337" s="380"/>
      <c r="AK337" s="403"/>
      <c r="AL337" s="380"/>
      <c r="AM337" s="380"/>
      <c r="AN337" s="380"/>
      <c r="AO337" s="380"/>
      <c r="AP337" s="380"/>
      <c r="AQ337" s="404"/>
      <c r="AR337" s="380"/>
      <c r="AS337" s="380"/>
      <c r="AT337" s="380"/>
      <c r="AU337" s="380"/>
      <c r="AV337" s="380"/>
      <c r="AW337" s="380"/>
      <c r="AX337" s="380"/>
      <c r="AY337" s="403"/>
      <c r="AZ337" s="380"/>
      <c r="BA337" s="380"/>
      <c r="BB337" s="380"/>
      <c r="BC337" s="380"/>
      <c r="BD337" s="380"/>
      <c r="BE337" s="404"/>
      <c r="BF337" s="380"/>
      <c r="BG337" s="380"/>
      <c r="BH337" s="380"/>
      <c r="BI337" s="380"/>
      <c r="BJ337" s="380"/>
      <c r="BK337" s="380"/>
      <c r="BL337" s="380"/>
      <c r="BM337" s="403"/>
      <c r="BS337" s="83"/>
      <c r="CA337" s="405"/>
      <c r="CG337" s="83"/>
      <c r="CO337" s="405"/>
      <c r="CU337" s="83"/>
      <c r="DC337" s="405"/>
      <c r="DI337" s="83"/>
      <c r="DQ337" s="405"/>
      <c r="DW337" s="83"/>
      <c r="EE337" s="405"/>
      <c r="EK337" s="83"/>
      <c r="ES337" s="405"/>
      <c r="EY337" s="83"/>
      <c r="FG337" s="405"/>
      <c r="FM337" s="83"/>
      <c r="FU337" s="405"/>
      <c r="GA337" s="83"/>
      <c r="GI337" s="405"/>
      <c r="GO337" s="83"/>
      <c r="GW337" s="405"/>
      <c r="HC337" s="83"/>
      <c r="HK337" s="405"/>
      <c r="HQ337" s="83"/>
      <c r="HY337" s="405"/>
      <c r="IE337" s="83"/>
      <c r="IM337" s="405"/>
      <c r="IS337" s="83"/>
      <c r="JA337" s="405"/>
      <c r="JG337" s="83"/>
      <c r="JO337" s="405"/>
      <c r="JU337" s="83"/>
      <c r="KC337" s="405"/>
      <c r="KI337" s="83"/>
      <c r="KQ337" s="405"/>
      <c r="KW337" s="83"/>
      <c r="LE337" s="405"/>
      <c r="LK337" s="83"/>
      <c r="LS337" s="405"/>
      <c r="LY337" s="83"/>
      <c r="MG337" s="405"/>
      <c r="MM337" s="83"/>
      <c r="MU337" s="405"/>
      <c r="NA337" s="83"/>
    </row>
    <row r="338">
      <c r="A338" s="380"/>
      <c r="B338" s="380"/>
      <c r="C338" s="380"/>
      <c r="D338" s="380"/>
      <c r="E338" s="380"/>
      <c r="F338" s="380"/>
      <c r="G338" s="380"/>
      <c r="H338" s="380"/>
      <c r="I338" s="403"/>
      <c r="J338" s="380"/>
      <c r="K338" s="380"/>
      <c r="L338" s="380"/>
      <c r="M338" s="380"/>
      <c r="N338" s="380"/>
      <c r="O338" s="404"/>
      <c r="P338" s="380"/>
      <c r="Q338" s="380"/>
      <c r="R338" s="380"/>
      <c r="S338" s="380"/>
      <c r="T338" s="380"/>
      <c r="U338" s="380"/>
      <c r="V338" s="380"/>
      <c r="W338" s="403"/>
      <c r="X338" s="380"/>
      <c r="Y338" s="380"/>
      <c r="Z338" s="380"/>
      <c r="AA338" s="380"/>
      <c r="AB338" s="380"/>
      <c r="AC338" s="404"/>
      <c r="AD338" s="380"/>
      <c r="AE338" s="380"/>
      <c r="AF338" s="380"/>
      <c r="AG338" s="380"/>
      <c r="AH338" s="380"/>
      <c r="AI338" s="380"/>
      <c r="AJ338" s="380"/>
      <c r="AK338" s="403"/>
      <c r="AL338" s="380"/>
      <c r="AM338" s="380"/>
      <c r="AN338" s="380"/>
      <c r="AO338" s="380"/>
      <c r="AP338" s="380"/>
      <c r="AQ338" s="404"/>
      <c r="AR338" s="380"/>
      <c r="AS338" s="380"/>
      <c r="AT338" s="380"/>
      <c r="AU338" s="380"/>
      <c r="AV338" s="380"/>
      <c r="AW338" s="380"/>
      <c r="AX338" s="380"/>
      <c r="AY338" s="403"/>
      <c r="AZ338" s="380"/>
      <c r="BA338" s="380"/>
      <c r="BB338" s="380"/>
      <c r="BC338" s="380"/>
      <c r="BD338" s="380"/>
      <c r="BE338" s="404"/>
      <c r="BF338" s="380"/>
      <c r="BG338" s="380"/>
      <c r="BH338" s="380"/>
      <c r="BI338" s="380"/>
      <c r="BJ338" s="380"/>
      <c r="BK338" s="380"/>
      <c r="BL338" s="380"/>
      <c r="BM338" s="403"/>
      <c r="BS338" s="83"/>
      <c r="CA338" s="405"/>
      <c r="CG338" s="83"/>
      <c r="CO338" s="405"/>
      <c r="CU338" s="83"/>
      <c r="DC338" s="405"/>
      <c r="DI338" s="83"/>
      <c r="DQ338" s="405"/>
      <c r="DW338" s="83"/>
      <c r="EE338" s="405"/>
      <c r="EK338" s="83"/>
      <c r="ES338" s="405"/>
      <c r="EY338" s="83"/>
      <c r="FG338" s="405"/>
      <c r="FM338" s="83"/>
      <c r="FU338" s="405"/>
      <c r="GA338" s="83"/>
      <c r="GI338" s="405"/>
      <c r="GO338" s="83"/>
      <c r="GW338" s="405"/>
      <c r="HC338" s="83"/>
      <c r="HK338" s="405"/>
      <c r="HQ338" s="83"/>
      <c r="HY338" s="405"/>
      <c r="IE338" s="83"/>
      <c r="IM338" s="405"/>
      <c r="IS338" s="83"/>
      <c r="JA338" s="405"/>
      <c r="JG338" s="83"/>
      <c r="JO338" s="405"/>
      <c r="JU338" s="83"/>
      <c r="KC338" s="405"/>
      <c r="KI338" s="83"/>
      <c r="KQ338" s="405"/>
      <c r="KW338" s="83"/>
      <c r="LE338" s="405"/>
      <c r="LK338" s="83"/>
      <c r="LS338" s="405"/>
      <c r="LY338" s="83"/>
      <c r="MG338" s="405"/>
      <c r="MM338" s="83"/>
      <c r="MU338" s="405"/>
      <c r="NA338" s="83"/>
    </row>
    <row r="339">
      <c r="A339" s="380"/>
      <c r="B339" s="380"/>
      <c r="C339" s="380"/>
      <c r="D339" s="380"/>
      <c r="E339" s="380"/>
      <c r="F339" s="380"/>
      <c r="G339" s="380"/>
      <c r="H339" s="380"/>
      <c r="I339" s="403"/>
      <c r="J339" s="380"/>
      <c r="K339" s="380"/>
      <c r="L339" s="380"/>
      <c r="M339" s="380"/>
      <c r="N339" s="380"/>
      <c r="O339" s="404"/>
      <c r="P339" s="380"/>
      <c r="Q339" s="380"/>
      <c r="R339" s="380"/>
      <c r="S339" s="380"/>
      <c r="T339" s="380"/>
      <c r="U339" s="380"/>
      <c r="V339" s="380"/>
      <c r="W339" s="403"/>
      <c r="X339" s="380"/>
      <c r="Y339" s="380"/>
      <c r="Z339" s="380"/>
      <c r="AA339" s="380"/>
      <c r="AB339" s="380"/>
      <c r="AC339" s="404"/>
      <c r="AD339" s="380"/>
      <c r="AE339" s="380"/>
      <c r="AF339" s="380"/>
      <c r="AG339" s="380"/>
      <c r="AH339" s="380"/>
      <c r="AI339" s="380"/>
      <c r="AJ339" s="380"/>
      <c r="AK339" s="403"/>
      <c r="AL339" s="380"/>
      <c r="AM339" s="380"/>
      <c r="AN339" s="380"/>
      <c r="AO339" s="380"/>
      <c r="AP339" s="380"/>
      <c r="AQ339" s="404"/>
      <c r="AR339" s="380"/>
      <c r="AS339" s="380"/>
      <c r="AT339" s="380"/>
      <c r="AU339" s="380"/>
      <c r="AV339" s="380"/>
      <c r="AW339" s="380"/>
      <c r="AX339" s="380"/>
      <c r="AY339" s="403"/>
      <c r="AZ339" s="380"/>
      <c r="BA339" s="380"/>
      <c r="BB339" s="380"/>
      <c r="BC339" s="380"/>
      <c r="BD339" s="380"/>
      <c r="BE339" s="404"/>
      <c r="BF339" s="380"/>
      <c r="BG339" s="380"/>
      <c r="BH339" s="380"/>
      <c r="BI339" s="380"/>
      <c r="BJ339" s="380"/>
      <c r="BK339" s="380"/>
      <c r="BL339" s="380"/>
      <c r="BM339" s="403"/>
      <c r="BS339" s="83"/>
      <c r="CA339" s="405"/>
      <c r="CG339" s="83"/>
      <c r="CO339" s="405"/>
      <c r="CU339" s="83"/>
      <c r="DC339" s="405"/>
      <c r="DI339" s="83"/>
      <c r="DQ339" s="405"/>
      <c r="DW339" s="83"/>
      <c r="EE339" s="405"/>
      <c r="EK339" s="83"/>
      <c r="ES339" s="405"/>
      <c r="EY339" s="83"/>
      <c r="FG339" s="405"/>
      <c r="FM339" s="83"/>
      <c r="FU339" s="405"/>
      <c r="GA339" s="83"/>
      <c r="GI339" s="405"/>
      <c r="GO339" s="83"/>
      <c r="GW339" s="405"/>
      <c r="HC339" s="83"/>
      <c r="HK339" s="405"/>
      <c r="HQ339" s="83"/>
      <c r="HY339" s="405"/>
      <c r="IE339" s="83"/>
      <c r="IM339" s="405"/>
      <c r="IS339" s="83"/>
      <c r="JA339" s="405"/>
      <c r="JG339" s="83"/>
      <c r="JO339" s="405"/>
      <c r="JU339" s="83"/>
      <c r="KC339" s="405"/>
      <c r="KI339" s="83"/>
      <c r="KQ339" s="405"/>
      <c r="KW339" s="83"/>
      <c r="LE339" s="405"/>
      <c r="LK339" s="83"/>
      <c r="LS339" s="405"/>
      <c r="LY339" s="83"/>
      <c r="MG339" s="405"/>
      <c r="MM339" s="83"/>
      <c r="MU339" s="405"/>
      <c r="NA339" s="83"/>
    </row>
    <row r="340">
      <c r="A340" s="380"/>
      <c r="B340" s="380"/>
      <c r="C340" s="380"/>
      <c r="D340" s="380"/>
      <c r="E340" s="380"/>
      <c r="F340" s="380"/>
      <c r="G340" s="380"/>
      <c r="H340" s="380"/>
      <c r="I340" s="403"/>
      <c r="J340" s="380"/>
      <c r="K340" s="380"/>
      <c r="L340" s="380"/>
      <c r="M340" s="380"/>
      <c r="N340" s="380"/>
      <c r="O340" s="404"/>
      <c r="P340" s="380"/>
      <c r="Q340" s="380"/>
      <c r="R340" s="380"/>
      <c r="S340" s="380"/>
      <c r="T340" s="380"/>
      <c r="U340" s="380"/>
      <c r="V340" s="380"/>
      <c r="W340" s="403"/>
      <c r="X340" s="380"/>
      <c r="Y340" s="380"/>
      <c r="Z340" s="380"/>
      <c r="AA340" s="380"/>
      <c r="AB340" s="380"/>
      <c r="AC340" s="404"/>
      <c r="AD340" s="380"/>
      <c r="AE340" s="380"/>
      <c r="AF340" s="380"/>
      <c r="AG340" s="380"/>
      <c r="AH340" s="380"/>
      <c r="AI340" s="380"/>
      <c r="AJ340" s="380"/>
      <c r="AK340" s="403"/>
      <c r="AL340" s="380"/>
      <c r="AM340" s="380"/>
      <c r="AN340" s="380"/>
      <c r="AO340" s="380"/>
      <c r="AP340" s="380"/>
      <c r="AQ340" s="404"/>
      <c r="AR340" s="380"/>
      <c r="AS340" s="380"/>
      <c r="AT340" s="380"/>
      <c r="AU340" s="380"/>
      <c r="AV340" s="380"/>
      <c r="AW340" s="380"/>
      <c r="AX340" s="380"/>
      <c r="AY340" s="403"/>
      <c r="AZ340" s="380"/>
      <c r="BA340" s="380"/>
      <c r="BB340" s="380"/>
      <c r="BC340" s="380"/>
      <c r="BD340" s="380"/>
      <c r="BE340" s="404"/>
      <c r="BF340" s="380"/>
      <c r="BG340" s="380"/>
      <c r="BH340" s="380"/>
      <c r="BI340" s="380"/>
      <c r="BJ340" s="380"/>
      <c r="BK340" s="380"/>
      <c r="BL340" s="380"/>
      <c r="BM340" s="403"/>
      <c r="BS340" s="83"/>
      <c r="CA340" s="405"/>
      <c r="CG340" s="83"/>
      <c r="CO340" s="405"/>
      <c r="CU340" s="83"/>
      <c r="DC340" s="405"/>
      <c r="DI340" s="83"/>
      <c r="DQ340" s="405"/>
      <c r="DW340" s="83"/>
      <c r="EE340" s="405"/>
      <c r="EK340" s="83"/>
      <c r="ES340" s="405"/>
      <c r="EY340" s="83"/>
      <c r="FG340" s="405"/>
      <c r="FM340" s="83"/>
      <c r="FU340" s="405"/>
      <c r="GA340" s="83"/>
      <c r="GI340" s="405"/>
      <c r="GO340" s="83"/>
      <c r="GW340" s="405"/>
      <c r="HC340" s="83"/>
      <c r="HK340" s="405"/>
      <c r="HQ340" s="83"/>
      <c r="HY340" s="405"/>
      <c r="IE340" s="83"/>
      <c r="IM340" s="405"/>
      <c r="IS340" s="83"/>
      <c r="JA340" s="405"/>
      <c r="JG340" s="83"/>
      <c r="JO340" s="405"/>
      <c r="JU340" s="83"/>
      <c r="KC340" s="405"/>
      <c r="KI340" s="83"/>
      <c r="KQ340" s="405"/>
      <c r="KW340" s="83"/>
      <c r="LE340" s="405"/>
      <c r="LK340" s="83"/>
      <c r="LS340" s="405"/>
      <c r="LY340" s="83"/>
      <c r="MG340" s="405"/>
      <c r="MM340" s="83"/>
      <c r="MU340" s="405"/>
      <c r="NA340" s="83"/>
    </row>
    <row r="341">
      <c r="A341" s="380"/>
      <c r="B341" s="380"/>
      <c r="C341" s="380"/>
      <c r="D341" s="380"/>
      <c r="E341" s="380"/>
      <c r="F341" s="380"/>
      <c r="G341" s="380"/>
      <c r="H341" s="380"/>
      <c r="I341" s="403"/>
      <c r="J341" s="380"/>
      <c r="K341" s="380"/>
      <c r="L341" s="380"/>
      <c r="M341" s="380"/>
      <c r="N341" s="380"/>
      <c r="O341" s="404"/>
      <c r="P341" s="380"/>
      <c r="Q341" s="380"/>
      <c r="R341" s="380"/>
      <c r="S341" s="380"/>
      <c r="T341" s="380"/>
      <c r="U341" s="380"/>
      <c r="V341" s="380"/>
      <c r="W341" s="403"/>
      <c r="X341" s="380"/>
      <c r="Y341" s="380"/>
      <c r="Z341" s="380"/>
      <c r="AA341" s="380"/>
      <c r="AB341" s="380"/>
      <c r="AC341" s="404"/>
      <c r="AD341" s="380"/>
      <c r="AE341" s="380"/>
      <c r="AF341" s="380"/>
      <c r="AG341" s="380"/>
      <c r="AH341" s="380"/>
      <c r="AI341" s="380"/>
      <c r="AJ341" s="380"/>
      <c r="AK341" s="403"/>
      <c r="AL341" s="380"/>
      <c r="AM341" s="380"/>
      <c r="AN341" s="380"/>
      <c r="AO341" s="380"/>
      <c r="AP341" s="380"/>
      <c r="AQ341" s="404"/>
      <c r="AR341" s="380"/>
      <c r="AS341" s="380"/>
      <c r="AT341" s="380"/>
      <c r="AU341" s="380"/>
      <c r="AV341" s="380"/>
      <c r="AW341" s="380"/>
      <c r="AX341" s="380"/>
      <c r="AY341" s="403"/>
      <c r="AZ341" s="380"/>
      <c r="BA341" s="380"/>
      <c r="BB341" s="380"/>
      <c r="BC341" s="380"/>
      <c r="BD341" s="380"/>
      <c r="BE341" s="404"/>
      <c r="BF341" s="380"/>
      <c r="BG341" s="380"/>
      <c r="BH341" s="380"/>
      <c r="BI341" s="380"/>
      <c r="BJ341" s="380"/>
      <c r="BK341" s="380"/>
      <c r="BL341" s="380"/>
      <c r="BM341" s="403"/>
      <c r="BS341" s="83"/>
      <c r="CA341" s="405"/>
      <c r="CG341" s="83"/>
      <c r="CO341" s="405"/>
      <c r="CU341" s="83"/>
      <c r="DC341" s="405"/>
      <c r="DI341" s="83"/>
      <c r="DQ341" s="405"/>
      <c r="DW341" s="83"/>
      <c r="EE341" s="405"/>
      <c r="EK341" s="83"/>
      <c r="ES341" s="405"/>
      <c r="EY341" s="83"/>
      <c r="FG341" s="405"/>
      <c r="FM341" s="83"/>
      <c r="FU341" s="405"/>
      <c r="GA341" s="83"/>
      <c r="GI341" s="405"/>
      <c r="GO341" s="83"/>
      <c r="GW341" s="405"/>
      <c r="HC341" s="83"/>
      <c r="HK341" s="405"/>
      <c r="HQ341" s="83"/>
      <c r="HY341" s="405"/>
      <c r="IE341" s="83"/>
      <c r="IM341" s="405"/>
      <c r="IS341" s="83"/>
      <c r="JA341" s="405"/>
      <c r="JG341" s="83"/>
      <c r="JO341" s="405"/>
      <c r="JU341" s="83"/>
      <c r="KC341" s="405"/>
      <c r="KI341" s="83"/>
      <c r="KQ341" s="405"/>
      <c r="KW341" s="83"/>
      <c r="LE341" s="405"/>
      <c r="LK341" s="83"/>
      <c r="LS341" s="405"/>
      <c r="LY341" s="83"/>
      <c r="MG341" s="405"/>
      <c r="MM341" s="83"/>
      <c r="MU341" s="405"/>
      <c r="NA341" s="83"/>
    </row>
    <row r="342">
      <c r="A342" s="380"/>
      <c r="B342" s="380"/>
      <c r="C342" s="380"/>
      <c r="D342" s="380"/>
      <c r="E342" s="380"/>
      <c r="F342" s="380"/>
      <c r="G342" s="380"/>
      <c r="H342" s="380"/>
      <c r="I342" s="403"/>
      <c r="J342" s="380"/>
      <c r="K342" s="380"/>
      <c r="L342" s="380"/>
      <c r="M342" s="380"/>
      <c r="N342" s="380"/>
      <c r="O342" s="404"/>
      <c r="P342" s="380"/>
      <c r="Q342" s="380"/>
      <c r="R342" s="380"/>
      <c r="S342" s="380"/>
      <c r="T342" s="380"/>
      <c r="U342" s="380"/>
      <c r="V342" s="380"/>
      <c r="W342" s="403"/>
      <c r="X342" s="380"/>
      <c r="Y342" s="380"/>
      <c r="Z342" s="380"/>
      <c r="AA342" s="380"/>
      <c r="AB342" s="380"/>
      <c r="AC342" s="404"/>
      <c r="AD342" s="380"/>
      <c r="AE342" s="380"/>
      <c r="AF342" s="380"/>
      <c r="AG342" s="380"/>
      <c r="AH342" s="380"/>
      <c r="AI342" s="380"/>
      <c r="AJ342" s="380"/>
      <c r="AK342" s="403"/>
      <c r="AL342" s="380"/>
      <c r="AM342" s="380"/>
      <c r="AN342" s="380"/>
      <c r="AO342" s="380"/>
      <c r="AP342" s="380"/>
      <c r="AQ342" s="404"/>
      <c r="AR342" s="380"/>
      <c r="AS342" s="380"/>
      <c r="AT342" s="380"/>
      <c r="AU342" s="380"/>
      <c r="AV342" s="380"/>
      <c r="AW342" s="380"/>
      <c r="AX342" s="380"/>
      <c r="AY342" s="403"/>
      <c r="AZ342" s="380"/>
      <c r="BA342" s="380"/>
      <c r="BB342" s="380"/>
      <c r="BC342" s="380"/>
      <c r="BD342" s="380"/>
      <c r="BE342" s="404"/>
      <c r="BF342" s="380"/>
      <c r="BG342" s="380"/>
      <c r="BH342" s="380"/>
      <c r="BI342" s="380"/>
      <c r="BJ342" s="380"/>
      <c r="BK342" s="380"/>
      <c r="BL342" s="380"/>
      <c r="BM342" s="403"/>
      <c r="BS342" s="83"/>
      <c r="CA342" s="405"/>
      <c r="CG342" s="83"/>
      <c r="CO342" s="405"/>
      <c r="CU342" s="83"/>
      <c r="DC342" s="405"/>
      <c r="DI342" s="83"/>
      <c r="DQ342" s="405"/>
      <c r="DW342" s="83"/>
      <c r="EE342" s="405"/>
      <c r="EK342" s="83"/>
      <c r="ES342" s="405"/>
      <c r="EY342" s="83"/>
      <c r="FG342" s="405"/>
      <c r="FM342" s="83"/>
      <c r="FU342" s="405"/>
      <c r="GA342" s="83"/>
      <c r="GI342" s="405"/>
      <c r="GO342" s="83"/>
      <c r="GW342" s="405"/>
      <c r="HC342" s="83"/>
      <c r="HK342" s="405"/>
      <c r="HQ342" s="83"/>
      <c r="HY342" s="405"/>
      <c r="IE342" s="83"/>
      <c r="IM342" s="405"/>
      <c r="IS342" s="83"/>
      <c r="JA342" s="405"/>
      <c r="JG342" s="83"/>
      <c r="JO342" s="405"/>
      <c r="JU342" s="83"/>
      <c r="KC342" s="405"/>
      <c r="KI342" s="83"/>
      <c r="KQ342" s="405"/>
      <c r="KW342" s="83"/>
      <c r="LE342" s="405"/>
      <c r="LK342" s="83"/>
      <c r="LS342" s="405"/>
      <c r="LY342" s="83"/>
      <c r="MG342" s="405"/>
      <c r="MM342" s="83"/>
      <c r="MU342" s="405"/>
      <c r="NA342" s="83"/>
    </row>
    <row r="343">
      <c r="A343" s="380"/>
      <c r="B343" s="380"/>
      <c r="C343" s="380"/>
      <c r="D343" s="380"/>
      <c r="E343" s="380"/>
      <c r="F343" s="380"/>
      <c r="G343" s="380"/>
      <c r="H343" s="380"/>
      <c r="I343" s="403"/>
      <c r="J343" s="380"/>
      <c r="K343" s="380"/>
      <c r="L343" s="380"/>
      <c r="M343" s="380"/>
      <c r="N343" s="380"/>
      <c r="O343" s="404"/>
      <c r="P343" s="380"/>
      <c r="Q343" s="380"/>
      <c r="R343" s="380"/>
      <c r="S343" s="380"/>
      <c r="T343" s="380"/>
      <c r="U343" s="380"/>
      <c r="V343" s="380"/>
      <c r="W343" s="403"/>
      <c r="X343" s="380"/>
      <c r="Y343" s="380"/>
      <c r="Z343" s="380"/>
      <c r="AA343" s="380"/>
      <c r="AB343" s="380"/>
      <c r="AC343" s="404"/>
      <c r="AD343" s="380"/>
      <c r="AE343" s="380"/>
      <c r="AF343" s="380"/>
      <c r="AG343" s="380"/>
      <c r="AH343" s="380"/>
      <c r="AI343" s="380"/>
      <c r="AJ343" s="380"/>
      <c r="AK343" s="403"/>
      <c r="AL343" s="380"/>
      <c r="AM343" s="380"/>
      <c r="AN343" s="380"/>
      <c r="AO343" s="380"/>
      <c r="AP343" s="380"/>
      <c r="AQ343" s="404"/>
      <c r="AR343" s="380"/>
      <c r="AS343" s="380"/>
      <c r="AT343" s="380"/>
      <c r="AU343" s="380"/>
      <c r="AV343" s="380"/>
      <c r="AW343" s="380"/>
      <c r="AX343" s="380"/>
      <c r="AY343" s="403"/>
      <c r="AZ343" s="380"/>
      <c r="BA343" s="380"/>
      <c r="BB343" s="380"/>
      <c r="BC343" s="380"/>
      <c r="BD343" s="380"/>
      <c r="BE343" s="404"/>
      <c r="BF343" s="380"/>
      <c r="BG343" s="380"/>
      <c r="BH343" s="380"/>
      <c r="BI343" s="380"/>
      <c r="BJ343" s="380"/>
      <c r="BK343" s="380"/>
      <c r="BL343" s="380"/>
      <c r="BM343" s="403"/>
      <c r="BS343" s="83"/>
      <c r="CA343" s="405"/>
      <c r="CG343" s="83"/>
      <c r="CO343" s="405"/>
      <c r="CU343" s="83"/>
      <c r="DC343" s="405"/>
      <c r="DI343" s="83"/>
      <c r="DQ343" s="405"/>
      <c r="DW343" s="83"/>
      <c r="EE343" s="405"/>
      <c r="EK343" s="83"/>
      <c r="ES343" s="405"/>
      <c r="EY343" s="83"/>
      <c r="FG343" s="405"/>
      <c r="FM343" s="83"/>
      <c r="FU343" s="405"/>
      <c r="GA343" s="83"/>
      <c r="GI343" s="405"/>
      <c r="GO343" s="83"/>
      <c r="GW343" s="405"/>
      <c r="HC343" s="83"/>
      <c r="HK343" s="405"/>
      <c r="HQ343" s="83"/>
      <c r="HY343" s="405"/>
      <c r="IE343" s="83"/>
      <c r="IM343" s="405"/>
      <c r="IS343" s="83"/>
      <c r="JA343" s="405"/>
      <c r="JG343" s="83"/>
      <c r="JO343" s="405"/>
      <c r="JU343" s="83"/>
      <c r="KC343" s="405"/>
      <c r="KI343" s="83"/>
      <c r="KQ343" s="405"/>
      <c r="KW343" s="83"/>
      <c r="LE343" s="405"/>
      <c r="LK343" s="83"/>
      <c r="LS343" s="405"/>
      <c r="LY343" s="83"/>
      <c r="MG343" s="405"/>
      <c r="MM343" s="83"/>
      <c r="MU343" s="405"/>
      <c r="NA343" s="83"/>
    </row>
    <row r="344">
      <c r="A344" s="380"/>
      <c r="B344" s="380"/>
      <c r="C344" s="380"/>
      <c r="D344" s="380"/>
      <c r="E344" s="380"/>
      <c r="F344" s="380"/>
      <c r="G344" s="380"/>
      <c r="H344" s="380"/>
      <c r="I344" s="403"/>
      <c r="J344" s="380"/>
      <c r="K344" s="380"/>
      <c r="L344" s="380"/>
      <c r="M344" s="380"/>
      <c r="N344" s="380"/>
      <c r="O344" s="404"/>
      <c r="P344" s="380"/>
      <c r="Q344" s="380"/>
      <c r="R344" s="380"/>
      <c r="S344" s="380"/>
      <c r="T344" s="380"/>
      <c r="U344" s="380"/>
      <c r="V344" s="380"/>
      <c r="W344" s="403"/>
      <c r="X344" s="380"/>
      <c r="Y344" s="380"/>
      <c r="Z344" s="380"/>
      <c r="AA344" s="380"/>
      <c r="AB344" s="380"/>
      <c r="AC344" s="404"/>
      <c r="AD344" s="380"/>
      <c r="AE344" s="380"/>
      <c r="AF344" s="380"/>
      <c r="AG344" s="380"/>
      <c r="AH344" s="380"/>
      <c r="AI344" s="380"/>
      <c r="AJ344" s="380"/>
      <c r="AK344" s="403"/>
      <c r="AL344" s="380"/>
      <c r="AM344" s="380"/>
      <c r="AN344" s="380"/>
      <c r="AO344" s="380"/>
      <c r="AP344" s="380"/>
      <c r="AQ344" s="404"/>
      <c r="AR344" s="380"/>
      <c r="AS344" s="380"/>
      <c r="AT344" s="380"/>
      <c r="AU344" s="380"/>
      <c r="AV344" s="380"/>
      <c r="AW344" s="380"/>
      <c r="AX344" s="380"/>
      <c r="AY344" s="403"/>
      <c r="AZ344" s="380"/>
      <c r="BA344" s="380"/>
      <c r="BB344" s="380"/>
      <c r="BC344" s="380"/>
      <c r="BD344" s="380"/>
      <c r="BE344" s="404"/>
      <c r="BF344" s="380"/>
      <c r="BG344" s="380"/>
      <c r="BH344" s="380"/>
      <c r="BI344" s="380"/>
      <c r="BJ344" s="380"/>
      <c r="BK344" s="380"/>
      <c r="BL344" s="380"/>
      <c r="BM344" s="403"/>
      <c r="BS344" s="83"/>
      <c r="CA344" s="405"/>
      <c r="CG344" s="83"/>
      <c r="CO344" s="405"/>
      <c r="CU344" s="83"/>
      <c r="DC344" s="405"/>
      <c r="DI344" s="83"/>
      <c r="DQ344" s="405"/>
      <c r="DW344" s="83"/>
      <c r="EE344" s="405"/>
      <c r="EK344" s="83"/>
      <c r="ES344" s="405"/>
      <c r="EY344" s="83"/>
      <c r="FG344" s="405"/>
      <c r="FM344" s="83"/>
      <c r="FU344" s="405"/>
      <c r="GA344" s="83"/>
      <c r="GI344" s="405"/>
      <c r="GO344" s="83"/>
      <c r="GW344" s="405"/>
      <c r="HC344" s="83"/>
      <c r="HK344" s="405"/>
      <c r="HQ344" s="83"/>
      <c r="HY344" s="405"/>
      <c r="IE344" s="83"/>
      <c r="IM344" s="405"/>
      <c r="IS344" s="83"/>
      <c r="JA344" s="405"/>
      <c r="JG344" s="83"/>
      <c r="JO344" s="405"/>
      <c r="JU344" s="83"/>
      <c r="KC344" s="405"/>
      <c r="KI344" s="83"/>
      <c r="KQ344" s="405"/>
      <c r="KW344" s="83"/>
      <c r="LE344" s="405"/>
      <c r="LK344" s="83"/>
      <c r="LS344" s="405"/>
      <c r="LY344" s="83"/>
      <c r="MG344" s="405"/>
      <c r="MM344" s="83"/>
      <c r="MU344" s="405"/>
      <c r="NA344" s="83"/>
    </row>
    <row r="345">
      <c r="A345" s="380"/>
      <c r="B345" s="380"/>
      <c r="C345" s="380"/>
      <c r="D345" s="380"/>
      <c r="E345" s="380"/>
      <c r="F345" s="380"/>
      <c r="G345" s="380"/>
      <c r="H345" s="380"/>
      <c r="I345" s="403"/>
      <c r="J345" s="380"/>
      <c r="K345" s="380"/>
      <c r="L345" s="380"/>
      <c r="M345" s="380"/>
      <c r="N345" s="380"/>
      <c r="O345" s="404"/>
      <c r="P345" s="380"/>
      <c r="Q345" s="380"/>
      <c r="R345" s="380"/>
      <c r="S345" s="380"/>
      <c r="T345" s="380"/>
      <c r="U345" s="380"/>
      <c r="V345" s="380"/>
      <c r="W345" s="403"/>
      <c r="X345" s="380"/>
      <c r="Y345" s="380"/>
      <c r="Z345" s="380"/>
      <c r="AA345" s="380"/>
      <c r="AB345" s="380"/>
      <c r="AC345" s="404"/>
      <c r="AD345" s="380"/>
      <c r="AE345" s="380"/>
      <c r="AF345" s="380"/>
      <c r="AG345" s="380"/>
      <c r="AH345" s="380"/>
      <c r="AI345" s="380"/>
      <c r="AJ345" s="380"/>
      <c r="AK345" s="403"/>
      <c r="AL345" s="380"/>
      <c r="AM345" s="380"/>
      <c r="AN345" s="380"/>
      <c r="AO345" s="380"/>
      <c r="AP345" s="380"/>
      <c r="AQ345" s="404"/>
      <c r="AR345" s="380"/>
      <c r="AS345" s="380"/>
      <c r="AT345" s="380"/>
      <c r="AU345" s="380"/>
      <c r="AV345" s="380"/>
      <c r="AW345" s="380"/>
      <c r="AX345" s="380"/>
      <c r="AY345" s="403"/>
      <c r="AZ345" s="380"/>
      <c r="BA345" s="380"/>
      <c r="BB345" s="380"/>
      <c r="BC345" s="380"/>
      <c r="BD345" s="380"/>
      <c r="BE345" s="404"/>
      <c r="BF345" s="380"/>
      <c r="BG345" s="380"/>
      <c r="BH345" s="380"/>
      <c r="BI345" s="380"/>
      <c r="BJ345" s="380"/>
      <c r="BK345" s="380"/>
      <c r="BL345" s="380"/>
      <c r="BM345" s="403"/>
      <c r="BS345" s="83"/>
      <c r="CA345" s="405"/>
      <c r="CG345" s="83"/>
      <c r="CO345" s="405"/>
      <c r="CU345" s="83"/>
      <c r="DC345" s="405"/>
      <c r="DI345" s="83"/>
      <c r="DQ345" s="405"/>
      <c r="DW345" s="83"/>
      <c r="EE345" s="405"/>
      <c r="EK345" s="83"/>
      <c r="ES345" s="405"/>
      <c r="EY345" s="83"/>
      <c r="FG345" s="405"/>
      <c r="FM345" s="83"/>
      <c r="FU345" s="405"/>
      <c r="GA345" s="83"/>
      <c r="GI345" s="405"/>
      <c r="GO345" s="83"/>
      <c r="GW345" s="405"/>
      <c r="HC345" s="83"/>
      <c r="HK345" s="405"/>
      <c r="HQ345" s="83"/>
      <c r="HY345" s="405"/>
      <c r="IE345" s="83"/>
      <c r="IM345" s="405"/>
      <c r="IS345" s="83"/>
      <c r="JA345" s="405"/>
      <c r="JG345" s="83"/>
      <c r="JO345" s="405"/>
      <c r="JU345" s="83"/>
      <c r="KC345" s="405"/>
      <c r="KI345" s="83"/>
      <c r="KQ345" s="405"/>
      <c r="KW345" s="83"/>
      <c r="LE345" s="405"/>
      <c r="LK345" s="83"/>
      <c r="LS345" s="405"/>
      <c r="LY345" s="83"/>
      <c r="MG345" s="405"/>
      <c r="MM345" s="83"/>
      <c r="MU345" s="405"/>
      <c r="NA345" s="83"/>
    </row>
    <row r="346">
      <c r="A346" s="380"/>
      <c r="B346" s="380"/>
      <c r="C346" s="380"/>
      <c r="D346" s="380"/>
      <c r="E346" s="380"/>
      <c r="F346" s="380"/>
      <c r="G346" s="380"/>
      <c r="H346" s="380"/>
      <c r="I346" s="403"/>
      <c r="J346" s="380"/>
      <c r="K346" s="380"/>
      <c r="L346" s="380"/>
      <c r="M346" s="380"/>
      <c r="N346" s="380"/>
      <c r="O346" s="404"/>
      <c r="P346" s="380"/>
      <c r="Q346" s="380"/>
      <c r="R346" s="380"/>
      <c r="S346" s="380"/>
      <c r="T346" s="380"/>
      <c r="U346" s="380"/>
      <c r="V346" s="380"/>
      <c r="W346" s="403"/>
      <c r="X346" s="380"/>
      <c r="Y346" s="380"/>
      <c r="Z346" s="380"/>
      <c r="AA346" s="380"/>
      <c r="AB346" s="380"/>
      <c r="AC346" s="404"/>
      <c r="AD346" s="380"/>
      <c r="AE346" s="380"/>
      <c r="AF346" s="380"/>
      <c r="AG346" s="380"/>
      <c r="AH346" s="380"/>
      <c r="AI346" s="380"/>
      <c r="AJ346" s="380"/>
      <c r="AK346" s="403"/>
      <c r="AL346" s="380"/>
      <c r="AM346" s="380"/>
      <c r="AN346" s="380"/>
      <c r="AO346" s="380"/>
      <c r="AP346" s="380"/>
      <c r="AQ346" s="404"/>
      <c r="AR346" s="380"/>
      <c r="AS346" s="380"/>
      <c r="AT346" s="380"/>
      <c r="AU346" s="380"/>
      <c r="AV346" s="380"/>
      <c r="AW346" s="380"/>
      <c r="AX346" s="380"/>
      <c r="AY346" s="403"/>
      <c r="AZ346" s="380"/>
      <c r="BA346" s="380"/>
      <c r="BB346" s="380"/>
      <c r="BC346" s="380"/>
      <c r="BD346" s="380"/>
      <c r="BE346" s="404"/>
      <c r="BF346" s="380"/>
      <c r="BG346" s="380"/>
      <c r="BH346" s="380"/>
      <c r="BI346" s="380"/>
      <c r="BJ346" s="380"/>
      <c r="BK346" s="380"/>
      <c r="BL346" s="380"/>
      <c r="BM346" s="403"/>
      <c r="BS346" s="83"/>
      <c r="CA346" s="405"/>
      <c r="CG346" s="83"/>
      <c r="CO346" s="405"/>
      <c r="CU346" s="83"/>
      <c r="DC346" s="405"/>
      <c r="DI346" s="83"/>
      <c r="DQ346" s="405"/>
      <c r="DW346" s="83"/>
      <c r="EE346" s="405"/>
      <c r="EK346" s="83"/>
      <c r="ES346" s="405"/>
      <c r="EY346" s="83"/>
      <c r="FG346" s="405"/>
      <c r="FM346" s="83"/>
      <c r="FU346" s="405"/>
      <c r="GA346" s="83"/>
      <c r="GI346" s="405"/>
      <c r="GO346" s="83"/>
      <c r="GW346" s="405"/>
      <c r="HC346" s="83"/>
      <c r="HK346" s="405"/>
      <c r="HQ346" s="83"/>
      <c r="HY346" s="405"/>
      <c r="IE346" s="83"/>
      <c r="IM346" s="405"/>
      <c r="IS346" s="83"/>
      <c r="JA346" s="405"/>
      <c r="JG346" s="83"/>
      <c r="JO346" s="405"/>
      <c r="JU346" s="83"/>
      <c r="KC346" s="405"/>
      <c r="KI346" s="83"/>
      <c r="KQ346" s="405"/>
      <c r="KW346" s="83"/>
      <c r="LE346" s="405"/>
      <c r="LK346" s="83"/>
      <c r="LS346" s="405"/>
      <c r="LY346" s="83"/>
      <c r="MG346" s="405"/>
      <c r="MM346" s="83"/>
      <c r="MU346" s="405"/>
      <c r="NA346" s="83"/>
    </row>
    <row r="347">
      <c r="A347" s="380"/>
      <c r="B347" s="380"/>
      <c r="C347" s="380"/>
      <c r="D347" s="380"/>
      <c r="E347" s="380"/>
      <c r="F347" s="380"/>
      <c r="G347" s="380"/>
      <c r="H347" s="380"/>
      <c r="I347" s="403"/>
      <c r="J347" s="380"/>
      <c r="K347" s="380"/>
      <c r="L347" s="380"/>
      <c r="M347" s="380"/>
      <c r="N347" s="380"/>
      <c r="O347" s="404"/>
      <c r="P347" s="380"/>
      <c r="Q347" s="380"/>
      <c r="R347" s="380"/>
      <c r="S347" s="380"/>
      <c r="T347" s="380"/>
      <c r="U347" s="380"/>
      <c r="V347" s="380"/>
      <c r="W347" s="403"/>
      <c r="X347" s="380"/>
      <c r="Y347" s="380"/>
      <c r="Z347" s="380"/>
      <c r="AA347" s="380"/>
      <c r="AB347" s="380"/>
      <c r="AC347" s="404"/>
      <c r="AD347" s="380"/>
      <c r="AE347" s="380"/>
      <c r="AF347" s="380"/>
      <c r="AG347" s="380"/>
      <c r="AH347" s="380"/>
      <c r="AI347" s="380"/>
      <c r="AJ347" s="380"/>
      <c r="AK347" s="403"/>
      <c r="AL347" s="380"/>
      <c r="AM347" s="380"/>
      <c r="AN347" s="380"/>
      <c r="AO347" s="380"/>
      <c r="AP347" s="380"/>
      <c r="AQ347" s="404"/>
      <c r="AR347" s="380"/>
      <c r="AS347" s="380"/>
      <c r="AT347" s="380"/>
      <c r="AU347" s="380"/>
      <c r="AV347" s="380"/>
      <c r="AW347" s="380"/>
      <c r="AX347" s="380"/>
      <c r="AY347" s="403"/>
      <c r="AZ347" s="380"/>
      <c r="BA347" s="380"/>
      <c r="BB347" s="380"/>
      <c r="BC347" s="380"/>
      <c r="BD347" s="380"/>
      <c r="BE347" s="404"/>
      <c r="BF347" s="380"/>
      <c r="BG347" s="380"/>
      <c r="BH347" s="380"/>
      <c r="BI347" s="380"/>
      <c r="BJ347" s="380"/>
      <c r="BK347" s="380"/>
      <c r="BL347" s="380"/>
      <c r="BM347" s="403"/>
      <c r="BS347" s="83"/>
      <c r="CA347" s="405"/>
      <c r="CG347" s="83"/>
      <c r="CO347" s="405"/>
      <c r="CU347" s="83"/>
      <c r="DC347" s="405"/>
      <c r="DI347" s="83"/>
      <c r="DQ347" s="405"/>
      <c r="DW347" s="83"/>
      <c r="EE347" s="405"/>
      <c r="EK347" s="83"/>
      <c r="ES347" s="405"/>
      <c r="EY347" s="83"/>
      <c r="FG347" s="405"/>
      <c r="FM347" s="83"/>
      <c r="FU347" s="405"/>
      <c r="GA347" s="83"/>
      <c r="GI347" s="405"/>
      <c r="GO347" s="83"/>
      <c r="GW347" s="405"/>
      <c r="HC347" s="83"/>
      <c r="HK347" s="405"/>
      <c r="HQ347" s="83"/>
      <c r="HY347" s="405"/>
      <c r="IE347" s="83"/>
      <c r="IM347" s="405"/>
      <c r="IS347" s="83"/>
      <c r="JA347" s="405"/>
      <c r="JG347" s="83"/>
      <c r="JO347" s="405"/>
      <c r="JU347" s="83"/>
      <c r="KC347" s="405"/>
      <c r="KI347" s="83"/>
      <c r="KQ347" s="405"/>
      <c r="KW347" s="83"/>
      <c r="LE347" s="405"/>
      <c r="LK347" s="83"/>
      <c r="LS347" s="405"/>
      <c r="LY347" s="83"/>
      <c r="MG347" s="405"/>
      <c r="MM347" s="83"/>
      <c r="MU347" s="405"/>
      <c r="NA347" s="83"/>
    </row>
    <row r="348">
      <c r="A348" s="380"/>
      <c r="B348" s="380"/>
      <c r="C348" s="380"/>
      <c r="D348" s="380"/>
      <c r="E348" s="380"/>
      <c r="F348" s="380"/>
      <c r="G348" s="380"/>
      <c r="H348" s="380"/>
      <c r="I348" s="403"/>
      <c r="J348" s="380"/>
      <c r="K348" s="380"/>
      <c r="L348" s="380"/>
      <c r="M348" s="380"/>
      <c r="N348" s="380"/>
      <c r="O348" s="404"/>
      <c r="P348" s="380"/>
      <c r="Q348" s="380"/>
      <c r="R348" s="380"/>
      <c r="S348" s="380"/>
      <c r="T348" s="380"/>
      <c r="U348" s="380"/>
      <c r="V348" s="380"/>
      <c r="W348" s="403"/>
      <c r="X348" s="380"/>
      <c r="Y348" s="380"/>
      <c r="Z348" s="380"/>
      <c r="AA348" s="380"/>
      <c r="AB348" s="380"/>
      <c r="AC348" s="404"/>
      <c r="AD348" s="380"/>
      <c r="AE348" s="380"/>
      <c r="AF348" s="380"/>
      <c r="AG348" s="380"/>
      <c r="AH348" s="380"/>
      <c r="AI348" s="380"/>
      <c r="AJ348" s="380"/>
      <c r="AK348" s="403"/>
      <c r="AL348" s="380"/>
      <c r="AM348" s="380"/>
      <c r="AN348" s="380"/>
      <c r="AO348" s="380"/>
      <c r="AP348" s="380"/>
      <c r="AQ348" s="404"/>
      <c r="AR348" s="380"/>
      <c r="AS348" s="380"/>
      <c r="AT348" s="380"/>
      <c r="AU348" s="380"/>
      <c r="AV348" s="380"/>
      <c r="AW348" s="380"/>
      <c r="AX348" s="380"/>
      <c r="AY348" s="403"/>
      <c r="AZ348" s="380"/>
      <c r="BA348" s="380"/>
      <c r="BB348" s="380"/>
      <c r="BC348" s="380"/>
      <c r="BD348" s="380"/>
      <c r="BE348" s="404"/>
      <c r="BF348" s="380"/>
      <c r="BG348" s="380"/>
      <c r="BH348" s="380"/>
      <c r="BI348" s="380"/>
      <c r="BJ348" s="380"/>
      <c r="BK348" s="380"/>
      <c r="BL348" s="380"/>
      <c r="BM348" s="403"/>
      <c r="BS348" s="83"/>
      <c r="CA348" s="405"/>
      <c r="CG348" s="83"/>
      <c r="CO348" s="405"/>
      <c r="CU348" s="83"/>
      <c r="DC348" s="405"/>
      <c r="DI348" s="83"/>
      <c r="DQ348" s="405"/>
      <c r="DW348" s="83"/>
      <c r="EE348" s="405"/>
      <c r="EK348" s="83"/>
      <c r="ES348" s="405"/>
      <c r="EY348" s="83"/>
      <c r="FG348" s="405"/>
      <c r="FM348" s="83"/>
      <c r="FU348" s="405"/>
      <c r="GA348" s="83"/>
      <c r="GI348" s="405"/>
      <c r="GO348" s="83"/>
      <c r="GW348" s="405"/>
      <c r="HC348" s="83"/>
      <c r="HK348" s="405"/>
      <c r="HQ348" s="83"/>
      <c r="HY348" s="405"/>
      <c r="IE348" s="83"/>
      <c r="IM348" s="405"/>
      <c r="IS348" s="83"/>
      <c r="JA348" s="405"/>
      <c r="JG348" s="83"/>
      <c r="JO348" s="405"/>
      <c r="JU348" s="83"/>
      <c r="KC348" s="405"/>
      <c r="KI348" s="83"/>
      <c r="KQ348" s="405"/>
      <c r="KW348" s="83"/>
      <c r="LE348" s="405"/>
      <c r="LK348" s="83"/>
      <c r="LS348" s="405"/>
      <c r="LY348" s="83"/>
      <c r="MG348" s="405"/>
      <c r="MM348" s="83"/>
      <c r="MU348" s="405"/>
      <c r="NA348" s="83"/>
    </row>
    <row r="349">
      <c r="A349" s="380"/>
      <c r="B349" s="380"/>
      <c r="C349" s="380"/>
      <c r="D349" s="380"/>
      <c r="E349" s="380"/>
      <c r="F349" s="380"/>
      <c r="G349" s="380"/>
      <c r="H349" s="380"/>
      <c r="I349" s="403"/>
      <c r="J349" s="380"/>
      <c r="K349" s="380"/>
      <c r="L349" s="380"/>
      <c r="M349" s="380"/>
      <c r="N349" s="380"/>
      <c r="O349" s="404"/>
      <c r="P349" s="380"/>
      <c r="Q349" s="380"/>
      <c r="R349" s="380"/>
      <c r="S349" s="380"/>
      <c r="T349" s="380"/>
      <c r="U349" s="380"/>
      <c r="V349" s="380"/>
      <c r="W349" s="403"/>
      <c r="X349" s="380"/>
      <c r="Y349" s="380"/>
      <c r="Z349" s="380"/>
      <c r="AA349" s="380"/>
      <c r="AB349" s="380"/>
      <c r="AC349" s="404"/>
      <c r="AD349" s="380"/>
      <c r="AE349" s="380"/>
      <c r="AF349" s="380"/>
      <c r="AG349" s="380"/>
      <c r="AH349" s="380"/>
      <c r="AI349" s="380"/>
      <c r="AJ349" s="380"/>
      <c r="AK349" s="403"/>
      <c r="AL349" s="380"/>
      <c r="AM349" s="380"/>
      <c r="AN349" s="380"/>
      <c r="AO349" s="380"/>
      <c r="AP349" s="380"/>
      <c r="AQ349" s="404"/>
      <c r="AR349" s="380"/>
      <c r="AS349" s="380"/>
      <c r="AT349" s="380"/>
      <c r="AU349" s="380"/>
      <c r="AV349" s="380"/>
      <c r="AW349" s="380"/>
      <c r="AX349" s="380"/>
      <c r="AY349" s="403"/>
      <c r="AZ349" s="380"/>
      <c r="BA349" s="380"/>
      <c r="BB349" s="380"/>
      <c r="BC349" s="380"/>
      <c r="BD349" s="380"/>
      <c r="BE349" s="404"/>
      <c r="BF349" s="380"/>
      <c r="BG349" s="380"/>
      <c r="BH349" s="380"/>
      <c r="BI349" s="380"/>
      <c r="BJ349" s="380"/>
      <c r="BK349" s="380"/>
      <c r="BL349" s="380"/>
      <c r="BM349" s="403"/>
      <c r="BS349" s="83"/>
      <c r="CA349" s="405"/>
      <c r="CG349" s="83"/>
      <c r="CO349" s="405"/>
      <c r="CU349" s="83"/>
      <c r="DC349" s="405"/>
      <c r="DI349" s="83"/>
      <c r="DQ349" s="405"/>
      <c r="DW349" s="83"/>
      <c r="EE349" s="405"/>
      <c r="EK349" s="83"/>
      <c r="ES349" s="405"/>
      <c r="EY349" s="83"/>
      <c r="FG349" s="405"/>
      <c r="FM349" s="83"/>
      <c r="FU349" s="405"/>
      <c r="GA349" s="83"/>
      <c r="GI349" s="405"/>
      <c r="GO349" s="83"/>
      <c r="GW349" s="405"/>
      <c r="HC349" s="83"/>
      <c r="HK349" s="405"/>
      <c r="HQ349" s="83"/>
      <c r="HY349" s="405"/>
      <c r="IE349" s="83"/>
      <c r="IM349" s="405"/>
      <c r="IS349" s="83"/>
      <c r="JA349" s="405"/>
      <c r="JG349" s="83"/>
      <c r="JO349" s="405"/>
      <c r="JU349" s="83"/>
      <c r="KC349" s="405"/>
      <c r="KI349" s="83"/>
      <c r="KQ349" s="405"/>
      <c r="KW349" s="83"/>
      <c r="LE349" s="405"/>
      <c r="LK349" s="83"/>
      <c r="LS349" s="405"/>
      <c r="LY349" s="83"/>
      <c r="MG349" s="405"/>
      <c r="MM349" s="83"/>
      <c r="MU349" s="405"/>
      <c r="NA349" s="83"/>
    </row>
    <row r="350">
      <c r="A350" s="380"/>
      <c r="B350" s="380"/>
      <c r="C350" s="380"/>
      <c r="D350" s="380"/>
      <c r="E350" s="380"/>
      <c r="F350" s="380"/>
      <c r="G350" s="380"/>
      <c r="H350" s="380"/>
      <c r="I350" s="403"/>
      <c r="J350" s="380"/>
      <c r="K350" s="380"/>
      <c r="L350" s="380"/>
      <c r="M350" s="380"/>
      <c r="N350" s="380"/>
      <c r="O350" s="404"/>
      <c r="P350" s="380"/>
      <c r="Q350" s="380"/>
      <c r="R350" s="380"/>
      <c r="S350" s="380"/>
      <c r="T350" s="380"/>
      <c r="U350" s="380"/>
      <c r="V350" s="380"/>
      <c r="W350" s="403"/>
      <c r="X350" s="380"/>
      <c r="Y350" s="380"/>
      <c r="Z350" s="380"/>
      <c r="AA350" s="380"/>
      <c r="AB350" s="380"/>
      <c r="AC350" s="404"/>
      <c r="AD350" s="380"/>
      <c r="AE350" s="380"/>
      <c r="AF350" s="380"/>
      <c r="AG350" s="380"/>
      <c r="AH350" s="380"/>
      <c r="AI350" s="380"/>
      <c r="AJ350" s="380"/>
      <c r="AK350" s="403"/>
      <c r="AL350" s="380"/>
      <c r="AM350" s="380"/>
      <c r="AN350" s="380"/>
      <c r="AO350" s="380"/>
      <c r="AP350" s="380"/>
      <c r="AQ350" s="404"/>
      <c r="AR350" s="380"/>
      <c r="AS350" s="380"/>
      <c r="AT350" s="380"/>
      <c r="AU350" s="380"/>
      <c r="AV350" s="380"/>
      <c r="AW350" s="380"/>
      <c r="AX350" s="380"/>
      <c r="AY350" s="403"/>
      <c r="AZ350" s="380"/>
      <c r="BA350" s="380"/>
      <c r="BB350" s="380"/>
      <c r="BC350" s="380"/>
      <c r="BD350" s="380"/>
      <c r="BE350" s="404"/>
      <c r="BF350" s="380"/>
      <c r="BG350" s="380"/>
      <c r="BH350" s="380"/>
      <c r="BI350" s="380"/>
      <c r="BJ350" s="380"/>
      <c r="BK350" s="380"/>
      <c r="BL350" s="380"/>
      <c r="BM350" s="403"/>
      <c r="BS350" s="83"/>
      <c r="CA350" s="405"/>
      <c r="CG350" s="83"/>
      <c r="CO350" s="405"/>
      <c r="CU350" s="83"/>
      <c r="DC350" s="405"/>
      <c r="DI350" s="83"/>
      <c r="DQ350" s="405"/>
      <c r="DW350" s="83"/>
      <c r="EE350" s="405"/>
      <c r="EK350" s="83"/>
      <c r="ES350" s="405"/>
      <c r="EY350" s="83"/>
      <c r="FG350" s="405"/>
      <c r="FM350" s="83"/>
      <c r="FU350" s="405"/>
      <c r="GA350" s="83"/>
      <c r="GI350" s="405"/>
      <c r="GO350" s="83"/>
      <c r="GW350" s="405"/>
      <c r="HC350" s="83"/>
      <c r="HK350" s="405"/>
      <c r="HQ350" s="83"/>
      <c r="HY350" s="405"/>
      <c r="IE350" s="83"/>
      <c r="IM350" s="405"/>
      <c r="IS350" s="83"/>
      <c r="JA350" s="405"/>
      <c r="JG350" s="83"/>
      <c r="JO350" s="405"/>
      <c r="JU350" s="83"/>
      <c r="KC350" s="405"/>
      <c r="KI350" s="83"/>
      <c r="KQ350" s="405"/>
      <c r="KW350" s="83"/>
      <c r="LE350" s="405"/>
      <c r="LK350" s="83"/>
      <c r="LS350" s="405"/>
      <c r="LY350" s="83"/>
      <c r="MG350" s="405"/>
      <c r="MM350" s="83"/>
      <c r="MU350" s="405"/>
      <c r="NA350" s="83"/>
    </row>
    <row r="351">
      <c r="A351" s="380"/>
      <c r="B351" s="380"/>
      <c r="C351" s="380"/>
      <c r="D351" s="380"/>
      <c r="E351" s="380"/>
      <c r="F351" s="380"/>
      <c r="G351" s="380"/>
      <c r="H351" s="380"/>
      <c r="I351" s="403"/>
      <c r="J351" s="380"/>
      <c r="K351" s="380"/>
      <c r="L351" s="380"/>
      <c r="M351" s="380"/>
      <c r="N351" s="380"/>
      <c r="O351" s="404"/>
      <c r="P351" s="380"/>
      <c r="Q351" s="380"/>
      <c r="R351" s="380"/>
      <c r="S351" s="380"/>
      <c r="T351" s="380"/>
      <c r="U351" s="380"/>
      <c r="V351" s="380"/>
      <c r="W351" s="403"/>
      <c r="X351" s="380"/>
      <c r="Y351" s="380"/>
      <c r="Z351" s="380"/>
      <c r="AA351" s="380"/>
      <c r="AB351" s="380"/>
      <c r="AC351" s="404"/>
      <c r="AD351" s="380"/>
      <c r="AE351" s="380"/>
      <c r="AF351" s="380"/>
      <c r="AG351" s="380"/>
      <c r="AH351" s="380"/>
      <c r="AI351" s="380"/>
      <c r="AJ351" s="380"/>
      <c r="AK351" s="403"/>
      <c r="AL351" s="380"/>
      <c r="AM351" s="380"/>
      <c r="AN351" s="380"/>
      <c r="AO351" s="380"/>
      <c r="AP351" s="380"/>
      <c r="AQ351" s="404"/>
      <c r="AR351" s="380"/>
      <c r="AS351" s="380"/>
      <c r="AT351" s="380"/>
      <c r="AU351" s="380"/>
      <c r="AV351" s="380"/>
      <c r="AW351" s="380"/>
      <c r="AX351" s="380"/>
      <c r="AY351" s="403"/>
      <c r="AZ351" s="380"/>
      <c r="BA351" s="380"/>
      <c r="BB351" s="380"/>
      <c r="BC351" s="380"/>
      <c r="BD351" s="380"/>
      <c r="BE351" s="404"/>
      <c r="BF351" s="380"/>
      <c r="BG351" s="380"/>
      <c r="BH351" s="380"/>
      <c r="BI351" s="380"/>
      <c r="BJ351" s="380"/>
      <c r="BK351" s="380"/>
      <c r="BL351" s="380"/>
      <c r="BM351" s="403"/>
      <c r="BS351" s="83"/>
      <c r="CA351" s="405"/>
      <c r="CG351" s="83"/>
      <c r="CO351" s="405"/>
      <c r="CU351" s="83"/>
      <c r="DC351" s="405"/>
      <c r="DI351" s="83"/>
      <c r="DQ351" s="405"/>
      <c r="DW351" s="83"/>
      <c r="EE351" s="405"/>
      <c r="EK351" s="83"/>
      <c r="ES351" s="405"/>
      <c r="EY351" s="83"/>
      <c r="FG351" s="405"/>
      <c r="FM351" s="83"/>
      <c r="FU351" s="405"/>
      <c r="GA351" s="83"/>
      <c r="GI351" s="405"/>
      <c r="GO351" s="83"/>
      <c r="GW351" s="405"/>
      <c r="HC351" s="83"/>
      <c r="HK351" s="405"/>
      <c r="HQ351" s="83"/>
      <c r="HY351" s="405"/>
      <c r="IE351" s="83"/>
      <c r="IM351" s="405"/>
      <c r="IS351" s="83"/>
      <c r="JA351" s="405"/>
      <c r="JG351" s="83"/>
      <c r="JO351" s="405"/>
      <c r="JU351" s="83"/>
      <c r="KC351" s="405"/>
      <c r="KI351" s="83"/>
      <c r="KQ351" s="405"/>
      <c r="KW351" s="83"/>
      <c r="LE351" s="405"/>
      <c r="LK351" s="83"/>
      <c r="LS351" s="405"/>
      <c r="LY351" s="83"/>
      <c r="MG351" s="405"/>
      <c r="MM351" s="83"/>
      <c r="MU351" s="405"/>
      <c r="NA351" s="83"/>
    </row>
    <row r="352">
      <c r="A352" s="380"/>
      <c r="B352" s="380"/>
      <c r="C352" s="380"/>
      <c r="D352" s="380"/>
      <c r="E352" s="380"/>
      <c r="F352" s="380"/>
      <c r="G352" s="380"/>
      <c r="H352" s="380"/>
      <c r="I352" s="403"/>
      <c r="J352" s="380"/>
      <c r="K352" s="380"/>
      <c r="L352" s="380"/>
      <c r="M352" s="380"/>
      <c r="N352" s="380"/>
      <c r="O352" s="404"/>
      <c r="P352" s="380"/>
      <c r="Q352" s="380"/>
      <c r="R352" s="380"/>
      <c r="S352" s="380"/>
      <c r="T352" s="380"/>
      <c r="U352" s="380"/>
      <c r="V352" s="380"/>
      <c r="W352" s="403"/>
      <c r="X352" s="380"/>
      <c r="Y352" s="380"/>
      <c r="Z352" s="380"/>
      <c r="AA352" s="380"/>
      <c r="AB352" s="380"/>
      <c r="AC352" s="404"/>
      <c r="AD352" s="380"/>
      <c r="AE352" s="380"/>
      <c r="AF352" s="380"/>
      <c r="AG352" s="380"/>
      <c r="AH352" s="380"/>
      <c r="AI352" s="380"/>
      <c r="AJ352" s="380"/>
      <c r="AK352" s="403"/>
      <c r="AL352" s="380"/>
      <c r="AM352" s="380"/>
      <c r="AN352" s="380"/>
      <c r="AO352" s="380"/>
      <c r="AP352" s="380"/>
      <c r="AQ352" s="404"/>
      <c r="AR352" s="380"/>
      <c r="AS352" s="380"/>
      <c r="AT352" s="380"/>
      <c r="AU352" s="380"/>
      <c r="AV352" s="380"/>
      <c r="AW352" s="380"/>
      <c r="AX352" s="380"/>
      <c r="AY352" s="403"/>
      <c r="AZ352" s="380"/>
      <c r="BA352" s="380"/>
      <c r="BB352" s="380"/>
      <c r="BC352" s="380"/>
      <c r="BD352" s="380"/>
      <c r="BE352" s="404"/>
      <c r="BF352" s="380"/>
      <c r="BG352" s="380"/>
      <c r="BH352" s="380"/>
      <c r="BI352" s="380"/>
      <c r="BJ352" s="380"/>
      <c r="BK352" s="380"/>
      <c r="BL352" s="380"/>
      <c r="BM352" s="403"/>
      <c r="BS352" s="83"/>
      <c r="CA352" s="405"/>
      <c r="CG352" s="83"/>
      <c r="CO352" s="405"/>
      <c r="CU352" s="83"/>
      <c r="DC352" s="405"/>
      <c r="DI352" s="83"/>
      <c r="DQ352" s="405"/>
      <c r="DW352" s="83"/>
      <c r="EE352" s="405"/>
      <c r="EK352" s="83"/>
      <c r="ES352" s="405"/>
      <c r="EY352" s="83"/>
      <c r="FG352" s="405"/>
      <c r="FM352" s="83"/>
      <c r="FU352" s="405"/>
      <c r="GA352" s="83"/>
      <c r="GI352" s="405"/>
      <c r="GO352" s="83"/>
      <c r="GW352" s="405"/>
      <c r="HC352" s="83"/>
      <c r="HK352" s="405"/>
      <c r="HQ352" s="83"/>
      <c r="HY352" s="405"/>
      <c r="IE352" s="83"/>
      <c r="IM352" s="405"/>
      <c r="IS352" s="83"/>
      <c r="JA352" s="405"/>
      <c r="JG352" s="83"/>
      <c r="JO352" s="405"/>
      <c r="JU352" s="83"/>
      <c r="KC352" s="405"/>
      <c r="KI352" s="83"/>
      <c r="KQ352" s="405"/>
      <c r="KW352" s="83"/>
      <c r="LE352" s="405"/>
      <c r="LK352" s="83"/>
      <c r="LS352" s="405"/>
      <c r="LY352" s="83"/>
      <c r="MG352" s="405"/>
      <c r="MM352" s="83"/>
      <c r="MU352" s="405"/>
      <c r="NA352" s="83"/>
    </row>
    <row r="353">
      <c r="A353" s="380"/>
      <c r="B353" s="380"/>
      <c r="C353" s="380"/>
      <c r="D353" s="380"/>
      <c r="E353" s="380"/>
      <c r="F353" s="380"/>
      <c r="G353" s="380"/>
      <c r="H353" s="380"/>
      <c r="I353" s="403"/>
      <c r="J353" s="380"/>
      <c r="K353" s="380"/>
      <c r="L353" s="380"/>
      <c r="M353" s="380"/>
      <c r="N353" s="380"/>
      <c r="O353" s="404"/>
      <c r="P353" s="380"/>
      <c r="Q353" s="380"/>
      <c r="R353" s="380"/>
      <c r="S353" s="380"/>
      <c r="T353" s="380"/>
      <c r="U353" s="380"/>
      <c r="V353" s="380"/>
      <c r="W353" s="403"/>
      <c r="X353" s="380"/>
      <c r="Y353" s="380"/>
      <c r="Z353" s="380"/>
      <c r="AA353" s="380"/>
      <c r="AB353" s="380"/>
      <c r="AC353" s="404"/>
      <c r="AD353" s="380"/>
      <c r="AE353" s="380"/>
      <c r="AF353" s="380"/>
      <c r="AG353" s="380"/>
      <c r="AH353" s="380"/>
      <c r="AI353" s="380"/>
      <c r="AJ353" s="380"/>
      <c r="AK353" s="403"/>
      <c r="AL353" s="380"/>
      <c r="AM353" s="380"/>
      <c r="AN353" s="380"/>
      <c r="AO353" s="380"/>
      <c r="AP353" s="380"/>
      <c r="AQ353" s="404"/>
      <c r="AR353" s="380"/>
      <c r="AS353" s="380"/>
      <c r="AT353" s="380"/>
      <c r="AU353" s="380"/>
      <c r="AV353" s="380"/>
      <c r="AW353" s="380"/>
      <c r="AX353" s="380"/>
      <c r="AY353" s="403"/>
      <c r="AZ353" s="380"/>
      <c r="BA353" s="380"/>
      <c r="BB353" s="380"/>
      <c r="BC353" s="380"/>
      <c r="BD353" s="380"/>
      <c r="BE353" s="404"/>
      <c r="BF353" s="380"/>
      <c r="BG353" s="380"/>
      <c r="BH353" s="380"/>
      <c r="BI353" s="380"/>
      <c r="BJ353" s="380"/>
      <c r="BK353" s="380"/>
      <c r="BL353" s="380"/>
      <c r="BM353" s="403"/>
      <c r="BS353" s="83"/>
      <c r="CA353" s="405"/>
      <c r="CG353" s="83"/>
      <c r="CO353" s="405"/>
      <c r="CU353" s="83"/>
      <c r="DC353" s="405"/>
      <c r="DI353" s="83"/>
      <c r="DQ353" s="405"/>
      <c r="DW353" s="83"/>
      <c r="EE353" s="405"/>
      <c r="EK353" s="83"/>
      <c r="ES353" s="405"/>
      <c r="EY353" s="83"/>
      <c r="FG353" s="405"/>
      <c r="FM353" s="83"/>
      <c r="FU353" s="405"/>
      <c r="GA353" s="83"/>
      <c r="GI353" s="405"/>
      <c r="GO353" s="83"/>
      <c r="GW353" s="405"/>
      <c r="HC353" s="83"/>
      <c r="HK353" s="405"/>
      <c r="HQ353" s="83"/>
      <c r="HY353" s="405"/>
      <c r="IE353" s="83"/>
      <c r="IM353" s="405"/>
      <c r="IS353" s="83"/>
      <c r="JA353" s="405"/>
      <c r="JG353" s="83"/>
      <c r="JO353" s="405"/>
      <c r="JU353" s="83"/>
      <c r="KC353" s="405"/>
      <c r="KI353" s="83"/>
      <c r="KQ353" s="405"/>
      <c r="KW353" s="83"/>
      <c r="LE353" s="405"/>
      <c r="LK353" s="83"/>
      <c r="LS353" s="405"/>
      <c r="LY353" s="83"/>
      <c r="MG353" s="405"/>
      <c r="MM353" s="83"/>
      <c r="MU353" s="405"/>
      <c r="NA353" s="83"/>
    </row>
    <row r="354">
      <c r="A354" s="380"/>
      <c r="B354" s="380"/>
      <c r="C354" s="380"/>
      <c r="D354" s="380"/>
      <c r="E354" s="380"/>
      <c r="F354" s="380"/>
      <c r="G354" s="380"/>
      <c r="H354" s="380"/>
      <c r="I354" s="403"/>
      <c r="J354" s="380"/>
      <c r="K354" s="380"/>
      <c r="L354" s="380"/>
      <c r="M354" s="380"/>
      <c r="N354" s="380"/>
      <c r="O354" s="404"/>
      <c r="P354" s="380"/>
      <c r="Q354" s="380"/>
      <c r="R354" s="380"/>
      <c r="S354" s="380"/>
      <c r="T354" s="380"/>
      <c r="U354" s="380"/>
      <c r="V354" s="380"/>
      <c r="W354" s="403"/>
      <c r="X354" s="380"/>
      <c r="Y354" s="380"/>
      <c r="Z354" s="380"/>
      <c r="AA354" s="380"/>
      <c r="AB354" s="380"/>
      <c r="AC354" s="404"/>
      <c r="AD354" s="380"/>
      <c r="AE354" s="380"/>
      <c r="AF354" s="380"/>
      <c r="AG354" s="380"/>
      <c r="AH354" s="380"/>
      <c r="AI354" s="380"/>
      <c r="AJ354" s="380"/>
      <c r="AK354" s="403"/>
      <c r="AL354" s="380"/>
      <c r="AM354" s="380"/>
      <c r="AN354" s="380"/>
      <c r="AO354" s="380"/>
      <c r="AP354" s="380"/>
      <c r="AQ354" s="404"/>
      <c r="AR354" s="380"/>
      <c r="AS354" s="380"/>
      <c r="AT354" s="380"/>
      <c r="AU354" s="380"/>
      <c r="AV354" s="380"/>
      <c r="AW354" s="380"/>
      <c r="AX354" s="380"/>
      <c r="AY354" s="403"/>
      <c r="AZ354" s="380"/>
      <c r="BA354" s="380"/>
      <c r="BB354" s="380"/>
      <c r="BC354" s="380"/>
      <c r="BD354" s="380"/>
      <c r="BE354" s="404"/>
      <c r="BF354" s="380"/>
      <c r="BG354" s="380"/>
      <c r="BH354" s="380"/>
      <c r="BI354" s="380"/>
      <c r="BJ354" s="380"/>
      <c r="BK354" s="380"/>
      <c r="BL354" s="380"/>
      <c r="BM354" s="403"/>
      <c r="BS354" s="83"/>
      <c r="CA354" s="405"/>
      <c r="CG354" s="83"/>
      <c r="CO354" s="405"/>
      <c r="CU354" s="83"/>
      <c r="DC354" s="405"/>
      <c r="DI354" s="83"/>
      <c r="DQ354" s="405"/>
      <c r="DW354" s="83"/>
      <c r="EE354" s="405"/>
      <c r="EK354" s="83"/>
      <c r="ES354" s="405"/>
      <c r="EY354" s="83"/>
      <c r="FG354" s="405"/>
      <c r="FM354" s="83"/>
      <c r="FU354" s="405"/>
      <c r="GA354" s="83"/>
      <c r="GI354" s="405"/>
      <c r="GO354" s="83"/>
      <c r="GW354" s="405"/>
      <c r="HC354" s="83"/>
      <c r="HK354" s="405"/>
      <c r="HQ354" s="83"/>
      <c r="HY354" s="405"/>
      <c r="IE354" s="83"/>
      <c r="IM354" s="405"/>
      <c r="IS354" s="83"/>
      <c r="JA354" s="405"/>
      <c r="JG354" s="83"/>
      <c r="JO354" s="405"/>
      <c r="JU354" s="83"/>
      <c r="KC354" s="405"/>
      <c r="KI354" s="83"/>
      <c r="KQ354" s="405"/>
      <c r="KW354" s="83"/>
      <c r="LE354" s="405"/>
      <c r="LK354" s="83"/>
      <c r="LS354" s="405"/>
      <c r="LY354" s="83"/>
      <c r="MG354" s="405"/>
      <c r="MM354" s="83"/>
      <c r="MU354" s="405"/>
      <c r="NA354" s="83"/>
    </row>
    <row r="355">
      <c r="A355" s="380"/>
      <c r="B355" s="380"/>
      <c r="C355" s="380"/>
      <c r="D355" s="380"/>
      <c r="E355" s="380"/>
      <c r="F355" s="380"/>
      <c r="G355" s="380"/>
      <c r="H355" s="380"/>
      <c r="I355" s="403"/>
      <c r="J355" s="380"/>
      <c r="K355" s="380"/>
      <c r="L355" s="380"/>
      <c r="M355" s="380"/>
      <c r="N355" s="380"/>
      <c r="O355" s="404"/>
      <c r="P355" s="380"/>
      <c r="Q355" s="380"/>
      <c r="R355" s="380"/>
      <c r="S355" s="380"/>
      <c r="T355" s="380"/>
      <c r="U355" s="380"/>
      <c r="V355" s="380"/>
      <c r="W355" s="403"/>
      <c r="X355" s="380"/>
      <c r="Y355" s="380"/>
      <c r="Z355" s="380"/>
      <c r="AA355" s="380"/>
      <c r="AB355" s="380"/>
      <c r="AC355" s="404"/>
      <c r="AD355" s="380"/>
      <c r="AE355" s="380"/>
      <c r="AF355" s="380"/>
      <c r="AG355" s="380"/>
      <c r="AH355" s="380"/>
      <c r="AI355" s="380"/>
      <c r="AJ355" s="380"/>
      <c r="AK355" s="403"/>
      <c r="AL355" s="380"/>
      <c r="AM355" s="380"/>
      <c r="AN355" s="380"/>
      <c r="AO355" s="380"/>
      <c r="AP355" s="380"/>
      <c r="AQ355" s="404"/>
      <c r="AR355" s="380"/>
      <c r="AS355" s="380"/>
      <c r="AT355" s="380"/>
      <c r="AU355" s="380"/>
      <c r="AV355" s="380"/>
      <c r="AW355" s="380"/>
      <c r="AX355" s="380"/>
      <c r="AY355" s="403"/>
      <c r="AZ355" s="380"/>
      <c r="BA355" s="380"/>
      <c r="BB355" s="380"/>
      <c r="BC355" s="380"/>
      <c r="BD355" s="380"/>
      <c r="BE355" s="404"/>
      <c r="BF355" s="380"/>
      <c r="BG355" s="380"/>
      <c r="BH355" s="380"/>
      <c r="BI355" s="380"/>
      <c r="BJ355" s="380"/>
      <c r="BK355" s="380"/>
      <c r="BL355" s="380"/>
      <c r="BM355" s="403"/>
      <c r="BS355" s="83"/>
      <c r="CA355" s="405"/>
      <c r="CG355" s="83"/>
      <c r="CO355" s="405"/>
      <c r="CU355" s="83"/>
      <c r="DC355" s="405"/>
      <c r="DI355" s="83"/>
      <c r="DQ355" s="405"/>
      <c r="DW355" s="83"/>
      <c r="EE355" s="405"/>
      <c r="EK355" s="83"/>
      <c r="ES355" s="405"/>
      <c r="EY355" s="83"/>
      <c r="FG355" s="405"/>
      <c r="FM355" s="83"/>
      <c r="FU355" s="405"/>
      <c r="GA355" s="83"/>
      <c r="GI355" s="405"/>
      <c r="GO355" s="83"/>
      <c r="GW355" s="405"/>
      <c r="HC355" s="83"/>
      <c r="HK355" s="405"/>
      <c r="HQ355" s="83"/>
      <c r="HY355" s="405"/>
      <c r="IE355" s="83"/>
      <c r="IM355" s="405"/>
      <c r="IS355" s="83"/>
      <c r="JA355" s="405"/>
      <c r="JG355" s="83"/>
      <c r="JO355" s="405"/>
      <c r="JU355" s="83"/>
      <c r="KC355" s="405"/>
      <c r="KI355" s="83"/>
      <c r="KQ355" s="405"/>
      <c r="KW355" s="83"/>
      <c r="LE355" s="405"/>
      <c r="LK355" s="83"/>
      <c r="LS355" s="405"/>
      <c r="LY355" s="83"/>
      <c r="MG355" s="405"/>
      <c r="MM355" s="83"/>
      <c r="MU355" s="405"/>
      <c r="NA355" s="83"/>
    </row>
    <row r="356">
      <c r="A356" s="380"/>
      <c r="B356" s="380"/>
      <c r="C356" s="380"/>
      <c r="D356" s="380"/>
      <c r="E356" s="380"/>
      <c r="F356" s="380"/>
      <c r="G356" s="380"/>
      <c r="H356" s="380"/>
      <c r="I356" s="403"/>
      <c r="J356" s="380"/>
      <c r="K356" s="380"/>
      <c r="L356" s="380"/>
      <c r="M356" s="380"/>
      <c r="N356" s="380"/>
      <c r="O356" s="404"/>
      <c r="P356" s="380"/>
      <c r="Q356" s="380"/>
      <c r="R356" s="380"/>
      <c r="S356" s="380"/>
      <c r="T356" s="380"/>
      <c r="U356" s="380"/>
      <c r="V356" s="380"/>
      <c r="W356" s="403"/>
      <c r="X356" s="380"/>
      <c r="Y356" s="380"/>
      <c r="Z356" s="380"/>
      <c r="AA356" s="380"/>
      <c r="AB356" s="380"/>
      <c r="AC356" s="404"/>
      <c r="AD356" s="380"/>
      <c r="AE356" s="380"/>
      <c r="AF356" s="380"/>
      <c r="AG356" s="380"/>
      <c r="AH356" s="380"/>
      <c r="AI356" s="380"/>
      <c r="AJ356" s="380"/>
      <c r="AK356" s="403"/>
      <c r="AL356" s="380"/>
      <c r="AM356" s="380"/>
      <c r="AN356" s="380"/>
      <c r="AO356" s="380"/>
      <c r="AP356" s="380"/>
      <c r="AQ356" s="404"/>
      <c r="AR356" s="380"/>
      <c r="AS356" s="380"/>
      <c r="AT356" s="380"/>
      <c r="AU356" s="380"/>
      <c r="AV356" s="380"/>
      <c r="AW356" s="380"/>
      <c r="AX356" s="380"/>
      <c r="AY356" s="403"/>
      <c r="AZ356" s="380"/>
      <c r="BA356" s="380"/>
      <c r="BB356" s="380"/>
      <c r="BC356" s="380"/>
      <c r="BD356" s="380"/>
      <c r="BE356" s="404"/>
      <c r="BF356" s="380"/>
      <c r="BG356" s="380"/>
      <c r="BH356" s="380"/>
      <c r="BI356" s="380"/>
      <c r="BJ356" s="380"/>
      <c r="BK356" s="380"/>
      <c r="BL356" s="380"/>
      <c r="BM356" s="403"/>
      <c r="BS356" s="83"/>
      <c r="CA356" s="405"/>
      <c r="CG356" s="83"/>
      <c r="CO356" s="405"/>
      <c r="CU356" s="83"/>
      <c r="DC356" s="405"/>
      <c r="DI356" s="83"/>
      <c r="DQ356" s="405"/>
      <c r="DW356" s="83"/>
      <c r="EE356" s="405"/>
      <c r="EK356" s="83"/>
      <c r="ES356" s="405"/>
      <c r="EY356" s="83"/>
      <c r="FG356" s="405"/>
      <c r="FM356" s="83"/>
      <c r="FU356" s="405"/>
      <c r="GA356" s="83"/>
      <c r="GI356" s="405"/>
      <c r="GO356" s="83"/>
      <c r="GW356" s="405"/>
      <c r="HC356" s="83"/>
      <c r="HK356" s="405"/>
      <c r="HQ356" s="83"/>
      <c r="HY356" s="405"/>
      <c r="IE356" s="83"/>
      <c r="IM356" s="405"/>
      <c r="IS356" s="83"/>
      <c r="JA356" s="405"/>
      <c r="JG356" s="83"/>
      <c r="JO356" s="405"/>
      <c r="JU356" s="83"/>
      <c r="KC356" s="405"/>
      <c r="KI356" s="83"/>
      <c r="KQ356" s="405"/>
      <c r="KW356" s="83"/>
      <c r="LE356" s="405"/>
      <c r="LK356" s="83"/>
      <c r="LS356" s="405"/>
      <c r="LY356" s="83"/>
      <c r="MG356" s="405"/>
      <c r="MM356" s="83"/>
      <c r="MU356" s="405"/>
      <c r="NA356" s="83"/>
    </row>
    <row r="357">
      <c r="A357" s="380"/>
      <c r="B357" s="380"/>
      <c r="C357" s="380"/>
      <c r="D357" s="380"/>
      <c r="E357" s="380"/>
      <c r="F357" s="380"/>
      <c r="G357" s="380"/>
      <c r="H357" s="380"/>
      <c r="I357" s="403"/>
      <c r="J357" s="380"/>
      <c r="K357" s="380"/>
      <c r="L357" s="380"/>
      <c r="M357" s="380"/>
      <c r="N357" s="380"/>
      <c r="O357" s="404"/>
      <c r="P357" s="380"/>
      <c r="Q357" s="380"/>
      <c r="R357" s="380"/>
      <c r="S357" s="380"/>
      <c r="T357" s="380"/>
      <c r="U357" s="380"/>
      <c r="V357" s="380"/>
      <c r="W357" s="403"/>
      <c r="X357" s="380"/>
      <c r="Y357" s="380"/>
      <c r="Z357" s="380"/>
      <c r="AA357" s="380"/>
      <c r="AB357" s="380"/>
      <c r="AC357" s="404"/>
      <c r="AD357" s="380"/>
      <c r="AE357" s="380"/>
      <c r="AF357" s="380"/>
      <c r="AG357" s="380"/>
      <c r="AH357" s="380"/>
      <c r="AI357" s="380"/>
      <c r="AJ357" s="380"/>
      <c r="AK357" s="403"/>
      <c r="AL357" s="380"/>
      <c r="AM357" s="380"/>
      <c r="AN357" s="380"/>
      <c r="AO357" s="380"/>
      <c r="AP357" s="380"/>
      <c r="AQ357" s="404"/>
      <c r="AR357" s="380"/>
      <c r="AS357" s="380"/>
      <c r="AT357" s="380"/>
      <c r="AU357" s="380"/>
      <c r="AV357" s="380"/>
      <c r="AW357" s="380"/>
      <c r="AX357" s="380"/>
      <c r="AY357" s="403"/>
      <c r="AZ357" s="380"/>
      <c r="BA357" s="380"/>
      <c r="BB357" s="380"/>
      <c r="BC357" s="380"/>
      <c r="BD357" s="380"/>
      <c r="BE357" s="404"/>
      <c r="BF357" s="380"/>
      <c r="BG357" s="380"/>
      <c r="BH357" s="380"/>
      <c r="BI357" s="380"/>
      <c r="BJ357" s="380"/>
      <c r="BK357" s="380"/>
      <c r="BL357" s="380"/>
      <c r="BM357" s="403"/>
      <c r="BS357" s="83"/>
      <c r="CA357" s="405"/>
      <c r="CG357" s="83"/>
      <c r="CO357" s="405"/>
      <c r="CU357" s="83"/>
      <c r="DC357" s="405"/>
      <c r="DI357" s="83"/>
      <c r="DQ357" s="405"/>
      <c r="DW357" s="83"/>
      <c r="EE357" s="405"/>
      <c r="EK357" s="83"/>
      <c r="ES357" s="405"/>
      <c r="EY357" s="83"/>
      <c r="FG357" s="405"/>
      <c r="FM357" s="83"/>
      <c r="FU357" s="405"/>
      <c r="GA357" s="83"/>
      <c r="GI357" s="405"/>
      <c r="GO357" s="83"/>
      <c r="GW357" s="405"/>
      <c r="HC357" s="83"/>
      <c r="HK357" s="405"/>
      <c r="HQ357" s="83"/>
      <c r="HY357" s="405"/>
      <c r="IE357" s="83"/>
      <c r="IM357" s="405"/>
      <c r="IS357" s="83"/>
      <c r="JA357" s="405"/>
      <c r="JG357" s="83"/>
      <c r="JO357" s="405"/>
      <c r="JU357" s="83"/>
      <c r="KC357" s="405"/>
      <c r="KI357" s="83"/>
      <c r="KQ357" s="405"/>
      <c r="KW357" s="83"/>
      <c r="LE357" s="405"/>
      <c r="LK357" s="83"/>
      <c r="LS357" s="405"/>
      <c r="LY357" s="83"/>
      <c r="MG357" s="405"/>
      <c r="MM357" s="83"/>
      <c r="MU357" s="405"/>
      <c r="NA357" s="83"/>
    </row>
    <row r="358">
      <c r="A358" s="380"/>
      <c r="B358" s="380"/>
      <c r="C358" s="380"/>
      <c r="D358" s="380"/>
      <c r="E358" s="380"/>
      <c r="F358" s="380"/>
      <c r="G358" s="380"/>
      <c r="H358" s="380"/>
      <c r="I358" s="403"/>
      <c r="J358" s="380"/>
      <c r="K358" s="380"/>
      <c r="L358" s="380"/>
      <c r="M358" s="380"/>
      <c r="N358" s="380"/>
      <c r="O358" s="404"/>
      <c r="P358" s="380"/>
      <c r="Q358" s="380"/>
      <c r="R358" s="380"/>
      <c r="S358" s="380"/>
      <c r="T358" s="380"/>
      <c r="U358" s="380"/>
      <c r="V358" s="380"/>
      <c r="W358" s="403"/>
      <c r="X358" s="380"/>
      <c r="Y358" s="380"/>
      <c r="Z358" s="380"/>
      <c r="AA358" s="380"/>
      <c r="AB358" s="380"/>
      <c r="AC358" s="404"/>
      <c r="AD358" s="380"/>
      <c r="AE358" s="380"/>
      <c r="AF358" s="380"/>
      <c r="AG358" s="380"/>
      <c r="AH358" s="380"/>
      <c r="AI358" s="380"/>
      <c r="AJ358" s="380"/>
      <c r="AK358" s="403"/>
      <c r="AL358" s="380"/>
      <c r="AM358" s="380"/>
      <c r="AN358" s="380"/>
      <c r="AO358" s="380"/>
      <c r="AP358" s="380"/>
      <c r="AQ358" s="404"/>
      <c r="AR358" s="380"/>
      <c r="AS358" s="380"/>
      <c r="AT358" s="380"/>
      <c r="AU358" s="380"/>
      <c r="AV358" s="380"/>
      <c r="AW358" s="380"/>
      <c r="AX358" s="380"/>
      <c r="AY358" s="403"/>
      <c r="AZ358" s="380"/>
      <c r="BA358" s="380"/>
      <c r="BB358" s="380"/>
      <c r="BC358" s="380"/>
      <c r="BD358" s="380"/>
      <c r="BE358" s="404"/>
      <c r="BF358" s="380"/>
      <c r="BG358" s="380"/>
      <c r="BH358" s="380"/>
      <c r="BI358" s="380"/>
      <c r="BJ358" s="380"/>
      <c r="BK358" s="380"/>
      <c r="BL358" s="380"/>
      <c r="BM358" s="403"/>
      <c r="BS358" s="83"/>
      <c r="CA358" s="405"/>
      <c r="CG358" s="83"/>
      <c r="CO358" s="405"/>
      <c r="CU358" s="83"/>
      <c r="DC358" s="405"/>
      <c r="DI358" s="83"/>
      <c r="DQ358" s="405"/>
      <c r="DW358" s="83"/>
      <c r="EE358" s="405"/>
      <c r="EK358" s="83"/>
      <c r="ES358" s="405"/>
      <c r="EY358" s="83"/>
      <c r="FG358" s="405"/>
      <c r="FM358" s="83"/>
      <c r="FU358" s="405"/>
      <c r="GA358" s="83"/>
      <c r="GI358" s="405"/>
      <c r="GO358" s="83"/>
      <c r="GW358" s="405"/>
      <c r="HC358" s="83"/>
      <c r="HK358" s="405"/>
      <c r="HQ358" s="83"/>
      <c r="HY358" s="405"/>
      <c r="IE358" s="83"/>
      <c r="IM358" s="405"/>
      <c r="IS358" s="83"/>
      <c r="JA358" s="405"/>
      <c r="JG358" s="83"/>
      <c r="JO358" s="405"/>
      <c r="JU358" s="83"/>
      <c r="KC358" s="405"/>
      <c r="KI358" s="83"/>
      <c r="KQ358" s="405"/>
      <c r="KW358" s="83"/>
      <c r="LE358" s="405"/>
      <c r="LK358" s="83"/>
      <c r="LS358" s="405"/>
      <c r="LY358" s="83"/>
      <c r="MG358" s="405"/>
      <c r="MM358" s="83"/>
      <c r="MU358" s="405"/>
      <c r="NA358" s="83"/>
    </row>
    <row r="359">
      <c r="A359" s="380"/>
      <c r="B359" s="380"/>
      <c r="C359" s="380"/>
      <c r="D359" s="380"/>
      <c r="E359" s="380"/>
      <c r="F359" s="380"/>
      <c r="G359" s="380"/>
      <c r="H359" s="380"/>
      <c r="I359" s="403"/>
      <c r="J359" s="380"/>
      <c r="K359" s="380"/>
      <c r="L359" s="380"/>
      <c r="M359" s="380"/>
      <c r="N359" s="380"/>
      <c r="O359" s="404"/>
      <c r="P359" s="380"/>
      <c r="Q359" s="380"/>
      <c r="R359" s="380"/>
      <c r="S359" s="380"/>
      <c r="T359" s="380"/>
      <c r="U359" s="380"/>
      <c r="V359" s="380"/>
      <c r="W359" s="403"/>
      <c r="X359" s="380"/>
      <c r="Y359" s="380"/>
      <c r="Z359" s="380"/>
      <c r="AA359" s="380"/>
      <c r="AB359" s="380"/>
      <c r="AC359" s="404"/>
      <c r="AD359" s="380"/>
      <c r="AE359" s="380"/>
      <c r="AF359" s="380"/>
      <c r="AG359" s="380"/>
      <c r="AH359" s="380"/>
      <c r="AI359" s="380"/>
      <c r="AJ359" s="380"/>
      <c r="AK359" s="403"/>
      <c r="AL359" s="380"/>
      <c r="AM359" s="380"/>
      <c r="AN359" s="380"/>
      <c r="AO359" s="380"/>
      <c r="AP359" s="380"/>
      <c r="AQ359" s="404"/>
      <c r="AR359" s="380"/>
      <c r="AS359" s="380"/>
      <c r="AT359" s="380"/>
      <c r="AU359" s="380"/>
      <c r="AV359" s="380"/>
      <c r="AW359" s="380"/>
      <c r="AX359" s="380"/>
      <c r="AY359" s="403"/>
      <c r="AZ359" s="380"/>
      <c r="BA359" s="380"/>
      <c r="BB359" s="380"/>
      <c r="BC359" s="380"/>
      <c r="BD359" s="380"/>
      <c r="BE359" s="404"/>
      <c r="BF359" s="380"/>
      <c r="BG359" s="380"/>
      <c r="BH359" s="380"/>
      <c r="BI359" s="380"/>
      <c r="BJ359" s="380"/>
      <c r="BK359" s="380"/>
      <c r="BL359" s="380"/>
      <c r="BM359" s="403"/>
      <c r="BS359" s="83"/>
      <c r="CA359" s="405"/>
      <c r="CG359" s="83"/>
      <c r="CO359" s="405"/>
      <c r="CU359" s="83"/>
      <c r="DC359" s="405"/>
      <c r="DI359" s="83"/>
      <c r="DQ359" s="405"/>
      <c r="DW359" s="83"/>
      <c r="EE359" s="405"/>
      <c r="EK359" s="83"/>
      <c r="ES359" s="405"/>
      <c r="EY359" s="83"/>
      <c r="FG359" s="405"/>
      <c r="FM359" s="83"/>
      <c r="FU359" s="405"/>
      <c r="GA359" s="83"/>
      <c r="GI359" s="405"/>
      <c r="GO359" s="83"/>
      <c r="GW359" s="405"/>
      <c r="HC359" s="83"/>
      <c r="HK359" s="405"/>
      <c r="HQ359" s="83"/>
      <c r="HY359" s="405"/>
      <c r="IE359" s="83"/>
      <c r="IM359" s="405"/>
      <c r="IS359" s="83"/>
      <c r="JA359" s="405"/>
      <c r="JG359" s="83"/>
      <c r="JO359" s="405"/>
      <c r="JU359" s="83"/>
      <c r="KC359" s="405"/>
      <c r="KI359" s="83"/>
      <c r="KQ359" s="405"/>
      <c r="KW359" s="83"/>
      <c r="LE359" s="405"/>
      <c r="LK359" s="83"/>
      <c r="LS359" s="405"/>
      <c r="LY359" s="83"/>
      <c r="MG359" s="405"/>
      <c r="MM359" s="83"/>
      <c r="MU359" s="405"/>
      <c r="NA359" s="83"/>
    </row>
    <row r="360">
      <c r="A360" s="380"/>
      <c r="B360" s="380"/>
      <c r="C360" s="380"/>
      <c r="D360" s="380"/>
      <c r="E360" s="380"/>
      <c r="F360" s="380"/>
      <c r="G360" s="380"/>
      <c r="H360" s="380"/>
      <c r="I360" s="403"/>
      <c r="J360" s="380"/>
      <c r="K360" s="380"/>
      <c r="L360" s="380"/>
      <c r="M360" s="380"/>
      <c r="N360" s="380"/>
      <c r="O360" s="404"/>
      <c r="P360" s="380"/>
      <c r="Q360" s="380"/>
      <c r="R360" s="380"/>
      <c r="S360" s="380"/>
      <c r="T360" s="380"/>
      <c r="U360" s="380"/>
      <c r="V360" s="380"/>
      <c r="W360" s="403"/>
      <c r="X360" s="380"/>
      <c r="Y360" s="380"/>
      <c r="Z360" s="380"/>
      <c r="AA360" s="380"/>
      <c r="AB360" s="380"/>
      <c r="AC360" s="404"/>
      <c r="AD360" s="380"/>
      <c r="AE360" s="380"/>
      <c r="AF360" s="380"/>
      <c r="AG360" s="380"/>
      <c r="AH360" s="380"/>
      <c r="AI360" s="380"/>
      <c r="AJ360" s="380"/>
      <c r="AK360" s="403"/>
      <c r="AL360" s="380"/>
      <c r="AM360" s="380"/>
      <c r="AN360" s="380"/>
      <c r="AO360" s="380"/>
      <c r="AP360" s="380"/>
      <c r="AQ360" s="404"/>
      <c r="AR360" s="380"/>
      <c r="AS360" s="380"/>
      <c r="AT360" s="380"/>
      <c r="AU360" s="380"/>
      <c r="AV360" s="380"/>
      <c r="AW360" s="380"/>
      <c r="AX360" s="380"/>
      <c r="AY360" s="403"/>
      <c r="AZ360" s="380"/>
      <c r="BA360" s="380"/>
      <c r="BB360" s="380"/>
      <c r="BC360" s="380"/>
      <c r="BD360" s="380"/>
      <c r="BE360" s="404"/>
      <c r="BF360" s="380"/>
      <c r="BG360" s="380"/>
      <c r="BH360" s="380"/>
      <c r="BI360" s="380"/>
      <c r="BJ360" s="380"/>
      <c r="BK360" s="380"/>
      <c r="BL360" s="380"/>
      <c r="BM360" s="403"/>
      <c r="BS360" s="83"/>
      <c r="CA360" s="405"/>
      <c r="CG360" s="83"/>
      <c r="CO360" s="405"/>
      <c r="CU360" s="83"/>
      <c r="DC360" s="405"/>
      <c r="DI360" s="83"/>
      <c r="DQ360" s="405"/>
      <c r="DW360" s="83"/>
      <c r="EE360" s="405"/>
      <c r="EK360" s="83"/>
      <c r="ES360" s="405"/>
      <c r="EY360" s="83"/>
      <c r="FG360" s="405"/>
      <c r="FM360" s="83"/>
      <c r="FU360" s="405"/>
      <c r="GA360" s="83"/>
      <c r="GI360" s="405"/>
      <c r="GO360" s="83"/>
      <c r="GW360" s="405"/>
      <c r="HC360" s="83"/>
      <c r="HK360" s="405"/>
      <c r="HQ360" s="83"/>
      <c r="HY360" s="405"/>
      <c r="IE360" s="83"/>
      <c r="IM360" s="405"/>
      <c r="IS360" s="83"/>
      <c r="JA360" s="405"/>
      <c r="JG360" s="83"/>
      <c r="JO360" s="405"/>
      <c r="JU360" s="83"/>
      <c r="KC360" s="405"/>
      <c r="KI360" s="83"/>
      <c r="KQ360" s="405"/>
      <c r="KW360" s="83"/>
      <c r="LE360" s="405"/>
      <c r="LK360" s="83"/>
      <c r="LS360" s="405"/>
      <c r="LY360" s="83"/>
      <c r="MG360" s="405"/>
      <c r="MM360" s="83"/>
      <c r="MU360" s="405"/>
      <c r="NA360" s="83"/>
    </row>
    <row r="361">
      <c r="A361" s="380"/>
      <c r="B361" s="380"/>
      <c r="C361" s="380"/>
      <c r="D361" s="380"/>
      <c r="E361" s="380"/>
      <c r="F361" s="380"/>
      <c r="G361" s="380"/>
      <c r="H361" s="380"/>
      <c r="I361" s="403"/>
      <c r="J361" s="380"/>
      <c r="K361" s="380"/>
      <c r="L361" s="380"/>
      <c r="M361" s="380"/>
      <c r="N361" s="380"/>
      <c r="O361" s="404"/>
      <c r="P361" s="380"/>
      <c r="Q361" s="380"/>
      <c r="R361" s="380"/>
      <c r="S361" s="380"/>
      <c r="T361" s="380"/>
      <c r="U361" s="380"/>
      <c r="V361" s="380"/>
      <c r="W361" s="403"/>
      <c r="X361" s="380"/>
      <c r="Y361" s="380"/>
      <c r="Z361" s="380"/>
      <c r="AA361" s="380"/>
      <c r="AB361" s="380"/>
      <c r="AC361" s="404"/>
      <c r="AD361" s="380"/>
      <c r="AE361" s="380"/>
      <c r="AF361" s="380"/>
      <c r="AG361" s="380"/>
      <c r="AH361" s="380"/>
      <c r="AI361" s="380"/>
      <c r="AJ361" s="380"/>
      <c r="AK361" s="403"/>
      <c r="AL361" s="380"/>
      <c r="AM361" s="380"/>
      <c r="AN361" s="380"/>
      <c r="AO361" s="380"/>
      <c r="AP361" s="380"/>
      <c r="AQ361" s="404"/>
      <c r="AR361" s="380"/>
      <c r="AS361" s="380"/>
      <c r="AT361" s="380"/>
      <c r="AU361" s="380"/>
      <c r="AV361" s="380"/>
      <c r="AW361" s="380"/>
      <c r="AX361" s="380"/>
      <c r="AY361" s="403"/>
      <c r="AZ361" s="380"/>
      <c r="BA361" s="380"/>
      <c r="BB361" s="380"/>
      <c r="BC361" s="380"/>
      <c r="BD361" s="380"/>
      <c r="BE361" s="404"/>
      <c r="BF361" s="380"/>
      <c r="BG361" s="380"/>
      <c r="BH361" s="380"/>
      <c r="BI361" s="380"/>
      <c r="BJ361" s="380"/>
      <c r="BK361" s="380"/>
      <c r="BL361" s="380"/>
      <c r="BM361" s="403"/>
      <c r="BS361" s="83"/>
      <c r="CA361" s="405"/>
      <c r="CG361" s="83"/>
      <c r="CO361" s="405"/>
      <c r="CU361" s="83"/>
      <c r="DC361" s="405"/>
      <c r="DI361" s="83"/>
      <c r="DQ361" s="405"/>
      <c r="DW361" s="83"/>
      <c r="EE361" s="405"/>
      <c r="EK361" s="83"/>
      <c r="ES361" s="405"/>
      <c r="EY361" s="83"/>
      <c r="FG361" s="405"/>
      <c r="FM361" s="83"/>
      <c r="FU361" s="405"/>
      <c r="GA361" s="83"/>
      <c r="GI361" s="405"/>
      <c r="GO361" s="83"/>
      <c r="GW361" s="405"/>
      <c r="HC361" s="83"/>
      <c r="HK361" s="405"/>
      <c r="HQ361" s="83"/>
      <c r="HY361" s="405"/>
      <c r="IE361" s="83"/>
      <c r="IM361" s="405"/>
      <c r="IS361" s="83"/>
      <c r="JA361" s="405"/>
      <c r="JG361" s="83"/>
      <c r="JO361" s="405"/>
      <c r="JU361" s="83"/>
      <c r="KC361" s="405"/>
      <c r="KI361" s="83"/>
      <c r="KQ361" s="405"/>
      <c r="KW361" s="83"/>
      <c r="LE361" s="405"/>
      <c r="LK361" s="83"/>
      <c r="LS361" s="405"/>
      <c r="LY361" s="83"/>
      <c r="MG361" s="405"/>
      <c r="MM361" s="83"/>
      <c r="MU361" s="405"/>
      <c r="NA361" s="83"/>
    </row>
    <row r="362">
      <c r="A362" s="380"/>
      <c r="B362" s="380"/>
      <c r="C362" s="380"/>
      <c r="D362" s="380"/>
      <c r="E362" s="380"/>
      <c r="F362" s="380"/>
      <c r="G362" s="380"/>
      <c r="H362" s="380"/>
      <c r="I362" s="403"/>
      <c r="J362" s="380"/>
      <c r="K362" s="380"/>
      <c r="L362" s="380"/>
      <c r="M362" s="380"/>
      <c r="N362" s="380"/>
      <c r="O362" s="404"/>
      <c r="P362" s="380"/>
      <c r="Q362" s="380"/>
      <c r="R362" s="380"/>
      <c r="S362" s="380"/>
      <c r="T362" s="380"/>
      <c r="U362" s="380"/>
      <c r="V362" s="380"/>
      <c r="W362" s="403"/>
      <c r="X362" s="380"/>
      <c r="Y362" s="380"/>
      <c r="Z362" s="380"/>
      <c r="AA362" s="380"/>
      <c r="AB362" s="380"/>
      <c r="AC362" s="404"/>
      <c r="AD362" s="380"/>
      <c r="AE362" s="380"/>
      <c r="AF362" s="380"/>
      <c r="AG362" s="380"/>
      <c r="AH362" s="380"/>
      <c r="AI362" s="380"/>
      <c r="AJ362" s="380"/>
      <c r="AK362" s="403"/>
      <c r="AL362" s="380"/>
      <c r="AM362" s="380"/>
      <c r="AN362" s="380"/>
      <c r="AO362" s="380"/>
      <c r="AP362" s="380"/>
      <c r="AQ362" s="404"/>
      <c r="AR362" s="380"/>
      <c r="AS362" s="380"/>
      <c r="AT362" s="380"/>
      <c r="AU362" s="380"/>
      <c r="AV362" s="380"/>
      <c r="AW362" s="380"/>
      <c r="AX362" s="380"/>
      <c r="AY362" s="403"/>
      <c r="AZ362" s="380"/>
      <c r="BA362" s="380"/>
      <c r="BB362" s="380"/>
      <c r="BC362" s="380"/>
      <c r="BD362" s="380"/>
      <c r="BE362" s="404"/>
      <c r="BF362" s="380"/>
      <c r="BG362" s="380"/>
      <c r="BH362" s="380"/>
      <c r="BI362" s="380"/>
      <c r="BJ362" s="380"/>
      <c r="BK362" s="380"/>
      <c r="BL362" s="380"/>
      <c r="BM362" s="403"/>
      <c r="BS362" s="83"/>
      <c r="CA362" s="405"/>
      <c r="CG362" s="83"/>
      <c r="CO362" s="405"/>
      <c r="CU362" s="83"/>
      <c r="DC362" s="405"/>
      <c r="DI362" s="83"/>
      <c r="DQ362" s="405"/>
      <c r="DW362" s="83"/>
      <c r="EE362" s="405"/>
      <c r="EK362" s="83"/>
      <c r="ES362" s="405"/>
      <c r="EY362" s="83"/>
      <c r="FG362" s="405"/>
      <c r="FM362" s="83"/>
      <c r="FU362" s="405"/>
      <c r="GA362" s="83"/>
      <c r="GI362" s="405"/>
      <c r="GO362" s="83"/>
      <c r="GW362" s="405"/>
      <c r="HC362" s="83"/>
      <c r="HK362" s="405"/>
      <c r="HQ362" s="83"/>
      <c r="HY362" s="405"/>
      <c r="IE362" s="83"/>
      <c r="IM362" s="405"/>
      <c r="IS362" s="83"/>
      <c r="JA362" s="405"/>
      <c r="JG362" s="83"/>
      <c r="JO362" s="405"/>
      <c r="JU362" s="83"/>
      <c r="KC362" s="405"/>
      <c r="KI362" s="83"/>
      <c r="KQ362" s="405"/>
      <c r="KW362" s="83"/>
      <c r="LE362" s="405"/>
      <c r="LK362" s="83"/>
      <c r="LS362" s="405"/>
      <c r="LY362" s="83"/>
      <c r="MG362" s="405"/>
      <c r="MM362" s="83"/>
      <c r="MU362" s="405"/>
      <c r="NA362" s="83"/>
    </row>
    <row r="363">
      <c r="A363" s="380"/>
      <c r="B363" s="380"/>
      <c r="C363" s="380"/>
      <c r="D363" s="380"/>
      <c r="E363" s="380"/>
      <c r="F363" s="380"/>
      <c r="G363" s="380"/>
      <c r="H363" s="380"/>
      <c r="I363" s="403"/>
      <c r="J363" s="380"/>
      <c r="K363" s="380"/>
      <c r="L363" s="380"/>
      <c r="M363" s="380"/>
      <c r="N363" s="380"/>
      <c r="O363" s="404"/>
      <c r="P363" s="380"/>
      <c r="Q363" s="380"/>
      <c r="R363" s="380"/>
      <c r="S363" s="380"/>
      <c r="T363" s="380"/>
      <c r="U363" s="380"/>
      <c r="V363" s="380"/>
      <c r="W363" s="403"/>
      <c r="X363" s="380"/>
      <c r="Y363" s="380"/>
      <c r="Z363" s="380"/>
      <c r="AA363" s="380"/>
      <c r="AB363" s="380"/>
      <c r="AC363" s="404"/>
      <c r="AD363" s="380"/>
      <c r="AE363" s="380"/>
      <c r="AF363" s="380"/>
      <c r="AG363" s="380"/>
      <c r="AH363" s="380"/>
      <c r="AI363" s="380"/>
      <c r="AJ363" s="380"/>
      <c r="AK363" s="403"/>
      <c r="AL363" s="380"/>
      <c r="AM363" s="380"/>
      <c r="AN363" s="380"/>
      <c r="AO363" s="380"/>
      <c r="AP363" s="380"/>
      <c r="AQ363" s="404"/>
      <c r="AR363" s="380"/>
      <c r="AS363" s="380"/>
      <c r="AT363" s="380"/>
      <c r="AU363" s="380"/>
      <c r="AV363" s="380"/>
      <c r="AW363" s="380"/>
      <c r="AX363" s="380"/>
      <c r="AY363" s="403"/>
      <c r="AZ363" s="380"/>
      <c r="BA363" s="380"/>
      <c r="BB363" s="380"/>
      <c r="BC363" s="380"/>
      <c r="BD363" s="380"/>
      <c r="BE363" s="404"/>
      <c r="BF363" s="380"/>
      <c r="BG363" s="380"/>
      <c r="BH363" s="380"/>
      <c r="BI363" s="380"/>
      <c r="BJ363" s="380"/>
      <c r="BK363" s="380"/>
      <c r="BL363" s="380"/>
      <c r="BM363" s="403"/>
      <c r="BS363" s="83"/>
      <c r="CA363" s="405"/>
      <c r="CG363" s="83"/>
      <c r="CO363" s="405"/>
      <c r="CU363" s="83"/>
      <c r="DC363" s="405"/>
      <c r="DI363" s="83"/>
      <c r="DQ363" s="405"/>
      <c r="DW363" s="83"/>
      <c r="EE363" s="405"/>
      <c r="EK363" s="83"/>
      <c r="ES363" s="405"/>
      <c r="EY363" s="83"/>
      <c r="FG363" s="405"/>
      <c r="FM363" s="83"/>
      <c r="FU363" s="405"/>
      <c r="GA363" s="83"/>
      <c r="GI363" s="405"/>
      <c r="GO363" s="83"/>
      <c r="GW363" s="405"/>
      <c r="HC363" s="83"/>
      <c r="HK363" s="405"/>
      <c r="HQ363" s="83"/>
      <c r="HY363" s="405"/>
      <c r="IE363" s="83"/>
      <c r="IM363" s="405"/>
      <c r="IS363" s="83"/>
      <c r="JA363" s="405"/>
      <c r="JG363" s="83"/>
      <c r="JO363" s="405"/>
      <c r="JU363" s="83"/>
      <c r="KC363" s="405"/>
      <c r="KI363" s="83"/>
      <c r="KQ363" s="405"/>
      <c r="KW363" s="83"/>
      <c r="LE363" s="405"/>
      <c r="LK363" s="83"/>
      <c r="LS363" s="405"/>
      <c r="LY363" s="83"/>
      <c r="MG363" s="405"/>
      <c r="MM363" s="83"/>
      <c r="MU363" s="405"/>
      <c r="NA363" s="83"/>
    </row>
    <row r="364">
      <c r="A364" s="380"/>
      <c r="B364" s="380"/>
      <c r="C364" s="380"/>
      <c r="D364" s="380"/>
      <c r="E364" s="380"/>
      <c r="F364" s="380"/>
      <c r="G364" s="380"/>
      <c r="H364" s="380"/>
      <c r="I364" s="403"/>
      <c r="J364" s="380"/>
      <c r="K364" s="380"/>
      <c r="L364" s="380"/>
      <c r="M364" s="380"/>
      <c r="N364" s="380"/>
      <c r="O364" s="404"/>
      <c r="P364" s="380"/>
      <c r="Q364" s="380"/>
      <c r="R364" s="380"/>
      <c r="S364" s="380"/>
      <c r="T364" s="380"/>
      <c r="U364" s="380"/>
      <c r="V364" s="380"/>
      <c r="W364" s="403"/>
      <c r="X364" s="380"/>
      <c r="Y364" s="380"/>
      <c r="Z364" s="380"/>
      <c r="AA364" s="380"/>
      <c r="AB364" s="380"/>
      <c r="AC364" s="404"/>
      <c r="AD364" s="380"/>
      <c r="AE364" s="380"/>
      <c r="AF364" s="380"/>
      <c r="AG364" s="380"/>
      <c r="AH364" s="380"/>
      <c r="AI364" s="380"/>
      <c r="AJ364" s="380"/>
      <c r="AK364" s="403"/>
      <c r="AL364" s="380"/>
      <c r="AM364" s="380"/>
      <c r="AN364" s="380"/>
      <c r="AO364" s="380"/>
      <c r="AP364" s="380"/>
      <c r="AQ364" s="404"/>
      <c r="AR364" s="380"/>
      <c r="AS364" s="380"/>
      <c r="AT364" s="380"/>
      <c r="AU364" s="380"/>
      <c r="AV364" s="380"/>
      <c r="AW364" s="380"/>
      <c r="AX364" s="380"/>
      <c r="AY364" s="403"/>
      <c r="AZ364" s="380"/>
      <c r="BA364" s="380"/>
      <c r="BB364" s="380"/>
      <c r="BC364" s="380"/>
      <c r="BD364" s="380"/>
      <c r="BE364" s="404"/>
      <c r="BF364" s="380"/>
      <c r="BG364" s="380"/>
      <c r="BH364" s="380"/>
      <c r="BI364" s="380"/>
      <c r="BJ364" s="380"/>
      <c r="BK364" s="380"/>
      <c r="BL364" s="380"/>
      <c r="BM364" s="403"/>
      <c r="BS364" s="83"/>
      <c r="CA364" s="405"/>
      <c r="CG364" s="83"/>
      <c r="CO364" s="405"/>
      <c r="CU364" s="83"/>
      <c r="DC364" s="405"/>
      <c r="DI364" s="83"/>
      <c r="DQ364" s="405"/>
      <c r="DW364" s="83"/>
      <c r="EE364" s="405"/>
      <c r="EK364" s="83"/>
      <c r="ES364" s="405"/>
      <c r="EY364" s="83"/>
      <c r="FG364" s="405"/>
      <c r="FM364" s="83"/>
      <c r="FU364" s="405"/>
      <c r="GA364" s="83"/>
      <c r="GI364" s="405"/>
      <c r="GO364" s="83"/>
      <c r="GW364" s="405"/>
      <c r="HC364" s="83"/>
      <c r="HK364" s="405"/>
      <c r="HQ364" s="83"/>
      <c r="HY364" s="405"/>
      <c r="IE364" s="83"/>
      <c r="IM364" s="405"/>
      <c r="IS364" s="83"/>
      <c r="JA364" s="405"/>
      <c r="JG364" s="83"/>
      <c r="JO364" s="405"/>
      <c r="JU364" s="83"/>
      <c r="KC364" s="405"/>
      <c r="KI364" s="83"/>
      <c r="KQ364" s="405"/>
      <c r="KW364" s="83"/>
      <c r="LE364" s="405"/>
      <c r="LK364" s="83"/>
      <c r="LS364" s="405"/>
      <c r="LY364" s="83"/>
      <c r="MG364" s="405"/>
      <c r="MM364" s="83"/>
      <c r="MU364" s="405"/>
      <c r="NA364" s="83"/>
    </row>
    <row r="365">
      <c r="A365" s="380"/>
      <c r="B365" s="380"/>
      <c r="C365" s="380"/>
      <c r="D365" s="380"/>
      <c r="E365" s="380"/>
      <c r="F365" s="380"/>
      <c r="G365" s="380"/>
      <c r="H365" s="380"/>
      <c r="I365" s="403"/>
      <c r="J365" s="380"/>
      <c r="K365" s="380"/>
      <c r="L365" s="380"/>
      <c r="M365" s="380"/>
      <c r="N365" s="380"/>
      <c r="O365" s="404"/>
      <c r="P365" s="380"/>
      <c r="Q365" s="380"/>
      <c r="R365" s="380"/>
      <c r="S365" s="380"/>
      <c r="T365" s="380"/>
      <c r="U365" s="380"/>
      <c r="V365" s="380"/>
      <c r="W365" s="403"/>
      <c r="X365" s="380"/>
      <c r="Y365" s="380"/>
      <c r="Z365" s="380"/>
      <c r="AA365" s="380"/>
      <c r="AB365" s="380"/>
      <c r="AC365" s="404"/>
      <c r="AD365" s="380"/>
      <c r="AE365" s="380"/>
      <c r="AF365" s="380"/>
      <c r="AG365" s="380"/>
      <c r="AH365" s="380"/>
      <c r="AI365" s="380"/>
      <c r="AJ365" s="380"/>
      <c r="AK365" s="403"/>
      <c r="AL365" s="380"/>
      <c r="AM365" s="380"/>
      <c r="AN365" s="380"/>
      <c r="AO365" s="380"/>
      <c r="AP365" s="380"/>
      <c r="AQ365" s="404"/>
      <c r="AR365" s="380"/>
      <c r="AS365" s="380"/>
      <c r="AT365" s="380"/>
      <c r="AU365" s="380"/>
      <c r="AV365" s="380"/>
      <c r="AW365" s="380"/>
      <c r="AX365" s="380"/>
      <c r="AY365" s="403"/>
      <c r="AZ365" s="380"/>
      <c r="BA365" s="380"/>
      <c r="BB365" s="380"/>
      <c r="BC365" s="380"/>
      <c r="BD365" s="380"/>
      <c r="BE365" s="404"/>
      <c r="BF365" s="380"/>
      <c r="BG365" s="380"/>
      <c r="BH365" s="380"/>
      <c r="BI365" s="380"/>
      <c r="BJ365" s="380"/>
      <c r="BK365" s="380"/>
      <c r="BL365" s="380"/>
      <c r="BM365" s="403"/>
      <c r="BS365" s="83"/>
      <c r="CA365" s="405"/>
      <c r="CG365" s="83"/>
      <c r="CO365" s="405"/>
      <c r="CU365" s="83"/>
      <c r="DC365" s="405"/>
      <c r="DI365" s="83"/>
      <c r="DQ365" s="405"/>
      <c r="DW365" s="83"/>
      <c r="EE365" s="405"/>
      <c r="EK365" s="83"/>
      <c r="ES365" s="405"/>
      <c r="EY365" s="83"/>
      <c r="FG365" s="405"/>
      <c r="FM365" s="83"/>
      <c r="FU365" s="405"/>
      <c r="GA365" s="83"/>
      <c r="GI365" s="405"/>
      <c r="GO365" s="83"/>
      <c r="GW365" s="405"/>
      <c r="HC365" s="83"/>
      <c r="HK365" s="405"/>
      <c r="HQ365" s="83"/>
      <c r="HY365" s="405"/>
      <c r="IE365" s="83"/>
      <c r="IM365" s="405"/>
      <c r="IS365" s="83"/>
      <c r="JA365" s="405"/>
      <c r="JG365" s="83"/>
      <c r="JO365" s="405"/>
      <c r="JU365" s="83"/>
      <c r="KC365" s="405"/>
      <c r="KI365" s="83"/>
      <c r="KQ365" s="405"/>
      <c r="KW365" s="83"/>
      <c r="LE365" s="405"/>
      <c r="LK365" s="83"/>
      <c r="LS365" s="405"/>
      <c r="LY365" s="83"/>
      <c r="MG365" s="405"/>
      <c r="MM365" s="83"/>
      <c r="MU365" s="405"/>
      <c r="NA365" s="83"/>
    </row>
    <row r="366">
      <c r="A366" s="380"/>
      <c r="B366" s="380"/>
      <c r="C366" s="380"/>
      <c r="D366" s="380"/>
      <c r="E366" s="380"/>
      <c r="F366" s="380"/>
      <c r="G366" s="380"/>
      <c r="H366" s="380"/>
      <c r="I366" s="403"/>
      <c r="J366" s="380"/>
      <c r="K366" s="380"/>
      <c r="L366" s="380"/>
      <c r="M366" s="380"/>
      <c r="N366" s="380"/>
      <c r="O366" s="404"/>
      <c r="P366" s="380"/>
      <c r="Q366" s="380"/>
      <c r="R366" s="380"/>
      <c r="S366" s="380"/>
      <c r="T366" s="380"/>
      <c r="U366" s="380"/>
      <c r="V366" s="380"/>
      <c r="W366" s="403"/>
      <c r="X366" s="380"/>
      <c r="Y366" s="380"/>
      <c r="Z366" s="380"/>
      <c r="AA366" s="380"/>
      <c r="AB366" s="380"/>
      <c r="AC366" s="404"/>
      <c r="AD366" s="380"/>
      <c r="AE366" s="380"/>
      <c r="AF366" s="380"/>
      <c r="AG366" s="380"/>
      <c r="AH366" s="380"/>
      <c r="AI366" s="380"/>
      <c r="AJ366" s="380"/>
      <c r="AK366" s="403"/>
      <c r="AL366" s="380"/>
      <c r="AM366" s="380"/>
      <c r="AN366" s="380"/>
      <c r="AO366" s="380"/>
      <c r="AP366" s="380"/>
      <c r="AQ366" s="404"/>
      <c r="AR366" s="380"/>
      <c r="AS366" s="380"/>
      <c r="AT366" s="380"/>
      <c r="AU366" s="380"/>
      <c r="AV366" s="380"/>
      <c r="AW366" s="380"/>
      <c r="AX366" s="380"/>
      <c r="AY366" s="403"/>
      <c r="AZ366" s="380"/>
      <c r="BA366" s="380"/>
      <c r="BB366" s="380"/>
      <c r="BC366" s="380"/>
      <c r="BD366" s="380"/>
      <c r="BE366" s="404"/>
      <c r="BF366" s="380"/>
      <c r="BG366" s="380"/>
      <c r="BH366" s="380"/>
      <c r="BI366" s="380"/>
      <c r="BJ366" s="380"/>
      <c r="BK366" s="380"/>
      <c r="BL366" s="380"/>
      <c r="BM366" s="403"/>
      <c r="BS366" s="83"/>
      <c r="CA366" s="405"/>
      <c r="CG366" s="83"/>
      <c r="CO366" s="405"/>
      <c r="CU366" s="83"/>
      <c r="DC366" s="405"/>
      <c r="DI366" s="83"/>
      <c r="DQ366" s="405"/>
      <c r="DW366" s="83"/>
      <c r="EE366" s="405"/>
      <c r="EK366" s="83"/>
      <c r="ES366" s="405"/>
      <c r="EY366" s="83"/>
      <c r="FG366" s="405"/>
      <c r="FM366" s="83"/>
      <c r="FU366" s="405"/>
      <c r="GA366" s="83"/>
      <c r="GI366" s="405"/>
      <c r="GO366" s="83"/>
      <c r="GW366" s="405"/>
      <c r="HC366" s="83"/>
      <c r="HK366" s="405"/>
      <c r="HQ366" s="83"/>
      <c r="HY366" s="405"/>
      <c r="IE366" s="83"/>
      <c r="IM366" s="405"/>
      <c r="IS366" s="83"/>
      <c r="JA366" s="405"/>
      <c r="JG366" s="83"/>
      <c r="JO366" s="405"/>
      <c r="JU366" s="83"/>
      <c r="KC366" s="405"/>
      <c r="KI366" s="83"/>
      <c r="KQ366" s="405"/>
      <c r="KW366" s="83"/>
      <c r="LE366" s="405"/>
      <c r="LK366" s="83"/>
      <c r="LS366" s="405"/>
      <c r="LY366" s="83"/>
      <c r="MG366" s="405"/>
      <c r="MM366" s="83"/>
      <c r="MU366" s="405"/>
      <c r="NA366" s="83"/>
    </row>
    <row r="367">
      <c r="A367" s="380"/>
      <c r="B367" s="380"/>
      <c r="C367" s="380"/>
      <c r="D367" s="380"/>
      <c r="E367" s="380"/>
      <c r="F367" s="380"/>
      <c r="G367" s="380"/>
      <c r="H367" s="380"/>
      <c r="I367" s="403"/>
      <c r="J367" s="380"/>
      <c r="K367" s="380"/>
      <c r="L367" s="380"/>
      <c r="M367" s="380"/>
      <c r="N367" s="380"/>
      <c r="O367" s="404"/>
      <c r="P367" s="380"/>
      <c r="Q367" s="380"/>
      <c r="R367" s="380"/>
      <c r="S367" s="380"/>
      <c r="T367" s="380"/>
      <c r="U367" s="380"/>
      <c r="V367" s="380"/>
      <c r="W367" s="403"/>
      <c r="X367" s="380"/>
      <c r="Y367" s="380"/>
      <c r="Z367" s="380"/>
      <c r="AA367" s="380"/>
      <c r="AB367" s="380"/>
      <c r="AC367" s="404"/>
      <c r="AD367" s="380"/>
      <c r="AE367" s="380"/>
      <c r="AF367" s="380"/>
      <c r="AG367" s="380"/>
      <c r="AH367" s="380"/>
      <c r="AI367" s="380"/>
      <c r="AJ367" s="380"/>
      <c r="AK367" s="403"/>
      <c r="AL367" s="380"/>
      <c r="AM367" s="380"/>
      <c r="AN367" s="380"/>
      <c r="AO367" s="380"/>
      <c r="AP367" s="380"/>
      <c r="AQ367" s="404"/>
      <c r="AR367" s="380"/>
      <c r="AS367" s="380"/>
      <c r="AT367" s="380"/>
      <c r="AU367" s="380"/>
      <c r="AV367" s="380"/>
      <c r="AW367" s="380"/>
      <c r="AX367" s="380"/>
      <c r="AY367" s="403"/>
      <c r="AZ367" s="380"/>
      <c r="BA367" s="380"/>
      <c r="BB367" s="380"/>
      <c r="BC367" s="380"/>
      <c r="BD367" s="380"/>
      <c r="BE367" s="404"/>
      <c r="BF367" s="380"/>
      <c r="BG367" s="380"/>
      <c r="BH367" s="380"/>
      <c r="BI367" s="380"/>
      <c r="BJ367" s="380"/>
      <c r="BK367" s="380"/>
      <c r="BL367" s="380"/>
      <c r="BM367" s="403"/>
      <c r="BS367" s="83"/>
      <c r="CA367" s="405"/>
      <c r="CG367" s="83"/>
      <c r="CO367" s="405"/>
      <c r="CU367" s="83"/>
      <c r="DC367" s="405"/>
      <c r="DI367" s="83"/>
      <c r="DQ367" s="405"/>
      <c r="DW367" s="83"/>
      <c r="EE367" s="405"/>
      <c r="EK367" s="83"/>
      <c r="ES367" s="405"/>
      <c r="EY367" s="83"/>
      <c r="FG367" s="405"/>
      <c r="FM367" s="83"/>
      <c r="FU367" s="405"/>
      <c r="GA367" s="83"/>
      <c r="GI367" s="405"/>
      <c r="GO367" s="83"/>
      <c r="GW367" s="405"/>
      <c r="HC367" s="83"/>
      <c r="HK367" s="405"/>
      <c r="HQ367" s="83"/>
      <c r="HY367" s="405"/>
      <c r="IE367" s="83"/>
      <c r="IM367" s="405"/>
      <c r="IS367" s="83"/>
      <c r="JA367" s="405"/>
      <c r="JG367" s="83"/>
      <c r="JO367" s="405"/>
      <c r="JU367" s="83"/>
      <c r="KC367" s="405"/>
      <c r="KI367" s="83"/>
      <c r="KQ367" s="405"/>
      <c r="KW367" s="83"/>
      <c r="LE367" s="405"/>
      <c r="LK367" s="83"/>
      <c r="LS367" s="405"/>
      <c r="LY367" s="83"/>
      <c r="MG367" s="405"/>
      <c r="MM367" s="83"/>
      <c r="MU367" s="405"/>
      <c r="NA367" s="83"/>
    </row>
    <row r="368">
      <c r="A368" s="380"/>
      <c r="B368" s="380"/>
      <c r="C368" s="380"/>
      <c r="D368" s="380"/>
      <c r="E368" s="380"/>
      <c r="F368" s="380"/>
      <c r="G368" s="380"/>
      <c r="H368" s="380"/>
      <c r="I368" s="403"/>
      <c r="J368" s="380"/>
      <c r="K368" s="380"/>
      <c r="L368" s="380"/>
      <c r="M368" s="380"/>
      <c r="N368" s="380"/>
      <c r="O368" s="404"/>
      <c r="P368" s="380"/>
      <c r="Q368" s="380"/>
      <c r="R368" s="380"/>
      <c r="S368" s="380"/>
      <c r="T368" s="380"/>
      <c r="U368" s="380"/>
      <c r="V368" s="380"/>
      <c r="W368" s="403"/>
      <c r="X368" s="380"/>
      <c r="Y368" s="380"/>
      <c r="Z368" s="380"/>
      <c r="AA368" s="380"/>
      <c r="AB368" s="380"/>
      <c r="AC368" s="404"/>
      <c r="AD368" s="380"/>
      <c r="AE368" s="380"/>
      <c r="AF368" s="380"/>
      <c r="AG368" s="380"/>
      <c r="AH368" s="380"/>
      <c r="AI368" s="380"/>
      <c r="AJ368" s="380"/>
      <c r="AK368" s="403"/>
      <c r="AL368" s="380"/>
      <c r="AM368" s="380"/>
      <c r="AN368" s="380"/>
      <c r="AO368" s="380"/>
      <c r="AP368" s="380"/>
      <c r="AQ368" s="404"/>
      <c r="AR368" s="380"/>
      <c r="AS368" s="380"/>
      <c r="AT368" s="380"/>
      <c r="AU368" s="380"/>
      <c r="AV368" s="380"/>
      <c r="AW368" s="380"/>
      <c r="AX368" s="380"/>
      <c r="AY368" s="403"/>
      <c r="AZ368" s="380"/>
      <c r="BA368" s="380"/>
      <c r="BB368" s="380"/>
      <c r="BC368" s="380"/>
      <c r="BD368" s="380"/>
      <c r="BE368" s="404"/>
      <c r="BF368" s="380"/>
      <c r="BG368" s="380"/>
      <c r="BH368" s="380"/>
      <c r="BI368" s="380"/>
      <c r="BJ368" s="380"/>
      <c r="BK368" s="380"/>
      <c r="BL368" s="380"/>
      <c r="BM368" s="403"/>
      <c r="BS368" s="83"/>
      <c r="CA368" s="405"/>
      <c r="CG368" s="83"/>
      <c r="CO368" s="405"/>
      <c r="CU368" s="83"/>
      <c r="DC368" s="405"/>
      <c r="DI368" s="83"/>
      <c r="DQ368" s="405"/>
      <c r="DW368" s="83"/>
      <c r="EE368" s="405"/>
      <c r="EK368" s="83"/>
      <c r="ES368" s="405"/>
      <c r="EY368" s="83"/>
      <c r="FG368" s="405"/>
      <c r="FM368" s="83"/>
      <c r="FU368" s="405"/>
      <c r="GA368" s="83"/>
      <c r="GI368" s="405"/>
      <c r="GO368" s="83"/>
      <c r="GW368" s="405"/>
      <c r="HC368" s="83"/>
      <c r="HK368" s="405"/>
      <c r="HQ368" s="83"/>
      <c r="HY368" s="405"/>
      <c r="IE368" s="83"/>
      <c r="IM368" s="405"/>
      <c r="IS368" s="83"/>
      <c r="JA368" s="405"/>
      <c r="JG368" s="83"/>
      <c r="JO368" s="405"/>
      <c r="JU368" s="83"/>
      <c r="KC368" s="405"/>
      <c r="KI368" s="83"/>
      <c r="KQ368" s="405"/>
      <c r="KW368" s="83"/>
      <c r="LE368" s="405"/>
      <c r="LK368" s="83"/>
      <c r="LS368" s="405"/>
      <c r="LY368" s="83"/>
      <c r="MG368" s="405"/>
      <c r="MM368" s="83"/>
      <c r="MU368" s="405"/>
      <c r="NA368" s="83"/>
    </row>
    <row r="369">
      <c r="A369" s="380"/>
      <c r="B369" s="380"/>
      <c r="C369" s="380"/>
      <c r="D369" s="380"/>
      <c r="E369" s="380"/>
      <c r="F369" s="380"/>
      <c r="G369" s="380"/>
      <c r="H369" s="380"/>
      <c r="I369" s="403"/>
      <c r="J369" s="380"/>
      <c r="K369" s="380"/>
      <c r="L369" s="380"/>
      <c r="M369" s="380"/>
      <c r="N369" s="380"/>
      <c r="O369" s="404"/>
      <c r="P369" s="380"/>
      <c r="Q369" s="380"/>
      <c r="R369" s="380"/>
      <c r="S369" s="380"/>
      <c r="T369" s="380"/>
      <c r="U369" s="380"/>
      <c r="V369" s="380"/>
      <c r="W369" s="403"/>
      <c r="X369" s="380"/>
      <c r="Y369" s="380"/>
      <c r="Z369" s="380"/>
      <c r="AA369" s="380"/>
      <c r="AB369" s="380"/>
      <c r="AC369" s="404"/>
      <c r="AD369" s="380"/>
      <c r="AE369" s="380"/>
      <c r="AF369" s="380"/>
      <c r="AG369" s="380"/>
      <c r="AH369" s="380"/>
      <c r="AI369" s="380"/>
      <c r="AJ369" s="380"/>
      <c r="AK369" s="403"/>
      <c r="AL369" s="380"/>
      <c r="AM369" s="380"/>
      <c r="AN369" s="380"/>
      <c r="AO369" s="380"/>
      <c r="AP369" s="380"/>
      <c r="AQ369" s="404"/>
      <c r="AR369" s="380"/>
      <c r="AS369" s="380"/>
      <c r="AT369" s="380"/>
      <c r="AU369" s="380"/>
      <c r="AV369" s="380"/>
      <c r="AW369" s="380"/>
      <c r="AX369" s="380"/>
      <c r="AY369" s="403"/>
      <c r="AZ369" s="380"/>
      <c r="BA369" s="380"/>
      <c r="BB369" s="380"/>
      <c r="BC369" s="380"/>
      <c r="BD369" s="380"/>
      <c r="BE369" s="404"/>
      <c r="BF369" s="380"/>
      <c r="BG369" s="380"/>
      <c r="BH369" s="380"/>
      <c r="BI369" s="380"/>
      <c r="BJ369" s="380"/>
      <c r="BK369" s="380"/>
      <c r="BL369" s="380"/>
      <c r="BM369" s="403"/>
      <c r="BS369" s="83"/>
      <c r="CA369" s="405"/>
      <c r="CG369" s="83"/>
      <c r="CO369" s="405"/>
      <c r="CU369" s="83"/>
      <c r="DC369" s="405"/>
      <c r="DI369" s="83"/>
      <c r="DQ369" s="405"/>
      <c r="DW369" s="83"/>
      <c r="EE369" s="405"/>
      <c r="EK369" s="83"/>
      <c r="ES369" s="405"/>
      <c r="EY369" s="83"/>
      <c r="FG369" s="405"/>
      <c r="FM369" s="83"/>
      <c r="FU369" s="405"/>
      <c r="GA369" s="83"/>
      <c r="GI369" s="405"/>
      <c r="GO369" s="83"/>
      <c r="GW369" s="405"/>
      <c r="HC369" s="83"/>
      <c r="HK369" s="405"/>
      <c r="HQ369" s="83"/>
      <c r="HY369" s="405"/>
      <c r="IE369" s="83"/>
      <c r="IM369" s="405"/>
      <c r="IS369" s="83"/>
      <c r="JA369" s="405"/>
      <c r="JG369" s="83"/>
      <c r="JO369" s="405"/>
      <c r="JU369" s="83"/>
      <c r="KC369" s="405"/>
      <c r="KI369" s="83"/>
      <c r="KQ369" s="405"/>
      <c r="KW369" s="83"/>
      <c r="LE369" s="405"/>
      <c r="LK369" s="83"/>
      <c r="LS369" s="405"/>
      <c r="LY369" s="83"/>
      <c r="MG369" s="405"/>
      <c r="MM369" s="83"/>
      <c r="MU369" s="405"/>
      <c r="NA369" s="83"/>
    </row>
    <row r="370">
      <c r="A370" s="380"/>
      <c r="B370" s="380"/>
      <c r="C370" s="380"/>
      <c r="D370" s="380"/>
      <c r="E370" s="380"/>
      <c r="F370" s="380"/>
      <c r="G370" s="380"/>
      <c r="H370" s="380"/>
      <c r="I370" s="403"/>
      <c r="J370" s="380"/>
      <c r="K370" s="380"/>
      <c r="L370" s="380"/>
      <c r="M370" s="380"/>
      <c r="N370" s="380"/>
      <c r="O370" s="404"/>
      <c r="P370" s="380"/>
      <c r="Q370" s="380"/>
      <c r="R370" s="380"/>
      <c r="S370" s="380"/>
      <c r="T370" s="380"/>
      <c r="U370" s="380"/>
      <c r="V370" s="380"/>
      <c r="W370" s="403"/>
      <c r="X370" s="380"/>
      <c r="Y370" s="380"/>
      <c r="Z370" s="380"/>
      <c r="AA370" s="380"/>
      <c r="AB370" s="380"/>
      <c r="AC370" s="404"/>
      <c r="AD370" s="380"/>
      <c r="AE370" s="380"/>
      <c r="AF370" s="380"/>
      <c r="AG370" s="380"/>
      <c r="AH370" s="380"/>
      <c r="AI370" s="380"/>
      <c r="AJ370" s="380"/>
      <c r="AK370" s="403"/>
      <c r="AL370" s="380"/>
      <c r="AM370" s="380"/>
      <c r="AN370" s="380"/>
      <c r="AO370" s="380"/>
      <c r="AP370" s="380"/>
      <c r="AQ370" s="404"/>
      <c r="AR370" s="380"/>
      <c r="AS370" s="380"/>
      <c r="AT370" s="380"/>
      <c r="AU370" s="380"/>
      <c r="AV370" s="380"/>
      <c r="AW370" s="380"/>
      <c r="AX370" s="380"/>
      <c r="AY370" s="403"/>
      <c r="AZ370" s="380"/>
      <c r="BA370" s="380"/>
      <c r="BB370" s="380"/>
      <c r="BC370" s="380"/>
      <c r="BD370" s="380"/>
      <c r="BE370" s="404"/>
      <c r="BF370" s="380"/>
      <c r="BG370" s="380"/>
      <c r="BH370" s="380"/>
      <c r="BI370" s="380"/>
      <c r="BJ370" s="380"/>
      <c r="BK370" s="380"/>
      <c r="BL370" s="380"/>
      <c r="BM370" s="403"/>
      <c r="BS370" s="83"/>
      <c r="CA370" s="405"/>
      <c r="CG370" s="83"/>
      <c r="CO370" s="405"/>
      <c r="CU370" s="83"/>
      <c r="DC370" s="405"/>
      <c r="DI370" s="83"/>
      <c r="DQ370" s="405"/>
      <c r="DW370" s="83"/>
      <c r="EE370" s="405"/>
      <c r="EK370" s="83"/>
      <c r="ES370" s="405"/>
      <c r="EY370" s="83"/>
      <c r="FG370" s="405"/>
      <c r="FM370" s="83"/>
      <c r="FU370" s="405"/>
      <c r="GA370" s="83"/>
      <c r="GI370" s="405"/>
      <c r="GO370" s="83"/>
      <c r="GW370" s="405"/>
      <c r="HC370" s="83"/>
      <c r="HK370" s="405"/>
      <c r="HQ370" s="83"/>
      <c r="HY370" s="405"/>
      <c r="IE370" s="83"/>
      <c r="IM370" s="405"/>
      <c r="IS370" s="83"/>
      <c r="JA370" s="405"/>
      <c r="JG370" s="83"/>
      <c r="JO370" s="405"/>
      <c r="JU370" s="83"/>
      <c r="KC370" s="405"/>
      <c r="KI370" s="83"/>
      <c r="KQ370" s="405"/>
      <c r="KW370" s="83"/>
      <c r="LE370" s="405"/>
      <c r="LK370" s="83"/>
      <c r="LS370" s="405"/>
      <c r="LY370" s="83"/>
      <c r="MG370" s="405"/>
      <c r="MM370" s="83"/>
      <c r="MU370" s="405"/>
      <c r="NA370" s="83"/>
    </row>
    <row r="371">
      <c r="A371" s="380"/>
      <c r="B371" s="380"/>
      <c r="C371" s="380"/>
      <c r="D371" s="380"/>
      <c r="E371" s="380"/>
      <c r="F371" s="380"/>
      <c r="G371" s="380"/>
      <c r="H371" s="380"/>
      <c r="I371" s="403"/>
      <c r="J371" s="380"/>
      <c r="K371" s="380"/>
      <c r="L371" s="380"/>
      <c r="M371" s="380"/>
      <c r="N371" s="380"/>
      <c r="O371" s="404"/>
      <c r="P371" s="380"/>
      <c r="Q371" s="380"/>
      <c r="R371" s="380"/>
      <c r="S371" s="380"/>
      <c r="T371" s="380"/>
      <c r="U371" s="380"/>
      <c r="V371" s="380"/>
      <c r="W371" s="403"/>
      <c r="X371" s="380"/>
      <c r="Y371" s="380"/>
      <c r="Z371" s="380"/>
      <c r="AA371" s="380"/>
      <c r="AB371" s="380"/>
      <c r="AC371" s="404"/>
      <c r="AD371" s="380"/>
      <c r="AE371" s="380"/>
      <c r="AF371" s="380"/>
      <c r="AG371" s="380"/>
      <c r="AH371" s="380"/>
      <c r="AI371" s="380"/>
      <c r="AJ371" s="380"/>
      <c r="AK371" s="403"/>
      <c r="AL371" s="380"/>
      <c r="AM371" s="380"/>
      <c r="AN371" s="380"/>
      <c r="AO371" s="380"/>
      <c r="AP371" s="380"/>
      <c r="AQ371" s="404"/>
      <c r="AR371" s="380"/>
      <c r="AS371" s="380"/>
      <c r="AT371" s="380"/>
      <c r="AU371" s="380"/>
      <c r="AV371" s="380"/>
      <c r="AW371" s="380"/>
      <c r="AX371" s="380"/>
      <c r="AY371" s="403"/>
      <c r="AZ371" s="380"/>
      <c r="BA371" s="380"/>
      <c r="BB371" s="380"/>
      <c r="BC371" s="380"/>
      <c r="BD371" s="380"/>
      <c r="BE371" s="404"/>
      <c r="BF371" s="380"/>
      <c r="BG371" s="380"/>
      <c r="BH371" s="380"/>
      <c r="BI371" s="380"/>
      <c r="BJ371" s="380"/>
      <c r="BK371" s="380"/>
      <c r="BL371" s="380"/>
      <c r="BM371" s="403"/>
      <c r="BS371" s="83"/>
      <c r="CA371" s="405"/>
      <c r="CG371" s="83"/>
      <c r="CO371" s="405"/>
      <c r="CU371" s="83"/>
      <c r="DC371" s="405"/>
      <c r="DI371" s="83"/>
      <c r="DQ371" s="405"/>
      <c r="DW371" s="83"/>
      <c r="EE371" s="405"/>
      <c r="EK371" s="83"/>
      <c r="ES371" s="405"/>
      <c r="EY371" s="83"/>
      <c r="FG371" s="405"/>
      <c r="FM371" s="83"/>
      <c r="FU371" s="405"/>
      <c r="GA371" s="83"/>
      <c r="GI371" s="405"/>
      <c r="GO371" s="83"/>
      <c r="GW371" s="405"/>
      <c r="HC371" s="83"/>
      <c r="HK371" s="405"/>
      <c r="HQ371" s="83"/>
      <c r="HY371" s="405"/>
      <c r="IE371" s="83"/>
      <c r="IM371" s="405"/>
      <c r="IS371" s="83"/>
      <c r="JA371" s="405"/>
      <c r="JG371" s="83"/>
      <c r="JO371" s="405"/>
      <c r="JU371" s="83"/>
      <c r="KC371" s="405"/>
      <c r="KI371" s="83"/>
      <c r="KQ371" s="405"/>
      <c r="KW371" s="83"/>
      <c r="LE371" s="405"/>
      <c r="LK371" s="83"/>
      <c r="LS371" s="405"/>
      <c r="LY371" s="83"/>
      <c r="MG371" s="405"/>
      <c r="MM371" s="83"/>
      <c r="MU371" s="405"/>
      <c r="NA371" s="83"/>
    </row>
    <row r="372">
      <c r="A372" s="380"/>
      <c r="B372" s="380"/>
      <c r="C372" s="380"/>
      <c r="D372" s="380"/>
      <c r="E372" s="380"/>
      <c r="F372" s="380"/>
      <c r="G372" s="380"/>
      <c r="H372" s="380"/>
      <c r="I372" s="403"/>
      <c r="J372" s="380"/>
      <c r="K372" s="380"/>
      <c r="L372" s="380"/>
      <c r="M372" s="380"/>
      <c r="N372" s="380"/>
      <c r="O372" s="404"/>
      <c r="P372" s="380"/>
      <c r="Q372" s="380"/>
      <c r="R372" s="380"/>
      <c r="S372" s="380"/>
      <c r="T372" s="380"/>
      <c r="U372" s="380"/>
      <c r="V372" s="380"/>
      <c r="W372" s="403"/>
      <c r="X372" s="380"/>
      <c r="Y372" s="380"/>
      <c r="Z372" s="380"/>
      <c r="AA372" s="380"/>
      <c r="AB372" s="380"/>
      <c r="AC372" s="404"/>
      <c r="AD372" s="380"/>
      <c r="AE372" s="380"/>
      <c r="AF372" s="380"/>
      <c r="AG372" s="380"/>
      <c r="AH372" s="380"/>
      <c r="AI372" s="380"/>
      <c r="AJ372" s="380"/>
      <c r="AK372" s="403"/>
      <c r="AL372" s="380"/>
      <c r="AM372" s="380"/>
      <c r="AN372" s="380"/>
      <c r="AO372" s="380"/>
      <c r="AP372" s="380"/>
      <c r="AQ372" s="404"/>
      <c r="AR372" s="380"/>
      <c r="AS372" s="380"/>
      <c r="AT372" s="380"/>
      <c r="AU372" s="380"/>
      <c r="AV372" s="380"/>
      <c r="AW372" s="380"/>
      <c r="AX372" s="380"/>
      <c r="AY372" s="403"/>
      <c r="AZ372" s="380"/>
      <c r="BA372" s="380"/>
      <c r="BB372" s="380"/>
      <c r="BC372" s="380"/>
      <c r="BD372" s="380"/>
      <c r="BE372" s="404"/>
      <c r="BF372" s="380"/>
      <c r="BG372" s="380"/>
      <c r="BH372" s="380"/>
      <c r="BI372" s="380"/>
      <c r="BJ372" s="380"/>
      <c r="BK372" s="380"/>
      <c r="BL372" s="380"/>
      <c r="BM372" s="403"/>
      <c r="BS372" s="83"/>
      <c r="CA372" s="405"/>
      <c r="CG372" s="83"/>
      <c r="CO372" s="405"/>
      <c r="CU372" s="83"/>
      <c r="DC372" s="405"/>
      <c r="DI372" s="83"/>
      <c r="DQ372" s="405"/>
      <c r="DW372" s="83"/>
      <c r="EE372" s="405"/>
      <c r="EK372" s="83"/>
      <c r="ES372" s="405"/>
      <c r="EY372" s="83"/>
      <c r="FG372" s="405"/>
      <c r="FM372" s="83"/>
      <c r="FU372" s="405"/>
      <c r="GA372" s="83"/>
      <c r="GI372" s="405"/>
      <c r="GO372" s="83"/>
      <c r="GW372" s="405"/>
      <c r="HC372" s="83"/>
      <c r="HK372" s="405"/>
      <c r="HQ372" s="83"/>
      <c r="HY372" s="405"/>
      <c r="IE372" s="83"/>
      <c r="IM372" s="405"/>
      <c r="IS372" s="83"/>
      <c r="JA372" s="405"/>
      <c r="JG372" s="83"/>
      <c r="JO372" s="405"/>
      <c r="JU372" s="83"/>
      <c r="KC372" s="405"/>
      <c r="KI372" s="83"/>
      <c r="KQ372" s="405"/>
      <c r="KW372" s="83"/>
      <c r="LE372" s="405"/>
      <c r="LK372" s="83"/>
      <c r="LS372" s="405"/>
      <c r="LY372" s="83"/>
      <c r="MG372" s="405"/>
      <c r="MM372" s="83"/>
      <c r="MU372" s="405"/>
      <c r="NA372" s="83"/>
    </row>
    <row r="373">
      <c r="A373" s="380"/>
      <c r="B373" s="380"/>
      <c r="C373" s="380"/>
      <c r="D373" s="380"/>
      <c r="E373" s="380"/>
      <c r="F373" s="380"/>
      <c r="G373" s="380"/>
      <c r="H373" s="380"/>
      <c r="I373" s="403"/>
      <c r="J373" s="380"/>
      <c r="K373" s="380"/>
      <c r="L373" s="380"/>
      <c r="M373" s="380"/>
      <c r="N373" s="380"/>
      <c r="O373" s="404"/>
      <c r="P373" s="380"/>
      <c r="Q373" s="380"/>
      <c r="R373" s="380"/>
      <c r="S373" s="380"/>
      <c r="T373" s="380"/>
      <c r="U373" s="380"/>
      <c r="V373" s="380"/>
      <c r="W373" s="403"/>
      <c r="X373" s="380"/>
      <c r="Y373" s="380"/>
      <c r="Z373" s="380"/>
      <c r="AA373" s="380"/>
      <c r="AB373" s="380"/>
      <c r="AC373" s="404"/>
      <c r="AD373" s="380"/>
      <c r="AE373" s="380"/>
      <c r="AF373" s="380"/>
      <c r="AG373" s="380"/>
      <c r="AH373" s="380"/>
      <c r="AI373" s="380"/>
      <c r="AJ373" s="380"/>
      <c r="AK373" s="403"/>
      <c r="AL373" s="380"/>
      <c r="AM373" s="380"/>
      <c r="AN373" s="380"/>
      <c r="AO373" s="380"/>
      <c r="AP373" s="380"/>
      <c r="AQ373" s="404"/>
      <c r="AR373" s="380"/>
      <c r="AS373" s="380"/>
      <c r="AT373" s="380"/>
      <c r="AU373" s="380"/>
      <c r="AV373" s="380"/>
      <c r="AW373" s="380"/>
      <c r="AX373" s="380"/>
      <c r="AY373" s="403"/>
      <c r="AZ373" s="380"/>
      <c r="BA373" s="380"/>
      <c r="BB373" s="380"/>
      <c r="BC373" s="380"/>
      <c r="BD373" s="380"/>
      <c r="BE373" s="404"/>
      <c r="BF373" s="380"/>
      <c r="BG373" s="380"/>
      <c r="BH373" s="380"/>
      <c r="BI373" s="380"/>
      <c r="BJ373" s="380"/>
      <c r="BK373" s="380"/>
      <c r="BL373" s="380"/>
      <c r="BM373" s="403"/>
      <c r="BS373" s="83"/>
      <c r="CA373" s="405"/>
      <c r="CG373" s="83"/>
      <c r="CO373" s="405"/>
      <c r="CU373" s="83"/>
      <c r="DC373" s="405"/>
      <c r="DI373" s="83"/>
      <c r="DQ373" s="405"/>
      <c r="DW373" s="83"/>
      <c r="EE373" s="405"/>
      <c r="EK373" s="83"/>
      <c r="ES373" s="405"/>
      <c r="EY373" s="83"/>
      <c r="FG373" s="405"/>
      <c r="FM373" s="83"/>
      <c r="FU373" s="405"/>
      <c r="GA373" s="83"/>
      <c r="GI373" s="405"/>
      <c r="GO373" s="83"/>
      <c r="GW373" s="405"/>
      <c r="HC373" s="83"/>
      <c r="HK373" s="405"/>
      <c r="HQ373" s="83"/>
      <c r="HY373" s="405"/>
      <c r="IE373" s="83"/>
      <c r="IM373" s="405"/>
      <c r="IS373" s="83"/>
      <c r="JA373" s="405"/>
      <c r="JG373" s="83"/>
      <c r="JO373" s="405"/>
      <c r="JU373" s="83"/>
      <c r="KC373" s="405"/>
      <c r="KI373" s="83"/>
      <c r="KQ373" s="405"/>
      <c r="KW373" s="83"/>
      <c r="LE373" s="405"/>
      <c r="LK373" s="83"/>
      <c r="LS373" s="405"/>
      <c r="LY373" s="83"/>
      <c r="MG373" s="405"/>
      <c r="MM373" s="83"/>
      <c r="MU373" s="405"/>
      <c r="NA373" s="83"/>
    </row>
    <row r="374">
      <c r="A374" s="380"/>
      <c r="B374" s="380"/>
      <c r="C374" s="380"/>
      <c r="D374" s="380"/>
      <c r="E374" s="380"/>
      <c r="F374" s="380"/>
      <c r="G374" s="380"/>
      <c r="H374" s="380"/>
      <c r="I374" s="403"/>
      <c r="J374" s="380"/>
      <c r="K374" s="380"/>
      <c r="L374" s="380"/>
      <c r="M374" s="380"/>
      <c r="N374" s="380"/>
      <c r="O374" s="404"/>
      <c r="P374" s="380"/>
      <c r="Q374" s="380"/>
      <c r="R374" s="380"/>
      <c r="S374" s="380"/>
      <c r="T374" s="380"/>
      <c r="U374" s="380"/>
      <c r="V374" s="380"/>
      <c r="W374" s="403"/>
      <c r="X374" s="380"/>
      <c r="Y374" s="380"/>
      <c r="Z374" s="380"/>
      <c r="AA374" s="380"/>
      <c r="AB374" s="380"/>
      <c r="AC374" s="404"/>
      <c r="AD374" s="380"/>
      <c r="AE374" s="380"/>
      <c r="AF374" s="380"/>
      <c r="AG374" s="380"/>
      <c r="AH374" s="380"/>
      <c r="AI374" s="380"/>
      <c r="AJ374" s="380"/>
      <c r="AK374" s="403"/>
      <c r="AL374" s="380"/>
      <c r="AM374" s="380"/>
      <c r="AN374" s="380"/>
      <c r="AO374" s="380"/>
      <c r="AP374" s="380"/>
      <c r="AQ374" s="404"/>
      <c r="AR374" s="380"/>
      <c r="AS374" s="380"/>
      <c r="AT374" s="380"/>
      <c r="AU374" s="380"/>
      <c r="AV374" s="380"/>
      <c r="AW374" s="380"/>
      <c r="AX374" s="380"/>
      <c r="AY374" s="403"/>
      <c r="AZ374" s="380"/>
      <c r="BA374" s="380"/>
      <c r="BB374" s="380"/>
      <c r="BC374" s="380"/>
      <c r="BD374" s="380"/>
      <c r="BE374" s="404"/>
      <c r="BF374" s="380"/>
      <c r="BG374" s="380"/>
      <c r="BH374" s="380"/>
      <c r="BI374" s="380"/>
      <c r="BJ374" s="380"/>
      <c r="BK374" s="380"/>
      <c r="BL374" s="380"/>
      <c r="BM374" s="403"/>
      <c r="BS374" s="83"/>
      <c r="CA374" s="405"/>
      <c r="CG374" s="83"/>
      <c r="CO374" s="405"/>
      <c r="CU374" s="83"/>
      <c r="DC374" s="405"/>
      <c r="DI374" s="83"/>
      <c r="DQ374" s="405"/>
      <c r="DW374" s="83"/>
      <c r="EE374" s="405"/>
      <c r="EK374" s="83"/>
      <c r="ES374" s="405"/>
      <c r="EY374" s="83"/>
      <c r="FG374" s="405"/>
      <c r="FM374" s="83"/>
      <c r="FU374" s="405"/>
      <c r="GA374" s="83"/>
      <c r="GI374" s="405"/>
      <c r="GO374" s="83"/>
      <c r="GW374" s="405"/>
      <c r="HC374" s="83"/>
      <c r="HK374" s="405"/>
      <c r="HQ374" s="83"/>
      <c r="HY374" s="405"/>
      <c r="IE374" s="83"/>
      <c r="IM374" s="405"/>
      <c r="IS374" s="83"/>
      <c r="JA374" s="405"/>
      <c r="JG374" s="83"/>
      <c r="JO374" s="405"/>
      <c r="JU374" s="83"/>
      <c r="KC374" s="405"/>
      <c r="KI374" s="83"/>
      <c r="KQ374" s="405"/>
      <c r="KW374" s="83"/>
      <c r="LE374" s="405"/>
      <c r="LK374" s="83"/>
      <c r="LS374" s="405"/>
      <c r="LY374" s="83"/>
      <c r="MG374" s="405"/>
      <c r="MM374" s="83"/>
      <c r="MU374" s="405"/>
      <c r="NA374" s="83"/>
    </row>
    <row r="375">
      <c r="A375" s="380"/>
      <c r="B375" s="380"/>
      <c r="C375" s="380"/>
      <c r="D375" s="380"/>
      <c r="E375" s="380"/>
      <c r="F375" s="380"/>
      <c r="G375" s="380"/>
      <c r="H375" s="380"/>
      <c r="I375" s="403"/>
      <c r="J375" s="380"/>
      <c r="K375" s="380"/>
      <c r="L375" s="380"/>
      <c r="M375" s="380"/>
      <c r="N375" s="380"/>
      <c r="O375" s="404"/>
      <c r="P375" s="380"/>
      <c r="Q375" s="380"/>
      <c r="R375" s="380"/>
      <c r="S375" s="380"/>
      <c r="T375" s="380"/>
      <c r="U375" s="380"/>
      <c r="V375" s="380"/>
      <c r="W375" s="403"/>
      <c r="X375" s="380"/>
      <c r="Y375" s="380"/>
      <c r="Z375" s="380"/>
      <c r="AA375" s="380"/>
      <c r="AB375" s="380"/>
      <c r="AC375" s="404"/>
      <c r="AD375" s="380"/>
      <c r="AE375" s="380"/>
      <c r="AF375" s="380"/>
      <c r="AG375" s="380"/>
      <c r="AH375" s="380"/>
      <c r="AI375" s="380"/>
      <c r="AJ375" s="380"/>
      <c r="AK375" s="403"/>
      <c r="AL375" s="380"/>
      <c r="AM375" s="380"/>
      <c r="AN375" s="380"/>
      <c r="AO375" s="380"/>
      <c r="AP375" s="380"/>
      <c r="AQ375" s="404"/>
      <c r="AR375" s="380"/>
      <c r="AS375" s="380"/>
      <c r="AT375" s="380"/>
      <c r="AU375" s="380"/>
      <c r="AV375" s="380"/>
      <c r="AW375" s="380"/>
      <c r="AX375" s="380"/>
      <c r="AY375" s="403"/>
      <c r="AZ375" s="380"/>
      <c r="BA375" s="380"/>
      <c r="BB375" s="380"/>
      <c r="BC375" s="380"/>
      <c r="BD375" s="380"/>
      <c r="BE375" s="404"/>
      <c r="BF375" s="380"/>
      <c r="BG375" s="380"/>
      <c r="BH375" s="380"/>
      <c r="BI375" s="380"/>
      <c r="BJ375" s="380"/>
      <c r="BK375" s="380"/>
      <c r="BL375" s="380"/>
      <c r="BM375" s="403"/>
      <c r="BS375" s="83"/>
      <c r="CA375" s="405"/>
      <c r="CG375" s="83"/>
      <c r="CO375" s="405"/>
      <c r="CU375" s="83"/>
      <c r="DC375" s="405"/>
      <c r="DI375" s="83"/>
      <c r="DQ375" s="405"/>
      <c r="DW375" s="83"/>
      <c r="EE375" s="405"/>
      <c r="EK375" s="83"/>
      <c r="ES375" s="405"/>
      <c r="EY375" s="83"/>
      <c r="FG375" s="405"/>
      <c r="FM375" s="83"/>
      <c r="FU375" s="405"/>
      <c r="GA375" s="83"/>
      <c r="GI375" s="405"/>
      <c r="GO375" s="83"/>
      <c r="GW375" s="405"/>
      <c r="HC375" s="83"/>
      <c r="HK375" s="405"/>
      <c r="HQ375" s="83"/>
      <c r="HY375" s="405"/>
      <c r="IE375" s="83"/>
      <c r="IM375" s="405"/>
      <c r="IS375" s="83"/>
      <c r="JA375" s="405"/>
      <c r="JG375" s="83"/>
      <c r="JO375" s="405"/>
      <c r="JU375" s="83"/>
      <c r="KC375" s="405"/>
      <c r="KI375" s="83"/>
      <c r="KQ375" s="405"/>
      <c r="KW375" s="83"/>
      <c r="LE375" s="405"/>
      <c r="LK375" s="83"/>
      <c r="LS375" s="405"/>
      <c r="LY375" s="83"/>
      <c r="MG375" s="405"/>
      <c r="MM375" s="83"/>
      <c r="MU375" s="405"/>
      <c r="NA375" s="83"/>
    </row>
    <row r="376">
      <c r="A376" s="380"/>
      <c r="B376" s="380"/>
      <c r="C376" s="380"/>
      <c r="D376" s="380"/>
      <c r="E376" s="380"/>
      <c r="F376" s="380"/>
      <c r="G376" s="380"/>
      <c r="H376" s="380"/>
      <c r="I376" s="403"/>
      <c r="J376" s="380"/>
      <c r="K376" s="380"/>
      <c r="L376" s="380"/>
      <c r="M376" s="380"/>
      <c r="N376" s="380"/>
      <c r="O376" s="404"/>
      <c r="P376" s="380"/>
      <c r="Q376" s="380"/>
      <c r="R376" s="380"/>
      <c r="S376" s="380"/>
      <c r="T376" s="380"/>
      <c r="U376" s="380"/>
      <c r="V376" s="380"/>
      <c r="W376" s="403"/>
      <c r="X376" s="380"/>
      <c r="Y376" s="380"/>
      <c r="Z376" s="380"/>
      <c r="AA376" s="380"/>
      <c r="AB376" s="380"/>
      <c r="AC376" s="404"/>
      <c r="AD376" s="380"/>
      <c r="AE376" s="380"/>
      <c r="AF376" s="380"/>
      <c r="AG376" s="380"/>
      <c r="AH376" s="380"/>
      <c r="AI376" s="380"/>
      <c r="AJ376" s="380"/>
      <c r="AK376" s="403"/>
      <c r="AL376" s="380"/>
      <c r="AM376" s="380"/>
      <c r="AN376" s="380"/>
      <c r="AO376" s="380"/>
      <c r="AP376" s="380"/>
      <c r="AQ376" s="404"/>
      <c r="AR376" s="380"/>
      <c r="AS376" s="380"/>
      <c r="AT376" s="380"/>
      <c r="AU376" s="380"/>
      <c r="AV376" s="380"/>
      <c r="AW376" s="380"/>
      <c r="AX376" s="380"/>
      <c r="AY376" s="403"/>
      <c r="AZ376" s="380"/>
      <c r="BA376" s="380"/>
      <c r="BB376" s="380"/>
      <c r="BC376" s="380"/>
      <c r="BD376" s="380"/>
      <c r="BE376" s="404"/>
      <c r="BF376" s="380"/>
      <c r="BG376" s="380"/>
      <c r="BH376" s="380"/>
      <c r="BI376" s="380"/>
      <c r="BJ376" s="380"/>
      <c r="BK376" s="380"/>
      <c r="BL376" s="380"/>
      <c r="BM376" s="403"/>
      <c r="BS376" s="83"/>
      <c r="CA376" s="405"/>
      <c r="CG376" s="83"/>
      <c r="CO376" s="405"/>
      <c r="CU376" s="83"/>
      <c r="DC376" s="405"/>
      <c r="DI376" s="83"/>
      <c r="DQ376" s="405"/>
      <c r="DW376" s="83"/>
      <c r="EE376" s="405"/>
      <c r="EK376" s="83"/>
      <c r="ES376" s="405"/>
      <c r="EY376" s="83"/>
      <c r="FG376" s="405"/>
      <c r="FM376" s="83"/>
      <c r="FU376" s="405"/>
      <c r="GA376" s="83"/>
      <c r="GI376" s="405"/>
      <c r="GO376" s="83"/>
      <c r="GW376" s="405"/>
      <c r="HC376" s="83"/>
      <c r="HK376" s="405"/>
      <c r="HQ376" s="83"/>
      <c r="HY376" s="405"/>
      <c r="IE376" s="83"/>
      <c r="IM376" s="405"/>
      <c r="IS376" s="83"/>
      <c r="JA376" s="405"/>
      <c r="JG376" s="83"/>
      <c r="JO376" s="405"/>
      <c r="JU376" s="83"/>
      <c r="KC376" s="405"/>
      <c r="KI376" s="83"/>
      <c r="KQ376" s="405"/>
      <c r="KW376" s="83"/>
      <c r="LE376" s="405"/>
      <c r="LK376" s="83"/>
      <c r="LS376" s="405"/>
      <c r="LY376" s="83"/>
      <c r="MG376" s="405"/>
      <c r="MM376" s="83"/>
      <c r="MU376" s="405"/>
      <c r="NA376" s="83"/>
    </row>
    <row r="377">
      <c r="A377" s="380"/>
      <c r="B377" s="380"/>
      <c r="C377" s="380"/>
      <c r="D377" s="380"/>
      <c r="E377" s="380"/>
      <c r="F377" s="380"/>
      <c r="G377" s="380"/>
      <c r="H377" s="380"/>
      <c r="I377" s="403"/>
      <c r="J377" s="380"/>
      <c r="K377" s="380"/>
      <c r="L377" s="380"/>
      <c r="M377" s="380"/>
      <c r="N377" s="380"/>
      <c r="O377" s="404"/>
      <c r="P377" s="380"/>
      <c r="Q377" s="380"/>
      <c r="R377" s="380"/>
      <c r="S377" s="380"/>
      <c r="T377" s="380"/>
      <c r="U377" s="380"/>
      <c r="V377" s="380"/>
      <c r="W377" s="403"/>
      <c r="X377" s="380"/>
      <c r="Y377" s="380"/>
      <c r="Z377" s="380"/>
      <c r="AA377" s="380"/>
      <c r="AB377" s="380"/>
      <c r="AC377" s="404"/>
      <c r="AD377" s="380"/>
      <c r="AE377" s="380"/>
      <c r="AF377" s="380"/>
      <c r="AG377" s="380"/>
      <c r="AH377" s="380"/>
      <c r="AI377" s="380"/>
      <c r="AJ377" s="380"/>
      <c r="AK377" s="403"/>
      <c r="AL377" s="380"/>
      <c r="AM377" s="380"/>
      <c r="AN377" s="380"/>
      <c r="AO377" s="380"/>
      <c r="AP377" s="380"/>
      <c r="AQ377" s="404"/>
      <c r="AR377" s="380"/>
      <c r="AS377" s="380"/>
      <c r="AT377" s="380"/>
      <c r="AU377" s="380"/>
      <c r="AV377" s="380"/>
      <c r="AW377" s="380"/>
      <c r="AX377" s="380"/>
      <c r="AY377" s="403"/>
      <c r="AZ377" s="380"/>
      <c r="BA377" s="380"/>
      <c r="BB377" s="380"/>
      <c r="BC377" s="380"/>
      <c r="BD377" s="380"/>
      <c r="BE377" s="404"/>
      <c r="BF377" s="380"/>
      <c r="BG377" s="380"/>
      <c r="BH377" s="380"/>
      <c r="BI377" s="380"/>
      <c r="BJ377" s="380"/>
      <c r="BK377" s="380"/>
      <c r="BL377" s="380"/>
      <c r="BM377" s="403"/>
      <c r="BS377" s="83"/>
      <c r="CA377" s="405"/>
      <c r="CG377" s="83"/>
      <c r="CO377" s="405"/>
      <c r="CU377" s="83"/>
      <c r="DC377" s="405"/>
      <c r="DI377" s="83"/>
      <c r="DQ377" s="405"/>
      <c r="DW377" s="83"/>
      <c r="EE377" s="405"/>
      <c r="EK377" s="83"/>
      <c r="ES377" s="405"/>
      <c r="EY377" s="83"/>
      <c r="FG377" s="405"/>
      <c r="FM377" s="83"/>
      <c r="FU377" s="405"/>
      <c r="GA377" s="83"/>
      <c r="GI377" s="405"/>
      <c r="GO377" s="83"/>
      <c r="GW377" s="405"/>
      <c r="HC377" s="83"/>
      <c r="HK377" s="405"/>
      <c r="HQ377" s="83"/>
      <c r="HY377" s="405"/>
      <c r="IE377" s="83"/>
      <c r="IM377" s="405"/>
      <c r="IS377" s="83"/>
      <c r="JA377" s="405"/>
      <c r="JG377" s="83"/>
      <c r="JO377" s="405"/>
      <c r="JU377" s="83"/>
      <c r="KC377" s="405"/>
      <c r="KI377" s="83"/>
      <c r="KQ377" s="405"/>
      <c r="KW377" s="83"/>
      <c r="LE377" s="405"/>
      <c r="LK377" s="83"/>
      <c r="LS377" s="405"/>
      <c r="LY377" s="83"/>
      <c r="MG377" s="405"/>
      <c r="MM377" s="83"/>
      <c r="MU377" s="405"/>
      <c r="NA377" s="83"/>
    </row>
    <row r="378">
      <c r="A378" s="380"/>
      <c r="B378" s="380"/>
      <c r="C378" s="380"/>
      <c r="D378" s="380"/>
      <c r="E378" s="380"/>
      <c r="F378" s="380"/>
      <c r="G378" s="380"/>
      <c r="H378" s="380"/>
      <c r="I378" s="403"/>
      <c r="J378" s="380"/>
      <c r="K378" s="380"/>
      <c r="L378" s="380"/>
      <c r="M378" s="380"/>
      <c r="N378" s="380"/>
      <c r="O378" s="404"/>
      <c r="P378" s="380"/>
      <c r="Q378" s="380"/>
      <c r="R378" s="380"/>
      <c r="S378" s="380"/>
      <c r="T378" s="380"/>
      <c r="U378" s="380"/>
      <c r="V378" s="380"/>
      <c r="W378" s="403"/>
      <c r="X378" s="380"/>
      <c r="Y378" s="380"/>
      <c r="Z378" s="380"/>
      <c r="AA378" s="380"/>
      <c r="AB378" s="380"/>
      <c r="AC378" s="404"/>
      <c r="AD378" s="380"/>
      <c r="AE378" s="380"/>
      <c r="AF378" s="380"/>
      <c r="AG378" s="380"/>
      <c r="AH378" s="380"/>
      <c r="AI378" s="380"/>
      <c r="AJ378" s="380"/>
      <c r="AK378" s="403"/>
      <c r="AL378" s="380"/>
      <c r="AM378" s="380"/>
      <c r="AN378" s="380"/>
      <c r="AO378" s="380"/>
      <c r="AP378" s="380"/>
      <c r="AQ378" s="404"/>
      <c r="AR378" s="380"/>
      <c r="AS378" s="380"/>
      <c r="AT378" s="380"/>
      <c r="AU378" s="380"/>
      <c r="AV378" s="380"/>
      <c r="AW378" s="380"/>
      <c r="AX378" s="380"/>
      <c r="AY378" s="403"/>
      <c r="AZ378" s="380"/>
      <c r="BA378" s="380"/>
      <c r="BB378" s="380"/>
      <c r="BC378" s="380"/>
      <c r="BD378" s="380"/>
      <c r="BE378" s="404"/>
      <c r="BF378" s="380"/>
      <c r="BG378" s="380"/>
      <c r="BH378" s="380"/>
      <c r="BI378" s="380"/>
      <c r="BJ378" s="380"/>
      <c r="BK378" s="380"/>
      <c r="BL378" s="380"/>
      <c r="BM378" s="403"/>
      <c r="BS378" s="83"/>
      <c r="CA378" s="405"/>
      <c r="CG378" s="83"/>
      <c r="CO378" s="405"/>
      <c r="CU378" s="83"/>
      <c r="DC378" s="405"/>
      <c r="DI378" s="83"/>
      <c r="DQ378" s="405"/>
      <c r="DW378" s="83"/>
      <c r="EE378" s="405"/>
      <c r="EK378" s="83"/>
      <c r="ES378" s="405"/>
      <c r="EY378" s="83"/>
      <c r="FG378" s="405"/>
      <c r="FM378" s="83"/>
      <c r="FU378" s="405"/>
      <c r="GA378" s="83"/>
      <c r="GI378" s="405"/>
      <c r="GO378" s="83"/>
      <c r="GW378" s="405"/>
      <c r="HC378" s="83"/>
      <c r="HK378" s="405"/>
      <c r="HQ378" s="83"/>
      <c r="HY378" s="405"/>
      <c r="IE378" s="83"/>
      <c r="IM378" s="405"/>
      <c r="IS378" s="83"/>
      <c r="JA378" s="405"/>
      <c r="JG378" s="83"/>
      <c r="JO378" s="405"/>
      <c r="JU378" s="83"/>
      <c r="KC378" s="405"/>
      <c r="KI378" s="83"/>
      <c r="KQ378" s="405"/>
      <c r="KW378" s="83"/>
      <c r="LE378" s="405"/>
      <c r="LK378" s="83"/>
      <c r="LS378" s="405"/>
      <c r="LY378" s="83"/>
      <c r="MG378" s="405"/>
      <c r="MM378" s="83"/>
      <c r="MU378" s="405"/>
      <c r="NA378" s="83"/>
    </row>
    <row r="379">
      <c r="A379" s="380"/>
      <c r="B379" s="380"/>
      <c r="C379" s="380"/>
      <c r="D379" s="380"/>
      <c r="E379" s="380"/>
      <c r="F379" s="380"/>
      <c r="G379" s="380"/>
      <c r="H379" s="380"/>
      <c r="I379" s="403"/>
      <c r="J379" s="380"/>
      <c r="K379" s="380"/>
      <c r="L379" s="380"/>
      <c r="M379" s="380"/>
      <c r="N379" s="380"/>
      <c r="O379" s="404"/>
      <c r="P379" s="380"/>
      <c r="Q379" s="380"/>
      <c r="R379" s="380"/>
      <c r="S379" s="380"/>
      <c r="T379" s="380"/>
      <c r="U379" s="380"/>
      <c r="V379" s="380"/>
      <c r="W379" s="403"/>
      <c r="X379" s="380"/>
      <c r="Y379" s="380"/>
      <c r="Z379" s="380"/>
      <c r="AA379" s="380"/>
      <c r="AB379" s="380"/>
      <c r="AC379" s="404"/>
      <c r="AD379" s="380"/>
      <c r="AE379" s="380"/>
      <c r="AF379" s="380"/>
      <c r="AG379" s="380"/>
      <c r="AH379" s="380"/>
      <c r="AI379" s="380"/>
      <c r="AJ379" s="380"/>
      <c r="AK379" s="403"/>
      <c r="AL379" s="380"/>
      <c r="AM379" s="380"/>
      <c r="AN379" s="380"/>
      <c r="AO379" s="380"/>
      <c r="AP379" s="380"/>
      <c r="AQ379" s="404"/>
      <c r="AR379" s="380"/>
      <c r="AS379" s="380"/>
      <c r="AT379" s="380"/>
      <c r="AU379" s="380"/>
      <c r="AV379" s="380"/>
      <c r="AW379" s="380"/>
      <c r="AX379" s="380"/>
      <c r="AY379" s="403"/>
      <c r="AZ379" s="380"/>
      <c r="BA379" s="380"/>
      <c r="BB379" s="380"/>
      <c r="BC379" s="380"/>
      <c r="BD379" s="380"/>
      <c r="BE379" s="404"/>
      <c r="BF379" s="380"/>
      <c r="BG379" s="380"/>
      <c r="BH379" s="380"/>
      <c r="BI379" s="380"/>
      <c r="BJ379" s="380"/>
      <c r="BK379" s="380"/>
      <c r="BL379" s="380"/>
      <c r="BM379" s="403"/>
      <c r="BS379" s="83"/>
      <c r="CA379" s="405"/>
      <c r="CG379" s="83"/>
      <c r="CO379" s="405"/>
      <c r="CU379" s="83"/>
      <c r="DC379" s="405"/>
      <c r="DI379" s="83"/>
      <c r="DQ379" s="405"/>
      <c r="DW379" s="83"/>
      <c r="EE379" s="405"/>
      <c r="EK379" s="83"/>
      <c r="ES379" s="405"/>
      <c r="EY379" s="83"/>
      <c r="FG379" s="405"/>
      <c r="FM379" s="83"/>
      <c r="FU379" s="405"/>
      <c r="GA379" s="83"/>
      <c r="GI379" s="405"/>
      <c r="GO379" s="83"/>
      <c r="GW379" s="405"/>
      <c r="HC379" s="83"/>
      <c r="HK379" s="405"/>
      <c r="HQ379" s="83"/>
      <c r="HY379" s="405"/>
      <c r="IE379" s="83"/>
      <c r="IM379" s="405"/>
      <c r="IS379" s="83"/>
      <c r="JA379" s="405"/>
      <c r="JG379" s="83"/>
      <c r="JO379" s="405"/>
      <c r="JU379" s="83"/>
      <c r="KC379" s="405"/>
      <c r="KI379" s="83"/>
      <c r="KQ379" s="405"/>
      <c r="KW379" s="83"/>
      <c r="LE379" s="405"/>
      <c r="LK379" s="83"/>
      <c r="LS379" s="405"/>
      <c r="LY379" s="83"/>
      <c r="MG379" s="405"/>
      <c r="MM379" s="83"/>
      <c r="MU379" s="405"/>
      <c r="NA379" s="83"/>
    </row>
    <row r="380">
      <c r="A380" s="380"/>
      <c r="B380" s="380"/>
      <c r="C380" s="380"/>
      <c r="D380" s="380"/>
      <c r="E380" s="380"/>
      <c r="F380" s="380"/>
      <c r="G380" s="380"/>
      <c r="H380" s="380"/>
      <c r="I380" s="403"/>
      <c r="J380" s="380"/>
      <c r="K380" s="380"/>
      <c r="L380" s="380"/>
      <c r="M380" s="380"/>
      <c r="N380" s="380"/>
      <c r="O380" s="404"/>
      <c r="P380" s="380"/>
      <c r="Q380" s="380"/>
      <c r="R380" s="380"/>
      <c r="S380" s="380"/>
      <c r="T380" s="380"/>
      <c r="U380" s="380"/>
      <c r="V380" s="380"/>
      <c r="W380" s="403"/>
      <c r="X380" s="380"/>
      <c r="Y380" s="380"/>
      <c r="Z380" s="380"/>
      <c r="AA380" s="380"/>
      <c r="AB380" s="380"/>
      <c r="AC380" s="404"/>
      <c r="AD380" s="380"/>
      <c r="AE380" s="380"/>
      <c r="AF380" s="380"/>
      <c r="AG380" s="380"/>
      <c r="AH380" s="380"/>
      <c r="AI380" s="380"/>
      <c r="AJ380" s="380"/>
      <c r="AK380" s="403"/>
      <c r="AL380" s="380"/>
      <c r="AM380" s="380"/>
      <c r="AN380" s="380"/>
      <c r="AO380" s="380"/>
      <c r="AP380" s="380"/>
      <c r="AQ380" s="404"/>
      <c r="AR380" s="380"/>
      <c r="AS380" s="380"/>
      <c r="AT380" s="380"/>
      <c r="AU380" s="380"/>
      <c r="AV380" s="380"/>
      <c r="AW380" s="380"/>
      <c r="AX380" s="380"/>
      <c r="AY380" s="403"/>
      <c r="AZ380" s="380"/>
      <c r="BA380" s="380"/>
      <c r="BB380" s="380"/>
      <c r="BC380" s="380"/>
      <c r="BD380" s="380"/>
      <c r="BE380" s="404"/>
      <c r="BF380" s="380"/>
      <c r="BG380" s="380"/>
      <c r="BH380" s="380"/>
      <c r="BI380" s="380"/>
      <c r="BJ380" s="380"/>
      <c r="BK380" s="380"/>
      <c r="BL380" s="380"/>
      <c r="BM380" s="403"/>
      <c r="BS380" s="83"/>
      <c r="CA380" s="405"/>
      <c r="CG380" s="83"/>
      <c r="CO380" s="405"/>
      <c r="CU380" s="83"/>
      <c r="DC380" s="405"/>
      <c r="DI380" s="83"/>
      <c r="DQ380" s="405"/>
      <c r="DW380" s="83"/>
      <c r="EE380" s="405"/>
      <c r="EK380" s="83"/>
      <c r="ES380" s="405"/>
      <c r="EY380" s="83"/>
      <c r="FG380" s="405"/>
      <c r="FM380" s="83"/>
      <c r="FU380" s="405"/>
      <c r="GA380" s="83"/>
      <c r="GI380" s="405"/>
      <c r="GO380" s="83"/>
      <c r="GW380" s="405"/>
      <c r="HC380" s="83"/>
      <c r="HK380" s="405"/>
      <c r="HQ380" s="83"/>
      <c r="HY380" s="405"/>
      <c r="IE380" s="83"/>
      <c r="IM380" s="405"/>
      <c r="IS380" s="83"/>
      <c r="JA380" s="405"/>
      <c r="JG380" s="83"/>
      <c r="JO380" s="405"/>
      <c r="JU380" s="83"/>
      <c r="KC380" s="405"/>
      <c r="KI380" s="83"/>
      <c r="KQ380" s="405"/>
      <c r="KW380" s="83"/>
      <c r="LE380" s="405"/>
      <c r="LK380" s="83"/>
      <c r="LS380" s="405"/>
      <c r="LY380" s="83"/>
      <c r="MG380" s="405"/>
      <c r="MM380" s="83"/>
      <c r="MU380" s="405"/>
      <c r="NA380" s="83"/>
    </row>
    <row r="381">
      <c r="A381" s="380"/>
      <c r="B381" s="380"/>
      <c r="C381" s="380"/>
      <c r="D381" s="380"/>
      <c r="E381" s="380"/>
      <c r="F381" s="380"/>
      <c r="G381" s="380"/>
      <c r="H381" s="380"/>
      <c r="I381" s="403"/>
      <c r="J381" s="380"/>
      <c r="K381" s="380"/>
      <c r="L381" s="380"/>
      <c r="M381" s="380"/>
      <c r="N381" s="380"/>
      <c r="O381" s="404"/>
      <c r="P381" s="380"/>
      <c r="Q381" s="380"/>
      <c r="R381" s="380"/>
      <c r="S381" s="380"/>
      <c r="T381" s="380"/>
      <c r="U381" s="380"/>
      <c r="V381" s="380"/>
      <c r="W381" s="403"/>
      <c r="X381" s="380"/>
      <c r="Y381" s="380"/>
      <c r="Z381" s="380"/>
      <c r="AA381" s="380"/>
      <c r="AB381" s="380"/>
      <c r="AC381" s="404"/>
      <c r="AD381" s="380"/>
      <c r="AE381" s="380"/>
      <c r="AF381" s="380"/>
      <c r="AG381" s="380"/>
      <c r="AH381" s="380"/>
      <c r="AI381" s="380"/>
      <c r="AJ381" s="380"/>
      <c r="AK381" s="403"/>
      <c r="AL381" s="380"/>
      <c r="AM381" s="380"/>
      <c r="AN381" s="380"/>
      <c r="AO381" s="380"/>
      <c r="AP381" s="380"/>
      <c r="AQ381" s="404"/>
      <c r="AR381" s="380"/>
      <c r="AS381" s="380"/>
      <c r="AT381" s="380"/>
      <c r="AU381" s="380"/>
      <c r="AV381" s="380"/>
      <c r="AW381" s="380"/>
      <c r="AX381" s="380"/>
      <c r="AY381" s="403"/>
      <c r="AZ381" s="380"/>
      <c r="BA381" s="380"/>
      <c r="BB381" s="380"/>
      <c r="BC381" s="380"/>
      <c r="BD381" s="380"/>
      <c r="BE381" s="404"/>
      <c r="BF381" s="380"/>
      <c r="BG381" s="380"/>
      <c r="BH381" s="380"/>
      <c r="BI381" s="380"/>
      <c r="BJ381" s="380"/>
      <c r="BK381" s="380"/>
      <c r="BL381" s="380"/>
      <c r="BM381" s="403"/>
      <c r="BS381" s="83"/>
      <c r="CA381" s="405"/>
      <c r="CG381" s="83"/>
      <c r="CO381" s="405"/>
      <c r="CU381" s="83"/>
      <c r="DC381" s="405"/>
      <c r="DI381" s="83"/>
      <c r="DQ381" s="405"/>
      <c r="DW381" s="83"/>
      <c r="EE381" s="405"/>
      <c r="EK381" s="83"/>
      <c r="ES381" s="405"/>
      <c r="EY381" s="83"/>
      <c r="FG381" s="405"/>
      <c r="FM381" s="83"/>
      <c r="FU381" s="405"/>
      <c r="GA381" s="83"/>
      <c r="GI381" s="405"/>
      <c r="GO381" s="83"/>
      <c r="GW381" s="405"/>
      <c r="HC381" s="83"/>
      <c r="HK381" s="405"/>
      <c r="HQ381" s="83"/>
      <c r="HY381" s="405"/>
      <c r="IE381" s="83"/>
      <c r="IM381" s="405"/>
      <c r="IS381" s="83"/>
      <c r="JA381" s="405"/>
      <c r="JG381" s="83"/>
      <c r="JO381" s="405"/>
      <c r="JU381" s="83"/>
      <c r="KC381" s="405"/>
      <c r="KI381" s="83"/>
      <c r="KQ381" s="405"/>
      <c r="KW381" s="83"/>
      <c r="LE381" s="405"/>
      <c r="LK381" s="83"/>
      <c r="LS381" s="405"/>
      <c r="LY381" s="83"/>
      <c r="MG381" s="405"/>
      <c r="MM381" s="83"/>
      <c r="MU381" s="405"/>
      <c r="NA381" s="83"/>
    </row>
    <row r="382">
      <c r="A382" s="380"/>
      <c r="B382" s="380"/>
      <c r="C382" s="380"/>
      <c r="D382" s="380"/>
      <c r="E382" s="380"/>
      <c r="F382" s="380"/>
      <c r="G382" s="380"/>
      <c r="H382" s="380"/>
      <c r="I382" s="403"/>
      <c r="J382" s="380"/>
      <c r="K382" s="380"/>
      <c r="L382" s="380"/>
      <c r="M382" s="380"/>
      <c r="N382" s="380"/>
      <c r="O382" s="404"/>
      <c r="P382" s="380"/>
      <c r="Q382" s="380"/>
      <c r="R382" s="380"/>
      <c r="S382" s="380"/>
      <c r="T382" s="380"/>
      <c r="U382" s="380"/>
      <c r="V382" s="380"/>
      <c r="W382" s="403"/>
      <c r="X382" s="380"/>
      <c r="Y382" s="380"/>
      <c r="Z382" s="380"/>
      <c r="AA382" s="380"/>
      <c r="AB382" s="380"/>
      <c r="AC382" s="404"/>
      <c r="AD382" s="380"/>
      <c r="AE382" s="380"/>
      <c r="AF382" s="380"/>
      <c r="AG382" s="380"/>
      <c r="AH382" s="380"/>
      <c r="AI382" s="380"/>
      <c r="AJ382" s="380"/>
      <c r="AK382" s="403"/>
      <c r="AL382" s="380"/>
      <c r="AM382" s="380"/>
      <c r="AN382" s="380"/>
      <c r="AO382" s="380"/>
      <c r="AP382" s="380"/>
      <c r="AQ382" s="404"/>
      <c r="AR382" s="380"/>
      <c r="AS382" s="380"/>
      <c r="AT382" s="380"/>
      <c r="AU382" s="380"/>
      <c r="AV382" s="380"/>
      <c r="AW382" s="380"/>
      <c r="AX382" s="380"/>
      <c r="AY382" s="403"/>
      <c r="AZ382" s="380"/>
      <c r="BA382" s="380"/>
      <c r="BB382" s="380"/>
      <c r="BC382" s="380"/>
      <c r="BD382" s="380"/>
      <c r="BE382" s="404"/>
      <c r="BF382" s="380"/>
      <c r="BG382" s="380"/>
      <c r="BH382" s="380"/>
      <c r="BI382" s="380"/>
      <c r="BJ382" s="380"/>
      <c r="BK382" s="380"/>
      <c r="BL382" s="380"/>
      <c r="BM382" s="403"/>
      <c r="BS382" s="83"/>
      <c r="CA382" s="405"/>
      <c r="CG382" s="83"/>
      <c r="CO382" s="405"/>
      <c r="CU382" s="83"/>
      <c r="DC382" s="405"/>
      <c r="DI382" s="83"/>
      <c r="DQ382" s="405"/>
      <c r="DW382" s="83"/>
      <c r="EE382" s="405"/>
      <c r="EK382" s="83"/>
      <c r="ES382" s="405"/>
      <c r="EY382" s="83"/>
      <c r="FG382" s="405"/>
      <c r="FM382" s="83"/>
      <c r="FU382" s="405"/>
      <c r="GA382" s="83"/>
      <c r="GI382" s="405"/>
      <c r="GO382" s="83"/>
      <c r="GW382" s="405"/>
      <c r="HC382" s="83"/>
      <c r="HK382" s="405"/>
      <c r="HQ382" s="83"/>
      <c r="HY382" s="405"/>
      <c r="IE382" s="83"/>
      <c r="IM382" s="405"/>
      <c r="IS382" s="83"/>
      <c r="JA382" s="405"/>
      <c r="JG382" s="83"/>
      <c r="JO382" s="405"/>
      <c r="JU382" s="83"/>
      <c r="KC382" s="405"/>
      <c r="KI382" s="83"/>
      <c r="KQ382" s="405"/>
      <c r="KW382" s="83"/>
      <c r="LE382" s="405"/>
      <c r="LK382" s="83"/>
      <c r="LS382" s="405"/>
      <c r="LY382" s="83"/>
      <c r="MG382" s="405"/>
      <c r="MM382" s="83"/>
      <c r="MU382" s="405"/>
      <c r="NA382" s="83"/>
    </row>
    <row r="383">
      <c r="A383" s="380"/>
      <c r="B383" s="380"/>
      <c r="C383" s="380"/>
      <c r="D383" s="380"/>
      <c r="E383" s="380"/>
      <c r="F383" s="380"/>
      <c r="G383" s="380"/>
      <c r="H383" s="380"/>
      <c r="I383" s="403"/>
      <c r="J383" s="380"/>
      <c r="K383" s="380"/>
      <c r="L383" s="380"/>
      <c r="M383" s="380"/>
      <c r="N383" s="380"/>
      <c r="O383" s="404"/>
      <c r="P383" s="380"/>
      <c r="Q383" s="380"/>
      <c r="R383" s="380"/>
      <c r="S383" s="380"/>
      <c r="T383" s="380"/>
      <c r="U383" s="380"/>
      <c r="V383" s="380"/>
      <c r="W383" s="403"/>
      <c r="X383" s="380"/>
      <c r="Y383" s="380"/>
      <c r="Z383" s="380"/>
      <c r="AA383" s="380"/>
      <c r="AB383" s="380"/>
      <c r="AC383" s="404"/>
      <c r="AD383" s="380"/>
      <c r="AE383" s="380"/>
      <c r="AF383" s="380"/>
      <c r="AG383" s="380"/>
      <c r="AH383" s="380"/>
      <c r="AI383" s="380"/>
      <c r="AJ383" s="380"/>
      <c r="AK383" s="403"/>
      <c r="AL383" s="380"/>
      <c r="AM383" s="380"/>
      <c r="AN383" s="380"/>
      <c r="AO383" s="380"/>
      <c r="AP383" s="380"/>
      <c r="AQ383" s="404"/>
      <c r="AR383" s="380"/>
      <c r="AS383" s="380"/>
      <c r="AT383" s="380"/>
      <c r="AU383" s="380"/>
      <c r="AV383" s="380"/>
      <c r="AW383" s="380"/>
      <c r="AX383" s="380"/>
      <c r="AY383" s="403"/>
      <c r="AZ383" s="380"/>
      <c r="BA383" s="380"/>
      <c r="BB383" s="380"/>
      <c r="BC383" s="380"/>
      <c r="BD383" s="380"/>
      <c r="BE383" s="404"/>
      <c r="BF383" s="380"/>
      <c r="BG383" s="380"/>
      <c r="BH383" s="380"/>
      <c r="BI383" s="380"/>
      <c r="BJ383" s="380"/>
      <c r="BK383" s="380"/>
      <c r="BL383" s="380"/>
      <c r="BM383" s="403"/>
      <c r="BS383" s="83"/>
      <c r="CA383" s="405"/>
      <c r="CG383" s="83"/>
      <c r="CO383" s="405"/>
      <c r="CU383" s="83"/>
      <c r="DC383" s="405"/>
      <c r="DI383" s="83"/>
      <c r="DQ383" s="405"/>
      <c r="DW383" s="83"/>
      <c r="EE383" s="405"/>
      <c r="EK383" s="83"/>
      <c r="ES383" s="405"/>
      <c r="EY383" s="83"/>
      <c r="FG383" s="405"/>
      <c r="FM383" s="83"/>
      <c r="FU383" s="405"/>
      <c r="GA383" s="83"/>
      <c r="GI383" s="405"/>
      <c r="GO383" s="83"/>
      <c r="GW383" s="405"/>
      <c r="HC383" s="83"/>
      <c r="HK383" s="405"/>
      <c r="HQ383" s="83"/>
      <c r="HY383" s="405"/>
      <c r="IE383" s="83"/>
      <c r="IM383" s="405"/>
      <c r="IS383" s="83"/>
      <c r="JA383" s="405"/>
      <c r="JG383" s="83"/>
      <c r="JO383" s="405"/>
      <c r="JU383" s="83"/>
      <c r="KC383" s="405"/>
      <c r="KI383" s="83"/>
      <c r="KQ383" s="405"/>
      <c r="KW383" s="83"/>
      <c r="LE383" s="405"/>
      <c r="LK383" s="83"/>
      <c r="LS383" s="405"/>
      <c r="LY383" s="83"/>
      <c r="MG383" s="405"/>
      <c r="MM383" s="83"/>
      <c r="MU383" s="405"/>
      <c r="NA383" s="83"/>
    </row>
    <row r="384">
      <c r="A384" s="380"/>
      <c r="B384" s="380"/>
      <c r="C384" s="380"/>
      <c r="D384" s="380"/>
      <c r="E384" s="380"/>
      <c r="F384" s="380"/>
      <c r="G384" s="380"/>
      <c r="H384" s="380"/>
      <c r="I384" s="403"/>
      <c r="J384" s="380"/>
      <c r="K384" s="380"/>
      <c r="L384" s="380"/>
      <c r="M384" s="380"/>
      <c r="N384" s="380"/>
      <c r="O384" s="404"/>
      <c r="P384" s="380"/>
      <c r="Q384" s="380"/>
      <c r="R384" s="380"/>
      <c r="S384" s="380"/>
      <c r="T384" s="380"/>
      <c r="U384" s="380"/>
      <c r="V384" s="380"/>
      <c r="W384" s="403"/>
      <c r="X384" s="380"/>
      <c r="Y384" s="380"/>
      <c r="Z384" s="380"/>
      <c r="AA384" s="380"/>
      <c r="AB384" s="380"/>
      <c r="AC384" s="404"/>
      <c r="AD384" s="380"/>
      <c r="AE384" s="380"/>
      <c r="AF384" s="380"/>
      <c r="AG384" s="380"/>
      <c r="AH384" s="380"/>
      <c r="AI384" s="380"/>
      <c r="AJ384" s="380"/>
      <c r="AK384" s="403"/>
      <c r="AL384" s="380"/>
      <c r="AM384" s="380"/>
      <c r="AN384" s="380"/>
      <c r="AO384" s="380"/>
      <c r="AP384" s="380"/>
      <c r="AQ384" s="404"/>
      <c r="AR384" s="380"/>
      <c r="AS384" s="380"/>
      <c r="AT384" s="380"/>
      <c r="AU384" s="380"/>
      <c r="AV384" s="380"/>
      <c r="AW384" s="380"/>
      <c r="AX384" s="380"/>
      <c r="AY384" s="403"/>
      <c r="AZ384" s="380"/>
      <c r="BA384" s="380"/>
      <c r="BB384" s="380"/>
      <c r="BC384" s="380"/>
      <c r="BD384" s="380"/>
      <c r="BE384" s="404"/>
      <c r="BF384" s="380"/>
      <c r="BG384" s="380"/>
      <c r="BH384" s="380"/>
      <c r="BI384" s="380"/>
      <c r="BJ384" s="380"/>
      <c r="BK384" s="380"/>
      <c r="BL384" s="380"/>
      <c r="BM384" s="403"/>
      <c r="BS384" s="83"/>
      <c r="CA384" s="405"/>
      <c r="CG384" s="83"/>
      <c r="CO384" s="405"/>
      <c r="CU384" s="83"/>
      <c r="DC384" s="405"/>
      <c r="DI384" s="83"/>
      <c r="DQ384" s="405"/>
      <c r="DW384" s="83"/>
      <c r="EE384" s="405"/>
      <c r="EK384" s="83"/>
      <c r="ES384" s="405"/>
      <c r="EY384" s="83"/>
      <c r="FG384" s="405"/>
      <c r="FM384" s="83"/>
      <c r="FU384" s="405"/>
      <c r="GA384" s="83"/>
      <c r="GI384" s="405"/>
      <c r="GO384" s="83"/>
      <c r="GW384" s="405"/>
      <c r="HC384" s="83"/>
      <c r="HK384" s="405"/>
      <c r="HQ384" s="83"/>
      <c r="HY384" s="405"/>
      <c r="IE384" s="83"/>
      <c r="IM384" s="405"/>
      <c r="IS384" s="83"/>
      <c r="JA384" s="405"/>
      <c r="JG384" s="83"/>
      <c r="JO384" s="405"/>
      <c r="JU384" s="83"/>
      <c r="KC384" s="405"/>
      <c r="KI384" s="83"/>
      <c r="KQ384" s="405"/>
      <c r="KW384" s="83"/>
      <c r="LE384" s="405"/>
      <c r="LK384" s="83"/>
      <c r="LS384" s="405"/>
      <c r="LY384" s="83"/>
      <c r="MG384" s="405"/>
      <c r="MM384" s="83"/>
      <c r="MU384" s="405"/>
      <c r="NA384" s="83"/>
    </row>
    <row r="385">
      <c r="A385" s="380"/>
      <c r="B385" s="380"/>
      <c r="C385" s="380"/>
      <c r="D385" s="380"/>
      <c r="E385" s="380"/>
      <c r="F385" s="380"/>
      <c r="G385" s="380"/>
      <c r="H385" s="380"/>
      <c r="I385" s="403"/>
      <c r="J385" s="380"/>
      <c r="K385" s="380"/>
      <c r="L385" s="380"/>
      <c r="M385" s="380"/>
      <c r="N385" s="380"/>
      <c r="O385" s="404"/>
      <c r="P385" s="380"/>
      <c r="Q385" s="380"/>
      <c r="R385" s="380"/>
      <c r="S385" s="380"/>
      <c r="T385" s="380"/>
      <c r="U385" s="380"/>
      <c r="V385" s="380"/>
      <c r="W385" s="403"/>
      <c r="X385" s="380"/>
      <c r="Y385" s="380"/>
      <c r="Z385" s="380"/>
      <c r="AA385" s="380"/>
      <c r="AB385" s="380"/>
      <c r="AC385" s="404"/>
      <c r="AD385" s="380"/>
      <c r="AE385" s="380"/>
      <c r="AF385" s="380"/>
      <c r="AG385" s="380"/>
      <c r="AH385" s="380"/>
      <c r="AI385" s="380"/>
      <c r="AJ385" s="380"/>
      <c r="AK385" s="403"/>
      <c r="AL385" s="380"/>
      <c r="AM385" s="380"/>
      <c r="AN385" s="380"/>
      <c r="AO385" s="380"/>
      <c r="AP385" s="380"/>
      <c r="AQ385" s="404"/>
      <c r="AR385" s="380"/>
      <c r="AS385" s="380"/>
      <c r="AT385" s="380"/>
      <c r="AU385" s="380"/>
      <c r="AV385" s="380"/>
      <c r="AW385" s="380"/>
      <c r="AX385" s="380"/>
      <c r="AY385" s="403"/>
      <c r="AZ385" s="380"/>
      <c r="BA385" s="380"/>
      <c r="BB385" s="380"/>
      <c r="BC385" s="380"/>
      <c r="BD385" s="380"/>
      <c r="BE385" s="404"/>
      <c r="BF385" s="380"/>
      <c r="BG385" s="380"/>
      <c r="BH385" s="380"/>
      <c r="BI385" s="380"/>
      <c r="BJ385" s="380"/>
      <c r="BK385" s="380"/>
      <c r="BL385" s="380"/>
      <c r="BM385" s="403"/>
      <c r="BS385" s="83"/>
      <c r="CA385" s="405"/>
      <c r="CG385" s="83"/>
      <c r="CO385" s="405"/>
      <c r="CU385" s="83"/>
      <c r="DC385" s="405"/>
      <c r="DI385" s="83"/>
      <c r="DQ385" s="405"/>
      <c r="DW385" s="83"/>
      <c r="EE385" s="405"/>
      <c r="EK385" s="83"/>
      <c r="ES385" s="405"/>
      <c r="EY385" s="83"/>
      <c r="FG385" s="405"/>
      <c r="FM385" s="83"/>
      <c r="FU385" s="405"/>
      <c r="GA385" s="83"/>
      <c r="GI385" s="405"/>
      <c r="GO385" s="83"/>
      <c r="GW385" s="405"/>
      <c r="HC385" s="83"/>
      <c r="HK385" s="405"/>
      <c r="HQ385" s="83"/>
      <c r="HY385" s="405"/>
      <c r="IE385" s="83"/>
      <c r="IM385" s="405"/>
      <c r="IS385" s="83"/>
      <c r="JA385" s="405"/>
      <c r="JG385" s="83"/>
      <c r="JO385" s="405"/>
      <c r="JU385" s="83"/>
      <c r="KC385" s="405"/>
      <c r="KI385" s="83"/>
      <c r="KQ385" s="405"/>
      <c r="KW385" s="83"/>
      <c r="LE385" s="405"/>
      <c r="LK385" s="83"/>
      <c r="LS385" s="405"/>
      <c r="LY385" s="83"/>
      <c r="MG385" s="405"/>
      <c r="MM385" s="83"/>
      <c r="MU385" s="405"/>
      <c r="NA385" s="83"/>
    </row>
    <row r="386">
      <c r="A386" s="380"/>
      <c r="B386" s="380"/>
      <c r="C386" s="380"/>
      <c r="D386" s="380"/>
      <c r="E386" s="380"/>
      <c r="F386" s="380"/>
      <c r="G386" s="380"/>
      <c r="H386" s="380"/>
      <c r="I386" s="403"/>
      <c r="J386" s="380"/>
      <c r="K386" s="380"/>
      <c r="L386" s="380"/>
      <c r="M386" s="380"/>
      <c r="N386" s="380"/>
      <c r="O386" s="404"/>
      <c r="P386" s="380"/>
      <c r="Q386" s="380"/>
      <c r="R386" s="380"/>
      <c r="S386" s="380"/>
      <c r="T386" s="380"/>
      <c r="U386" s="380"/>
      <c r="V386" s="380"/>
      <c r="W386" s="403"/>
      <c r="X386" s="380"/>
      <c r="Y386" s="380"/>
      <c r="Z386" s="380"/>
      <c r="AA386" s="380"/>
      <c r="AB386" s="380"/>
      <c r="AC386" s="404"/>
      <c r="AD386" s="380"/>
      <c r="AE386" s="380"/>
      <c r="AF386" s="380"/>
      <c r="AG386" s="380"/>
      <c r="AH386" s="380"/>
      <c r="AI386" s="380"/>
      <c r="AJ386" s="380"/>
      <c r="AK386" s="403"/>
      <c r="AL386" s="380"/>
      <c r="AM386" s="380"/>
      <c r="AN386" s="380"/>
      <c r="AO386" s="380"/>
      <c r="AP386" s="380"/>
      <c r="AQ386" s="404"/>
      <c r="AR386" s="380"/>
      <c r="AS386" s="380"/>
      <c r="AT386" s="380"/>
      <c r="AU386" s="380"/>
      <c r="AV386" s="380"/>
      <c r="AW386" s="380"/>
      <c r="AX386" s="380"/>
      <c r="AY386" s="403"/>
      <c r="AZ386" s="380"/>
      <c r="BA386" s="380"/>
      <c r="BB386" s="380"/>
      <c r="BC386" s="380"/>
      <c r="BD386" s="380"/>
      <c r="BE386" s="404"/>
      <c r="BF386" s="380"/>
      <c r="BG386" s="380"/>
      <c r="BH386" s="380"/>
      <c r="BI386" s="380"/>
      <c r="BJ386" s="380"/>
      <c r="BK386" s="380"/>
      <c r="BL386" s="380"/>
      <c r="BM386" s="403"/>
      <c r="BS386" s="83"/>
      <c r="CA386" s="405"/>
      <c r="CG386" s="83"/>
      <c r="CO386" s="405"/>
      <c r="CU386" s="83"/>
      <c r="DC386" s="405"/>
      <c r="DI386" s="83"/>
      <c r="DQ386" s="405"/>
      <c r="DW386" s="83"/>
      <c r="EE386" s="405"/>
      <c r="EK386" s="83"/>
      <c r="ES386" s="405"/>
      <c r="EY386" s="83"/>
      <c r="FG386" s="405"/>
      <c r="FM386" s="83"/>
      <c r="FU386" s="405"/>
      <c r="GA386" s="83"/>
      <c r="GI386" s="405"/>
      <c r="GO386" s="83"/>
      <c r="GW386" s="405"/>
      <c r="HC386" s="83"/>
      <c r="HK386" s="405"/>
      <c r="HQ386" s="83"/>
      <c r="HY386" s="405"/>
      <c r="IE386" s="83"/>
      <c r="IM386" s="405"/>
      <c r="IS386" s="83"/>
      <c r="JA386" s="405"/>
      <c r="JG386" s="83"/>
      <c r="JO386" s="405"/>
      <c r="JU386" s="83"/>
      <c r="KC386" s="405"/>
      <c r="KI386" s="83"/>
      <c r="KQ386" s="405"/>
      <c r="KW386" s="83"/>
      <c r="LE386" s="405"/>
      <c r="LK386" s="83"/>
      <c r="LS386" s="405"/>
      <c r="LY386" s="83"/>
      <c r="MG386" s="405"/>
      <c r="MM386" s="83"/>
      <c r="MU386" s="405"/>
      <c r="NA386" s="83"/>
    </row>
    <row r="387">
      <c r="A387" s="380"/>
      <c r="B387" s="380"/>
      <c r="C387" s="380"/>
      <c r="D387" s="380"/>
      <c r="E387" s="380"/>
      <c r="F387" s="380"/>
      <c r="G387" s="380"/>
      <c r="H387" s="380"/>
      <c r="I387" s="403"/>
      <c r="J387" s="380"/>
      <c r="K387" s="380"/>
      <c r="L387" s="380"/>
      <c r="M387" s="380"/>
      <c r="N387" s="380"/>
      <c r="O387" s="404"/>
      <c r="P387" s="380"/>
      <c r="Q387" s="380"/>
      <c r="R387" s="380"/>
      <c r="S387" s="380"/>
      <c r="T387" s="380"/>
      <c r="U387" s="380"/>
      <c r="V387" s="380"/>
      <c r="W387" s="403"/>
      <c r="X387" s="380"/>
      <c r="Y387" s="380"/>
      <c r="Z387" s="380"/>
      <c r="AA387" s="380"/>
      <c r="AB387" s="380"/>
      <c r="AC387" s="404"/>
      <c r="AD387" s="380"/>
      <c r="AE387" s="380"/>
      <c r="AF387" s="380"/>
      <c r="AG387" s="380"/>
      <c r="AH387" s="380"/>
      <c r="AI387" s="380"/>
      <c r="AJ387" s="380"/>
      <c r="AK387" s="403"/>
      <c r="AL387" s="380"/>
      <c r="AM387" s="380"/>
      <c r="AN387" s="380"/>
      <c r="AO387" s="380"/>
      <c r="AP387" s="380"/>
      <c r="AQ387" s="404"/>
      <c r="AR387" s="380"/>
      <c r="AS387" s="380"/>
      <c r="AT387" s="380"/>
      <c r="AU387" s="380"/>
      <c r="AV387" s="380"/>
      <c r="AW387" s="380"/>
      <c r="AX387" s="380"/>
      <c r="AY387" s="403"/>
      <c r="AZ387" s="380"/>
      <c r="BA387" s="380"/>
      <c r="BB387" s="380"/>
      <c r="BC387" s="380"/>
      <c r="BD387" s="380"/>
      <c r="BE387" s="404"/>
      <c r="BF387" s="380"/>
      <c r="BG387" s="380"/>
      <c r="BH387" s="380"/>
      <c r="BI387" s="380"/>
      <c r="BJ387" s="380"/>
      <c r="BK387" s="380"/>
      <c r="BL387" s="380"/>
      <c r="BM387" s="403"/>
      <c r="BS387" s="83"/>
      <c r="CA387" s="405"/>
      <c r="CG387" s="83"/>
      <c r="CO387" s="405"/>
      <c r="CU387" s="83"/>
      <c r="DC387" s="405"/>
      <c r="DI387" s="83"/>
      <c r="DQ387" s="405"/>
      <c r="DW387" s="83"/>
      <c r="EE387" s="405"/>
      <c r="EK387" s="83"/>
      <c r="ES387" s="405"/>
      <c r="EY387" s="83"/>
      <c r="FG387" s="405"/>
      <c r="FM387" s="83"/>
      <c r="FU387" s="405"/>
      <c r="GA387" s="83"/>
      <c r="GI387" s="405"/>
      <c r="GO387" s="83"/>
      <c r="GW387" s="405"/>
      <c r="HC387" s="83"/>
      <c r="HK387" s="405"/>
      <c r="HQ387" s="83"/>
      <c r="HY387" s="405"/>
      <c r="IE387" s="83"/>
      <c r="IM387" s="405"/>
      <c r="IS387" s="83"/>
      <c r="JA387" s="405"/>
      <c r="JG387" s="83"/>
      <c r="JO387" s="405"/>
      <c r="JU387" s="83"/>
      <c r="KC387" s="405"/>
      <c r="KI387" s="83"/>
      <c r="KQ387" s="405"/>
      <c r="KW387" s="83"/>
      <c r="LE387" s="405"/>
      <c r="LK387" s="83"/>
      <c r="LS387" s="405"/>
      <c r="LY387" s="83"/>
      <c r="MG387" s="405"/>
      <c r="MM387" s="83"/>
      <c r="MU387" s="405"/>
      <c r="NA387" s="83"/>
    </row>
    <row r="388">
      <c r="A388" s="380"/>
      <c r="B388" s="380"/>
      <c r="C388" s="380"/>
      <c r="D388" s="380"/>
      <c r="E388" s="380"/>
      <c r="F388" s="380"/>
      <c r="G388" s="380"/>
      <c r="H388" s="380"/>
      <c r="I388" s="403"/>
      <c r="J388" s="380"/>
      <c r="K388" s="380"/>
      <c r="L388" s="380"/>
      <c r="M388" s="380"/>
      <c r="N388" s="380"/>
      <c r="O388" s="404"/>
      <c r="P388" s="380"/>
      <c r="Q388" s="380"/>
      <c r="R388" s="380"/>
      <c r="S388" s="380"/>
      <c r="T388" s="380"/>
      <c r="U388" s="380"/>
      <c r="V388" s="380"/>
      <c r="W388" s="403"/>
      <c r="X388" s="380"/>
      <c r="Y388" s="380"/>
      <c r="Z388" s="380"/>
      <c r="AA388" s="380"/>
      <c r="AB388" s="380"/>
      <c r="AC388" s="404"/>
      <c r="AD388" s="380"/>
      <c r="AE388" s="380"/>
      <c r="AF388" s="380"/>
      <c r="AG388" s="380"/>
      <c r="AH388" s="380"/>
      <c r="AI388" s="380"/>
      <c r="AJ388" s="380"/>
      <c r="AK388" s="403"/>
      <c r="AL388" s="380"/>
      <c r="AM388" s="380"/>
      <c r="AN388" s="380"/>
      <c r="AO388" s="380"/>
      <c r="AP388" s="380"/>
      <c r="AQ388" s="404"/>
      <c r="AR388" s="380"/>
      <c r="AS388" s="380"/>
      <c r="AT388" s="380"/>
      <c r="AU388" s="380"/>
      <c r="AV388" s="380"/>
      <c r="AW388" s="380"/>
      <c r="AX388" s="380"/>
      <c r="AY388" s="403"/>
      <c r="AZ388" s="380"/>
      <c r="BA388" s="380"/>
      <c r="BB388" s="380"/>
      <c r="BC388" s="380"/>
      <c r="BD388" s="380"/>
      <c r="BE388" s="404"/>
      <c r="BF388" s="380"/>
      <c r="BG388" s="380"/>
      <c r="BH388" s="380"/>
      <c r="BI388" s="380"/>
      <c r="BJ388" s="380"/>
      <c r="BK388" s="380"/>
      <c r="BL388" s="380"/>
      <c r="BM388" s="403"/>
      <c r="BS388" s="83"/>
      <c r="CA388" s="405"/>
      <c r="CG388" s="83"/>
      <c r="CO388" s="405"/>
      <c r="CU388" s="83"/>
      <c r="DC388" s="405"/>
      <c r="DI388" s="83"/>
      <c r="DQ388" s="405"/>
      <c r="DW388" s="83"/>
      <c r="EE388" s="405"/>
      <c r="EK388" s="83"/>
      <c r="ES388" s="405"/>
      <c r="EY388" s="83"/>
      <c r="FG388" s="405"/>
      <c r="FM388" s="83"/>
      <c r="FU388" s="405"/>
      <c r="GA388" s="83"/>
      <c r="GI388" s="405"/>
      <c r="GO388" s="83"/>
      <c r="GW388" s="405"/>
      <c r="HC388" s="83"/>
      <c r="HK388" s="405"/>
      <c r="HQ388" s="83"/>
      <c r="HY388" s="405"/>
      <c r="IE388" s="83"/>
      <c r="IM388" s="405"/>
      <c r="IS388" s="83"/>
      <c r="JA388" s="405"/>
      <c r="JG388" s="83"/>
      <c r="JO388" s="405"/>
      <c r="JU388" s="83"/>
      <c r="KC388" s="405"/>
      <c r="KI388" s="83"/>
      <c r="KQ388" s="405"/>
      <c r="KW388" s="83"/>
      <c r="LE388" s="405"/>
      <c r="LK388" s="83"/>
      <c r="LS388" s="405"/>
      <c r="LY388" s="83"/>
      <c r="MG388" s="405"/>
      <c r="MM388" s="83"/>
      <c r="MU388" s="405"/>
      <c r="NA388" s="83"/>
    </row>
    <row r="389">
      <c r="A389" s="380"/>
      <c r="B389" s="380"/>
      <c r="C389" s="380"/>
      <c r="D389" s="380"/>
      <c r="E389" s="380"/>
      <c r="F389" s="380"/>
      <c r="G389" s="380"/>
      <c r="H389" s="380"/>
      <c r="I389" s="403"/>
      <c r="J389" s="380"/>
      <c r="K389" s="380"/>
      <c r="L389" s="380"/>
      <c r="M389" s="380"/>
      <c r="N389" s="380"/>
      <c r="O389" s="404"/>
      <c r="P389" s="380"/>
      <c r="Q389" s="380"/>
      <c r="R389" s="380"/>
      <c r="S389" s="380"/>
      <c r="T389" s="380"/>
      <c r="U389" s="380"/>
      <c r="V389" s="380"/>
      <c r="W389" s="403"/>
      <c r="X389" s="380"/>
      <c r="Y389" s="380"/>
      <c r="Z389" s="380"/>
      <c r="AA389" s="380"/>
      <c r="AB389" s="380"/>
      <c r="AC389" s="404"/>
      <c r="AD389" s="380"/>
      <c r="AE389" s="380"/>
      <c r="AF389" s="380"/>
      <c r="AG389" s="380"/>
      <c r="AH389" s="380"/>
      <c r="AI389" s="380"/>
      <c r="AJ389" s="380"/>
      <c r="AK389" s="403"/>
      <c r="AL389" s="380"/>
      <c r="AM389" s="380"/>
      <c r="AN389" s="380"/>
      <c r="AO389" s="380"/>
      <c r="AP389" s="380"/>
      <c r="AQ389" s="404"/>
      <c r="AR389" s="380"/>
      <c r="AS389" s="380"/>
      <c r="AT389" s="380"/>
      <c r="AU389" s="380"/>
      <c r="AV389" s="380"/>
      <c r="AW389" s="380"/>
      <c r="AX389" s="380"/>
      <c r="AY389" s="403"/>
      <c r="AZ389" s="380"/>
      <c r="BA389" s="380"/>
      <c r="BB389" s="380"/>
      <c r="BC389" s="380"/>
      <c r="BD389" s="380"/>
      <c r="BE389" s="404"/>
      <c r="BF389" s="380"/>
      <c r="BG389" s="380"/>
      <c r="BH389" s="380"/>
      <c r="BI389" s="380"/>
      <c r="BJ389" s="380"/>
      <c r="BK389" s="380"/>
      <c r="BL389" s="380"/>
      <c r="BM389" s="403"/>
      <c r="BS389" s="83"/>
      <c r="CA389" s="405"/>
      <c r="CG389" s="83"/>
      <c r="CO389" s="405"/>
      <c r="CU389" s="83"/>
      <c r="DC389" s="405"/>
      <c r="DI389" s="83"/>
      <c r="DQ389" s="405"/>
      <c r="DW389" s="83"/>
      <c r="EE389" s="405"/>
      <c r="EK389" s="83"/>
      <c r="ES389" s="405"/>
      <c r="EY389" s="83"/>
      <c r="FG389" s="405"/>
      <c r="FM389" s="83"/>
      <c r="FU389" s="405"/>
      <c r="GA389" s="83"/>
      <c r="GI389" s="405"/>
      <c r="GO389" s="83"/>
      <c r="GW389" s="405"/>
      <c r="HC389" s="83"/>
      <c r="HK389" s="405"/>
      <c r="HQ389" s="83"/>
      <c r="HY389" s="405"/>
      <c r="IE389" s="83"/>
      <c r="IM389" s="405"/>
      <c r="IS389" s="83"/>
      <c r="JA389" s="405"/>
      <c r="JG389" s="83"/>
      <c r="JO389" s="405"/>
      <c r="JU389" s="83"/>
      <c r="KC389" s="405"/>
      <c r="KI389" s="83"/>
      <c r="KQ389" s="405"/>
      <c r="KW389" s="83"/>
      <c r="LE389" s="405"/>
      <c r="LK389" s="83"/>
      <c r="LS389" s="405"/>
      <c r="LY389" s="83"/>
      <c r="MG389" s="405"/>
      <c r="MM389" s="83"/>
      <c r="MU389" s="405"/>
      <c r="NA389" s="83"/>
    </row>
    <row r="390">
      <c r="A390" s="380"/>
      <c r="B390" s="380"/>
      <c r="C390" s="380"/>
      <c r="D390" s="380"/>
      <c r="E390" s="380"/>
      <c r="F390" s="380"/>
      <c r="G390" s="380"/>
      <c r="H390" s="380"/>
      <c r="I390" s="403"/>
      <c r="J390" s="380"/>
      <c r="K390" s="380"/>
      <c r="L390" s="380"/>
      <c r="M390" s="380"/>
      <c r="N390" s="380"/>
      <c r="O390" s="404"/>
      <c r="P390" s="380"/>
      <c r="Q390" s="380"/>
      <c r="R390" s="380"/>
      <c r="S390" s="380"/>
      <c r="T390" s="380"/>
      <c r="U390" s="380"/>
      <c r="V390" s="380"/>
      <c r="W390" s="403"/>
      <c r="X390" s="380"/>
      <c r="Y390" s="380"/>
      <c r="Z390" s="380"/>
      <c r="AA390" s="380"/>
      <c r="AB390" s="380"/>
      <c r="AC390" s="404"/>
      <c r="AD390" s="380"/>
      <c r="AE390" s="380"/>
      <c r="AF390" s="380"/>
      <c r="AG390" s="380"/>
      <c r="AH390" s="380"/>
      <c r="AI390" s="380"/>
      <c r="AJ390" s="380"/>
      <c r="AK390" s="403"/>
      <c r="AL390" s="380"/>
      <c r="AM390" s="380"/>
      <c r="AN390" s="380"/>
      <c r="AO390" s="380"/>
      <c r="AP390" s="380"/>
      <c r="AQ390" s="404"/>
      <c r="AR390" s="380"/>
      <c r="AS390" s="380"/>
      <c r="AT390" s="380"/>
      <c r="AU390" s="380"/>
      <c r="AV390" s="380"/>
      <c r="AW390" s="380"/>
      <c r="AX390" s="380"/>
      <c r="AY390" s="403"/>
      <c r="AZ390" s="380"/>
      <c r="BA390" s="380"/>
      <c r="BB390" s="380"/>
      <c r="BC390" s="380"/>
      <c r="BD390" s="380"/>
      <c r="BE390" s="404"/>
      <c r="BF390" s="380"/>
      <c r="BG390" s="380"/>
      <c r="BH390" s="380"/>
      <c r="BI390" s="380"/>
      <c r="BJ390" s="380"/>
      <c r="BK390" s="380"/>
      <c r="BL390" s="380"/>
      <c r="BM390" s="403"/>
      <c r="BS390" s="83"/>
      <c r="CA390" s="405"/>
      <c r="CG390" s="83"/>
      <c r="CO390" s="405"/>
      <c r="CU390" s="83"/>
      <c r="DC390" s="405"/>
      <c r="DI390" s="83"/>
      <c r="DQ390" s="405"/>
      <c r="DW390" s="83"/>
      <c r="EE390" s="405"/>
      <c r="EK390" s="83"/>
      <c r="ES390" s="405"/>
      <c r="EY390" s="83"/>
      <c r="FG390" s="405"/>
      <c r="FM390" s="83"/>
      <c r="FU390" s="405"/>
      <c r="GA390" s="83"/>
      <c r="GI390" s="405"/>
      <c r="GO390" s="83"/>
      <c r="GW390" s="405"/>
      <c r="HC390" s="83"/>
      <c r="HK390" s="405"/>
      <c r="HQ390" s="83"/>
      <c r="HY390" s="405"/>
      <c r="IE390" s="83"/>
      <c r="IM390" s="405"/>
      <c r="IS390" s="83"/>
      <c r="JA390" s="405"/>
      <c r="JG390" s="83"/>
      <c r="JO390" s="405"/>
      <c r="JU390" s="83"/>
      <c r="KC390" s="405"/>
      <c r="KI390" s="83"/>
      <c r="KQ390" s="405"/>
      <c r="KW390" s="83"/>
      <c r="LE390" s="405"/>
      <c r="LK390" s="83"/>
      <c r="LS390" s="405"/>
      <c r="LY390" s="83"/>
      <c r="MG390" s="405"/>
      <c r="MM390" s="83"/>
      <c r="MU390" s="405"/>
      <c r="NA390" s="83"/>
    </row>
    <row r="391">
      <c r="A391" s="380"/>
      <c r="B391" s="380"/>
      <c r="C391" s="380"/>
      <c r="D391" s="380"/>
      <c r="E391" s="380"/>
      <c r="F391" s="380"/>
      <c r="G391" s="380"/>
      <c r="H391" s="380"/>
      <c r="I391" s="403"/>
      <c r="J391" s="380"/>
      <c r="K391" s="380"/>
      <c r="L391" s="380"/>
      <c r="M391" s="380"/>
      <c r="N391" s="380"/>
      <c r="O391" s="404"/>
      <c r="P391" s="380"/>
      <c r="Q391" s="380"/>
      <c r="R391" s="380"/>
      <c r="S391" s="380"/>
      <c r="T391" s="380"/>
      <c r="U391" s="380"/>
      <c r="V391" s="380"/>
      <c r="W391" s="403"/>
      <c r="X391" s="380"/>
      <c r="Y391" s="380"/>
      <c r="Z391" s="380"/>
      <c r="AA391" s="380"/>
      <c r="AB391" s="380"/>
      <c r="AC391" s="404"/>
      <c r="AD391" s="380"/>
      <c r="AE391" s="380"/>
      <c r="AF391" s="380"/>
      <c r="AG391" s="380"/>
      <c r="AH391" s="380"/>
      <c r="AI391" s="380"/>
      <c r="AJ391" s="380"/>
      <c r="AK391" s="403"/>
      <c r="AL391" s="380"/>
      <c r="AM391" s="380"/>
      <c r="AN391" s="380"/>
      <c r="AO391" s="380"/>
      <c r="AP391" s="380"/>
      <c r="AQ391" s="404"/>
      <c r="AR391" s="380"/>
      <c r="AS391" s="380"/>
      <c r="AT391" s="380"/>
      <c r="AU391" s="380"/>
      <c r="AV391" s="380"/>
      <c r="AW391" s="380"/>
      <c r="AX391" s="380"/>
      <c r="AY391" s="403"/>
      <c r="AZ391" s="380"/>
      <c r="BA391" s="380"/>
      <c r="BB391" s="380"/>
      <c r="BC391" s="380"/>
      <c r="BD391" s="380"/>
      <c r="BE391" s="404"/>
      <c r="BF391" s="380"/>
      <c r="BG391" s="380"/>
      <c r="BH391" s="380"/>
      <c r="BI391" s="380"/>
      <c r="BJ391" s="380"/>
      <c r="BK391" s="380"/>
      <c r="BL391" s="380"/>
      <c r="BM391" s="403"/>
      <c r="BS391" s="83"/>
      <c r="CA391" s="405"/>
      <c r="CG391" s="83"/>
      <c r="CO391" s="405"/>
      <c r="CU391" s="83"/>
      <c r="DC391" s="405"/>
      <c r="DI391" s="83"/>
      <c r="DQ391" s="405"/>
      <c r="DW391" s="83"/>
      <c r="EE391" s="405"/>
      <c r="EK391" s="83"/>
      <c r="ES391" s="405"/>
      <c r="EY391" s="83"/>
      <c r="FG391" s="405"/>
      <c r="FM391" s="83"/>
      <c r="FU391" s="405"/>
      <c r="GA391" s="83"/>
      <c r="GI391" s="405"/>
      <c r="GO391" s="83"/>
      <c r="GW391" s="405"/>
      <c r="HC391" s="83"/>
      <c r="HK391" s="405"/>
      <c r="HQ391" s="83"/>
      <c r="HY391" s="405"/>
      <c r="IE391" s="83"/>
      <c r="IM391" s="405"/>
      <c r="IS391" s="83"/>
      <c r="JA391" s="405"/>
      <c r="JG391" s="83"/>
      <c r="JO391" s="405"/>
      <c r="JU391" s="83"/>
      <c r="KC391" s="405"/>
      <c r="KI391" s="83"/>
      <c r="KQ391" s="405"/>
      <c r="KW391" s="83"/>
      <c r="LE391" s="405"/>
      <c r="LK391" s="83"/>
      <c r="LS391" s="405"/>
      <c r="LY391" s="83"/>
      <c r="MG391" s="405"/>
      <c r="MM391" s="83"/>
      <c r="MU391" s="405"/>
      <c r="NA391" s="83"/>
    </row>
    <row r="392">
      <c r="A392" s="380"/>
      <c r="B392" s="380"/>
      <c r="C392" s="380"/>
      <c r="D392" s="380"/>
      <c r="E392" s="380"/>
      <c r="F392" s="380"/>
      <c r="G392" s="380"/>
      <c r="H392" s="380"/>
      <c r="I392" s="403"/>
      <c r="J392" s="380"/>
      <c r="K392" s="380"/>
      <c r="L392" s="380"/>
      <c r="M392" s="380"/>
      <c r="N392" s="380"/>
      <c r="O392" s="404"/>
      <c r="P392" s="380"/>
      <c r="Q392" s="380"/>
      <c r="R392" s="380"/>
      <c r="S392" s="380"/>
      <c r="T392" s="380"/>
      <c r="U392" s="380"/>
      <c r="V392" s="380"/>
      <c r="W392" s="403"/>
      <c r="X392" s="380"/>
      <c r="Y392" s="380"/>
      <c r="Z392" s="380"/>
      <c r="AA392" s="380"/>
      <c r="AB392" s="380"/>
      <c r="AC392" s="404"/>
      <c r="AD392" s="380"/>
      <c r="AE392" s="380"/>
      <c r="AF392" s="380"/>
      <c r="AG392" s="380"/>
      <c r="AH392" s="380"/>
      <c r="AI392" s="380"/>
      <c r="AJ392" s="380"/>
      <c r="AK392" s="403"/>
      <c r="AL392" s="380"/>
      <c r="AM392" s="380"/>
      <c r="AN392" s="380"/>
      <c r="AO392" s="380"/>
      <c r="AP392" s="380"/>
      <c r="AQ392" s="404"/>
      <c r="AR392" s="380"/>
      <c r="AS392" s="380"/>
      <c r="AT392" s="380"/>
      <c r="AU392" s="380"/>
      <c r="AV392" s="380"/>
      <c r="AW392" s="380"/>
      <c r="AX392" s="380"/>
      <c r="AY392" s="403"/>
      <c r="AZ392" s="380"/>
      <c r="BA392" s="380"/>
      <c r="BB392" s="380"/>
      <c r="BC392" s="380"/>
      <c r="BD392" s="380"/>
      <c r="BE392" s="404"/>
      <c r="BF392" s="380"/>
      <c r="BG392" s="380"/>
      <c r="BH392" s="380"/>
      <c r="BI392" s="380"/>
      <c r="BJ392" s="380"/>
      <c r="BK392" s="380"/>
      <c r="BL392" s="380"/>
      <c r="BM392" s="403"/>
      <c r="BS392" s="83"/>
      <c r="CA392" s="405"/>
      <c r="CG392" s="83"/>
      <c r="CO392" s="405"/>
      <c r="CU392" s="83"/>
      <c r="DC392" s="405"/>
      <c r="DI392" s="83"/>
      <c r="DQ392" s="405"/>
      <c r="DW392" s="83"/>
      <c r="EE392" s="405"/>
      <c r="EK392" s="83"/>
      <c r="ES392" s="405"/>
      <c r="EY392" s="83"/>
      <c r="FG392" s="405"/>
      <c r="FM392" s="83"/>
      <c r="FU392" s="405"/>
      <c r="GA392" s="83"/>
      <c r="GI392" s="405"/>
      <c r="GO392" s="83"/>
      <c r="GW392" s="405"/>
      <c r="HC392" s="83"/>
      <c r="HK392" s="405"/>
      <c r="HQ392" s="83"/>
      <c r="HY392" s="405"/>
      <c r="IE392" s="83"/>
      <c r="IM392" s="405"/>
      <c r="IS392" s="83"/>
      <c r="JA392" s="405"/>
      <c r="JG392" s="83"/>
      <c r="JO392" s="405"/>
      <c r="JU392" s="83"/>
      <c r="KC392" s="405"/>
      <c r="KI392" s="83"/>
      <c r="KQ392" s="405"/>
      <c r="KW392" s="83"/>
      <c r="LE392" s="405"/>
      <c r="LK392" s="83"/>
      <c r="LS392" s="405"/>
      <c r="LY392" s="83"/>
      <c r="MG392" s="405"/>
      <c r="MM392" s="83"/>
      <c r="MU392" s="405"/>
      <c r="NA392" s="83"/>
    </row>
    <row r="393">
      <c r="A393" s="380"/>
      <c r="B393" s="380"/>
      <c r="C393" s="380"/>
      <c r="D393" s="380"/>
      <c r="E393" s="380"/>
      <c r="F393" s="380"/>
      <c r="G393" s="380"/>
      <c r="H393" s="380"/>
      <c r="I393" s="403"/>
      <c r="J393" s="380"/>
      <c r="K393" s="380"/>
      <c r="L393" s="380"/>
      <c r="M393" s="380"/>
      <c r="N393" s="380"/>
      <c r="O393" s="404"/>
      <c r="P393" s="380"/>
      <c r="Q393" s="380"/>
      <c r="R393" s="380"/>
      <c r="S393" s="380"/>
      <c r="T393" s="380"/>
      <c r="U393" s="380"/>
      <c r="V393" s="380"/>
      <c r="W393" s="403"/>
      <c r="X393" s="380"/>
      <c r="Y393" s="380"/>
      <c r="Z393" s="380"/>
      <c r="AA393" s="380"/>
      <c r="AB393" s="380"/>
      <c r="AC393" s="404"/>
      <c r="AD393" s="380"/>
      <c r="AE393" s="380"/>
      <c r="AF393" s="380"/>
      <c r="AG393" s="380"/>
      <c r="AH393" s="380"/>
      <c r="AI393" s="380"/>
      <c r="AJ393" s="380"/>
      <c r="AK393" s="403"/>
      <c r="AL393" s="380"/>
      <c r="AM393" s="380"/>
      <c r="AN393" s="380"/>
      <c r="AO393" s="380"/>
      <c r="AP393" s="380"/>
      <c r="AQ393" s="404"/>
      <c r="AR393" s="380"/>
      <c r="AS393" s="380"/>
      <c r="AT393" s="380"/>
      <c r="AU393" s="380"/>
      <c r="AV393" s="380"/>
      <c r="AW393" s="380"/>
      <c r="AX393" s="380"/>
      <c r="AY393" s="403"/>
      <c r="AZ393" s="380"/>
      <c r="BA393" s="380"/>
      <c r="BB393" s="380"/>
      <c r="BC393" s="380"/>
      <c r="BD393" s="380"/>
      <c r="BE393" s="404"/>
      <c r="BF393" s="380"/>
      <c r="BG393" s="380"/>
      <c r="BH393" s="380"/>
      <c r="BI393" s="380"/>
      <c r="BJ393" s="380"/>
      <c r="BK393" s="380"/>
      <c r="BL393" s="380"/>
      <c r="BM393" s="403"/>
      <c r="BS393" s="83"/>
      <c r="CA393" s="405"/>
      <c r="CG393" s="83"/>
      <c r="CO393" s="405"/>
      <c r="CU393" s="83"/>
      <c r="DC393" s="405"/>
      <c r="DI393" s="83"/>
      <c r="DQ393" s="405"/>
      <c r="DW393" s="83"/>
      <c r="EE393" s="405"/>
      <c r="EK393" s="83"/>
      <c r="ES393" s="405"/>
      <c r="EY393" s="83"/>
      <c r="FG393" s="405"/>
      <c r="FM393" s="83"/>
      <c r="FU393" s="405"/>
      <c r="GA393" s="83"/>
      <c r="GI393" s="405"/>
      <c r="GO393" s="83"/>
      <c r="GW393" s="405"/>
      <c r="HC393" s="83"/>
      <c r="HK393" s="405"/>
      <c r="HQ393" s="83"/>
      <c r="HY393" s="405"/>
      <c r="IE393" s="83"/>
      <c r="IM393" s="405"/>
      <c r="IS393" s="83"/>
      <c r="JA393" s="405"/>
      <c r="JG393" s="83"/>
      <c r="JO393" s="405"/>
      <c r="JU393" s="83"/>
      <c r="KC393" s="405"/>
      <c r="KI393" s="83"/>
      <c r="KQ393" s="405"/>
      <c r="KW393" s="83"/>
      <c r="LE393" s="405"/>
      <c r="LK393" s="83"/>
      <c r="LS393" s="405"/>
      <c r="LY393" s="83"/>
      <c r="MG393" s="405"/>
      <c r="MM393" s="83"/>
      <c r="MU393" s="405"/>
      <c r="NA393" s="83"/>
    </row>
    <row r="394">
      <c r="A394" s="380"/>
      <c r="B394" s="380"/>
      <c r="C394" s="380"/>
      <c r="D394" s="380"/>
      <c r="E394" s="380"/>
      <c r="F394" s="380"/>
      <c r="G394" s="380"/>
      <c r="H394" s="380"/>
      <c r="I394" s="403"/>
      <c r="J394" s="380"/>
      <c r="K394" s="380"/>
      <c r="L394" s="380"/>
      <c r="M394" s="380"/>
      <c r="N394" s="380"/>
      <c r="O394" s="404"/>
      <c r="P394" s="380"/>
      <c r="Q394" s="380"/>
      <c r="R394" s="380"/>
      <c r="S394" s="380"/>
      <c r="T394" s="380"/>
      <c r="U394" s="380"/>
      <c r="V394" s="380"/>
      <c r="W394" s="403"/>
      <c r="X394" s="380"/>
      <c r="Y394" s="380"/>
      <c r="Z394" s="380"/>
      <c r="AA394" s="380"/>
      <c r="AB394" s="380"/>
      <c r="AC394" s="404"/>
      <c r="AD394" s="380"/>
      <c r="AE394" s="380"/>
      <c r="AF394" s="380"/>
      <c r="AG394" s="380"/>
      <c r="AH394" s="380"/>
      <c r="AI394" s="380"/>
      <c r="AJ394" s="380"/>
      <c r="AK394" s="403"/>
      <c r="AL394" s="380"/>
      <c r="AM394" s="380"/>
      <c r="AN394" s="380"/>
      <c r="AO394" s="380"/>
      <c r="AP394" s="380"/>
      <c r="AQ394" s="404"/>
      <c r="AR394" s="380"/>
      <c r="AS394" s="380"/>
      <c r="AT394" s="380"/>
      <c r="AU394" s="380"/>
      <c r="AV394" s="380"/>
      <c r="AW394" s="380"/>
      <c r="AX394" s="380"/>
      <c r="AY394" s="403"/>
      <c r="AZ394" s="380"/>
      <c r="BA394" s="380"/>
      <c r="BB394" s="380"/>
      <c r="BC394" s="380"/>
      <c r="BD394" s="380"/>
      <c r="BE394" s="404"/>
      <c r="BF394" s="380"/>
      <c r="BG394" s="380"/>
      <c r="BH394" s="380"/>
      <c r="BI394" s="380"/>
      <c r="BJ394" s="380"/>
      <c r="BK394" s="380"/>
      <c r="BL394" s="380"/>
      <c r="BM394" s="403"/>
      <c r="BS394" s="83"/>
      <c r="CA394" s="405"/>
      <c r="CG394" s="83"/>
      <c r="CO394" s="405"/>
      <c r="CU394" s="83"/>
      <c r="DC394" s="405"/>
      <c r="DI394" s="83"/>
      <c r="DQ394" s="405"/>
      <c r="DW394" s="83"/>
      <c r="EE394" s="405"/>
      <c r="EK394" s="83"/>
      <c r="ES394" s="405"/>
      <c r="EY394" s="83"/>
      <c r="FG394" s="405"/>
      <c r="FM394" s="83"/>
      <c r="FU394" s="405"/>
      <c r="GA394" s="83"/>
      <c r="GI394" s="405"/>
      <c r="GO394" s="83"/>
      <c r="GW394" s="405"/>
      <c r="HC394" s="83"/>
      <c r="HK394" s="405"/>
      <c r="HQ394" s="83"/>
      <c r="HY394" s="405"/>
      <c r="IE394" s="83"/>
      <c r="IM394" s="405"/>
      <c r="IS394" s="83"/>
      <c r="JA394" s="405"/>
      <c r="JG394" s="83"/>
      <c r="JO394" s="405"/>
      <c r="JU394" s="83"/>
      <c r="KC394" s="405"/>
      <c r="KI394" s="83"/>
      <c r="KQ394" s="405"/>
      <c r="KW394" s="83"/>
      <c r="LE394" s="405"/>
      <c r="LK394" s="83"/>
      <c r="LS394" s="405"/>
      <c r="LY394" s="83"/>
      <c r="MG394" s="405"/>
      <c r="MM394" s="83"/>
      <c r="MU394" s="405"/>
      <c r="NA394" s="83"/>
    </row>
    <row r="395">
      <c r="A395" s="380"/>
      <c r="B395" s="380"/>
      <c r="C395" s="380"/>
      <c r="D395" s="380"/>
      <c r="E395" s="380"/>
      <c r="F395" s="380"/>
      <c r="G395" s="380"/>
      <c r="H395" s="380"/>
      <c r="I395" s="403"/>
      <c r="J395" s="380"/>
      <c r="K395" s="380"/>
      <c r="L395" s="380"/>
      <c r="M395" s="380"/>
      <c r="N395" s="380"/>
      <c r="O395" s="404"/>
      <c r="P395" s="380"/>
      <c r="Q395" s="380"/>
      <c r="R395" s="380"/>
      <c r="S395" s="380"/>
      <c r="T395" s="380"/>
      <c r="U395" s="380"/>
      <c r="V395" s="380"/>
      <c r="W395" s="403"/>
      <c r="X395" s="380"/>
      <c r="Y395" s="380"/>
      <c r="Z395" s="380"/>
      <c r="AA395" s="380"/>
      <c r="AB395" s="380"/>
      <c r="AC395" s="404"/>
      <c r="AD395" s="380"/>
      <c r="AE395" s="380"/>
      <c r="AF395" s="380"/>
      <c r="AG395" s="380"/>
      <c r="AH395" s="380"/>
      <c r="AI395" s="380"/>
      <c r="AJ395" s="380"/>
      <c r="AK395" s="403"/>
      <c r="AL395" s="380"/>
      <c r="AM395" s="380"/>
      <c r="AN395" s="380"/>
      <c r="AO395" s="380"/>
      <c r="AP395" s="380"/>
      <c r="AQ395" s="404"/>
      <c r="AR395" s="380"/>
      <c r="AS395" s="380"/>
      <c r="AT395" s="380"/>
      <c r="AU395" s="380"/>
      <c r="AV395" s="380"/>
      <c r="AW395" s="380"/>
      <c r="AX395" s="380"/>
      <c r="AY395" s="403"/>
      <c r="AZ395" s="380"/>
      <c r="BA395" s="380"/>
      <c r="BB395" s="380"/>
      <c r="BC395" s="380"/>
      <c r="BD395" s="380"/>
      <c r="BE395" s="404"/>
      <c r="BF395" s="380"/>
      <c r="BG395" s="380"/>
      <c r="BH395" s="380"/>
      <c r="BI395" s="380"/>
      <c r="BJ395" s="380"/>
      <c r="BK395" s="380"/>
      <c r="BL395" s="380"/>
      <c r="BM395" s="403"/>
      <c r="BS395" s="83"/>
      <c r="CA395" s="405"/>
      <c r="CG395" s="83"/>
      <c r="CO395" s="405"/>
      <c r="CU395" s="83"/>
      <c r="DC395" s="405"/>
      <c r="DI395" s="83"/>
      <c r="DQ395" s="405"/>
      <c r="DW395" s="83"/>
      <c r="EE395" s="405"/>
      <c r="EK395" s="83"/>
      <c r="ES395" s="405"/>
      <c r="EY395" s="83"/>
      <c r="FG395" s="405"/>
      <c r="FM395" s="83"/>
      <c r="FU395" s="405"/>
      <c r="GA395" s="83"/>
      <c r="GI395" s="405"/>
      <c r="GO395" s="83"/>
      <c r="GW395" s="405"/>
      <c r="HC395" s="83"/>
      <c r="HK395" s="405"/>
      <c r="HQ395" s="83"/>
      <c r="HY395" s="405"/>
      <c r="IE395" s="83"/>
      <c r="IM395" s="405"/>
      <c r="IS395" s="83"/>
      <c r="JA395" s="405"/>
      <c r="JG395" s="83"/>
      <c r="JO395" s="405"/>
      <c r="JU395" s="83"/>
      <c r="KC395" s="405"/>
      <c r="KI395" s="83"/>
      <c r="KQ395" s="405"/>
      <c r="KW395" s="83"/>
      <c r="LE395" s="405"/>
      <c r="LK395" s="83"/>
      <c r="LS395" s="405"/>
      <c r="LY395" s="83"/>
      <c r="MG395" s="405"/>
      <c r="MM395" s="83"/>
      <c r="MU395" s="405"/>
      <c r="NA395" s="83"/>
    </row>
    <row r="396">
      <c r="A396" s="380"/>
      <c r="B396" s="380"/>
      <c r="C396" s="380"/>
      <c r="D396" s="380"/>
      <c r="E396" s="380"/>
      <c r="F396" s="380"/>
      <c r="G396" s="380"/>
      <c r="H396" s="380"/>
      <c r="I396" s="403"/>
      <c r="J396" s="380"/>
      <c r="K396" s="380"/>
      <c r="L396" s="380"/>
      <c r="M396" s="380"/>
      <c r="N396" s="380"/>
      <c r="O396" s="404"/>
      <c r="P396" s="380"/>
      <c r="Q396" s="380"/>
      <c r="R396" s="380"/>
      <c r="S396" s="380"/>
      <c r="T396" s="380"/>
      <c r="U396" s="380"/>
      <c r="V396" s="380"/>
      <c r="W396" s="403"/>
      <c r="X396" s="380"/>
      <c r="Y396" s="380"/>
      <c r="Z396" s="380"/>
      <c r="AA396" s="380"/>
      <c r="AB396" s="380"/>
      <c r="AC396" s="404"/>
      <c r="AD396" s="380"/>
      <c r="AE396" s="380"/>
      <c r="AF396" s="380"/>
      <c r="AG396" s="380"/>
      <c r="AH396" s="380"/>
      <c r="AI396" s="380"/>
      <c r="AJ396" s="380"/>
      <c r="AK396" s="403"/>
      <c r="AL396" s="380"/>
      <c r="AM396" s="380"/>
      <c r="AN396" s="380"/>
      <c r="AO396" s="380"/>
      <c r="AP396" s="380"/>
      <c r="AQ396" s="404"/>
      <c r="AR396" s="380"/>
      <c r="AS396" s="380"/>
      <c r="AT396" s="380"/>
      <c r="AU396" s="380"/>
      <c r="AV396" s="380"/>
      <c r="AW396" s="380"/>
      <c r="AX396" s="380"/>
      <c r="AY396" s="403"/>
      <c r="AZ396" s="380"/>
      <c r="BA396" s="380"/>
      <c r="BB396" s="380"/>
      <c r="BC396" s="380"/>
      <c r="BD396" s="380"/>
      <c r="BE396" s="404"/>
      <c r="BF396" s="380"/>
      <c r="BG396" s="380"/>
      <c r="BH396" s="380"/>
      <c r="BI396" s="380"/>
      <c r="BJ396" s="380"/>
      <c r="BK396" s="380"/>
      <c r="BL396" s="380"/>
      <c r="BM396" s="403"/>
      <c r="BS396" s="83"/>
      <c r="CA396" s="405"/>
      <c r="CG396" s="83"/>
      <c r="CO396" s="405"/>
      <c r="CU396" s="83"/>
      <c r="DC396" s="405"/>
      <c r="DI396" s="83"/>
      <c r="DQ396" s="405"/>
      <c r="DW396" s="83"/>
      <c r="EE396" s="405"/>
      <c r="EK396" s="83"/>
      <c r="ES396" s="405"/>
      <c r="EY396" s="83"/>
      <c r="FG396" s="405"/>
      <c r="FM396" s="83"/>
      <c r="FU396" s="405"/>
      <c r="GA396" s="83"/>
      <c r="GI396" s="405"/>
      <c r="GO396" s="83"/>
      <c r="GW396" s="405"/>
      <c r="HC396" s="83"/>
      <c r="HK396" s="405"/>
      <c r="HQ396" s="83"/>
      <c r="HY396" s="405"/>
      <c r="IE396" s="83"/>
      <c r="IM396" s="405"/>
      <c r="IS396" s="83"/>
      <c r="JA396" s="405"/>
      <c r="JG396" s="83"/>
      <c r="JO396" s="405"/>
      <c r="JU396" s="83"/>
      <c r="KC396" s="405"/>
      <c r="KI396" s="83"/>
      <c r="KQ396" s="405"/>
      <c r="KW396" s="83"/>
      <c r="LE396" s="405"/>
      <c r="LK396" s="83"/>
      <c r="LS396" s="405"/>
      <c r="LY396" s="83"/>
      <c r="MG396" s="405"/>
      <c r="MM396" s="83"/>
      <c r="MU396" s="405"/>
      <c r="NA396" s="83"/>
    </row>
    <row r="397">
      <c r="A397" s="380"/>
      <c r="B397" s="380"/>
      <c r="C397" s="380"/>
      <c r="D397" s="380"/>
      <c r="E397" s="380"/>
      <c r="F397" s="380"/>
      <c r="G397" s="380"/>
      <c r="H397" s="380"/>
      <c r="I397" s="403"/>
      <c r="J397" s="380"/>
      <c r="K397" s="380"/>
      <c r="L397" s="380"/>
      <c r="M397" s="380"/>
      <c r="N397" s="380"/>
      <c r="O397" s="404"/>
      <c r="P397" s="380"/>
      <c r="Q397" s="380"/>
      <c r="R397" s="380"/>
      <c r="S397" s="380"/>
      <c r="T397" s="380"/>
      <c r="U397" s="380"/>
      <c r="V397" s="380"/>
      <c r="W397" s="403"/>
      <c r="X397" s="380"/>
      <c r="Y397" s="380"/>
      <c r="Z397" s="380"/>
      <c r="AA397" s="380"/>
      <c r="AB397" s="380"/>
      <c r="AC397" s="404"/>
      <c r="AD397" s="380"/>
      <c r="AE397" s="380"/>
      <c r="AF397" s="380"/>
      <c r="AG397" s="380"/>
      <c r="AH397" s="380"/>
      <c r="AI397" s="380"/>
      <c r="AJ397" s="380"/>
      <c r="AK397" s="403"/>
      <c r="AL397" s="380"/>
      <c r="AM397" s="380"/>
      <c r="AN397" s="380"/>
      <c r="AO397" s="380"/>
      <c r="AP397" s="380"/>
      <c r="AQ397" s="404"/>
      <c r="AR397" s="380"/>
      <c r="AS397" s="380"/>
      <c r="AT397" s="380"/>
      <c r="AU397" s="380"/>
      <c r="AV397" s="380"/>
      <c r="AW397" s="380"/>
      <c r="AX397" s="380"/>
      <c r="AY397" s="403"/>
      <c r="AZ397" s="380"/>
      <c r="BA397" s="380"/>
      <c r="BB397" s="380"/>
      <c r="BC397" s="380"/>
      <c r="BD397" s="380"/>
      <c r="BE397" s="404"/>
      <c r="BF397" s="380"/>
      <c r="BG397" s="380"/>
      <c r="BH397" s="380"/>
      <c r="BI397" s="380"/>
      <c r="BJ397" s="380"/>
      <c r="BK397" s="380"/>
      <c r="BL397" s="380"/>
      <c r="BM397" s="403"/>
      <c r="BS397" s="83"/>
      <c r="CA397" s="405"/>
      <c r="CG397" s="83"/>
      <c r="CO397" s="405"/>
      <c r="CU397" s="83"/>
      <c r="DC397" s="405"/>
      <c r="DI397" s="83"/>
      <c r="DQ397" s="405"/>
      <c r="DW397" s="83"/>
      <c r="EE397" s="405"/>
      <c r="EK397" s="83"/>
      <c r="ES397" s="405"/>
      <c r="EY397" s="83"/>
      <c r="FG397" s="405"/>
      <c r="FM397" s="83"/>
      <c r="FU397" s="405"/>
      <c r="GA397" s="83"/>
      <c r="GI397" s="405"/>
      <c r="GO397" s="83"/>
      <c r="GW397" s="405"/>
      <c r="HC397" s="83"/>
      <c r="HK397" s="405"/>
      <c r="HQ397" s="83"/>
      <c r="HY397" s="405"/>
      <c r="IE397" s="83"/>
      <c r="IM397" s="405"/>
      <c r="IS397" s="83"/>
      <c r="JA397" s="405"/>
      <c r="JG397" s="83"/>
      <c r="JO397" s="405"/>
      <c r="JU397" s="83"/>
      <c r="KC397" s="405"/>
      <c r="KI397" s="83"/>
      <c r="KQ397" s="405"/>
      <c r="KW397" s="83"/>
      <c r="LE397" s="405"/>
      <c r="LK397" s="83"/>
      <c r="LS397" s="405"/>
      <c r="LY397" s="83"/>
      <c r="MG397" s="405"/>
      <c r="MM397" s="83"/>
      <c r="MU397" s="405"/>
      <c r="NA397" s="83"/>
    </row>
    <row r="398">
      <c r="A398" s="380"/>
      <c r="B398" s="380"/>
      <c r="C398" s="380"/>
      <c r="D398" s="380"/>
      <c r="E398" s="380"/>
      <c r="F398" s="380"/>
      <c r="G398" s="380"/>
      <c r="H398" s="380"/>
      <c r="I398" s="403"/>
      <c r="J398" s="380"/>
      <c r="K398" s="380"/>
      <c r="L398" s="380"/>
      <c r="M398" s="380"/>
      <c r="N398" s="380"/>
      <c r="O398" s="404"/>
      <c r="P398" s="380"/>
      <c r="Q398" s="380"/>
      <c r="R398" s="380"/>
      <c r="S398" s="380"/>
      <c r="T398" s="380"/>
      <c r="U398" s="380"/>
      <c r="V398" s="380"/>
      <c r="W398" s="403"/>
      <c r="X398" s="380"/>
      <c r="Y398" s="380"/>
      <c r="Z398" s="380"/>
      <c r="AA398" s="380"/>
      <c r="AB398" s="380"/>
      <c r="AC398" s="404"/>
      <c r="AD398" s="380"/>
      <c r="AE398" s="380"/>
      <c r="AF398" s="380"/>
      <c r="AG398" s="380"/>
      <c r="AH398" s="380"/>
      <c r="AI398" s="380"/>
      <c r="AJ398" s="380"/>
      <c r="AK398" s="403"/>
      <c r="AL398" s="380"/>
      <c r="AM398" s="380"/>
      <c r="AN398" s="380"/>
      <c r="AO398" s="380"/>
      <c r="AP398" s="380"/>
      <c r="AQ398" s="404"/>
      <c r="AR398" s="380"/>
      <c r="AS398" s="380"/>
      <c r="AT398" s="380"/>
      <c r="AU398" s="380"/>
      <c r="AV398" s="380"/>
      <c r="AW398" s="380"/>
      <c r="AX398" s="380"/>
      <c r="AY398" s="403"/>
      <c r="AZ398" s="380"/>
      <c r="BA398" s="380"/>
      <c r="BB398" s="380"/>
      <c r="BC398" s="380"/>
      <c r="BD398" s="380"/>
      <c r="BE398" s="404"/>
      <c r="BF398" s="380"/>
      <c r="BG398" s="380"/>
      <c r="BH398" s="380"/>
      <c r="BI398" s="380"/>
      <c r="BJ398" s="380"/>
      <c r="BK398" s="380"/>
      <c r="BL398" s="380"/>
      <c r="BM398" s="403"/>
      <c r="BS398" s="83"/>
      <c r="CA398" s="405"/>
      <c r="CG398" s="83"/>
      <c r="CO398" s="405"/>
      <c r="CU398" s="83"/>
      <c r="DC398" s="405"/>
      <c r="DI398" s="83"/>
      <c r="DQ398" s="405"/>
      <c r="DW398" s="83"/>
      <c r="EE398" s="405"/>
      <c r="EK398" s="83"/>
      <c r="ES398" s="405"/>
      <c r="EY398" s="83"/>
      <c r="FG398" s="405"/>
      <c r="FM398" s="83"/>
      <c r="FU398" s="405"/>
      <c r="GA398" s="83"/>
      <c r="GI398" s="405"/>
      <c r="GO398" s="83"/>
      <c r="GW398" s="405"/>
      <c r="HC398" s="83"/>
      <c r="HK398" s="405"/>
      <c r="HQ398" s="83"/>
      <c r="HY398" s="405"/>
      <c r="IE398" s="83"/>
      <c r="IM398" s="405"/>
      <c r="IS398" s="83"/>
      <c r="JA398" s="405"/>
      <c r="JG398" s="83"/>
      <c r="JO398" s="405"/>
      <c r="JU398" s="83"/>
      <c r="KC398" s="405"/>
      <c r="KI398" s="83"/>
      <c r="KQ398" s="405"/>
      <c r="KW398" s="83"/>
      <c r="LE398" s="405"/>
      <c r="LK398" s="83"/>
      <c r="LS398" s="405"/>
      <c r="LY398" s="83"/>
      <c r="MG398" s="405"/>
      <c r="MM398" s="83"/>
      <c r="MU398" s="405"/>
      <c r="NA398" s="83"/>
    </row>
    <row r="399">
      <c r="A399" s="380"/>
      <c r="B399" s="380"/>
      <c r="C399" s="380"/>
      <c r="D399" s="380"/>
      <c r="E399" s="380"/>
      <c r="F399" s="380"/>
      <c r="G399" s="380"/>
      <c r="H399" s="380"/>
      <c r="I399" s="403"/>
      <c r="J399" s="380"/>
      <c r="K399" s="380"/>
      <c r="L399" s="380"/>
      <c r="M399" s="380"/>
      <c r="N399" s="380"/>
      <c r="O399" s="404"/>
      <c r="P399" s="380"/>
      <c r="Q399" s="380"/>
      <c r="R399" s="380"/>
      <c r="S399" s="380"/>
      <c r="T399" s="380"/>
      <c r="U399" s="380"/>
      <c r="V399" s="380"/>
      <c r="W399" s="403"/>
      <c r="X399" s="380"/>
      <c r="Y399" s="380"/>
      <c r="Z399" s="380"/>
      <c r="AA399" s="380"/>
      <c r="AB399" s="380"/>
      <c r="AC399" s="404"/>
      <c r="AD399" s="380"/>
      <c r="AE399" s="380"/>
      <c r="AF399" s="380"/>
      <c r="AG399" s="380"/>
      <c r="AH399" s="380"/>
      <c r="AI399" s="380"/>
      <c r="AJ399" s="380"/>
      <c r="AK399" s="403"/>
      <c r="AL399" s="380"/>
      <c r="AM399" s="380"/>
      <c r="AN399" s="380"/>
      <c r="AO399" s="380"/>
      <c r="AP399" s="380"/>
      <c r="AQ399" s="404"/>
      <c r="AR399" s="380"/>
      <c r="AS399" s="380"/>
      <c r="AT399" s="380"/>
      <c r="AU399" s="380"/>
      <c r="AV399" s="380"/>
      <c r="AW399" s="380"/>
      <c r="AX399" s="380"/>
      <c r="AY399" s="403"/>
      <c r="AZ399" s="380"/>
      <c r="BA399" s="380"/>
      <c r="BB399" s="380"/>
      <c r="BC399" s="380"/>
      <c r="BD399" s="380"/>
      <c r="BE399" s="404"/>
      <c r="BF399" s="380"/>
      <c r="BG399" s="380"/>
      <c r="BH399" s="380"/>
      <c r="BI399" s="380"/>
      <c r="BJ399" s="380"/>
      <c r="BK399" s="380"/>
      <c r="BL399" s="380"/>
      <c r="BM399" s="403"/>
      <c r="BS399" s="83"/>
      <c r="CA399" s="405"/>
      <c r="CG399" s="83"/>
      <c r="CO399" s="405"/>
      <c r="CU399" s="83"/>
      <c r="DC399" s="405"/>
      <c r="DI399" s="83"/>
      <c r="DQ399" s="405"/>
      <c r="DW399" s="83"/>
      <c r="EE399" s="405"/>
      <c r="EK399" s="83"/>
      <c r="ES399" s="405"/>
      <c r="EY399" s="83"/>
      <c r="FG399" s="405"/>
      <c r="FM399" s="83"/>
      <c r="FU399" s="405"/>
      <c r="GA399" s="83"/>
      <c r="GI399" s="405"/>
      <c r="GO399" s="83"/>
      <c r="GW399" s="405"/>
      <c r="HC399" s="83"/>
      <c r="HK399" s="405"/>
      <c r="HQ399" s="83"/>
      <c r="HY399" s="405"/>
      <c r="IE399" s="83"/>
      <c r="IM399" s="405"/>
      <c r="IS399" s="83"/>
      <c r="JA399" s="405"/>
      <c r="JG399" s="83"/>
      <c r="JO399" s="405"/>
      <c r="JU399" s="83"/>
      <c r="KC399" s="405"/>
      <c r="KI399" s="83"/>
      <c r="KQ399" s="405"/>
      <c r="KW399" s="83"/>
      <c r="LE399" s="405"/>
      <c r="LK399" s="83"/>
      <c r="LS399" s="405"/>
      <c r="LY399" s="83"/>
      <c r="MG399" s="405"/>
      <c r="MM399" s="83"/>
      <c r="MU399" s="405"/>
      <c r="NA399" s="83"/>
    </row>
    <row r="400">
      <c r="A400" s="380"/>
      <c r="B400" s="380"/>
      <c r="C400" s="380"/>
      <c r="D400" s="380"/>
      <c r="E400" s="380"/>
      <c r="F400" s="380"/>
      <c r="G400" s="380"/>
      <c r="H400" s="380"/>
      <c r="I400" s="403"/>
      <c r="J400" s="380"/>
      <c r="K400" s="380"/>
      <c r="L400" s="380"/>
      <c r="M400" s="380"/>
      <c r="N400" s="380"/>
      <c r="O400" s="404"/>
      <c r="P400" s="380"/>
      <c r="Q400" s="380"/>
      <c r="R400" s="380"/>
      <c r="S400" s="380"/>
      <c r="T400" s="380"/>
      <c r="U400" s="380"/>
      <c r="V400" s="380"/>
      <c r="W400" s="403"/>
      <c r="X400" s="380"/>
      <c r="Y400" s="380"/>
      <c r="Z400" s="380"/>
      <c r="AA400" s="380"/>
      <c r="AB400" s="380"/>
      <c r="AC400" s="404"/>
      <c r="AD400" s="380"/>
      <c r="AE400" s="380"/>
      <c r="AF400" s="380"/>
      <c r="AG400" s="380"/>
      <c r="AH400" s="380"/>
      <c r="AI400" s="380"/>
      <c r="AJ400" s="380"/>
      <c r="AK400" s="403"/>
      <c r="AL400" s="380"/>
      <c r="AM400" s="380"/>
      <c r="AN400" s="380"/>
      <c r="AO400" s="380"/>
      <c r="AP400" s="380"/>
      <c r="AQ400" s="404"/>
      <c r="AR400" s="380"/>
      <c r="AS400" s="380"/>
      <c r="AT400" s="380"/>
      <c r="AU400" s="380"/>
      <c r="AV400" s="380"/>
      <c r="AW400" s="380"/>
      <c r="AX400" s="380"/>
      <c r="AY400" s="403"/>
      <c r="AZ400" s="380"/>
      <c r="BA400" s="380"/>
      <c r="BB400" s="380"/>
      <c r="BC400" s="380"/>
      <c r="BD400" s="380"/>
      <c r="BE400" s="404"/>
      <c r="BF400" s="380"/>
      <c r="BG400" s="380"/>
      <c r="BH400" s="380"/>
      <c r="BI400" s="380"/>
      <c r="BJ400" s="380"/>
      <c r="BK400" s="380"/>
      <c r="BL400" s="380"/>
      <c r="BM400" s="403"/>
      <c r="BS400" s="83"/>
      <c r="CA400" s="405"/>
      <c r="CG400" s="83"/>
      <c r="CO400" s="405"/>
      <c r="CU400" s="83"/>
      <c r="DC400" s="405"/>
      <c r="DI400" s="83"/>
      <c r="DQ400" s="405"/>
      <c r="DW400" s="83"/>
      <c r="EE400" s="405"/>
      <c r="EK400" s="83"/>
      <c r="ES400" s="405"/>
      <c r="EY400" s="83"/>
      <c r="FG400" s="405"/>
      <c r="FM400" s="83"/>
      <c r="FU400" s="405"/>
      <c r="GA400" s="83"/>
      <c r="GI400" s="405"/>
      <c r="GO400" s="83"/>
      <c r="GW400" s="405"/>
      <c r="HC400" s="83"/>
      <c r="HK400" s="405"/>
      <c r="HQ400" s="83"/>
      <c r="HY400" s="405"/>
      <c r="IE400" s="83"/>
      <c r="IM400" s="405"/>
      <c r="IS400" s="83"/>
      <c r="JA400" s="405"/>
      <c r="JG400" s="83"/>
      <c r="JO400" s="405"/>
      <c r="JU400" s="83"/>
      <c r="KC400" s="405"/>
      <c r="KI400" s="83"/>
      <c r="KQ400" s="405"/>
      <c r="KW400" s="83"/>
      <c r="LE400" s="405"/>
      <c r="LK400" s="83"/>
      <c r="LS400" s="405"/>
      <c r="LY400" s="83"/>
      <c r="MG400" s="405"/>
      <c r="MM400" s="83"/>
      <c r="MU400" s="405"/>
      <c r="NA400" s="83"/>
    </row>
    <row r="401">
      <c r="A401" s="380"/>
      <c r="B401" s="380"/>
      <c r="C401" s="380"/>
      <c r="D401" s="380"/>
      <c r="E401" s="380"/>
      <c r="F401" s="380"/>
      <c r="G401" s="380"/>
      <c r="H401" s="380"/>
      <c r="I401" s="403"/>
      <c r="J401" s="380"/>
      <c r="K401" s="380"/>
      <c r="L401" s="380"/>
      <c r="M401" s="380"/>
      <c r="N401" s="380"/>
      <c r="O401" s="404"/>
      <c r="P401" s="380"/>
      <c r="Q401" s="380"/>
      <c r="R401" s="380"/>
      <c r="S401" s="380"/>
      <c r="T401" s="380"/>
      <c r="U401" s="380"/>
      <c r="V401" s="380"/>
      <c r="W401" s="403"/>
      <c r="X401" s="380"/>
      <c r="Y401" s="380"/>
      <c r="Z401" s="380"/>
      <c r="AA401" s="380"/>
      <c r="AB401" s="380"/>
      <c r="AC401" s="404"/>
      <c r="AD401" s="380"/>
      <c r="AE401" s="380"/>
      <c r="AF401" s="380"/>
      <c r="AG401" s="380"/>
      <c r="AH401" s="380"/>
      <c r="AI401" s="380"/>
      <c r="AJ401" s="380"/>
      <c r="AK401" s="403"/>
      <c r="AL401" s="380"/>
      <c r="AM401" s="380"/>
      <c r="AN401" s="380"/>
      <c r="AO401" s="380"/>
      <c r="AP401" s="380"/>
      <c r="AQ401" s="404"/>
      <c r="AR401" s="380"/>
      <c r="AS401" s="380"/>
      <c r="AT401" s="380"/>
      <c r="AU401" s="380"/>
      <c r="AV401" s="380"/>
      <c r="AW401" s="380"/>
      <c r="AX401" s="380"/>
      <c r="AY401" s="403"/>
      <c r="AZ401" s="380"/>
      <c r="BA401" s="380"/>
      <c r="BB401" s="380"/>
      <c r="BC401" s="380"/>
      <c r="BD401" s="380"/>
      <c r="BE401" s="404"/>
      <c r="BF401" s="380"/>
      <c r="BG401" s="380"/>
      <c r="BH401" s="380"/>
      <c r="BI401" s="380"/>
      <c r="BJ401" s="380"/>
      <c r="BK401" s="380"/>
      <c r="BL401" s="380"/>
      <c r="BM401" s="403"/>
      <c r="BS401" s="83"/>
      <c r="CA401" s="405"/>
      <c r="CG401" s="83"/>
      <c r="CO401" s="405"/>
      <c r="CU401" s="83"/>
      <c r="DC401" s="405"/>
      <c r="DI401" s="83"/>
      <c r="DQ401" s="405"/>
      <c r="DW401" s="83"/>
      <c r="EE401" s="405"/>
      <c r="EK401" s="83"/>
      <c r="ES401" s="405"/>
      <c r="EY401" s="83"/>
      <c r="FG401" s="405"/>
      <c r="FM401" s="83"/>
      <c r="FU401" s="405"/>
      <c r="GA401" s="83"/>
      <c r="GI401" s="405"/>
      <c r="GO401" s="83"/>
      <c r="GW401" s="405"/>
      <c r="HC401" s="83"/>
      <c r="HK401" s="405"/>
      <c r="HQ401" s="83"/>
      <c r="HY401" s="405"/>
      <c r="IE401" s="83"/>
      <c r="IM401" s="405"/>
      <c r="IS401" s="83"/>
      <c r="JA401" s="405"/>
      <c r="JG401" s="83"/>
      <c r="JO401" s="405"/>
      <c r="JU401" s="83"/>
      <c r="KC401" s="405"/>
      <c r="KI401" s="83"/>
      <c r="KQ401" s="405"/>
      <c r="KW401" s="83"/>
      <c r="LE401" s="405"/>
      <c r="LK401" s="83"/>
      <c r="LS401" s="405"/>
      <c r="LY401" s="83"/>
      <c r="MG401" s="405"/>
      <c r="MM401" s="83"/>
      <c r="MU401" s="405"/>
      <c r="NA401" s="83"/>
    </row>
    <row r="402">
      <c r="A402" s="380"/>
      <c r="B402" s="380"/>
      <c r="C402" s="380"/>
      <c r="D402" s="380"/>
      <c r="E402" s="380"/>
      <c r="F402" s="380"/>
      <c r="G402" s="380"/>
      <c r="H402" s="380"/>
      <c r="I402" s="403"/>
      <c r="J402" s="380"/>
      <c r="K402" s="380"/>
      <c r="L402" s="380"/>
      <c r="M402" s="380"/>
      <c r="N402" s="380"/>
      <c r="O402" s="404"/>
      <c r="P402" s="380"/>
      <c r="Q402" s="380"/>
      <c r="R402" s="380"/>
      <c r="S402" s="380"/>
      <c r="T402" s="380"/>
      <c r="U402" s="380"/>
      <c r="V402" s="380"/>
      <c r="W402" s="403"/>
      <c r="X402" s="380"/>
      <c r="Y402" s="380"/>
      <c r="Z402" s="380"/>
      <c r="AA402" s="380"/>
      <c r="AB402" s="380"/>
      <c r="AC402" s="404"/>
      <c r="AD402" s="380"/>
      <c r="AE402" s="380"/>
      <c r="AF402" s="380"/>
      <c r="AG402" s="380"/>
      <c r="AH402" s="380"/>
      <c r="AI402" s="380"/>
      <c r="AJ402" s="380"/>
      <c r="AK402" s="403"/>
      <c r="AL402" s="380"/>
      <c r="AM402" s="380"/>
      <c r="AN402" s="380"/>
      <c r="AO402" s="380"/>
      <c r="AP402" s="380"/>
      <c r="AQ402" s="404"/>
      <c r="AR402" s="380"/>
      <c r="AS402" s="380"/>
      <c r="AT402" s="380"/>
      <c r="AU402" s="380"/>
      <c r="AV402" s="380"/>
      <c r="AW402" s="380"/>
      <c r="AX402" s="380"/>
      <c r="AY402" s="403"/>
      <c r="AZ402" s="380"/>
      <c r="BA402" s="380"/>
      <c r="BB402" s="380"/>
      <c r="BC402" s="380"/>
      <c r="BD402" s="380"/>
      <c r="BE402" s="404"/>
      <c r="BF402" s="380"/>
      <c r="BG402" s="380"/>
      <c r="BH402" s="380"/>
      <c r="BI402" s="380"/>
      <c r="BJ402" s="380"/>
      <c r="BK402" s="380"/>
      <c r="BL402" s="380"/>
      <c r="BM402" s="403"/>
      <c r="BS402" s="83"/>
      <c r="CA402" s="405"/>
      <c r="CG402" s="83"/>
      <c r="CO402" s="405"/>
      <c r="CU402" s="83"/>
      <c r="DC402" s="405"/>
      <c r="DI402" s="83"/>
      <c r="DQ402" s="405"/>
      <c r="DW402" s="83"/>
      <c r="EE402" s="405"/>
      <c r="EK402" s="83"/>
      <c r="ES402" s="405"/>
      <c r="EY402" s="83"/>
      <c r="FG402" s="405"/>
      <c r="FM402" s="83"/>
      <c r="FU402" s="405"/>
      <c r="GA402" s="83"/>
      <c r="GI402" s="405"/>
      <c r="GO402" s="83"/>
      <c r="GW402" s="405"/>
      <c r="HC402" s="83"/>
      <c r="HK402" s="405"/>
      <c r="HQ402" s="83"/>
      <c r="HY402" s="405"/>
      <c r="IE402" s="83"/>
      <c r="IM402" s="405"/>
      <c r="IS402" s="83"/>
      <c r="JA402" s="405"/>
      <c r="JG402" s="83"/>
      <c r="JO402" s="405"/>
      <c r="JU402" s="83"/>
      <c r="KC402" s="405"/>
      <c r="KI402" s="83"/>
      <c r="KQ402" s="405"/>
      <c r="KW402" s="83"/>
      <c r="LE402" s="405"/>
      <c r="LK402" s="83"/>
      <c r="LS402" s="405"/>
      <c r="LY402" s="83"/>
      <c r="MG402" s="405"/>
      <c r="MM402" s="83"/>
      <c r="MU402" s="405"/>
      <c r="NA402" s="83"/>
    </row>
    <row r="403">
      <c r="A403" s="380"/>
      <c r="B403" s="380"/>
      <c r="C403" s="380"/>
      <c r="D403" s="380"/>
      <c r="E403" s="380"/>
      <c r="F403" s="380"/>
      <c r="G403" s="380"/>
      <c r="H403" s="380"/>
      <c r="I403" s="403"/>
      <c r="J403" s="380"/>
      <c r="K403" s="380"/>
      <c r="L403" s="380"/>
      <c r="M403" s="380"/>
      <c r="N403" s="380"/>
      <c r="O403" s="404"/>
      <c r="P403" s="380"/>
      <c r="Q403" s="380"/>
      <c r="R403" s="380"/>
      <c r="S403" s="380"/>
      <c r="T403" s="380"/>
      <c r="U403" s="380"/>
      <c r="V403" s="380"/>
      <c r="W403" s="403"/>
      <c r="X403" s="380"/>
      <c r="Y403" s="380"/>
      <c r="Z403" s="380"/>
      <c r="AA403" s="380"/>
      <c r="AB403" s="380"/>
      <c r="AC403" s="404"/>
      <c r="AD403" s="380"/>
      <c r="AE403" s="380"/>
      <c r="AF403" s="380"/>
      <c r="AG403" s="380"/>
      <c r="AH403" s="380"/>
      <c r="AI403" s="380"/>
      <c r="AJ403" s="380"/>
      <c r="AK403" s="403"/>
      <c r="AL403" s="380"/>
      <c r="AM403" s="380"/>
      <c r="AN403" s="380"/>
      <c r="AO403" s="380"/>
      <c r="AP403" s="380"/>
      <c r="AQ403" s="404"/>
      <c r="AR403" s="380"/>
      <c r="AS403" s="380"/>
      <c r="AT403" s="380"/>
      <c r="AU403" s="380"/>
      <c r="AV403" s="380"/>
      <c r="AW403" s="380"/>
      <c r="AX403" s="380"/>
      <c r="AY403" s="403"/>
      <c r="AZ403" s="380"/>
      <c r="BA403" s="380"/>
      <c r="BB403" s="380"/>
      <c r="BC403" s="380"/>
      <c r="BD403" s="380"/>
      <c r="BE403" s="404"/>
      <c r="BF403" s="380"/>
      <c r="BG403" s="380"/>
      <c r="BH403" s="380"/>
      <c r="BI403" s="380"/>
      <c r="BJ403" s="380"/>
      <c r="BK403" s="380"/>
      <c r="BL403" s="380"/>
      <c r="BM403" s="403"/>
      <c r="BS403" s="83"/>
      <c r="CA403" s="405"/>
      <c r="CG403" s="83"/>
      <c r="CO403" s="405"/>
      <c r="CU403" s="83"/>
      <c r="DC403" s="405"/>
      <c r="DI403" s="83"/>
      <c r="DQ403" s="405"/>
      <c r="DW403" s="83"/>
      <c r="EE403" s="405"/>
      <c r="EK403" s="83"/>
      <c r="ES403" s="405"/>
      <c r="EY403" s="83"/>
      <c r="FG403" s="405"/>
      <c r="FM403" s="83"/>
      <c r="FU403" s="405"/>
      <c r="GA403" s="83"/>
      <c r="GI403" s="405"/>
      <c r="GO403" s="83"/>
      <c r="GW403" s="405"/>
      <c r="HC403" s="83"/>
      <c r="HK403" s="405"/>
      <c r="HQ403" s="83"/>
      <c r="HY403" s="405"/>
      <c r="IE403" s="83"/>
      <c r="IM403" s="405"/>
      <c r="IS403" s="83"/>
      <c r="JA403" s="405"/>
      <c r="JG403" s="83"/>
      <c r="JO403" s="405"/>
      <c r="JU403" s="83"/>
      <c r="KC403" s="405"/>
      <c r="KI403" s="83"/>
      <c r="KQ403" s="405"/>
      <c r="KW403" s="83"/>
      <c r="LE403" s="405"/>
      <c r="LK403" s="83"/>
      <c r="LS403" s="405"/>
      <c r="LY403" s="83"/>
      <c r="MG403" s="405"/>
      <c r="MM403" s="83"/>
      <c r="MU403" s="405"/>
      <c r="NA403" s="83"/>
    </row>
    <row r="404">
      <c r="A404" s="380"/>
      <c r="B404" s="380"/>
      <c r="C404" s="380"/>
      <c r="D404" s="380"/>
      <c r="E404" s="380"/>
      <c r="F404" s="380"/>
      <c r="G404" s="380"/>
      <c r="H404" s="380"/>
      <c r="I404" s="403"/>
      <c r="J404" s="380"/>
      <c r="K404" s="380"/>
      <c r="L404" s="380"/>
      <c r="M404" s="380"/>
      <c r="N404" s="380"/>
      <c r="O404" s="404"/>
      <c r="P404" s="380"/>
      <c r="Q404" s="380"/>
      <c r="R404" s="380"/>
      <c r="S404" s="380"/>
      <c r="T404" s="380"/>
      <c r="U404" s="380"/>
      <c r="V404" s="380"/>
      <c r="W404" s="403"/>
      <c r="X404" s="380"/>
      <c r="Y404" s="380"/>
      <c r="Z404" s="380"/>
      <c r="AA404" s="380"/>
      <c r="AB404" s="380"/>
      <c r="AC404" s="404"/>
      <c r="AD404" s="380"/>
      <c r="AE404" s="380"/>
      <c r="AF404" s="380"/>
      <c r="AG404" s="380"/>
      <c r="AH404" s="380"/>
      <c r="AI404" s="380"/>
      <c r="AJ404" s="380"/>
      <c r="AK404" s="403"/>
      <c r="AL404" s="380"/>
      <c r="AM404" s="380"/>
      <c r="AN404" s="380"/>
      <c r="AO404" s="380"/>
      <c r="AP404" s="380"/>
      <c r="AQ404" s="404"/>
      <c r="AR404" s="380"/>
      <c r="AS404" s="380"/>
      <c r="AT404" s="380"/>
      <c r="AU404" s="380"/>
      <c r="AV404" s="380"/>
      <c r="AW404" s="380"/>
      <c r="AX404" s="380"/>
      <c r="AY404" s="403"/>
      <c r="AZ404" s="380"/>
      <c r="BA404" s="380"/>
      <c r="BB404" s="380"/>
      <c r="BC404" s="380"/>
      <c r="BD404" s="380"/>
      <c r="BE404" s="404"/>
      <c r="BF404" s="380"/>
      <c r="BG404" s="380"/>
      <c r="BH404" s="380"/>
      <c r="BI404" s="380"/>
      <c r="BJ404" s="380"/>
      <c r="BK404" s="380"/>
      <c r="BL404" s="380"/>
      <c r="BM404" s="403"/>
      <c r="BS404" s="83"/>
      <c r="CA404" s="405"/>
      <c r="CG404" s="83"/>
      <c r="CO404" s="405"/>
      <c r="CU404" s="83"/>
      <c r="DC404" s="405"/>
      <c r="DI404" s="83"/>
      <c r="DQ404" s="405"/>
      <c r="DW404" s="83"/>
      <c r="EE404" s="405"/>
      <c r="EK404" s="83"/>
      <c r="ES404" s="405"/>
      <c r="EY404" s="83"/>
      <c r="FG404" s="405"/>
      <c r="FM404" s="83"/>
      <c r="FU404" s="405"/>
      <c r="GA404" s="83"/>
      <c r="GI404" s="405"/>
      <c r="GO404" s="83"/>
      <c r="GW404" s="405"/>
      <c r="HC404" s="83"/>
      <c r="HK404" s="405"/>
      <c r="HQ404" s="83"/>
      <c r="HY404" s="405"/>
      <c r="IE404" s="83"/>
      <c r="IM404" s="405"/>
      <c r="IS404" s="83"/>
      <c r="JA404" s="405"/>
      <c r="JG404" s="83"/>
      <c r="JO404" s="405"/>
      <c r="JU404" s="83"/>
      <c r="KC404" s="405"/>
      <c r="KI404" s="83"/>
      <c r="KQ404" s="405"/>
      <c r="KW404" s="83"/>
      <c r="LE404" s="405"/>
      <c r="LK404" s="83"/>
      <c r="LS404" s="405"/>
      <c r="LY404" s="83"/>
      <c r="MG404" s="405"/>
      <c r="MM404" s="83"/>
      <c r="MU404" s="405"/>
      <c r="NA404" s="83"/>
    </row>
    <row r="405">
      <c r="A405" s="380"/>
      <c r="B405" s="380"/>
      <c r="C405" s="380"/>
      <c r="D405" s="380"/>
      <c r="E405" s="380"/>
      <c r="F405" s="380"/>
      <c r="G405" s="380"/>
      <c r="H405" s="380"/>
      <c r="I405" s="403"/>
      <c r="J405" s="380"/>
      <c r="K405" s="380"/>
      <c r="L405" s="380"/>
      <c r="M405" s="380"/>
      <c r="N405" s="380"/>
      <c r="O405" s="404"/>
      <c r="P405" s="380"/>
      <c r="Q405" s="380"/>
      <c r="R405" s="380"/>
      <c r="S405" s="380"/>
      <c r="T405" s="380"/>
      <c r="U405" s="380"/>
      <c r="V405" s="380"/>
      <c r="W405" s="403"/>
      <c r="X405" s="380"/>
      <c r="Y405" s="380"/>
      <c r="Z405" s="380"/>
      <c r="AA405" s="380"/>
      <c r="AB405" s="380"/>
      <c r="AC405" s="404"/>
      <c r="AD405" s="380"/>
      <c r="AE405" s="380"/>
      <c r="AF405" s="380"/>
      <c r="AG405" s="380"/>
      <c r="AH405" s="380"/>
      <c r="AI405" s="380"/>
      <c r="AJ405" s="380"/>
      <c r="AK405" s="403"/>
      <c r="AL405" s="380"/>
      <c r="AM405" s="380"/>
      <c r="AN405" s="380"/>
      <c r="AO405" s="380"/>
      <c r="AP405" s="380"/>
      <c r="AQ405" s="404"/>
      <c r="AR405" s="380"/>
      <c r="AS405" s="380"/>
      <c r="AT405" s="380"/>
      <c r="AU405" s="380"/>
      <c r="AV405" s="380"/>
      <c r="AW405" s="380"/>
      <c r="AX405" s="380"/>
      <c r="AY405" s="403"/>
      <c r="AZ405" s="380"/>
      <c r="BA405" s="380"/>
      <c r="BB405" s="380"/>
      <c r="BC405" s="380"/>
      <c r="BD405" s="380"/>
      <c r="BE405" s="404"/>
      <c r="BF405" s="380"/>
      <c r="BG405" s="380"/>
      <c r="BH405" s="380"/>
      <c r="BI405" s="380"/>
      <c r="BJ405" s="380"/>
      <c r="BK405" s="380"/>
      <c r="BL405" s="380"/>
      <c r="BM405" s="403"/>
      <c r="BS405" s="83"/>
      <c r="CA405" s="405"/>
      <c r="CG405" s="83"/>
      <c r="CO405" s="405"/>
      <c r="CU405" s="83"/>
      <c r="DC405" s="405"/>
      <c r="DI405" s="83"/>
      <c r="DQ405" s="405"/>
      <c r="DW405" s="83"/>
      <c r="EE405" s="405"/>
      <c r="EK405" s="83"/>
      <c r="ES405" s="405"/>
      <c r="EY405" s="83"/>
      <c r="FG405" s="405"/>
      <c r="FM405" s="83"/>
      <c r="FU405" s="405"/>
      <c r="GA405" s="83"/>
      <c r="GI405" s="405"/>
      <c r="GO405" s="83"/>
      <c r="GW405" s="405"/>
      <c r="HC405" s="83"/>
      <c r="HK405" s="405"/>
      <c r="HQ405" s="83"/>
      <c r="HY405" s="405"/>
      <c r="IE405" s="83"/>
      <c r="IM405" s="405"/>
      <c r="IS405" s="83"/>
      <c r="JA405" s="405"/>
      <c r="JG405" s="83"/>
      <c r="JO405" s="405"/>
      <c r="JU405" s="83"/>
      <c r="KC405" s="405"/>
      <c r="KI405" s="83"/>
      <c r="KQ405" s="405"/>
      <c r="KW405" s="83"/>
      <c r="LE405" s="405"/>
      <c r="LK405" s="83"/>
      <c r="LS405" s="405"/>
      <c r="LY405" s="83"/>
      <c r="MG405" s="405"/>
      <c r="MM405" s="83"/>
      <c r="MU405" s="405"/>
      <c r="NA405" s="83"/>
    </row>
    <row r="406">
      <c r="A406" s="380"/>
      <c r="B406" s="380"/>
      <c r="C406" s="380"/>
      <c r="D406" s="380"/>
      <c r="E406" s="380"/>
      <c r="F406" s="380"/>
      <c r="G406" s="380"/>
      <c r="H406" s="380"/>
      <c r="I406" s="403"/>
      <c r="J406" s="380"/>
      <c r="K406" s="380"/>
      <c r="L406" s="380"/>
      <c r="M406" s="380"/>
      <c r="N406" s="380"/>
      <c r="O406" s="404"/>
      <c r="P406" s="380"/>
      <c r="Q406" s="380"/>
      <c r="R406" s="380"/>
      <c r="S406" s="380"/>
      <c r="T406" s="380"/>
      <c r="U406" s="380"/>
      <c r="V406" s="380"/>
      <c r="W406" s="403"/>
      <c r="X406" s="380"/>
      <c r="Y406" s="380"/>
      <c r="Z406" s="380"/>
      <c r="AA406" s="380"/>
      <c r="AB406" s="380"/>
      <c r="AC406" s="404"/>
      <c r="AD406" s="380"/>
      <c r="AE406" s="380"/>
      <c r="AF406" s="380"/>
      <c r="AG406" s="380"/>
      <c r="AH406" s="380"/>
      <c r="AI406" s="380"/>
      <c r="AJ406" s="380"/>
      <c r="AK406" s="403"/>
      <c r="AL406" s="380"/>
      <c r="AM406" s="380"/>
      <c r="AN406" s="380"/>
      <c r="AO406" s="380"/>
      <c r="AP406" s="380"/>
      <c r="AQ406" s="404"/>
      <c r="AR406" s="380"/>
      <c r="AS406" s="380"/>
      <c r="AT406" s="380"/>
      <c r="AU406" s="380"/>
      <c r="AV406" s="380"/>
      <c r="AW406" s="380"/>
      <c r="AX406" s="380"/>
      <c r="AY406" s="403"/>
      <c r="AZ406" s="380"/>
      <c r="BA406" s="380"/>
      <c r="BB406" s="380"/>
      <c r="BC406" s="380"/>
      <c r="BD406" s="380"/>
      <c r="BE406" s="404"/>
      <c r="BF406" s="380"/>
      <c r="BG406" s="380"/>
      <c r="BH406" s="380"/>
      <c r="BI406" s="380"/>
      <c r="BJ406" s="380"/>
      <c r="BK406" s="380"/>
      <c r="BL406" s="380"/>
      <c r="BM406" s="403"/>
      <c r="BS406" s="83"/>
      <c r="CA406" s="405"/>
      <c r="CG406" s="83"/>
      <c r="CO406" s="405"/>
      <c r="CU406" s="83"/>
      <c r="DC406" s="405"/>
      <c r="DI406" s="83"/>
      <c r="DQ406" s="405"/>
      <c r="DW406" s="83"/>
      <c r="EE406" s="405"/>
      <c r="EK406" s="83"/>
      <c r="ES406" s="405"/>
      <c r="EY406" s="83"/>
      <c r="FG406" s="405"/>
      <c r="FM406" s="83"/>
      <c r="FU406" s="405"/>
      <c r="GA406" s="83"/>
      <c r="GI406" s="405"/>
      <c r="GO406" s="83"/>
      <c r="GW406" s="405"/>
      <c r="HC406" s="83"/>
      <c r="HK406" s="405"/>
      <c r="HQ406" s="83"/>
      <c r="HY406" s="405"/>
      <c r="IE406" s="83"/>
      <c r="IM406" s="405"/>
      <c r="IS406" s="83"/>
      <c r="JA406" s="405"/>
      <c r="JG406" s="83"/>
      <c r="JO406" s="405"/>
      <c r="JU406" s="83"/>
      <c r="KC406" s="405"/>
      <c r="KI406" s="83"/>
      <c r="KQ406" s="405"/>
      <c r="KW406" s="83"/>
      <c r="LE406" s="405"/>
      <c r="LK406" s="83"/>
      <c r="LS406" s="405"/>
      <c r="LY406" s="83"/>
      <c r="MG406" s="405"/>
      <c r="MM406" s="83"/>
      <c r="MU406" s="405"/>
      <c r="NA406" s="83"/>
    </row>
    <row r="407">
      <c r="A407" s="380"/>
      <c r="B407" s="380"/>
      <c r="C407" s="380"/>
      <c r="D407" s="380"/>
      <c r="E407" s="380"/>
      <c r="F407" s="380"/>
      <c r="G407" s="380"/>
      <c r="H407" s="380"/>
      <c r="I407" s="403"/>
      <c r="J407" s="380"/>
      <c r="K407" s="380"/>
      <c r="L407" s="380"/>
      <c r="M407" s="380"/>
      <c r="N407" s="380"/>
      <c r="O407" s="404"/>
      <c r="P407" s="380"/>
      <c r="Q407" s="380"/>
      <c r="R407" s="380"/>
      <c r="S407" s="380"/>
      <c r="T407" s="380"/>
      <c r="U407" s="380"/>
      <c r="V407" s="380"/>
      <c r="W407" s="403"/>
      <c r="X407" s="380"/>
      <c r="Y407" s="380"/>
      <c r="Z407" s="380"/>
      <c r="AA407" s="380"/>
      <c r="AB407" s="380"/>
      <c r="AC407" s="404"/>
      <c r="AD407" s="380"/>
      <c r="AE407" s="380"/>
      <c r="AF407" s="380"/>
      <c r="AG407" s="380"/>
      <c r="AH407" s="380"/>
      <c r="AI407" s="380"/>
      <c r="AJ407" s="380"/>
      <c r="AK407" s="403"/>
      <c r="AL407" s="380"/>
      <c r="AM407" s="380"/>
      <c r="AN407" s="380"/>
      <c r="AO407" s="380"/>
      <c r="AP407" s="380"/>
      <c r="AQ407" s="404"/>
      <c r="AR407" s="380"/>
      <c r="AS407" s="380"/>
      <c r="AT407" s="380"/>
      <c r="AU407" s="380"/>
      <c r="AV407" s="380"/>
      <c r="AW407" s="380"/>
      <c r="AX407" s="380"/>
      <c r="AY407" s="403"/>
      <c r="AZ407" s="380"/>
      <c r="BA407" s="380"/>
      <c r="BB407" s="380"/>
      <c r="BC407" s="380"/>
      <c r="BD407" s="380"/>
      <c r="BE407" s="404"/>
      <c r="BF407" s="380"/>
      <c r="BG407" s="380"/>
      <c r="BH407" s="380"/>
      <c r="BI407" s="380"/>
      <c r="BJ407" s="380"/>
      <c r="BK407" s="380"/>
      <c r="BL407" s="380"/>
      <c r="BM407" s="403"/>
      <c r="BS407" s="83"/>
      <c r="CA407" s="405"/>
      <c r="CG407" s="83"/>
      <c r="CO407" s="405"/>
      <c r="CU407" s="83"/>
      <c r="DC407" s="405"/>
      <c r="DI407" s="83"/>
      <c r="DQ407" s="405"/>
      <c r="DW407" s="83"/>
      <c r="EE407" s="405"/>
      <c r="EK407" s="83"/>
      <c r="ES407" s="405"/>
      <c r="EY407" s="83"/>
      <c r="FG407" s="405"/>
      <c r="FM407" s="83"/>
      <c r="FU407" s="405"/>
      <c r="GA407" s="83"/>
      <c r="GI407" s="405"/>
      <c r="GO407" s="83"/>
      <c r="GW407" s="405"/>
      <c r="HC407" s="83"/>
      <c r="HK407" s="405"/>
      <c r="HQ407" s="83"/>
      <c r="HY407" s="405"/>
      <c r="IE407" s="83"/>
      <c r="IM407" s="405"/>
      <c r="IS407" s="83"/>
      <c r="JA407" s="405"/>
      <c r="JG407" s="83"/>
      <c r="JO407" s="405"/>
      <c r="JU407" s="83"/>
      <c r="KC407" s="405"/>
      <c r="KI407" s="83"/>
      <c r="KQ407" s="405"/>
      <c r="KW407" s="83"/>
      <c r="LE407" s="405"/>
      <c r="LK407" s="83"/>
      <c r="LS407" s="405"/>
      <c r="LY407" s="83"/>
      <c r="MG407" s="405"/>
      <c r="MM407" s="83"/>
      <c r="MU407" s="405"/>
      <c r="NA407" s="83"/>
    </row>
    <row r="408">
      <c r="A408" s="380"/>
      <c r="B408" s="380"/>
      <c r="C408" s="380"/>
      <c r="D408" s="380"/>
      <c r="E408" s="380"/>
      <c r="F408" s="380"/>
      <c r="G408" s="380"/>
      <c r="H408" s="380"/>
      <c r="I408" s="403"/>
      <c r="J408" s="380"/>
      <c r="K408" s="380"/>
      <c r="L408" s="380"/>
      <c r="M408" s="380"/>
      <c r="N408" s="380"/>
      <c r="O408" s="404"/>
      <c r="P408" s="380"/>
      <c r="Q408" s="380"/>
      <c r="R408" s="380"/>
      <c r="S408" s="380"/>
      <c r="T408" s="380"/>
      <c r="U408" s="380"/>
      <c r="V408" s="380"/>
      <c r="W408" s="403"/>
      <c r="X408" s="380"/>
      <c r="Y408" s="380"/>
      <c r="Z408" s="380"/>
      <c r="AA408" s="380"/>
      <c r="AB408" s="380"/>
      <c r="AC408" s="404"/>
      <c r="AD408" s="380"/>
      <c r="AE408" s="380"/>
      <c r="AF408" s="380"/>
      <c r="AG408" s="380"/>
      <c r="AH408" s="380"/>
      <c r="AI408" s="380"/>
      <c r="AJ408" s="380"/>
      <c r="AK408" s="403"/>
      <c r="AL408" s="380"/>
      <c r="AM408" s="380"/>
      <c r="AN408" s="380"/>
      <c r="AO408" s="380"/>
      <c r="AP408" s="380"/>
      <c r="AQ408" s="404"/>
      <c r="AR408" s="380"/>
      <c r="AS408" s="380"/>
      <c r="AT408" s="380"/>
      <c r="AU408" s="380"/>
      <c r="AV408" s="380"/>
      <c r="AW408" s="380"/>
      <c r="AX408" s="380"/>
      <c r="AY408" s="403"/>
      <c r="AZ408" s="380"/>
      <c r="BA408" s="380"/>
      <c r="BB408" s="380"/>
      <c r="BC408" s="380"/>
      <c r="BD408" s="380"/>
      <c r="BE408" s="404"/>
      <c r="BF408" s="380"/>
      <c r="BG408" s="380"/>
      <c r="BH408" s="380"/>
      <c r="BI408" s="380"/>
      <c r="BJ408" s="380"/>
      <c r="BK408" s="380"/>
      <c r="BL408" s="380"/>
      <c r="BM408" s="403"/>
      <c r="BS408" s="83"/>
      <c r="CA408" s="405"/>
      <c r="CG408" s="83"/>
      <c r="CO408" s="405"/>
      <c r="CU408" s="83"/>
      <c r="DC408" s="405"/>
      <c r="DI408" s="83"/>
      <c r="DQ408" s="405"/>
      <c r="DW408" s="83"/>
      <c r="EE408" s="405"/>
      <c r="EK408" s="83"/>
      <c r="ES408" s="405"/>
      <c r="EY408" s="83"/>
      <c r="FG408" s="405"/>
      <c r="FM408" s="83"/>
      <c r="FU408" s="405"/>
      <c r="GA408" s="83"/>
      <c r="GI408" s="405"/>
      <c r="GO408" s="83"/>
      <c r="GW408" s="405"/>
      <c r="HC408" s="83"/>
      <c r="HK408" s="405"/>
      <c r="HQ408" s="83"/>
      <c r="HY408" s="405"/>
      <c r="IE408" s="83"/>
      <c r="IM408" s="405"/>
      <c r="IS408" s="83"/>
      <c r="JA408" s="405"/>
      <c r="JG408" s="83"/>
      <c r="JO408" s="405"/>
      <c r="JU408" s="83"/>
      <c r="KC408" s="405"/>
      <c r="KI408" s="83"/>
      <c r="KQ408" s="405"/>
      <c r="KW408" s="83"/>
      <c r="LE408" s="405"/>
      <c r="LK408" s="83"/>
      <c r="LS408" s="405"/>
      <c r="LY408" s="83"/>
      <c r="MG408" s="405"/>
      <c r="MM408" s="83"/>
      <c r="MU408" s="405"/>
      <c r="NA408" s="83"/>
    </row>
    <row r="409">
      <c r="A409" s="380"/>
      <c r="B409" s="380"/>
      <c r="C409" s="380"/>
      <c r="D409" s="380"/>
      <c r="E409" s="380"/>
      <c r="F409" s="380"/>
      <c r="G409" s="380"/>
      <c r="H409" s="380"/>
      <c r="I409" s="403"/>
      <c r="J409" s="380"/>
      <c r="K409" s="380"/>
      <c r="L409" s="380"/>
      <c r="M409" s="380"/>
      <c r="N409" s="380"/>
      <c r="O409" s="404"/>
      <c r="P409" s="380"/>
      <c r="Q409" s="380"/>
      <c r="R409" s="380"/>
      <c r="S409" s="380"/>
      <c r="T409" s="380"/>
      <c r="U409" s="380"/>
      <c r="V409" s="380"/>
      <c r="W409" s="403"/>
      <c r="X409" s="380"/>
      <c r="Y409" s="380"/>
      <c r="Z409" s="380"/>
      <c r="AA409" s="380"/>
      <c r="AB409" s="380"/>
      <c r="AC409" s="404"/>
      <c r="AD409" s="380"/>
      <c r="AE409" s="380"/>
      <c r="AF409" s="380"/>
      <c r="AG409" s="380"/>
      <c r="AH409" s="380"/>
      <c r="AI409" s="380"/>
      <c r="AJ409" s="380"/>
      <c r="AK409" s="403"/>
      <c r="AL409" s="380"/>
      <c r="AM409" s="380"/>
      <c r="AN409" s="380"/>
      <c r="AO409" s="380"/>
      <c r="AP409" s="380"/>
      <c r="AQ409" s="404"/>
      <c r="AR409" s="380"/>
      <c r="AS409" s="380"/>
      <c r="AT409" s="380"/>
      <c r="AU409" s="380"/>
      <c r="AV409" s="380"/>
      <c r="AW409" s="380"/>
      <c r="AX409" s="380"/>
      <c r="AY409" s="403"/>
      <c r="AZ409" s="380"/>
      <c r="BA409" s="380"/>
      <c r="BB409" s="380"/>
      <c r="BC409" s="380"/>
      <c r="BD409" s="380"/>
      <c r="BE409" s="404"/>
      <c r="BF409" s="380"/>
      <c r="BG409" s="380"/>
      <c r="BH409" s="380"/>
      <c r="BI409" s="380"/>
      <c r="BJ409" s="380"/>
      <c r="BK409" s="380"/>
      <c r="BL409" s="380"/>
      <c r="BM409" s="403"/>
      <c r="BS409" s="83"/>
      <c r="CA409" s="405"/>
      <c r="CG409" s="83"/>
      <c r="CO409" s="405"/>
      <c r="CU409" s="83"/>
      <c r="DC409" s="405"/>
      <c r="DI409" s="83"/>
      <c r="DQ409" s="405"/>
      <c r="DW409" s="83"/>
      <c r="EE409" s="405"/>
      <c r="EK409" s="83"/>
      <c r="ES409" s="405"/>
      <c r="EY409" s="83"/>
      <c r="FG409" s="405"/>
      <c r="FM409" s="83"/>
      <c r="FU409" s="405"/>
      <c r="GA409" s="83"/>
      <c r="GI409" s="405"/>
      <c r="GO409" s="83"/>
      <c r="GW409" s="405"/>
      <c r="HC409" s="83"/>
      <c r="HK409" s="405"/>
      <c r="HQ409" s="83"/>
      <c r="HY409" s="405"/>
      <c r="IE409" s="83"/>
      <c r="IM409" s="405"/>
      <c r="IS409" s="83"/>
      <c r="JA409" s="405"/>
      <c r="JG409" s="83"/>
      <c r="JO409" s="405"/>
      <c r="JU409" s="83"/>
      <c r="KC409" s="405"/>
      <c r="KI409" s="83"/>
      <c r="KQ409" s="405"/>
      <c r="KW409" s="83"/>
      <c r="LE409" s="405"/>
      <c r="LK409" s="83"/>
      <c r="LS409" s="405"/>
      <c r="LY409" s="83"/>
      <c r="MG409" s="405"/>
      <c r="MM409" s="83"/>
      <c r="MU409" s="405"/>
      <c r="NA409" s="83"/>
    </row>
    <row r="410">
      <c r="A410" s="380"/>
      <c r="B410" s="380"/>
      <c r="C410" s="380"/>
      <c r="D410" s="380"/>
      <c r="E410" s="380"/>
      <c r="F410" s="380"/>
      <c r="G410" s="380"/>
      <c r="H410" s="380"/>
      <c r="I410" s="403"/>
      <c r="J410" s="380"/>
      <c r="K410" s="380"/>
      <c r="L410" s="380"/>
      <c r="M410" s="380"/>
      <c r="N410" s="380"/>
      <c r="O410" s="404"/>
      <c r="P410" s="380"/>
      <c r="Q410" s="380"/>
      <c r="R410" s="380"/>
      <c r="S410" s="380"/>
      <c r="T410" s="380"/>
      <c r="U410" s="380"/>
      <c r="V410" s="380"/>
      <c r="W410" s="403"/>
      <c r="X410" s="380"/>
      <c r="Y410" s="380"/>
      <c r="Z410" s="380"/>
      <c r="AA410" s="380"/>
      <c r="AB410" s="380"/>
      <c r="AC410" s="404"/>
      <c r="AD410" s="380"/>
      <c r="AE410" s="380"/>
      <c r="AF410" s="380"/>
      <c r="AG410" s="380"/>
      <c r="AH410" s="380"/>
      <c r="AI410" s="380"/>
      <c r="AJ410" s="380"/>
      <c r="AK410" s="403"/>
      <c r="AL410" s="380"/>
      <c r="AM410" s="380"/>
      <c r="AN410" s="380"/>
      <c r="AO410" s="380"/>
      <c r="AP410" s="380"/>
      <c r="AQ410" s="404"/>
      <c r="AR410" s="380"/>
      <c r="AS410" s="380"/>
      <c r="AT410" s="380"/>
      <c r="AU410" s="380"/>
      <c r="AV410" s="380"/>
      <c r="AW410" s="380"/>
      <c r="AX410" s="380"/>
      <c r="AY410" s="403"/>
      <c r="AZ410" s="380"/>
      <c r="BA410" s="380"/>
      <c r="BB410" s="380"/>
      <c r="BC410" s="380"/>
      <c r="BD410" s="380"/>
      <c r="BE410" s="404"/>
      <c r="BF410" s="380"/>
      <c r="BG410" s="380"/>
      <c r="BH410" s="380"/>
      <c r="BI410" s="380"/>
      <c r="BJ410" s="380"/>
      <c r="BK410" s="380"/>
      <c r="BL410" s="380"/>
      <c r="BM410" s="403"/>
      <c r="BS410" s="83"/>
      <c r="CA410" s="405"/>
      <c r="CG410" s="83"/>
      <c r="CO410" s="405"/>
      <c r="CU410" s="83"/>
      <c r="DC410" s="405"/>
      <c r="DI410" s="83"/>
      <c r="DQ410" s="405"/>
      <c r="DW410" s="83"/>
      <c r="EE410" s="405"/>
      <c r="EK410" s="83"/>
      <c r="ES410" s="405"/>
      <c r="EY410" s="83"/>
      <c r="FG410" s="405"/>
      <c r="FM410" s="83"/>
      <c r="FU410" s="405"/>
      <c r="GA410" s="83"/>
      <c r="GI410" s="405"/>
      <c r="GO410" s="83"/>
      <c r="GW410" s="405"/>
      <c r="HC410" s="83"/>
      <c r="HK410" s="405"/>
      <c r="HQ410" s="83"/>
      <c r="HY410" s="405"/>
      <c r="IE410" s="83"/>
      <c r="IM410" s="405"/>
      <c r="IS410" s="83"/>
      <c r="JA410" s="405"/>
      <c r="JG410" s="83"/>
      <c r="JO410" s="405"/>
      <c r="JU410" s="83"/>
      <c r="KC410" s="405"/>
      <c r="KI410" s="83"/>
      <c r="KQ410" s="405"/>
      <c r="KW410" s="83"/>
      <c r="LE410" s="405"/>
      <c r="LK410" s="83"/>
      <c r="LS410" s="405"/>
      <c r="LY410" s="83"/>
      <c r="MG410" s="405"/>
      <c r="MM410" s="83"/>
      <c r="MU410" s="405"/>
      <c r="NA410" s="83"/>
    </row>
    <row r="411">
      <c r="A411" s="380"/>
      <c r="B411" s="380"/>
      <c r="C411" s="380"/>
      <c r="D411" s="380"/>
      <c r="E411" s="380"/>
      <c r="F411" s="380"/>
      <c r="G411" s="380"/>
      <c r="H411" s="380"/>
      <c r="I411" s="403"/>
      <c r="J411" s="380"/>
      <c r="K411" s="380"/>
      <c r="L411" s="380"/>
      <c r="M411" s="380"/>
      <c r="N411" s="380"/>
      <c r="O411" s="404"/>
      <c r="P411" s="380"/>
      <c r="Q411" s="380"/>
      <c r="R411" s="380"/>
      <c r="S411" s="380"/>
      <c r="T411" s="380"/>
      <c r="U411" s="380"/>
      <c r="V411" s="380"/>
      <c r="W411" s="403"/>
      <c r="X411" s="380"/>
      <c r="Y411" s="380"/>
      <c r="Z411" s="380"/>
      <c r="AA411" s="380"/>
      <c r="AB411" s="380"/>
      <c r="AC411" s="404"/>
      <c r="AD411" s="380"/>
      <c r="AE411" s="380"/>
      <c r="AF411" s="380"/>
      <c r="AG411" s="380"/>
      <c r="AH411" s="380"/>
      <c r="AI411" s="380"/>
      <c r="AJ411" s="380"/>
      <c r="AK411" s="403"/>
      <c r="AL411" s="380"/>
      <c r="AM411" s="380"/>
      <c r="AN411" s="380"/>
      <c r="AO411" s="380"/>
      <c r="AP411" s="380"/>
      <c r="AQ411" s="404"/>
      <c r="AR411" s="380"/>
      <c r="AS411" s="380"/>
      <c r="AT411" s="380"/>
      <c r="AU411" s="380"/>
      <c r="AV411" s="380"/>
      <c r="AW411" s="380"/>
      <c r="AX411" s="380"/>
      <c r="AY411" s="403"/>
      <c r="AZ411" s="380"/>
      <c r="BA411" s="380"/>
      <c r="BB411" s="380"/>
      <c r="BC411" s="380"/>
      <c r="BD411" s="380"/>
      <c r="BE411" s="404"/>
      <c r="BF411" s="380"/>
      <c r="BG411" s="380"/>
      <c r="BH411" s="380"/>
      <c r="BI411" s="380"/>
      <c r="BJ411" s="380"/>
      <c r="BK411" s="380"/>
      <c r="BL411" s="380"/>
      <c r="BM411" s="403"/>
      <c r="BS411" s="83"/>
      <c r="CA411" s="405"/>
      <c r="CG411" s="83"/>
      <c r="CO411" s="405"/>
      <c r="CU411" s="83"/>
      <c r="DC411" s="405"/>
      <c r="DI411" s="83"/>
      <c r="DQ411" s="405"/>
      <c r="DW411" s="83"/>
      <c r="EE411" s="405"/>
      <c r="EK411" s="83"/>
      <c r="ES411" s="405"/>
      <c r="EY411" s="83"/>
      <c r="FG411" s="405"/>
      <c r="FM411" s="83"/>
      <c r="FU411" s="405"/>
      <c r="GA411" s="83"/>
      <c r="GI411" s="405"/>
      <c r="GO411" s="83"/>
      <c r="GW411" s="405"/>
      <c r="HC411" s="83"/>
      <c r="HK411" s="405"/>
      <c r="HQ411" s="83"/>
      <c r="HY411" s="405"/>
      <c r="IE411" s="83"/>
      <c r="IM411" s="405"/>
      <c r="IS411" s="83"/>
      <c r="JA411" s="405"/>
      <c r="JG411" s="83"/>
      <c r="JO411" s="405"/>
      <c r="JU411" s="83"/>
      <c r="KC411" s="405"/>
      <c r="KI411" s="83"/>
      <c r="KQ411" s="405"/>
      <c r="KW411" s="83"/>
      <c r="LE411" s="405"/>
      <c r="LK411" s="83"/>
      <c r="LS411" s="405"/>
      <c r="LY411" s="83"/>
      <c r="MG411" s="405"/>
      <c r="MM411" s="83"/>
      <c r="MU411" s="405"/>
      <c r="NA411" s="83"/>
    </row>
    <row r="412">
      <c r="A412" s="380"/>
      <c r="B412" s="380"/>
      <c r="C412" s="380"/>
      <c r="D412" s="380"/>
      <c r="E412" s="380"/>
      <c r="F412" s="380"/>
      <c r="G412" s="380"/>
      <c r="H412" s="380"/>
      <c r="I412" s="403"/>
      <c r="J412" s="380"/>
      <c r="K412" s="380"/>
      <c r="L412" s="380"/>
      <c r="M412" s="380"/>
      <c r="N412" s="380"/>
      <c r="O412" s="404"/>
      <c r="P412" s="380"/>
      <c r="Q412" s="380"/>
      <c r="R412" s="380"/>
      <c r="S412" s="380"/>
      <c r="T412" s="380"/>
      <c r="U412" s="380"/>
      <c r="V412" s="380"/>
      <c r="W412" s="403"/>
      <c r="X412" s="380"/>
      <c r="Y412" s="380"/>
      <c r="Z412" s="380"/>
      <c r="AA412" s="380"/>
      <c r="AB412" s="380"/>
      <c r="AC412" s="404"/>
      <c r="AD412" s="380"/>
      <c r="AE412" s="380"/>
      <c r="AF412" s="380"/>
      <c r="AG412" s="380"/>
      <c r="AH412" s="380"/>
      <c r="AI412" s="380"/>
      <c r="AJ412" s="380"/>
      <c r="AK412" s="403"/>
      <c r="AL412" s="380"/>
      <c r="AM412" s="380"/>
      <c r="AN412" s="380"/>
      <c r="AO412" s="380"/>
      <c r="AP412" s="380"/>
      <c r="AQ412" s="404"/>
      <c r="AR412" s="380"/>
      <c r="AS412" s="380"/>
      <c r="AT412" s="380"/>
      <c r="AU412" s="380"/>
      <c r="AV412" s="380"/>
      <c r="AW412" s="380"/>
      <c r="AX412" s="380"/>
      <c r="AY412" s="403"/>
      <c r="AZ412" s="380"/>
      <c r="BA412" s="380"/>
      <c r="BB412" s="380"/>
      <c r="BC412" s="380"/>
      <c r="BD412" s="380"/>
      <c r="BE412" s="404"/>
      <c r="BF412" s="380"/>
      <c r="BG412" s="380"/>
      <c r="BH412" s="380"/>
      <c r="BI412" s="380"/>
      <c r="BJ412" s="380"/>
      <c r="BK412" s="380"/>
      <c r="BL412" s="380"/>
      <c r="BM412" s="403"/>
      <c r="BS412" s="83"/>
      <c r="CA412" s="405"/>
      <c r="CG412" s="83"/>
      <c r="CO412" s="405"/>
      <c r="CU412" s="83"/>
      <c r="DC412" s="405"/>
      <c r="DI412" s="83"/>
      <c r="DQ412" s="405"/>
      <c r="DW412" s="83"/>
      <c r="EE412" s="405"/>
      <c r="EK412" s="83"/>
      <c r="ES412" s="405"/>
      <c r="EY412" s="83"/>
      <c r="FG412" s="405"/>
      <c r="FM412" s="83"/>
      <c r="FU412" s="405"/>
      <c r="GA412" s="83"/>
      <c r="GI412" s="405"/>
      <c r="GO412" s="83"/>
      <c r="GW412" s="405"/>
      <c r="HC412" s="83"/>
      <c r="HK412" s="405"/>
      <c r="HQ412" s="83"/>
      <c r="HY412" s="405"/>
      <c r="IE412" s="83"/>
      <c r="IM412" s="405"/>
      <c r="IS412" s="83"/>
      <c r="JA412" s="405"/>
      <c r="JG412" s="83"/>
      <c r="JO412" s="405"/>
      <c r="JU412" s="83"/>
      <c r="KC412" s="405"/>
      <c r="KI412" s="83"/>
      <c r="KQ412" s="405"/>
      <c r="KW412" s="83"/>
      <c r="LE412" s="405"/>
      <c r="LK412" s="83"/>
      <c r="LS412" s="405"/>
      <c r="LY412" s="83"/>
      <c r="MG412" s="405"/>
      <c r="MM412" s="83"/>
      <c r="MU412" s="405"/>
      <c r="NA412" s="83"/>
    </row>
    <row r="413">
      <c r="A413" s="380"/>
      <c r="B413" s="380"/>
      <c r="C413" s="380"/>
      <c r="D413" s="380"/>
      <c r="E413" s="380"/>
      <c r="F413" s="380"/>
      <c r="G413" s="380"/>
      <c r="H413" s="380"/>
      <c r="I413" s="403"/>
      <c r="J413" s="380"/>
      <c r="K413" s="380"/>
      <c r="L413" s="380"/>
      <c r="M413" s="380"/>
      <c r="N413" s="380"/>
      <c r="O413" s="404"/>
      <c r="P413" s="380"/>
      <c r="Q413" s="380"/>
      <c r="R413" s="380"/>
      <c r="S413" s="380"/>
      <c r="T413" s="380"/>
      <c r="U413" s="380"/>
      <c r="V413" s="380"/>
      <c r="W413" s="403"/>
      <c r="X413" s="380"/>
      <c r="Y413" s="380"/>
      <c r="Z413" s="380"/>
      <c r="AA413" s="380"/>
      <c r="AB413" s="380"/>
      <c r="AC413" s="404"/>
      <c r="AD413" s="380"/>
      <c r="AE413" s="380"/>
      <c r="AF413" s="380"/>
      <c r="AG413" s="380"/>
      <c r="AH413" s="380"/>
      <c r="AI413" s="380"/>
      <c r="AJ413" s="380"/>
      <c r="AK413" s="403"/>
      <c r="AL413" s="380"/>
      <c r="AM413" s="380"/>
      <c r="AN413" s="380"/>
      <c r="AO413" s="380"/>
      <c r="AP413" s="380"/>
      <c r="AQ413" s="404"/>
      <c r="AR413" s="380"/>
      <c r="AS413" s="380"/>
      <c r="AT413" s="380"/>
      <c r="AU413" s="380"/>
      <c r="AV413" s="380"/>
      <c r="AW413" s="380"/>
      <c r="AX413" s="380"/>
      <c r="AY413" s="403"/>
      <c r="AZ413" s="380"/>
      <c r="BA413" s="380"/>
      <c r="BB413" s="380"/>
      <c r="BC413" s="380"/>
      <c r="BD413" s="380"/>
      <c r="BE413" s="404"/>
      <c r="BF413" s="380"/>
      <c r="BG413" s="380"/>
      <c r="BH413" s="380"/>
      <c r="BI413" s="380"/>
      <c r="BJ413" s="380"/>
      <c r="BK413" s="380"/>
      <c r="BL413" s="380"/>
      <c r="BM413" s="403"/>
      <c r="BS413" s="83"/>
      <c r="CA413" s="405"/>
      <c r="CG413" s="83"/>
      <c r="CO413" s="405"/>
      <c r="CU413" s="83"/>
      <c r="DC413" s="405"/>
      <c r="DI413" s="83"/>
      <c r="DQ413" s="405"/>
      <c r="DW413" s="83"/>
      <c r="EE413" s="405"/>
      <c r="EK413" s="83"/>
      <c r="ES413" s="405"/>
      <c r="EY413" s="83"/>
      <c r="FG413" s="405"/>
      <c r="FM413" s="83"/>
      <c r="FU413" s="405"/>
      <c r="GA413" s="83"/>
      <c r="GI413" s="405"/>
      <c r="GO413" s="83"/>
      <c r="GW413" s="405"/>
      <c r="HC413" s="83"/>
      <c r="HK413" s="405"/>
      <c r="HQ413" s="83"/>
      <c r="HY413" s="405"/>
      <c r="IE413" s="83"/>
      <c r="IM413" s="405"/>
      <c r="IS413" s="83"/>
      <c r="JA413" s="405"/>
      <c r="JG413" s="83"/>
      <c r="JO413" s="405"/>
      <c r="JU413" s="83"/>
      <c r="KC413" s="405"/>
      <c r="KI413" s="83"/>
      <c r="KQ413" s="405"/>
      <c r="KW413" s="83"/>
      <c r="LE413" s="405"/>
      <c r="LK413" s="83"/>
      <c r="LS413" s="405"/>
      <c r="LY413" s="83"/>
      <c r="MG413" s="405"/>
      <c r="MM413" s="83"/>
      <c r="MU413" s="405"/>
      <c r="NA413" s="83"/>
    </row>
    <row r="414">
      <c r="A414" s="380"/>
      <c r="B414" s="380"/>
      <c r="C414" s="380"/>
      <c r="D414" s="380"/>
      <c r="E414" s="380"/>
      <c r="F414" s="380"/>
      <c r="G414" s="380"/>
      <c r="H414" s="380"/>
      <c r="I414" s="403"/>
      <c r="J414" s="380"/>
      <c r="K414" s="380"/>
      <c r="L414" s="380"/>
      <c r="M414" s="380"/>
      <c r="N414" s="380"/>
      <c r="O414" s="404"/>
      <c r="P414" s="380"/>
      <c r="Q414" s="380"/>
      <c r="R414" s="380"/>
      <c r="S414" s="380"/>
      <c r="T414" s="380"/>
      <c r="U414" s="380"/>
      <c r="V414" s="380"/>
      <c r="W414" s="403"/>
      <c r="X414" s="380"/>
      <c r="Y414" s="380"/>
      <c r="Z414" s="380"/>
      <c r="AA414" s="380"/>
      <c r="AB414" s="380"/>
      <c r="AC414" s="404"/>
      <c r="AD414" s="380"/>
      <c r="AE414" s="380"/>
      <c r="AF414" s="380"/>
      <c r="AG414" s="380"/>
      <c r="AH414" s="380"/>
      <c r="AI414" s="380"/>
      <c r="AJ414" s="380"/>
      <c r="AK414" s="403"/>
      <c r="AL414" s="380"/>
      <c r="AM414" s="380"/>
      <c r="AN414" s="380"/>
      <c r="AO414" s="380"/>
      <c r="AP414" s="380"/>
      <c r="AQ414" s="404"/>
      <c r="AR414" s="380"/>
      <c r="AS414" s="380"/>
      <c r="AT414" s="380"/>
      <c r="AU414" s="380"/>
      <c r="AV414" s="380"/>
      <c r="AW414" s="380"/>
      <c r="AX414" s="380"/>
      <c r="AY414" s="403"/>
      <c r="AZ414" s="380"/>
      <c r="BA414" s="380"/>
      <c r="BB414" s="380"/>
      <c r="BC414" s="380"/>
      <c r="BD414" s="380"/>
      <c r="BE414" s="404"/>
      <c r="BF414" s="380"/>
      <c r="BG414" s="380"/>
      <c r="BH414" s="380"/>
      <c r="BI414" s="380"/>
      <c r="BJ414" s="380"/>
      <c r="BK414" s="380"/>
      <c r="BL414" s="380"/>
      <c r="BM414" s="403"/>
      <c r="BS414" s="83"/>
      <c r="CA414" s="405"/>
      <c r="CG414" s="83"/>
      <c r="CO414" s="405"/>
      <c r="CU414" s="83"/>
      <c r="DC414" s="405"/>
      <c r="DI414" s="83"/>
      <c r="DQ414" s="405"/>
      <c r="DW414" s="83"/>
      <c r="EE414" s="405"/>
      <c r="EK414" s="83"/>
      <c r="ES414" s="405"/>
      <c r="EY414" s="83"/>
      <c r="FG414" s="405"/>
      <c r="FM414" s="83"/>
      <c r="FU414" s="405"/>
      <c r="GA414" s="83"/>
      <c r="GI414" s="405"/>
      <c r="GO414" s="83"/>
      <c r="GW414" s="405"/>
      <c r="HC414" s="83"/>
      <c r="HK414" s="405"/>
      <c r="HQ414" s="83"/>
      <c r="HY414" s="405"/>
      <c r="IE414" s="83"/>
      <c r="IM414" s="405"/>
      <c r="IS414" s="83"/>
      <c r="JA414" s="405"/>
      <c r="JG414" s="83"/>
      <c r="JO414" s="405"/>
      <c r="JU414" s="83"/>
      <c r="KC414" s="405"/>
      <c r="KI414" s="83"/>
      <c r="KQ414" s="405"/>
      <c r="KW414" s="83"/>
      <c r="LE414" s="405"/>
      <c r="LK414" s="83"/>
      <c r="LS414" s="405"/>
      <c r="LY414" s="83"/>
      <c r="MG414" s="405"/>
      <c r="MM414" s="83"/>
      <c r="MU414" s="405"/>
      <c r="NA414" s="83"/>
    </row>
    <row r="415">
      <c r="A415" s="380"/>
      <c r="B415" s="380"/>
      <c r="C415" s="380"/>
      <c r="D415" s="380"/>
      <c r="E415" s="380"/>
      <c r="F415" s="380"/>
      <c r="G415" s="380"/>
      <c r="H415" s="380"/>
      <c r="I415" s="403"/>
      <c r="J415" s="380"/>
      <c r="K415" s="380"/>
      <c r="L415" s="380"/>
      <c r="M415" s="380"/>
      <c r="N415" s="380"/>
      <c r="O415" s="404"/>
      <c r="P415" s="380"/>
      <c r="Q415" s="380"/>
      <c r="R415" s="380"/>
      <c r="S415" s="380"/>
      <c r="T415" s="380"/>
      <c r="U415" s="380"/>
      <c r="V415" s="380"/>
      <c r="W415" s="403"/>
      <c r="X415" s="380"/>
      <c r="Y415" s="380"/>
      <c r="Z415" s="380"/>
      <c r="AA415" s="380"/>
      <c r="AB415" s="380"/>
      <c r="AC415" s="404"/>
      <c r="AD415" s="380"/>
      <c r="AE415" s="380"/>
      <c r="AF415" s="380"/>
      <c r="AG415" s="380"/>
      <c r="AH415" s="380"/>
      <c r="AI415" s="380"/>
      <c r="AJ415" s="380"/>
      <c r="AK415" s="403"/>
      <c r="AL415" s="380"/>
      <c r="AM415" s="380"/>
      <c r="AN415" s="380"/>
      <c r="AO415" s="380"/>
      <c r="AP415" s="380"/>
      <c r="AQ415" s="404"/>
      <c r="AR415" s="380"/>
      <c r="AS415" s="380"/>
      <c r="AT415" s="380"/>
      <c r="AU415" s="380"/>
      <c r="AV415" s="380"/>
      <c r="AW415" s="380"/>
      <c r="AX415" s="380"/>
      <c r="AY415" s="403"/>
      <c r="AZ415" s="380"/>
      <c r="BA415" s="380"/>
      <c r="BB415" s="380"/>
      <c r="BC415" s="380"/>
      <c r="BD415" s="380"/>
      <c r="BE415" s="404"/>
      <c r="BF415" s="380"/>
      <c r="BG415" s="380"/>
      <c r="BH415" s="380"/>
      <c r="BI415" s="380"/>
      <c r="BJ415" s="380"/>
      <c r="BK415" s="380"/>
      <c r="BL415" s="380"/>
      <c r="BM415" s="403"/>
      <c r="BS415" s="83"/>
      <c r="CA415" s="405"/>
      <c r="CG415" s="83"/>
      <c r="CO415" s="405"/>
      <c r="CU415" s="83"/>
      <c r="DC415" s="405"/>
      <c r="DI415" s="83"/>
      <c r="DQ415" s="405"/>
      <c r="DW415" s="83"/>
      <c r="EE415" s="405"/>
      <c r="EK415" s="83"/>
      <c r="ES415" s="405"/>
      <c r="EY415" s="83"/>
      <c r="FG415" s="405"/>
      <c r="FM415" s="83"/>
      <c r="FU415" s="405"/>
      <c r="GA415" s="83"/>
      <c r="GI415" s="405"/>
      <c r="GO415" s="83"/>
      <c r="GW415" s="405"/>
      <c r="HC415" s="83"/>
      <c r="HK415" s="405"/>
      <c r="HQ415" s="83"/>
      <c r="HY415" s="405"/>
      <c r="IE415" s="83"/>
      <c r="IM415" s="405"/>
      <c r="IS415" s="83"/>
      <c r="JA415" s="405"/>
      <c r="JG415" s="83"/>
      <c r="JO415" s="405"/>
      <c r="JU415" s="83"/>
      <c r="KC415" s="405"/>
      <c r="KI415" s="83"/>
      <c r="KQ415" s="405"/>
      <c r="KW415" s="83"/>
      <c r="LE415" s="405"/>
      <c r="LK415" s="83"/>
      <c r="LS415" s="405"/>
      <c r="LY415" s="83"/>
      <c r="MG415" s="405"/>
      <c r="MM415" s="83"/>
      <c r="MU415" s="405"/>
      <c r="NA415" s="83"/>
    </row>
    <row r="416">
      <c r="A416" s="380"/>
      <c r="B416" s="380"/>
      <c r="C416" s="380"/>
      <c r="D416" s="380"/>
      <c r="E416" s="380"/>
      <c r="F416" s="380"/>
      <c r="G416" s="380"/>
      <c r="H416" s="380"/>
      <c r="I416" s="403"/>
      <c r="J416" s="380"/>
      <c r="K416" s="380"/>
      <c r="L416" s="380"/>
      <c r="M416" s="380"/>
      <c r="N416" s="380"/>
      <c r="O416" s="404"/>
      <c r="P416" s="380"/>
      <c r="Q416" s="380"/>
      <c r="R416" s="380"/>
      <c r="S416" s="380"/>
      <c r="T416" s="380"/>
      <c r="U416" s="380"/>
      <c r="V416" s="380"/>
      <c r="W416" s="403"/>
      <c r="X416" s="380"/>
      <c r="Y416" s="380"/>
      <c r="Z416" s="380"/>
      <c r="AA416" s="380"/>
      <c r="AB416" s="380"/>
      <c r="AC416" s="404"/>
      <c r="AD416" s="380"/>
      <c r="AE416" s="380"/>
      <c r="AF416" s="380"/>
      <c r="AG416" s="380"/>
      <c r="AH416" s="380"/>
      <c r="AI416" s="380"/>
      <c r="AJ416" s="380"/>
      <c r="AK416" s="403"/>
      <c r="AL416" s="380"/>
      <c r="AM416" s="380"/>
      <c r="AN416" s="380"/>
      <c r="AO416" s="380"/>
      <c r="AP416" s="380"/>
      <c r="AQ416" s="404"/>
      <c r="AR416" s="380"/>
      <c r="AS416" s="380"/>
      <c r="AT416" s="380"/>
      <c r="AU416" s="380"/>
      <c r="AV416" s="380"/>
      <c r="AW416" s="380"/>
      <c r="AX416" s="380"/>
      <c r="AY416" s="403"/>
      <c r="AZ416" s="380"/>
      <c r="BA416" s="380"/>
      <c r="BB416" s="380"/>
      <c r="BC416" s="380"/>
      <c r="BD416" s="380"/>
      <c r="BE416" s="404"/>
      <c r="BF416" s="380"/>
      <c r="BG416" s="380"/>
      <c r="BH416" s="380"/>
      <c r="BI416" s="380"/>
      <c r="BJ416" s="380"/>
      <c r="BK416" s="380"/>
      <c r="BL416" s="380"/>
      <c r="BM416" s="403"/>
      <c r="BS416" s="83"/>
      <c r="CA416" s="405"/>
      <c r="CG416" s="83"/>
      <c r="CO416" s="405"/>
      <c r="CU416" s="83"/>
      <c r="DC416" s="405"/>
      <c r="DI416" s="83"/>
      <c r="DQ416" s="405"/>
      <c r="DW416" s="83"/>
      <c r="EE416" s="405"/>
      <c r="EK416" s="83"/>
      <c r="ES416" s="405"/>
      <c r="EY416" s="83"/>
      <c r="FG416" s="405"/>
      <c r="FM416" s="83"/>
      <c r="FU416" s="405"/>
      <c r="GA416" s="83"/>
      <c r="GI416" s="405"/>
      <c r="GO416" s="83"/>
      <c r="GW416" s="405"/>
      <c r="HC416" s="83"/>
      <c r="HK416" s="405"/>
      <c r="HQ416" s="83"/>
      <c r="HY416" s="405"/>
      <c r="IE416" s="83"/>
      <c r="IM416" s="405"/>
      <c r="IS416" s="83"/>
      <c r="JA416" s="405"/>
      <c r="JG416" s="83"/>
      <c r="JO416" s="405"/>
      <c r="JU416" s="83"/>
      <c r="KC416" s="405"/>
      <c r="KI416" s="83"/>
      <c r="KQ416" s="405"/>
      <c r="KW416" s="83"/>
      <c r="LE416" s="405"/>
      <c r="LK416" s="83"/>
      <c r="LS416" s="405"/>
      <c r="LY416" s="83"/>
      <c r="MG416" s="405"/>
      <c r="MM416" s="83"/>
      <c r="MU416" s="405"/>
      <c r="NA416" s="83"/>
    </row>
    <row r="417">
      <c r="A417" s="380"/>
      <c r="B417" s="380"/>
      <c r="C417" s="380"/>
      <c r="D417" s="380"/>
      <c r="E417" s="380"/>
      <c r="F417" s="380"/>
      <c r="G417" s="380"/>
      <c r="H417" s="380"/>
      <c r="I417" s="403"/>
      <c r="J417" s="380"/>
      <c r="K417" s="380"/>
      <c r="L417" s="380"/>
      <c r="M417" s="380"/>
      <c r="N417" s="380"/>
      <c r="O417" s="404"/>
      <c r="P417" s="380"/>
      <c r="Q417" s="380"/>
      <c r="R417" s="380"/>
      <c r="S417" s="380"/>
      <c r="T417" s="380"/>
      <c r="U417" s="380"/>
      <c r="V417" s="380"/>
      <c r="W417" s="403"/>
      <c r="X417" s="380"/>
      <c r="Y417" s="380"/>
      <c r="Z417" s="380"/>
      <c r="AA417" s="380"/>
      <c r="AB417" s="380"/>
      <c r="AC417" s="404"/>
      <c r="AD417" s="380"/>
      <c r="AE417" s="380"/>
      <c r="AF417" s="380"/>
      <c r="AG417" s="380"/>
      <c r="AH417" s="380"/>
      <c r="AI417" s="380"/>
      <c r="AJ417" s="380"/>
      <c r="AK417" s="403"/>
      <c r="AL417" s="380"/>
      <c r="AM417" s="380"/>
      <c r="AN417" s="380"/>
      <c r="AO417" s="380"/>
      <c r="AP417" s="380"/>
      <c r="AQ417" s="404"/>
      <c r="AR417" s="380"/>
      <c r="AS417" s="380"/>
      <c r="AT417" s="380"/>
      <c r="AU417" s="380"/>
      <c r="AV417" s="380"/>
      <c r="AW417" s="380"/>
      <c r="AX417" s="380"/>
      <c r="AY417" s="403"/>
      <c r="AZ417" s="380"/>
      <c r="BA417" s="380"/>
      <c r="BB417" s="380"/>
      <c r="BC417" s="380"/>
      <c r="BD417" s="380"/>
      <c r="BE417" s="404"/>
      <c r="BF417" s="380"/>
      <c r="BG417" s="380"/>
      <c r="BH417" s="380"/>
      <c r="BI417" s="380"/>
      <c r="BJ417" s="380"/>
      <c r="BK417" s="380"/>
      <c r="BL417" s="380"/>
      <c r="BM417" s="403"/>
      <c r="BS417" s="83"/>
      <c r="CA417" s="405"/>
      <c r="CG417" s="83"/>
      <c r="CO417" s="405"/>
      <c r="CU417" s="83"/>
      <c r="DC417" s="405"/>
      <c r="DI417" s="83"/>
      <c r="DQ417" s="405"/>
      <c r="DW417" s="83"/>
      <c r="EE417" s="405"/>
      <c r="EK417" s="83"/>
      <c r="ES417" s="405"/>
      <c r="EY417" s="83"/>
      <c r="FG417" s="405"/>
      <c r="FM417" s="83"/>
      <c r="FU417" s="405"/>
      <c r="GA417" s="83"/>
      <c r="GI417" s="405"/>
      <c r="GO417" s="83"/>
      <c r="GW417" s="405"/>
      <c r="HC417" s="83"/>
      <c r="HK417" s="405"/>
      <c r="HQ417" s="83"/>
      <c r="HY417" s="405"/>
      <c r="IE417" s="83"/>
      <c r="IM417" s="405"/>
      <c r="IS417" s="83"/>
      <c r="JA417" s="405"/>
      <c r="JG417" s="83"/>
      <c r="JO417" s="405"/>
      <c r="JU417" s="83"/>
      <c r="KC417" s="405"/>
      <c r="KI417" s="83"/>
      <c r="KQ417" s="405"/>
      <c r="KW417" s="83"/>
      <c r="LE417" s="405"/>
      <c r="LK417" s="83"/>
      <c r="LS417" s="405"/>
      <c r="LY417" s="83"/>
      <c r="MG417" s="405"/>
      <c r="MM417" s="83"/>
      <c r="MU417" s="405"/>
      <c r="NA417" s="83"/>
    </row>
    <row r="418">
      <c r="A418" s="380"/>
      <c r="B418" s="380"/>
      <c r="C418" s="380"/>
      <c r="D418" s="380"/>
      <c r="E418" s="380"/>
      <c r="F418" s="380"/>
      <c r="G418" s="380"/>
      <c r="H418" s="380"/>
      <c r="I418" s="403"/>
      <c r="J418" s="380"/>
      <c r="K418" s="380"/>
      <c r="L418" s="380"/>
      <c r="M418" s="380"/>
      <c r="N418" s="380"/>
      <c r="O418" s="404"/>
      <c r="P418" s="380"/>
      <c r="Q418" s="380"/>
      <c r="R418" s="380"/>
      <c r="S418" s="380"/>
      <c r="T418" s="380"/>
      <c r="U418" s="380"/>
      <c r="V418" s="380"/>
      <c r="W418" s="403"/>
      <c r="X418" s="380"/>
      <c r="Y418" s="380"/>
      <c r="Z418" s="380"/>
      <c r="AA418" s="380"/>
      <c r="AB418" s="380"/>
      <c r="AC418" s="404"/>
      <c r="AD418" s="380"/>
      <c r="AE418" s="380"/>
      <c r="AF418" s="380"/>
      <c r="AG418" s="380"/>
      <c r="AH418" s="380"/>
      <c r="AI418" s="380"/>
      <c r="AJ418" s="380"/>
      <c r="AK418" s="403"/>
      <c r="AL418" s="380"/>
      <c r="AM418" s="380"/>
      <c r="AN418" s="380"/>
      <c r="AO418" s="380"/>
      <c r="AP418" s="380"/>
      <c r="AQ418" s="404"/>
      <c r="AR418" s="380"/>
      <c r="AS418" s="380"/>
      <c r="AT418" s="380"/>
      <c r="AU418" s="380"/>
      <c r="AV418" s="380"/>
      <c r="AW418" s="380"/>
      <c r="AX418" s="380"/>
      <c r="AY418" s="403"/>
      <c r="AZ418" s="380"/>
      <c r="BA418" s="380"/>
      <c r="BB418" s="380"/>
      <c r="BC418" s="380"/>
      <c r="BD418" s="380"/>
      <c r="BE418" s="404"/>
      <c r="BF418" s="380"/>
      <c r="BG418" s="380"/>
      <c r="BH418" s="380"/>
      <c r="BI418" s="380"/>
      <c r="BJ418" s="380"/>
      <c r="BK418" s="380"/>
      <c r="BL418" s="380"/>
      <c r="BM418" s="403"/>
      <c r="BS418" s="83"/>
      <c r="CA418" s="405"/>
      <c r="CG418" s="83"/>
      <c r="CO418" s="405"/>
      <c r="CU418" s="83"/>
      <c r="DC418" s="405"/>
      <c r="DI418" s="83"/>
      <c r="DQ418" s="405"/>
      <c r="DW418" s="83"/>
      <c r="EE418" s="405"/>
      <c r="EK418" s="83"/>
      <c r="ES418" s="405"/>
      <c r="EY418" s="83"/>
      <c r="FG418" s="405"/>
      <c r="FM418" s="83"/>
      <c r="FU418" s="405"/>
      <c r="GA418" s="83"/>
      <c r="GI418" s="405"/>
      <c r="GO418" s="83"/>
      <c r="GW418" s="405"/>
      <c r="HC418" s="83"/>
      <c r="HK418" s="405"/>
      <c r="HQ418" s="83"/>
      <c r="HY418" s="405"/>
      <c r="IE418" s="83"/>
      <c r="IM418" s="405"/>
      <c r="IS418" s="83"/>
      <c r="JA418" s="405"/>
      <c r="JG418" s="83"/>
      <c r="JO418" s="405"/>
      <c r="JU418" s="83"/>
      <c r="KC418" s="405"/>
      <c r="KI418" s="83"/>
      <c r="KQ418" s="405"/>
      <c r="KW418" s="83"/>
      <c r="LE418" s="405"/>
      <c r="LK418" s="83"/>
      <c r="LS418" s="405"/>
      <c r="LY418" s="83"/>
      <c r="MG418" s="405"/>
      <c r="MM418" s="83"/>
      <c r="MU418" s="405"/>
      <c r="NA418" s="83"/>
    </row>
    <row r="419">
      <c r="A419" s="380"/>
      <c r="B419" s="380"/>
      <c r="C419" s="380"/>
      <c r="D419" s="380"/>
      <c r="E419" s="380"/>
      <c r="F419" s="380"/>
      <c r="G419" s="380"/>
      <c r="H419" s="380"/>
      <c r="I419" s="403"/>
      <c r="J419" s="380"/>
      <c r="K419" s="380"/>
      <c r="L419" s="380"/>
      <c r="M419" s="380"/>
      <c r="N419" s="380"/>
      <c r="O419" s="404"/>
      <c r="P419" s="380"/>
      <c r="Q419" s="380"/>
      <c r="R419" s="380"/>
      <c r="S419" s="380"/>
      <c r="T419" s="380"/>
      <c r="U419" s="380"/>
      <c r="V419" s="380"/>
      <c r="W419" s="403"/>
      <c r="X419" s="380"/>
      <c r="Y419" s="380"/>
      <c r="Z419" s="380"/>
      <c r="AA419" s="380"/>
      <c r="AB419" s="380"/>
      <c r="AC419" s="404"/>
      <c r="AD419" s="380"/>
      <c r="AE419" s="380"/>
      <c r="AF419" s="380"/>
      <c r="AG419" s="380"/>
      <c r="AH419" s="380"/>
      <c r="AI419" s="380"/>
      <c r="AJ419" s="380"/>
      <c r="AK419" s="403"/>
      <c r="AL419" s="380"/>
      <c r="AM419" s="380"/>
      <c r="AN419" s="380"/>
      <c r="AO419" s="380"/>
      <c r="AP419" s="380"/>
      <c r="AQ419" s="404"/>
      <c r="AR419" s="380"/>
      <c r="AS419" s="380"/>
      <c r="AT419" s="380"/>
      <c r="AU419" s="380"/>
      <c r="AV419" s="380"/>
      <c r="AW419" s="380"/>
      <c r="AX419" s="380"/>
      <c r="AY419" s="403"/>
      <c r="AZ419" s="380"/>
      <c r="BA419" s="380"/>
      <c r="BB419" s="380"/>
      <c r="BC419" s="380"/>
      <c r="BD419" s="380"/>
      <c r="BE419" s="404"/>
      <c r="BF419" s="380"/>
      <c r="BG419" s="380"/>
      <c r="BH419" s="380"/>
      <c r="BI419" s="380"/>
      <c r="BJ419" s="380"/>
      <c r="BK419" s="380"/>
      <c r="BL419" s="380"/>
      <c r="BM419" s="403"/>
      <c r="BS419" s="83"/>
      <c r="CA419" s="405"/>
      <c r="CG419" s="83"/>
      <c r="CO419" s="405"/>
      <c r="CU419" s="83"/>
      <c r="DC419" s="405"/>
      <c r="DI419" s="83"/>
      <c r="DQ419" s="405"/>
      <c r="DW419" s="83"/>
      <c r="EE419" s="405"/>
      <c r="EK419" s="83"/>
      <c r="ES419" s="405"/>
      <c r="EY419" s="83"/>
      <c r="FG419" s="405"/>
      <c r="FM419" s="83"/>
      <c r="FU419" s="405"/>
      <c r="GA419" s="83"/>
      <c r="GI419" s="405"/>
      <c r="GO419" s="83"/>
      <c r="GW419" s="405"/>
      <c r="HC419" s="83"/>
      <c r="HK419" s="405"/>
      <c r="HQ419" s="83"/>
      <c r="HY419" s="405"/>
      <c r="IE419" s="83"/>
      <c r="IM419" s="405"/>
      <c r="IS419" s="83"/>
      <c r="JA419" s="405"/>
      <c r="JG419" s="83"/>
      <c r="JO419" s="405"/>
      <c r="JU419" s="83"/>
      <c r="KC419" s="405"/>
      <c r="KI419" s="83"/>
      <c r="KQ419" s="405"/>
      <c r="KW419" s="83"/>
      <c r="LE419" s="405"/>
      <c r="LK419" s="83"/>
      <c r="LS419" s="405"/>
      <c r="LY419" s="83"/>
      <c r="MG419" s="405"/>
      <c r="MM419" s="83"/>
      <c r="MU419" s="405"/>
      <c r="NA419" s="83"/>
    </row>
    <row r="420">
      <c r="A420" s="380"/>
      <c r="B420" s="380"/>
      <c r="C420" s="380"/>
      <c r="D420" s="380"/>
      <c r="E420" s="380"/>
      <c r="F420" s="380"/>
      <c r="G420" s="380"/>
      <c r="H420" s="380"/>
      <c r="I420" s="403"/>
      <c r="J420" s="380"/>
      <c r="K420" s="380"/>
      <c r="L420" s="380"/>
      <c r="M420" s="380"/>
      <c r="N420" s="380"/>
      <c r="O420" s="404"/>
      <c r="P420" s="380"/>
      <c r="Q420" s="380"/>
      <c r="R420" s="380"/>
      <c r="S420" s="380"/>
      <c r="T420" s="380"/>
      <c r="U420" s="380"/>
      <c r="V420" s="380"/>
      <c r="W420" s="403"/>
      <c r="X420" s="380"/>
      <c r="Y420" s="380"/>
      <c r="Z420" s="380"/>
      <c r="AA420" s="380"/>
      <c r="AB420" s="380"/>
      <c r="AC420" s="404"/>
      <c r="AD420" s="380"/>
      <c r="AE420" s="380"/>
      <c r="AF420" s="380"/>
      <c r="AG420" s="380"/>
      <c r="AH420" s="380"/>
      <c r="AI420" s="380"/>
      <c r="AJ420" s="380"/>
      <c r="AK420" s="403"/>
      <c r="AL420" s="380"/>
      <c r="AM420" s="380"/>
      <c r="AN420" s="380"/>
      <c r="AO420" s="380"/>
      <c r="AP420" s="380"/>
      <c r="AQ420" s="404"/>
      <c r="AR420" s="380"/>
      <c r="AS420" s="380"/>
      <c r="AT420" s="380"/>
      <c r="AU420" s="380"/>
      <c r="AV420" s="380"/>
      <c r="AW420" s="380"/>
      <c r="AX420" s="380"/>
      <c r="AY420" s="403"/>
      <c r="AZ420" s="380"/>
      <c r="BA420" s="380"/>
      <c r="BB420" s="380"/>
      <c r="BC420" s="380"/>
      <c r="BD420" s="380"/>
      <c r="BE420" s="404"/>
      <c r="BF420" s="380"/>
      <c r="BG420" s="380"/>
      <c r="BH420" s="380"/>
      <c r="BI420" s="380"/>
      <c r="BJ420" s="380"/>
      <c r="BK420" s="380"/>
      <c r="BL420" s="380"/>
      <c r="BM420" s="403"/>
      <c r="BS420" s="83"/>
      <c r="CA420" s="405"/>
      <c r="CG420" s="83"/>
      <c r="CO420" s="405"/>
      <c r="CU420" s="83"/>
      <c r="DC420" s="405"/>
      <c r="DI420" s="83"/>
      <c r="DQ420" s="405"/>
      <c r="DW420" s="83"/>
      <c r="EE420" s="405"/>
      <c r="EK420" s="83"/>
      <c r="ES420" s="405"/>
      <c r="EY420" s="83"/>
      <c r="FG420" s="405"/>
      <c r="FM420" s="83"/>
      <c r="FU420" s="405"/>
      <c r="GA420" s="83"/>
      <c r="GI420" s="405"/>
      <c r="GO420" s="83"/>
      <c r="GW420" s="405"/>
      <c r="HC420" s="83"/>
      <c r="HK420" s="405"/>
      <c r="HQ420" s="83"/>
      <c r="HY420" s="405"/>
      <c r="IE420" s="83"/>
      <c r="IM420" s="405"/>
      <c r="IS420" s="83"/>
      <c r="JA420" s="405"/>
      <c r="JG420" s="83"/>
      <c r="JO420" s="405"/>
      <c r="JU420" s="83"/>
      <c r="KC420" s="405"/>
      <c r="KI420" s="83"/>
      <c r="KQ420" s="405"/>
      <c r="KW420" s="83"/>
      <c r="LE420" s="405"/>
      <c r="LK420" s="83"/>
      <c r="LS420" s="405"/>
      <c r="LY420" s="83"/>
      <c r="MG420" s="405"/>
      <c r="MM420" s="83"/>
      <c r="MU420" s="405"/>
      <c r="NA420" s="83"/>
    </row>
    <row r="421">
      <c r="A421" s="380"/>
      <c r="B421" s="380"/>
      <c r="C421" s="380"/>
      <c r="D421" s="380"/>
      <c r="E421" s="380"/>
      <c r="F421" s="380"/>
      <c r="G421" s="380"/>
      <c r="H421" s="380"/>
      <c r="I421" s="403"/>
      <c r="J421" s="380"/>
      <c r="K421" s="380"/>
      <c r="L421" s="380"/>
      <c r="M421" s="380"/>
      <c r="N421" s="380"/>
      <c r="O421" s="404"/>
      <c r="P421" s="380"/>
      <c r="Q421" s="380"/>
      <c r="R421" s="380"/>
      <c r="S421" s="380"/>
      <c r="T421" s="380"/>
      <c r="U421" s="380"/>
      <c r="V421" s="380"/>
      <c r="W421" s="403"/>
      <c r="X421" s="380"/>
      <c r="Y421" s="380"/>
      <c r="Z421" s="380"/>
      <c r="AA421" s="380"/>
      <c r="AB421" s="380"/>
      <c r="AC421" s="404"/>
      <c r="AD421" s="380"/>
      <c r="AE421" s="380"/>
      <c r="AF421" s="380"/>
      <c r="AG421" s="380"/>
      <c r="AH421" s="380"/>
      <c r="AI421" s="380"/>
      <c r="AJ421" s="380"/>
      <c r="AK421" s="403"/>
      <c r="AL421" s="380"/>
      <c r="AM421" s="380"/>
      <c r="AN421" s="380"/>
      <c r="AO421" s="380"/>
      <c r="AP421" s="380"/>
      <c r="AQ421" s="404"/>
      <c r="AR421" s="380"/>
      <c r="AS421" s="380"/>
      <c r="AT421" s="380"/>
      <c r="AU421" s="380"/>
      <c r="AV421" s="380"/>
      <c r="AW421" s="380"/>
      <c r="AX421" s="380"/>
      <c r="AY421" s="403"/>
      <c r="AZ421" s="380"/>
      <c r="BA421" s="380"/>
      <c r="BB421" s="380"/>
      <c r="BC421" s="380"/>
      <c r="BD421" s="380"/>
      <c r="BE421" s="404"/>
      <c r="BF421" s="380"/>
      <c r="BG421" s="380"/>
      <c r="BH421" s="380"/>
      <c r="BI421" s="380"/>
      <c r="BJ421" s="380"/>
      <c r="BK421" s="380"/>
      <c r="BL421" s="380"/>
      <c r="BM421" s="403"/>
      <c r="BS421" s="83"/>
      <c r="CA421" s="405"/>
      <c r="CG421" s="83"/>
      <c r="CO421" s="405"/>
      <c r="CU421" s="83"/>
      <c r="DC421" s="405"/>
      <c r="DI421" s="83"/>
      <c r="DQ421" s="405"/>
      <c r="DW421" s="83"/>
      <c r="EE421" s="405"/>
      <c r="EK421" s="83"/>
      <c r="ES421" s="405"/>
      <c r="EY421" s="83"/>
      <c r="FG421" s="405"/>
      <c r="FM421" s="83"/>
      <c r="FU421" s="405"/>
      <c r="GA421" s="83"/>
      <c r="GI421" s="405"/>
      <c r="GO421" s="83"/>
      <c r="GW421" s="405"/>
      <c r="HC421" s="83"/>
      <c r="HK421" s="405"/>
      <c r="HQ421" s="83"/>
      <c r="HY421" s="405"/>
      <c r="IE421" s="83"/>
      <c r="IM421" s="405"/>
      <c r="IS421" s="83"/>
      <c r="JA421" s="405"/>
      <c r="JG421" s="83"/>
      <c r="JO421" s="405"/>
      <c r="JU421" s="83"/>
      <c r="KC421" s="405"/>
      <c r="KI421" s="83"/>
      <c r="KQ421" s="405"/>
      <c r="KW421" s="83"/>
      <c r="LE421" s="405"/>
      <c r="LK421" s="83"/>
      <c r="LS421" s="405"/>
      <c r="LY421" s="83"/>
      <c r="MG421" s="405"/>
      <c r="MM421" s="83"/>
      <c r="MU421" s="405"/>
      <c r="NA421" s="83"/>
    </row>
    <row r="422">
      <c r="A422" s="380"/>
      <c r="B422" s="380"/>
      <c r="C422" s="380"/>
      <c r="D422" s="380"/>
      <c r="E422" s="380"/>
      <c r="F422" s="380"/>
      <c r="G422" s="380"/>
      <c r="H422" s="380"/>
      <c r="I422" s="403"/>
      <c r="J422" s="380"/>
      <c r="K422" s="380"/>
      <c r="L422" s="380"/>
      <c r="M422" s="380"/>
      <c r="N422" s="380"/>
      <c r="O422" s="404"/>
      <c r="P422" s="380"/>
      <c r="Q422" s="380"/>
      <c r="R422" s="380"/>
      <c r="S422" s="380"/>
      <c r="T422" s="380"/>
      <c r="U422" s="380"/>
      <c r="V422" s="380"/>
      <c r="W422" s="403"/>
      <c r="X422" s="380"/>
      <c r="Y422" s="380"/>
      <c r="Z422" s="380"/>
      <c r="AA422" s="380"/>
      <c r="AB422" s="380"/>
      <c r="AC422" s="404"/>
      <c r="AD422" s="380"/>
      <c r="AE422" s="380"/>
      <c r="AF422" s="380"/>
      <c r="AG422" s="380"/>
      <c r="AH422" s="380"/>
      <c r="AI422" s="380"/>
      <c r="AJ422" s="380"/>
      <c r="AK422" s="403"/>
      <c r="AL422" s="380"/>
      <c r="AM422" s="380"/>
      <c r="AN422" s="380"/>
      <c r="AO422" s="380"/>
      <c r="AP422" s="380"/>
      <c r="AQ422" s="404"/>
      <c r="AR422" s="380"/>
      <c r="AS422" s="380"/>
      <c r="AT422" s="380"/>
      <c r="AU422" s="380"/>
      <c r="AV422" s="380"/>
      <c r="AW422" s="380"/>
      <c r="AX422" s="380"/>
      <c r="AY422" s="403"/>
      <c r="AZ422" s="380"/>
      <c r="BA422" s="380"/>
      <c r="BB422" s="380"/>
      <c r="BC422" s="380"/>
      <c r="BD422" s="380"/>
      <c r="BE422" s="404"/>
      <c r="BF422" s="380"/>
      <c r="BG422" s="380"/>
      <c r="BH422" s="380"/>
      <c r="BI422" s="380"/>
      <c r="BJ422" s="380"/>
      <c r="BK422" s="380"/>
      <c r="BL422" s="380"/>
      <c r="BM422" s="403"/>
      <c r="BS422" s="83"/>
      <c r="CA422" s="405"/>
      <c r="CG422" s="83"/>
      <c r="CO422" s="405"/>
      <c r="CU422" s="83"/>
      <c r="DC422" s="405"/>
      <c r="DI422" s="83"/>
      <c r="DQ422" s="405"/>
      <c r="DW422" s="83"/>
      <c r="EE422" s="405"/>
      <c r="EK422" s="83"/>
      <c r="ES422" s="405"/>
      <c r="EY422" s="83"/>
      <c r="FG422" s="405"/>
      <c r="FM422" s="83"/>
      <c r="FU422" s="405"/>
      <c r="GA422" s="83"/>
      <c r="GI422" s="405"/>
      <c r="GO422" s="83"/>
      <c r="GW422" s="405"/>
      <c r="HC422" s="83"/>
      <c r="HK422" s="405"/>
      <c r="HQ422" s="83"/>
      <c r="HY422" s="405"/>
      <c r="IE422" s="83"/>
      <c r="IM422" s="405"/>
      <c r="IS422" s="83"/>
      <c r="JA422" s="405"/>
      <c r="JG422" s="83"/>
      <c r="JO422" s="405"/>
      <c r="JU422" s="83"/>
      <c r="KC422" s="405"/>
      <c r="KI422" s="83"/>
      <c r="KQ422" s="405"/>
      <c r="KW422" s="83"/>
      <c r="LE422" s="405"/>
      <c r="LK422" s="83"/>
      <c r="LS422" s="405"/>
      <c r="LY422" s="83"/>
      <c r="MG422" s="405"/>
      <c r="MM422" s="83"/>
      <c r="MU422" s="405"/>
      <c r="NA422" s="83"/>
    </row>
    <row r="423">
      <c r="A423" s="380"/>
      <c r="B423" s="380"/>
      <c r="C423" s="380"/>
      <c r="D423" s="380"/>
      <c r="E423" s="380"/>
      <c r="F423" s="380"/>
      <c r="G423" s="380"/>
      <c r="H423" s="380"/>
      <c r="I423" s="403"/>
      <c r="J423" s="380"/>
      <c r="K423" s="380"/>
      <c r="L423" s="380"/>
      <c r="M423" s="380"/>
      <c r="N423" s="380"/>
      <c r="O423" s="404"/>
      <c r="P423" s="380"/>
      <c r="Q423" s="380"/>
      <c r="R423" s="380"/>
      <c r="S423" s="380"/>
      <c r="T423" s="380"/>
      <c r="U423" s="380"/>
      <c r="V423" s="380"/>
      <c r="W423" s="403"/>
      <c r="X423" s="380"/>
      <c r="Y423" s="380"/>
      <c r="Z423" s="380"/>
      <c r="AA423" s="380"/>
      <c r="AB423" s="380"/>
      <c r="AC423" s="404"/>
      <c r="AD423" s="380"/>
      <c r="AE423" s="380"/>
      <c r="AF423" s="380"/>
      <c r="AG423" s="380"/>
      <c r="AH423" s="380"/>
      <c r="AI423" s="380"/>
      <c r="AJ423" s="380"/>
      <c r="AK423" s="403"/>
      <c r="AL423" s="380"/>
      <c r="AM423" s="380"/>
      <c r="AN423" s="380"/>
      <c r="AO423" s="380"/>
      <c r="AP423" s="380"/>
      <c r="AQ423" s="404"/>
      <c r="AR423" s="380"/>
      <c r="AS423" s="380"/>
      <c r="AT423" s="380"/>
      <c r="AU423" s="380"/>
      <c r="AV423" s="380"/>
      <c r="AW423" s="380"/>
      <c r="AX423" s="380"/>
      <c r="AY423" s="403"/>
      <c r="AZ423" s="380"/>
      <c r="BA423" s="380"/>
      <c r="BB423" s="380"/>
      <c r="BC423" s="380"/>
      <c r="BD423" s="380"/>
      <c r="BE423" s="404"/>
      <c r="BF423" s="380"/>
      <c r="BG423" s="380"/>
      <c r="BH423" s="380"/>
      <c r="BI423" s="380"/>
      <c r="BJ423" s="380"/>
      <c r="BK423" s="380"/>
      <c r="BL423" s="380"/>
      <c r="BM423" s="403"/>
      <c r="BS423" s="83"/>
      <c r="CA423" s="405"/>
      <c r="CG423" s="83"/>
      <c r="CO423" s="405"/>
      <c r="CU423" s="83"/>
      <c r="DC423" s="405"/>
      <c r="DI423" s="83"/>
      <c r="DQ423" s="405"/>
      <c r="DW423" s="83"/>
      <c r="EE423" s="405"/>
      <c r="EK423" s="83"/>
      <c r="ES423" s="405"/>
      <c r="EY423" s="83"/>
      <c r="FG423" s="405"/>
      <c r="FM423" s="83"/>
      <c r="FU423" s="405"/>
      <c r="GA423" s="83"/>
      <c r="GI423" s="405"/>
      <c r="GO423" s="83"/>
      <c r="GW423" s="405"/>
      <c r="HC423" s="83"/>
      <c r="HK423" s="405"/>
      <c r="HQ423" s="83"/>
      <c r="HY423" s="405"/>
      <c r="IE423" s="83"/>
      <c r="IM423" s="405"/>
      <c r="IS423" s="83"/>
      <c r="JA423" s="405"/>
      <c r="JG423" s="83"/>
      <c r="JO423" s="405"/>
      <c r="JU423" s="83"/>
      <c r="KC423" s="405"/>
      <c r="KI423" s="83"/>
      <c r="KQ423" s="405"/>
      <c r="KW423" s="83"/>
      <c r="LE423" s="405"/>
      <c r="LK423" s="83"/>
      <c r="LS423" s="405"/>
      <c r="LY423" s="83"/>
      <c r="MG423" s="405"/>
      <c r="MM423" s="83"/>
      <c r="MU423" s="405"/>
      <c r="NA423" s="83"/>
    </row>
    <row r="424">
      <c r="A424" s="380"/>
      <c r="B424" s="380"/>
      <c r="C424" s="380"/>
      <c r="D424" s="380"/>
      <c r="E424" s="380"/>
      <c r="F424" s="380"/>
      <c r="G424" s="380"/>
      <c r="H424" s="380"/>
      <c r="I424" s="403"/>
      <c r="J424" s="380"/>
      <c r="K424" s="380"/>
      <c r="L424" s="380"/>
      <c r="M424" s="380"/>
      <c r="N424" s="380"/>
      <c r="O424" s="404"/>
      <c r="P424" s="380"/>
      <c r="Q424" s="380"/>
      <c r="R424" s="380"/>
      <c r="S424" s="380"/>
      <c r="T424" s="380"/>
      <c r="U424" s="380"/>
      <c r="V424" s="380"/>
      <c r="W424" s="403"/>
      <c r="X424" s="380"/>
      <c r="Y424" s="380"/>
      <c r="Z424" s="380"/>
      <c r="AA424" s="380"/>
      <c r="AB424" s="380"/>
      <c r="AC424" s="404"/>
      <c r="AD424" s="380"/>
      <c r="AE424" s="380"/>
      <c r="AF424" s="380"/>
      <c r="AG424" s="380"/>
      <c r="AH424" s="380"/>
      <c r="AI424" s="380"/>
      <c r="AJ424" s="380"/>
      <c r="AK424" s="403"/>
      <c r="AL424" s="380"/>
      <c r="AM424" s="380"/>
      <c r="AN424" s="380"/>
      <c r="AO424" s="380"/>
      <c r="AP424" s="380"/>
      <c r="AQ424" s="404"/>
      <c r="AR424" s="380"/>
      <c r="AS424" s="380"/>
      <c r="AT424" s="380"/>
      <c r="AU424" s="380"/>
      <c r="AV424" s="380"/>
      <c r="AW424" s="380"/>
      <c r="AX424" s="380"/>
      <c r="AY424" s="403"/>
      <c r="AZ424" s="380"/>
      <c r="BA424" s="380"/>
      <c r="BB424" s="380"/>
      <c r="BC424" s="380"/>
      <c r="BD424" s="380"/>
      <c r="BE424" s="404"/>
      <c r="BF424" s="380"/>
      <c r="BG424" s="380"/>
      <c r="BH424" s="380"/>
      <c r="BI424" s="380"/>
      <c r="BJ424" s="380"/>
      <c r="BK424" s="380"/>
      <c r="BL424" s="380"/>
      <c r="BM424" s="403"/>
      <c r="BS424" s="83"/>
      <c r="CA424" s="405"/>
      <c r="CG424" s="83"/>
      <c r="CO424" s="405"/>
      <c r="CU424" s="83"/>
      <c r="DC424" s="405"/>
      <c r="DI424" s="83"/>
      <c r="DQ424" s="405"/>
      <c r="DW424" s="83"/>
      <c r="EE424" s="405"/>
      <c r="EK424" s="83"/>
      <c r="ES424" s="405"/>
      <c r="EY424" s="83"/>
      <c r="FG424" s="405"/>
      <c r="FM424" s="83"/>
      <c r="FU424" s="405"/>
      <c r="GA424" s="83"/>
      <c r="GI424" s="405"/>
      <c r="GO424" s="83"/>
      <c r="GW424" s="405"/>
      <c r="HC424" s="83"/>
      <c r="HK424" s="405"/>
      <c r="HQ424" s="83"/>
      <c r="HY424" s="405"/>
      <c r="IE424" s="83"/>
      <c r="IM424" s="405"/>
      <c r="IS424" s="83"/>
      <c r="JA424" s="405"/>
      <c r="JG424" s="83"/>
      <c r="JO424" s="405"/>
      <c r="JU424" s="83"/>
      <c r="KC424" s="405"/>
      <c r="KI424" s="83"/>
      <c r="KQ424" s="405"/>
      <c r="KW424" s="83"/>
      <c r="LE424" s="405"/>
      <c r="LK424" s="83"/>
      <c r="LS424" s="405"/>
      <c r="LY424" s="83"/>
      <c r="MG424" s="405"/>
      <c r="MM424" s="83"/>
      <c r="MU424" s="405"/>
      <c r="NA424" s="83"/>
    </row>
    <row r="425">
      <c r="A425" s="380"/>
      <c r="B425" s="380"/>
      <c r="C425" s="380"/>
      <c r="D425" s="380"/>
      <c r="E425" s="380"/>
      <c r="F425" s="380"/>
      <c r="G425" s="380"/>
      <c r="H425" s="380"/>
      <c r="I425" s="403"/>
      <c r="J425" s="380"/>
      <c r="K425" s="380"/>
      <c r="L425" s="380"/>
      <c r="M425" s="380"/>
      <c r="N425" s="380"/>
      <c r="O425" s="404"/>
      <c r="P425" s="380"/>
      <c r="Q425" s="380"/>
      <c r="R425" s="380"/>
      <c r="S425" s="380"/>
      <c r="T425" s="380"/>
      <c r="U425" s="380"/>
      <c r="V425" s="380"/>
      <c r="W425" s="403"/>
      <c r="X425" s="380"/>
      <c r="Y425" s="380"/>
      <c r="Z425" s="380"/>
      <c r="AA425" s="380"/>
      <c r="AB425" s="380"/>
      <c r="AC425" s="404"/>
      <c r="AD425" s="380"/>
      <c r="AE425" s="380"/>
      <c r="AF425" s="380"/>
      <c r="AG425" s="380"/>
      <c r="AH425" s="380"/>
      <c r="AI425" s="380"/>
      <c r="AJ425" s="380"/>
      <c r="AK425" s="403"/>
      <c r="AL425" s="380"/>
      <c r="AM425" s="380"/>
      <c r="AN425" s="380"/>
      <c r="AO425" s="380"/>
      <c r="AP425" s="380"/>
      <c r="AQ425" s="404"/>
      <c r="AR425" s="380"/>
      <c r="AS425" s="380"/>
      <c r="AT425" s="380"/>
      <c r="AU425" s="380"/>
      <c r="AV425" s="380"/>
      <c r="AW425" s="380"/>
      <c r="AX425" s="380"/>
      <c r="AY425" s="403"/>
      <c r="AZ425" s="380"/>
      <c r="BA425" s="380"/>
      <c r="BB425" s="380"/>
      <c r="BC425" s="380"/>
      <c r="BD425" s="380"/>
      <c r="BE425" s="404"/>
      <c r="BF425" s="380"/>
      <c r="BG425" s="380"/>
      <c r="BH425" s="380"/>
      <c r="BI425" s="380"/>
      <c r="BJ425" s="380"/>
      <c r="BK425" s="380"/>
      <c r="BL425" s="380"/>
      <c r="BM425" s="403"/>
      <c r="BS425" s="83"/>
      <c r="CA425" s="405"/>
      <c r="CG425" s="83"/>
      <c r="CO425" s="405"/>
      <c r="CU425" s="83"/>
      <c r="DC425" s="405"/>
      <c r="DI425" s="83"/>
      <c r="DQ425" s="405"/>
      <c r="DW425" s="83"/>
      <c r="EE425" s="405"/>
      <c r="EK425" s="83"/>
      <c r="ES425" s="405"/>
      <c r="EY425" s="83"/>
      <c r="FG425" s="405"/>
      <c r="FM425" s="83"/>
      <c r="FU425" s="405"/>
      <c r="GA425" s="83"/>
      <c r="GI425" s="405"/>
      <c r="GO425" s="83"/>
      <c r="GW425" s="405"/>
      <c r="HC425" s="83"/>
      <c r="HK425" s="405"/>
      <c r="HQ425" s="83"/>
      <c r="HY425" s="405"/>
      <c r="IE425" s="83"/>
      <c r="IM425" s="405"/>
      <c r="IS425" s="83"/>
      <c r="JA425" s="405"/>
      <c r="JG425" s="83"/>
      <c r="JO425" s="405"/>
      <c r="JU425" s="83"/>
      <c r="KC425" s="405"/>
      <c r="KI425" s="83"/>
      <c r="KQ425" s="405"/>
      <c r="KW425" s="83"/>
      <c r="LE425" s="405"/>
      <c r="LK425" s="83"/>
      <c r="LS425" s="405"/>
      <c r="LY425" s="83"/>
      <c r="MG425" s="405"/>
      <c r="MM425" s="83"/>
      <c r="MU425" s="405"/>
      <c r="NA425" s="83"/>
    </row>
    <row r="426">
      <c r="A426" s="380"/>
      <c r="B426" s="380"/>
      <c r="C426" s="380"/>
      <c r="D426" s="380"/>
      <c r="E426" s="380"/>
      <c r="F426" s="380"/>
      <c r="G426" s="380"/>
      <c r="H426" s="380"/>
      <c r="I426" s="403"/>
      <c r="J426" s="380"/>
      <c r="K426" s="380"/>
      <c r="L426" s="380"/>
      <c r="M426" s="380"/>
      <c r="N426" s="380"/>
      <c r="O426" s="404"/>
      <c r="P426" s="380"/>
      <c r="Q426" s="380"/>
      <c r="R426" s="380"/>
      <c r="S426" s="380"/>
      <c r="T426" s="380"/>
      <c r="U426" s="380"/>
      <c r="V426" s="380"/>
      <c r="W426" s="403"/>
      <c r="X426" s="380"/>
      <c r="Y426" s="380"/>
      <c r="Z426" s="380"/>
      <c r="AA426" s="380"/>
      <c r="AB426" s="380"/>
      <c r="AC426" s="404"/>
      <c r="AD426" s="380"/>
      <c r="AE426" s="380"/>
      <c r="AF426" s="380"/>
      <c r="AG426" s="380"/>
      <c r="AH426" s="380"/>
      <c r="AI426" s="380"/>
      <c r="AJ426" s="380"/>
      <c r="AK426" s="403"/>
      <c r="AL426" s="380"/>
      <c r="AM426" s="380"/>
      <c r="AN426" s="380"/>
      <c r="AO426" s="380"/>
      <c r="AP426" s="380"/>
      <c r="AQ426" s="404"/>
      <c r="AR426" s="380"/>
      <c r="AS426" s="380"/>
      <c r="AT426" s="380"/>
      <c r="AU426" s="380"/>
      <c r="AV426" s="380"/>
      <c r="AW426" s="380"/>
      <c r="AX426" s="380"/>
      <c r="AY426" s="403"/>
      <c r="AZ426" s="380"/>
      <c r="BA426" s="380"/>
      <c r="BB426" s="380"/>
      <c r="BC426" s="380"/>
      <c r="BD426" s="380"/>
      <c r="BE426" s="404"/>
      <c r="BF426" s="380"/>
      <c r="BG426" s="380"/>
      <c r="BH426" s="380"/>
      <c r="BI426" s="380"/>
      <c r="BJ426" s="380"/>
      <c r="BK426" s="380"/>
      <c r="BL426" s="380"/>
      <c r="BM426" s="403"/>
      <c r="BS426" s="83"/>
      <c r="CA426" s="405"/>
      <c r="CG426" s="83"/>
      <c r="CO426" s="405"/>
      <c r="CU426" s="83"/>
      <c r="DC426" s="405"/>
      <c r="DI426" s="83"/>
      <c r="DQ426" s="405"/>
      <c r="DW426" s="83"/>
      <c r="EE426" s="405"/>
      <c r="EK426" s="83"/>
      <c r="ES426" s="405"/>
      <c r="EY426" s="83"/>
      <c r="FG426" s="405"/>
      <c r="FM426" s="83"/>
      <c r="FU426" s="405"/>
      <c r="GA426" s="83"/>
      <c r="GI426" s="405"/>
      <c r="GO426" s="83"/>
      <c r="GW426" s="405"/>
      <c r="HC426" s="83"/>
      <c r="HK426" s="405"/>
      <c r="HQ426" s="83"/>
      <c r="HY426" s="405"/>
      <c r="IE426" s="83"/>
      <c r="IM426" s="405"/>
      <c r="IS426" s="83"/>
      <c r="JA426" s="405"/>
      <c r="JG426" s="83"/>
      <c r="JO426" s="405"/>
      <c r="JU426" s="83"/>
      <c r="KC426" s="405"/>
      <c r="KI426" s="83"/>
      <c r="KQ426" s="405"/>
      <c r="KW426" s="83"/>
      <c r="LE426" s="405"/>
      <c r="LK426" s="83"/>
      <c r="LS426" s="405"/>
      <c r="LY426" s="83"/>
      <c r="MG426" s="405"/>
      <c r="MM426" s="83"/>
      <c r="MU426" s="405"/>
      <c r="NA426" s="83"/>
    </row>
    <row r="427">
      <c r="A427" s="380"/>
      <c r="B427" s="380"/>
      <c r="C427" s="380"/>
      <c r="D427" s="380"/>
      <c r="E427" s="380"/>
      <c r="F427" s="380"/>
      <c r="G427" s="380"/>
      <c r="H427" s="380"/>
      <c r="I427" s="403"/>
      <c r="J427" s="380"/>
      <c r="K427" s="380"/>
      <c r="L427" s="380"/>
      <c r="M427" s="380"/>
      <c r="N427" s="380"/>
      <c r="O427" s="404"/>
      <c r="P427" s="380"/>
      <c r="Q427" s="380"/>
      <c r="R427" s="380"/>
      <c r="S427" s="380"/>
      <c r="T427" s="380"/>
      <c r="U427" s="380"/>
      <c r="V427" s="380"/>
      <c r="W427" s="403"/>
      <c r="X427" s="380"/>
      <c r="Y427" s="380"/>
      <c r="Z427" s="380"/>
      <c r="AA427" s="380"/>
      <c r="AB427" s="380"/>
      <c r="AC427" s="404"/>
      <c r="AD427" s="380"/>
      <c r="AE427" s="380"/>
      <c r="AF427" s="380"/>
      <c r="AG427" s="380"/>
      <c r="AH427" s="380"/>
      <c r="AI427" s="380"/>
      <c r="AJ427" s="380"/>
      <c r="AK427" s="403"/>
      <c r="AL427" s="380"/>
      <c r="AM427" s="380"/>
      <c r="AN427" s="380"/>
      <c r="AO427" s="380"/>
      <c r="AP427" s="380"/>
      <c r="AQ427" s="404"/>
      <c r="AR427" s="380"/>
      <c r="AS427" s="380"/>
      <c r="AT427" s="380"/>
      <c r="AU427" s="380"/>
      <c r="AV427" s="380"/>
      <c r="AW427" s="380"/>
      <c r="AX427" s="380"/>
      <c r="AY427" s="403"/>
      <c r="AZ427" s="380"/>
      <c r="BA427" s="380"/>
      <c r="BB427" s="380"/>
      <c r="BC427" s="380"/>
      <c r="BD427" s="380"/>
      <c r="BE427" s="404"/>
      <c r="BF427" s="380"/>
      <c r="BG427" s="380"/>
      <c r="BH427" s="380"/>
      <c r="BI427" s="380"/>
      <c r="BJ427" s="380"/>
      <c r="BK427" s="380"/>
      <c r="BL427" s="380"/>
      <c r="BM427" s="403"/>
      <c r="BS427" s="83"/>
      <c r="CA427" s="405"/>
      <c r="CG427" s="83"/>
      <c r="CO427" s="405"/>
      <c r="CU427" s="83"/>
      <c r="DC427" s="405"/>
      <c r="DI427" s="83"/>
      <c r="DQ427" s="405"/>
      <c r="DW427" s="83"/>
      <c r="EE427" s="405"/>
      <c r="EK427" s="83"/>
      <c r="ES427" s="405"/>
      <c r="EY427" s="83"/>
      <c r="FG427" s="405"/>
      <c r="FM427" s="83"/>
      <c r="FU427" s="405"/>
      <c r="GA427" s="83"/>
      <c r="GI427" s="405"/>
      <c r="GO427" s="83"/>
      <c r="GW427" s="405"/>
      <c r="HC427" s="83"/>
      <c r="HK427" s="405"/>
      <c r="HQ427" s="83"/>
      <c r="HY427" s="405"/>
      <c r="IE427" s="83"/>
      <c r="IM427" s="405"/>
      <c r="IS427" s="83"/>
      <c r="JA427" s="405"/>
      <c r="JG427" s="83"/>
      <c r="JO427" s="405"/>
      <c r="JU427" s="83"/>
      <c r="KC427" s="405"/>
      <c r="KI427" s="83"/>
      <c r="KQ427" s="405"/>
      <c r="KW427" s="83"/>
      <c r="LE427" s="405"/>
      <c r="LK427" s="83"/>
      <c r="LS427" s="405"/>
      <c r="LY427" s="83"/>
      <c r="MG427" s="405"/>
      <c r="MM427" s="83"/>
      <c r="MU427" s="405"/>
      <c r="NA427" s="83"/>
    </row>
    <row r="428">
      <c r="A428" s="380"/>
      <c r="B428" s="380"/>
      <c r="C428" s="380"/>
      <c r="D428" s="380"/>
      <c r="E428" s="380"/>
      <c r="F428" s="380"/>
      <c r="G428" s="380"/>
      <c r="H428" s="380"/>
      <c r="I428" s="403"/>
      <c r="J428" s="380"/>
      <c r="K428" s="380"/>
      <c r="L428" s="380"/>
      <c r="M428" s="380"/>
      <c r="N428" s="380"/>
      <c r="O428" s="404"/>
      <c r="P428" s="380"/>
      <c r="Q428" s="380"/>
      <c r="R428" s="380"/>
      <c r="S428" s="380"/>
      <c r="T428" s="380"/>
      <c r="U428" s="380"/>
      <c r="V428" s="380"/>
      <c r="W428" s="403"/>
      <c r="X428" s="380"/>
      <c r="Y428" s="380"/>
      <c r="Z428" s="380"/>
      <c r="AA428" s="380"/>
      <c r="AB428" s="380"/>
      <c r="AC428" s="404"/>
      <c r="AD428" s="380"/>
      <c r="AE428" s="380"/>
      <c r="AF428" s="380"/>
      <c r="AG428" s="380"/>
      <c r="AH428" s="380"/>
      <c r="AI428" s="380"/>
      <c r="AJ428" s="380"/>
      <c r="AK428" s="403"/>
      <c r="AL428" s="380"/>
      <c r="AM428" s="380"/>
      <c r="AN428" s="380"/>
      <c r="AO428" s="380"/>
      <c r="AP428" s="380"/>
      <c r="AQ428" s="404"/>
      <c r="AR428" s="380"/>
      <c r="AS428" s="380"/>
      <c r="AT428" s="380"/>
      <c r="AU428" s="380"/>
      <c r="AV428" s="380"/>
      <c r="AW428" s="380"/>
      <c r="AX428" s="380"/>
      <c r="AY428" s="403"/>
      <c r="AZ428" s="380"/>
      <c r="BA428" s="380"/>
      <c r="BB428" s="380"/>
      <c r="BC428" s="380"/>
      <c r="BD428" s="380"/>
      <c r="BE428" s="404"/>
      <c r="BF428" s="380"/>
      <c r="BG428" s="380"/>
      <c r="BH428" s="380"/>
      <c r="BI428" s="380"/>
      <c r="BJ428" s="380"/>
      <c r="BK428" s="380"/>
      <c r="BL428" s="380"/>
      <c r="BM428" s="403"/>
      <c r="BS428" s="83"/>
      <c r="CA428" s="405"/>
      <c r="CG428" s="83"/>
      <c r="CO428" s="405"/>
      <c r="CU428" s="83"/>
      <c r="DC428" s="405"/>
      <c r="DI428" s="83"/>
      <c r="DQ428" s="405"/>
      <c r="DW428" s="83"/>
      <c r="EE428" s="405"/>
      <c r="EK428" s="83"/>
      <c r="ES428" s="405"/>
      <c r="EY428" s="83"/>
      <c r="FG428" s="405"/>
      <c r="FM428" s="83"/>
      <c r="FU428" s="405"/>
      <c r="GA428" s="83"/>
      <c r="GI428" s="405"/>
      <c r="GO428" s="83"/>
      <c r="GW428" s="405"/>
      <c r="HC428" s="83"/>
      <c r="HK428" s="405"/>
      <c r="HQ428" s="83"/>
      <c r="HY428" s="405"/>
      <c r="IE428" s="83"/>
      <c r="IM428" s="405"/>
      <c r="IS428" s="83"/>
      <c r="JA428" s="405"/>
      <c r="JG428" s="83"/>
      <c r="JO428" s="405"/>
      <c r="JU428" s="83"/>
      <c r="KC428" s="405"/>
      <c r="KI428" s="83"/>
      <c r="KQ428" s="405"/>
      <c r="KW428" s="83"/>
      <c r="LE428" s="405"/>
      <c r="LK428" s="83"/>
      <c r="LS428" s="405"/>
      <c r="LY428" s="83"/>
      <c r="MG428" s="405"/>
      <c r="MM428" s="83"/>
      <c r="MU428" s="405"/>
      <c r="NA428" s="83"/>
    </row>
    <row r="429">
      <c r="A429" s="380"/>
      <c r="B429" s="380"/>
      <c r="C429" s="380"/>
      <c r="D429" s="380"/>
      <c r="E429" s="380"/>
      <c r="F429" s="380"/>
      <c r="G429" s="380"/>
      <c r="H429" s="380"/>
      <c r="I429" s="403"/>
      <c r="J429" s="380"/>
      <c r="K429" s="380"/>
      <c r="L429" s="380"/>
      <c r="M429" s="380"/>
      <c r="N429" s="380"/>
      <c r="O429" s="404"/>
      <c r="P429" s="380"/>
      <c r="Q429" s="380"/>
      <c r="R429" s="380"/>
      <c r="S429" s="380"/>
      <c r="T429" s="380"/>
      <c r="U429" s="380"/>
      <c r="V429" s="380"/>
      <c r="W429" s="403"/>
      <c r="X429" s="380"/>
      <c r="Y429" s="380"/>
      <c r="Z429" s="380"/>
      <c r="AA429" s="380"/>
      <c r="AB429" s="380"/>
      <c r="AC429" s="404"/>
      <c r="AD429" s="380"/>
      <c r="AE429" s="380"/>
      <c r="AF429" s="380"/>
      <c r="AG429" s="380"/>
      <c r="AH429" s="380"/>
      <c r="AI429" s="380"/>
      <c r="AJ429" s="380"/>
      <c r="AK429" s="403"/>
      <c r="AL429" s="380"/>
      <c r="AM429" s="380"/>
      <c r="AN429" s="380"/>
      <c r="AO429" s="380"/>
      <c r="AP429" s="380"/>
      <c r="AQ429" s="404"/>
      <c r="AR429" s="380"/>
      <c r="AS429" s="380"/>
      <c r="AT429" s="380"/>
      <c r="AU429" s="380"/>
      <c r="AV429" s="380"/>
      <c r="AW429" s="380"/>
      <c r="AX429" s="380"/>
      <c r="AY429" s="403"/>
      <c r="AZ429" s="380"/>
      <c r="BA429" s="380"/>
      <c r="BB429" s="380"/>
      <c r="BC429" s="380"/>
      <c r="BD429" s="380"/>
      <c r="BE429" s="404"/>
      <c r="BF429" s="380"/>
      <c r="BG429" s="380"/>
      <c r="BH429" s="380"/>
      <c r="BI429" s="380"/>
      <c r="BJ429" s="380"/>
      <c r="BK429" s="380"/>
      <c r="BL429" s="380"/>
      <c r="BM429" s="403"/>
      <c r="BS429" s="83"/>
      <c r="CA429" s="405"/>
      <c r="CG429" s="83"/>
      <c r="CO429" s="405"/>
      <c r="CU429" s="83"/>
      <c r="DC429" s="405"/>
      <c r="DI429" s="83"/>
      <c r="DQ429" s="405"/>
      <c r="DW429" s="83"/>
      <c r="EE429" s="405"/>
      <c r="EK429" s="83"/>
      <c r="ES429" s="405"/>
      <c r="EY429" s="83"/>
      <c r="FG429" s="405"/>
      <c r="FM429" s="83"/>
      <c r="FU429" s="405"/>
      <c r="GA429" s="83"/>
      <c r="GI429" s="405"/>
      <c r="GO429" s="83"/>
      <c r="GW429" s="405"/>
      <c r="HC429" s="83"/>
      <c r="HK429" s="405"/>
      <c r="HQ429" s="83"/>
      <c r="HY429" s="405"/>
      <c r="IE429" s="83"/>
      <c r="IM429" s="405"/>
      <c r="IS429" s="83"/>
      <c r="JA429" s="405"/>
      <c r="JG429" s="83"/>
      <c r="JO429" s="405"/>
      <c r="JU429" s="83"/>
      <c r="KC429" s="405"/>
      <c r="KI429" s="83"/>
      <c r="KQ429" s="405"/>
      <c r="KW429" s="83"/>
      <c r="LE429" s="405"/>
      <c r="LK429" s="83"/>
      <c r="LS429" s="405"/>
      <c r="LY429" s="83"/>
      <c r="MG429" s="405"/>
      <c r="MM429" s="83"/>
      <c r="MU429" s="405"/>
      <c r="NA429" s="83"/>
    </row>
    <row r="430">
      <c r="A430" s="380"/>
      <c r="B430" s="380"/>
      <c r="C430" s="380"/>
      <c r="D430" s="380"/>
      <c r="E430" s="380"/>
      <c r="F430" s="380"/>
      <c r="G430" s="380"/>
      <c r="H430" s="380"/>
      <c r="I430" s="403"/>
      <c r="J430" s="380"/>
      <c r="K430" s="380"/>
      <c r="L430" s="380"/>
      <c r="M430" s="380"/>
      <c r="N430" s="380"/>
      <c r="O430" s="404"/>
      <c r="P430" s="380"/>
      <c r="Q430" s="380"/>
      <c r="R430" s="380"/>
      <c r="S430" s="380"/>
      <c r="T430" s="380"/>
      <c r="U430" s="380"/>
      <c r="V430" s="380"/>
      <c r="W430" s="403"/>
      <c r="X430" s="380"/>
      <c r="Y430" s="380"/>
      <c r="Z430" s="380"/>
      <c r="AA430" s="380"/>
      <c r="AB430" s="380"/>
      <c r="AC430" s="404"/>
      <c r="AD430" s="380"/>
      <c r="AE430" s="380"/>
      <c r="AF430" s="380"/>
      <c r="AG430" s="380"/>
      <c r="AH430" s="380"/>
      <c r="AI430" s="380"/>
      <c r="AJ430" s="380"/>
      <c r="AK430" s="403"/>
      <c r="AL430" s="380"/>
      <c r="AM430" s="380"/>
      <c r="AN430" s="380"/>
      <c r="AO430" s="380"/>
      <c r="AP430" s="380"/>
      <c r="AQ430" s="404"/>
      <c r="AR430" s="380"/>
      <c r="AS430" s="380"/>
      <c r="AT430" s="380"/>
      <c r="AU430" s="380"/>
      <c r="AV430" s="380"/>
      <c r="AW430" s="380"/>
      <c r="AX430" s="380"/>
      <c r="AY430" s="403"/>
      <c r="AZ430" s="380"/>
      <c r="BA430" s="380"/>
      <c r="BB430" s="380"/>
      <c r="BC430" s="380"/>
      <c r="BD430" s="380"/>
      <c r="BE430" s="404"/>
      <c r="BF430" s="380"/>
      <c r="BG430" s="380"/>
      <c r="BH430" s="380"/>
      <c r="BI430" s="380"/>
      <c r="BJ430" s="380"/>
      <c r="BK430" s="380"/>
      <c r="BL430" s="380"/>
      <c r="BM430" s="403"/>
      <c r="BS430" s="83"/>
      <c r="CA430" s="405"/>
      <c r="CG430" s="83"/>
      <c r="CO430" s="405"/>
      <c r="CU430" s="83"/>
      <c r="DC430" s="405"/>
      <c r="DI430" s="83"/>
      <c r="DQ430" s="405"/>
      <c r="DW430" s="83"/>
      <c r="EE430" s="405"/>
      <c r="EK430" s="83"/>
      <c r="ES430" s="405"/>
      <c r="EY430" s="83"/>
      <c r="FG430" s="405"/>
      <c r="FM430" s="83"/>
      <c r="FU430" s="405"/>
      <c r="GA430" s="83"/>
      <c r="GI430" s="405"/>
      <c r="GO430" s="83"/>
      <c r="GW430" s="405"/>
      <c r="HC430" s="83"/>
      <c r="HK430" s="405"/>
      <c r="HQ430" s="83"/>
      <c r="HY430" s="405"/>
      <c r="IE430" s="83"/>
      <c r="IM430" s="405"/>
      <c r="IS430" s="83"/>
      <c r="JA430" s="405"/>
      <c r="JG430" s="83"/>
      <c r="JO430" s="405"/>
      <c r="JU430" s="83"/>
      <c r="KC430" s="405"/>
      <c r="KI430" s="83"/>
      <c r="KQ430" s="405"/>
      <c r="KW430" s="83"/>
      <c r="LE430" s="405"/>
      <c r="LK430" s="83"/>
      <c r="LS430" s="405"/>
      <c r="LY430" s="83"/>
      <c r="MG430" s="405"/>
      <c r="MM430" s="83"/>
      <c r="MU430" s="405"/>
      <c r="NA430" s="83"/>
    </row>
    <row r="431">
      <c r="A431" s="380"/>
      <c r="B431" s="380"/>
      <c r="C431" s="380"/>
      <c r="D431" s="380"/>
      <c r="E431" s="380"/>
      <c r="F431" s="380"/>
      <c r="G431" s="380"/>
      <c r="H431" s="380"/>
      <c r="I431" s="403"/>
      <c r="J431" s="380"/>
      <c r="K431" s="380"/>
      <c r="L431" s="380"/>
      <c r="M431" s="380"/>
      <c r="N431" s="380"/>
      <c r="O431" s="404"/>
      <c r="P431" s="380"/>
      <c r="Q431" s="380"/>
      <c r="R431" s="380"/>
      <c r="S431" s="380"/>
      <c r="T431" s="380"/>
      <c r="U431" s="380"/>
      <c r="V431" s="380"/>
      <c r="W431" s="403"/>
      <c r="X431" s="380"/>
      <c r="Y431" s="380"/>
      <c r="Z431" s="380"/>
      <c r="AA431" s="380"/>
      <c r="AB431" s="380"/>
      <c r="AC431" s="404"/>
      <c r="AD431" s="380"/>
      <c r="AE431" s="380"/>
      <c r="AF431" s="380"/>
      <c r="AG431" s="380"/>
      <c r="AH431" s="380"/>
      <c r="AI431" s="380"/>
      <c r="AJ431" s="380"/>
      <c r="AK431" s="403"/>
      <c r="AL431" s="380"/>
      <c r="AM431" s="380"/>
      <c r="AN431" s="380"/>
      <c r="AO431" s="380"/>
      <c r="AP431" s="380"/>
      <c r="AQ431" s="404"/>
      <c r="AR431" s="380"/>
      <c r="AS431" s="380"/>
      <c r="AT431" s="380"/>
      <c r="AU431" s="380"/>
      <c r="AV431" s="380"/>
      <c r="AW431" s="380"/>
      <c r="AX431" s="380"/>
      <c r="AY431" s="403"/>
      <c r="AZ431" s="380"/>
      <c r="BA431" s="380"/>
      <c r="BB431" s="380"/>
      <c r="BC431" s="380"/>
      <c r="BD431" s="380"/>
      <c r="BE431" s="404"/>
      <c r="BF431" s="380"/>
      <c r="BG431" s="380"/>
      <c r="BH431" s="380"/>
      <c r="BI431" s="380"/>
      <c r="BJ431" s="380"/>
      <c r="BK431" s="380"/>
      <c r="BL431" s="380"/>
      <c r="BM431" s="403"/>
      <c r="BS431" s="83"/>
      <c r="CA431" s="405"/>
      <c r="CG431" s="83"/>
      <c r="CO431" s="405"/>
      <c r="CU431" s="83"/>
      <c r="DC431" s="405"/>
      <c r="DI431" s="83"/>
      <c r="DQ431" s="405"/>
      <c r="DW431" s="83"/>
      <c r="EE431" s="405"/>
      <c r="EK431" s="83"/>
      <c r="ES431" s="405"/>
      <c r="EY431" s="83"/>
      <c r="FG431" s="405"/>
      <c r="FM431" s="83"/>
      <c r="FU431" s="405"/>
      <c r="GA431" s="83"/>
      <c r="GI431" s="405"/>
      <c r="GO431" s="83"/>
      <c r="GW431" s="405"/>
      <c r="HC431" s="83"/>
      <c r="HK431" s="405"/>
      <c r="HQ431" s="83"/>
      <c r="HY431" s="405"/>
      <c r="IE431" s="83"/>
      <c r="IM431" s="405"/>
      <c r="IS431" s="83"/>
      <c r="JA431" s="405"/>
      <c r="JG431" s="83"/>
      <c r="JO431" s="405"/>
      <c r="JU431" s="83"/>
      <c r="KC431" s="405"/>
      <c r="KI431" s="83"/>
      <c r="KQ431" s="405"/>
      <c r="KW431" s="83"/>
      <c r="LE431" s="405"/>
      <c r="LK431" s="83"/>
      <c r="LS431" s="405"/>
      <c r="LY431" s="83"/>
      <c r="MG431" s="405"/>
      <c r="MM431" s="83"/>
      <c r="MU431" s="405"/>
      <c r="NA431" s="83"/>
    </row>
    <row r="432">
      <c r="A432" s="380"/>
      <c r="B432" s="380"/>
      <c r="C432" s="380"/>
      <c r="D432" s="380"/>
      <c r="E432" s="380"/>
      <c r="F432" s="380"/>
      <c r="G432" s="380"/>
      <c r="H432" s="380"/>
      <c r="I432" s="403"/>
      <c r="J432" s="380"/>
      <c r="K432" s="380"/>
      <c r="L432" s="380"/>
      <c r="M432" s="380"/>
      <c r="N432" s="380"/>
      <c r="O432" s="404"/>
      <c r="P432" s="380"/>
      <c r="Q432" s="380"/>
      <c r="R432" s="380"/>
      <c r="S432" s="380"/>
      <c r="T432" s="380"/>
      <c r="U432" s="380"/>
      <c r="V432" s="380"/>
      <c r="W432" s="403"/>
      <c r="X432" s="380"/>
      <c r="Y432" s="380"/>
      <c r="Z432" s="380"/>
      <c r="AA432" s="380"/>
      <c r="AB432" s="380"/>
      <c r="AC432" s="404"/>
      <c r="AD432" s="380"/>
      <c r="AE432" s="380"/>
      <c r="AF432" s="380"/>
      <c r="AG432" s="380"/>
      <c r="AH432" s="380"/>
      <c r="AI432" s="380"/>
      <c r="AJ432" s="380"/>
      <c r="AK432" s="403"/>
      <c r="AL432" s="380"/>
      <c r="AM432" s="380"/>
      <c r="AN432" s="380"/>
      <c r="AO432" s="380"/>
      <c r="AP432" s="380"/>
      <c r="AQ432" s="404"/>
      <c r="AR432" s="380"/>
      <c r="AS432" s="380"/>
      <c r="AT432" s="380"/>
      <c r="AU432" s="380"/>
      <c r="AV432" s="380"/>
      <c r="AW432" s="380"/>
      <c r="AX432" s="380"/>
      <c r="AY432" s="403"/>
      <c r="AZ432" s="380"/>
      <c r="BA432" s="380"/>
      <c r="BB432" s="380"/>
      <c r="BC432" s="380"/>
      <c r="BD432" s="380"/>
      <c r="BE432" s="404"/>
      <c r="BF432" s="380"/>
      <c r="BG432" s="380"/>
      <c r="BH432" s="380"/>
      <c r="BI432" s="380"/>
      <c r="BJ432" s="380"/>
      <c r="BK432" s="380"/>
      <c r="BL432" s="380"/>
      <c r="BM432" s="403"/>
      <c r="BS432" s="83"/>
      <c r="CA432" s="405"/>
      <c r="CG432" s="83"/>
      <c r="CO432" s="405"/>
      <c r="CU432" s="83"/>
      <c r="DC432" s="405"/>
      <c r="DI432" s="83"/>
      <c r="DQ432" s="405"/>
      <c r="DW432" s="83"/>
      <c r="EE432" s="405"/>
      <c r="EK432" s="83"/>
      <c r="ES432" s="405"/>
      <c r="EY432" s="83"/>
      <c r="FG432" s="405"/>
      <c r="FM432" s="83"/>
      <c r="FU432" s="405"/>
      <c r="GA432" s="83"/>
      <c r="GI432" s="405"/>
      <c r="GO432" s="83"/>
      <c r="GW432" s="405"/>
      <c r="HC432" s="83"/>
      <c r="HK432" s="405"/>
      <c r="HQ432" s="83"/>
      <c r="HY432" s="405"/>
      <c r="IE432" s="83"/>
      <c r="IM432" s="405"/>
      <c r="IS432" s="83"/>
      <c r="JA432" s="405"/>
      <c r="JG432" s="83"/>
      <c r="JO432" s="405"/>
      <c r="JU432" s="83"/>
      <c r="KC432" s="405"/>
      <c r="KI432" s="83"/>
      <c r="KQ432" s="405"/>
      <c r="KW432" s="83"/>
      <c r="LE432" s="405"/>
      <c r="LK432" s="83"/>
      <c r="LS432" s="405"/>
      <c r="LY432" s="83"/>
      <c r="MG432" s="405"/>
      <c r="MM432" s="83"/>
      <c r="MU432" s="405"/>
      <c r="NA432" s="83"/>
    </row>
    <row r="433">
      <c r="A433" s="380"/>
      <c r="B433" s="380"/>
      <c r="C433" s="380"/>
      <c r="D433" s="380"/>
      <c r="E433" s="380"/>
      <c r="F433" s="380"/>
      <c r="G433" s="380"/>
      <c r="H433" s="380"/>
      <c r="I433" s="403"/>
      <c r="J433" s="380"/>
      <c r="K433" s="380"/>
      <c r="L433" s="380"/>
      <c r="M433" s="380"/>
      <c r="N433" s="380"/>
      <c r="O433" s="404"/>
      <c r="P433" s="380"/>
      <c r="Q433" s="380"/>
      <c r="R433" s="380"/>
      <c r="S433" s="380"/>
      <c r="T433" s="380"/>
      <c r="U433" s="380"/>
      <c r="V433" s="380"/>
      <c r="W433" s="403"/>
      <c r="X433" s="380"/>
      <c r="Y433" s="380"/>
      <c r="Z433" s="380"/>
      <c r="AA433" s="380"/>
      <c r="AB433" s="380"/>
      <c r="AC433" s="404"/>
      <c r="AD433" s="380"/>
      <c r="AE433" s="380"/>
      <c r="AF433" s="380"/>
      <c r="AG433" s="380"/>
      <c r="AH433" s="380"/>
      <c r="AI433" s="380"/>
      <c r="AJ433" s="380"/>
      <c r="AK433" s="403"/>
      <c r="AL433" s="380"/>
      <c r="AM433" s="380"/>
      <c r="AN433" s="380"/>
      <c r="AO433" s="380"/>
      <c r="AP433" s="380"/>
      <c r="AQ433" s="404"/>
      <c r="AR433" s="380"/>
      <c r="AS433" s="380"/>
      <c r="AT433" s="380"/>
      <c r="AU433" s="380"/>
      <c r="AV433" s="380"/>
      <c r="AW433" s="380"/>
      <c r="AX433" s="380"/>
      <c r="AY433" s="403"/>
      <c r="AZ433" s="380"/>
      <c r="BA433" s="380"/>
      <c r="BB433" s="380"/>
      <c r="BC433" s="380"/>
      <c r="BD433" s="380"/>
      <c r="BE433" s="404"/>
      <c r="BF433" s="380"/>
      <c r="BG433" s="380"/>
      <c r="BH433" s="380"/>
      <c r="BI433" s="380"/>
      <c r="BJ433" s="380"/>
      <c r="BK433" s="380"/>
      <c r="BL433" s="380"/>
      <c r="BM433" s="403"/>
      <c r="BS433" s="83"/>
      <c r="CA433" s="405"/>
      <c r="CG433" s="83"/>
      <c r="CO433" s="405"/>
      <c r="CU433" s="83"/>
      <c r="DC433" s="405"/>
      <c r="DI433" s="83"/>
      <c r="DQ433" s="405"/>
      <c r="DW433" s="83"/>
      <c r="EE433" s="405"/>
      <c r="EK433" s="83"/>
      <c r="ES433" s="405"/>
      <c r="EY433" s="83"/>
      <c r="FG433" s="405"/>
      <c r="FM433" s="83"/>
      <c r="FU433" s="405"/>
      <c r="GA433" s="83"/>
      <c r="GI433" s="405"/>
      <c r="GO433" s="83"/>
      <c r="GW433" s="405"/>
      <c r="HC433" s="83"/>
      <c r="HK433" s="405"/>
      <c r="HQ433" s="83"/>
      <c r="HY433" s="405"/>
      <c r="IE433" s="83"/>
      <c r="IM433" s="405"/>
      <c r="IS433" s="83"/>
      <c r="JA433" s="405"/>
      <c r="JG433" s="83"/>
      <c r="JO433" s="405"/>
      <c r="JU433" s="83"/>
      <c r="KC433" s="405"/>
      <c r="KI433" s="83"/>
      <c r="KQ433" s="405"/>
      <c r="KW433" s="83"/>
      <c r="LE433" s="405"/>
      <c r="LK433" s="83"/>
      <c r="LS433" s="405"/>
      <c r="LY433" s="83"/>
      <c r="MG433" s="405"/>
      <c r="MM433" s="83"/>
      <c r="MU433" s="405"/>
      <c r="NA433" s="83"/>
    </row>
    <row r="434">
      <c r="A434" s="380"/>
      <c r="B434" s="380"/>
      <c r="C434" s="380"/>
      <c r="D434" s="380"/>
      <c r="E434" s="380"/>
      <c r="F434" s="380"/>
      <c r="G434" s="380"/>
      <c r="H434" s="380"/>
      <c r="I434" s="403"/>
      <c r="J434" s="380"/>
      <c r="K434" s="380"/>
      <c r="L434" s="380"/>
      <c r="M434" s="380"/>
      <c r="N434" s="380"/>
      <c r="O434" s="404"/>
      <c r="P434" s="380"/>
      <c r="Q434" s="380"/>
      <c r="R434" s="380"/>
      <c r="S434" s="380"/>
      <c r="T434" s="380"/>
      <c r="U434" s="380"/>
      <c r="V434" s="380"/>
      <c r="W434" s="403"/>
      <c r="X434" s="380"/>
      <c r="Y434" s="380"/>
      <c r="Z434" s="380"/>
      <c r="AA434" s="380"/>
      <c r="AB434" s="380"/>
      <c r="AC434" s="404"/>
      <c r="AD434" s="380"/>
      <c r="AE434" s="380"/>
      <c r="AF434" s="380"/>
      <c r="AG434" s="380"/>
      <c r="AH434" s="380"/>
      <c r="AI434" s="380"/>
      <c r="AJ434" s="380"/>
      <c r="AK434" s="403"/>
      <c r="AL434" s="380"/>
      <c r="AM434" s="380"/>
      <c r="AN434" s="380"/>
      <c r="AO434" s="380"/>
      <c r="AP434" s="380"/>
      <c r="AQ434" s="404"/>
      <c r="AR434" s="380"/>
      <c r="AS434" s="380"/>
      <c r="AT434" s="380"/>
      <c r="AU434" s="380"/>
      <c r="AV434" s="380"/>
      <c r="AW434" s="380"/>
      <c r="AX434" s="380"/>
      <c r="AY434" s="403"/>
      <c r="AZ434" s="380"/>
      <c r="BA434" s="380"/>
      <c r="BB434" s="380"/>
      <c r="BC434" s="380"/>
      <c r="BD434" s="380"/>
      <c r="BE434" s="404"/>
      <c r="BF434" s="380"/>
      <c r="BG434" s="380"/>
      <c r="BH434" s="380"/>
      <c r="BI434" s="380"/>
      <c r="BJ434" s="380"/>
      <c r="BK434" s="380"/>
      <c r="BL434" s="380"/>
      <c r="BM434" s="403"/>
      <c r="BS434" s="83"/>
      <c r="CA434" s="405"/>
      <c r="CG434" s="83"/>
      <c r="CO434" s="405"/>
      <c r="CU434" s="83"/>
      <c r="DC434" s="405"/>
      <c r="DI434" s="83"/>
      <c r="DQ434" s="405"/>
      <c r="DW434" s="83"/>
      <c r="EE434" s="405"/>
      <c r="EK434" s="83"/>
      <c r="ES434" s="405"/>
      <c r="EY434" s="83"/>
      <c r="FG434" s="405"/>
      <c r="FM434" s="83"/>
      <c r="FU434" s="405"/>
      <c r="GA434" s="83"/>
      <c r="GI434" s="405"/>
      <c r="GO434" s="83"/>
      <c r="GW434" s="405"/>
      <c r="HC434" s="83"/>
      <c r="HK434" s="405"/>
      <c r="HQ434" s="83"/>
      <c r="HY434" s="405"/>
      <c r="IE434" s="83"/>
      <c r="IM434" s="405"/>
      <c r="IS434" s="83"/>
      <c r="JA434" s="405"/>
      <c r="JG434" s="83"/>
      <c r="JO434" s="405"/>
      <c r="JU434" s="83"/>
      <c r="KC434" s="405"/>
      <c r="KI434" s="83"/>
      <c r="KQ434" s="405"/>
      <c r="KW434" s="83"/>
      <c r="LE434" s="405"/>
      <c r="LK434" s="83"/>
      <c r="LS434" s="405"/>
      <c r="LY434" s="83"/>
      <c r="MG434" s="405"/>
      <c r="MM434" s="83"/>
      <c r="MU434" s="405"/>
      <c r="NA434" s="83"/>
    </row>
    <row r="435">
      <c r="A435" s="380"/>
      <c r="B435" s="380"/>
      <c r="C435" s="380"/>
      <c r="D435" s="380"/>
      <c r="E435" s="380"/>
      <c r="F435" s="380"/>
      <c r="G435" s="380"/>
      <c r="H435" s="380"/>
      <c r="I435" s="403"/>
      <c r="J435" s="380"/>
      <c r="K435" s="380"/>
      <c r="L435" s="380"/>
      <c r="M435" s="380"/>
      <c r="N435" s="380"/>
      <c r="O435" s="404"/>
      <c r="P435" s="380"/>
      <c r="Q435" s="380"/>
      <c r="R435" s="380"/>
      <c r="S435" s="380"/>
      <c r="T435" s="380"/>
      <c r="U435" s="380"/>
      <c r="V435" s="380"/>
      <c r="W435" s="403"/>
      <c r="X435" s="380"/>
      <c r="Y435" s="380"/>
      <c r="Z435" s="380"/>
      <c r="AA435" s="380"/>
      <c r="AB435" s="380"/>
      <c r="AC435" s="404"/>
      <c r="AD435" s="380"/>
      <c r="AE435" s="380"/>
      <c r="AF435" s="380"/>
      <c r="AG435" s="380"/>
      <c r="AH435" s="380"/>
      <c r="AI435" s="380"/>
      <c r="AJ435" s="380"/>
      <c r="AK435" s="403"/>
      <c r="AL435" s="380"/>
      <c r="AM435" s="380"/>
      <c r="AN435" s="380"/>
      <c r="AO435" s="380"/>
      <c r="AP435" s="380"/>
      <c r="AQ435" s="404"/>
      <c r="AR435" s="380"/>
      <c r="AS435" s="380"/>
      <c r="AT435" s="380"/>
      <c r="AU435" s="380"/>
      <c r="AV435" s="380"/>
      <c r="AW435" s="380"/>
      <c r="AX435" s="380"/>
      <c r="AY435" s="403"/>
      <c r="AZ435" s="380"/>
      <c r="BA435" s="380"/>
      <c r="BB435" s="380"/>
      <c r="BC435" s="380"/>
      <c r="BD435" s="380"/>
      <c r="BE435" s="404"/>
      <c r="BF435" s="380"/>
      <c r="BG435" s="380"/>
      <c r="BH435" s="380"/>
      <c r="BI435" s="380"/>
      <c r="BJ435" s="380"/>
      <c r="BK435" s="380"/>
      <c r="BL435" s="380"/>
      <c r="BM435" s="403"/>
      <c r="BS435" s="83"/>
      <c r="CA435" s="405"/>
      <c r="CG435" s="83"/>
      <c r="CO435" s="405"/>
      <c r="CU435" s="83"/>
      <c r="DC435" s="405"/>
      <c r="DI435" s="83"/>
      <c r="DQ435" s="405"/>
      <c r="DW435" s="83"/>
      <c r="EE435" s="405"/>
      <c r="EK435" s="83"/>
      <c r="ES435" s="405"/>
      <c r="EY435" s="83"/>
      <c r="FG435" s="405"/>
      <c r="FM435" s="83"/>
      <c r="FU435" s="405"/>
      <c r="GA435" s="83"/>
      <c r="GI435" s="405"/>
      <c r="GO435" s="83"/>
      <c r="GW435" s="405"/>
      <c r="HC435" s="83"/>
      <c r="HK435" s="405"/>
      <c r="HQ435" s="83"/>
      <c r="HY435" s="405"/>
      <c r="IE435" s="83"/>
      <c r="IM435" s="405"/>
      <c r="IS435" s="83"/>
      <c r="JA435" s="405"/>
      <c r="JG435" s="83"/>
      <c r="JO435" s="405"/>
      <c r="JU435" s="83"/>
      <c r="KC435" s="405"/>
      <c r="KI435" s="83"/>
      <c r="KQ435" s="405"/>
      <c r="KW435" s="83"/>
      <c r="LE435" s="405"/>
      <c r="LK435" s="83"/>
      <c r="LS435" s="405"/>
      <c r="LY435" s="83"/>
      <c r="MG435" s="405"/>
      <c r="MM435" s="83"/>
      <c r="MU435" s="405"/>
      <c r="NA435" s="83"/>
    </row>
    <row r="436">
      <c r="A436" s="380"/>
      <c r="B436" s="380"/>
      <c r="C436" s="380"/>
      <c r="D436" s="380"/>
      <c r="E436" s="380"/>
      <c r="F436" s="380"/>
      <c r="G436" s="380"/>
      <c r="H436" s="380"/>
      <c r="I436" s="403"/>
      <c r="J436" s="380"/>
      <c r="K436" s="380"/>
      <c r="L436" s="380"/>
      <c r="M436" s="380"/>
      <c r="N436" s="380"/>
      <c r="O436" s="404"/>
      <c r="P436" s="380"/>
      <c r="Q436" s="380"/>
      <c r="R436" s="380"/>
      <c r="S436" s="380"/>
      <c r="T436" s="380"/>
      <c r="U436" s="380"/>
      <c r="V436" s="380"/>
      <c r="W436" s="403"/>
      <c r="X436" s="380"/>
      <c r="Y436" s="380"/>
      <c r="Z436" s="380"/>
      <c r="AA436" s="380"/>
      <c r="AB436" s="380"/>
      <c r="AC436" s="404"/>
      <c r="AD436" s="380"/>
      <c r="AE436" s="380"/>
      <c r="AF436" s="380"/>
      <c r="AG436" s="380"/>
      <c r="AH436" s="380"/>
      <c r="AI436" s="380"/>
      <c r="AJ436" s="380"/>
      <c r="AK436" s="403"/>
      <c r="AL436" s="380"/>
      <c r="AM436" s="380"/>
      <c r="AN436" s="380"/>
      <c r="AO436" s="380"/>
      <c r="AP436" s="380"/>
      <c r="AQ436" s="404"/>
      <c r="AR436" s="380"/>
      <c r="AS436" s="380"/>
      <c r="AT436" s="380"/>
      <c r="AU436" s="380"/>
      <c r="AV436" s="380"/>
      <c r="AW436" s="380"/>
      <c r="AX436" s="380"/>
      <c r="AY436" s="403"/>
      <c r="AZ436" s="380"/>
      <c r="BA436" s="380"/>
      <c r="BB436" s="380"/>
      <c r="BC436" s="380"/>
      <c r="BD436" s="380"/>
      <c r="BE436" s="404"/>
      <c r="BF436" s="380"/>
      <c r="BG436" s="380"/>
      <c r="BH436" s="380"/>
      <c r="BI436" s="380"/>
      <c r="BJ436" s="380"/>
      <c r="BK436" s="380"/>
      <c r="BL436" s="380"/>
      <c r="BM436" s="403"/>
      <c r="BS436" s="83"/>
      <c r="CA436" s="405"/>
      <c r="CG436" s="83"/>
      <c r="CO436" s="405"/>
      <c r="CU436" s="83"/>
      <c r="DC436" s="405"/>
      <c r="DI436" s="83"/>
      <c r="DQ436" s="405"/>
      <c r="DW436" s="83"/>
      <c r="EE436" s="405"/>
      <c r="EK436" s="83"/>
      <c r="ES436" s="405"/>
      <c r="EY436" s="83"/>
      <c r="FG436" s="405"/>
      <c r="FM436" s="83"/>
      <c r="FU436" s="405"/>
      <c r="GA436" s="83"/>
      <c r="GI436" s="405"/>
      <c r="GO436" s="83"/>
      <c r="GW436" s="405"/>
      <c r="HC436" s="83"/>
      <c r="HK436" s="405"/>
      <c r="HQ436" s="83"/>
      <c r="HY436" s="405"/>
      <c r="IE436" s="83"/>
      <c r="IM436" s="405"/>
      <c r="IS436" s="83"/>
      <c r="JA436" s="405"/>
      <c r="JG436" s="83"/>
      <c r="JO436" s="405"/>
      <c r="JU436" s="83"/>
      <c r="KC436" s="405"/>
      <c r="KI436" s="83"/>
      <c r="KQ436" s="405"/>
      <c r="KW436" s="83"/>
      <c r="LE436" s="405"/>
      <c r="LK436" s="83"/>
      <c r="LS436" s="405"/>
      <c r="LY436" s="83"/>
      <c r="MG436" s="405"/>
      <c r="MM436" s="83"/>
      <c r="MU436" s="405"/>
      <c r="NA436" s="83"/>
    </row>
    <row r="437">
      <c r="A437" s="380"/>
      <c r="B437" s="380"/>
      <c r="C437" s="380"/>
      <c r="D437" s="380"/>
      <c r="E437" s="380"/>
      <c r="F437" s="380"/>
      <c r="G437" s="380"/>
      <c r="H437" s="380"/>
      <c r="I437" s="403"/>
      <c r="J437" s="380"/>
      <c r="K437" s="380"/>
      <c r="L437" s="380"/>
      <c r="M437" s="380"/>
      <c r="N437" s="380"/>
      <c r="O437" s="404"/>
      <c r="P437" s="380"/>
      <c r="Q437" s="380"/>
      <c r="R437" s="380"/>
      <c r="S437" s="380"/>
      <c r="T437" s="380"/>
      <c r="U437" s="380"/>
      <c r="V437" s="380"/>
      <c r="W437" s="403"/>
      <c r="X437" s="380"/>
      <c r="Y437" s="380"/>
      <c r="Z437" s="380"/>
      <c r="AA437" s="380"/>
      <c r="AB437" s="380"/>
      <c r="AC437" s="404"/>
      <c r="AD437" s="380"/>
      <c r="AE437" s="380"/>
      <c r="AF437" s="380"/>
      <c r="AG437" s="380"/>
      <c r="AH437" s="380"/>
      <c r="AI437" s="380"/>
      <c r="AJ437" s="380"/>
      <c r="AK437" s="403"/>
      <c r="AL437" s="380"/>
      <c r="AM437" s="380"/>
      <c r="AN437" s="380"/>
      <c r="AO437" s="380"/>
      <c r="AP437" s="380"/>
      <c r="AQ437" s="404"/>
      <c r="AR437" s="380"/>
      <c r="AS437" s="380"/>
      <c r="AT437" s="380"/>
      <c r="AU437" s="380"/>
      <c r="AV437" s="380"/>
      <c r="AW437" s="380"/>
      <c r="AX437" s="380"/>
      <c r="AY437" s="403"/>
      <c r="AZ437" s="380"/>
      <c r="BA437" s="380"/>
      <c r="BB437" s="380"/>
      <c r="BC437" s="380"/>
      <c r="BD437" s="380"/>
      <c r="BE437" s="404"/>
      <c r="BF437" s="380"/>
      <c r="BG437" s="380"/>
      <c r="BH437" s="380"/>
      <c r="BI437" s="380"/>
      <c r="BJ437" s="380"/>
      <c r="BK437" s="380"/>
      <c r="BL437" s="380"/>
      <c r="BM437" s="403"/>
      <c r="BS437" s="83"/>
      <c r="CA437" s="405"/>
      <c r="CG437" s="83"/>
      <c r="CO437" s="405"/>
      <c r="CU437" s="83"/>
      <c r="DC437" s="405"/>
      <c r="DI437" s="83"/>
      <c r="DQ437" s="405"/>
      <c r="DW437" s="83"/>
      <c r="EE437" s="405"/>
      <c r="EK437" s="83"/>
      <c r="ES437" s="405"/>
      <c r="EY437" s="83"/>
      <c r="FG437" s="405"/>
      <c r="FM437" s="83"/>
      <c r="FU437" s="405"/>
      <c r="GA437" s="83"/>
      <c r="GI437" s="405"/>
      <c r="GO437" s="83"/>
      <c r="GW437" s="405"/>
      <c r="HC437" s="83"/>
      <c r="HK437" s="405"/>
      <c r="HQ437" s="83"/>
      <c r="HY437" s="405"/>
      <c r="IE437" s="83"/>
      <c r="IM437" s="405"/>
      <c r="IS437" s="83"/>
      <c r="JA437" s="405"/>
      <c r="JG437" s="83"/>
      <c r="JO437" s="405"/>
      <c r="JU437" s="83"/>
      <c r="KC437" s="405"/>
      <c r="KI437" s="83"/>
      <c r="KQ437" s="405"/>
      <c r="KW437" s="83"/>
      <c r="LE437" s="405"/>
      <c r="LK437" s="83"/>
      <c r="LS437" s="405"/>
      <c r="LY437" s="83"/>
      <c r="MG437" s="405"/>
      <c r="MM437" s="83"/>
      <c r="MU437" s="405"/>
      <c r="NA437" s="83"/>
    </row>
    <row r="438">
      <c r="A438" s="380"/>
      <c r="B438" s="380"/>
      <c r="C438" s="380"/>
      <c r="D438" s="380"/>
      <c r="E438" s="380"/>
      <c r="F438" s="380"/>
      <c r="G438" s="380"/>
      <c r="H438" s="380"/>
      <c r="I438" s="403"/>
      <c r="J438" s="380"/>
      <c r="K438" s="380"/>
      <c r="L438" s="380"/>
      <c r="M438" s="380"/>
      <c r="N438" s="380"/>
      <c r="O438" s="404"/>
      <c r="P438" s="380"/>
      <c r="Q438" s="380"/>
      <c r="R438" s="380"/>
      <c r="S438" s="380"/>
      <c r="T438" s="380"/>
      <c r="U438" s="380"/>
      <c r="V438" s="380"/>
      <c r="W438" s="403"/>
      <c r="X438" s="380"/>
      <c r="Y438" s="380"/>
      <c r="Z438" s="380"/>
      <c r="AA438" s="380"/>
      <c r="AB438" s="380"/>
      <c r="AC438" s="404"/>
      <c r="AD438" s="380"/>
      <c r="AE438" s="380"/>
      <c r="AF438" s="380"/>
      <c r="AG438" s="380"/>
      <c r="AH438" s="380"/>
      <c r="AI438" s="380"/>
      <c r="AJ438" s="380"/>
      <c r="AK438" s="403"/>
      <c r="AL438" s="380"/>
      <c r="AM438" s="380"/>
      <c r="AN438" s="380"/>
      <c r="AO438" s="380"/>
      <c r="AP438" s="380"/>
      <c r="AQ438" s="404"/>
      <c r="AR438" s="380"/>
      <c r="AS438" s="380"/>
      <c r="AT438" s="380"/>
      <c r="AU438" s="380"/>
      <c r="AV438" s="380"/>
      <c r="AW438" s="380"/>
      <c r="AX438" s="380"/>
      <c r="AY438" s="403"/>
      <c r="AZ438" s="380"/>
      <c r="BA4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405"/>
      <c r="DW438" s="83"/>
      <c r="EE438" s="405"/>
      <c r="EK438" s="83"/>
      <c r="ES438" s="405"/>
      <c r="EY438" s="83"/>
      <c r="FG438" s="405"/>
      <c r="FM438" s="83"/>
      <c r="FU438" s="405"/>
      <c r="GA438" s="83"/>
      <c r="GI438" s="405"/>
      <c r="GO438" s="83"/>
      <c r="GW438" s="405"/>
      <c r="HC438" s="83"/>
      <c r="HK438" s="405"/>
      <c r="HQ438" s="83"/>
      <c r="HY438" s="405"/>
      <c r="IE438" s="83"/>
      <c r="IM438" s="405"/>
      <c r="IS438" s="83"/>
      <c r="JA438" s="405"/>
      <c r="JG438" s="83"/>
      <c r="JO438" s="405"/>
      <c r="JU438" s="83"/>
      <c r="KC438" s="405"/>
      <c r="KI438" s="83"/>
      <c r="KQ438" s="405"/>
      <c r="KW438" s="83"/>
      <c r="LE438" s="405"/>
      <c r="LK438" s="83"/>
      <c r="LS438" s="405"/>
      <c r="LY438" s="83"/>
      <c r="MG438" s="405"/>
      <c r="MM438" s="83"/>
      <c r="MU438" s="405"/>
      <c r="NA438" s="83"/>
    </row>
    <row r="439">
      <c r="A439" s="380"/>
      <c r="B439" s="380"/>
      <c r="C439" s="380"/>
      <c r="D439" s="380"/>
      <c r="E439" s="380"/>
      <c r="F439" s="380"/>
      <c r="G439" s="380"/>
      <c r="H439" s="380"/>
      <c r="I439" s="403"/>
      <c r="J439" s="380"/>
      <c r="K439" s="380"/>
      <c r="L439" s="380"/>
      <c r="M439" s="380"/>
      <c r="N439" s="380"/>
      <c r="O439" s="404"/>
      <c r="P439" s="380"/>
      <c r="Q439" s="380"/>
      <c r="R439" s="380"/>
      <c r="S439" s="380"/>
      <c r="T439" s="380"/>
      <c r="U439" s="380"/>
      <c r="V439" s="380"/>
      <c r="W439" s="403"/>
      <c r="X439" s="380"/>
      <c r="Y439" s="380"/>
      <c r="Z439" s="380"/>
      <c r="AA439" s="380"/>
      <c r="AB439" s="380"/>
      <c r="AC439" s="404"/>
      <c r="AD439" s="380"/>
      <c r="AE439" s="380"/>
      <c r="AF439" s="380"/>
      <c r="AG439" s="380"/>
      <c r="AH439" s="380"/>
      <c r="AI439" s="380"/>
      <c r="AJ439" s="380"/>
      <c r="AK439" s="403"/>
      <c r="AL439" s="380"/>
      <c r="AM439" s="380"/>
      <c r="AN439" s="380"/>
      <c r="AO439" s="380"/>
      <c r="AP439" s="380"/>
      <c r="AQ439" s="404"/>
      <c r="AR439" s="380"/>
      <c r="AS439" s="380"/>
      <c r="AT439" s="380"/>
      <c r="AU439" s="380"/>
      <c r="AV439" s="380"/>
      <c r="AW439" s="380"/>
      <c r="AX439" s="380"/>
      <c r="AY439" s="403"/>
      <c r="AZ439" s="380"/>
      <c r="BA439" s="380"/>
      <c r="BB439" s="380"/>
      <c r="BC439" s="380"/>
      <c r="BD439" s="380"/>
      <c r="BE439" s="404"/>
      <c r="BF439" s="380"/>
      <c r="BG439" s="380"/>
      <c r="BH439" s="380"/>
      <c r="BI439" s="380"/>
      <c r="BJ439" s="380"/>
      <c r="BK439" s="380"/>
      <c r="BL439" s="380"/>
      <c r="BM439" s="403"/>
      <c r="BS439" s="83"/>
      <c r="CA439" s="405"/>
      <c r="CG439" s="83"/>
      <c r="CO439" s="405"/>
      <c r="CU439" s="83"/>
      <c r="DC439" s="405"/>
      <c r="DI439" s="83"/>
      <c r="DQ439" s="405"/>
      <c r="DW439" s="83"/>
      <c r="EE439" s="405"/>
      <c r="EK439" s="83"/>
      <c r="ES439" s="405"/>
      <c r="EY439" s="83"/>
      <c r="FG439" s="405"/>
      <c r="FM439" s="83"/>
      <c r="FU439" s="405"/>
      <c r="GA439" s="83"/>
      <c r="GI439" s="405"/>
      <c r="GO439" s="83"/>
      <c r="GW439" s="405"/>
      <c r="HC439" s="83"/>
      <c r="HK439" s="405"/>
      <c r="HQ439" s="83"/>
      <c r="HY439" s="405"/>
      <c r="IE439" s="83"/>
      <c r="IM439" s="405"/>
      <c r="IS439" s="83"/>
      <c r="JA439" s="405"/>
      <c r="JG439" s="83"/>
      <c r="JO439" s="405"/>
      <c r="JU439" s="83"/>
      <c r="KC439" s="405"/>
      <c r="KI439" s="83"/>
      <c r="KQ439" s="405"/>
      <c r="KW439" s="83"/>
      <c r="LE439" s="405"/>
      <c r="LK439" s="83"/>
      <c r="LS439" s="405"/>
      <c r="LY439" s="83"/>
      <c r="MG439" s="405"/>
      <c r="MM439" s="83"/>
      <c r="MU439" s="405"/>
      <c r="NA439" s="83"/>
    </row>
    <row r="440">
      <c r="A440" s="380"/>
      <c r="B440" s="380"/>
      <c r="C440" s="380"/>
      <c r="D440" s="380"/>
      <c r="E440" s="380"/>
      <c r="F440" s="380"/>
      <c r="G440" s="380"/>
      <c r="H440" s="380"/>
      <c r="I440" s="403"/>
      <c r="J440" s="380"/>
      <c r="K440" s="380"/>
      <c r="L440" s="380"/>
      <c r="M440" s="380"/>
      <c r="N440" s="380"/>
      <c r="O440" s="404"/>
      <c r="P440" s="380"/>
      <c r="Q440" s="380"/>
      <c r="R440" s="380"/>
      <c r="S440" s="380"/>
      <c r="T440" s="380"/>
      <c r="U440" s="380"/>
      <c r="V440" s="380"/>
      <c r="W440" s="403"/>
      <c r="X440" s="380"/>
      <c r="Y440" s="380"/>
      <c r="Z440" s="380"/>
      <c r="AA440" s="380"/>
      <c r="AB440" s="380"/>
      <c r="AC440" s="404"/>
      <c r="AD440" s="380"/>
      <c r="AE440" s="380"/>
      <c r="AF440" s="380"/>
      <c r="AG440" s="380"/>
      <c r="AH440" s="380"/>
      <c r="AI440" s="380"/>
      <c r="AJ440" s="380"/>
      <c r="AK440" s="403"/>
      <c r="AL440" s="380"/>
      <c r="AM440" s="380"/>
      <c r="AN440" s="380"/>
      <c r="AO440" s="380"/>
      <c r="AP440" s="380"/>
      <c r="AQ440" s="404"/>
      <c r="AR440" s="380"/>
      <c r="AS440" s="380"/>
      <c r="AT440" s="380"/>
      <c r="AU440" s="380"/>
      <c r="AV440" s="380"/>
      <c r="AW440" s="380"/>
      <c r="AX440" s="380"/>
      <c r="AY440" s="403"/>
      <c r="AZ440" s="380"/>
      <c r="BA440" s="380"/>
      <c r="BB440" s="380"/>
      <c r="BC440" s="380"/>
      <c r="BD440" s="380"/>
      <c r="BE440" s="404"/>
      <c r="BF440" s="380"/>
      <c r="BG440" s="380"/>
      <c r="BH440" s="380"/>
      <c r="BI440" s="380"/>
      <c r="BJ440" s="380"/>
      <c r="BK440" s="380"/>
      <c r="BL440" s="380"/>
      <c r="BM440" s="403"/>
      <c r="BS440" s="83"/>
      <c r="CA440" s="405"/>
      <c r="CG440" s="83"/>
      <c r="CO440" s="405"/>
      <c r="CU440" s="83"/>
      <c r="DC440" s="405"/>
      <c r="DI440" s="83"/>
      <c r="DQ440" s="405"/>
      <c r="DW440" s="83"/>
      <c r="EE440" s="405"/>
      <c r="EK440" s="83"/>
      <c r="ES440" s="405"/>
      <c r="EY440" s="83"/>
      <c r="FG440" s="405"/>
      <c r="FM440" s="83"/>
      <c r="FU440" s="405"/>
      <c r="GA440" s="83"/>
      <c r="GI440" s="405"/>
      <c r="GO440" s="83"/>
      <c r="GW440" s="405"/>
      <c r="HC440" s="83"/>
      <c r="HK440" s="405"/>
      <c r="HQ440" s="83"/>
      <c r="HY440" s="405"/>
      <c r="IE440" s="83"/>
      <c r="IM440" s="405"/>
      <c r="IS440" s="83"/>
      <c r="JA440" s="405"/>
      <c r="JG440" s="83"/>
      <c r="JO440" s="405"/>
      <c r="JU440" s="83"/>
      <c r="KC440" s="405"/>
      <c r="KI440" s="83"/>
      <c r="KQ440" s="405"/>
      <c r="KW440" s="83"/>
      <c r="LE440" s="405"/>
      <c r="LK440" s="83"/>
      <c r="LS440" s="405"/>
      <c r="LY440" s="83"/>
      <c r="MG440" s="405"/>
      <c r="MM440" s="83"/>
      <c r="MU440" s="405"/>
      <c r="NA440" s="83"/>
    </row>
    <row r="441">
      <c r="A441" s="380"/>
      <c r="B441" s="380"/>
      <c r="C441" s="380"/>
      <c r="D441" s="380"/>
      <c r="E441" s="380"/>
      <c r="F441" s="380"/>
      <c r="G441" s="380"/>
      <c r="H441" s="380"/>
      <c r="I441" s="403"/>
      <c r="J441" s="380"/>
      <c r="K441" s="380"/>
      <c r="L441" s="380"/>
      <c r="M441" s="380"/>
      <c r="N441" s="380"/>
      <c r="O441" s="404"/>
      <c r="P441" s="380"/>
      <c r="Q441" s="380"/>
      <c r="R441" s="380"/>
      <c r="S441" s="380"/>
      <c r="T441" s="380"/>
      <c r="U441" s="380"/>
      <c r="V441" s="380"/>
      <c r="W441" s="403"/>
      <c r="X441" s="380"/>
      <c r="Y441" s="380"/>
      <c r="Z441" s="380"/>
      <c r="AA441" s="380"/>
      <c r="AB441" s="380"/>
      <c r="AC441" s="404"/>
      <c r="AD441" s="380"/>
      <c r="AE441" s="380"/>
      <c r="AF441" s="380"/>
      <c r="AG441" s="380"/>
      <c r="AH441" s="380"/>
      <c r="AI441" s="380"/>
      <c r="AJ441" s="380"/>
      <c r="AK441" s="403"/>
      <c r="AL441" s="380"/>
      <c r="AM441" s="380"/>
      <c r="AN441" s="380"/>
      <c r="AO441" s="380"/>
      <c r="AP441" s="380"/>
      <c r="AQ441" s="404"/>
      <c r="AR441" s="380"/>
      <c r="AS441" s="380"/>
      <c r="AT441" s="380"/>
      <c r="AU441" s="380"/>
      <c r="AV441" s="380"/>
      <c r="AW441" s="380"/>
      <c r="AX441" s="380"/>
      <c r="AY441" s="403"/>
      <c r="AZ441" s="380"/>
      <c r="BA441" s="380"/>
      <c r="BB441" s="380"/>
      <c r="BC441" s="380"/>
      <c r="BD441" s="380"/>
      <c r="BE441" s="404"/>
      <c r="BF441" s="380"/>
      <c r="BG441" s="380"/>
      <c r="BH441" s="380"/>
      <c r="BI441" s="380"/>
      <c r="BJ441" s="380"/>
      <c r="BK441" s="380"/>
      <c r="BL441" s="380"/>
      <c r="BM441" s="403"/>
      <c r="BS441" s="83"/>
      <c r="CA441" s="405"/>
      <c r="CG441" s="83"/>
      <c r="CO441" s="405"/>
      <c r="CU441" s="83"/>
      <c r="DC441" s="405"/>
      <c r="DI441" s="83"/>
      <c r="DQ441" s="405"/>
      <c r="DW441" s="83"/>
      <c r="EE441" s="405"/>
      <c r="EK441" s="83"/>
      <c r="ES441" s="405"/>
      <c r="EY441" s="83"/>
      <c r="FG441" s="405"/>
      <c r="FM441" s="83"/>
      <c r="FU441" s="405"/>
      <c r="GA441" s="83"/>
      <c r="GI441" s="405"/>
      <c r="GO441" s="83"/>
      <c r="GW441" s="405"/>
      <c r="HC441" s="83"/>
      <c r="HK441" s="405"/>
      <c r="HQ441" s="83"/>
      <c r="HY441" s="405"/>
      <c r="IE441" s="83"/>
      <c r="IM441" s="405"/>
      <c r="IS441" s="83"/>
      <c r="JA441" s="405"/>
      <c r="JG441" s="83"/>
      <c r="JO441" s="405"/>
      <c r="JU441" s="83"/>
      <c r="KC441" s="405"/>
      <c r="KI441" s="83"/>
      <c r="KQ441" s="405"/>
      <c r="KW441" s="83"/>
      <c r="LE441" s="405"/>
      <c r="LK441" s="83"/>
      <c r="LS441" s="405"/>
      <c r="LY441" s="83"/>
      <c r="MG441" s="405"/>
      <c r="MM441" s="83"/>
      <c r="MU441" s="405"/>
      <c r="NA441" s="83"/>
    </row>
    <row r="442">
      <c r="A442" s="380"/>
      <c r="B442" s="380"/>
      <c r="C442" s="380"/>
      <c r="D442" s="380"/>
      <c r="E442" s="380"/>
      <c r="F442" s="380"/>
      <c r="G442" s="380"/>
      <c r="H442" s="380"/>
      <c r="I442" s="403"/>
      <c r="J442" s="380"/>
      <c r="K442" s="380"/>
      <c r="L442" s="380"/>
      <c r="M442" s="380"/>
      <c r="N442" s="380"/>
      <c r="O442" s="404"/>
      <c r="P442" s="380"/>
      <c r="Q442" s="380"/>
      <c r="R442" s="380"/>
      <c r="S442" s="380"/>
      <c r="T442" s="380"/>
      <c r="U442" s="380"/>
      <c r="V442" s="380"/>
      <c r="W442" s="403"/>
      <c r="X442" s="380"/>
      <c r="Y442" s="380"/>
      <c r="Z442" s="380"/>
      <c r="AA442" s="380"/>
      <c r="AB442" s="380"/>
      <c r="AC442" s="404"/>
      <c r="AD442" s="380"/>
      <c r="AE442" s="380"/>
      <c r="AF442" s="380"/>
      <c r="AG442" s="380"/>
      <c r="AH442" s="380"/>
      <c r="AI442" s="380"/>
      <c r="AJ442" s="380"/>
      <c r="AK442" s="403"/>
      <c r="AL442" s="380"/>
      <c r="AM442" s="380"/>
      <c r="AN442" s="380"/>
      <c r="AO442" s="380"/>
      <c r="AP442" s="380"/>
      <c r="AQ442" s="404"/>
      <c r="AR442" s="380"/>
      <c r="AS442" s="380"/>
      <c r="AT442" s="380"/>
      <c r="AU442" s="380"/>
      <c r="AV442" s="380"/>
      <c r="AW442" s="380"/>
      <c r="AX442" s="380"/>
      <c r="AY442" s="403"/>
      <c r="AZ442" s="380"/>
      <c r="BA442" s="380"/>
      <c r="BB442" s="380"/>
      <c r="BC442" s="380"/>
      <c r="BD442" s="380"/>
      <c r="BE442" s="404"/>
      <c r="BF442" s="380"/>
      <c r="BG442" s="380"/>
      <c r="BH442" s="380"/>
      <c r="BI442" s="380"/>
      <c r="BJ442" s="380"/>
      <c r="BK442" s="380"/>
      <c r="BL442" s="380"/>
      <c r="BM442" s="403"/>
      <c r="BS442" s="83"/>
      <c r="CA442" s="405"/>
      <c r="CG442" s="83"/>
      <c r="CO442" s="405"/>
      <c r="CU442" s="83"/>
      <c r="DC442" s="405"/>
      <c r="DI442" s="83"/>
      <c r="DQ442" s="405"/>
      <c r="DW442" s="83"/>
      <c r="EE442" s="405"/>
      <c r="EK442" s="83"/>
      <c r="ES442" s="405"/>
      <c r="EY442" s="83"/>
      <c r="FG442" s="405"/>
      <c r="FM442" s="83"/>
      <c r="FU442" s="405"/>
      <c r="GA442" s="83"/>
      <c r="GI442" s="405"/>
      <c r="GO442" s="83"/>
      <c r="GW442" s="405"/>
      <c r="HC442" s="83"/>
      <c r="HK442" s="405"/>
      <c r="HQ442" s="83"/>
      <c r="HY442" s="405"/>
      <c r="IE442" s="83"/>
      <c r="IM442" s="405"/>
      <c r="IS442" s="83"/>
      <c r="JA442" s="405"/>
      <c r="JG442" s="83"/>
      <c r="JO442" s="405"/>
      <c r="JU442" s="83"/>
      <c r="KC442" s="405"/>
      <c r="KI442" s="83"/>
      <c r="KQ442" s="405"/>
      <c r="KW442" s="83"/>
      <c r="LE442" s="405"/>
      <c r="LK442" s="83"/>
      <c r="LS442" s="405"/>
      <c r="LY442" s="83"/>
      <c r="MG442" s="405"/>
      <c r="MM442" s="83"/>
      <c r="MU442" s="405"/>
      <c r="NA442" s="83"/>
    </row>
    <row r="443">
      <c r="A443" s="380"/>
      <c r="B443" s="380"/>
      <c r="C443" s="380"/>
      <c r="D443" s="380"/>
      <c r="E443" s="380"/>
      <c r="F443" s="380"/>
      <c r="G443" s="380"/>
      <c r="H443" s="380"/>
      <c r="I443" s="403"/>
      <c r="J443" s="380"/>
      <c r="K443" s="380"/>
      <c r="L443" s="380"/>
      <c r="M443" s="380"/>
      <c r="N443" s="380"/>
      <c r="O443" s="404"/>
      <c r="P443" s="380"/>
      <c r="Q443" s="380"/>
      <c r="R443" s="380"/>
      <c r="S443" s="380"/>
      <c r="T443" s="380"/>
      <c r="U443" s="380"/>
      <c r="V443" s="380"/>
      <c r="W443" s="403"/>
      <c r="X443" s="380"/>
      <c r="Y443" s="380"/>
      <c r="Z443" s="380"/>
      <c r="AA443" s="380"/>
      <c r="AB443" s="380"/>
      <c r="AC443" s="404"/>
      <c r="AD443" s="380"/>
      <c r="AE443" s="380"/>
      <c r="AF443" s="380"/>
      <c r="AG443" s="380"/>
      <c r="AH443" s="380"/>
      <c r="AI443" s="380"/>
      <c r="AJ443" s="380"/>
      <c r="AK443" s="403"/>
      <c r="AL443" s="380"/>
      <c r="AM443" s="380"/>
      <c r="AN443" s="380"/>
      <c r="AO443" s="380"/>
      <c r="AP443" s="380"/>
      <c r="AQ443" s="404"/>
      <c r="AR443" s="380"/>
      <c r="AS443" s="380"/>
      <c r="AT443" s="380"/>
      <c r="AU443" s="380"/>
      <c r="AV443" s="380"/>
      <c r="AW443" s="380"/>
      <c r="AX443" s="380"/>
      <c r="AY443" s="403"/>
      <c r="AZ443" s="380"/>
      <c r="BA443" s="380"/>
      <c r="BB443" s="380"/>
      <c r="BC443" s="380"/>
      <c r="BD443" s="380"/>
      <c r="BE443" s="404"/>
      <c r="BF443" s="380"/>
      <c r="BG443" s="380"/>
      <c r="BH443" s="380"/>
      <c r="BI443" s="380"/>
      <c r="BJ443" s="380"/>
      <c r="BK443" s="380"/>
      <c r="BL443" s="380"/>
      <c r="BM443" s="403"/>
      <c r="BS443" s="83"/>
      <c r="CA443" s="405"/>
      <c r="CG443" s="83"/>
      <c r="CO443" s="405"/>
      <c r="CU443" s="83"/>
      <c r="DC443" s="405"/>
      <c r="DI443" s="83"/>
      <c r="DQ443" s="405"/>
      <c r="DW443" s="83"/>
      <c r="EE443" s="405"/>
      <c r="EK443" s="83"/>
      <c r="ES443" s="405"/>
      <c r="EY443" s="83"/>
      <c r="FG443" s="405"/>
      <c r="FM443" s="83"/>
      <c r="FU443" s="405"/>
      <c r="GA443" s="83"/>
      <c r="GI443" s="405"/>
      <c r="GO443" s="83"/>
      <c r="GW443" s="405"/>
      <c r="HC443" s="83"/>
      <c r="HK443" s="405"/>
      <c r="HQ443" s="83"/>
      <c r="HY443" s="405"/>
      <c r="IE443" s="83"/>
      <c r="IM443" s="405"/>
      <c r="IS443" s="83"/>
      <c r="JA443" s="405"/>
      <c r="JG443" s="83"/>
      <c r="JO443" s="405"/>
      <c r="JU443" s="83"/>
      <c r="KC443" s="405"/>
      <c r="KI443" s="83"/>
      <c r="KQ443" s="405"/>
      <c r="KW443" s="83"/>
      <c r="LE443" s="405"/>
      <c r="LK443" s="83"/>
      <c r="LS443" s="405"/>
      <c r="LY443" s="83"/>
      <c r="MG443" s="405"/>
      <c r="MM443" s="83"/>
      <c r="MU443" s="405"/>
      <c r="NA443" s="83"/>
    </row>
    <row r="444">
      <c r="A444" s="380"/>
      <c r="B444" s="380"/>
      <c r="C444" s="380"/>
      <c r="D444" s="380"/>
      <c r="E444" s="380"/>
      <c r="F444" s="380"/>
      <c r="G444" s="380"/>
      <c r="H444" s="380"/>
      <c r="I444" s="403"/>
      <c r="J444" s="380"/>
      <c r="K444" s="380"/>
      <c r="L444" s="380"/>
      <c r="M444" s="380"/>
      <c r="N444" s="380"/>
      <c r="O444" s="404"/>
      <c r="P444" s="380"/>
      <c r="Q444" s="380"/>
      <c r="R444" s="380"/>
      <c r="S444" s="380"/>
      <c r="T444" s="380"/>
      <c r="U444" s="380"/>
      <c r="V444" s="380"/>
      <c r="W444" s="403"/>
      <c r="X444" s="380"/>
      <c r="Y444" s="380"/>
      <c r="Z444" s="380"/>
      <c r="AA444" s="380"/>
      <c r="AB444" s="380"/>
      <c r="AC444" s="404"/>
      <c r="AD444" s="380"/>
      <c r="AE444" s="380"/>
      <c r="AF444" s="380"/>
      <c r="AG444" s="380"/>
      <c r="AH444" s="380"/>
      <c r="AI444" s="380"/>
      <c r="AJ444" s="380"/>
      <c r="AK444" s="403"/>
      <c r="AL444" s="380"/>
      <c r="AM444" s="380"/>
      <c r="AN444" s="380"/>
      <c r="AO444" s="380"/>
      <c r="AP444" s="380"/>
      <c r="AQ444" s="404"/>
      <c r="AR444" s="380"/>
      <c r="AS444" s="380"/>
      <c r="AT444" s="380"/>
      <c r="AU444" s="380"/>
      <c r="AV444" s="380"/>
      <c r="AW444" s="380"/>
      <c r="AX444" s="380"/>
      <c r="AY444" s="403"/>
      <c r="AZ444" s="380"/>
      <c r="BA444" s="380"/>
      <c r="BB444" s="380"/>
      <c r="BC444" s="380"/>
      <c r="BD444" s="380"/>
      <c r="BE444" s="404"/>
      <c r="BF444" s="380"/>
      <c r="BG444" s="380"/>
      <c r="BH444" s="380"/>
      <c r="BI444" s="380"/>
      <c r="BJ444" s="380"/>
      <c r="BK444" s="380"/>
      <c r="BL444" s="380"/>
      <c r="BM444" s="403"/>
      <c r="BS444" s="83"/>
      <c r="CA444" s="405"/>
      <c r="CG444" s="83"/>
      <c r="CO444" s="405"/>
      <c r="CU444" s="83"/>
      <c r="DC444" s="405"/>
      <c r="DI444" s="83"/>
      <c r="DQ444" s="405"/>
      <c r="DW444" s="83"/>
      <c r="EE444" s="405"/>
      <c r="EK444" s="83"/>
      <c r="ES444" s="405"/>
      <c r="EY444" s="83"/>
      <c r="FG444" s="405"/>
      <c r="FM444" s="83"/>
      <c r="FU444" s="405"/>
      <c r="GA444" s="83"/>
      <c r="GI444" s="405"/>
      <c r="GO444" s="83"/>
      <c r="GW444" s="405"/>
      <c r="HC444" s="83"/>
      <c r="HK444" s="405"/>
      <c r="HQ444" s="83"/>
      <c r="HY444" s="405"/>
      <c r="IE444" s="83"/>
      <c r="IM444" s="405"/>
      <c r="IS444" s="83"/>
      <c r="JA444" s="405"/>
      <c r="JG444" s="83"/>
      <c r="JO444" s="405"/>
      <c r="JU444" s="83"/>
      <c r="KC444" s="405"/>
      <c r="KI444" s="83"/>
      <c r="KQ444" s="405"/>
      <c r="KW444" s="83"/>
      <c r="LE444" s="405"/>
      <c r="LK444" s="83"/>
      <c r="LS444" s="405"/>
      <c r="LY444" s="83"/>
      <c r="MG444" s="405"/>
      <c r="MM444" s="83"/>
      <c r="MU444" s="405"/>
      <c r="NA444" s="83"/>
    </row>
    <row r="445">
      <c r="A445" s="380"/>
      <c r="B445" s="380"/>
      <c r="C445" s="380"/>
      <c r="D445" s="380"/>
      <c r="E445" s="380"/>
      <c r="F445" s="380"/>
      <c r="G445" s="380"/>
      <c r="H445" s="380"/>
      <c r="I445" s="403"/>
      <c r="J445" s="380"/>
      <c r="K445" s="380"/>
      <c r="L445" s="380"/>
      <c r="M445" s="380"/>
      <c r="N445" s="380"/>
      <c r="O445" s="404"/>
      <c r="P445" s="380"/>
      <c r="Q445" s="380"/>
      <c r="R445" s="380"/>
      <c r="S445" s="380"/>
      <c r="T445" s="380"/>
      <c r="U445" s="380"/>
      <c r="V445" s="380"/>
      <c r="W445" s="403"/>
      <c r="X445" s="380"/>
      <c r="Y445" s="380"/>
      <c r="Z445" s="380"/>
      <c r="AA445" s="380"/>
      <c r="AB445" s="380"/>
      <c r="AC445" s="404"/>
      <c r="AD445" s="380"/>
      <c r="AE445" s="380"/>
      <c r="AF445" s="380"/>
      <c r="AG445" s="380"/>
      <c r="AH445" s="380"/>
      <c r="AI445" s="380"/>
      <c r="AJ445" s="380"/>
      <c r="AK445" s="403"/>
      <c r="AL445" s="380"/>
      <c r="AM445" s="380"/>
      <c r="AN445" s="380"/>
      <c r="AO445" s="380"/>
      <c r="AP445" s="380"/>
      <c r="AQ445" s="404"/>
      <c r="AR445" s="380"/>
      <c r="AS445" s="380"/>
      <c r="AT445" s="380"/>
      <c r="AU445" s="380"/>
      <c r="AV445" s="380"/>
      <c r="AW445" s="380"/>
      <c r="AX445" s="380"/>
      <c r="AY445" s="403"/>
      <c r="AZ445" s="380"/>
      <c r="BA445" s="380"/>
      <c r="BB445" s="380"/>
      <c r="BC445" s="380"/>
      <c r="BD445" s="380"/>
      <c r="BE445" s="404"/>
      <c r="BF445" s="380"/>
      <c r="BG445" s="380"/>
      <c r="BH445" s="380"/>
      <c r="BI445" s="380"/>
      <c r="BJ445" s="380"/>
      <c r="BK445" s="380"/>
      <c r="BL445" s="380"/>
      <c r="BM445" s="403"/>
      <c r="BS445" s="83"/>
      <c r="CA445" s="405"/>
      <c r="CG445" s="83"/>
      <c r="CO445" s="405"/>
      <c r="CU445" s="83"/>
      <c r="DC445" s="405"/>
      <c r="DI445" s="83"/>
      <c r="DQ445" s="405"/>
      <c r="DW445" s="83"/>
      <c r="EE445" s="405"/>
      <c r="EK445" s="83"/>
      <c r="ES445" s="405"/>
      <c r="EY445" s="83"/>
      <c r="FG445" s="405"/>
      <c r="FM445" s="83"/>
      <c r="FU445" s="405"/>
      <c r="GA445" s="83"/>
      <c r="GI445" s="405"/>
      <c r="GO445" s="83"/>
      <c r="GW445" s="405"/>
      <c r="HC445" s="83"/>
      <c r="HK445" s="405"/>
      <c r="HQ445" s="83"/>
      <c r="HY445" s="405"/>
      <c r="IE445" s="83"/>
      <c r="IM445" s="405"/>
      <c r="IS445" s="83"/>
      <c r="JA445" s="405"/>
      <c r="JG445" s="83"/>
      <c r="JO445" s="405"/>
      <c r="JU445" s="83"/>
      <c r="KC445" s="405"/>
      <c r="KI445" s="83"/>
      <c r="KQ445" s="405"/>
      <c r="KW445" s="83"/>
      <c r="LE445" s="405"/>
      <c r="LK445" s="83"/>
      <c r="LS445" s="405"/>
      <c r="LY445" s="83"/>
      <c r="MG445" s="405"/>
      <c r="MM445" s="83"/>
      <c r="MU445" s="405"/>
      <c r="NA445" s="83"/>
    </row>
    <row r="446">
      <c r="A446" s="380"/>
      <c r="B446" s="380"/>
      <c r="C446" s="380"/>
      <c r="D446" s="380"/>
      <c r="E446" s="380"/>
      <c r="F446" s="380"/>
      <c r="G446" s="380"/>
      <c r="H446" s="380"/>
      <c r="I446" s="403"/>
      <c r="J446" s="380"/>
      <c r="K446" s="380"/>
      <c r="L446" s="380"/>
      <c r="M446" s="380"/>
      <c r="N446" s="380"/>
      <c r="O446" s="404"/>
      <c r="P446" s="380"/>
      <c r="Q446" s="380"/>
      <c r="R446" s="380"/>
      <c r="S446" s="380"/>
      <c r="T446" s="380"/>
      <c r="U446" s="380"/>
      <c r="V446" s="380"/>
      <c r="W446" s="403"/>
      <c r="X446" s="380"/>
      <c r="Y446" s="380"/>
      <c r="Z446" s="380"/>
      <c r="AA446" s="380"/>
      <c r="AB446" s="380"/>
      <c r="AC446" s="404"/>
      <c r="AD446" s="380"/>
      <c r="AE446" s="380"/>
      <c r="AF446" s="380"/>
      <c r="AG446" s="380"/>
      <c r="AH446" s="380"/>
      <c r="AI446" s="380"/>
      <c r="AJ446" s="380"/>
      <c r="AK446" s="403"/>
      <c r="AL446" s="380"/>
      <c r="AM446" s="380"/>
      <c r="AN446" s="380"/>
      <c r="AO446" s="380"/>
      <c r="AP446" s="380"/>
      <c r="AQ446" s="404"/>
      <c r="AR446" s="380"/>
      <c r="AS446" s="380"/>
      <c r="AT446" s="380"/>
      <c r="AU446" s="380"/>
      <c r="AV446" s="380"/>
      <c r="AW446" s="380"/>
      <c r="AX446" s="380"/>
      <c r="AY446" s="403"/>
      <c r="AZ446" s="380"/>
      <c r="BA446" s="380"/>
      <c r="BB446" s="380"/>
      <c r="BC446" s="380"/>
      <c r="BD446" s="380"/>
      <c r="BE446" s="404"/>
      <c r="BF446" s="380"/>
      <c r="BG446" s="380"/>
      <c r="BH446" s="380"/>
      <c r="BI446" s="380"/>
      <c r="BJ446" s="380"/>
      <c r="BK446" s="380"/>
      <c r="BL446" s="380"/>
      <c r="BM446" s="403"/>
      <c r="BS446" s="83"/>
      <c r="CA446" s="405"/>
      <c r="CG446" s="83"/>
      <c r="CO446" s="405"/>
      <c r="CU446" s="83"/>
      <c r="DC446" s="405"/>
      <c r="DI446" s="83"/>
      <c r="DQ446" s="405"/>
      <c r="DW446" s="83"/>
      <c r="EE446" s="405"/>
      <c r="EK446" s="83"/>
      <c r="ES446" s="405"/>
      <c r="EY446" s="83"/>
      <c r="FG446" s="405"/>
      <c r="FM446" s="83"/>
      <c r="FU446" s="405"/>
      <c r="GA446" s="83"/>
      <c r="GI446" s="405"/>
      <c r="GO446" s="83"/>
      <c r="GW446" s="405"/>
      <c r="HC446" s="83"/>
      <c r="HK446" s="405"/>
      <c r="HQ446" s="83"/>
      <c r="HY446" s="405"/>
      <c r="IE446" s="83"/>
      <c r="IM446" s="405"/>
      <c r="IS446" s="83"/>
      <c r="JA446" s="405"/>
      <c r="JG446" s="83"/>
      <c r="JO446" s="405"/>
      <c r="JU446" s="83"/>
      <c r="KC446" s="405"/>
      <c r="KI446" s="83"/>
      <c r="KQ446" s="405"/>
      <c r="KW446" s="83"/>
      <c r="LE446" s="405"/>
      <c r="LK446" s="83"/>
      <c r="LS446" s="405"/>
      <c r="LY446" s="83"/>
      <c r="MG446" s="405"/>
      <c r="MM446" s="83"/>
      <c r="MU446" s="405"/>
      <c r="NA446" s="83"/>
    </row>
    <row r="447">
      <c r="A447" s="380"/>
      <c r="B447" s="380"/>
      <c r="C447" s="380"/>
      <c r="D447" s="380"/>
      <c r="E447" s="380"/>
      <c r="F447" s="380"/>
      <c r="G447" s="380"/>
      <c r="H447" s="380"/>
      <c r="I447" s="403"/>
      <c r="J447" s="380"/>
      <c r="K447" s="380"/>
      <c r="L447" s="380"/>
      <c r="M447" s="380"/>
      <c r="N447" s="380"/>
      <c r="O447" s="404"/>
      <c r="P447" s="380"/>
      <c r="Q447" s="380"/>
      <c r="R447" s="380"/>
      <c r="S447" s="380"/>
      <c r="T447" s="380"/>
      <c r="U447" s="380"/>
      <c r="V447" s="380"/>
      <c r="W447" s="403"/>
      <c r="X447" s="380"/>
      <c r="Y447" s="380"/>
      <c r="Z447" s="380"/>
      <c r="AA447" s="380"/>
      <c r="AB447" s="380"/>
      <c r="AC447" s="404"/>
      <c r="AD447" s="380"/>
      <c r="AE447" s="380"/>
      <c r="AF447" s="380"/>
      <c r="AG447" s="380"/>
      <c r="AH447" s="380"/>
      <c r="AI447" s="380"/>
      <c r="AJ447" s="380"/>
      <c r="AK447" s="403"/>
      <c r="AL447" s="380"/>
      <c r="AM447" s="380"/>
      <c r="AN447" s="380"/>
      <c r="AO447" s="380"/>
      <c r="AP447" s="380"/>
      <c r="AQ447" s="404"/>
      <c r="AR447" s="380"/>
      <c r="AS447" s="380"/>
      <c r="AT447" s="380"/>
      <c r="AU447" s="380"/>
      <c r="AV447" s="380"/>
      <c r="AW447" s="380"/>
      <c r="AX447" s="380"/>
      <c r="AY447" s="403"/>
      <c r="AZ447" s="380"/>
      <c r="BA447" s="380"/>
      <c r="BB447" s="380"/>
      <c r="BC447" s="380"/>
      <c r="BD447" s="380"/>
      <c r="BE447" s="404"/>
      <c r="BF447" s="380"/>
      <c r="BG447" s="380"/>
      <c r="BH447" s="380"/>
      <c r="BI447" s="380"/>
      <c r="BJ447" s="380"/>
      <c r="BK447" s="380"/>
      <c r="BL447" s="380"/>
      <c r="BM447" s="403"/>
      <c r="BS447" s="83"/>
      <c r="CA447" s="405"/>
      <c r="CG447" s="83"/>
      <c r="CO447" s="405"/>
      <c r="CU447" s="83"/>
      <c r="DC447" s="405"/>
      <c r="DI447" s="83"/>
      <c r="DQ447" s="405"/>
      <c r="DW447" s="83"/>
      <c r="EE447" s="405"/>
      <c r="EK447" s="83"/>
      <c r="ES447" s="405"/>
      <c r="EY447" s="83"/>
      <c r="FG447" s="405"/>
      <c r="FM447" s="83"/>
      <c r="FU447" s="405"/>
      <c r="GA447" s="83"/>
      <c r="GI447" s="405"/>
      <c r="GO447" s="83"/>
      <c r="GW447" s="405"/>
      <c r="HC447" s="83"/>
      <c r="HK447" s="405"/>
      <c r="HQ447" s="83"/>
      <c r="HY447" s="405"/>
      <c r="IE447" s="83"/>
      <c r="IM447" s="405"/>
      <c r="IS447" s="83"/>
      <c r="JA447" s="405"/>
      <c r="JG447" s="83"/>
      <c r="JO447" s="405"/>
      <c r="JU447" s="83"/>
      <c r="KC447" s="405"/>
      <c r="KI447" s="83"/>
      <c r="KQ447" s="405"/>
      <c r="KW447" s="83"/>
      <c r="LE447" s="405"/>
      <c r="LK447" s="83"/>
      <c r="LS447" s="405"/>
      <c r="LY447" s="83"/>
      <c r="MG447" s="405"/>
      <c r="MM447" s="83"/>
      <c r="MU447" s="405"/>
      <c r="NA447" s="83"/>
    </row>
    <row r="448">
      <c r="A448" s="380"/>
      <c r="B448" s="380"/>
      <c r="C448" s="380"/>
      <c r="D448" s="380"/>
      <c r="E448" s="380"/>
      <c r="F448" s="380"/>
      <c r="G448" s="380"/>
      <c r="H448" s="380"/>
      <c r="I448" s="403"/>
      <c r="J448" s="380"/>
      <c r="K448" s="380"/>
      <c r="L448" s="380"/>
      <c r="M448" s="380"/>
      <c r="N448" s="380"/>
      <c r="O448" s="404"/>
      <c r="P448" s="380"/>
      <c r="Q448" s="380"/>
      <c r="R448" s="380"/>
      <c r="S448" s="380"/>
      <c r="T448" s="380"/>
      <c r="U448" s="380"/>
      <c r="V448" s="380"/>
      <c r="W448" s="403"/>
      <c r="X448" s="380"/>
      <c r="Y448" s="380"/>
      <c r="Z448" s="380"/>
      <c r="AA448" s="380"/>
      <c r="AB448" s="380"/>
      <c r="AC448" s="404"/>
      <c r="AD448" s="380"/>
      <c r="AE448" s="380"/>
      <c r="AF448" s="380"/>
      <c r="AG448" s="380"/>
      <c r="AH448" s="380"/>
      <c r="AI448" s="380"/>
      <c r="AJ448" s="380"/>
      <c r="AK448" s="403"/>
      <c r="AL448" s="380"/>
      <c r="AM448" s="380"/>
      <c r="AN448" s="380"/>
      <c r="AO448" s="380"/>
      <c r="AP448" s="380"/>
      <c r="AQ448" s="404"/>
      <c r="AR448" s="380"/>
      <c r="AS448" s="380"/>
      <c r="AT448" s="380"/>
      <c r="AU448" s="380"/>
      <c r="AV448" s="380"/>
      <c r="AW448" s="380"/>
      <c r="AX448" s="380"/>
      <c r="AY448" s="403"/>
      <c r="AZ448" s="380"/>
      <c r="BA448" s="380"/>
      <c r="BB448" s="380"/>
      <c r="BC448" s="380"/>
      <c r="BD448" s="380"/>
      <c r="BE448" s="404"/>
      <c r="BF448" s="380"/>
      <c r="BG448" s="380"/>
      <c r="BH448" s="380"/>
      <c r="BI448" s="380"/>
      <c r="BJ448" s="380"/>
      <c r="BK448" s="380"/>
      <c r="BL448" s="380"/>
      <c r="BM448" s="403"/>
      <c r="BS448" s="83"/>
      <c r="CA448" s="405"/>
      <c r="CG448" s="83"/>
      <c r="CO448" s="405"/>
      <c r="CU448" s="83"/>
      <c r="DC448" s="405"/>
      <c r="DI448" s="83"/>
      <c r="DQ448" s="405"/>
      <c r="DW448" s="83"/>
      <c r="EE448" s="405"/>
      <c r="EK448" s="83"/>
      <c r="ES448" s="405"/>
      <c r="EY448" s="83"/>
      <c r="FG448" s="405"/>
      <c r="FM448" s="83"/>
      <c r="FU448" s="405"/>
      <c r="GA448" s="83"/>
      <c r="GI448" s="405"/>
      <c r="GO448" s="83"/>
      <c r="GW448" s="405"/>
      <c r="HC448" s="83"/>
      <c r="HK448" s="405"/>
      <c r="HQ448" s="83"/>
      <c r="HY448" s="405"/>
      <c r="IE448" s="83"/>
      <c r="IM448" s="405"/>
      <c r="IS448" s="83"/>
      <c r="JA448" s="405"/>
      <c r="JG448" s="83"/>
      <c r="JO448" s="405"/>
      <c r="JU448" s="83"/>
      <c r="KC448" s="405"/>
      <c r="KI448" s="83"/>
      <c r="KQ448" s="405"/>
      <c r="KW448" s="83"/>
      <c r="LE448" s="405"/>
      <c r="LK448" s="83"/>
      <c r="LS448" s="405"/>
      <c r="LY448" s="83"/>
      <c r="MG448" s="405"/>
      <c r="MM448" s="83"/>
      <c r="MU448" s="405"/>
      <c r="NA448" s="83"/>
    </row>
    <row r="449">
      <c r="A449" s="380"/>
      <c r="B449" s="380"/>
      <c r="C449" s="380"/>
      <c r="D449" s="380"/>
      <c r="E449" s="380"/>
      <c r="F449" s="380"/>
      <c r="G449" s="380"/>
      <c r="H449" s="380"/>
      <c r="I449" s="403"/>
      <c r="J449" s="380"/>
      <c r="K449" s="380"/>
      <c r="L449" s="380"/>
      <c r="M449" s="380"/>
      <c r="N449" s="380"/>
      <c r="O449" s="404"/>
      <c r="P449" s="380"/>
      <c r="Q449" s="380"/>
      <c r="R449" s="380"/>
      <c r="S449" s="380"/>
      <c r="T449" s="380"/>
      <c r="U449" s="380"/>
      <c r="V449" s="380"/>
      <c r="W449" s="403"/>
      <c r="X449" s="380"/>
      <c r="Y449" s="380"/>
      <c r="Z449" s="380"/>
      <c r="AA449" s="380"/>
      <c r="AB449" s="380"/>
      <c r="AC449" s="404"/>
      <c r="AD449" s="380"/>
      <c r="AE449" s="380"/>
      <c r="AF449" s="380"/>
      <c r="AG449" s="380"/>
      <c r="AH449" s="380"/>
      <c r="AI449" s="380"/>
      <c r="AJ449" s="380"/>
      <c r="AK449" s="403"/>
      <c r="AL449" s="380"/>
      <c r="AM449" s="380"/>
      <c r="AN449" s="380"/>
      <c r="AO449" s="380"/>
      <c r="AP449" s="380"/>
      <c r="AQ449" s="404"/>
      <c r="AR449" s="380"/>
      <c r="AS449" s="380"/>
      <c r="AT449" s="380"/>
      <c r="AU449" s="380"/>
      <c r="AV449" s="380"/>
      <c r="AW449" s="380"/>
      <c r="AX449" s="380"/>
      <c r="AY449" s="403"/>
      <c r="AZ449" s="380"/>
      <c r="BA449" s="380"/>
      <c r="BB449" s="380"/>
      <c r="BC449" s="380"/>
      <c r="BD449" s="380"/>
      <c r="BE449" s="404"/>
      <c r="BF449" s="380"/>
      <c r="BG449" s="380"/>
      <c r="BH449" s="380"/>
      <c r="BI449" s="380"/>
      <c r="BJ449" s="380"/>
      <c r="BK449" s="380"/>
      <c r="BL449" s="380"/>
      <c r="BM449" s="403"/>
      <c r="BS449" s="83"/>
      <c r="CA449" s="405"/>
      <c r="CG449" s="83"/>
      <c r="CO449" s="405"/>
      <c r="CU449" s="83"/>
      <c r="DC449" s="405"/>
      <c r="DI449" s="83"/>
      <c r="DQ449" s="405"/>
      <c r="DW449" s="83"/>
      <c r="EE449" s="405"/>
      <c r="EK449" s="83"/>
      <c r="ES449" s="405"/>
      <c r="EY449" s="83"/>
      <c r="FG449" s="405"/>
      <c r="FM449" s="83"/>
      <c r="FU449" s="405"/>
      <c r="GA449" s="83"/>
      <c r="GI449" s="405"/>
      <c r="GO449" s="83"/>
      <c r="GW449" s="405"/>
      <c r="HC449" s="83"/>
      <c r="HK449" s="405"/>
      <c r="HQ449" s="83"/>
      <c r="HY449" s="405"/>
      <c r="IE449" s="83"/>
      <c r="IM449" s="405"/>
      <c r="IS449" s="83"/>
      <c r="JA449" s="405"/>
      <c r="JG449" s="83"/>
      <c r="JO449" s="405"/>
      <c r="JU449" s="83"/>
      <c r="KC449" s="405"/>
      <c r="KI449" s="83"/>
      <c r="KQ449" s="405"/>
      <c r="KW449" s="83"/>
      <c r="LE449" s="405"/>
      <c r="LK449" s="83"/>
      <c r="LS449" s="405"/>
      <c r="LY449" s="83"/>
      <c r="MG449" s="405"/>
      <c r="MM449" s="83"/>
      <c r="MU449" s="405"/>
      <c r="NA449" s="83"/>
    </row>
    <row r="450">
      <c r="A450" s="380"/>
      <c r="B450" s="380"/>
      <c r="C450" s="380"/>
      <c r="D450" s="380"/>
      <c r="E450" s="380"/>
      <c r="F450" s="380"/>
      <c r="G450" s="380"/>
      <c r="H450" s="380"/>
      <c r="I450" s="403"/>
      <c r="J450" s="380"/>
      <c r="K450" s="380"/>
      <c r="L450" s="380"/>
      <c r="M450" s="380"/>
      <c r="N450" s="380"/>
      <c r="O450" s="404"/>
      <c r="P450" s="380"/>
      <c r="Q450" s="380"/>
      <c r="R450" s="380"/>
      <c r="S450" s="380"/>
      <c r="T450" s="380"/>
      <c r="U450" s="380"/>
      <c r="V450" s="380"/>
      <c r="W450" s="403"/>
      <c r="X450" s="380"/>
      <c r="Y450" s="380"/>
      <c r="Z450" s="380"/>
      <c r="AA450" s="380"/>
      <c r="AB450" s="380"/>
      <c r="AC450" s="404"/>
      <c r="AD450" s="380"/>
      <c r="AE450" s="380"/>
      <c r="AF450" s="380"/>
      <c r="AG450" s="380"/>
      <c r="AH450" s="380"/>
      <c r="AI450" s="380"/>
      <c r="AJ450" s="380"/>
      <c r="AK450" s="403"/>
      <c r="AL450" s="380"/>
      <c r="AM450" s="380"/>
      <c r="AN450" s="380"/>
      <c r="AO450" s="380"/>
      <c r="AP450" s="380"/>
      <c r="AQ450" s="404"/>
      <c r="AR450" s="380"/>
      <c r="AS450" s="380"/>
      <c r="AT450" s="380"/>
      <c r="AU450" s="380"/>
      <c r="AV450" s="380"/>
      <c r="AW450" s="380"/>
      <c r="AX450" s="380"/>
      <c r="AY450" s="403"/>
      <c r="AZ450" s="380"/>
      <c r="BA450" s="380"/>
      <c r="BB450" s="380"/>
      <c r="BC450" s="380"/>
      <c r="BD450" s="380"/>
      <c r="BE450" s="404"/>
      <c r="BF450" s="380"/>
      <c r="BG450" s="380"/>
      <c r="BH450" s="380"/>
      <c r="BI450" s="380"/>
      <c r="BJ450" s="380"/>
      <c r="BK450" s="380"/>
      <c r="BL450" s="380"/>
      <c r="BM450" s="403"/>
      <c r="BS450" s="83"/>
      <c r="CA450" s="405"/>
      <c r="CG450" s="83"/>
      <c r="CO450" s="405"/>
      <c r="CU450" s="83"/>
      <c r="DC450" s="405"/>
      <c r="DI450" s="83"/>
      <c r="DQ450" s="405"/>
      <c r="DW450" s="83"/>
      <c r="EE450" s="405"/>
      <c r="EK450" s="83"/>
      <c r="ES450" s="405"/>
      <c r="EY450" s="83"/>
      <c r="FG450" s="405"/>
      <c r="FM450" s="83"/>
      <c r="FU450" s="405"/>
      <c r="GA450" s="83"/>
      <c r="GI450" s="405"/>
      <c r="GO450" s="83"/>
      <c r="GW450" s="405"/>
      <c r="HC450" s="83"/>
      <c r="HK450" s="405"/>
      <c r="HQ450" s="83"/>
      <c r="HY450" s="405"/>
      <c r="IE450" s="83"/>
      <c r="IM450" s="405"/>
      <c r="IS450" s="83"/>
      <c r="JA450" s="405"/>
      <c r="JG450" s="83"/>
      <c r="JO450" s="405"/>
      <c r="JU450" s="83"/>
      <c r="KC450" s="405"/>
      <c r="KI450" s="83"/>
      <c r="KQ450" s="405"/>
      <c r="KW450" s="83"/>
      <c r="LE450" s="405"/>
      <c r="LK450" s="83"/>
      <c r="LS450" s="405"/>
      <c r="LY450" s="83"/>
      <c r="MG450" s="405"/>
      <c r="MM450" s="83"/>
      <c r="MU450" s="405"/>
      <c r="NA450" s="83"/>
    </row>
    <row r="451">
      <c r="A451" s="380"/>
      <c r="B451" s="380"/>
      <c r="C451" s="380"/>
      <c r="D451" s="380"/>
      <c r="E451" s="380"/>
      <c r="F451" s="380"/>
      <c r="G451" s="380"/>
      <c r="H451" s="380"/>
      <c r="I451" s="403"/>
      <c r="J451" s="380"/>
      <c r="K451" s="380"/>
      <c r="L451" s="380"/>
      <c r="M451" s="380"/>
      <c r="N451" s="380"/>
      <c r="O451" s="404"/>
      <c r="P451" s="380"/>
      <c r="Q451" s="380"/>
      <c r="R451" s="380"/>
      <c r="S451" s="380"/>
      <c r="T451" s="380"/>
      <c r="U451" s="380"/>
      <c r="V451" s="380"/>
      <c r="W451" s="403"/>
      <c r="X451" s="380"/>
      <c r="Y451" s="380"/>
      <c r="Z451" s="380"/>
      <c r="AA451" s="380"/>
      <c r="AB451" s="380"/>
      <c r="AC451" s="404"/>
      <c r="AD451" s="380"/>
      <c r="AE451" s="380"/>
      <c r="AF451" s="380"/>
      <c r="AG451" s="380"/>
      <c r="AH451" s="380"/>
      <c r="AI451" s="380"/>
      <c r="AJ451" s="380"/>
      <c r="AK451" s="403"/>
      <c r="AL451" s="380"/>
      <c r="AM451" s="380"/>
      <c r="AN451" s="380"/>
      <c r="AO451" s="380"/>
      <c r="AP451" s="380"/>
      <c r="AQ451" s="404"/>
      <c r="AR451" s="380"/>
      <c r="AS451" s="380"/>
      <c r="AT451" s="380"/>
      <c r="AU451" s="380"/>
      <c r="AV451" s="380"/>
      <c r="AW451" s="380"/>
      <c r="AX451" s="380"/>
      <c r="AY451" s="403"/>
      <c r="AZ451" s="380"/>
      <c r="BA451" s="380"/>
      <c r="BB451" s="380"/>
      <c r="BC451" s="380"/>
      <c r="BD451" s="380"/>
      <c r="BE451" s="404"/>
      <c r="BF451" s="380"/>
      <c r="BG451" s="380"/>
      <c r="BH451" s="380"/>
      <c r="BI451" s="380"/>
      <c r="BJ451" s="380"/>
      <c r="BK451" s="380"/>
      <c r="BL451" s="380"/>
      <c r="BM451" s="403"/>
      <c r="BS451" s="83"/>
      <c r="CA451" s="405"/>
      <c r="CG451" s="83"/>
      <c r="CO451" s="405"/>
      <c r="CU451" s="83"/>
      <c r="DC451" s="405"/>
      <c r="DI451" s="83"/>
      <c r="DQ451" s="405"/>
      <c r="DW451" s="83"/>
      <c r="EE451" s="405"/>
      <c r="EK451" s="83"/>
      <c r="ES451" s="405"/>
      <c r="EY451" s="83"/>
      <c r="FG451" s="405"/>
      <c r="FM451" s="83"/>
      <c r="FU451" s="405"/>
      <c r="GA451" s="83"/>
      <c r="GI451" s="405"/>
      <c r="GO451" s="83"/>
      <c r="GW451" s="405"/>
      <c r="HC451" s="83"/>
      <c r="HK451" s="405"/>
      <c r="HQ451" s="83"/>
      <c r="HY451" s="405"/>
      <c r="IE451" s="83"/>
      <c r="IM451" s="405"/>
      <c r="IS451" s="83"/>
      <c r="JA451" s="405"/>
      <c r="JG451" s="83"/>
      <c r="JO451" s="405"/>
      <c r="JU451" s="83"/>
      <c r="KC451" s="405"/>
      <c r="KI451" s="83"/>
      <c r="KQ451" s="405"/>
      <c r="KW451" s="83"/>
      <c r="LE451" s="405"/>
      <c r="LK451" s="83"/>
      <c r="LS451" s="405"/>
      <c r="LY451" s="83"/>
      <c r="MG451" s="405"/>
      <c r="MM451" s="83"/>
      <c r="MU451" s="405"/>
      <c r="NA451" s="83"/>
    </row>
    <row r="452">
      <c r="A452" s="380"/>
      <c r="B452" s="380"/>
      <c r="C452" s="380"/>
      <c r="D452" s="380"/>
      <c r="E452" s="380"/>
      <c r="F452" s="380"/>
      <c r="G452" s="380"/>
      <c r="H452" s="380"/>
      <c r="I452" s="403"/>
      <c r="J452" s="380"/>
      <c r="K452" s="380"/>
      <c r="L452" s="380"/>
      <c r="M452" s="380"/>
      <c r="N452" s="380"/>
      <c r="O452" s="404"/>
      <c r="P452" s="380"/>
      <c r="Q452" s="380"/>
      <c r="R452" s="380"/>
      <c r="S452" s="380"/>
      <c r="T452" s="380"/>
      <c r="U452" s="380"/>
      <c r="V452" s="380"/>
      <c r="W452" s="403"/>
      <c r="X452" s="380"/>
      <c r="Y452" s="380"/>
      <c r="Z452" s="380"/>
      <c r="AA452" s="380"/>
      <c r="AB452" s="380"/>
      <c r="AC452" s="404"/>
      <c r="AD452" s="380"/>
      <c r="AE452" s="380"/>
      <c r="AF452" s="380"/>
      <c r="AG452" s="380"/>
      <c r="AH452" s="380"/>
      <c r="AI452" s="380"/>
      <c r="AJ452" s="380"/>
      <c r="AK452" s="403"/>
      <c r="AL452" s="380"/>
      <c r="AM452" s="380"/>
      <c r="AN452" s="380"/>
      <c r="AO452" s="380"/>
      <c r="AP452" s="380"/>
      <c r="AQ452" s="404"/>
      <c r="AR452" s="380"/>
      <c r="AS452" s="380"/>
      <c r="AT452" s="380"/>
      <c r="AU452" s="380"/>
      <c r="AV452" s="380"/>
      <c r="AW452" s="380"/>
      <c r="AX452" s="380"/>
      <c r="AY452" s="403"/>
      <c r="AZ452" s="380"/>
      <c r="BA452" s="380"/>
      <c r="BB452" s="380"/>
      <c r="BC452" s="380"/>
      <c r="BD452" s="380"/>
      <c r="BE452" s="404"/>
      <c r="BF452" s="380"/>
      <c r="BG452" s="380"/>
      <c r="BH452" s="380"/>
      <c r="BI452" s="380"/>
      <c r="BJ452" s="380"/>
      <c r="BK452" s="380"/>
      <c r="BL452" s="380"/>
      <c r="BM452" s="403"/>
      <c r="BS452" s="83"/>
      <c r="CA452" s="405"/>
      <c r="CG452" s="83"/>
      <c r="CO452" s="405"/>
      <c r="CU452" s="83"/>
      <c r="DC452" s="405"/>
      <c r="DI452" s="83"/>
      <c r="DQ452" s="405"/>
      <c r="DW452" s="83"/>
      <c r="EE452" s="405"/>
      <c r="EK452" s="83"/>
      <c r="ES452" s="405"/>
      <c r="EY452" s="83"/>
      <c r="FG452" s="405"/>
      <c r="FM452" s="83"/>
      <c r="FU452" s="405"/>
      <c r="GA452" s="83"/>
      <c r="GI452" s="405"/>
      <c r="GO452" s="83"/>
      <c r="GW452" s="405"/>
      <c r="HC452" s="83"/>
      <c r="HK452" s="405"/>
      <c r="HQ452" s="83"/>
      <c r="HY452" s="405"/>
      <c r="IE452" s="83"/>
      <c r="IM452" s="405"/>
      <c r="IS452" s="83"/>
      <c r="JA452" s="405"/>
      <c r="JG452" s="83"/>
      <c r="JO452" s="405"/>
      <c r="JU452" s="83"/>
      <c r="KC452" s="405"/>
      <c r="KI452" s="83"/>
      <c r="KQ452" s="405"/>
      <c r="KW452" s="83"/>
      <c r="LE452" s="405"/>
      <c r="LK452" s="83"/>
      <c r="LS452" s="405"/>
      <c r="LY452" s="83"/>
      <c r="MG452" s="405"/>
      <c r="MM452" s="83"/>
      <c r="MU452" s="405"/>
      <c r="NA452" s="83"/>
    </row>
    <row r="453">
      <c r="A453" s="380"/>
      <c r="B453" s="380"/>
      <c r="C453" s="380"/>
      <c r="D453" s="380"/>
      <c r="E453" s="380"/>
      <c r="F453" s="380"/>
      <c r="G453" s="380"/>
      <c r="H453" s="380"/>
      <c r="I453" s="403"/>
      <c r="J453" s="380"/>
      <c r="K453" s="380"/>
      <c r="L453" s="380"/>
      <c r="M453" s="380"/>
      <c r="N453" s="380"/>
      <c r="O453" s="404"/>
      <c r="P453" s="380"/>
      <c r="Q453" s="380"/>
      <c r="R453" s="380"/>
      <c r="S453" s="380"/>
      <c r="T453" s="380"/>
      <c r="U453" s="380"/>
      <c r="V453" s="380"/>
      <c r="W453" s="403"/>
      <c r="X453" s="380"/>
      <c r="Y453" s="380"/>
      <c r="Z453" s="380"/>
      <c r="AA453" s="380"/>
      <c r="AB453" s="380"/>
      <c r="AC453" s="404"/>
      <c r="AD453" s="380"/>
      <c r="AE453" s="380"/>
      <c r="AF453" s="380"/>
      <c r="AG453" s="380"/>
      <c r="AH453" s="380"/>
      <c r="AI453" s="380"/>
      <c r="AJ453" s="380"/>
      <c r="AK453" s="403"/>
      <c r="AL453" s="380"/>
      <c r="AM453" s="380"/>
      <c r="AN453" s="380"/>
      <c r="AO453" s="380"/>
      <c r="AP453" s="380"/>
      <c r="AQ453" s="404"/>
      <c r="AR453" s="380"/>
      <c r="AS453" s="380"/>
      <c r="AT453" s="380"/>
      <c r="AU453" s="380"/>
      <c r="AV453" s="380"/>
      <c r="AW453" s="380"/>
      <c r="AX453" s="380"/>
      <c r="AY453" s="403"/>
      <c r="AZ453" s="380"/>
      <c r="BA453" s="380"/>
      <c r="BB453" s="380"/>
      <c r="BC453" s="380"/>
      <c r="BD453" s="380"/>
      <c r="BE453" s="404"/>
      <c r="BF453" s="380"/>
      <c r="BG453" s="380"/>
      <c r="BH453" s="380"/>
      <c r="BI453" s="380"/>
      <c r="BJ453" s="380"/>
      <c r="BK453" s="380"/>
      <c r="BL453" s="380"/>
      <c r="BM453" s="403"/>
      <c r="BS453" s="83"/>
      <c r="CA453" s="405"/>
      <c r="CG453" s="83"/>
      <c r="CO453" s="405"/>
      <c r="CU453" s="83"/>
      <c r="DC453" s="405"/>
      <c r="DI453" s="83"/>
      <c r="DQ453" s="405"/>
      <c r="DW453" s="83"/>
      <c r="EE453" s="405"/>
      <c r="EK453" s="83"/>
      <c r="ES453" s="405"/>
      <c r="EY453" s="83"/>
      <c r="FG453" s="405"/>
      <c r="FM453" s="83"/>
      <c r="FU453" s="405"/>
      <c r="GA453" s="83"/>
      <c r="GI453" s="405"/>
      <c r="GO453" s="83"/>
      <c r="GW453" s="405"/>
      <c r="HC453" s="83"/>
      <c r="HK453" s="405"/>
      <c r="HQ453" s="83"/>
      <c r="HY453" s="405"/>
      <c r="IE453" s="83"/>
      <c r="IM453" s="405"/>
      <c r="IS453" s="83"/>
      <c r="JA453" s="405"/>
      <c r="JG453" s="83"/>
      <c r="JO453" s="405"/>
      <c r="JU453" s="83"/>
      <c r="KC453" s="405"/>
      <c r="KI453" s="83"/>
      <c r="KQ453" s="405"/>
      <c r="KW453" s="83"/>
      <c r="LE453" s="405"/>
      <c r="LK453" s="83"/>
      <c r="LS453" s="405"/>
      <c r="LY453" s="83"/>
      <c r="MG453" s="405"/>
      <c r="MM453" s="83"/>
      <c r="MU453" s="405"/>
      <c r="NA453" s="83"/>
    </row>
    <row r="454">
      <c r="A454" s="380"/>
      <c r="B454" s="380"/>
      <c r="C454" s="380"/>
      <c r="D454" s="380"/>
      <c r="E454" s="380"/>
      <c r="F454" s="380"/>
      <c r="G454" s="380"/>
      <c r="H454" s="380"/>
      <c r="I454" s="403"/>
      <c r="J454" s="380"/>
      <c r="K454" s="380"/>
      <c r="L454" s="380"/>
      <c r="M454" s="380"/>
      <c r="N454" s="380"/>
      <c r="O454" s="404"/>
      <c r="P454" s="380"/>
      <c r="Q454" s="380"/>
      <c r="R454" s="380"/>
      <c r="S454" s="380"/>
      <c r="T454" s="380"/>
      <c r="U454" s="380"/>
      <c r="V454" s="380"/>
      <c r="W454" s="403"/>
      <c r="X454" s="380"/>
      <c r="Y454" s="380"/>
      <c r="Z454" s="380"/>
      <c r="AA454" s="380"/>
      <c r="AB454" s="380"/>
      <c r="AC454" s="404"/>
      <c r="AD454" s="380"/>
      <c r="AE454" s="380"/>
      <c r="AF454" s="380"/>
      <c r="AG454" s="380"/>
      <c r="AH454" s="380"/>
      <c r="AI454" s="380"/>
      <c r="AJ454" s="380"/>
      <c r="AK454" s="403"/>
      <c r="AL454" s="380"/>
      <c r="AM454" s="380"/>
      <c r="AN454" s="380"/>
      <c r="AO454" s="380"/>
      <c r="AP454" s="380"/>
      <c r="AQ454" s="404"/>
      <c r="AR454" s="380"/>
      <c r="AS454" s="380"/>
      <c r="AT454" s="380"/>
      <c r="AU454" s="380"/>
      <c r="AV454" s="380"/>
      <c r="AW454" s="380"/>
      <c r="AX454" s="380"/>
      <c r="AY454" s="403"/>
      <c r="AZ454" s="380"/>
      <c r="BA454" s="380"/>
      <c r="BB454" s="380"/>
      <c r="BC454" s="380"/>
      <c r="BD454" s="380"/>
      <c r="BE454" s="404"/>
      <c r="BF454" s="380"/>
      <c r="BG454" s="380"/>
      <c r="BH454" s="380"/>
      <c r="BI454" s="380"/>
      <c r="BJ454" s="380"/>
      <c r="BK454" s="380"/>
      <c r="BL454" s="380"/>
      <c r="BM454" s="403"/>
      <c r="BS454" s="83"/>
      <c r="CA454" s="405"/>
      <c r="CG454" s="83"/>
      <c r="CO454" s="405"/>
      <c r="CU454" s="83"/>
      <c r="DC454" s="405"/>
      <c r="DI454" s="83"/>
      <c r="DQ454" s="405"/>
      <c r="DW454" s="83"/>
      <c r="EE454" s="405"/>
      <c r="EK454" s="83"/>
      <c r="ES454" s="405"/>
      <c r="EY454" s="83"/>
      <c r="FG454" s="405"/>
      <c r="FM454" s="83"/>
      <c r="FU454" s="405"/>
      <c r="GA454" s="83"/>
      <c r="GI454" s="405"/>
      <c r="GO454" s="83"/>
      <c r="GW454" s="405"/>
      <c r="HC454" s="83"/>
      <c r="HK454" s="405"/>
      <c r="HQ454" s="83"/>
      <c r="HY454" s="405"/>
      <c r="IE454" s="83"/>
      <c r="IM454" s="405"/>
      <c r="IS454" s="83"/>
      <c r="JA454" s="405"/>
      <c r="JG454" s="83"/>
      <c r="JO454" s="405"/>
      <c r="JU454" s="83"/>
      <c r="KC454" s="405"/>
      <c r="KI454" s="83"/>
      <c r="KQ454" s="405"/>
      <c r="KW454" s="83"/>
      <c r="LE454" s="405"/>
      <c r="LK454" s="83"/>
      <c r="LS454" s="405"/>
      <c r="LY454" s="83"/>
      <c r="MG454" s="405"/>
      <c r="MM454" s="83"/>
      <c r="MU454" s="405"/>
      <c r="NA454" s="83"/>
    </row>
    <row r="455">
      <c r="A455" s="380"/>
      <c r="B455" s="380"/>
      <c r="C455" s="380"/>
      <c r="D455" s="380"/>
      <c r="E455" s="380"/>
      <c r="F455" s="380"/>
      <c r="G455" s="380"/>
      <c r="H455" s="380"/>
      <c r="I455" s="403"/>
      <c r="J455" s="380"/>
      <c r="K455" s="380"/>
      <c r="L455" s="380"/>
      <c r="M455" s="380"/>
      <c r="N455" s="380"/>
      <c r="O455" s="404"/>
      <c r="P455" s="380"/>
      <c r="Q455" s="380"/>
      <c r="R455" s="380"/>
      <c r="S455" s="380"/>
      <c r="T455" s="380"/>
      <c r="U455" s="380"/>
      <c r="V455" s="380"/>
      <c r="W455" s="403"/>
      <c r="X455" s="380"/>
      <c r="Y455" s="380"/>
      <c r="Z455" s="380"/>
      <c r="AA455" s="380"/>
      <c r="AB455" s="380"/>
      <c r="AC455" s="404"/>
      <c r="AD455" s="380"/>
      <c r="AE455" s="380"/>
      <c r="AF455" s="380"/>
      <c r="AG455" s="380"/>
      <c r="AH455" s="380"/>
      <c r="AI455" s="380"/>
      <c r="AJ455" s="380"/>
      <c r="AK455" s="403"/>
      <c r="AL455" s="380"/>
      <c r="AM455" s="380"/>
      <c r="AN455" s="380"/>
      <c r="AO455" s="380"/>
      <c r="AP455" s="380"/>
      <c r="AQ455" s="404"/>
      <c r="AR455" s="380"/>
      <c r="AS455" s="380"/>
      <c r="AT455" s="380"/>
      <c r="AU455" s="380"/>
      <c r="AV455" s="380"/>
      <c r="AW455" s="380"/>
      <c r="AX455" s="380"/>
      <c r="AY455" s="403"/>
      <c r="AZ455" s="380"/>
      <c r="BA455" s="380"/>
      <c r="BB455" s="380"/>
      <c r="BC455" s="380"/>
      <c r="BD455" s="380"/>
      <c r="BE455" s="404"/>
      <c r="BF455" s="380"/>
      <c r="BG455" s="380"/>
      <c r="BH455" s="380"/>
      <c r="BI455" s="380"/>
      <c r="BJ455" s="380"/>
      <c r="BK455" s="380"/>
      <c r="BL455" s="380"/>
      <c r="BM455" s="403"/>
      <c r="BS455" s="83"/>
      <c r="CA455" s="405"/>
      <c r="CG455" s="83"/>
      <c r="CO455" s="405"/>
      <c r="CU455" s="83"/>
      <c r="DC455" s="405"/>
      <c r="DI455" s="83"/>
      <c r="DQ455" s="405"/>
      <c r="DW455" s="83"/>
      <c r="EE455" s="405"/>
      <c r="EK455" s="83"/>
      <c r="ES455" s="405"/>
      <c r="EY455" s="83"/>
      <c r="FG455" s="405"/>
      <c r="FM455" s="83"/>
      <c r="FU455" s="405"/>
      <c r="GA455" s="83"/>
      <c r="GI455" s="405"/>
      <c r="GO455" s="83"/>
      <c r="GW455" s="405"/>
      <c r="HC455" s="83"/>
      <c r="HK455" s="405"/>
      <c r="HQ455" s="83"/>
      <c r="HY455" s="405"/>
      <c r="IE455" s="83"/>
      <c r="IM455" s="405"/>
      <c r="IS455" s="83"/>
      <c r="JA455" s="405"/>
      <c r="JG455" s="83"/>
      <c r="JO455" s="405"/>
      <c r="JU455" s="83"/>
      <c r="KC455" s="405"/>
      <c r="KI455" s="83"/>
      <c r="KQ455" s="405"/>
      <c r="KW455" s="83"/>
      <c r="LE455" s="405"/>
      <c r="LK455" s="83"/>
      <c r="LS455" s="405"/>
      <c r="LY455" s="83"/>
      <c r="MG455" s="405"/>
      <c r="MM455" s="83"/>
      <c r="MU455" s="405"/>
      <c r="NA455" s="83"/>
    </row>
    <row r="456">
      <c r="A456" s="380"/>
      <c r="B456" s="380"/>
      <c r="C456" s="380"/>
      <c r="D456" s="380"/>
      <c r="E456" s="380"/>
      <c r="F456" s="380"/>
      <c r="G456" s="380"/>
      <c r="H456" s="380"/>
      <c r="I456" s="403"/>
      <c r="J456" s="380"/>
      <c r="K456" s="380"/>
      <c r="L456" s="380"/>
      <c r="M456" s="380"/>
      <c r="N456" s="380"/>
      <c r="O456" s="404"/>
      <c r="P456" s="380"/>
      <c r="Q456" s="380"/>
      <c r="R456" s="380"/>
      <c r="S456" s="380"/>
      <c r="T456" s="380"/>
      <c r="U456" s="380"/>
      <c r="V456" s="380"/>
      <c r="W456" s="403"/>
      <c r="X456" s="380"/>
      <c r="Y456" s="380"/>
      <c r="Z456" s="380"/>
      <c r="AA456" s="380"/>
      <c r="AB456" s="380"/>
      <c r="AC456" s="404"/>
      <c r="AD456" s="380"/>
      <c r="AE456" s="380"/>
      <c r="AF456" s="380"/>
      <c r="AG456" s="380"/>
      <c r="AH456" s="380"/>
      <c r="AI456" s="380"/>
      <c r="AJ456" s="380"/>
      <c r="AK456" s="403"/>
      <c r="AL456" s="380"/>
      <c r="AM456" s="380"/>
      <c r="AN456" s="380"/>
      <c r="AO456" s="380"/>
      <c r="AP456" s="380"/>
      <c r="AQ456" s="404"/>
      <c r="AR456" s="380"/>
      <c r="AS456" s="380"/>
      <c r="AT456" s="380"/>
      <c r="AU456" s="380"/>
      <c r="AV456" s="380"/>
      <c r="AW456" s="380"/>
      <c r="AX456" s="380"/>
      <c r="AY456" s="403"/>
      <c r="AZ456" s="380"/>
      <c r="BA456" s="380"/>
      <c r="BB456" s="380"/>
      <c r="BC456" s="380"/>
      <c r="BD456" s="380"/>
      <c r="BE456" s="404"/>
      <c r="BF456" s="380"/>
      <c r="BG456" s="380"/>
      <c r="BH456" s="380"/>
      <c r="BI456" s="380"/>
      <c r="BJ456" s="380"/>
      <c r="BK456" s="380"/>
      <c r="BL456" s="380"/>
      <c r="BM456" s="403"/>
      <c r="BS456" s="83"/>
      <c r="CA456" s="405"/>
      <c r="CG456" s="83"/>
      <c r="CO456" s="405"/>
      <c r="CU456" s="83"/>
      <c r="DC456" s="405"/>
      <c r="DI456" s="83"/>
      <c r="DQ456" s="405"/>
      <c r="DW456" s="83"/>
      <c r="EE456" s="405"/>
      <c r="EK456" s="83"/>
      <c r="ES456" s="405"/>
      <c r="EY456" s="83"/>
      <c r="FG456" s="405"/>
      <c r="FM456" s="83"/>
      <c r="FU456" s="405"/>
      <c r="GA456" s="83"/>
      <c r="GI456" s="405"/>
      <c r="GO456" s="83"/>
      <c r="GW456" s="405"/>
      <c r="HC456" s="83"/>
      <c r="HK456" s="405"/>
      <c r="HQ456" s="83"/>
      <c r="HY456" s="405"/>
      <c r="IE456" s="83"/>
      <c r="IM456" s="405"/>
      <c r="IS456" s="83"/>
      <c r="JA456" s="405"/>
      <c r="JG456" s="83"/>
      <c r="JO456" s="405"/>
      <c r="JU456" s="83"/>
      <c r="KC456" s="405"/>
      <c r="KI456" s="83"/>
      <c r="KQ456" s="405"/>
      <c r="KW456" s="83"/>
      <c r="LE456" s="405"/>
      <c r="LK456" s="83"/>
      <c r="LS456" s="405"/>
      <c r="LY456" s="83"/>
      <c r="MG456" s="405"/>
      <c r="MM456" s="83"/>
      <c r="MU456" s="405"/>
      <c r="NA456" s="83"/>
    </row>
    <row r="457">
      <c r="A457" s="380"/>
      <c r="B457" s="380"/>
      <c r="C457" s="380"/>
      <c r="D457" s="380"/>
      <c r="E457" s="380"/>
      <c r="F457" s="380"/>
      <c r="G457" s="380"/>
      <c r="H457" s="380"/>
      <c r="I457" s="403"/>
      <c r="J457" s="380"/>
      <c r="K457" s="380"/>
      <c r="L457" s="380"/>
      <c r="M457" s="380"/>
      <c r="N457" s="380"/>
      <c r="O457" s="404"/>
      <c r="P457" s="380"/>
      <c r="Q457" s="380"/>
      <c r="R457" s="380"/>
      <c r="S457" s="380"/>
      <c r="T457" s="380"/>
      <c r="U457" s="380"/>
      <c r="V457" s="380"/>
      <c r="W457" s="403"/>
      <c r="X457" s="380"/>
      <c r="Y457" s="380"/>
      <c r="Z457" s="380"/>
      <c r="AA457" s="380"/>
      <c r="AB457" s="380"/>
      <c r="AC457" s="404"/>
      <c r="AD457" s="380"/>
      <c r="AE457" s="380"/>
      <c r="AF457" s="380"/>
      <c r="AG457" s="380"/>
      <c r="AH457" s="380"/>
      <c r="AI457" s="380"/>
      <c r="AJ457" s="380"/>
      <c r="AK457" s="403"/>
      <c r="AL457" s="380"/>
      <c r="AM457" s="380"/>
      <c r="AN457" s="380"/>
      <c r="AO457" s="380"/>
      <c r="AP457" s="380"/>
      <c r="AQ457" s="404"/>
      <c r="AR457" s="380"/>
      <c r="AS457" s="380"/>
      <c r="AT457" s="380"/>
      <c r="AU457" s="380"/>
      <c r="AV457" s="380"/>
      <c r="AW457" s="380"/>
      <c r="AX457" s="380"/>
      <c r="AY457" s="403"/>
      <c r="AZ457" s="380"/>
      <c r="BA457" s="380"/>
      <c r="BB457" s="380"/>
      <c r="BC457" s="380"/>
      <c r="BD457" s="380"/>
      <c r="BE457" s="404"/>
      <c r="BF457" s="380"/>
      <c r="BG457" s="380"/>
      <c r="BH457" s="380"/>
      <c r="BI457" s="380"/>
      <c r="BJ457" s="380"/>
      <c r="BK457" s="380"/>
      <c r="BL457" s="380"/>
      <c r="BM457" s="403"/>
      <c r="BS457" s="83"/>
      <c r="CA457" s="405"/>
      <c r="CG457" s="83"/>
      <c r="CO457" s="405"/>
      <c r="CU457" s="83"/>
      <c r="DC457" s="405"/>
      <c r="DI457" s="83"/>
      <c r="DQ457" s="405"/>
      <c r="DW457" s="83"/>
      <c r="EE457" s="405"/>
      <c r="EK457" s="83"/>
      <c r="ES457" s="405"/>
      <c r="EY457" s="83"/>
      <c r="FG457" s="405"/>
      <c r="FM457" s="83"/>
      <c r="FU457" s="405"/>
      <c r="GA457" s="83"/>
      <c r="GI457" s="405"/>
      <c r="GO457" s="83"/>
      <c r="GW457" s="405"/>
      <c r="HC457" s="83"/>
      <c r="HK457" s="405"/>
      <c r="HQ457" s="83"/>
      <c r="HY457" s="405"/>
      <c r="IE457" s="83"/>
      <c r="IM457" s="405"/>
      <c r="IS457" s="83"/>
      <c r="JA457" s="405"/>
      <c r="JG457" s="83"/>
      <c r="JO457" s="405"/>
      <c r="JU457" s="83"/>
      <c r="KC457" s="405"/>
      <c r="KI457" s="83"/>
      <c r="KQ457" s="405"/>
      <c r="KW457" s="83"/>
      <c r="LE457" s="405"/>
      <c r="LK457" s="83"/>
      <c r="LS457" s="405"/>
      <c r="LY457" s="83"/>
      <c r="MG457" s="405"/>
      <c r="MM457" s="83"/>
      <c r="MU457" s="405"/>
      <c r="NA457" s="83"/>
    </row>
    <row r="458">
      <c r="A458" s="380"/>
      <c r="B458" s="380"/>
      <c r="C458" s="380"/>
      <c r="D458" s="380"/>
      <c r="E458" s="380"/>
      <c r="F458" s="380"/>
      <c r="G458" s="380"/>
      <c r="H458" s="380"/>
      <c r="I458" s="403"/>
      <c r="J458" s="380"/>
      <c r="K458" s="380"/>
      <c r="L458" s="380"/>
      <c r="M458" s="380"/>
      <c r="N458" s="380"/>
      <c r="O458" s="404"/>
      <c r="P458" s="380"/>
      <c r="Q458" s="380"/>
      <c r="R458" s="380"/>
      <c r="S458" s="380"/>
      <c r="T458" s="380"/>
      <c r="U458" s="380"/>
      <c r="V458" s="380"/>
      <c r="W458" s="403"/>
      <c r="X458" s="380"/>
      <c r="Y458" s="380"/>
      <c r="Z458" s="380"/>
      <c r="AA458" s="380"/>
      <c r="AB458" s="380"/>
      <c r="AC458" s="404"/>
      <c r="AD458" s="380"/>
      <c r="AE458" s="380"/>
      <c r="AF458" s="380"/>
      <c r="AG458" s="380"/>
      <c r="AH458" s="380"/>
      <c r="AI458" s="380"/>
      <c r="AJ458" s="380"/>
      <c r="AK458" s="403"/>
      <c r="AL458" s="380"/>
      <c r="AM458" s="380"/>
      <c r="AN458" s="380"/>
      <c r="AO458" s="380"/>
      <c r="AP458" s="380"/>
      <c r="AQ458" s="404"/>
      <c r="AR458" s="380"/>
      <c r="AS458" s="380"/>
      <c r="AT458" s="380"/>
      <c r="AU458" s="380"/>
      <c r="AV458" s="380"/>
      <c r="AW458" s="380"/>
      <c r="AX458" s="380"/>
      <c r="AY458" s="403"/>
      <c r="AZ458" s="380"/>
      <c r="BA458" s="380"/>
      <c r="BB458" s="380"/>
      <c r="BC458" s="380"/>
      <c r="BD458" s="380"/>
      <c r="BE458" s="404"/>
      <c r="BF458" s="380"/>
      <c r="BG458" s="380"/>
      <c r="BH458" s="380"/>
      <c r="BI458" s="380"/>
      <c r="BJ458" s="380"/>
      <c r="BK458" s="380"/>
      <c r="BL458" s="380"/>
      <c r="BM458" s="403"/>
      <c r="BS458" s="83"/>
      <c r="CA458" s="405"/>
      <c r="CG458" s="83"/>
      <c r="CO458" s="405"/>
      <c r="CU458" s="83"/>
      <c r="DC458" s="405"/>
      <c r="DI458" s="83"/>
      <c r="DQ458" s="405"/>
      <c r="DW458" s="83"/>
      <c r="EE458" s="405"/>
      <c r="EK458" s="83"/>
      <c r="ES458" s="405"/>
      <c r="EY458" s="83"/>
      <c r="FG458" s="405"/>
      <c r="FM458" s="83"/>
      <c r="FU458" s="405"/>
      <c r="GA458" s="83"/>
      <c r="GI458" s="405"/>
      <c r="GO458" s="83"/>
      <c r="GW458" s="405"/>
      <c r="HC458" s="83"/>
      <c r="HK458" s="405"/>
      <c r="HQ458" s="83"/>
      <c r="HY458" s="405"/>
      <c r="IE458" s="83"/>
      <c r="IM458" s="405"/>
      <c r="IS458" s="83"/>
      <c r="JA458" s="405"/>
      <c r="JG458" s="83"/>
      <c r="JO458" s="405"/>
      <c r="JU458" s="83"/>
      <c r="KC458" s="405"/>
      <c r="KI458" s="83"/>
      <c r="KQ458" s="405"/>
      <c r="KW458" s="83"/>
      <c r="LE458" s="405"/>
      <c r="LK458" s="83"/>
      <c r="LS458" s="405"/>
      <c r="LY458" s="83"/>
      <c r="MG458" s="405"/>
      <c r="MM458" s="83"/>
      <c r="MU458" s="405"/>
      <c r="NA458" s="83"/>
    </row>
    <row r="459">
      <c r="A459" s="380"/>
      <c r="B459" s="380"/>
      <c r="C459" s="380"/>
      <c r="D459" s="380"/>
      <c r="E459" s="380"/>
      <c r="F459" s="380"/>
      <c r="G459" s="380"/>
      <c r="H459" s="380"/>
      <c r="I459" s="403"/>
      <c r="J459" s="380"/>
      <c r="K459" s="380"/>
      <c r="L459" s="380"/>
      <c r="M459" s="380"/>
      <c r="N459" s="380"/>
      <c r="O459" s="404"/>
      <c r="P459" s="380"/>
      <c r="Q459" s="380"/>
      <c r="R459" s="380"/>
      <c r="S459" s="380"/>
      <c r="T459" s="380"/>
      <c r="U459" s="380"/>
      <c r="V459" s="380"/>
      <c r="W459" s="403"/>
      <c r="X459" s="380"/>
      <c r="Y459" s="380"/>
      <c r="Z459" s="380"/>
      <c r="AA459" s="380"/>
      <c r="AB459" s="380"/>
      <c r="AC459" s="404"/>
      <c r="AD459" s="380"/>
      <c r="AE459" s="380"/>
      <c r="AF459" s="380"/>
      <c r="AG459" s="380"/>
      <c r="AH459" s="380"/>
      <c r="AI459" s="380"/>
      <c r="AJ459" s="380"/>
      <c r="AK459" s="403"/>
      <c r="AL459" s="380"/>
      <c r="AM459" s="380"/>
      <c r="AN459" s="380"/>
      <c r="AO459" s="380"/>
      <c r="AP459" s="380"/>
      <c r="AQ459" s="404"/>
      <c r="AR459" s="380"/>
      <c r="AS459" s="380"/>
      <c r="AT459" s="380"/>
      <c r="AU459" s="380"/>
      <c r="AV459" s="380"/>
      <c r="AW459" s="380"/>
      <c r="AX459" s="380"/>
      <c r="AY459" s="403"/>
      <c r="AZ459" s="380"/>
      <c r="BA459" s="380"/>
      <c r="BB459" s="380"/>
      <c r="BC459" s="380"/>
      <c r="BD459" s="380"/>
      <c r="BE459" s="404"/>
      <c r="BF459" s="380"/>
      <c r="BG459" s="380"/>
      <c r="BH459" s="380"/>
      <c r="BI459" s="380"/>
      <c r="BJ459" s="380"/>
      <c r="BK459" s="380"/>
      <c r="BL459" s="380"/>
      <c r="BM459" s="403"/>
      <c r="BS459" s="83"/>
      <c r="CA459" s="405"/>
      <c r="CG459" s="83"/>
      <c r="CO459" s="405"/>
      <c r="CU459" s="83"/>
      <c r="DC459" s="405"/>
      <c r="DI459" s="83"/>
      <c r="DQ459" s="405"/>
      <c r="DW459" s="83"/>
      <c r="EE459" s="405"/>
      <c r="EK459" s="83"/>
      <c r="ES459" s="405"/>
      <c r="EY459" s="83"/>
      <c r="FG459" s="405"/>
      <c r="FM459" s="83"/>
      <c r="FU459" s="405"/>
      <c r="GA459" s="83"/>
      <c r="GI459" s="405"/>
      <c r="GO459" s="83"/>
      <c r="GW459" s="405"/>
      <c r="HC459" s="83"/>
      <c r="HK459" s="405"/>
      <c r="HQ459" s="83"/>
      <c r="HY459" s="405"/>
      <c r="IE459" s="83"/>
      <c r="IM459" s="405"/>
      <c r="IS459" s="83"/>
      <c r="JA459" s="405"/>
      <c r="JG459" s="83"/>
      <c r="JO459" s="405"/>
      <c r="JU459" s="83"/>
      <c r="KC459" s="405"/>
      <c r="KI459" s="83"/>
      <c r="KQ459" s="405"/>
      <c r="KW459" s="83"/>
      <c r="LE459" s="405"/>
      <c r="LK459" s="83"/>
      <c r="LS459" s="405"/>
      <c r="LY459" s="83"/>
      <c r="MG459" s="405"/>
      <c r="MM459" s="83"/>
      <c r="MU459" s="405"/>
      <c r="NA459" s="83"/>
    </row>
    <row r="460">
      <c r="A460" s="380"/>
      <c r="B460" s="380"/>
      <c r="C460" s="380"/>
      <c r="D460" s="380"/>
      <c r="E460" s="380"/>
      <c r="F460" s="380"/>
      <c r="G460" s="380"/>
      <c r="H460" s="380"/>
      <c r="I460" s="403"/>
      <c r="J460" s="380"/>
      <c r="K460" s="380"/>
      <c r="L460" s="380"/>
      <c r="M460" s="380"/>
      <c r="N460" s="380"/>
      <c r="O460" s="404"/>
      <c r="P460" s="380"/>
      <c r="Q460" s="380"/>
      <c r="R460" s="380"/>
      <c r="S460" s="380"/>
      <c r="T460" s="380"/>
      <c r="U460" s="380"/>
      <c r="V460" s="380"/>
      <c r="W460" s="403"/>
      <c r="X460" s="380"/>
      <c r="Y460" s="380"/>
      <c r="Z460" s="380"/>
      <c r="AA460" s="380"/>
      <c r="AB460" s="380"/>
      <c r="AC460" s="404"/>
      <c r="AD460" s="380"/>
      <c r="AE460" s="380"/>
      <c r="AF460" s="380"/>
      <c r="AG460" s="380"/>
      <c r="AH460" s="380"/>
      <c r="AI460" s="380"/>
      <c r="AJ460" s="380"/>
      <c r="AK460" s="403"/>
      <c r="AL460" s="380"/>
      <c r="AM460" s="380"/>
      <c r="AN460" s="380"/>
      <c r="AO460" s="380"/>
      <c r="AP460" s="380"/>
      <c r="AQ460" s="404"/>
      <c r="AR460" s="380"/>
      <c r="AS460" s="380"/>
      <c r="AT460" s="380"/>
      <c r="AU460" s="380"/>
      <c r="AV460" s="380"/>
      <c r="AW460" s="380"/>
      <c r="AX460" s="380"/>
      <c r="AY460" s="403"/>
      <c r="AZ460" s="380"/>
      <c r="BA460" s="380"/>
      <c r="BB460" s="380"/>
      <c r="BC460" s="380"/>
      <c r="BD460" s="380"/>
      <c r="BE460" s="404"/>
      <c r="BF460" s="380"/>
      <c r="BG460" s="380"/>
      <c r="BH460" s="380"/>
      <c r="BI460" s="380"/>
      <c r="BJ460" s="380"/>
      <c r="BK460" s="380"/>
      <c r="BL460" s="380"/>
      <c r="BM460" s="403"/>
      <c r="BS460" s="83"/>
      <c r="CA460" s="405"/>
      <c r="CG460" s="83"/>
      <c r="CO460" s="405"/>
      <c r="CU460" s="83"/>
      <c r="DC460" s="405"/>
      <c r="DI460" s="83"/>
      <c r="DQ460" s="405"/>
      <c r="DW460" s="83"/>
      <c r="EE460" s="405"/>
      <c r="EK460" s="83"/>
      <c r="ES460" s="405"/>
      <c r="EY460" s="83"/>
      <c r="FG460" s="405"/>
      <c r="FM460" s="83"/>
      <c r="FU460" s="405"/>
      <c r="GA460" s="83"/>
      <c r="GI460" s="405"/>
      <c r="GO460" s="83"/>
      <c r="GW460" s="405"/>
      <c r="HC460" s="83"/>
      <c r="HK460" s="405"/>
      <c r="HQ460" s="83"/>
      <c r="HY460" s="405"/>
      <c r="IE460" s="83"/>
      <c r="IM460" s="405"/>
      <c r="IS460" s="83"/>
      <c r="JA460" s="405"/>
      <c r="JG460" s="83"/>
      <c r="JO460" s="405"/>
      <c r="JU460" s="83"/>
      <c r="KC460" s="405"/>
      <c r="KI460" s="83"/>
      <c r="KQ460" s="405"/>
      <c r="KW460" s="83"/>
      <c r="LE460" s="405"/>
      <c r="LK460" s="83"/>
      <c r="LS460" s="405"/>
      <c r="LY460" s="83"/>
      <c r="MG460" s="405"/>
      <c r="MM460" s="83"/>
      <c r="MU460" s="405"/>
      <c r="NA460" s="83"/>
    </row>
    <row r="461">
      <c r="A461" s="380"/>
      <c r="B461" s="380"/>
      <c r="C461" s="380"/>
      <c r="D461" s="380"/>
      <c r="E461" s="380"/>
      <c r="F461" s="380"/>
      <c r="G461" s="380"/>
      <c r="H461" s="380"/>
      <c r="I461" s="403"/>
      <c r="J461" s="380"/>
      <c r="K461" s="380"/>
      <c r="L461" s="380"/>
      <c r="M461" s="380"/>
      <c r="N461" s="380"/>
      <c r="O461" s="404"/>
      <c r="P461" s="380"/>
      <c r="Q461" s="380"/>
      <c r="R461" s="380"/>
      <c r="S461" s="380"/>
      <c r="T461" s="380"/>
      <c r="U461" s="380"/>
      <c r="V461" s="380"/>
      <c r="W461" s="403"/>
      <c r="X461" s="380"/>
      <c r="Y461" s="380"/>
      <c r="Z461" s="380"/>
      <c r="AA461" s="380"/>
      <c r="AB461" s="380"/>
      <c r="AC461" s="404"/>
      <c r="AD461" s="380"/>
      <c r="AE461" s="380"/>
      <c r="AF461" s="380"/>
      <c r="AG461" s="380"/>
      <c r="AH461" s="380"/>
      <c r="AI461" s="380"/>
      <c r="AJ461" s="380"/>
      <c r="AK461" s="403"/>
      <c r="AL461" s="380"/>
      <c r="AM461" s="380"/>
      <c r="AN461" s="380"/>
      <c r="AO461" s="380"/>
      <c r="AP461" s="380"/>
      <c r="AQ461" s="404"/>
      <c r="AR461" s="380"/>
      <c r="AS461" s="380"/>
      <c r="AT461" s="380"/>
      <c r="AU461" s="380"/>
      <c r="AV461" s="380"/>
      <c r="AW461" s="380"/>
      <c r="AX461" s="380"/>
      <c r="AY461" s="403"/>
      <c r="AZ461" s="380"/>
      <c r="BA461" s="380"/>
      <c r="BB461" s="380"/>
      <c r="BC461" s="380"/>
      <c r="BD461" s="380"/>
      <c r="BE461" s="404"/>
      <c r="BF461" s="380"/>
      <c r="BG461" s="380"/>
      <c r="BH461" s="380"/>
      <c r="BI461" s="380"/>
      <c r="BJ461" s="380"/>
      <c r="BK461" s="380"/>
      <c r="BL461" s="380"/>
      <c r="BM461" s="403"/>
      <c r="BS461" s="83"/>
      <c r="CA461" s="405"/>
      <c r="CG461" s="83"/>
      <c r="CO461" s="405"/>
      <c r="CU461" s="83"/>
      <c r="DC461" s="405"/>
      <c r="DI461" s="83"/>
      <c r="DQ461" s="405"/>
      <c r="DW461" s="83"/>
      <c r="EE461" s="405"/>
      <c r="EK461" s="83"/>
      <c r="ES461" s="405"/>
      <c r="EY461" s="83"/>
      <c r="FG461" s="405"/>
      <c r="FM461" s="83"/>
      <c r="FU461" s="405"/>
      <c r="GA461" s="83"/>
      <c r="GI461" s="405"/>
      <c r="GO461" s="83"/>
      <c r="GW461" s="405"/>
      <c r="HC461" s="83"/>
      <c r="HK461" s="405"/>
      <c r="HQ461" s="83"/>
      <c r="HY461" s="405"/>
      <c r="IE461" s="83"/>
      <c r="IM461" s="405"/>
      <c r="IS461" s="83"/>
      <c r="JA461" s="405"/>
      <c r="JG461" s="83"/>
      <c r="JO461" s="405"/>
      <c r="JU461" s="83"/>
      <c r="KC461" s="405"/>
      <c r="KI461" s="83"/>
      <c r="KQ461" s="405"/>
      <c r="KW461" s="83"/>
      <c r="LE461" s="405"/>
      <c r="LK461" s="83"/>
      <c r="LS461" s="405"/>
      <c r="LY461" s="83"/>
      <c r="MG461" s="405"/>
      <c r="MM461" s="83"/>
      <c r="MU461" s="405"/>
      <c r="NA461" s="83"/>
    </row>
    <row r="462">
      <c r="A462" s="380"/>
      <c r="B462" s="380"/>
      <c r="C462" s="380"/>
      <c r="D462" s="380"/>
      <c r="E462" s="380"/>
      <c r="F462" s="380"/>
      <c r="G462" s="380"/>
      <c r="H462" s="380"/>
      <c r="I462" s="403"/>
      <c r="J462" s="380"/>
      <c r="K462" s="380"/>
      <c r="L462" s="380"/>
      <c r="M462" s="380"/>
      <c r="N462" s="380"/>
      <c r="O462" s="404"/>
      <c r="P462" s="380"/>
      <c r="Q462" s="380"/>
      <c r="R462" s="380"/>
      <c r="S462" s="380"/>
      <c r="T462" s="380"/>
      <c r="U462" s="380"/>
      <c r="V462" s="380"/>
      <c r="W462" s="403"/>
      <c r="X462" s="380"/>
      <c r="Y462" s="380"/>
      <c r="Z462" s="380"/>
      <c r="AA462" s="380"/>
      <c r="AB462" s="380"/>
      <c r="AC462" s="404"/>
      <c r="AD462" s="380"/>
      <c r="AE462" s="380"/>
      <c r="AF462" s="380"/>
      <c r="AG462" s="380"/>
      <c r="AH462" s="380"/>
      <c r="AI462" s="380"/>
      <c r="AJ462" s="380"/>
      <c r="AK462" s="403"/>
      <c r="AL462" s="380"/>
      <c r="AM462" s="380"/>
      <c r="AN462" s="380"/>
      <c r="AO462" s="380"/>
      <c r="AP462" s="380"/>
      <c r="AQ462" s="404"/>
      <c r="AR462" s="380"/>
      <c r="AS462" s="380"/>
      <c r="AT462" s="380"/>
      <c r="AU462" s="380"/>
      <c r="AV462" s="380"/>
      <c r="AW462" s="380"/>
      <c r="AX462" s="380"/>
      <c r="AY462" s="403"/>
      <c r="AZ462" s="380"/>
      <c r="BA462" s="380"/>
      <c r="BB462" s="380"/>
      <c r="BC462" s="380"/>
      <c r="BD462" s="380"/>
      <c r="BE462" s="404"/>
      <c r="BF462" s="380"/>
      <c r="BG462" s="380"/>
      <c r="BH462" s="380"/>
      <c r="BI462" s="380"/>
      <c r="BJ462" s="380"/>
      <c r="BK462" s="380"/>
      <c r="BL462" s="380"/>
      <c r="BM462" s="403"/>
      <c r="BS462" s="83"/>
      <c r="CA462" s="405"/>
      <c r="CG462" s="83"/>
      <c r="CO462" s="405"/>
      <c r="CU462" s="83"/>
      <c r="DC462" s="405"/>
      <c r="DI462" s="83"/>
      <c r="DQ462" s="405"/>
      <c r="DW462" s="83"/>
      <c r="EE462" s="405"/>
      <c r="EK462" s="83"/>
      <c r="ES462" s="405"/>
      <c r="EY462" s="83"/>
      <c r="FG462" s="405"/>
      <c r="FM462" s="83"/>
      <c r="FU462" s="405"/>
      <c r="GA462" s="83"/>
      <c r="GI462" s="405"/>
      <c r="GO462" s="83"/>
      <c r="GW462" s="405"/>
      <c r="HC462" s="83"/>
      <c r="HK462" s="405"/>
      <c r="HQ462" s="83"/>
      <c r="HY462" s="405"/>
      <c r="IE462" s="83"/>
      <c r="IM462" s="405"/>
      <c r="IS462" s="83"/>
      <c r="JA462" s="405"/>
      <c r="JG462" s="83"/>
      <c r="JO462" s="405"/>
      <c r="JU462" s="83"/>
      <c r="KC462" s="405"/>
      <c r="KI462" s="83"/>
      <c r="KQ462" s="405"/>
      <c r="KW462" s="83"/>
      <c r="LE462" s="405"/>
      <c r="LK462" s="83"/>
      <c r="LS462" s="405"/>
      <c r="LY462" s="83"/>
      <c r="MG462" s="405"/>
      <c r="MM462" s="83"/>
      <c r="MU462" s="405"/>
      <c r="NA462" s="83"/>
    </row>
    <row r="463">
      <c r="A463" s="380"/>
      <c r="B463" s="380"/>
      <c r="C463" s="380"/>
      <c r="D463" s="380"/>
      <c r="E463" s="380"/>
      <c r="F463" s="380"/>
      <c r="G463" s="380"/>
      <c r="H463" s="380"/>
      <c r="I463" s="403"/>
      <c r="J463" s="380"/>
      <c r="K463" s="380"/>
      <c r="L463" s="380"/>
      <c r="M463" s="380"/>
      <c r="N463" s="380"/>
      <c r="O463" s="404"/>
      <c r="P463" s="380"/>
      <c r="Q463" s="380"/>
      <c r="R463" s="380"/>
      <c r="S463" s="380"/>
      <c r="T463" s="380"/>
      <c r="U463" s="380"/>
      <c r="V463" s="380"/>
      <c r="W463" s="403"/>
      <c r="X463" s="380"/>
      <c r="Y463" s="380"/>
      <c r="Z463" s="380"/>
      <c r="AA463" s="380"/>
      <c r="AB463" s="380"/>
      <c r="AC463" s="404"/>
      <c r="AD463" s="380"/>
      <c r="AE463" s="380"/>
      <c r="AF463" s="380"/>
      <c r="AG463" s="380"/>
      <c r="AH463" s="380"/>
      <c r="AI463" s="380"/>
      <c r="AJ463" s="380"/>
      <c r="AK463" s="403"/>
      <c r="AL463" s="380"/>
      <c r="AM463" s="380"/>
      <c r="AN463" s="380"/>
      <c r="AO463" s="380"/>
      <c r="AP463" s="380"/>
      <c r="AQ463" s="404"/>
      <c r="AR463" s="380"/>
      <c r="AS463" s="380"/>
      <c r="AT463" s="380"/>
      <c r="AU463" s="380"/>
      <c r="AV463" s="380"/>
      <c r="AW463" s="380"/>
      <c r="AX463" s="380"/>
      <c r="AY463" s="403"/>
      <c r="AZ463" s="380"/>
      <c r="BA463" s="380"/>
      <c r="BB463" s="380"/>
      <c r="BC463" s="380"/>
      <c r="BD463" s="380"/>
      <c r="BE463" s="404"/>
      <c r="BF463" s="380"/>
      <c r="BG463" s="380"/>
      <c r="BH463" s="380"/>
      <c r="BI463" s="380"/>
      <c r="BJ463" s="380"/>
      <c r="BK463" s="380"/>
      <c r="BL463" s="380"/>
      <c r="BM463" s="403"/>
      <c r="BS463" s="83"/>
      <c r="CA463" s="405"/>
      <c r="CG463" s="83"/>
      <c r="CO463" s="405"/>
      <c r="CU463" s="83"/>
      <c r="DC463" s="405"/>
      <c r="DI463" s="83"/>
      <c r="DQ463" s="405"/>
      <c r="DW463" s="83"/>
      <c r="EE463" s="405"/>
      <c r="EK463" s="83"/>
      <c r="ES463" s="405"/>
      <c r="EY463" s="83"/>
      <c r="FG463" s="405"/>
      <c r="FM463" s="83"/>
      <c r="FU463" s="405"/>
      <c r="GA463" s="83"/>
      <c r="GI463" s="405"/>
      <c r="GO463" s="83"/>
      <c r="GW463" s="405"/>
      <c r="HC463" s="83"/>
      <c r="HK463" s="405"/>
      <c r="HQ463" s="83"/>
      <c r="HY463" s="405"/>
      <c r="IE463" s="83"/>
      <c r="IM463" s="405"/>
      <c r="IS463" s="83"/>
      <c r="JA463" s="405"/>
      <c r="JG463" s="83"/>
      <c r="JO463" s="405"/>
      <c r="JU463" s="83"/>
      <c r="KC463" s="405"/>
      <c r="KI463" s="83"/>
      <c r="KQ463" s="405"/>
      <c r="KW463" s="83"/>
      <c r="LE463" s="405"/>
      <c r="LK463" s="83"/>
      <c r="LS463" s="405"/>
      <c r="LY463" s="83"/>
      <c r="MG463" s="405"/>
      <c r="MM463" s="83"/>
      <c r="MU463" s="405"/>
      <c r="NA463" s="83"/>
    </row>
    <row r="464">
      <c r="A464" s="380"/>
      <c r="B464" s="380"/>
      <c r="C464" s="380"/>
      <c r="D464" s="380"/>
      <c r="E464" s="380"/>
      <c r="F464" s="380"/>
      <c r="G464" s="380"/>
      <c r="H464" s="380"/>
      <c r="I464" s="403"/>
      <c r="J464" s="380"/>
      <c r="K464" s="380"/>
      <c r="L464" s="380"/>
      <c r="M464" s="380"/>
      <c r="N464" s="380"/>
      <c r="O464" s="404"/>
      <c r="P464" s="380"/>
      <c r="Q464" s="380"/>
      <c r="R464" s="380"/>
      <c r="S464" s="380"/>
      <c r="T464" s="380"/>
      <c r="U464" s="380"/>
      <c r="V464" s="380"/>
      <c r="W464" s="403"/>
      <c r="X464" s="380"/>
      <c r="Y464" s="380"/>
      <c r="Z464" s="380"/>
      <c r="AA464" s="380"/>
      <c r="AB464" s="380"/>
      <c r="AC464" s="404"/>
      <c r="AD464" s="380"/>
      <c r="AE464" s="380"/>
      <c r="AF464" s="380"/>
      <c r="AG464" s="380"/>
      <c r="AH464" s="380"/>
      <c r="AI464" s="380"/>
      <c r="AJ464" s="380"/>
      <c r="AK464" s="403"/>
      <c r="AL464" s="380"/>
      <c r="AM464" s="380"/>
      <c r="AN464" s="380"/>
      <c r="AO464" s="380"/>
      <c r="AP464" s="380"/>
      <c r="AQ464" s="404"/>
      <c r="AR464" s="380"/>
      <c r="AS464" s="380"/>
      <c r="AT464" s="380"/>
      <c r="AU464" s="380"/>
      <c r="AV464" s="380"/>
      <c r="AW464" s="380"/>
      <c r="AX464" s="380"/>
      <c r="AY464" s="403"/>
      <c r="AZ464" s="380"/>
      <c r="BA464" s="380"/>
      <c r="BB464" s="380"/>
      <c r="BC464" s="380"/>
      <c r="BD464" s="380"/>
      <c r="BE464" s="404"/>
      <c r="BF464" s="380"/>
      <c r="BG464" s="380"/>
      <c r="BH464" s="380"/>
      <c r="BI464" s="380"/>
      <c r="BJ464" s="380"/>
      <c r="BK464" s="380"/>
      <c r="BL464" s="380"/>
      <c r="BM464" s="403"/>
      <c r="BS464" s="83"/>
      <c r="CA464" s="405"/>
      <c r="CG464" s="83"/>
      <c r="CO464" s="405"/>
      <c r="CU464" s="83"/>
      <c r="DC464" s="405"/>
      <c r="DI464" s="83"/>
      <c r="DQ464" s="405"/>
      <c r="DW464" s="83"/>
      <c r="EE464" s="405"/>
      <c r="EK464" s="83"/>
      <c r="ES464" s="405"/>
      <c r="EY464" s="83"/>
      <c r="FG464" s="405"/>
      <c r="FM464" s="83"/>
      <c r="FU464" s="405"/>
      <c r="GA464" s="83"/>
      <c r="GI464" s="405"/>
      <c r="GO464" s="83"/>
      <c r="GW464" s="405"/>
      <c r="HC464" s="83"/>
      <c r="HK464" s="405"/>
      <c r="HQ464" s="83"/>
      <c r="HY464" s="405"/>
      <c r="IE464" s="83"/>
      <c r="IM464" s="405"/>
      <c r="IS464" s="83"/>
      <c r="JA464" s="405"/>
      <c r="JG464" s="83"/>
      <c r="JO464" s="405"/>
      <c r="JU464" s="83"/>
      <c r="KC464" s="405"/>
      <c r="KI464" s="83"/>
      <c r="KQ464" s="405"/>
      <c r="KW464" s="83"/>
      <c r="LE464" s="405"/>
      <c r="LK464" s="83"/>
      <c r="LS464" s="405"/>
      <c r="LY464" s="83"/>
      <c r="MG464" s="405"/>
      <c r="MM464" s="83"/>
      <c r="MU464" s="405"/>
      <c r="NA464" s="83"/>
    </row>
    <row r="465">
      <c r="A465" s="380"/>
      <c r="B465" s="380"/>
      <c r="C465" s="380"/>
      <c r="D465" s="380"/>
      <c r="E465" s="380"/>
      <c r="F465" s="380"/>
      <c r="G465" s="380"/>
      <c r="H465" s="380"/>
      <c r="I465" s="403"/>
      <c r="J465" s="380"/>
      <c r="K465" s="380"/>
      <c r="L465" s="380"/>
      <c r="M465" s="380"/>
      <c r="N465" s="380"/>
      <c r="O465" s="404"/>
      <c r="P465" s="380"/>
      <c r="Q465" s="380"/>
      <c r="R465" s="380"/>
      <c r="S465" s="380"/>
      <c r="T465" s="380"/>
      <c r="U465" s="380"/>
      <c r="V465" s="380"/>
      <c r="W465" s="403"/>
      <c r="X465" s="380"/>
      <c r="Y465" s="380"/>
      <c r="Z465" s="380"/>
      <c r="AA465" s="380"/>
      <c r="AB465" s="380"/>
      <c r="AC465" s="404"/>
      <c r="AD465" s="380"/>
      <c r="AE465" s="380"/>
      <c r="AF465" s="380"/>
      <c r="AG465" s="380"/>
      <c r="AH465" s="380"/>
      <c r="AI465" s="380"/>
      <c r="AJ465" s="380"/>
      <c r="AK465" s="403"/>
      <c r="AL465" s="380"/>
      <c r="AM465" s="380"/>
      <c r="AN465" s="380"/>
      <c r="AO465" s="380"/>
      <c r="AP465" s="380"/>
      <c r="AQ465" s="404"/>
      <c r="AR465" s="380"/>
      <c r="AS465" s="380"/>
      <c r="AT465" s="380"/>
      <c r="AU465" s="380"/>
      <c r="AV465" s="380"/>
      <c r="AW465" s="380"/>
      <c r="AX465" s="380"/>
      <c r="AY465" s="403"/>
      <c r="AZ465" s="380"/>
      <c r="BA465" s="380"/>
      <c r="BB465" s="380"/>
      <c r="BC465" s="380"/>
      <c r="BD465" s="380"/>
      <c r="BE465" s="404"/>
      <c r="BF465" s="380"/>
      <c r="BG465" s="380"/>
      <c r="BH465" s="380"/>
      <c r="BI465" s="380"/>
      <c r="BJ465" s="380"/>
      <c r="BK465" s="380"/>
      <c r="BL465" s="380"/>
      <c r="BM465" s="403"/>
      <c r="BS465" s="83"/>
      <c r="CA465" s="405"/>
      <c r="CG465" s="83"/>
      <c r="CO465" s="405"/>
      <c r="CU465" s="83"/>
      <c r="DC465" s="405"/>
      <c r="DI465" s="83"/>
      <c r="DQ465" s="405"/>
      <c r="DW465" s="83"/>
      <c r="EE465" s="405"/>
      <c r="EK465" s="83"/>
      <c r="ES465" s="405"/>
      <c r="EY465" s="83"/>
      <c r="FG465" s="405"/>
      <c r="FM465" s="83"/>
      <c r="FU465" s="405"/>
      <c r="GA465" s="83"/>
      <c r="GI465" s="405"/>
      <c r="GO465" s="83"/>
      <c r="GW465" s="405"/>
      <c r="HC465" s="83"/>
      <c r="HK465" s="405"/>
      <c r="HQ465" s="83"/>
      <c r="HY465" s="405"/>
      <c r="IE465" s="83"/>
      <c r="IM465" s="405"/>
      <c r="IS465" s="83"/>
      <c r="JA465" s="405"/>
      <c r="JG465" s="83"/>
      <c r="JO465" s="405"/>
      <c r="JU465" s="83"/>
      <c r="KC465" s="405"/>
      <c r="KI465" s="83"/>
      <c r="KQ465" s="405"/>
      <c r="KW465" s="83"/>
      <c r="LE465" s="405"/>
      <c r="LK465" s="83"/>
      <c r="LS465" s="405"/>
      <c r="LY465" s="83"/>
      <c r="MG465" s="405"/>
      <c r="MM465" s="83"/>
      <c r="MU465" s="405"/>
      <c r="NA465" s="83"/>
    </row>
    <row r="466">
      <c r="A466" s="380"/>
      <c r="B466" s="380"/>
      <c r="C466" s="380"/>
      <c r="D466" s="380"/>
      <c r="E466" s="380"/>
      <c r="F466" s="380"/>
      <c r="G466" s="380"/>
      <c r="H466" s="380"/>
      <c r="I466" s="403"/>
      <c r="J466" s="380"/>
      <c r="K466" s="380"/>
      <c r="L466" s="380"/>
      <c r="M466" s="380"/>
      <c r="N466" s="380"/>
      <c r="O466" s="404"/>
      <c r="P466" s="380"/>
      <c r="Q466" s="380"/>
      <c r="R466" s="380"/>
      <c r="S466" s="380"/>
      <c r="T466" s="380"/>
      <c r="U466" s="380"/>
      <c r="V466" s="380"/>
      <c r="W466" s="403"/>
      <c r="X466" s="380"/>
      <c r="Y466" s="380"/>
      <c r="Z466" s="380"/>
      <c r="AA466" s="380"/>
      <c r="AB466" s="380"/>
      <c r="AC466" s="404"/>
      <c r="AD466" s="380"/>
      <c r="AE466" s="380"/>
      <c r="AF466" s="380"/>
      <c r="AG466" s="380"/>
      <c r="AH466" s="380"/>
      <c r="AI466" s="380"/>
      <c r="AJ466" s="380"/>
      <c r="AK466" s="403"/>
      <c r="AL466" s="380"/>
      <c r="AM466" s="380"/>
      <c r="AN466" s="380"/>
      <c r="AO466" s="380"/>
      <c r="AP466" s="380"/>
      <c r="AQ466" s="404"/>
      <c r="AR466" s="380"/>
      <c r="AS466" s="380"/>
      <c r="AT466" s="380"/>
      <c r="AU466" s="380"/>
      <c r="AV466" s="380"/>
      <c r="AW466" s="380"/>
      <c r="AX466" s="380"/>
      <c r="AY466" s="403"/>
      <c r="AZ466" s="380"/>
      <c r="BA466" s="380"/>
      <c r="BB466" s="380"/>
      <c r="BC466" s="380"/>
      <c r="BD466" s="380"/>
      <c r="BE466" s="404"/>
      <c r="BF466" s="380"/>
      <c r="BG466" s="380"/>
      <c r="BH466" s="380"/>
      <c r="BI466" s="380"/>
      <c r="BJ466" s="380"/>
      <c r="BK466" s="380"/>
      <c r="BL466" s="380"/>
      <c r="BM466" s="403"/>
      <c r="BS466" s="83"/>
      <c r="CA466" s="405"/>
      <c r="CG466" s="83"/>
      <c r="CO466" s="405"/>
      <c r="CU466" s="83"/>
      <c r="DC466" s="405"/>
      <c r="DI466" s="83"/>
      <c r="DQ466" s="405"/>
      <c r="DW466" s="83"/>
      <c r="EE466" s="405"/>
      <c r="EK466" s="83"/>
      <c r="ES466" s="405"/>
      <c r="EY466" s="83"/>
      <c r="FG466" s="405"/>
      <c r="FM466" s="83"/>
      <c r="FU466" s="405"/>
      <c r="GA466" s="83"/>
      <c r="GI466" s="405"/>
      <c r="GO466" s="83"/>
      <c r="GW466" s="405"/>
      <c r="HC466" s="83"/>
      <c r="HK466" s="405"/>
      <c r="HQ466" s="83"/>
      <c r="HY466" s="405"/>
      <c r="IE466" s="83"/>
      <c r="IM466" s="405"/>
      <c r="IS466" s="83"/>
      <c r="JA466" s="405"/>
      <c r="JG466" s="83"/>
      <c r="JO466" s="405"/>
      <c r="JU466" s="83"/>
      <c r="KC466" s="405"/>
      <c r="KI466" s="83"/>
      <c r="KQ466" s="405"/>
      <c r="KW466" s="83"/>
      <c r="LE466" s="405"/>
      <c r="LK466" s="83"/>
      <c r="LS466" s="405"/>
      <c r="LY466" s="83"/>
      <c r="MG466" s="405"/>
      <c r="MM466" s="83"/>
      <c r="MU466" s="405"/>
      <c r="NA466" s="83"/>
    </row>
    <row r="467">
      <c r="A467" s="380"/>
      <c r="B467" s="380"/>
      <c r="C467" s="380"/>
      <c r="D467" s="380"/>
      <c r="E467" s="380"/>
      <c r="F467" s="380"/>
      <c r="G467" s="380"/>
      <c r="H467" s="380"/>
      <c r="I467" s="403"/>
      <c r="J467" s="380"/>
      <c r="K467" s="380"/>
      <c r="L467" s="380"/>
      <c r="M467" s="380"/>
      <c r="N467" s="380"/>
      <c r="O467" s="404"/>
      <c r="P467" s="380"/>
      <c r="Q467" s="380"/>
      <c r="R467" s="380"/>
      <c r="S467" s="380"/>
      <c r="T467" s="380"/>
      <c r="U467" s="380"/>
      <c r="V467" s="380"/>
      <c r="W467" s="403"/>
      <c r="X467" s="380"/>
      <c r="Y467" s="380"/>
      <c r="Z467" s="380"/>
      <c r="AA467" s="380"/>
      <c r="AB467" s="380"/>
      <c r="AC467" s="404"/>
      <c r="AD467" s="380"/>
      <c r="AE467" s="380"/>
      <c r="AF467" s="380"/>
      <c r="AG467" s="380"/>
      <c r="AH467" s="380"/>
      <c r="AI467" s="380"/>
      <c r="AJ467" s="380"/>
      <c r="AK467" s="403"/>
      <c r="AL467" s="380"/>
      <c r="AM467" s="380"/>
      <c r="AN467" s="380"/>
      <c r="AO467" s="380"/>
      <c r="AP467" s="380"/>
      <c r="AQ467" s="404"/>
      <c r="AR467" s="380"/>
      <c r="AS467" s="380"/>
      <c r="AT467" s="380"/>
      <c r="AU467" s="380"/>
      <c r="AV467" s="380"/>
      <c r="AW467" s="380"/>
      <c r="AX467" s="380"/>
      <c r="AY467" s="403"/>
      <c r="AZ467" s="380"/>
      <c r="BA467" s="380"/>
      <c r="BB467" s="380"/>
      <c r="BC467" s="380"/>
      <c r="BD467" s="380"/>
      <c r="BE467" s="404"/>
      <c r="BF467" s="380"/>
      <c r="BG467" s="380"/>
      <c r="BH467" s="380"/>
      <c r="BI467" s="380"/>
      <c r="BJ467" s="380"/>
      <c r="BK467" s="380"/>
      <c r="BL467" s="380"/>
      <c r="BM467" s="403"/>
      <c r="BS467" s="83"/>
      <c r="CA467" s="405"/>
      <c r="CG467" s="83"/>
      <c r="CO467" s="405"/>
      <c r="CU467" s="83"/>
      <c r="DC467" s="405"/>
      <c r="DI467" s="83"/>
      <c r="DQ467" s="405"/>
      <c r="DW467" s="83"/>
      <c r="EE467" s="405"/>
      <c r="EK467" s="83"/>
      <c r="ES467" s="405"/>
      <c r="EY467" s="83"/>
      <c r="FG467" s="405"/>
      <c r="FM467" s="83"/>
      <c r="FU467" s="405"/>
      <c r="GA467" s="83"/>
      <c r="GI467" s="405"/>
      <c r="GO467" s="83"/>
      <c r="GW467" s="405"/>
      <c r="HC467" s="83"/>
      <c r="HK467" s="405"/>
      <c r="HQ467" s="83"/>
      <c r="HY467" s="405"/>
      <c r="IE467" s="83"/>
      <c r="IM467" s="405"/>
      <c r="IS467" s="83"/>
      <c r="JA467" s="405"/>
      <c r="JG467" s="83"/>
      <c r="JO467" s="405"/>
      <c r="JU467" s="83"/>
      <c r="KC467" s="405"/>
      <c r="KI467" s="83"/>
      <c r="KQ467" s="405"/>
      <c r="KW467" s="83"/>
      <c r="LE467" s="405"/>
      <c r="LK467" s="83"/>
      <c r="LS467" s="405"/>
      <c r="LY467" s="83"/>
      <c r="MG467" s="405"/>
      <c r="MM467" s="83"/>
      <c r="MU467" s="405"/>
      <c r="NA467" s="83"/>
    </row>
    <row r="468">
      <c r="A468" s="380"/>
      <c r="B468" s="380"/>
      <c r="C468" s="380"/>
      <c r="D468" s="380"/>
      <c r="E468" s="380"/>
      <c r="F468" s="380"/>
      <c r="G468" s="380"/>
      <c r="H468" s="380"/>
      <c r="I468" s="403"/>
      <c r="J468" s="380"/>
      <c r="K468" s="380"/>
      <c r="L468" s="380"/>
      <c r="M468" s="380"/>
      <c r="N468" s="380"/>
      <c r="O468" s="404"/>
      <c r="P468" s="380"/>
      <c r="Q468" s="380"/>
      <c r="R468" s="380"/>
      <c r="S468" s="380"/>
      <c r="T468" s="380"/>
      <c r="U468" s="380"/>
      <c r="V468" s="380"/>
      <c r="W468" s="403"/>
      <c r="X468" s="380"/>
      <c r="Y468" s="380"/>
      <c r="Z468" s="380"/>
      <c r="AA468" s="380"/>
      <c r="AB468" s="380"/>
      <c r="AC468" s="404"/>
      <c r="AD468" s="380"/>
      <c r="AE468" s="380"/>
      <c r="AF468" s="380"/>
      <c r="AG468" s="380"/>
      <c r="AH468" s="380"/>
      <c r="AI468" s="380"/>
      <c r="AJ468" s="380"/>
      <c r="AK468" s="403"/>
      <c r="AL468" s="380"/>
      <c r="AM468" s="380"/>
      <c r="AN468" s="380"/>
      <c r="AO468" s="380"/>
      <c r="AP468" s="380"/>
      <c r="AQ468" s="404"/>
      <c r="AR468" s="380"/>
      <c r="AS468" s="380"/>
      <c r="AT468" s="380"/>
      <c r="AU468" s="380"/>
      <c r="AV468" s="380"/>
      <c r="AW468" s="380"/>
      <c r="AX468" s="380"/>
      <c r="AY468" s="403"/>
      <c r="AZ468" s="380"/>
      <c r="BA468" s="380"/>
      <c r="BB468" s="380"/>
      <c r="BC468" s="380"/>
      <c r="BD468" s="380"/>
      <c r="BE468" s="404"/>
      <c r="BF468" s="380"/>
      <c r="BG468" s="380"/>
      <c r="BH468" s="380"/>
      <c r="BI468" s="380"/>
      <c r="BJ468" s="380"/>
      <c r="BK468" s="380"/>
      <c r="BL468" s="380"/>
      <c r="BM468" s="403"/>
      <c r="BS468" s="83"/>
      <c r="CA468" s="405"/>
      <c r="CG468" s="83"/>
      <c r="CO468" s="405"/>
      <c r="CU468" s="83"/>
      <c r="DC468" s="405"/>
      <c r="DI468" s="83"/>
      <c r="DQ468" s="405"/>
      <c r="DW468" s="83"/>
      <c r="EE468" s="405"/>
      <c r="EK468" s="83"/>
      <c r="ES468" s="405"/>
      <c r="EY468" s="83"/>
      <c r="FG468" s="405"/>
      <c r="FM468" s="83"/>
      <c r="FU468" s="405"/>
      <c r="GA468" s="83"/>
      <c r="GI468" s="405"/>
      <c r="GO468" s="83"/>
      <c r="GW468" s="405"/>
      <c r="HC468" s="83"/>
      <c r="HK468" s="405"/>
      <c r="HQ468" s="83"/>
      <c r="HY468" s="405"/>
      <c r="IE468" s="83"/>
      <c r="IM468" s="405"/>
      <c r="IS468" s="83"/>
      <c r="JA468" s="405"/>
      <c r="JG468" s="83"/>
      <c r="JO468" s="405"/>
      <c r="JU468" s="83"/>
      <c r="KC468" s="405"/>
      <c r="KI468" s="83"/>
      <c r="KQ468" s="405"/>
      <c r="KW468" s="83"/>
      <c r="LE468" s="405"/>
      <c r="LK468" s="83"/>
      <c r="LS468" s="405"/>
      <c r="LY468" s="83"/>
      <c r="MG468" s="405"/>
      <c r="MM468" s="83"/>
      <c r="MU468" s="405"/>
      <c r="NA468" s="83"/>
    </row>
    <row r="469">
      <c r="A469" s="380"/>
      <c r="B469" s="380"/>
      <c r="C469" s="380"/>
      <c r="D469" s="380"/>
      <c r="E469" s="380"/>
      <c r="F469" s="380"/>
      <c r="G469" s="380"/>
      <c r="H469" s="380"/>
      <c r="I469" s="403"/>
      <c r="J469" s="380"/>
      <c r="K469" s="380"/>
      <c r="L469" s="380"/>
      <c r="M469" s="380"/>
      <c r="N469" s="380"/>
      <c r="O469" s="404"/>
      <c r="P469" s="380"/>
      <c r="Q469" s="380"/>
      <c r="R469" s="380"/>
      <c r="S469" s="380"/>
      <c r="T469" s="380"/>
      <c r="U469" s="380"/>
      <c r="V469" s="380"/>
      <c r="W469" s="403"/>
      <c r="X469" s="380"/>
      <c r="Y469" s="380"/>
      <c r="Z469" s="380"/>
      <c r="AA469" s="380"/>
      <c r="AB469" s="380"/>
      <c r="AC469" s="404"/>
      <c r="AD469" s="380"/>
      <c r="AE469" s="380"/>
      <c r="AF469" s="380"/>
      <c r="AG469" s="380"/>
      <c r="AH469" s="380"/>
      <c r="AI469" s="380"/>
      <c r="AJ469" s="380"/>
      <c r="AK469" s="403"/>
      <c r="AL469" s="380"/>
      <c r="AM469" s="380"/>
      <c r="AN469" s="380"/>
      <c r="AO469" s="380"/>
      <c r="AP469" s="380"/>
      <c r="AQ469" s="404"/>
      <c r="AR469" s="380"/>
      <c r="AS469" s="380"/>
      <c r="AT469" s="380"/>
      <c r="AU469" s="380"/>
      <c r="AV469" s="380"/>
      <c r="AW469" s="380"/>
      <c r="AX469" s="380"/>
      <c r="AY469" s="403"/>
      <c r="AZ469" s="380"/>
      <c r="BA469" s="380"/>
      <c r="BB469" s="380"/>
      <c r="BC469" s="380"/>
      <c r="BD469" s="380"/>
      <c r="BE469" s="404"/>
      <c r="BF469" s="380"/>
      <c r="BG469" s="380"/>
      <c r="BH469" s="380"/>
      <c r="BI469" s="380"/>
      <c r="BJ469" s="380"/>
      <c r="BK469" s="380"/>
      <c r="BL469" s="380"/>
      <c r="BM469" s="403"/>
      <c r="BS469" s="83"/>
      <c r="CA469" s="405"/>
      <c r="CG469" s="83"/>
      <c r="CO469" s="405"/>
      <c r="CU469" s="83"/>
      <c r="DC469" s="405"/>
      <c r="DI469" s="83"/>
      <c r="DQ469" s="405"/>
      <c r="DW469" s="83"/>
      <c r="EE469" s="405"/>
      <c r="EK469" s="83"/>
      <c r="ES469" s="405"/>
      <c r="EY469" s="83"/>
      <c r="FG469" s="405"/>
      <c r="FM469" s="83"/>
      <c r="FU469" s="405"/>
      <c r="GA469" s="83"/>
      <c r="GI469" s="405"/>
      <c r="GO469" s="83"/>
      <c r="GW469" s="405"/>
      <c r="HC469" s="83"/>
      <c r="HK469" s="405"/>
      <c r="HQ469" s="83"/>
      <c r="HY469" s="405"/>
      <c r="IE469" s="83"/>
      <c r="IM469" s="405"/>
      <c r="IS469" s="83"/>
      <c r="JA469" s="405"/>
      <c r="JG469" s="83"/>
      <c r="JO469" s="405"/>
      <c r="JU469" s="83"/>
      <c r="KC469" s="405"/>
      <c r="KI469" s="83"/>
      <c r="KQ469" s="405"/>
      <c r="KW469" s="83"/>
      <c r="LE469" s="405"/>
      <c r="LK469" s="83"/>
      <c r="LS469" s="405"/>
      <c r="LY469" s="83"/>
      <c r="MG469" s="405"/>
      <c r="MM469" s="83"/>
      <c r="MU469" s="405"/>
      <c r="NA469" s="83"/>
    </row>
    <row r="470">
      <c r="A470" s="380"/>
      <c r="B470" s="380"/>
      <c r="C470" s="380"/>
      <c r="D470" s="380"/>
      <c r="E470" s="380"/>
      <c r="F470" s="380"/>
      <c r="G470" s="380"/>
      <c r="H470" s="380"/>
      <c r="I470" s="403"/>
      <c r="J470" s="380"/>
      <c r="K470" s="380"/>
      <c r="L470" s="380"/>
      <c r="M470" s="380"/>
      <c r="N470" s="380"/>
      <c r="O470" s="404"/>
      <c r="P470" s="380"/>
      <c r="Q470" s="380"/>
      <c r="R470" s="380"/>
      <c r="S470" s="380"/>
      <c r="T470" s="380"/>
      <c r="U470" s="380"/>
      <c r="V470" s="380"/>
      <c r="W470" s="403"/>
      <c r="X470" s="380"/>
      <c r="Y470" s="380"/>
      <c r="Z470" s="380"/>
      <c r="AA470" s="380"/>
      <c r="AB470" s="380"/>
      <c r="AC470" s="404"/>
      <c r="AD470" s="380"/>
      <c r="AE470" s="380"/>
      <c r="AF470" s="380"/>
      <c r="AG470" s="380"/>
      <c r="AH470" s="380"/>
      <c r="AI470" s="380"/>
      <c r="AJ470" s="380"/>
      <c r="AK470" s="403"/>
      <c r="AL470" s="380"/>
      <c r="AM470" s="380"/>
      <c r="AN470" s="380"/>
      <c r="AO470" s="380"/>
      <c r="AP470" s="380"/>
      <c r="AQ470" s="404"/>
      <c r="AR470" s="380"/>
      <c r="AS470" s="380"/>
      <c r="AT470" s="380"/>
      <c r="AU470" s="380"/>
      <c r="AV470" s="380"/>
      <c r="AW470" s="380"/>
      <c r="AX470" s="380"/>
      <c r="AY470" s="403"/>
      <c r="AZ470" s="380"/>
      <c r="BA470" s="380"/>
      <c r="BB470" s="380"/>
      <c r="BC470" s="380"/>
      <c r="BD470" s="380"/>
      <c r="BE470" s="404"/>
      <c r="BF470" s="380"/>
      <c r="BG470" s="380"/>
      <c r="BH470" s="380"/>
      <c r="BI470" s="380"/>
      <c r="BJ470" s="380"/>
      <c r="BK470" s="380"/>
      <c r="BL470" s="380"/>
      <c r="BM470" s="403"/>
      <c r="BS470" s="83"/>
      <c r="CA470" s="405"/>
      <c r="CG470" s="83"/>
      <c r="CO470" s="405"/>
      <c r="CU470" s="83"/>
      <c r="DC470" s="405"/>
      <c r="DI470" s="83"/>
      <c r="DQ470" s="405"/>
      <c r="DW470" s="83"/>
      <c r="EE470" s="405"/>
      <c r="EK470" s="83"/>
      <c r="ES470" s="405"/>
      <c r="EY470" s="83"/>
      <c r="FG470" s="405"/>
      <c r="FM470" s="83"/>
      <c r="FU470" s="405"/>
      <c r="GA470" s="83"/>
      <c r="GI470" s="405"/>
      <c r="GO470" s="83"/>
      <c r="GW470" s="405"/>
      <c r="HC470" s="83"/>
      <c r="HK470" s="405"/>
      <c r="HQ470" s="83"/>
      <c r="HY470" s="405"/>
      <c r="IE470" s="83"/>
      <c r="IM470" s="405"/>
      <c r="IS470" s="83"/>
      <c r="JA470" s="405"/>
      <c r="JG470" s="83"/>
      <c r="JO470" s="405"/>
      <c r="JU470" s="83"/>
      <c r="KC470" s="405"/>
      <c r="KI470" s="83"/>
      <c r="KQ470" s="405"/>
      <c r="KW470" s="83"/>
      <c r="LE470" s="405"/>
      <c r="LK470" s="83"/>
      <c r="LS470" s="405"/>
      <c r="LY470" s="83"/>
      <c r="MG470" s="405"/>
      <c r="MM470" s="83"/>
      <c r="MU470" s="405"/>
      <c r="NA470" s="83"/>
    </row>
    <row r="471">
      <c r="A471" s="380"/>
      <c r="B471" s="380"/>
      <c r="C471" s="380"/>
      <c r="D471" s="380"/>
      <c r="E471" s="380"/>
      <c r="F471" s="380"/>
      <c r="G471" s="380"/>
      <c r="H471" s="380"/>
      <c r="I471" s="403"/>
      <c r="J471" s="380"/>
      <c r="K471" s="380"/>
      <c r="L471" s="380"/>
      <c r="M471" s="380"/>
      <c r="N471" s="380"/>
      <c r="O471" s="404"/>
      <c r="P471" s="380"/>
      <c r="Q471" s="380"/>
      <c r="R471" s="380"/>
      <c r="S471" s="380"/>
      <c r="T471" s="380"/>
      <c r="U471" s="380"/>
      <c r="V471" s="380"/>
      <c r="W471" s="403"/>
      <c r="X471" s="380"/>
      <c r="Y471" s="380"/>
      <c r="Z471" s="380"/>
      <c r="AA471" s="380"/>
      <c r="AB471" s="380"/>
      <c r="AC471" s="404"/>
      <c r="AD471" s="380"/>
      <c r="AE471" s="380"/>
      <c r="AF471" s="380"/>
      <c r="AG471" s="380"/>
      <c r="AH471" s="380"/>
      <c r="AI471" s="380"/>
      <c r="AJ471" s="380"/>
      <c r="AK471" s="403"/>
      <c r="AL471" s="380"/>
      <c r="AM471" s="380"/>
      <c r="AN471" s="380"/>
      <c r="AO471" s="380"/>
      <c r="AP471" s="380"/>
      <c r="AQ471" s="404"/>
      <c r="AR471" s="380"/>
      <c r="AS471" s="380"/>
      <c r="AT471" s="380"/>
      <c r="AU471" s="380"/>
      <c r="AV471" s="380"/>
      <c r="AW471" s="380"/>
      <c r="AX471" s="380"/>
      <c r="AY471" s="403"/>
      <c r="AZ471" s="380"/>
      <c r="BA471" s="380"/>
      <c r="BB471" s="380"/>
      <c r="BC471" s="380"/>
      <c r="BD471" s="380"/>
      <c r="BE471" s="404"/>
      <c r="BF471" s="380"/>
      <c r="BG471" s="380"/>
      <c r="BH471" s="380"/>
      <c r="BI471" s="380"/>
      <c r="BJ471" s="380"/>
      <c r="BK471" s="380"/>
      <c r="BL471" s="380"/>
      <c r="BM471" s="403"/>
      <c r="BS471" s="83"/>
      <c r="CA471" s="405"/>
      <c r="CG471" s="83"/>
      <c r="CO471" s="405"/>
      <c r="CU471" s="83"/>
      <c r="DC471" s="405"/>
      <c r="DI471" s="83"/>
      <c r="DQ471" s="405"/>
      <c r="DW471" s="83"/>
      <c r="EE471" s="405"/>
      <c r="EK471" s="83"/>
      <c r="ES471" s="405"/>
      <c r="EY471" s="83"/>
      <c r="FG471" s="405"/>
      <c r="FM471" s="83"/>
      <c r="FU471" s="405"/>
      <c r="GA471" s="83"/>
      <c r="GI471" s="405"/>
      <c r="GO471" s="83"/>
      <c r="GW471" s="405"/>
      <c r="HC471" s="83"/>
      <c r="HK471" s="405"/>
      <c r="HQ471" s="83"/>
      <c r="HY471" s="405"/>
      <c r="IE471" s="83"/>
      <c r="IM471" s="405"/>
      <c r="IS471" s="83"/>
      <c r="JA471" s="405"/>
      <c r="JG471" s="83"/>
      <c r="JO471" s="405"/>
      <c r="JU471" s="83"/>
      <c r="KC471" s="405"/>
      <c r="KI471" s="83"/>
      <c r="KQ471" s="405"/>
      <c r="KW471" s="83"/>
      <c r="LE471" s="405"/>
      <c r="LK471" s="83"/>
      <c r="LS471" s="405"/>
      <c r="LY471" s="83"/>
      <c r="MG471" s="405"/>
      <c r="MM471" s="83"/>
      <c r="MU471" s="405"/>
      <c r="NA471" s="83"/>
    </row>
    <row r="472">
      <c r="A472" s="380"/>
      <c r="B472" s="380"/>
      <c r="C472" s="380"/>
      <c r="D472" s="380"/>
      <c r="E472" s="380"/>
      <c r="F472" s="380"/>
      <c r="G472" s="380"/>
      <c r="H472" s="380"/>
      <c r="I472" s="403"/>
      <c r="J472" s="380"/>
      <c r="K472" s="380"/>
      <c r="L472" s="380"/>
      <c r="M472" s="380"/>
      <c r="N472" s="380"/>
      <c r="O472" s="404"/>
      <c r="P472" s="380"/>
      <c r="Q472" s="380"/>
      <c r="R472" s="380"/>
      <c r="S472" s="380"/>
      <c r="T472" s="380"/>
      <c r="U472" s="380"/>
      <c r="V472" s="380"/>
      <c r="W472" s="403"/>
      <c r="X472" s="380"/>
      <c r="Y472" s="380"/>
      <c r="Z472" s="380"/>
      <c r="AA472" s="380"/>
      <c r="AB472" s="380"/>
      <c r="AC472" s="404"/>
      <c r="AD472" s="380"/>
      <c r="AE472" s="380"/>
      <c r="AF472" s="380"/>
      <c r="AG472" s="380"/>
      <c r="AH472" s="380"/>
      <c r="AI472" s="380"/>
      <c r="AJ472" s="380"/>
      <c r="AK472" s="403"/>
      <c r="AL472" s="380"/>
      <c r="AM472" s="380"/>
      <c r="AN472" s="380"/>
      <c r="AO472" s="380"/>
      <c r="AP472" s="380"/>
      <c r="AQ472" s="404"/>
      <c r="AR472" s="380"/>
      <c r="AS472" s="380"/>
      <c r="AT472" s="380"/>
      <c r="AU472" s="380"/>
      <c r="AV472" s="380"/>
      <c r="AW472" s="380"/>
      <c r="AX472" s="380"/>
      <c r="AY472" s="403"/>
      <c r="AZ472" s="380"/>
      <c r="BA472" s="380"/>
      <c r="BB472" s="380"/>
      <c r="BC472" s="380"/>
      <c r="BD472" s="380"/>
      <c r="BE472" s="404"/>
      <c r="BF472" s="380"/>
      <c r="BG472" s="380"/>
      <c r="BH472" s="380"/>
      <c r="BI472" s="380"/>
      <c r="BJ472" s="380"/>
      <c r="BK472" s="380"/>
      <c r="BL472" s="380"/>
      <c r="BM472" s="403"/>
      <c r="BS472" s="83"/>
      <c r="CA472" s="405"/>
      <c r="CG472" s="83"/>
      <c r="CO472" s="405"/>
      <c r="CU472" s="83"/>
      <c r="DC472" s="405"/>
      <c r="DI472" s="83"/>
      <c r="DQ472" s="405"/>
      <c r="DW472" s="83"/>
      <c r="EE472" s="405"/>
      <c r="EK472" s="83"/>
      <c r="ES472" s="405"/>
      <c r="EY472" s="83"/>
      <c r="FG472" s="405"/>
      <c r="FM472" s="83"/>
      <c r="FU472" s="405"/>
      <c r="GA472" s="83"/>
      <c r="GI472" s="405"/>
      <c r="GO472" s="83"/>
      <c r="GW472" s="405"/>
      <c r="HC472" s="83"/>
      <c r="HK472" s="405"/>
      <c r="HQ472" s="83"/>
      <c r="HY472" s="405"/>
      <c r="IE472" s="83"/>
      <c r="IM472" s="405"/>
      <c r="IS472" s="83"/>
      <c r="JA472" s="405"/>
      <c r="JG472" s="83"/>
      <c r="JO472" s="405"/>
      <c r="JU472" s="83"/>
      <c r="KC472" s="405"/>
      <c r="KI472" s="83"/>
      <c r="KQ472" s="405"/>
      <c r="KW472" s="83"/>
      <c r="LE472" s="405"/>
      <c r="LK472" s="83"/>
      <c r="LS472" s="405"/>
      <c r="LY472" s="83"/>
      <c r="MG472" s="405"/>
      <c r="MM472" s="83"/>
      <c r="MU472" s="405"/>
      <c r="NA472" s="83"/>
    </row>
    <row r="473">
      <c r="A473" s="380"/>
      <c r="B473" s="380"/>
      <c r="C473" s="380"/>
      <c r="D473" s="380"/>
      <c r="E473" s="380"/>
      <c r="F473" s="380"/>
      <c r="G473" s="380"/>
      <c r="H473" s="380"/>
      <c r="I473" s="403"/>
      <c r="J473" s="380"/>
      <c r="K473" s="380"/>
      <c r="L473" s="380"/>
      <c r="M473" s="380"/>
      <c r="N473" s="380"/>
      <c r="O473" s="404"/>
      <c r="P473" s="380"/>
      <c r="Q473" s="380"/>
      <c r="R473" s="380"/>
      <c r="S473" s="380"/>
      <c r="T473" s="380"/>
      <c r="U473" s="380"/>
      <c r="V473" s="380"/>
      <c r="W473" s="403"/>
      <c r="X473" s="380"/>
      <c r="Y473" s="380"/>
      <c r="Z473" s="380"/>
      <c r="AA473" s="380"/>
      <c r="AB473" s="380"/>
      <c r="AC473" s="404"/>
      <c r="AD473" s="380"/>
      <c r="AE473" s="380"/>
      <c r="AF473" s="380"/>
      <c r="AG473" s="380"/>
      <c r="AH473" s="380"/>
      <c r="AI473" s="380"/>
      <c r="AJ473" s="380"/>
      <c r="AK473" s="403"/>
      <c r="AL473" s="380"/>
      <c r="AM473" s="380"/>
      <c r="AN473" s="380"/>
      <c r="AO473" s="380"/>
      <c r="AP473" s="380"/>
      <c r="AQ473" s="404"/>
      <c r="AR473" s="380"/>
      <c r="AS473" s="380"/>
      <c r="AT473" s="380"/>
      <c r="AU473" s="380"/>
      <c r="AV473" s="380"/>
      <c r="AW473" s="380"/>
      <c r="AX473" s="380"/>
      <c r="AY473" s="403"/>
      <c r="AZ473" s="380"/>
      <c r="BA473" s="380"/>
      <c r="BB473" s="380"/>
      <c r="BC473" s="380"/>
      <c r="BD473" s="380"/>
      <c r="BE473" s="404"/>
      <c r="BF473" s="380"/>
      <c r="BG473" s="380"/>
      <c r="BH473" s="380"/>
      <c r="BI473" s="380"/>
      <c r="BJ473" s="380"/>
      <c r="BK473" s="380"/>
      <c r="BL473" s="380"/>
      <c r="BM473" s="403"/>
      <c r="BS473" s="83"/>
      <c r="CA473" s="405"/>
      <c r="CG473" s="83"/>
      <c r="CO473" s="405"/>
      <c r="CU473" s="83"/>
      <c r="DC473" s="405"/>
      <c r="DI473" s="83"/>
      <c r="DQ473" s="405"/>
      <c r="DW473" s="83"/>
      <c r="EE473" s="405"/>
      <c r="EK473" s="83"/>
      <c r="ES473" s="405"/>
      <c r="EY473" s="83"/>
      <c r="FG473" s="405"/>
      <c r="FM473" s="83"/>
      <c r="FU473" s="405"/>
      <c r="GA473" s="83"/>
      <c r="GI473" s="405"/>
      <c r="GO473" s="83"/>
      <c r="GW473" s="405"/>
      <c r="HC473" s="83"/>
      <c r="HK473" s="405"/>
      <c r="HQ473" s="83"/>
      <c r="HY473" s="405"/>
      <c r="IE473" s="83"/>
      <c r="IM473" s="405"/>
      <c r="IS473" s="83"/>
      <c r="JA473" s="405"/>
      <c r="JG473" s="83"/>
      <c r="JO473" s="405"/>
      <c r="JU473" s="83"/>
      <c r="KC473" s="405"/>
      <c r="KI473" s="83"/>
      <c r="KQ473" s="405"/>
      <c r="KW473" s="83"/>
      <c r="LE473" s="405"/>
      <c r="LK473" s="83"/>
      <c r="LS473" s="405"/>
      <c r="LY473" s="83"/>
      <c r="MG473" s="405"/>
      <c r="MM473" s="83"/>
      <c r="MU473" s="405"/>
      <c r="NA473" s="83"/>
    </row>
    <row r="474">
      <c r="A474" s="380"/>
      <c r="B474" s="380"/>
      <c r="C474" s="380"/>
      <c r="D474" s="380"/>
      <c r="E474" s="380"/>
      <c r="F474" s="380"/>
      <c r="G474" s="380"/>
      <c r="H474" s="380"/>
      <c r="I474" s="403"/>
      <c r="J474" s="380"/>
      <c r="K474" s="380"/>
      <c r="L474" s="380"/>
      <c r="M474" s="380"/>
      <c r="N474" s="380"/>
      <c r="O474" s="404"/>
      <c r="P474" s="380"/>
      <c r="Q474" s="380"/>
      <c r="R474" s="380"/>
      <c r="S474" s="380"/>
      <c r="T474" s="380"/>
      <c r="U474" s="380"/>
      <c r="V474" s="380"/>
      <c r="W474" s="403"/>
      <c r="X474" s="380"/>
      <c r="Y474" s="380"/>
      <c r="Z474" s="380"/>
      <c r="AA474" s="380"/>
      <c r="AB474" s="380"/>
      <c r="AC474" s="404"/>
      <c r="AD474" s="380"/>
      <c r="AE474" s="380"/>
      <c r="AF474" s="380"/>
      <c r="AG474" s="380"/>
      <c r="AH474" s="380"/>
      <c r="AI474" s="380"/>
      <c r="AJ474" s="380"/>
      <c r="AK474" s="403"/>
      <c r="AL474" s="380"/>
      <c r="AM474" s="380"/>
      <c r="AN474" s="380"/>
      <c r="AO474" s="380"/>
      <c r="AP474" s="380"/>
      <c r="AQ474" s="404"/>
      <c r="AR474" s="380"/>
      <c r="AS474" s="380"/>
      <c r="AT474" s="380"/>
      <c r="AU474" s="380"/>
      <c r="AV474" s="380"/>
      <c r="AW474" s="380"/>
      <c r="AX474" s="380"/>
      <c r="AY474" s="403"/>
      <c r="AZ474" s="380"/>
      <c r="BA474" s="380"/>
      <c r="BB474" s="380"/>
      <c r="BC474" s="380"/>
      <c r="BD474" s="380"/>
      <c r="BE474" s="404"/>
      <c r="BF474" s="380"/>
      <c r="BG474" s="380"/>
      <c r="BH474" s="380"/>
      <c r="BI474" s="380"/>
      <c r="BJ474" s="380"/>
      <c r="BK474" s="380"/>
      <c r="BL474" s="380"/>
      <c r="BM474" s="403"/>
      <c r="BS474" s="83"/>
      <c r="CA474" s="405"/>
      <c r="CG474" s="83"/>
      <c r="CO474" s="405"/>
      <c r="CU474" s="83"/>
      <c r="DC474" s="405"/>
      <c r="DI474" s="83"/>
      <c r="DQ474" s="405"/>
      <c r="DW474" s="83"/>
      <c r="EE474" s="405"/>
      <c r="EK474" s="83"/>
      <c r="ES474" s="405"/>
      <c r="EY474" s="83"/>
      <c r="FG474" s="405"/>
      <c r="FM474" s="83"/>
      <c r="FU474" s="405"/>
      <c r="GA474" s="83"/>
      <c r="GI474" s="405"/>
      <c r="GO474" s="83"/>
      <c r="GW474" s="405"/>
      <c r="HC474" s="83"/>
      <c r="HK474" s="405"/>
      <c r="HQ474" s="83"/>
      <c r="HY474" s="405"/>
      <c r="IE474" s="83"/>
      <c r="IM474" s="405"/>
      <c r="IS474" s="83"/>
      <c r="JA474" s="405"/>
      <c r="JG474" s="83"/>
      <c r="JO474" s="405"/>
      <c r="JU474" s="83"/>
      <c r="KC474" s="405"/>
      <c r="KI474" s="83"/>
      <c r="KQ474" s="405"/>
      <c r="KW474" s="83"/>
      <c r="LE474" s="405"/>
      <c r="LK474" s="83"/>
      <c r="LS474" s="405"/>
      <c r="LY474" s="83"/>
      <c r="MG474" s="405"/>
      <c r="MM474" s="83"/>
      <c r="MU474" s="405"/>
      <c r="NA474" s="83"/>
    </row>
    <row r="475">
      <c r="A475" s="380"/>
      <c r="B475" s="380"/>
      <c r="C475" s="380"/>
      <c r="D475" s="380"/>
      <c r="E475" s="380"/>
      <c r="F475" s="380"/>
      <c r="G475" s="380"/>
      <c r="H475" s="380"/>
      <c r="I475" s="403"/>
      <c r="J475" s="380"/>
      <c r="K475" s="380"/>
      <c r="L475" s="380"/>
      <c r="M475" s="380"/>
      <c r="N475" s="380"/>
      <c r="O475" s="404"/>
      <c r="P475" s="380"/>
      <c r="Q475" s="380"/>
      <c r="R475" s="380"/>
      <c r="S475" s="380"/>
      <c r="T475" s="380"/>
      <c r="U475" s="380"/>
      <c r="V475" s="380"/>
      <c r="W475" s="403"/>
      <c r="X475" s="380"/>
      <c r="Y475" s="380"/>
      <c r="Z475" s="380"/>
      <c r="AA475" s="380"/>
      <c r="AB475" s="380"/>
      <c r="AC475" s="404"/>
      <c r="AD475" s="380"/>
      <c r="AE475" s="380"/>
      <c r="AF475" s="380"/>
      <c r="AG475" s="380"/>
      <c r="AH475" s="380"/>
      <c r="AI475" s="380"/>
      <c r="AJ475" s="380"/>
      <c r="AK475" s="403"/>
      <c r="AL475" s="380"/>
      <c r="AM475" s="380"/>
      <c r="AN475" s="380"/>
      <c r="AO475" s="380"/>
      <c r="AP475" s="380"/>
      <c r="AQ475" s="404"/>
      <c r="AR475" s="380"/>
      <c r="AS475" s="380"/>
      <c r="AT475" s="380"/>
      <c r="AU475" s="380"/>
      <c r="AV475" s="380"/>
      <c r="AW475" s="380"/>
      <c r="AX475" s="380"/>
      <c r="AY475" s="403"/>
      <c r="AZ475" s="380"/>
      <c r="BA475" s="380"/>
      <c r="BB475" s="380"/>
      <c r="BC475" s="380"/>
      <c r="BD475" s="380"/>
      <c r="BE475" s="404"/>
      <c r="BF475" s="380"/>
      <c r="BG475" s="380"/>
      <c r="BH475" s="380"/>
      <c r="BI475" s="380"/>
      <c r="BJ475" s="380"/>
      <c r="BK475" s="380"/>
      <c r="BL475" s="380"/>
      <c r="BM475" s="403"/>
      <c r="BS475" s="83"/>
      <c r="CA475" s="405"/>
      <c r="CG475" s="83"/>
      <c r="CO475" s="405"/>
      <c r="CU475" s="83"/>
      <c r="DC475" s="405"/>
      <c r="DI475" s="83"/>
      <c r="DQ475" s="405"/>
      <c r="DW475" s="83"/>
      <c r="EE475" s="405"/>
      <c r="EK475" s="83"/>
      <c r="ES475" s="405"/>
      <c r="EY475" s="83"/>
      <c r="FG475" s="405"/>
      <c r="FM475" s="83"/>
      <c r="FU475" s="405"/>
      <c r="GA475" s="83"/>
      <c r="GI475" s="405"/>
      <c r="GO475" s="83"/>
      <c r="GW475" s="405"/>
      <c r="HC475" s="83"/>
      <c r="HK475" s="405"/>
      <c r="HQ475" s="83"/>
      <c r="HY475" s="405"/>
      <c r="IE475" s="83"/>
      <c r="IM475" s="405"/>
      <c r="IS475" s="83"/>
      <c r="JA475" s="405"/>
      <c r="JG475" s="83"/>
      <c r="JO475" s="405"/>
      <c r="JU475" s="83"/>
      <c r="KC475" s="405"/>
      <c r="KI475" s="83"/>
      <c r="KQ475" s="405"/>
      <c r="KW475" s="83"/>
      <c r="LE475" s="405"/>
      <c r="LK475" s="83"/>
      <c r="LS475" s="405"/>
      <c r="LY475" s="83"/>
      <c r="MG475" s="405"/>
      <c r="MM475" s="83"/>
      <c r="MU475" s="405"/>
      <c r="NA475" s="83"/>
    </row>
    <row r="476">
      <c r="A476" s="380"/>
      <c r="B476" s="380"/>
      <c r="C476" s="380"/>
      <c r="D476" s="380"/>
      <c r="E476" s="380"/>
      <c r="F476" s="380"/>
      <c r="G476" s="380"/>
      <c r="H476" s="380"/>
      <c r="I476" s="403"/>
      <c r="J476" s="380"/>
      <c r="K476" s="380"/>
      <c r="L476" s="380"/>
      <c r="M476" s="380"/>
      <c r="N476" s="380"/>
      <c r="O476" s="404"/>
      <c r="P476" s="380"/>
      <c r="Q476" s="380"/>
      <c r="R476" s="380"/>
      <c r="S476" s="380"/>
      <c r="T476" s="380"/>
      <c r="U476" s="380"/>
      <c r="V476" s="380"/>
      <c r="W476" s="403"/>
      <c r="X476" s="380"/>
      <c r="Y476" s="380"/>
      <c r="Z476" s="380"/>
      <c r="AA476" s="380"/>
      <c r="AB476" s="380"/>
      <c r="AC476" s="404"/>
      <c r="AD476" s="380"/>
      <c r="AE476" s="380"/>
      <c r="AF476" s="380"/>
      <c r="AG476" s="380"/>
      <c r="AH476" s="380"/>
      <c r="AI476" s="380"/>
      <c r="AJ476" s="380"/>
      <c r="AK476" s="403"/>
      <c r="AL476" s="380"/>
      <c r="AM476" s="380"/>
      <c r="AN476" s="380"/>
      <c r="AO476" s="380"/>
      <c r="AP476" s="380"/>
      <c r="AQ476" s="404"/>
      <c r="AR476" s="380"/>
      <c r="AS476" s="380"/>
      <c r="AT476" s="380"/>
      <c r="AU476" s="380"/>
      <c r="AV476" s="380"/>
      <c r="AW476" s="380"/>
      <c r="AX476" s="380"/>
      <c r="AY476" s="403"/>
      <c r="AZ476" s="380"/>
      <c r="BA476" s="380"/>
      <c r="BB476" s="380"/>
      <c r="BC476" s="380"/>
      <c r="BD476" s="380"/>
      <c r="BE476" s="404"/>
      <c r="BF476" s="380"/>
      <c r="BG476" s="380"/>
      <c r="BH476" s="380"/>
      <c r="BI476" s="380"/>
      <c r="BJ476" s="380"/>
      <c r="BK476" s="380"/>
      <c r="BL476" s="380"/>
      <c r="BM476" s="403"/>
      <c r="BS476" s="83"/>
      <c r="CA476" s="405"/>
      <c r="CG476" s="83"/>
      <c r="CO476" s="405"/>
      <c r="CU476" s="83"/>
      <c r="DC476" s="405"/>
      <c r="DI476" s="83"/>
      <c r="DQ476" s="405"/>
      <c r="DW476" s="83"/>
      <c r="EE476" s="405"/>
      <c r="EK476" s="83"/>
      <c r="ES476" s="405"/>
      <c r="EY476" s="83"/>
      <c r="FG476" s="405"/>
      <c r="FM476" s="83"/>
      <c r="FU476" s="405"/>
      <c r="GA476" s="83"/>
      <c r="GI476" s="405"/>
      <c r="GO476" s="83"/>
      <c r="GW476" s="405"/>
      <c r="HC476" s="83"/>
      <c r="HK476" s="405"/>
      <c r="HQ476" s="83"/>
      <c r="HY476" s="405"/>
      <c r="IE476" s="83"/>
      <c r="IM476" s="405"/>
      <c r="IS476" s="83"/>
      <c r="JA476" s="405"/>
      <c r="JG476" s="83"/>
      <c r="JO476" s="405"/>
      <c r="JU476" s="83"/>
      <c r="KC476" s="405"/>
      <c r="KI476" s="83"/>
      <c r="KQ476" s="405"/>
      <c r="KW476" s="83"/>
      <c r="LE476" s="405"/>
      <c r="LK476" s="83"/>
      <c r="LS476" s="405"/>
      <c r="LY476" s="83"/>
      <c r="MG476" s="405"/>
      <c r="MM476" s="83"/>
      <c r="MU476" s="405"/>
      <c r="NA476" s="83"/>
    </row>
    <row r="477">
      <c r="A477" s="380"/>
      <c r="B477" s="380"/>
      <c r="C477" s="380"/>
      <c r="D477" s="380"/>
      <c r="E477" s="380"/>
      <c r="F477" s="380"/>
      <c r="G477" s="380"/>
      <c r="H477" s="380"/>
      <c r="I477" s="403"/>
      <c r="J477" s="380"/>
      <c r="K477" s="380"/>
      <c r="L477" s="380"/>
      <c r="M477" s="380"/>
      <c r="N477" s="380"/>
      <c r="O477" s="404"/>
      <c r="P477" s="380"/>
      <c r="Q477" s="380"/>
      <c r="R477" s="380"/>
      <c r="S477" s="380"/>
      <c r="T477" s="380"/>
      <c r="U477" s="380"/>
      <c r="V477" s="380"/>
      <c r="W477" s="403"/>
      <c r="X477" s="380"/>
      <c r="Y477" s="380"/>
      <c r="Z477" s="380"/>
      <c r="AA477" s="380"/>
      <c r="AB477" s="380"/>
      <c r="AC477" s="404"/>
      <c r="AD477" s="380"/>
      <c r="AE477" s="380"/>
      <c r="AF477" s="380"/>
      <c r="AG477" s="380"/>
      <c r="AH477" s="380"/>
      <c r="AI477" s="380"/>
      <c r="AJ477" s="380"/>
      <c r="AK477" s="403"/>
      <c r="AL477" s="380"/>
      <c r="AM477" s="380"/>
      <c r="AN477" s="380"/>
      <c r="AO477" s="380"/>
      <c r="AP477" s="380"/>
      <c r="AQ477" s="404"/>
      <c r="AR477" s="380"/>
      <c r="AS477" s="380"/>
      <c r="AT477" s="380"/>
      <c r="AU477" s="380"/>
      <c r="AV477" s="380"/>
      <c r="AW477" s="380"/>
      <c r="AX477" s="380"/>
      <c r="AY477" s="403"/>
      <c r="AZ477" s="380"/>
      <c r="BA477" s="380"/>
      <c r="BB477" s="380"/>
      <c r="BC477" s="380"/>
      <c r="BD477" s="380"/>
      <c r="BE477" s="404"/>
      <c r="BF477" s="380"/>
      <c r="BG477" s="380"/>
      <c r="BH477" s="380"/>
      <c r="BI477" s="380"/>
      <c r="BJ477" s="380"/>
      <c r="BK477" s="380"/>
      <c r="BL477" s="380"/>
      <c r="BM477" s="403"/>
      <c r="BS477" s="83"/>
      <c r="CA477" s="405"/>
      <c r="CG477" s="83"/>
      <c r="CO477" s="405"/>
      <c r="CU477" s="83"/>
      <c r="DC477" s="405"/>
      <c r="DI477" s="83"/>
      <c r="DQ477" s="405"/>
      <c r="DW477" s="83"/>
      <c r="EE477" s="405"/>
      <c r="EK477" s="83"/>
      <c r="ES477" s="405"/>
      <c r="EY477" s="83"/>
      <c r="FG477" s="405"/>
      <c r="FM477" s="83"/>
      <c r="FU477" s="405"/>
      <c r="GA477" s="83"/>
      <c r="GI477" s="405"/>
      <c r="GO477" s="83"/>
      <c r="GW477" s="405"/>
      <c r="HC477" s="83"/>
      <c r="HK477" s="405"/>
      <c r="HQ477" s="83"/>
      <c r="HY477" s="405"/>
      <c r="IE477" s="83"/>
      <c r="IM477" s="405"/>
      <c r="IS477" s="83"/>
      <c r="JA477" s="405"/>
      <c r="JG477" s="83"/>
      <c r="JO477" s="405"/>
      <c r="JU477" s="83"/>
      <c r="KC477" s="405"/>
      <c r="KI477" s="83"/>
      <c r="KQ477" s="405"/>
      <c r="KW477" s="83"/>
      <c r="LE477" s="405"/>
      <c r="LK477" s="83"/>
      <c r="LS477" s="405"/>
      <c r="LY477" s="83"/>
      <c r="MG477" s="405"/>
      <c r="MM477" s="83"/>
      <c r="MU477" s="405"/>
      <c r="NA477" s="83"/>
    </row>
    <row r="478">
      <c r="A478" s="380"/>
      <c r="B478" s="380"/>
      <c r="C478" s="380"/>
      <c r="D478" s="380"/>
      <c r="E478" s="380"/>
      <c r="F478" s="380"/>
      <c r="G478" s="380"/>
      <c r="H478" s="380"/>
      <c r="I478" s="403"/>
      <c r="J478" s="380"/>
      <c r="K478" s="380"/>
      <c r="L478" s="380"/>
      <c r="M478" s="380"/>
      <c r="N478" s="380"/>
      <c r="O478" s="404"/>
      <c r="P478" s="380"/>
      <c r="Q478" s="380"/>
      <c r="R478" s="380"/>
      <c r="S478" s="380"/>
      <c r="T478" s="380"/>
      <c r="U478" s="380"/>
      <c r="V478" s="380"/>
      <c r="W478" s="403"/>
      <c r="X478" s="380"/>
      <c r="Y478" s="380"/>
      <c r="Z478" s="380"/>
      <c r="AA478" s="380"/>
      <c r="AB478" s="380"/>
      <c r="AC478" s="404"/>
      <c r="AD478" s="380"/>
      <c r="AE478" s="380"/>
      <c r="AF478" s="380"/>
      <c r="AG478" s="380"/>
      <c r="AH478" s="380"/>
      <c r="AI478" s="380"/>
      <c r="AJ478" s="380"/>
      <c r="AK478" s="403"/>
      <c r="AL478" s="380"/>
      <c r="AM478" s="380"/>
      <c r="AN478" s="380"/>
      <c r="AO478" s="380"/>
      <c r="AP478" s="380"/>
      <c r="AQ478" s="404"/>
      <c r="AR478" s="380"/>
      <c r="AS478" s="380"/>
      <c r="AT478" s="380"/>
      <c r="AU478" s="380"/>
      <c r="AV478" s="380"/>
      <c r="AW478" s="380"/>
      <c r="AX478" s="380"/>
      <c r="AY478" s="403"/>
      <c r="AZ478" s="380"/>
      <c r="BA478" s="380"/>
      <c r="BB478" s="380"/>
      <c r="BC478" s="380"/>
      <c r="BD478" s="380"/>
      <c r="BE478" s="404"/>
      <c r="BF478" s="380"/>
      <c r="BG478" s="380"/>
      <c r="BH478" s="380"/>
      <c r="BI478" s="380"/>
      <c r="BJ478" s="380"/>
      <c r="BK478" s="380"/>
      <c r="BL478" s="380"/>
      <c r="BM478" s="403"/>
      <c r="BS478" s="83"/>
      <c r="CA478" s="405"/>
      <c r="CG478" s="83"/>
      <c r="CO478" s="405"/>
      <c r="CU478" s="83"/>
      <c r="DC478" s="405"/>
      <c r="DI478" s="83"/>
      <c r="DQ478" s="405"/>
      <c r="DW478" s="83"/>
      <c r="EE478" s="405"/>
      <c r="EK478" s="83"/>
      <c r="ES478" s="405"/>
      <c r="EY478" s="83"/>
      <c r="FG478" s="405"/>
      <c r="FM478" s="83"/>
      <c r="FU478" s="405"/>
      <c r="GA478" s="83"/>
      <c r="GI478" s="405"/>
      <c r="GO478" s="83"/>
      <c r="GW478" s="405"/>
      <c r="HC478" s="83"/>
      <c r="HK478" s="405"/>
      <c r="HQ478" s="83"/>
      <c r="HY478" s="405"/>
      <c r="IE478" s="83"/>
      <c r="IM478" s="405"/>
      <c r="IS478" s="83"/>
      <c r="JA478" s="405"/>
      <c r="JG478" s="83"/>
      <c r="JO478" s="405"/>
      <c r="JU478" s="83"/>
      <c r="KC478" s="405"/>
      <c r="KI478" s="83"/>
      <c r="KQ478" s="405"/>
      <c r="KW478" s="83"/>
      <c r="LE478" s="405"/>
      <c r="LK478" s="83"/>
      <c r="LS478" s="405"/>
      <c r="LY478" s="83"/>
      <c r="MG478" s="405"/>
      <c r="MM478" s="83"/>
      <c r="MU478" s="405"/>
      <c r="NA478" s="83"/>
    </row>
    <row r="479">
      <c r="A479" s="380"/>
      <c r="B479" s="380"/>
      <c r="C479" s="380"/>
      <c r="D479" s="380"/>
      <c r="E479" s="380"/>
      <c r="F479" s="380"/>
      <c r="G479" s="380"/>
      <c r="H479" s="380"/>
      <c r="I479" s="403"/>
      <c r="J479" s="380"/>
      <c r="K479" s="380"/>
      <c r="L479" s="380"/>
      <c r="M479" s="380"/>
      <c r="N479" s="380"/>
      <c r="O479" s="404"/>
      <c r="P479" s="380"/>
      <c r="Q479" s="380"/>
      <c r="R479" s="380"/>
      <c r="S479" s="380"/>
      <c r="T479" s="380"/>
      <c r="U479" s="380"/>
      <c r="V479" s="380"/>
      <c r="W479" s="403"/>
      <c r="X479" s="380"/>
      <c r="Y479" s="380"/>
      <c r="Z479" s="380"/>
      <c r="AA479" s="380"/>
      <c r="AB479" s="380"/>
      <c r="AC479" s="404"/>
      <c r="AD479" s="380"/>
      <c r="AE479" s="380"/>
      <c r="AF479" s="380"/>
      <c r="AG479" s="380"/>
      <c r="AH479" s="380"/>
      <c r="AI479" s="380"/>
      <c r="AJ479" s="380"/>
      <c r="AK479" s="403"/>
      <c r="AL479" s="380"/>
      <c r="AM479" s="380"/>
      <c r="AN479" s="380"/>
      <c r="AO479" s="380"/>
      <c r="AP479" s="380"/>
      <c r="AQ479" s="404"/>
      <c r="AR479" s="380"/>
      <c r="AS479" s="380"/>
      <c r="AT479" s="380"/>
      <c r="AU479" s="380"/>
      <c r="AV479" s="380"/>
      <c r="AW479" s="380"/>
      <c r="AX479" s="380"/>
      <c r="AY479" s="403"/>
      <c r="AZ479" s="380"/>
      <c r="BA479" s="380"/>
      <c r="BB479" s="380"/>
      <c r="BC479" s="380"/>
      <c r="BD479" s="380"/>
      <c r="BE479" s="404"/>
      <c r="BF479" s="380"/>
      <c r="BG479" s="380"/>
      <c r="BH479" s="380"/>
      <c r="BI479" s="380"/>
      <c r="BJ479" s="380"/>
      <c r="BK479" s="380"/>
      <c r="BL479" s="380"/>
      <c r="BM479" s="403"/>
      <c r="BS479" s="83"/>
      <c r="CA479" s="405"/>
      <c r="CG479" s="83"/>
      <c r="CO479" s="405"/>
      <c r="CU479" s="83"/>
      <c r="DC479" s="405"/>
      <c r="DI479" s="83"/>
      <c r="DQ479" s="405"/>
      <c r="DW479" s="83"/>
      <c r="EE479" s="405"/>
      <c r="EK479" s="83"/>
      <c r="ES479" s="405"/>
      <c r="EY479" s="83"/>
      <c r="FG479" s="405"/>
      <c r="FM479" s="83"/>
      <c r="FU479" s="405"/>
      <c r="GA479" s="83"/>
      <c r="GI479" s="405"/>
      <c r="GO479" s="83"/>
      <c r="GW479" s="405"/>
      <c r="HC479" s="83"/>
      <c r="HK479" s="405"/>
      <c r="HQ479" s="83"/>
      <c r="HY479" s="405"/>
      <c r="IE479" s="83"/>
      <c r="IM479" s="405"/>
      <c r="IS479" s="83"/>
      <c r="JA479" s="405"/>
      <c r="JG479" s="83"/>
      <c r="JO479" s="405"/>
      <c r="JU479" s="83"/>
      <c r="KC479" s="405"/>
      <c r="KI479" s="83"/>
      <c r="KQ479" s="405"/>
      <c r="KW479" s="83"/>
      <c r="LE479" s="405"/>
      <c r="LK479" s="83"/>
      <c r="LS479" s="405"/>
      <c r="LY479" s="83"/>
      <c r="MG479" s="405"/>
      <c r="MM479" s="83"/>
      <c r="MU479" s="405"/>
      <c r="NA479" s="83"/>
    </row>
    <row r="480">
      <c r="A480" s="380"/>
      <c r="B480" s="380"/>
      <c r="C480" s="380"/>
      <c r="D480" s="380"/>
      <c r="E480" s="380"/>
      <c r="F480" s="380"/>
      <c r="G480" s="380"/>
      <c r="H480" s="380"/>
      <c r="I480" s="403"/>
      <c r="J480" s="380"/>
      <c r="K480" s="380"/>
      <c r="L480" s="380"/>
      <c r="M480" s="380"/>
      <c r="N480" s="380"/>
      <c r="O480" s="404"/>
      <c r="P480" s="380"/>
      <c r="Q480" s="380"/>
      <c r="R480" s="380"/>
      <c r="S480" s="380"/>
      <c r="T480" s="380"/>
      <c r="U480" s="380"/>
      <c r="V480" s="380"/>
      <c r="W480" s="403"/>
      <c r="X480" s="380"/>
      <c r="Y480" s="380"/>
      <c r="Z480" s="380"/>
      <c r="AA480" s="380"/>
      <c r="AB480" s="380"/>
      <c r="AC480" s="404"/>
      <c r="AD480" s="380"/>
      <c r="AE480" s="380"/>
      <c r="AF480" s="380"/>
      <c r="AG480" s="380"/>
      <c r="AH480" s="380"/>
      <c r="AI480" s="380"/>
      <c r="AJ480" s="380"/>
      <c r="AK480" s="403"/>
      <c r="AL480" s="380"/>
      <c r="AM480" s="380"/>
      <c r="AN480" s="380"/>
      <c r="AO480" s="380"/>
      <c r="AP480" s="380"/>
      <c r="AQ480" s="404"/>
      <c r="AR480" s="380"/>
      <c r="AS480" s="380"/>
      <c r="AT480" s="380"/>
      <c r="AU480" s="380"/>
      <c r="AV480" s="380"/>
      <c r="AW480" s="380"/>
      <c r="AX480" s="380"/>
      <c r="AY480" s="403"/>
      <c r="AZ480" s="380"/>
      <c r="BA480" s="380"/>
      <c r="BB480" s="380"/>
      <c r="BC480" s="380"/>
      <c r="BD480" s="380"/>
      <c r="BE480" s="404"/>
      <c r="BF480" s="380"/>
      <c r="BG480" s="380"/>
      <c r="BH480" s="380"/>
      <c r="BI480" s="380"/>
      <c r="BJ480" s="380"/>
      <c r="BK480" s="380"/>
      <c r="BL480" s="380"/>
      <c r="BM480" s="403"/>
      <c r="BS480" s="83"/>
      <c r="CA480" s="405"/>
      <c r="CG480" s="83"/>
      <c r="CO480" s="405"/>
      <c r="CU480" s="83"/>
      <c r="DC480" s="405"/>
      <c r="DI480" s="83"/>
      <c r="DQ480" s="405"/>
      <c r="DW480" s="83"/>
      <c r="EE480" s="405"/>
      <c r="EK480" s="83"/>
      <c r="ES480" s="405"/>
      <c r="EY480" s="83"/>
      <c r="FG480" s="405"/>
      <c r="FM480" s="83"/>
      <c r="FU480" s="405"/>
      <c r="GA480" s="83"/>
      <c r="GI480" s="405"/>
      <c r="GO480" s="83"/>
      <c r="GW480" s="405"/>
      <c r="HC480" s="83"/>
      <c r="HK480" s="405"/>
      <c r="HQ480" s="83"/>
      <c r="HY480" s="405"/>
      <c r="IE480" s="83"/>
      <c r="IM480" s="405"/>
      <c r="IS480" s="83"/>
      <c r="JA480" s="405"/>
      <c r="JG480" s="83"/>
      <c r="JO480" s="405"/>
      <c r="JU480" s="83"/>
      <c r="KC480" s="405"/>
      <c r="KI480" s="83"/>
      <c r="KQ480" s="405"/>
      <c r="KW480" s="83"/>
      <c r="LE480" s="405"/>
      <c r="LK480" s="83"/>
      <c r="LS480" s="405"/>
      <c r="LY480" s="83"/>
      <c r="MG480" s="405"/>
      <c r="MM480" s="83"/>
      <c r="MU480" s="405"/>
      <c r="NA480" s="83"/>
    </row>
    <row r="481">
      <c r="A481" s="380"/>
      <c r="B481" s="380"/>
      <c r="C481" s="380"/>
      <c r="D481" s="380"/>
      <c r="E481" s="380"/>
      <c r="F481" s="380"/>
      <c r="G481" s="380"/>
      <c r="H481" s="380"/>
      <c r="I481" s="403"/>
      <c r="J481" s="380"/>
      <c r="K481" s="380"/>
      <c r="L481" s="380"/>
      <c r="M481" s="380"/>
      <c r="N481" s="380"/>
      <c r="O481" s="404"/>
      <c r="P481" s="380"/>
      <c r="Q481" s="380"/>
      <c r="R481" s="380"/>
      <c r="S481" s="380"/>
      <c r="T481" s="380"/>
      <c r="U481" s="380"/>
      <c r="V481" s="380"/>
      <c r="W481" s="403"/>
      <c r="X481" s="380"/>
      <c r="Y481" s="380"/>
      <c r="Z481" s="380"/>
      <c r="AA481" s="380"/>
      <c r="AB481" s="380"/>
      <c r="AC481" s="404"/>
      <c r="AD481" s="380"/>
      <c r="AE481" s="380"/>
      <c r="AF481" s="380"/>
      <c r="AG481" s="380"/>
      <c r="AH481" s="380"/>
      <c r="AI481" s="380"/>
      <c r="AJ481" s="380"/>
      <c r="AK481" s="403"/>
      <c r="AL481" s="380"/>
      <c r="AM481" s="380"/>
      <c r="AN481" s="380"/>
      <c r="AO481" s="380"/>
      <c r="AP481" s="380"/>
      <c r="AQ481" s="404"/>
      <c r="AR481" s="380"/>
      <c r="AS481" s="380"/>
      <c r="AT481" s="380"/>
      <c r="AU481" s="380"/>
      <c r="AV481" s="380"/>
      <c r="AW481" s="380"/>
      <c r="AX481" s="380"/>
      <c r="AY481" s="403"/>
      <c r="AZ481" s="380"/>
      <c r="BA481" s="380"/>
      <c r="BB481" s="380"/>
      <c r="BC481" s="380"/>
      <c r="BD481" s="380"/>
      <c r="BE481" s="404"/>
      <c r="BF481" s="380"/>
      <c r="BG481" s="380"/>
      <c r="BH481" s="380"/>
      <c r="BI481" s="380"/>
      <c r="BJ481" s="380"/>
      <c r="BK481" s="380"/>
      <c r="BL481" s="380"/>
      <c r="BM481" s="403"/>
      <c r="BS481" s="83"/>
      <c r="CA481" s="405"/>
      <c r="CG481" s="83"/>
      <c r="CO481" s="405"/>
      <c r="CU481" s="83"/>
      <c r="DC481" s="405"/>
      <c r="DI481" s="83"/>
      <c r="DQ481" s="405"/>
      <c r="DW481" s="83"/>
      <c r="EE481" s="405"/>
      <c r="EK481" s="83"/>
      <c r="ES481" s="405"/>
      <c r="EY481" s="83"/>
      <c r="FG481" s="405"/>
      <c r="FM481" s="83"/>
      <c r="FU481" s="405"/>
      <c r="GA481" s="83"/>
      <c r="GI481" s="405"/>
      <c r="GO481" s="83"/>
      <c r="GW481" s="405"/>
      <c r="HC481" s="83"/>
      <c r="HK481" s="405"/>
      <c r="HQ481" s="83"/>
      <c r="HY481" s="405"/>
      <c r="IE481" s="83"/>
      <c r="IM481" s="405"/>
      <c r="IS481" s="83"/>
      <c r="JA481" s="405"/>
      <c r="JG481" s="83"/>
      <c r="JO481" s="405"/>
      <c r="JU481" s="83"/>
      <c r="KC481" s="405"/>
      <c r="KI481" s="83"/>
      <c r="KQ481" s="405"/>
      <c r="KW481" s="83"/>
      <c r="LE481" s="405"/>
      <c r="LK481" s="83"/>
      <c r="LS481" s="405"/>
      <c r="LY481" s="83"/>
      <c r="MG481" s="405"/>
      <c r="MM481" s="83"/>
      <c r="MU481" s="405"/>
      <c r="NA481" s="83"/>
    </row>
    <row r="482">
      <c r="A482" s="380"/>
      <c r="B482" s="380"/>
      <c r="C482" s="380"/>
      <c r="D482" s="380"/>
      <c r="E482" s="380"/>
      <c r="F482" s="380"/>
      <c r="G482" s="380"/>
      <c r="H482" s="380"/>
      <c r="I482" s="403"/>
      <c r="J482" s="380"/>
      <c r="K482" s="380"/>
      <c r="L482" s="380"/>
      <c r="M482" s="380"/>
      <c r="N482" s="380"/>
      <c r="O482" s="404"/>
      <c r="P482" s="380"/>
      <c r="Q482" s="380"/>
      <c r="R482" s="380"/>
      <c r="S482" s="380"/>
      <c r="T482" s="380"/>
      <c r="U482" s="380"/>
      <c r="V482" s="380"/>
      <c r="W482" s="403"/>
      <c r="X482" s="380"/>
      <c r="Y482" s="380"/>
      <c r="Z482" s="380"/>
      <c r="AA482" s="380"/>
      <c r="AB482" s="380"/>
      <c r="AC482" s="404"/>
      <c r="AD482" s="380"/>
      <c r="AE482" s="380"/>
      <c r="AF482" s="380"/>
      <c r="AG482" s="380"/>
      <c r="AH482" s="380"/>
      <c r="AI482" s="380"/>
      <c r="AJ482" s="380"/>
      <c r="AK482" s="403"/>
      <c r="AL482" s="380"/>
      <c r="AM482" s="380"/>
      <c r="AN482" s="380"/>
      <c r="AO482" s="380"/>
      <c r="AP482" s="380"/>
      <c r="AQ482" s="404"/>
      <c r="AR482" s="380"/>
      <c r="AS482" s="380"/>
      <c r="AT482" s="380"/>
      <c r="AU482" s="380"/>
      <c r="AV482" s="380"/>
      <c r="AW482" s="380"/>
      <c r="AX482" s="380"/>
      <c r="AY482" s="403"/>
      <c r="AZ482" s="380"/>
      <c r="BA482" s="380"/>
      <c r="BB482" s="380"/>
      <c r="BC482" s="380"/>
      <c r="BD482" s="380"/>
      <c r="BE482" s="404"/>
      <c r="BF482" s="380"/>
      <c r="BG482" s="380"/>
      <c r="BH482" s="380"/>
      <c r="BI482" s="380"/>
      <c r="BJ482" s="380"/>
      <c r="BK482" s="380"/>
      <c r="BL482" s="380"/>
      <c r="BM482" s="403"/>
      <c r="BS482" s="83"/>
      <c r="CA482" s="405"/>
      <c r="CG482" s="83"/>
      <c r="CO482" s="405"/>
      <c r="CU482" s="83"/>
      <c r="DC482" s="405"/>
      <c r="DI482" s="83"/>
      <c r="DQ482" s="405"/>
      <c r="DW482" s="83"/>
      <c r="EE482" s="405"/>
      <c r="EK482" s="83"/>
      <c r="ES482" s="405"/>
      <c r="EY482" s="83"/>
      <c r="FG482" s="405"/>
      <c r="FM482" s="83"/>
      <c r="FU482" s="405"/>
      <c r="GA482" s="83"/>
      <c r="GI482" s="405"/>
      <c r="GO482" s="83"/>
      <c r="GW482" s="405"/>
      <c r="HC482" s="83"/>
      <c r="HK482" s="405"/>
      <c r="HQ482" s="83"/>
      <c r="HY482" s="405"/>
      <c r="IE482" s="83"/>
      <c r="IM482" s="405"/>
      <c r="IS482" s="83"/>
      <c r="JA482" s="405"/>
      <c r="JG482" s="83"/>
      <c r="JO482" s="405"/>
      <c r="JU482" s="83"/>
      <c r="KC482" s="405"/>
      <c r="KI482" s="83"/>
      <c r="KQ482" s="405"/>
      <c r="KW482" s="83"/>
      <c r="LE482" s="405"/>
      <c r="LK482" s="83"/>
      <c r="LS482" s="405"/>
      <c r="LY482" s="83"/>
      <c r="MG482" s="405"/>
      <c r="MM482" s="83"/>
      <c r="MU482" s="405"/>
      <c r="NA482" s="83"/>
    </row>
    <row r="483">
      <c r="A483" s="380"/>
      <c r="B483" s="380"/>
      <c r="C483" s="380"/>
      <c r="D483" s="380"/>
      <c r="E483" s="380"/>
      <c r="F483" s="380"/>
      <c r="G483" s="380"/>
      <c r="H483" s="380"/>
      <c r="I483" s="403"/>
      <c r="J483" s="380"/>
      <c r="K483" s="380"/>
      <c r="L483" s="380"/>
      <c r="M483" s="380"/>
      <c r="N483" s="380"/>
      <c r="O483" s="404"/>
      <c r="P483" s="380"/>
      <c r="Q483" s="380"/>
      <c r="R483" s="380"/>
      <c r="S483" s="380"/>
      <c r="T483" s="380"/>
      <c r="U483" s="380"/>
      <c r="V483" s="380"/>
      <c r="W483" s="403"/>
      <c r="X483" s="380"/>
      <c r="Y483" s="380"/>
      <c r="Z483" s="380"/>
      <c r="AA483" s="380"/>
      <c r="AB483" s="380"/>
      <c r="AC483" s="404"/>
      <c r="AD483" s="380"/>
      <c r="AE483" s="380"/>
      <c r="AF483" s="380"/>
      <c r="AG483" s="380"/>
      <c r="AH483" s="380"/>
      <c r="AI483" s="380"/>
      <c r="AJ483" s="380"/>
      <c r="AK483" s="403"/>
      <c r="AL483" s="380"/>
      <c r="AM483" s="380"/>
      <c r="AN483" s="380"/>
      <c r="AO483" s="380"/>
      <c r="AP483" s="380"/>
      <c r="AQ483" s="404"/>
      <c r="AR483" s="380"/>
      <c r="AS483" s="380"/>
      <c r="AT483" s="380"/>
      <c r="AU483" s="380"/>
      <c r="AV483" s="380"/>
      <c r="AW483" s="380"/>
      <c r="AX483" s="380"/>
      <c r="AY483" s="403"/>
      <c r="AZ483" s="380"/>
      <c r="BA483" s="380"/>
      <c r="BB483" s="380"/>
      <c r="BC483" s="380"/>
      <c r="BD483" s="380"/>
      <c r="BE483" s="404"/>
      <c r="BF483" s="380"/>
      <c r="BG483" s="380"/>
      <c r="BH483" s="380"/>
      <c r="BI483" s="380"/>
      <c r="BJ483" s="380"/>
      <c r="BK483" s="380"/>
      <c r="BL483" s="380"/>
      <c r="BM483" s="403"/>
      <c r="BS483" s="83"/>
      <c r="CA483" s="405"/>
      <c r="CG483" s="83"/>
      <c r="CO483" s="405"/>
      <c r="CU483" s="83"/>
      <c r="DC483" s="405"/>
      <c r="DI483" s="83"/>
      <c r="DQ483" s="405"/>
      <c r="DW483" s="83"/>
      <c r="EE483" s="405"/>
      <c r="EK483" s="83"/>
      <c r="ES483" s="405"/>
      <c r="EY483" s="83"/>
      <c r="FG483" s="405"/>
      <c r="FM483" s="83"/>
      <c r="FU483" s="405"/>
      <c r="GA483" s="83"/>
      <c r="GI483" s="405"/>
      <c r="GO483" s="83"/>
      <c r="GW483" s="405"/>
      <c r="HC483" s="83"/>
      <c r="HK483" s="405"/>
      <c r="HQ483" s="83"/>
      <c r="HY483" s="405"/>
      <c r="IE483" s="83"/>
      <c r="IM483" s="405"/>
      <c r="IS483" s="83"/>
      <c r="JA483" s="405"/>
      <c r="JG483" s="83"/>
      <c r="JO483" s="405"/>
      <c r="JU483" s="83"/>
      <c r="KC483" s="405"/>
      <c r="KI483" s="83"/>
      <c r="KQ483" s="405"/>
      <c r="KW483" s="83"/>
      <c r="LE483" s="405"/>
      <c r="LK483" s="83"/>
      <c r="LS483" s="405"/>
      <c r="LY483" s="83"/>
      <c r="MG483" s="405"/>
      <c r="MM483" s="83"/>
      <c r="MU483" s="405"/>
      <c r="NA483" s="83"/>
    </row>
    <row r="484">
      <c r="A484" s="380"/>
      <c r="B484" s="380"/>
      <c r="C484" s="380"/>
      <c r="D484" s="380"/>
      <c r="E484" s="380"/>
      <c r="F484" s="380"/>
      <c r="G484" s="380"/>
      <c r="H484" s="380"/>
      <c r="I484" s="403"/>
      <c r="J484" s="380"/>
      <c r="K484" s="380"/>
      <c r="L484" s="380"/>
      <c r="M484" s="380"/>
      <c r="N484" s="380"/>
      <c r="O484" s="404"/>
      <c r="P484" s="380"/>
      <c r="Q484" s="380"/>
      <c r="R484" s="380"/>
      <c r="S484" s="380"/>
      <c r="T484" s="380"/>
      <c r="U484" s="380"/>
      <c r="V484" s="380"/>
      <c r="W484" s="403"/>
      <c r="X484" s="380"/>
      <c r="Y484" s="380"/>
      <c r="Z484" s="380"/>
      <c r="AA484" s="380"/>
      <c r="AB484" s="380"/>
      <c r="AC484" s="404"/>
      <c r="AD484" s="380"/>
      <c r="AE484" s="380"/>
      <c r="AF484" s="380"/>
      <c r="AG484" s="380"/>
      <c r="AH484" s="380"/>
      <c r="AI484" s="380"/>
      <c r="AJ484" s="380"/>
      <c r="AK484" s="403"/>
      <c r="AL484" s="380"/>
      <c r="AM484" s="380"/>
      <c r="AN484" s="380"/>
      <c r="AO484" s="380"/>
      <c r="AP484" s="380"/>
      <c r="AQ484" s="404"/>
      <c r="AR484" s="380"/>
      <c r="AS484" s="380"/>
      <c r="AT484" s="380"/>
      <c r="AU484" s="380"/>
      <c r="AV484" s="380"/>
      <c r="AW484" s="380"/>
      <c r="AX484" s="380"/>
      <c r="AY484" s="403"/>
      <c r="AZ484" s="380"/>
      <c r="BA484" s="380"/>
      <c r="BB484" s="380"/>
      <c r="BC484" s="380"/>
      <c r="BD484" s="380"/>
      <c r="BE484" s="404"/>
      <c r="BF484" s="380"/>
      <c r="BG484" s="380"/>
      <c r="BH484" s="380"/>
      <c r="BI484" s="380"/>
      <c r="BJ484" s="380"/>
      <c r="BK484" s="380"/>
      <c r="BL484" s="380"/>
      <c r="BM484" s="403"/>
      <c r="BS484" s="83"/>
      <c r="CA484" s="405"/>
      <c r="CG484" s="83"/>
      <c r="CO484" s="405"/>
      <c r="CU484" s="83"/>
      <c r="DC484" s="405"/>
      <c r="DI484" s="83"/>
      <c r="DQ484" s="405"/>
      <c r="DW484" s="83"/>
      <c r="EE484" s="405"/>
      <c r="EK484" s="83"/>
      <c r="ES484" s="405"/>
      <c r="EY484" s="83"/>
      <c r="FG484" s="405"/>
      <c r="FM484" s="83"/>
      <c r="FU484" s="405"/>
      <c r="GA484" s="83"/>
      <c r="GI484" s="405"/>
      <c r="GO484" s="83"/>
      <c r="GW484" s="405"/>
      <c r="HC484" s="83"/>
      <c r="HK484" s="405"/>
      <c r="HQ484" s="83"/>
      <c r="HY484" s="405"/>
      <c r="IE484" s="83"/>
      <c r="IM484" s="405"/>
      <c r="IS484" s="83"/>
      <c r="JA484" s="405"/>
      <c r="JG484" s="83"/>
      <c r="JO484" s="405"/>
      <c r="JU484" s="83"/>
      <c r="KC484" s="405"/>
      <c r="KI484" s="83"/>
      <c r="KQ484" s="405"/>
      <c r="KW484" s="83"/>
      <c r="LE484" s="405"/>
      <c r="LK484" s="83"/>
      <c r="LS484" s="405"/>
      <c r="LY484" s="83"/>
      <c r="MG484" s="405"/>
      <c r="MM484" s="83"/>
      <c r="MU484" s="405"/>
      <c r="NA484" s="83"/>
    </row>
    <row r="485">
      <c r="A485" s="380"/>
      <c r="B485" s="380"/>
      <c r="C485" s="380"/>
      <c r="D485" s="380"/>
      <c r="E485" s="380"/>
      <c r="F485" s="380"/>
      <c r="G485" s="380"/>
      <c r="H485" s="380"/>
      <c r="I485" s="403"/>
      <c r="J485" s="380"/>
      <c r="K485" s="380"/>
      <c r="L485" s="380"/>
      <c r="M485" s="380"/>
      <c r="N485" s="380"/>
      <c r="O485" s="404"/>
      <c r="P485" s="380"/>
      <c r="Q485" s="380"/>
      <c r="R485" s="380"/>
      <c r="S485" s="380"/>
      <c r="T485" s="380"/>
      <c r="U485" s="380"/>
      <c r="V485" s="380"/>
      <c r="W485" s="403"/>
      <c r="X485" s="380"/>
      <c r="Y485" s="380"/>
      <c r="Z485" s="380"/>
      <c r="AA485" s="380"/>
      <c r="AB485" s="380"/>
      <c r="AC485" s="404"/>
      <c r="AD485" s="380"/>
      <c r="AE485" s="380"/>
      <c r="AF485" s="380"/>
      <c r="AG485" s="380"/>
      <c r="AH485" s="380"/>
      <c r="AI485" s="380"/>
      <c r="AJ485" s="380"/>
      <c r="AK485" s="403"/>
      <c r="AL485" s="380"/>
      <c r="AM485" s="380"/>
      <c r="AN485" s="380"/>
      <c r="AO485" s="380"/>
      <c r="AP485" s="380"/>
      <c r="AQ485" s="404"/>
      <c r="AR485" s="380"/>
      <c r="AS485" s="380"/>
      <c r="AT485" s="380"/>
      <c r="AU485" s="380"/>
      <c r="AV485" s="380"/>
      <c r="AW485" s="380"/>
      <c r="AX485" s="380"/>
      <c r="AY485" s="403"/>
      <c r="AZ485" s="380"/>
      <c r="BA485" s="380"/>
      <c r="BB485" s="380"/>
      <c r="BC485" s="380"/>
      <c r="BD485" s="380"/>
      <c r="BE485" s="404"/>
      <c r="BF485" s="380"/>
      <c r="BG485" s="380"/>
      <c r="BH485" s="380"/>
      <c r="BI485" s="380"/>
      <c r="BJ485" s="380"/>
      <c r="BK485" s="380"/>
      <c r="BL485" s="380"/>
      <c r="BM485" s="403"/>
      <c r="BS485" s="83"/>
      <c r="CA485" s="405"/>
      <c r="CG485" s="83"/>
      <c r="CO485" s="405"/>
      <c r="CU485" s="83"/>
      <c r="DC485" s="405"/>
      <c r="DI485" s="83"/>
      <c r="DQ485" s="405"/>
      <c r="DW485" s="83"/>
      <c r="EE485" s="405"/>
      <c r="EK485" s="83"/>
      <c r="ES485" s="405"/>
      <c r="EY485" s="83"/>
      <c r="FG485" s="405"/>
      <c r="FM485" s="83"/>
      <c r="FU485" s="405"/>
      <c r="GA485" s="83"/>
      <c r="GI485" s="405"/>
      <c r="GO485" s="83"/>
      <c r="GW485" s="405"/>
      <c r="HC485" s="83"/>
      <c r="HK485" s="405"/>
      <c r="HQ485" s="83"/>
      <c r="HY485" s="405"/>
      <c r="IE485" s="83"/>
      <c r="IM485" s="405"/>
      <c r="IS485" s="83"/>
      <c r="JA485" s="405"/>
      <c r="JG485" s="83"/>
      <c r="JO485" s="405"/>
      <c r="JU485" s="83"/>
      <c r="KC485" s="405"/>
      <c r="KI485" s="83"/>
      <c r="KQ485" s="405"/>
      <c r="KW485" s="83"/>
      <c r="LE485" s="405"/>
      <c r="LK485" s="83"/>
      <c r="LS485" s="405"/>
      <c r="LY485" s="83"/>
      <c r="MG485" s="405"/>
      <c r="MM485" s="83"/>
      <c r="MU485" s="405"/>
      <c r="NA485" s="83"/>
    </row>
    <row r="486">
      <c r="A486" s="380"/>
      <c r="B486" s="380"/>
      <c r="C486" s="380"/>
      <c r="D486" s="380"/>
      <c r="E486" s="380"/>
      <c r="F486" s="380"/>
      <c r="G486" s="380"/>
      <c r="H486" s="380"/>
      <c r="I486" s="403"/>
      <c r="J486" s="380"/>
      <c r="K486" s="380"/>
      <c r="L486" s="380"/>
      <c r="M486" s="380"/>
      <c r="N486" s="380"/>
      <c r="O486" s="404"/>
      <c r="P486" s="380"/>
      <c r="Q486" s="380"/>
      <c r="R486" s="380"/>
      <c r="S486" s="380"/>
      <c r="T486" s="380"/>
      <c r="U486" s="380"/>
      <c r="V486" s="380"/>
      <c r="W486" s="403"/>
      <c r="X486" s="380"/>
      <c r="Y486" s="380"/>
      <c r="Z486" s="380"/>
      <c r="AA486" s="380"/>
      <c r="AB486" s="380"/>
      <c r="AC486" s="404"/>
      <c r="AD486" s="380"/>
      <c r="AE486" s="380"/>
      <c r="AF486" s="380"/>
      <c r="AG486" s="380"/>
      <c r="AH486" s="380"/>
      <c r="AI486" s="380"/>
      <c r="AJ486" s="380"/>
      <c r="AK486" s="403"/>
      <c r="AL486" s="380"/>
      <c r="AM486" s="380"/>
      <c r="AN486" s="380"/>
      <c r="AO486" s="380"/>
      <c r="AP486" s="380"/>
      <c r="AQ486" s="404"/>
      <c r="AR486" s="380"/>
      <c r="AS486" s="380"/>
      <c r="AT486" s="380"/>
      <c r="AU486" s="380"/>
      <c r="AV486" s="380"/>
      <c r="AW486" s="380"/>
      <c r="AX486" s="380"/>
      <c r="AY486" s="403"/>
      <c r="AZ486" s="380"/>
      <c r="BA486" s="380"/>
      <c r="BB486" s="380"/>
      <c r="BC486" s="380"/>
      <c r="BD486" s="380"/>
      <c r="BE486" s="404"/>
      <c r="BF486" s="380"/>
      <c r="BG486" s="380"/>
      <c r="BH486" s="380"/>
      <c r="BI486" s="380"/>
      <c r="BJ486" s="380"/>
      <c r="BK486" s="380"/>
      <c r="BL486" s="380"/>
      <c r="BM486" s="403"/>
      <c r="BS486" s="83"/>
      <c r="CA486" s="405"/>
      <c r="CG486" s="83"/>
      <c r="CO486" s="405"/>
      <c r="CU486" s="83"/>
      <c r="DC486" s="405"/>
      <c r="DI486" s="83"/>
      <c r="DQ486" s="405"/>
      <c r="DW486" s="83"/>
      <c r="EE486" s="405"/>
      <c r="EK486" s="83"/>
      <c r="ES486" s="405"/>
      <c r="EY486" s="83"/>
      <c r="FG486" s="405"/>
      <c r="FM486" s="83"/>
      <c r="FU486" s="405"/>
      <c r="GA486" s="83"/>
      <c r="GI486" s="405"/>
      <c r="GO486" s="83"/>
      <c r="GW486" s="405"/>
      <c r="HC486" s="83"/>
      <c r="HK486" s="405"/>
      <c r="HQ486" s="83"/>
      <c r="HY486" s="405"/>
      <c r="IE486" s="83"/>
      <c r="IM486" s="405"/>
      <c r="IS486" s="83"/>
      <c r="JA486" s="405"/>
      <c r="JG486" s="83"/>
      <c r="JO486" s="405"/>
      <c r="JU486" s="83"/>
      <c r="KC486" s="405"/>
      <c r="KI486" s="83"/>
      <c r="KQ486" s="405"/>
      <c r="KW486" s="83"/>
      <c r="LE486" s="405"/>
      <c r="LK486" s="83"/>
      <c r="LS486" s="405"/>
      <c r="LY486" s="83"/>
      <c r="MG486" s="405"/>
      <c r="MM486" s="83"/>
      <c r="MU486" s="405"/>
      <c r="NA486" s="83"/>
    </row>
    <row r="487">
      <c r="A487" s="380"/>
      <c r="B487" s="380"/>
      <c r="C487" s="380"/>
      <c r="D487" s="380"/>
      <c r="E487" s="380"/>
      <c r="F487" s="380"/>
      <c r="G487" s="380"/>
      <c r="H487" s="380"/>
      <c r="I487" s="403"/>
      <c r="J487" s="380"/>
      <c r="K487" s="380"/>
      <c r="L487" s="380"/>
      <c r="M487" s="380"/>
      <c r="N487" s="380"/>
      <c r="O487" s="404"/>
      <c r="P487" s="380"/>
      <c r="Q487" s="380"/>
      <c r="R487" s="380"/>
      <c r="S487" s="380"/>
      <c r="T487" s="380"/>
      <c r="U487" s="380"/>
      <c r="V487" s="380"/>
      <c r="W487" s="403"/>
      <c r="X487" s="380"/>
      <c r="Y487" s="380"/>
      <c r="Z487" s="380"/>
      <c r="AA487" s="380"/>
      <c r="AB487" s="380"/>
      <c r="AC487" s="404"/>
      <c r="AD487" s="380"/>
      <c r="AE487" s="380"/>
      <c r="AF487" s="380"/>
      <c r="AG487" s="380"/>
      <c r="AH487" s="380"/>
      <c r="AI487" s="380"/>
      <c r="AJ487" s="380"/>
      <c r="AK487" s="403"/>
      <c r="AL487" s="380"/>
      <c r="AM487" s="380"/>
      <c r="AN487" s="380"/>
      <c r="AO487" s="380"/>
      <c r="AP487" s="380"/>
      <c r="AQ487" s="404"/>
      <c r="AR487" s="380"/>
      <c r="AS487" s="380"/>
      <c r="AT487" s="380"/>
      <c r="AU487" s="380"/>
      <c r="AV487" s="380"/>
      <c r="AW487" s="380"/>
      <c r="AX487" s="380"/>
      <c r="AY487" s="403"/>
      <c r="AZ487" s="380"/>
      <c r="BA487" s="380"/>
      <c r="BB487" s="380"/>
      <c r="BC487" s="380"/>
      <c r="BD487" s="380"/>
      <c r="BE487" s="404"/>
      <c r="BF487" s="380"/>
      <c r="BG487" s="380"/>
      <c r="BH487" s="380"/>
      <c r="BI487" s="380"/>
      <c r="BJ487" s="380"/>
      <c r="BK487" s="380"/>
      <c r="BL487" s="380"/>
      <c r="BM487" s="403"/>
      <c r="BS487" s="83"/>
      <c r="CA487" s="405"/>
      <c r="CG487" s="83"/>
      <c r="CO487" s="405"/>
      <c r="CU487" s="83"/>
      <c r="DC487" s="405"/>
      <c r="DI487" s="83"/>
      <c r="DQ487" s="405"/>
      <c r="DW487" s="83"/>
      <c r="EE487" s="405"/>
      <c r="EK487" s="83"/>
      <c r="ES487" s="405"/>
      <c r="EY487" s="83"/>
      <c r="FG487" s="405"/>
      <c r="FM487" s="83"/>
      <c r="FU487" s="405"/>
      <c r="GA487" s="83"/>
      <c r="GI487" s="405"/>
      <c r="GO487" s="83"/>
      <c r="GW487" s="405"/>
      <c r="HC487" s="83"/>
      <c r="HK487" s="405"/>
      <c r="HQ487" s="83"/>
      <c r="HY487" s="405"/>
      <c r="IE487" s="83"/>
      <c r="IM487" s="405"/>
      <c r="IS487" s="83"/>
      <c r="JA487" s="405"/>
      <c r="JG487" s="83"/>
      <c r="JO487" s="405"/>
      <c r="JU487" s="83"/>
      <c r="KC487" s="405"/>
      <c r="KI487" s="83"/>
      <c r="KQ487" s="405"/>
      <c r="KW487" s="83"/>
      <c r="LE487" s="405"/>
      <c r="LK487" s="83"/>
      <c r="LS487" s="405"/>
      <c r="LY487" s="83"/>
      <c r="MG487" s="405"/>
      <c r="MM487" s="83"/>
      <c r="MU487" s="405"/>
      <c r="NA487" s="83"/>
    </row>
    <row r="488">
      <c r="A488" s="380"/>
      <c r="B488" s="380"/>
      <c r="C488" s="380"/>
      <c r="D488" s="380"/>
      <c r="E488" s="380"/>
      <c r="F488" s="380"/>
      <c r="G488" s="380"/>
      <c r="H488" s="380"/>
      <c r="I488" s="403"/>
      <c r="J488" s="380"/>
      <c r="K488" s="380"/>
      <c r="L488" s="380"/>
      <c r="M488" s="380"/>
      <c r="N488" s="380"/>
      <c r="O488" s="404"/>
      <c r="P488" s="380"/>
      <c r="Q488" s="380"/>
      <c r="R488" s="380"/>
      <c r="S488" s="380"/>
      <c r="T488" s="380"/>
      <c r="U488" s="380"/>
      <c r="V488" s="380"/>
      <c r="W488" s="403"/>
      <c r="X488" s="380"/>
      <c r="Y488" s="380"/>
      <c r="Z488" s="380"/>
      <c r="AA488" s="380"/>
      <c r="AB488" s="380"/>
      <c r="AC488" s="404"/>
      <c r="AD488" s="380"/>
      <c r="AE488" s="380"/>
      <c r="AF488" s="380"/>
      <c r="AG488" s="380"/>
      <c r="AH488" s="380"/>
      <c r="AI488" s="380"/>
      <c r="AJ488" s="380"/>
      <c r="AK488" s="403"/>
      <c r="AL488" s="380"/>
      <c r="AM488" s="380"/>
      <c r="AN488" s="380"/>
      <c r="AO488" s="380"/>
      <c r="AP488" s="380"/>
      <c r="AQ488" s="404"/>
      <c r="AR488" s="380"/>
      <c r="AS488" s="380"/>
      <c r="AT488" s="380"/>
      <c r="AU488" s="380"/>
      <c r="AV488" s="380"/>
      <c r="AW488" s="380"/>
      <c r="AX488" s="380"/>
      <c r="AY488" s="403"/>
      <c r="AZ488" s="380"/>
      <c r="BA488" s="380"/>
      <c r="BB488" s="380"/>
      <c r="BC488" s="380"/>
      <c r="BD488" s="380"/>
      <c r="BE488" s="404"/>
      <c r="BF488" s="380"/>
      <c r="BG488" s="380"/>
      <c r="BH488" s="380"/>
      <c r="BI488" s="380"/>
      <c r="BJ488" s="380"/>
      <c r="BK488" s="380"/>
      <c r="BL488" s="380"/>
      <c r="BM488" s="403"/>
      <c r="BS488" s="83"/>
      <c r="CA488" s="405"/>
      <c r="CG488" s="83"/>
      <c r="CO488" s="405"/>
      <c r="CU488" s="83"/>
      <c r="DC488" s="405"/>
      <c r="DI488" s="83"/>
      <c r="DQ488" s="405"/>
      <c r="DW488" s="83"/>
      <c r="EE488" s="405"/>
      <c r="EK488" s="83"/>
      <c r="ES488" s="405"/>
      <c r="EY488" s="83"/>
      <c r="FG488" s="405"/>
      <c r="FM488" s="83"/>
      <c r="FU488" s="405"/>
      <c r="GA488" s="83"/>
      <c r="GI488" s="405"/>
      <c r="GO488" s="83"/>
      <c r="GW488" s="405"/>
      <c r="HC488" s="83"/>
      <c r="HK488" s="405"/>
      <c r="HQ488" s="83"/>
      <c r="HY488" s="405"/>
      <c r="IE488" s="83"/>
      <c r="IM488" s="405"/>
      <c r="IS488" s="83"/>
      <c r="JA488" s="405"/>
      <c r="JG488" s="83"/>
      <c r="JO488" s="405"/>
      <c r="JU488" s="83"/>
      <c r="KC488" s="405"/>
      <c r="KI488" s="83"/>
      <c r="KQ488" s="405"/>
      <c r="KW488" s="83"/>
      <c r="LE488" s="405"/>
      <c r="LK488" s="83"/>
      <c r="LS488" s="405"/>
      <c r="LY488" s="83"/>
      <c r="MG488" s="405"/>
      <c r="MM488" s="83"/>
      <c r="MU488" s="405"/>
      <c r="NA488" s="83"/>
    </row>
    <row r="489">
      <c r="A489" s="380"/>
      <c r="B489" s="380"/>
      <c r="C489" s="380"/>
      <c r="D489" s="380"/>
      <c r="E489" s="380"/>
      <c r="F489" s="380"/>
      <c r="G489" s="380"/>
      <c r="H489" s="380"/>
      <c r="I489" s="403"/>
      <c r="J489" s="380"/>
      <c r="K489" s="380"/>
      <c r="L489" s="380"/>
      <c r="M489" s="380"/>
      <c r="N489" s="380"/>
      <c r="O489" s="404"/>
      <c r="P489" s="380"/>
      <c r="Q489" s="380"/>
      <c r="R489" s="380"/>
      <c r="S489" s="380"/>
      <c r="T489" s="380"/>
      <c r="U489" s="380"/>
      <c r="V489" s="380"/>
      <c r="W489" s="403"/>
      <c r="X489" s="380"/>
      <c r="Y489" s="380"/>
      <c r="Z489" s="380"/>
      <c r="AA489" s="380"/>
      <c r="AB489" s="380"/>
      <c r="AC489" s="404"/>
      <c r="AD489" s="380"/>
      <c r="AE489" s="380"/>
      <c r="AF489" s="380"/>
      <c r="AG489" s="380"/>
      <c r="AH489" s="380"/>
      <c r="AI489" s="380"/>
      <c r="AJ489" s="380"/>
      <c r="AK489" s="403"/>
      <c r="AL489" s="380"/>
      <c r="AM489" s="380"/>
      <c r="AN489" s="380"/>
      <c r="AO489" s="380"/>
      <c r="AP489" s="380"/>
      <c r="AQ489" s="404"/>
      <c r="AR489" s="380"/>
      <c r="AS489" s="380"/>
      <c r="AT489" s="380"/>
      <c r="AU489" s="380"/>
      <c r="AV489" s="380"/>
      <c r="AW489" s="380"/>
      <c r="AX489" s="380"/>
      <c r="AY489" s="403"/>
      <c r="AZ489" s="380"/>
      <c r="BA489" s="380"/>
      <c r="BB489" s="380"/>
      <c r="BC489" s="380"/>
      <c r="BD489" s="380"/>
      <c r="BE489" s="404"/>
      <c r="BF489" s="380"/>
      <c r="BG489" s="380"/>
      <c r="BH489" s="380"/>
      <c r="BI489" s="380"/>
      <c r="BJ489" s="380"/>
      <c r="BK489" s="380"/>
      <c r="BL489" s="380"/>
      <c r="BM489" s="403"/>
      <c r="BS489" s="83"/>
      <c r="CA489" s="405"/>
      <c r="CG489" s="83"/>
      <c r="CO489" s="405"/>
      <c r="CU489" s="83"/>
      <c r="DC489" s="405"/>
      <c r="DI489" s="83"/>
      <c r="DQ489" s="405"/>
      <c r="DW489" s="83"/>
      <c r="EE489" s="405"/>
      <c r="EK489" s="83"/>
      <c r="ES489" s="405"/>
      <c r="EY489" s="83"/>
      <c r="FG489" s="405"/>
      <c r="FM489" s="83"/>
      <c r="FU489" s="405"/>
      <c r="GA489" s="83"/>
      <c r="GI489" s="405"/>
      <c r="GO489" s="83"/>
      <c r="GW489" s="405"/>
      <c r="HC489" s="83"/>
      <c r="HK489" s="405"/>
      <c r="HQ489" s="83"/>
      <c r="HY489" s="405"/>
      <c r="IE489" s="83"/>
      <c r="IM489" s="405"/>
      <c r="IS489" s="83"/>
      <c r="JA489" s="405"/>
      <c r="JG489" s="83"/>
      <c r="JO489" s="405"/>
      <c r="JU489" s="83"/>
      <c r="KC489" s="405"/>
      <c r="KI489" s="83"/>
      <c r="KQ489" s="405"/>
      <c r="KW489" s="83"/>
      <c r="LE489" s="405"/>
      <c r="LK489" s="83"/>
      <c r="LS489" s="405"/>
      <c r="LY489" s="83"/>
      <c r="MG489" s="405"/>
      <c r="MM489" s="83"/>
      <c r="MU489" s="405"/>
      <c r="NA489" s="83"/>
    </row>
    <row r="490">
      <c r="A490" s="380"/>
      <c r="B490" s="380"/>
      <c r="C490" s="380"/>
      <c r="D490" s="380"/>
      <c r="E490" s="380"/>
      <c r="F490" s="380"/>
      <c r="G490" s="380"/>
      <c r="H490" s="380"/>
      <c r="I490" s="403"/>
      <c r="J490" s="380"/>
      <c r="K490" s="380"/>
      <c r="L490" s="380"/>
      <c r="M490" s="380"/>
      <c r="N490" s="380"/>
      <c r="O490" s="404"/>
      <c r="P490" s="380"/>
      <c r="Q490" s="380"/>
      <c r="R490" s="380"/>
      <c r="S490" s="380"/>
      <c r="T490" s="380"/>
      <c r="U490" s="380"/>
      <c r="V490" s="380"/>
      <c r="W490" s="403"/>
      <c r="X490" s="380"/>
      <c r="Y490" s="380"/>
      <c r="Z490" s="380"/>
      <c r="AA490" s="380"/>
      <c r="AB490" s="380"/>
      <c r="AC490" s="404"/>
      <c r="AD490" s="380"/>
      <c r="AE490" s="380"/>
      <c r="AF490" s="380"/>
      <c r="AG490" s="380"/>
      <c r="AH490" s="380"/>
      <c r="AI490" s="380"/>
      <c r="AJ490" s="380"/>
      <c r="AK490" s="403"/>
      <c r="AL490" s="380"/>
      <c r="AM490" s="380"/>
      <c r="AN490" s="380"/>
      <c r="AO490" s="380"/>
      <c r="AP490" s="380"/>
      <c r="AQ490" s="404"/>
      <c r="AR490" s="380"/>
      <c r="AS490" s="380"/>
      <c r="AT490" s="380"/>
      <c r="AU490" s="380"/>
      <c r="AV490" s="380"/>
      <c r="AW490" s="380"/>
      <c r="AX490" s="380"/>
      <c r="AY490" s="403"/>
      <c r="AZ490" s="380"/>
      <c r="BA490" s="380"/>
      <c r="BB490" s="380"/>
      <c r="BC490" s="380"/>
      <c r="BD490" s="380"/>
      <c r="BE490" s="404"/>
      <c r="BF490" s="380"/>
      <c r="BG490" s="380"/>
      <c r="BH490" s="380"/>
      <c r="BI490" s="380"/>
      <c r="BJ490" s="380"/>
      <c r="BK490" s="380"/>
      <c r="BL490" s="380"/>
      <c r="BM490" s="403"/>
      <c r="BS490" s="83"/>
      <c r="CA490" s="405"/>
      <c r="CG490" s="83"/>
      <c r="CO490" s="405"/>
      <c r="CU490" s="83"/>
      <c r="DC490" s="405"/>
      <c r="DI490" s="83"/>
      <c r="DQ490" s="405"/>
      <c r="DW490" s="83"/>
      <c r="EE490" s="405"/>
      <c r="EK490" s="83"/>
      <c r="ES490" s="405"/>
      <c r="EY490" s="83"/>
      <c r="FG490" s="405"/>
      <c r="FM490" s="83"/>
      <c r="FU490" s="405"/>
      <c r="GA490" s="83"/>
      <c r="GI490" s="405"/>
      <c r="GO490" s="83"/>
      <c r="GW490" s="405"/>
      <c r="HC490" s="83"/>
      <c r="HK490" s="405"/>
      <c r="HQ490" s="83"/>
      <c r="HY490" s="405"/>
      <c r="IE490" s="83"/>
      <c r="IM490" s="405"/>
      <c r="IS490" s="83"/>
      <c r="JA490" s="405"/>
      <c r="JG490" s="83"/>
      <c r="JO490" s="405"/>
      <c r="JU490" s="83"/>
      <c r="KC490" s="405"/>
      <c r="KI490" s="83"/>
      <c r="KQ490" s="405"/>
      <c r="KW490" s="83"/>
      <c r="LE490" s="405"/>
      <c r="LK490" s="83"/>
      <c r="LS490" s="405"/>
      <c r="LY490" s="83"/>
      <c r="MG490" s="405"/>
      <c r="MM490" s="83"/>
      <c r="MU490" s="405"/>
      <c r="NA490" s="83"/>
    </row>
    <row r="491">
      <c r="A491" s="380"/>
      <c r="B491" s="380"/>
      <c r="C491" s="380"/>
      <c r="D491" s="380"/>
      <c r="E491" s="380"/>
      <c r="F491" s="380"/>
      <c r="G491" s="380"/>
      <c r="H491" s="380"/>
      <c r="I491" s="403"/>
      <c r="J491" s="380"/>
      <c r="K491" s="380"/>
      <c r="L491" s="380"/>
      <c r="M491" s="380"/>
      <c r="N491" s="380"/>
      <c r="O491" s="404"/>
      <c r="P491" s="380"/>
      <c r="Q491" s="380"/>
      <c r="R491" s="380"/>
      <c r="S491" s="380"/>
      <c r="T491" s="380"/>
      <c r="U491" s="380"/>
      <c r="V491" s="380"/>
      <c r="W491" s="403"/>
      <c r="X491" s="380"/>
      <c r="Y491" s="380"/>
      <c r="Z491" s="380"/>
      <c r="AA491" s="380"/>
      <c r="AB491" s="380"/>
      <c r="AC491" s="404"/>
      <c r="AD491" s="380"/>
      <c r="AE491" s="380"/>
      <c r="AF491" s="380"/>
      <c r="AG491" s="380"/>
      <c r="AH491" s="380"/>
      <c r="AI491" s="380"/>
      <c r="AJ491" s="380"/>
      <c r="AK491" s="403"/>
      <c r="AL491" s="380"/>
      <c r="AM491" s="380"/>
      <c r="AN491" s="380"/>
      <c r="AO491" s="380"/>
      <c r="AP491" s="380"/>
      <c r="AQ491" s="404"/>
      <c r="AR491" s="380"/>
      <c r="AS491" s="380"/>
      <c r="AT491" s="380"/>
      <c r="AU491" s="380"/>
      <c r="AV491" s="380"/>
      <c r="AW491" s="380"/>
      <c r="AX491" s="380"/>
      <c r="AY491" s="403"/>
      <c r="AZ491" s="380"/>
      <c r="BA491" s="380"/>
      <c r="BB491" s="380"/>
      <c r="BC491" s="380"/>
      <c r="BD491" s="380"/>
      <c r="BE491" s="404"/>
      <c r="BF491" s="380"/>
      <c r="BG491" s="380"/>
      <c r="BH491" s="380"/>
      <c r="BI491" s="380"/>
      <c r="BJ491" s="380"/>
      <c r="BK491" s="380"/>
      <c r="BL491" s="380"/>
      <c r="BM491" s="403"/>
      <c r="BS491" s="83"/>
      <c r="CA491" s="405"/>
      <c r="CG491" s="83"/>
      <c r="CO491" s="405"/>
      <c r="CU491" s="83"/>
      <c r="DC491" s="405"/>
      <c r="DI491" s="83"/>
      <c r="DQ491" s="405"/>
      <c r="DW491" s="83"/>
      <c r="EE491" s="405"/>
      <c r="EK491" s="83"/>
      <c r="ES491" s="405"/>
      <c r="EY491" s="83"/>
      <c r="FG491" s="405"/>
      <c r="FM491" s="83"/>
      <c r="FU491" s="405"/>
      <c r="GA491" s="83"/>
      <c r="GI491" s="405"/>
      <c r="GO491" s="83"/>
      <c r="GW491" s="405"/>
      <c r="HC491" s="83"/>
      <c r="HK491" s="405"/>
      <c r="HQ491" s="83"/>
      <c r="HY491" s="405"/>
      <c r="IE491" s="83"/>
      <c r="IM491" s="405"/>
      <c r="IS491" s="83"/>
      <c r="JA491" s="405"/>
      <c r="JG491" s="83"/>
      <c r="JO491" s="405"/>
      <c r="JU491" s="83"/>
      <c r="KC491" s="405"/>
      <c r="KI491" s="83"/>
      <c r="KQ491" s="405"/>
      <c r="KW491" s="83"/>
      <c r="LE491" s="405"/>
      <c r="LK491" s="83"/>
      <c r="LS491" s="405"/>
      <c r="LY491" s="83"/>
      <c r="MG491" s="405"/>
      <c r="MM491" s="83"/>
      <c r="MU491" s="405"/>
      <c r="NA491" s="83"/>
    </row>
    <row r="492">
      <c r="A492" s="380"/>
      <c r="B492" s="380"/>
      <c r="C492" s="380"/>
      <c r="D492" s="380"/>
      <c r="E492" s="380"/>
      <c r="F492" s="380"/>
      <c r="G492" s="380"/>
      <c r="H492" s="380"/>
      <c r="I492" s="403"/>
      <c r="J492" s="380"/>
      <c r="K492" s="380"/>
      <c r="L492" s="380"/>
      <c r="M492" s="380"/>
      <c r="N492" s="380"/>
      <c r="O492" s="404"/>
      <c r="P492" s="380"/>
      <c r="Q492" s="380"/>
      <c r="R492" s="380"/>
      <c r="S492" s="380"/>
      <c r="T492" s="380"/>
      <c r="U492" s="380"/>
      <c r="V492" s="380"/>
      <c r="W492" s="403"/>
      <c r="X492" s="380"/>
      <c r="Y492" s="380"/>
      <c r="Z492" s="380"/>
      <c r="AA492" s="380"/>
      <c r="AB492" s="380"/>
      <c r="AC492" s="404"/>
      <c r="AD492" s="380"/>
      <c r="AE492" s="380"/>
      <c r="AF492" s="380"/>
      <c r="AG492" s="380"/>
      <c r="AH492" s="380"/>
      <c r="AI492" s="380"/>
      <c r="AJ492" s="380"/>
      <c r="AK492" s="403"/>
      <c r="AL492" s="380"/>
      <c r="AM492" s="380"/>
      <c r="AN492" s="380"/>
      <c r="AO492" s="380"/>
      <c r="AP492" s="380"/>
      <c r="AQ492" s="404"/>
      <c r="AR492" s="380"/>
      <c r="AS492" s="380"/>
      <c r="AT492" s="380"/>
      <c r="AU492" s="380"/>
      <c r="AV492" s="380"/>
      <c r="AW492" s="380"/>
      <c r="AX492" s="380"/>
      <c r="AY492" s="403"/>
      <c r="AZ492" s="380"/>
      <c r="BA492" s="380"/>
      <c r="BB492" s="380"/>
      <c r="BC492" s="380"/>
      <c r="BD492" s="380"/>
      <c r="BE492" s="404"/>
      <c r="BF492" s="380"/>
      <c r="BG492" s="380"/>
      <c r="BH492" s="380"/>
      <c r="BI492" s="380"/>
      <c r="BJ492" s="380"/>
      <c r="BK492" s="380"/>
      <c r="BL492" s="380"/>
      <c r="BM492" s="403"/>
      <c r="BS492" s="83"/>
      <c r="CA492" s="405"/>
      <c r="CG492" s="83"/>
      <c r="CO492" s="405"/>
      <c r="CU492" s="83"/>
      <c r="DC492" s="405"/>
      <c r="DI492" s="83"/>
      <c r="DQ492" s="405"/>
      <c r="DW492" s="83"/>
      <c r="EE492" s="405"/>
      <c r="EK492" s="83"/>
      <c r="ES492" s="405"/>
      <c r="EY492" s="83"/>
      <c r="FG492" s="405"/>
      <c r="FM492" s="83"/>
      <c r="FU492" s="405"/>
      <c r="GA492" s="83"/>
      <c r="GI492" s="405"/>
      <c r="GO492" s="83"/>
      <c r="GW492" s="405"/>
      <c r="HC492" s="83"/>
      <c r="HK492" s="405"/>
      <c r="HQ492" s="83"/>
      <c r="HY492" s="405"/>
      <c r="IE492" s="83"/>
      <c r="IM492" s="405"/>
      <c r="IS492" s="83"/>
      <c r="JA492" s="405"/>
      <c r="JG492" s="83"/>
      <c r="JO492" s="405"/>
      <c r="JU492" s="83"/>
      <c r="KC492" s="405"/>
      <c r="KI492" s="83"/>
      <c r="KQ492" s="405"/>
      <c r="KW492" s="83"/>
      <c r="LE492" s="405"/>
      <c r="LK492" s="83"/>
      <c r="LS492" s="405"/>
      <c r="LY492" s="83"/>
      <c r="MG492" s="405"/>
      <c r="MM492" s="83"/>
      <c r="MU492" s="405"/>
      <c r="NA492" s="83"/>
    </row>
    <row r="493">
      <c r="A493" s="380"/>
      <c r="B493" s="380"/>
      <c r="C493" s="380"/>
      <c r="D493" s="380"/>
      <c r="E493" s="380"/>
      <c r="F493" s="380"/>
      <c r="G493" s="380"/>
      <c r="H493" s="380"/>
      <c r="I493" s="403"/>
      <c r="J493" s="380"/>
      <c r="K493" s="380"/>
      <c r="L493" s="380"/>
      <c r="M493" s="380"/>
      <c r="N493" s="380"/>
      <c r="O493" s="404"/>
      <c r="P493" s="380"/>
      <c r="Q493" s="380"/>
      <c r="R493" s="380"/>
      <c r="S493" s="380"/>
      <c r="T493" s="380"/>
      <c r="U493" s="380"/>
      <c r="V493" s="380"/>
      <c r="W493" s="403"/>
      <c r="X493" s="380"/>
      <c r="Y493" s="380"/>
      <c r="Z493" s="380"/>
      <c r="AA493" s="380"/>
      <c r="AB493" s="380"/>
      <c r="AC493" s="404"/>
      <c r="AD493" s="380"/>
      <c r="AE493" s="380"/>
      <c r="AF493" s="380"/>
      <c r="AG493" s="380"/>
      <c r="AH493" s="380"/>
      <c r="AI493" s="380"/>
      <c r="AJ493" s="380"/>
      <c r="AK493" s="403"/>
      <c r="AL493" s="380"/>
      <c r="AM493" s="380"/>
      <c r="AN493" s="380"/>
      <c r="AO493" s="380"/>
      <c r="AP493" s="380"/>
      <c r="AQ493" s="404"/>
      <c r="AR493" s="380"/>
      <c r="AS493" s="380"/>
      <c r="AT493" s="380"/>
      <c r="AU493" s="380"/>
      <c r="AV493" s="380"/>
      <c r="AW493" s="380"/>
      <c r="AX493" s="380"/>
      <c r="AY493" s="403"/>
      <c r="AZ493" s="380"/>
      <c r="BA493" s="380"/>
      <c r="BB493" s="380"/>
      <c r="BC493" s="380"/>
      <c r="BD493" s="380"/>
      <c r="BE493" s="404"/>
      <c r="BF493" s="380"/>
      <c r="BG493" s="380"/>
      <c r="BH493" s="380"/>
      <c r="BI493" s="380"/>
      <c r="BJ493" s="380"/>
      <c r="BK493" s="380"/>
      <c r="BL493" s="380"/>
      <c r="BM493" s="403"/>
      <c r="BS493" s="83"/>
      <c r="CA493" s="405"/>
      <c r="CG493" s="83"/>
      <c r="CO493" s="405"/>
      <c r="CU493" s="83"/>
      <c r="DC493" s="405"/>
      <c r="DI493" s="83"/>
      <c r="DQ493" s="405"/>
      <c r="DW493" s="83"/>
      <c r="EE493" s="405"/>
      <c r="EK493" s="83"/>
      <c r="ES493" s="405"/>
      <c r="EY493" s="83"/>
      <c r="FG493" s="405"/>
      <c r="FM493" s="83"/>
      <c r="FU493" s="405"/>
      <c r="GA493" s="83"/>
      <c r="GI493" s="405"/>
      <c r="GO493" s="83"/>
      <c r="GW493" s="405"/>
      <c r="HC493" s="83"/>
      <c r="HK493" s="405"/>
      <c r="HQ493" s="83"/>
      <c r="HY493" s="405"/>
      <c r="IE493" s="83"/>
      <c r="IM493" s="405"/>
      <c r="IS493" s="83"/>
      <c r="JA493" s="405"/>
      <c r="JG493" s="83"/>
      <c r="JO493" s="405"/>
      <c r="JU493" s="83"/>
      <c r="KC493" s="405"/>
      <c r="KI493" s="83"/>
      <c r="KQ493" s="405"/>
      <c r="KW493" s="83"/>
      <c r="LE493" s="405"/>
      <c r="LK493" s="83"/>
      <c r="LS493" s="405"/>
      <c r="LY493" s="83"/>
      <c r="MG493" s="405"/>
      <c r="MM493" s="83"/>
      <c r="MU493" s="405"/>
      <c r="NA493" s="83"/>
    </row>
    <row r="494">
      <c r="A494" s="380"/>
      <c r="B494" s="380"/>
      <c r="C494" s="380"/>
      <c r="D494" s="380"/>
      <c r="E494" s="380"/>
      <c r="F494" s="380"/>
      <c r="G494" s="380"/>
      <c r="H494" s="380"/>
      <c r="I494" s="403"/>
      <c r="J494" s="380"/>
      <c r="K494" s="380"/>
      <c r="L494" s="380"/>
      <c r="M494" s="380"/>
      <c r="N494" s="380"/>
      <c r="O494" s="404"/>
      <c r="P494" s="380"/>
      <c r="Q494" s="380"/>
      <c r="R494" s="380"/>
      <c r="S494" s="380"/>
      <c r="T494" s="380"/>
      <c r="U494" s="380"/>
      <c r="V494" s="380"/>
      <c r="W494" s="403"/>
      <c r="X494" s="380"/>
      <c r="Y494" s="380"/>
      <c r="Z494" s="380"/>
      <c r="AA494" s="380"/>
      <c r="AB494" s="380"/>
      <c r="AC494" s="404"/>
      <c r="AD494" s="380"/>
      <c r="AE494" s="380"/>
      <c r="AF494" s="380"/>
      <c r="AG494" s="380"/>
      <c r="AH494" s="380"/>
      <c r="AI494" s="380"/>
      <c r="AJ494" s="380"/>
      <c r="AK494" s="403"/>
      <c r="AL494" s="380"/>
      <c r="AM494" s="380"/>
      <c r="AN494" s="380"/>
      <c r="AO494" s="380"/>
      <c r="AP494" s="380"/>
      <c r="AQ494" s="404"/>
      <c r="AR494" s="380"/>
      <c r="AS494" s="380"/>
      <c r="AT494" s="380"/>
      <c r="AU494" s="380"/>
      <c r="AV494" s="380"/>
      <c r="AW494" s="380"/>
      <c r="AX494" s="380"/>
      <c r="AY494" s="403"/>
      <c r="AZ494" s="380"/>
      <c r="BA494" s="380"/>
      <c r="BB494" s="380"/>
      <c r="BC494" s="380"/>
      <c r="BD494" s="380"/>
      <c r="BE494" s="404"/>
      <c r="BF494" s="380"/>
      <c r="BG494" s="380"/>
      <c r="BH494" s="380"/>
      <c r="BI494" s="380"/>
      <c r="BJ494" s="380"/>
      <c r="BK494" s="380"/>
      <c r="BL494" s="380"/>
      <c r="BM494" s="403"/>
      <c r="BS494" s="83"/>
      <c r="CA494" s="405"/>
      <c r="CG494" s="83"/>
      <c r="CO494" s="405"/>
      <c r="CU494" s="83"/>
      <c r="DC494" s="405"/>
      <c r="DI494" s="83"/>
      <c r="DQ494" s="405"/>
      <c r="DW494" s="83"/>
      <c r="EE494" s="405"/>
      <c r="EK494" s="83"/>
      <c r="ES494" s="405"/>
      <c r="EY494" s="83"/>
      <c r="FG494" s="405"/>
      <c r="FM494" s="83"/>
      <c r="FU494" s="405"/>
      <c r="GA494" s="83"/>
      <c r="GI494" s="405"/>
      <c r="GO494" s="83"/>
      <c r="GW494" s="405"/>
      <c r="HC494" s="83"/>
      <c r="HK494" s="405"/>
      <c r="HQ494" s="83"/>
      <c r="HY494" s="405"/>
      <c r="IE494" s="83"/>
      <c r="IM494" s="405"/>
      <c r="IS494" s="83"/>
      <c r="JA494" s="405"/>
      <c r="JG494" s="83"/>
      <c r="JO494" s="405"/>
      <c r="JU494" s="83"/>
      <c r="KC494" s="405"/>
      <c r="KI494" s="83"/>
      <c r="KQ494" s="405"/>
      <c r="KW494" s="83"/>
      <c r="LE494" s="405"/>
      <c r="LK494" s="83"/>
      <c r="LS494" s="405"/>
      <c r="LY494" s="83"/>
      <c r="MG494" s="405"/>
      <c r="MM494" s="83"/>
      <c r="MU494" s="405"/>
      <c r="NA494" s="83"/>
    </row>
    <row r="495">
      <c r="A495" s="380"/>
      <c r="B495" s="380"/>
      <c r="C495" s="380"/>
      <c r="D495" s="380"/>
      <c r="E495" s="380"/>
      <c r="F495" s="380"/>
      <c r="G495" s="380"/>
      <c r="H495" s="380"/>
      <c r="I495" s="403"/>
      <c r="J495" s="380"/>
      <c r="K495" s="380"/>
      <c r="L495" s="380"/>
      <c r="M495" s="380"/>
      <c r="N495" s="380"/>
      <c r="O495" s="404"/>
      <c r="P495" s="380"/>
      <c r="Q495" s="380"/>
      <c r="R495" s="380"/>
      <c r="S495" s="380"/>
      <c r="T495" s="380"/>
      <c r="U495" s="380"/>
      <c r="V495" s="380"/>
      <c r="W495" s="403"/>
      <c r="X495" s="380"/>
      <c r="Y495" s="380"/>
      <c r="Z495" s="380"/>
      <c r="AA495" s="380"/>
      <c r="AB495" s="380"/>
      <c r="AC495" s="404"/>
      <c r="AD495" s="380"/>
      <c r="AE495" s="380"/>
      <c r="AF495" s="380"/>
      <c r="AG495" s="380"/>
      <c r="AH495" s="380"/>
      <c r="AI495" s="380"/>
      <c r="AJ495" s="380"/>
      <c r="AK495" s="403"/>
      <c r="AL495" s="380"/>
      <c r="AM495" s="380"/>
      <c r="AN495" s="380"/>
      <c r="AO495" s="380"/>
      <c r="AP495" s="380"/>
      <c r="AQ495" s="404"/>
      <c r="AR495" s="380"/>
      <c r="AS495" s="380"/>
      <c r="AT495" s="380"/>
      <c r="AU495" s="380"/>
      <c r="AV495" s="380"/>
      <c r="AW495" s="380"/>
      <c r="AX495" s="380"/>
      <c r="AY495" s="403"/>
      <c r="AZ495" s="380"/>
      <c r="BA495" s="380"/>
      <c r="BB495" s="380"/>
      <c r="BC495" s="380"/>
      <c r="BD495" s="380"/>
      <c r="BE495" s="404"/>
      <c r="BF495" s="380"/>
      <c r="BG495" s="380"/>
      <c r="BH495" s="380"/>
      <c r="BI495" s="380"/>
      <c r="BJ495" s="380"/>
      <c r="BK495" s="380"/>
      <c r="BL495" s="380"/>
      <c r="BM495" s="403"/>
      <c r="BS495" s="83"/>
      <c r="CA495" s="405"/>
      <c r="CG495" s="83"/>
      <c r="CO495" s="405"/>
      <c r="CU495" s="83"/>
      <c r="DC495" s="405"/>
      <c r="DI495" s="83"/>
      <c r="DQ495" s="405"/>
      <c r="DW495" s="83"/>
      <c r="EE495" s="405"/>
      <c r="EK495" s="83"/>
      <c r="ES495" s="405"/>
      <c r="EY495" s="83"/>
      <c r="FG495" s="405"/>
      <c r="FM495" s="83"/>
      <c r="FU495" s="405"/>
      <c r="GA495" s="83"/>
      <c r="GI495" s="405"/>
      <c r="GO495" s="83"/>
      <c r="GW495" s="405"/>
      <c r="HC495" s="83"/>
      <c r="HK495" s="405"/>
      <c r="HQ495" s="83"/>
      <c r="HY495" s="405"/>
      <c r="IE495" s="83"/>
      <c r="IM495" s="405"/>
      <c r="IS495" s="83"/>
      <c r="JA495" s="405"/>
      <c r="JG495" s="83"/>
      <c r="JO495" s="405"/>
      <c r="JU495" s="83"/>
      <c r="KC495" s="405"/>
      <c r="KI495" s="83"/>
      <c r="KQ495" s="405"/>
      <c r="KW495" s="83"/>
      <c r="LE495" s="405"/>
      <c r="LK495" s="83"/>
      <c r="LS495" s="405"/>
      <c r="LY495" s="83"/>
      <c r="MG495" s="405"/>
      <c r="MM495" s="83"/>
      <c r="MU495" s="405"/>
      <c r="NA495" s="83"/>
    </row>
    <row r="496">
      <c r="A496" s="380"/>
      <c r="B496" s="380"/>
      <c r="C496" s="380"/>
      <c r="D496" s="380"/>
      <c r="E496" s="380"/>
      <c r="F496" s="380"/>
      <c r="G496" s="380"/>
      <c r="H496" s="380"/>
      <c r="I496" s="403"/>
      <c r="J496" s="380"/>
      <c r="K496" s="380"/>
      <c r="L496" s="380"/>
      <c r="M496" s="380"/>
      <c r="N496" s="380"/>
      <c r="O496" s="404"/>
      <c r="P496" s="380"/>
      <c r="Q496" s="380"/>
      <c r="R496" s="380"/>
      <c r="S496" s="380"/>
      <c r="T496" s="380"/>
      <c r="U496" s="380"/>
      <c r="V496" s="380"/>
      <c r="W496" s="403"/>
      <c r="X496" s="380"/>
      <c r="Y496" s="380"/>
      <c r="Z496" s="380"/>
      <c r="AA496" s="380"/>
      <c r="AB496" s="380"/>
      <c r="AC496" s="404"/>
      <c r="AD496" s="380"/>
      <c r="AE496" s="380"/>
      <c r="AF496" s="380"/>
      <c r="AG496" s="380"/>
      <c r="AH496" s="380"/>
      <c r="AI496" s="380"/>
      <c r="AJ496" s="380"/>
      <c r="AK496" s="403"/>
      <c r="AL496" s="380"/>
      <c r="AM496" s="380"/>
      <c r="AN496" s="380"/>
      <c r="AO496" s="380"/>
      <c r="AP496" s="380"/>
      <c r="AQ496" s="404"/>
      <c r="AR496" s="380"/>
      <c r="AS496" s="380"/>
      <c r="AT496" s="380"/>
      <c r="AU496" s="380"/>
      <c r="AV496" s="380"/>
      <c r="AW496" s="380"/>
      <c r="AX496" s="380"/>
      <c r="AY496" s="403"/>
      <c r="AZ496" s="380"/>
      <c r="BA496" s="380"/>
      <c r="BB496" s="380"/>
      <c r="BC496" s="380"/>
      <c r="BD496" s="380"/>
      <c r="BE496" s="404"/>
      <c r="BF496" s="380"/>
      <c r="BG496" s="380"/>
      <c r="BH496" s="380"/>
      <c r="BI496" s="380"/>
      <c r="BJ496" s="380"/>
      <c r="BK496" s="380"/>
      <c r="BL496" s="380"/>
      <c r="BM496" s="403"/>
      <c r="BS496" s="83"/>
      <c r="CA496" s="405"/>
      <c r="CG496" s="83"/>
      <c r="CO496" s="405"/>
      <c r="CU496" s="83"/>
      <c r="DC496" s="405"/>
      <c r="DI496" s="83"/>
      <c r="DQ496" s="405"/>
      <c r="DW496" s="83"/>
      <c r="EE496" s="405"/>
      <c r="EK496" s="83"/>
      <c r="ES496" s="405"/>
      <c r="EY496" s="83"/>
      <c r="FG496" s="405"/>
      <c r="FM496" s="83"/>
      <c r="FU496" s="405"/>
      <c r="GA496" s="83"/>
      <c r="GI496" s="405"/>
      <c r="GO496" s="83"/>
      <c r="GW496" s="405"/>
      <c r="HC496" s="83"/>
      <c r="HK496" s="405"/>
      <c r="HQ496" s="83"/>
      <c r="HY496" s="405"/>
      <c r="IE496" s="83"/>
      <c r="IM496" s="405"/>
      <c r="IS496" s="83"/>
      <c r="JA496" s="405"/>
      <c r="JG496" s="83"/>
      <c r="JO496" s="405"/>
      <c r="JU496" s="83"/>
      <c r="KC496" s="405"/>
      <c r="KI496" s="83"/>
      <c r="KQ496" s="405"/>
      <c r="KW496" s="83"/>
      <c r="LE496" s="405"/>
      <c r="LK496" s="83"/>
      <c r="LS496" s="405"/>
      <c r="LY496" s="83"/>
      <c r="MG496" s="405"/>
      <c r="MM496" s="83"/>
      <c r="MU496" s="405"/>
      <c r="NA496" s="83"/>
    </row>
    <row r="497">
      <c r="A497" s="380"/>
      <c r="B497" s="380"/>
      <c r="C497" s="380"/>
      <c r="D497" s="380"/>
      <c r="E497" s="380"/>
      <c r="F497" s="380"/>
      <c r="G497" s="380"/>
      <c r="H497" s="380"/>
      <c r="I497" s="403"/>
      <c r="J497" s="380"/>
      <c r="K497" s="380"/>
      <c r="L497" s="380"/>
      <c r="M497" s="380"/>
      <c r="N497" s="380"/>
      <c r="O497" s="404"/>
      <c r="P497" s="380"/>
      <c r="Q497" s="380"/>
      <c r="R497" s="380"/>
      <c r="S497" s="380"/>
      <c r="T497" s="380"/>
      <c r="U497" s="380"/>
      <c r="V497" s="380"/>
      <c r="W497" s="403"/>
      <c r="X497" s="380"/>
      <c r="Y497" s="380"/>
      <c r="Z497" s="380"/>
      <c r="AA497" s="380"/>
      <c r="AB497" s="380"/>
      <c r="AC497" s="404"/>
      <c r="AD497" s="380"/>
      <c r="AE497" s="380"/>
      <c r="AF497" s="380"/>
      <c r="AG497" s="380"/>
      <c r="AH497" s="380"/>
      <c r="AI497" s="380"/>
      <c r="AJ497" s="380"/>
      <c r="AK497" s="403"/>
      <c r="AL497" s="380"/>
      <c r="AM497" s="380"/>
      <c r="AN497" s="380"/>
      <c r="AO497" s="380"/>
      <c r="AP497" s="380"/>
      <c r="AQ497" s="404"/>
      <c r="AR497" s="380"/>
      <c r="AS497" s="380"/>
      <c r="AT497" s="380"/>
      <c r="AU497" s="380"/>
      <c r="AV497" s="380"/>
      <c r="AW497" s="380"/>
      <c r="AX497" s="380"/>
      <c r="AY497" s="403"/>
      <c r="AZ497" s="380"/>
      <c r="BA497" s="380"/>
      <c r="BB497" s="380"/>
      <c r="BC497" s="380"/>
      <c r="BD497" s="380"/>
      <c r="BE497" s="404"/>
      <c r="BF497" s="380"/>
      <c r="BG497" s="380"/>
      <c r="BH497" s="380"/>
      <c r="BI497" s="380"/>
      <c r="BJ497" s="380"/>
      <c r="BK497" s="380"/>
      <c r="BL497" s="380"/>
      <c r="BM497" s="403"/>
      <c r="BS497" s="83"/>
      <c r="CA497" s="405"/>
      <c r="CG497" s="83"/>
      <c r="CO497" s="405"/>
      <c r="CU497" s="83"/>
      <c r="DC497" s="405"/>
      <c r="DI497" s="83"/>
      <c r="DQ497" s="405"/>
      <c r="DW497" s="83"/>
      <c r="EE497" s="405"/>
      <c r="EK497" s="83"/>
      <c r="ES497" s="405"/>
      <c r="EY497" s="83"/>
      <c r="FG497" s="405"/>
      <c r="FM497" s="83"/>
      <c r="FU497" s="405"/>
      <c r="GA497" s="83"/>
      <c r="GI497" s="405"/>
      <c r="GO497" s="83"/>
      <c r="GW497" s="405"/>
      <c r="HC497" s="83"/>
      <c r="HK497" s="405"/>
      <c r="HQ497" s="83"/>
      <c r="HY497" s="405"/>
      <c r="IE497" s="83"/>
      <c r="IM497" s="405"/>
      <c r="IS497" s="83"/>
      <c r="JA497" s="405"/>
      <c r="JG497" s="83"/>
      <c r="JO497" s="405"/>
      <c r="JU497" s="83"/>
      <c r="KC497" s="405"/>
      <c r="KI497" s="83"/>
      <c r="KQ497" s="405"/>
      <c r="KW497" s="83"/>
      <c r="LE497" s="405"/>
      <c r="LK497" s="83"/>
      <c r="LS497" s="405"/>
      <c r="LY497" s="83"/>
      <c r="MG497" s="405"/>
      <c r="MM497" s="83"/>
      <c r="MU497" s="405"/>
      <c r="NA497" s="83"/>
    </row>
    <row r="498">
      <c r="A498" s="380"/>
      <c r="B498" s="380"/>
      <c r="C498" s="380"/>
      <c r="D498" s="380"/>
      <c r="E498" s="380"/>
      <c r="F498" s="380"/>
      <c r="G498" s="380"/>
      <c r="H498" s="380"/>
      <c r="I498" s="403"/>
      <c r="J498" s="380"/>
      <c r="K498" s="380"/>
      <c r="L498" s="380"/>
      <c r="M498" s="380"/>
      <c r="N498" s="380"/>
      <c r="O498" s="404"/>
      <c r="P498" s="380"/>
      <c r="Q498" s="380"/>
      <c r="R498" s="380"/>
      <c r="S498" s="380"/>
      <c r="T498" s="380"/>
      <c r="U498" s="380"/>
      <c r="V498" s="380"/>
      <c r="W498" s="403"/>
      <c r="X498" s="380"/>
      <c r="Y498" s="380"/>
      <c r="Z498" s="380"/>
      <c r="AA498" s="380"/>
      <c r="AB498" s="380"/>
      <c r="AC498" s="404"/>
      <c r="AD498" s="380"/>
      <c r="AE498" s="380"/>
      <c r="AF498" s="380"/>
      <c r="AG498" s="380"/>
      <c r="AH498" s="380"/>
      <c r="AI498" s="380"/>
      <c r="AJ498" s="380"/>
      <c r="AK498" s="403"/>
      <c r="AL498" s="380"/>
      <c r="AM498" s="380"/>
      <c r="AN498" s="380"/>
      <c r="AO498" s="380"/>
      <c r="AP498" s="380"/>
      <c r="AQ498" s="404"/>
      <c r="AR498" s="380"/>
      <c r="AS498" s="380"/>
      <c r="AT498" s="380"/>
      <c r="AU498" s="380"/>
      <c r="AV498" s="380"/>
      <c r="AW498" s="380"/>
      <c r="AX498" s="380"/>
      <c r="AY498" s="403"/>
      <c r="AZ498" s="380"/>
      <c r="BA498" s="380"/>
      <c r="BB498" s="380"/>
      <c r="BC498" s="380"/>
      <c r="BD498" s="380"/>
      <c r="BE498" s="404"/>
      <c r="BF498" s="380"/>
      <c r="BG498" s="380"/>
      <c r="BH498" s="380"/>
      <c r="BI498" s="380"/>
      <c r="BJ498" s="380"/>
      <c r="BK498" s="380"/>
      <c r="BL498" s="380"/>
      <c r="BM498" s="403"/>
      <c r="BS498" s="83"/>
      <c r="CA498" s="405"/>
      <c r="CG498" s="83"/>
      <c r="CO498" s="405"/>
      <c r="CU498" s="83"/>
      <c r="DC498" s="405"/>
      <c r="DI498" s="83"/>
      <c r="DQ498" s="405"/>
      <c r="DW498" s="83"/>
      <c r="EE498" s="405"/>
      <c r="EK498" s="83"/>
      <c r="ES498" s="405"/>
      <c r="EY498" s="83"/>
      <c r="FG498" s="405"/>
      <c r="FM498" s="83"/>
      <c r="FU498" s="405"/>
      <c r="GA498" s="83"/>
      <c r="GI498" s="405"/>
      <c r="GO498" s="83"/>
      <c r="GW498" s="405"/>
      <c r="HC498" s="83"/>
      <c r="HK498" s="405"/>
      <c r="HQ498" s="83"/>
      <c r="HY498" s="405"/>
      <c r="IE498" s="83"/>
      <c r="IM498" s="405"/>
      <c r="IS498" s="83"/>
      <c r="JA498" s="405"/>
      <c r="JG498" s="83"/>
      <c r="JO498" s="405"/>
      <c r="JU498" s="83"/>
      <c r="KC498" s="405"/>
      <c r="KI498" s="83"/>
      <c r="KQ498" s="405"/>
      <c r="KW498" s="83"/>
      <c r="LE498" s="405"/>
      <c r="LK498" s="83"/>
      <c r="LS498" s="405"/>
      <c r="LY498" s="83"/>
      <c r="MG498" s="405"/>
      <c r="MM498" s="83"/>
      <c r="MU498" s="405"/>
      <c r="NA498" s="83"/>
    </row>
    <row r="499">
      <c r="A499" s="380"/>
      <c r="B499" s="380"/>
      <c r="C499" s="380"/>
      <c r="D499" s="380"/>
      <c r="E499" s="380"/>
      <c r="F499" s="380"/>
      <c r="G499" s="380"/>
      <c r="H499" s="380"/>
      <c r="I499" s="403"/>
      <c r="J499" s="380"/>
      <c r="K499" s="380"/>
      <c r="L499" s="380"/>
      <c r="M499" s="380"/>
      <c r="N499" s="380"/>
      <c r="O499" s="404"/>
      <c r="P499" s="380"/>
      <c r="Q499" s="380"/>
      <c r="R499" s="380"/>
      <c r="S499" s="380"/>
      <c r="T499" s="380"/>
      <c r="U499" s="380"/>
      <c r="V499" s="380"/>
      <c r="W499" s="403"/>
      <c r="X499" s="380"/>
      <c r="Y499" s="380"/>
      <c r="Z499" s="380"/>
      <c r="AA499" s="380"/>
      <c r="AB499" s="380"/>
      <c r="AC499" s="404"/>
      <c r="AD499" s="380"/>
      <c r="AE499" s="380"/>
      <c r="AF499" s="380"/>
      <c r="AG499" s="380"/>
      <c r="AH499" s="380"/>
      <c r="AI499" s="380"/>
      <c r="AJ499" s="380"/>
      <c r="AK499" s="403"/>
      <c r="AL499" s="380"/>
      <c r="AM499" s="380"/>
      <c r="AN499" s="380"/>
      <c r="AO499" s="380"/>
      <c r="AP499" s="380"/>
      <c r="AQ499" s="404"/>
      <c r="AR499" s="380"/>
      <c r="AS499" s="380"/>
      <c r="AT499" s="380"/>
      <c r="AU499" s="380"/>
      <c r="AV499" s="380"/>
      <c r="AW499" s="380"/>
      <c r="AX499" s="380"/>
      <c r="AY499" s="403"/>
      <c r="AZ499" s="380"/>
      <c r="BA499" s="380"/>
      <c r="BB499" s="380"/>
      <c r="BC499" s="380"/>
      <c r="BD499" s="380"/>
      <c r="BE499" s="404"/>
      <c r="BF499" s="380"/>
      <c r="BG499" s="380"/>
      <c r="BH499" s="380"/>
      <c r="BI499" s="380"/>
      <c r="BJ499" s="380"/>
      <c r="BK499" s="380"/>
      <c r="BL499" s="380"/>
      <c r="BM499" s="403"/>
      <c r="BS499" s="83"/>
      <c r="CA499" s="405"/>
      <c r="CG499" s="83"/>
      <c r="CO499" s="405"/>
      <c r="CU499" s="83"/>
      <c r="DC499" s="405"/>
      <c r="DI499" s="83"/>
      <c r="DQ499" s="405"/>
      <c r="DW499" s="83"/>
      <c r="EE499" s="405"/>
      <c r="EK499" s="83"/>
      <c r="ES499" s="405"/>
      <c r="EY499" s="83"/>
      <c r="FG499" s="405"/>
      <c r="FM499" s="83"/>
      <c r="FU499" s="405"/>
      <c r="GA499" s="83"/>
      <c r="GI499" s="405"/>
      <c r="GO499" s="83"/>
      <c r="GW499" s="405"/>
      <c r="HC499" s="83"/>
      <c r="HK499" s="405"/>
      <c r="HQ499" s="83"/>
      <c r="HY499" s="405"/>
      <c r="IE499" s="83"/>
      <c r="IM499" s="405"/>
      <c r="IS499" s="83"/>
      <c r="JA499" s="405"/>
      <c r="JG499" s="83"/>
      <c r="JO499" s="405"/>
      <c r="JU499" s="83"/>
      <c r="KC499" s="405"/>
      <c r="KI499" s="83"/>
      <c r="KQ499" s="405"/>
      <c r="KW499" s="83"/>
      <c r="LE499" s="405"/>
      <c r="LK499" s="83"/>
      <c r="LS499" s="405"/>
      <c r="LY499" s="83"/>
      <c r="MG499" s="405"/>
      <c r="MM499" s="83"/>
      <c r="MU499" s="405"/>
      <c r="NA499" s="83"/>
    </row>
    <row r="500">
      <c r="A500" s="380"/>
      <c r="B500" s="380"/>
      <c r="C500" s="380"/>
      <c r="D500" s="380"/>
      <c r="E500" s="380"/>
      <c r="F500" s="380"/>
      <c r="G500" s="380"/>
      <c r="H500" s="380"/>
      <c r="I500" s="403"/>
      <c r="J500" s="380"/>
      <c r="K500" s="380"/>
      <c r="L500" s="380"/>
      <c r="M500" s="380"/>
      <c r="N500" s="380"/>
      <c r="O500" s="404"/>
      <c r="P500" s="380"/>
      <c r="Q500" s="380"/>
      <c r="R500" s="380"/>
      <c r="S500" s="380"/>
      <c r="T500" s="380"/>
      <c r="U500" s="380"/>
      <c r="V500" s="380"/>
      <c r="W500" s="403"/>
      <c r="X500" s="380"/>
      <c r="Y500" s="380"/>
      <c r="Z500" s="380"/>
      <c r="AA500" s="380"/>
      <c r="AB500" s="380"/>
      <c r="AC500" s="404"/>
      <c r="AD500" s="380"/>
      <c r="AE500" s="380"/>
      <c r="AF500" s="380"/>
      <c r="AG500" s="380"/>
      <c r="AH500" s="380"/>
      <c r="AI500" s="380"/>
      <c r="AJ500" s="380"/>
      <c r="AK500" s="403"/>
      <c r="AL500" s="380"/>
      <c r="AM500" s="380"/>
      <c r="AN500" s="380"/>
      <c r="AO500" s="380"/>
      <c r="AP500" s="380"/>
      <c r="AQ500" s="404"/>
      <c r="AR500" s="380"/>
      <c r="AS500" s="380"/>
      <c r="AT500" s="380"/>
      <c r="AU500" s="380"/>
      <c r="AV500" s="380"/>
      <c r="AW500" s="380"/>
      <c r="AX500" s="380"/>
      <c r="AY500" s="403"/>
      <c r="AZ500" s="380"/>
      <c r="BA500" s="380"/>
      <c r="BB500" s="380"/>
      <c r="BC500" s="380"/>
      <c r="BD500" s="380"/>
      <c r="BE500" s="404"/>
      <c r="BF500" s="380"/>
      <c r="BG500" s="380"/>
      <c r="BH500" s="380"/>
      <c r="BI500" s="380"/>
      <c r="BJ500" s="380"/>
      <c r="BK500" s="380"/>
      <c r="BL500" s="380"/>
      <c r="BM500" s="403"/>
      <c r="BS500" s="83"/>
      <c r="CA500" s="405"/>
      <c r="CG500" s="83"/>
      <c r="CO500" s="405"/>
      <c r="CU500" s="83"/>
      <c r="DC500" s="405"/>
      <c r="DI500" s="83"/>
      <c r="DQ500" s="405"/>
      <c r="DW500" s="83"/>
      <c r="EE500" s="405"/>
      <c r="EK500" s="83"/>
      <c r="ES500" s="405"/>
      <c r="EY500" s="83"/>
      <c r="FG500" s="405"/>
      <c r="FM500" s="83"/>
      <c r="FU500" s="405"/>
      <c r="GA500" s="83"/>
      <c r="GI500" s="405"/>
      <c r="GO500" s="83"/>
      <c r="GW500" s="405"/>
      <c r="HC500" s="83"/>
      <c r="HK500" s="405"/>
      <c r="HQ500" s="83"/>
      <c r="HY500" s="405"/>
      <c r="IE500" s="83"/>
      <c r="IM500" s="405"/>
      <c r="IS500" s="83"/>
      <c r="JA500" s="405"/>
      <c r="JG500" s="83"/>
      <c r="JO500" s="405"/>
      <c r="JU500" s="83"/>
      <c r="KC500" s="405"/>
      <c r="KI500" s="83"/>
      <c r="KQ500" s="405"/>
      <c r="KW500" s="83"/>
      <c r="LE500" s="405"/>
      <c r="LK500" s="83"/>
      <c r="LS500" s="405"/>
      <c r="LY500" s="83"/>
      <c r="MG500" s="405"/>
      <c r="MM500" s="83"/>
      <c r="MU500" s="405"/>
      <c r="NA500" s="83"/>
    </row>
    <row r="501">
      <c r="A501" s="380"/>
      <c r="B501" s="380"/>
      <c r="C501" s="380"/>
      <c r="D501" s="380"/>
      <c r="E501" s="380"/>
      <c r="F501" s="380"/>
      <c r="G501" s="380"/>
      <c r="H501" s="380"/>
      <c r="I501" s="403"/>
      <c r="J501" s="380"/>
      <c r="K501" s="380"/>
      <c r="L501" s="380"/>
      <c r="M501" s="380"/>
      <c r="N501" s="380"/>
      <c r="O501" s="404"/>
      <c r="P501" s="380"/>
      <c r="Q501" s="380"/>
      <c r="R501" s="380"/>
      <c r="S501" s="380"/>
      <c r="T501" s="380"/>
      <c r="U501" s="380"/>
      <c r="V501" s="380"/>
      <c r="W501" s="403"/>
      <c r="X501" s="380"/>
      <c r="Y501" s="380"/>
      <c r="Z501" s="380"/>
      <c r="AA501" s="380"/>
      <c r="AB501" s="380"/>
      <c r="AC501" s="404"/>
      <c r="AD501" s="380"/>
      <c r="AE501" s="380"/>
      <c r="AF501" s="380"/>
      <c r="AG501" s="380"/>
      <c r="AH501" s="380"/>
      <c r="AI501" s="380"/>
      <c r="AJ501" s="380"/>
      <c r="AK501" s="403"/>
      <c r="AL501" s="380"/>
      <c r="AM501" s="380"/>
      <c r="AN501" s="380"/>
      <c r="AO501" s="380"/>
      <c r="AP501" s="380"/>
      <c r="AQ501" s="404"/>
      <c r="AR501" s="380"/>
      <c r="AS501" s="380"/>
      <c r="AT501" s="380"/>
      <c r="AU501" s="380"/>
      <c r="AV501" s="380"/>
      <c r="AW501" s="380"/>
      <c r="AX501" s="380"/>
      <c r="AY501" s="403"/>
      <c r="AZ501" s="380"/>
      <c r="BA501" s="380"/>
      <c r="BB501" s="380"/>
      <c r="BC501" s="380"/>
      <c r="BD501" s="380"/>
      <c r="BE501" s="404"/>
      <c r="BF501" s="380"/>
      <c r="BG501" s="380"/>
      <c r="BH501" s="380"/>
      <c r="BI501" s="380"/>
      <c r="BJ501" s="380"/>
      <c r="BK501" s="380"/>
      <c r="BL501" s="380"/>
      <c r="BM501" s="403"/>
      <c r="BS501" s="83"/>
      <c r="CA501" s="405"/>
      <c r="CG501" s="83"/>
      <c r="CO501" s="405"/>
      <c r="CU501" s="83"/>
      <c r="DC501" s="405"/>
      <c r="DI501" s="83"/>
      <c r="DQ501" s="405"/>
      <c r="DW501" s="83"/>
      <c r="EE501" s="405"/>
      <c r="EK501" s="83"/>
      <c r="ES501" s="405"/>
      <c r="EY501" s="83"/>
      <c r="FG501" s="405"/>
      <c r="FM501" s="83"/>
      <c r="FU501" s="405"/>
      <c r="GA501" s="83"/>
      <c r="GI501" s="405"/>
      <c r="GO501" s="83"/>
      <c r="GW501" s="405"/>
      <c r="HC501" s="83"/>
      <c r="HK501" s="405"/>
      <c r="HQ501" s="83"/>
      <c r="HY501" s="405"/>
      <c r="IE501" s="83"/>
      <c r="IM501" s="405"/>
      <c r="IS501" s="83"/>
      <c r="JA501" s="405"/>
      <c r="JG501" s="83"/>
      <c r="JO501" s="405"/>
      <c r="JU501" s="83"/>
      <c r="KC501" s="405"/>
      <c r="KI501" s="83"/>
      <c r="KQ501" s="405"/>
      <c r="KW501" s="83"/>
      <c r="LE501" s="405"/>
      <c r="LK501" s="83"/>
      <c r="LS501" s="405"/>
      <c r="LY501" s="83"/>
      <c r="MG501" s="405"/>
      <c r="MM501" s="83"/>
      <c r="MU501" s="405"/>
      <c r="NA501" s="83"/>
    </row>
    <row r="502">
      <c r="A502" s="380"/>
      <c r="B502" s="380"/>
      <c r="C502" s="380"/>
      <c r="D502" s="380"/>
      <c r="E502" s="380"/>
      <c r="F502" s="380"/>
      <c r="G502" s="380"/>
      <c r="H502" s="380"/>
      <c r="I502" s="403"/>
      <c r="J502" s="380"/>
      <c r="K502" s="380"/>
      <c r="L502" s="380"/>
      <c r="M502" s="380"/>
      <c r="N502" s="380"/>
      <c r="O502" s="404"/>
      <c r="P502" s="380"/>
      <c r="Q502" s="380"/>
      <c r="R502" s="380"/>
      <c r="S502" s="380"/>
      <c r="T502" s="380"/>
      <c r="U502" s="380"/>
      <c r="V502" s="380"/>
      <c r="W502" s="403"/>
      <c r="X502" s="380"/>
      <c r="Y502" s="380"/>
      <c r="Z502" s="380"/>
      <c r="AA502" s="380"/>
      <c r="AB502" s="380"/>
      <c r="AC502" s="404"/>
      <c r="AD502" s="380"/>
      <c r="AE502" s="380"/>
      <c r="AF502" s="380"/>
      <c r="AG502" s="380"/>
      <c r="AH502" s="380"/>
      <c r="AI502" s="380"/>
      <c r="AJ502" s="380"/>
      <c r="AK502" s="403"/>
      <c r="AL502" s="380"/>
      <c r="AM502" s="380"/>
      <c r="AN502" s="380"/>
      <c r="AO502" s="380"/>
      <c r="AP502" s="380"/>
      <c r="AQ502" s="404"/>
      <c r="AR502" s="380"/>
      <c r="AS502" s="380"/>
      <c r="AT502" s="380"/>
      <c r="AU502" s="380"/>
      <c r="AV502" s="380"/>
      <c r="AW502" s="380"/>
      <c r="AX502" s="380"/>
      <c r="AY502" s="403"/>
      <c r="AZ502" s="380"/>
      <c r="BA502" s="380"/>
      <c r="BB502" s="380"/>
      <c r="BC502" s="380"/>
      <c r="BD502" s="380"/>
      <c r="BE502" s="404"/>
      <c r="BF502" s="380"/>
      <c r="BG502" s="380"/>
      <c r="BH502" s="380"/>
      <c r="BI502" s="380"/>
      <c r="BJ502" s="380"/>
      <c r="BK502" s="380"/>
      <c r="BL502" s="380"/>
      <c r="BM502" s="403"/>
      <c r="BS502" s="83"/>
      <c r="CA502" s="405"/>
      <c r="CG502" s="83"/>
      <c r="CO502" s="405"/>
      <c r="CU502" s="83"/>
      <c r="DC502" s="405"/>
      <c r="DI502" s="83"/>
      <c r="DQ502" s="405"/>
      <c r="DW502" s="83"/>
      <c r="EE502" s="405"/>
      <c r="EK502" s="83"/>
      <c r="ES502" s="405"/>
      <c r="EY502" s="83"/>
      <c r="FG502" s="405"/>
      <c r="FM502" s="83"/>
      <c r="FU502" s="405"/>
      <c r="GA502" s="83"/>
      <c r="GI502" s="405"/>
      <c r="GO502" s="83"/>
      <c r="GW502" s="405"/>
      <c r="HC502" s="83"/>
      <c r="HK502" s="405"/>
      <c r="HQ502" s="83"/>
      <c r="HY502" s="405"/>
      <c r="IE502" s="83"/>
      <c r="IM502" s="405"/>
      <c r="IS502" s="83"/>
      <c r="JA502" s="405"/>
      <c r="JG502" s="83"/>
      <c r="JO502" s="405"/>
      <c r="JU502" s="83"/>
      <c r="KC502" s="405"/>
      <c r="KI502" s="83"/>
      <c r="KQ502" s="405"/>
      <c r="KW502" s="83"/>
      <c r="LE502" s="405"/>
      <c r="LK502" s="83"/>
      <c r="LS502" s="405"/>
      <c r="LY502" s="83"/>
      <c r="MG502" s="405"/>
      <c r="MM502" s="83"/>
      <c r="MU502" s="405"/>
      <c r="NA502" s="83"/>
    </row>
    <row r="503">
      <c r="A503" s="380"/>
      <c r="B503" s="380"/>
      <c r="C503" s="380"/>
      <c r="D503" s="380"/>
      <c r="E503" s="380"/>
      <c r="F503" s="380"/>
      <c r="G503" s="380"/>
      <c r="H503" s="380"/>
      <c r="I503" s="403"/>
      <c r="J503" s="380"/>
      <c r="K503" s="380"/>
      <c r="L503" s="380"/>
      <c r="M503" s="380"/>
      <c r="N503" s="380"/>
      <c r="O503" s="404"/>
      <c r="P503" s="380"/>
      <c r="Q503" s="380"/>
      <c r="R503" s="380"/>
      <c r="S503" s="380"/>
      <c r="T503" s="380"/>
      <c r="U503" s="380"/>
      <c r="V503" s="380"/>
      <c r="W503" s="403"/>
      <c r="X503" s="380"/>
      <c r="Y503" s="380"/>
      <c r="Z503" s="380"/>
      <c r="AA503" s="380"/>
      <c r="AB503" s="380"/>
      <c r="AC503" s="404"/>
      <c r="AD503" s="380"/>
      <c r="AE503" s="380"/>
      <c r="AF503" s="380"/>
      <c r="AG503" s="380"/>
      <c r="AH503" s="380"/>
      <c r="AI503" s="380"/>
      <c r="AJ503" s="380"/>
      <c r="AK503" s="403"/>
      <c r="AL503" s="380"/>
      <c r="AM503" s="380"/>
      <c r="AN503" s="380"/>
      <c r="AO503" s="380"/>
      <c r="AP503" s="380"/>
      <c r="AQ503" s="404"/>
      <c r="AR503" s="380"/>
      <c r="AS503" s="380"/>
      <c r="AT503" s="380"/>
      <c r="AU503" s="380"/>
      <c r="AV503" s="380"/>
      <c r="AW503" s="380"/>
      <c r="AX503" s="380"/>
      <c r="AY503" s="403"/>
      <c r="AZ503" s="380"/>
      <c r="BA503" s="380"/>
      <c r="BB503" s="380"/>
      <c r="BC503" s="380"/>
      <c r="BD503" s="380"/>
      <c r="BE503" s="404"/>
      <c r="BF503" s="380"/>
      <c r="BG503" s="380"/>
      <c r="BH503" s="380"/>
      <c r="BI503" s="380"/>
      <c r="BJ503" s="380"/>
      <c r="BK503" s="380"/>
      <c r="BL503" s="380"/>
      <c r="BM503" s="403"/>
      <c r="BS503" s="83"/>
      <c r="CA503" s="405"/>
      <c r="CG503" s="83"/>
      <c r="CO503" s="405"/>
      <c r="CU503" s="83"/>
      <c r="DC503" s="405"/>
      <c r="DI503" s="83"/>
      <c r="DQ503" s="405"/>
      <c r="DW503" s="83"/>
      <c r="EE503" s="405"/>
      <c r="EK503" s="83"/>
      <c r="ES503" s="405"/>
      <c r="EY503" s="83"/>
      <c r="FG503" s="405"/>
      <c r="FM503" s="83"/>
      <c r="FU503" s="405"/>
      <c r="GA503" s="83"/>
      <c r="GI503" s="405"/>
      <c r="GO503" s="83"/>
      <c r="GW503" s="405"/>
      <c r="HC503" s="83"/>
      <c r="HK503" s="405"/>
      <c r="HQ503" s="83"/>
      <c r="HY503" s="405"/>
      <c r="IE503" s="83"/>
      <c r="IM503" s="405"/>
      <c r="IS503" s="83"/>
      <c r="JA503" s="405"/>
      <c r="JG503" s="83"/>
      <c r="JO503" s="405"/>
      <c r="JU503" s="83"/>
      <c r="KC503" s="405"/>
      <c r="KI503" s="83"/>
      <c r="KQ503" s="405"/>
      <c r="KW503" s="83"/>
      <c r="LE503" s="405"/>
      <c r="LK503" s="83"/>
      <c r="LS503" s="405"/>
      <c r="LY503" s="83"/>
      <c r="MG503" s="405"/>
      <c r="MM503" s="83"/>
      <c r="MU503" s="405"/>
      <c r="NA503" s="83"/>
    </row>
    <row r="504">
      <c r="A504" s="380"/>
      <c r="B504" s="380"/>
      <c r="C504" s="380"/>
      <c r="D504" s="380"/>
      <c r="E504" s="380"/>
      <c r="F504" s="380"/>
      <c r="G504" s="380"/>
      <c r="H504" s="380"/>
      <c r="I504" s="403"/>
      <c r="J504" s="380"/>
      <c r="K504" s="380"/>
      <c r="L504" s="380"/>
      <c r="M504" s="380"/>
      <c r="N504" s="380"/>
      <c r="O504" s="404"/>
      <c r="P504" s="380"/>
      <c r="Q504" s="380"/>
      <c r="R504" s="380"/>
      <c r="S504" s="380"/>
      <c r="T504" s="380"/>
      <c r="U504" s="380"/>
      <c r="V504" s="380"/>
      <c r="W504" s="403"/>
      <c r="X504" s="380"/>
      <c r="Y504" s="380"/>
      <c r="Z504" s="380"/>
      <c r="AA504" s="380"/>
      <c r="AB504" s="380"/>
      <c r="AC504" s="404"/>
      <c r="AD504" s="380"/>
      <c r="AE504" s="380"/>
      <c r="AF504" s="380"/>
      <c r="AG504" s="380"/>
      <c r="AH504" s="380"/>
      <c r="AI504" s="380"/>
      <c r="AJ504" s="380"/>
      <c r="AK504" s="403"/>
      <c r="AL504" s="380"/>
      <c r="AM504" s="380"/>
      <c r="AN504" s="380"/>
      <c r="AO504" s="380"/>
      <c r="AP504" s="380"/>
      <c r="AQ504" s="404"/>
      <c r="AR504" s="380"/>
      <c r="AS504" s="380"/>
      <c r="AT504" s="380"/>
      <c r="AU504" s="380"/>
      <c r="AV504" s="380"/>
      <c r="AW504" s="380"/>
      <c r="AX504" s="380"/>
      <c r="AY504" s="403"/>
      <c r="AZ504" s="380"/>
      <c r="BA504" s="380"/>
      <c r="BB504" s="380"/>
      <c r="BC504" s="380"/>
      <c r="BD504" s="380"/>
      <c r="BE504" s="404"/>
      <c r="BF504" s="380"/>
      <c r="BG504" s="380"/>
      <c r="BH504" s="380"/>
      <c r="BI504" s="380"/>
      <c r="BJ504" s="380"/>
      <c r="BK504" s="380"/>
      <c r="BL504" s="380"/>
      <c r="BM504" s="403"/>
      <c r="BS504" s="83"/>
      <c r="CA504" s="405"/>
      <c r="CG504" s="83"/>
      <c r="CO504" s="405"/>
      <c r="CU504" s="83"/>
      <c r="DC504" s="405"/>
      <c r="DI504" s="83"/>
      <c r="DQ504" s="405"/>
      <c r="DW504" s="83"/>
      <c r="EE504" s="405"/>
      <c r="EK504" s="83"/>
      <c r="ES504" s="405"/>
      <c r="EY504" s="83"/>
      <c r="FG504" s="405"/>
      <c r="FM504" s="83"/>
      <c r="FU504" s="405"/>
      <c r="GA504" s="83"/>
      <c r="GI504" s="405"/>
      <c r="GO504" s="83"/>
      <c r="GW504" s="405"/>
      <c r="HC504" s="83"/>
      <c r="HK504" s="405"/>
      <c r="HQ504" s="83"/>
      <c r="HY504" s="405"/>
      <c r="IE504" s="83"/>
      <c r="IM504" s="405"/>
      <c r="IS504" s="83"/>
      <c r="JA504" s="405"/>
      <c r="JG504" s="83"/>
      <c r="JO504" s="405"/>
      <c r="JU504" s="83"/>
      <c r="KC504" s="405"/>
      <c r="KI504" s="83"/>
      <c r="KQ504" s="405"/>
      <c r="KW504" s="83"/>
      <c r="LE504" s="405"/>
      <c r="LK504" s="83"/>
      <c r="LS504" s="405"/>
      <c r="LY504" s="83"/>
      <c r="MG504" s="405"/>
      <c r="MM504" s="83"/>
      <c r="MU504" s="405"/>
      <c r="NA504" s="83"/>
    </row>
    <row r="505">
      <c r="A505" s="380"/>
      <c r="B505" s="380"/>
      <c r="C505" s="380"/>
      <c r="D505" s="380"/>
      <c r="E505" s="380"/>
      <c r="F505" s="380"/>
      <c r="G505" s="380"/>
      <c r="H505" s="380"/>
      <c r="I505" s="403"/>
      <c r="J505" s="380"/>
      <c r="K505" s="380"/>
      <c r="L505" s="380"/>
      <c r="M505" s="380"/>
      <c r="N505" s="380"/>
      <c r="O505" s="404"/>
      <c r="P505" s="380"/>
      <c r="Q505" s="380"/>
      <c r="R505" s="380"/>
      <c r="S505" s="380"/>
      <c r="T505" s="380"/>
      <c r="U505" s="380"/>
      <c r="V505" s="380"/>
      <c r="W505" s="403"/>
      <c r="X505" s="380"/>
      <c r="Y505" s="380"/>
      <c r="Z505" s="380"/>
      <c r="AA505" s="380"/>
      <c r="AB505" s="380"/>
      <c r="AC505" s="404"/>
      <c r="AD505" s="380"/>
      <c r="AE505" s="380"/>
      <c r="AF505" s="380"/>
      <c r="AG505" s="380"/>
      <c r="AH505" s="380"/>
      <c r="AI505" s="380"/>
      <c r="AJ505" s="380"/>
      <c r="AK505" s="403"/>
      <c r="AL505" s="380"/>
      <c r="AM505" s="380"/>
      <c r="AN505" s="380"/>
      <c r="AO505" s="380"/>
      <c r="AP505" s="380"/>
      <c r="AQ505" s="404"/>
      <c r="AR505" s="380"/>
      <c r="AS505" s="380"/>
      <c r="AT505" s="380"/>
      <c r="AU505" s="380"/>
      <c r="AV505" s="380"/>
      <c r="AW505" s="380"/>
      <c r="AX505" s="380"/>
      <c r="AY505" s="403"/>
      <c r="AZ505" s="380"/>
      <c r="BA505" s="380"/>
      <c r="BB505" s="380"/>
      <c r="BC505" s="380"/>
      <c r="BD505" s="380"/>
      <c r="BE505" s="404"/>
      <c r="BF505" s="380"/>
      <c r="BG505" s="380"/>
      <c r="BH505" s="380"/>
      <c r="BI505" s="380"/>
      <c r="BJ505" s="380"/>
      <c r="BK505" s="380"/>
      <c r="BL505" s="380"/>
      <c r="BM505" s="403"/>
      <c r="BS505" s="83"/>
      <c r="CA505" s="405"/>
      <c r="CG505" s="83"/>
      <c r="CO505" s="405"/>
      <c r="CU505" s="83"/>
      <c r="DC505" s="405"/>
      <c r="DI505" s="83"/>
      <c r="DQ505" s="405"/>
      <c r="DW505" s="83"/>
      <c r="EE505" s="405"/>
      <c r="EK505" s="83"/>
      <c r="ES505" s="405"/>
      <c r="EY505" s="83"/>
      <c r="FG505" s="405"/>
      <c r="FM505" s="83"/>
      <c r="FU505" s="405"/>
      <c r="GA505" s="83"/>
      <c r="GI505" s="405"/>
      <c r="GO505" s="83"/>
      <c r="GW505" s="405"/>
      <c r="HC505" s="83"/>
      <c r="HK505" s="405"/>
      <c r="HQ505" s="83"/>
      <c r="HY505" s="405"/>
      <c r="IE505" s="83"/>
      <c r="IM505" s="405"/>
      <c r="IS505" s="83"/>
      <c r="JA505" s="405"/>
      <c r="JG505" s="83"/>
      <c r="JO505" s="405"/>
      <c r="JU505" s="83"/>
      <c r="KC505" s="405"/>
      <c r="KI505" s="83"/>
      <c r="KQ505" s="405"/>
      <c r="KW505" s="83"/>
      <c r="LE505" s="405"/>
      <c r="LK505" s="83"/>
      <c r="LS505" s="405"/>
      <c r="LY505" s="83"/>
      <c r="MG505" s="405"/>
      <c r="MM505" s="83"/>
      <c r="MU505" s="405"/>
      <c r="NA505" s="83"/>
    </row>
    <row r="506">
      <c r="A506" s="380"/>
      <c r="B506" s="380"/>
      <c r="C506" s="380"/>
      <c r="D506" s="380"/>
      <c r="E506" s="380"/>
      <c r="F506" s="380"/>
      <c r="G506" s="380"/>
      <c r="H506" s="380"/>
      <c r="I506" s="403"/>
      <c r="J506" s="380"/>
      <c r="K506" s="380"/>
      <c r="L506" s="380"/>
      <c r="M506" s="380"/>
      <c r="N506" s="380"/>
      <c r="O506" s="404"/>
      <c r="P506" s="380"/>
      <c r="Q506" s="380"/>
      <c r="R506" s="380"/>
      <c r="S506" s="380"/>
      <c r="T506" s="380"/>
      <c r="U506" s="380"/>
      <c r="V506" s="380"/>
      <c r="W506" s="403"/>
      <c r="X506" s="380"/>
      <c r="Y506" s="380"/>
      <c r="Z506" s="380"/>
      <c r="AA506" s="380"/>
      <c r="AB506" s="380"/>
      <c r="AC506" s="404"/>
      <c r="AD506" s="380"/>
      <c r="AE506" s="380"/>
      <c r="AF506" s="380"/>
      <c r="AG506" s="380"/>
      <c r="AH506" s="380"/>
      <c r="AI506" s="380"/>
      <c r="AJ506" s="380"/>
      <c r="AK506" s="403"/>
      <c r="AL506" s="380"/>
      <c r="AM506" s="380"/>
      <c r="AN506" s="380"/>
      <c r="AO506" s="380"/>
      <c r="AP506" s="380"/>
      <c r="AQ506" s="404"/>
      <c r="AR506" s="380"/>
      <c r="AS506" s="380"/>
      <c r="AT506" s="380"/>
      <c r="AU506" s="380"/>
      <c r="AV506" s="380"/>
      <c r="AW506" s="380"/>
      <c r="AX506" s="380"/>
      <c r="AY506" s="403"/>
      <c r="AZ506" s="380"/>
      <c r="BA506" s="380"/>
      <c r="BB506" s="380"/>
      <c r="BC506" s="380"/>
      <c r="BD506" s="380"/>
      <c r="BE506" s="404"/>
      <c r="BF506" s="380"/>
      <c r="BG506" s="380"/>
      <c r="BH506" s="380"/>
      <c r="BI506" s="380"/>
      <c r="BJ506" s="380"/>
      <c r="BK506" s="380"/>
      <c r="BL506" s="380"/>
      <c r="BM506" s="403"/>
      <c r="BS506" s="83"/>
      <c r="CA506" s="405"/>
      <c r="CG506" s="83"/>
      <c r="CO506" s="405"/>
      <c r="CU506" s="83"/>
      <c r="DC506" s="405"/>
      <c r="DI506" s="83"/>
      <c r="DQ506" s="405"/>
      <c r="DW506" s="83"/>
      <c r="EE506" s="405"/>
      <c r="EK506" s="83"/>
      <c r="ES506" s="405"/>
      <c r="EY506" s="83"/>
      <c r="FG506" s="405"/>
      <c r="FM506" s="83"/>
      <c r="FU506" s="405"/>
      <c r="GA506" s="83"/>
      <c r="GI506" s="405"/>
      <c r="GO506" s="83"/>
      <c r="GW506" s="405"/>
      <c r="HC506" s="83"/>
      <c r="HK506" s="405"/>
      <c r="HQ506" s="83"/>
      <c r="HY506" s="405"/>
      <c r="IE506" s="83"/>
      <c r="IM506" s="405"/>
      <c r="IS506" s="83"/>
      <c r="JA506" s="405"/>
      <c r="JG506" s="83"/>
      <c r="JO506" s="405"/>
      <c r="JU506" s="83"/>
      <c r="KC506" s="405"/>
      <c r="KI506" s="83"/>
      <c r="KQ506" s="405"/>
      <c r="KW506" s="83"/>
      <c r="LE506" s="405"/>
      <c r="LK506" s="83"/>
      <c r="LS506" s="405"/>
      <c r="LY506" s="83"/>
      <c r="MG506" s="405"/>
      <c r="MM506" s="83"/>
      <c r="MU506" s="405"/>
      <c r="NA506" s="83"/>
    </row>
    <row r="507">
      <c r="A507" s="380"/>
      <c r="B507" s="380"/>
      <c r="C507" s="380"/>
      <c r="D507" s="380"/>
      <c r="E507" s="380"/>
      <c r="F507" s="380"/>
      <c r="G507" s="380"/>
      <c r="H507" s="380"/>
      <c r="I507" s="403"/>
      <c r="J507" s="380"/>
      <c r="K507" s="380"/>
      <c r="L507" s="380"/>
      <c r="M507" s="380"/>
      <c r="N507" s="380"/>
      <c r="O507" s="404"/>
      <c r="P507" s="380"/>
      <c r="Q507" s="380"/>
      <c r="R507" s="380"/>
      <c r="S507" s="380"/>
      <c r="T507" s="380"/>
      <c r="U507" s="380"/>
      <c r="V507" s="380"/>
      <c r="W507" s="403"/>
      <c r="X507" s="380"/>
      <c r="Y507" s="380"/>
      <c r="Z507" s="380"/>
      <c r="AA507" s="380"/>
      <c r="AB507" s="380"/>
      <c r="AC507" s="404"/>
      <c r="AD507" s="380"/>
      <c r="AE507" s="380"/>
      <c r="AF507" s="380"/>
      <c r="AG507" s="380"/>
      <c r="AH507" s="380"/>
      <c r="AI507" s="380"/>
      <c r="AJ507" s="380"/>
      <c r="AK507" s="403"/>
      <c r="AL507" s="380"/>
      <c r="AM507" s="380"/>
      <c r="AN507" s="380"/>
      <c r="AO507" s="380"/>
      <c r="AP507" s="380"/>
      <c r="AQ507" s="404"/>
      <c r="AR507" s="380"/>
      <c r="AS507" s="380"/>
      <c r="AT507" s="380"/>
      <c r="AU507" s="380"/>
      <c r="AV507" s="380"/>
      <c r="AW507" s="380"/>
      <c r="AX507" s="380"/>
      <c r="AY507" s="403"/>
      <c r="AZ507" s="380"/>
      <c r="BA507" s="380"/>
      <c r="BB507" s="380"/>
      <c r="BC507" s="380"/>
      <c r="BD507" s="380"/>
      <c r="BE507" s="404"/>
      <c r="BF507" s="380"/>
      <c r="BG507" s="380"/>
      <c r="BH507" s="380"/>
      <c r="BI507" s="380"/>
      <c r="BJ507" s="380"/>
      <c r="BK507" s="380"/>
      <c r="BL507" s="380"/>
      <c r="BM507" s="403"/>
      <c r="BS507" s="83"/>
      <c r="CA507" s="405"/>
      <c r="CG507" s="83"/>
      <c r="CO507" s="405"/>
      <c r="CU507" s="83"/>
      <c r="DC507" s="405"/>
      <c r="DI507" s="83"/>
      <c r="DQ507" s="405"/>
      <c r="DW507" s="83"/>
      <c r="EE507" s="405"/>
      <c r="EK507" s="83"/>
      <c r="ES507" s="405"/>
      <c r="EY507" s="83"/>
      <c r="FG507" s="405"/>
      <c r="FM507" s="83"/>
      <c r="FU507" s="405"/>
      <c r="GA507" s="83"/>
      <c r="GI507" s="405"/>
      <c r="GO507" s="83"/>
      <c r="GW507" s="405"/>
      <c r="HC507" s="83"/>
      <c r="HK507" s="405"/>
      <c r="HQ507" s="83"/>
      <c r="HY507" s="405"/>
      <c r="IE507" s="83"/>
      <c r="IM507" s="405"/>
      <c r="IS507" s="83"/>
      <c r="JA507" s="405"/>
      <c r="JG507" s="83"/>
      <c r="JO507" s="405"/>
      <c r="JU507" s="83"/>
      <c r="KC507" s="405"/>
      <c r="KI507" s="83"/>
      <c r="KQ507" s="405"/>
      <c r="KW507" s="83"/>
      <c r="LE507" s="405"/>
      <c r="LK507" s="83"/>
      <c r="LS507" s="405"/>
      <c r="LY507" s="83"/>
      <c r="MG507" s="405"/>
      <c r="MM507" s="83"/>
      <c r="MU507" s="405"/>
      <c r="NA507" s="83"/>
    </row>
    <row r="508">
      <c r="A508" s="380"/>
      <c r="B508" s="380"/>
      <c r="C508" s="380"/>
      <c r="D508" s="380"/>
      <c r="E508" s="380"/>
      <c r="F508" s="380"/>
      <c r="G508" s="380"/>
      <c r="H508" s="380"/>
      <c r="I508" s="403"/>
      <c r="J508" s="380"/>
      <c r="K508" s="380"/>
      <c r="L508" s="380"/>
      <c r="M508" s="380"/>
      <c r="N508" s="380"/>
      <c r="O508" s="404"/>
      <c r="P508" s="380"/>
      <c r="Q508" s="380"/>
      <c r="R508" s="380"/>
      <c r="S508" s="380"/>
      <c r="T508" s="380"/>
      <c r="U508" s="380"/>
      <c r="V508" s="380"/>
      <c r="W508" s="403"/>
      <c r="X508" s="380"/>
      <c r="Y508" s="380"/>
      <c r="Z508" s="380"/>
      <c r="AA508" s="380"/>
      <c r="AB508" s="380"/>
      <c r="AC508" s="404"/>
      <c r="AD508" s="380"/>
      <c r="AE508" s="380"/>
      <c r="AF508" s="380"/>
      <c r="AG508" s="380"/>
      <c r="AH508" s="380"/>
      <c r="AI508" s="380"/>
      <c r="AJ508" s="380"/>
      <c r="AK508" s="403"/>
      <c r="AL508" s="380"/>
      <c r="AM508" s="380"/>
      <c r="AN508" s="380"/>
      <c r="AO508" s="380"/>
      <c r="AP508" s="380"/>
      <c r="AQ508" s="404"/>
      <c r="AR508" s="380"/>
      <c r="AS508" s="380"/>
      <c r="AT508" s="380"/>
      <c r="AU508" s="380"/>
      <c r="AV508" s="380"/>
      <c r="AW508" s="380"/>
      <c r="AX508" s="380"/>
      <c r="AY508" s="403"/>
      <c r="AZ508" s="380"/>
      <c r="BA508" s="380"/>
      <c r="BB508" s="380"/>
      <c r="BC508" s="380"/>
      <c r="BD508" s="380"/>
      <c r="BE508" s="404"/>
      <c r="BF508" s="380"/>
      <c r="BG508" s="380"/>
      <c r="BH508" s="380"/>
      <c r="BI508" s="380"/>
      <c r="BJ508" s="380"/>
      <c r="BK508" s="380"/>
      <c r="BL508" s="380"/>
      <c r="BM508" s="403"/>
      <c r="BS508" s="83"/>
      <c r="CA508" s="405"/>
      <c r="CG508" s="83"/>
      <c r="CO508" s="405"/>
      <c r="CU508" s="83"/>
      <c r="DC508" s="405"/>
      <c r="DI508" s="83"/>
      <c r="DQ508" s="405"/>
      <c r="DW508" s="83"/>
      <c r="EE508" s="405"/>
      <c r="EK508" s="83"/>
      <c r="ES508" s="405"/>
      <c r="EY508" s="83"/>
      <c r="FG508" s="405"/>
      <c r="FM508" s="83"/>
      <c r="FU508" s="405"/>
      <c r="GA508" s="83"/>
      <c r="GI508" s="405"/>
      <c r="GO508" s="83"/>
      <c r="GW508" s="405"/>
      <c r="HC508" s="83"/>
      <c r="HK508" s="405"/>
      <c r="HQ508" s="83"/>
      <c r="HY508" s="405"/>
      <c r="IE508" s="83"/>
      <c r="IM508" s="405"/>
      <c r="IS508" s="83"/>
      <c r="JA508" s="405"/>
      <c r="JG508" s="83"/>
      <c r="JO508" s="405"/>
      <c r="JU508" s="83"/>
      <c r="KC508" s="405"/>
      <c r="KI508" s="83"/>
      <c r="KQ508" s="405"/>
      <c r="KW508" s="83"/>
      <c r="LE508" s="405"/>
      <c r="LK508" s="83"/>
      <c r="LS508" s="405"/>
      <c r="LY508" s="83"/>
      <c r="MG508" s="405"/>
      <c r="MM508" s="83"/>
      <c r="MU508" s="405"/>
      <c r="NA508" s="83"/>
    </row>
    <row r="509">
      <c r="A509" s="380"/>
      <c r="B509" s="380"/>
      <c r="C509" s="380"/>
      <c r="D509" s="380"/>
      <c r="E509" s="380"/>
      <c r="F509" s="380"/>
      <c r="G509" s="380"/>
      <c r="H509" s="380"/>
      <c r="I509" s="403"/>
      <c r="J509" s="380"/>
      <c r="K509" s="380"/>
      <c r="L509" s="380"/>
      <c r="M509" s="380"/>
      <c r="N509" s="380"/>
      <c r="O509" s="404"/>
      <c r="P509" s="380"/>
      <c r="Q509" s="380"/>
      <c r="R509" s="380"/>
      <c r="S509" s="380"/>
      <c r="T509" s="380"/>
      <c r="U509" s="380"/>
      <c r="V509" s="380"/>
      <c r="W509" s="403"/>
      <c r="X509" s="380"/>
      <c r="Y509" s="380"/>
      <c r="Z509" s="380"/>
      <c r="AA509" s="380"/>
      <c r="AB509" s="380"/>
      <c r="AC509" s="404"/>
      <c r="AD509" s="380"/>
      <c r="AE509" s="380"/>
      <c r="AF509" s="380"/>
      <c r="AG509" s="380"/>
      <c r="AH509" s="380"/>
      <c r="AI509" s="380"/>
      <c r="AJ509" s="380"/>
      <c r="AK509" s="403"/>
      <c r="AL509" s="380"/>
      <c r="AM509" s="380"/>
      <c r="AN509" s="380"/>
      <c r="AO509" s="380"/>
      <c r="AP509" s="380"/>
      <c r="AQ509" s="404"/>
      <c r="AR509" s="380"/>
      <c r="AS509" s="380"/>
      <c r="AT509" s="380"/>
      <c r="AU509" s="380"/>
      <c r="AV509" s="380"/>
      <c r="AW509" s="380"/>
      <c r="AX509" s="380"/>
      <c r="AY509" s="403"/>
      <c r="AZ509" s="380"/>
      <c r="BA509" s="380"/>
      <c r="BB509" s="380"/>
      <c r="BC509" s="380"/>
      <c r="BD509" s="380"/>
      <c r="BE509" s="404"/>
      <c r="BF509" s="380"/>
      <c r="BG509" s="380"/>
      <c r="BH509" s="380"/>
      <c r="BI509" s="380"/>
      <c r="BJ509" s="380"/>
      <c r="BK509" s="380"/>
      <c r="BL509" s="380"/>
      <c r="BM509" s="403"/>
      <c r="BS509" s="83"/>
      <c r="CA509" s="405"/>
      <c r="CG509" s="83"/>
      <c r="CO509" s="405"/>
      <c r="CU509" s="83"/>
      <c r="DC509" s="405"/>
      <c r="DI509" s="83"/>
      <c r="DQ509" s="405"/>
      <c r="DW509" s="83"/>
      <c r="EE509" s="405"/>
      <c r="EK509" s="83"/>
      <c r="ES509" s="405"/>
      <c r="EY509" s="83"/>
      <c r="FG509" s="405"/>
      <c r="FM509" s="83"/>
      <c r="FU509" s="405"/>
      <c r="GA509" s="83"/>
      <c r="GI509" s="405"/>
      <c r="GO509" s="83"/>
      <c r="GW509" s="405"/>
      <c r="HC509" s="83"/>
      <c r="HK509" s="405"/>
      <c r="HQ509" s="83"/>
      <c r="HY509" s="405"/>
      <c r="IE509" s="83"/>
      <c r="IM509" s="405"/>
      <c r="IS509" s="83"/>
      <c r="JA509" s="405"/>
      <c r="JG509" s="83"/>
      <c r="JO509" s="405"/>
      <c r="JU509" s="83"/>
      <c r="KC509" s="405"/>
      <c r="KI509" s="83"/>
      <c r="KQ509" s="405"/>
      <c r="KW509" s="83"/>
      <c r="LE509" s="405"/>
      <c r="LK509" s="83"/>
      <c r="LS509" s="405"/>
      <c r="LY509" s="83"/>
      <c r="MG509" s="405"/>
      <c r="MM509" s="83"/>
      <c r="MU509" s="405"/>
      <c r="NA509" s="83"/>
    </row>
    <row r="510">
      <c r="A510" s="380"/>
      <c r="B510" s="380"/>
      <c r="C510" s="380"/>
      <c r="D510" s="380"/>
      <c r="E510" s="380"/>
      <c r="F510" s="380"/>
      <c r="G510" s="380"/>
      <c r="H510" s="380"/>
      <c r="I510" s="403"/>
      <c r="J510" s="380"/>
      <c r="K510" s="380"/>
      <c r="L510" s="380"/>
      <c r="M510" s="380"/>
      <c r="N510" s="380"/>
      <c r="O510" s="404"/>
      <c r="P510" s="380"/>
      <c r="Q510" s="380"/>
      <c r="R510" s="380"/>
      <c r="S510" s="380"/>
      <c r="T510" s="380"/>
      <c r="U510" s="380"/>
      <c r="V510" s="380"/>
      <c r="W510" s="403"/>
      <c r="X510" s="380"/>
      <c r="Y510" s="380"/>
      <c r="Z510" s="380"/>
      <c r="AA510" s="380"/>
      <c r="AB510" s="380"/>
      <c r="AC510" s="404"/>
      <c r="AD510" s="380"/>
      <c r="AE510" s="380"/>
      <c r="AF510" s="380"/>
      <c r="AG510" s="380"/>
      <c r="AH510" s="380"/>
      <c r="AI510" s="380"/>
      <c r="AJ510" s="380"/>
      <c r="AK510" s="403"/>
      <c r="AL510" s="380"/>
      <c r="AM510" s="380"/>
      <c r="AN510" s="380"/>
      <c r="AO510" s="380"/>
      <c r="AP510" s="380"/>
      <c r="AQ510" s="404"/>
      <c r="AR510" s="380"/>
      <c r="AS510" s="380"/>
      <c r="AT510" s="380"/>
      <c r="AU510" s="380"/>
      <c r="AV510" s="380"/>
      <c r="AW510" s="380"/>
      <c r="AX510" s="380"/>
      <c r="AY510" s="403"/>
      <c r="AZ510" s="380"/>
      <c r="BA510" s="380"/>
      <c r="BB510" s="380"/>
      <c r="BC510" s="380"/>
      <c r="BD510" s="380"/>
      <c r="BE510" s="404"/>
      <c r="BF510" s="380"/>
      <c r="BG510" s="380"/>
      <c r="BH510" s="380"/>
      <c r="BI510" s="380"/>
      <c r="BJ510" s="380"/>
      <c r="BK510" s="380"/>
      <c r="BL510" s="380"/>
      <c r="BM510" s="403"/>
      <c r="BS510" s="83"/>
      <c r="CA510" s="405"/>
      <c r="CG510" s="83"/>
      <c r="CO510" s="405"/>
      <c r="CU510" s="83"/>
      <c r="DC510" s="405"/>
      <c r="DI510" s="83"/>
      <c r="DQ510" s="405"/>
      <c r="DW510" s="83"/>
      <c r="EE510" s="405"/>
      <c r="EK510" s="83"/>
      <c r="ES510" s="405"/>
      <c r="EY510" s="83"/>
      <c r="FG510" s="405"/>
      <c r="FM510" s="83"/>
      <c r="FU510" s="405"/>
      <c r="GA510" s="83"/>
      <c r="GI510" s="405"/>
      <c r="GO510" s="83"/>
      <c r="GW510" s="405"/>
      <c r="HC510" s="83"/>
      <c r="HK510" s="405"/>
      <c r="HQ510" s="83"/>
      <c r="HY510" s="405"/>
      <c r="IE510" s="83"/>
      <c r="IM510" s="405"/>
      <c r="IS510" s="83"/>
      <c r="JA510" s="405"/>
      <c r="JG510" s="83"/>
      <c r="JO510" s="405"/>
      <c r="JU510" s="83"/>
      <c r="KC510" s="405"/>
      <c r="KI510" s="83"/>
      <c r="KQ510" s="405"/>
      <c r="KW510" s="83"/>
      <c r="LE510" s="405"/>
      <c r="LK510" s="83"/>
      <c r="LS510" s="405"/>
      <c r="LY510" s="83"/>
      <c r="MG510" s="405"/>
      <c r="MM510" s="83"/>
      <c r="MU510" s="405"/>
      <c r="NA510" s="83"/>
    </row>
    <row r="511">
      <c r="A511" s="380"/>
      <c r="B511" s="380"/>
      <c r="C511" s="380"/>
      <c r="D511" s="380"/>
      <c r="E511" s="380"/>
      <c r="F511" s="380"/>
      <c r="G511" s="380"/>
      <c r="H511" s="380"/>
      <c r="I511" s="403"/>
      <c r="J511" s="380"/>
      <c r="K511" s="380"/>
      <c r="L511" s="380"/>
      <c r="M511" s="380"/>
      <c r="N511" s="380"/>
      <c r="O511" s="404"/>
      <c r="P511" s="380"/>
      <c r="Q511" s="380"/>
      <c r="R511" s="380"/>
      <c r="S511" s="380"/>
      <c r="T511" s="380"/>
      <c r="U511" s="380"/>
      <c r="V511" s="380"/>
      <c r="W511" s="403"/>
      <c r="X511" s="380"/>
      <c r="Y511" s="380"/>
      <c r="Z511" s="380"/>
      <c r="AA511" s="380"/>
      <c r="AB511" s="380"/>
      <c r="AC511" s="404"/>
      <c r="AD511" s="380"/>
      <c r="AE511" s="380"/>
      <c r="AF511" s="380"/>
      <c r="AG511" s="380"/>
      <c r="AH511" s="380"/>
      <c r="AI511" s="380"/>
      <c r="AJ511" s="380"/>
      <c r="AK511" s="403"/>
      <c r="AL511" s="380"/>
      <c r="AM511" s="380"/>
      <c r="AN511" s="380"/>
      <c r="AO511" s="380"/>
      <c r="AP511" s="380"/>
      <c r="AQ511" s="404"/>
      <c r="AR511" s="380"/>
      <c r="AS511" s="380"/>
      <c r="AT511" s="380"/>
      <c r="AU511" s="380"/>
      <c r="AV511" s="380"/>
      <c r="AW511" s="380"/>
      <c r="AX511" s="380"/>
      <c r="AY511" s="403"/>
      <c r="AZ511" s="380"/>
      <c r="BA511" s="380"/>
      <c r="BB511" s="380"/>
      <c r="BC511" s="380"/>
      <c r="BD511" s="380"/>
      <c r="BE511" s="404"/>
      <c r="BF511" s="380"/>
      <c r="BG511" s="380"/>
      <c r="BH511" s="380"/>
      <c r="BI511" s="380"/>
      <c r="BJ511" s="380"/>
      <c r="BK511" s="380"/>
      <c r="BL511" s="380"/>
      <c r="BM511" s="403"/>
      <c r="BS511" s="83"/>
      <c r="CA511" s="405"/>
      <c r="CG511" s="83"/>
      <c r="CO511" s="405"/>
      <c r="CU511" s="83"/>
      <c r="DC511" s="405"/>
      <c r="DI511" s="83"/>
      <c r="DQ511" s="405"/>
      <c r="DW511" s="83"/>
      <c r="EE511" s="405"/>
      <c r="EK511" s="83"/>
      <c r="ES511" s="405"/>
      <c r="EY511" s="83"/>
      <c r="FG511" s="405"/>
      <c r="FM511" s="83"/>
      <c r="FU511" s="405"/>
      <c r="GA511" s="83"/>
      <c r="GI511" s="405"/>
      <c r="GO511" s="83"/>
      <c r="GW511" s="405"/>
      <c r="HC511" s="83"/>
      <c r="HK511" s="405"/>
      <c r="HQ511" s="83"/>
      <c r="HY511" s="405"/>
      <c r="IE511" s="83"/>
      <c r="IM511" s="405"/>
      <c r="IS511" s="83"/>
      <c r="JA511" s="405"/>
      <c r="JG511" s="83"/>
      <c r="JO511" s="405"/>
      <c r="JU511" s="83"/>
      <c r="KC511" s="405"/>
      <c r="KI511" s="83"/>
      <c r="KQ511" s="405"/>
      <c r="KW511" s="83"/>
      <c r="LE511" s="405"/>
      <c r="LK511" s="83"/>
      <c r="LS511" s="405"/>
      <c r="LY511" s="83"/>
      <c r="MG511" s="405"/>
      <c r="MM511" s="83"/>
      <c r="MU511" s="405"/>
      <c r="NA511" s="83"/>
    </row>
    <row r="512">
      <c r="A512" s="380"/>
      <c r="B512" s="380"/>
      <c r="C512" s="380"/>
      <c r="D512" s="380"/>
      <c r="E512" s="380"/>
      <c r="F512" s="380"/>
      <c r="G512" s="380"/>
      <c r="H512" s="380"/>
      <c r="I512" s="403"/>
      <c r="J512" s="380"/>
      <c r="K512" s="380"/>
      <c r="L512" s="380"/>
      <c r="M512" s="380"/>
      <c r="N512" s="380"/>
      <c r="O512" s="404"/>
      <c r="P512" s="380"/>
      <c r="Q512" s="380"/>
      <c r="R512" s="380"/>
      <c r="S512" s="380"/>
      <c r="T512" s="380"/>
      <c r="U512" s="380"/>
      <c r="V512" s="380"/>
      <c r="W512" s="403"/>
      <c r="X512" s="380"/>
      <c r="Y512" s="380"/>
      <c r="Z512" s="380"/>
      <c r="AA512" s="380"/>
      <c r="AB512" s="380"/>
      <c r="AC512" s="404"/>
      <c r="AD512" s="380"/>
      <c r="AE512" s="380"/>
      <c r="AF512" s="380"/>
      <c r="AG512" s="380"/>
      <c r="AH512" s="380"/>
      <c r="AI512" s="380"/>
      <c r="AJ512" s="380"/>
      <c r="AK512" s="403"/>
      <c r="AL512" s="380"/>
      <c r="AM512" s="380"/>
      <c r="AN512" s="380"/>
      <c r="AO512" s="380"/>
      <c r="AP512" s="380"/>
      <c r="AQ512" s="404"/>
      <c r="AR512" s="380"/>
      <c r="AS512" s="380"/>
      <c r="AT512" s="380"/>
      <c r="AU512" s="380"/>
      <c r="AV512" s="380"/>
      <c r="AW512" s="380"/>
      <c r="AX512" s="380"/>
      <c r="AY512" s="403"/>
      <c r="AZ512" s="380"/>
      <c r="BA512" s="380"/>
      <c r="BB512" s="380"/>
      <c r="BC512" s="380"/>
      <c r="BD512" s="380"/>
      <c r="BE512" s="404"/>
      <c r="BF512" s="380"/>
      <c r="BG512" s="380"/>
      <c r="BH512" s="380"/>
      <c r="BI512" s="380"/>
      <c r="BJ512" s="380"/>
      <c r="BK512" s="380"/>
      <c r="BL512" s="380"/>
      <c r="BM512" s="403"/>
      <c r="BS512" s="83"/>
      <c r="CA512" s="405"/>
      <c r="CG512" s="83"/>
      <c r="CO512" s="405"/>
      <c r="CU512" s="83"/>
      <c r="DC512" s="405"/>
      <c r="DI512" s="83"/>
      <c r="DQ512" s="405"/>
      <c r="DW512" s="83"/>
      <c r="EE512" s="405"/>
      <c r="EK512" s="83"/>
      <c r="ES512" s="405"/>
      <c r="EY512" s="83"/>
      <c r="FG512" s="405"/>
      <c r="FM512" s="83"/>
      <c r="FU512" s="405"/>
      <c r="GA512" s="83"/>
      <c r="GI512" s="405"/>
      <c r="GO512" s="83"/>
      <c r="GW512" s="405"/>
      <c r="HC512" s="83"/>
      <c r="HK512" s="405"/>
      <c r="HQ512" s="83"/>
      <c r="HY512" s="405"/>
      <c r="IE512" s="83"/>
      <c r="IM512" s="405"/>
      <c r="IS512" s="83"/>
      <c r="JA512" s="405"/>
      <c r="JG512" s="83"/>
      <c r="JO512" s="405"/>
      <c r="JU512" s="83"/>
      <c r="KC512" s="405"/>
      <c r="KI512" s="83"/>
      <c r="KQ512" s="405"/>
      <c r="KW512" s="83"/>
      <c r="LE512" s="405"/>
      <c r="LK512" s="83"/>
      <c r="LS512" s="405"/>
      <c r="LY512" s="83"/>
      <c r="MG512" s="405"/>
      <c r="MM512" s="83"/>
      <c r="MU512" s="405"/>
      <c r="NA512" s="83"/>
    </row>
    <row r="513">
      <c r="A513" s="380"/>
      <c r="B513" s="380"/>
      <c r="C513" s="380"/>
      <c r="D513" s="380"/>
      <c r="E513" s="380"/>
      <c r="F513" s="380"/>
      <c r="G513" s="380"/>
      <c r="H513" s="380"/>
      <c r="I513" s="403"/>
      <c r="J513" s="380"/>
      <c r="K513" s="380"/>
      <c r="L513" s="380"/>
      <c r="M513" s="380"/>
      <c r="N513" s="380"/>
      <c r="O513" s="404"/>
      <c r="P513" s="380"/>
      <c r="Q513" s="380"/>
      <c r="R513" s="380"/>
      <c r="S513" s="380"/>
      <c r="T513" s="380"/>
      <c r="U513" s="380"/>
      <c r="V513" s="380"/>
      <c r="W513" s="403"/>
      <c r="X513" s="380"/>
      <c r="Y513" s="380"/>
      <c r="Z513" s="380"/>
      <c r="AA513" s="380"/>
      <c r="AB513" s="380"/>
      <c r="AC513" s="404"/>
      <c r="AD513" s="380"/>
      <c r="AE513" s="380"/>
      <c r="AF513" s="380"/>
      <c r="AG513" s="380"/>
      <c r="AH513" s="380"/>
      <c r="AI513" s="380"/>
      <c r="AJ513" s="380"/>
      <c r="AK513" s="403"/>
      <c r="AL513" s="380"/>
      <c r="AM513" s="380"/>
      <c r="AN513" s="380"/>
      <c r="AO513" s="380"/>
      <c r="AP513" s="380"/>
      <c r="AQ513" s="404"/>
      <c r="AR513" s="380"/>
      <c r="AS513" s="380"/>
      <c r="AT513" s="380"/>
      <c r="AU513" s="380"/>
      <c r="AV513" s="380"/>
      <c r="AW513" s="380"/>
      <c r="AX513" s="380"/>
      <c r="AY513" s="403"/>
      <c r="AZ513" s="380"/>
      <c r="BA513" s="380"/>
      <c r="BB513" s="380"/>
      <c r="BC513" s="380"/>
      <c r="BD513" s="380"/>
      <c r="BE513" s="404"/>
      <c r="BF513" s="380"/>
      <c r="BG513" s="380"/>
      <c r="BH513" s="380"/>
      <c r="BI513" s="380"/>
      <c r="BJ513" s="380"/>
      <c r="BK513" s="380"/>
      <c r="BL513" s="380"/>
      <c r="BM513" s="403"/>
      <c r="BS513" s="83"/>
      <c r="CA513" s="405"/>
      <c r="CG513" s="83"/>
      <c r="CO513" s="405"/>
      <c r="CU513" s="83"/>
      <c r="DC513" s="405"/>
      <c r="DI513" s="83"/>
      <c r="DQ513" s="405"/>
      <c r="DW513" s="83"/>
      <c r="EE513" s="405"/>
      <c r="EK513" s="83"/>
      <c r="ES513" s="405"/>
      <c r="EY513" s="83"/>
      <c r="FG513" s="405"/>
      <c r="FM513" s="83"/>
      <c r="FU513" s="405"/>
      <c r="GA513" s="83"/>
      <c r="GI513" s="405"/>
      <c r="GO513" s="83"/>
      <c r="GW513" s="405"/>
      <c r="HC513" s="83"/>
      <c r="HK513" s="405"/>
      <c r="HQ513" s="83"/>
      <c r="HY513" s="405"/>
      <c r="IE513" s="83"/>
      <c r="IM513" s="405"/>
      <c r="IS513" s="83"/>
      <c r="JA513" s="405"/>
      <c r="JG513" s="83"/>
      <c r="JO513" s="405"/>
      <c r="JU513" s="83"/>
      <c r="KC513" s="405"/>
      <c r="KI513" s="83"/>
      <c r="KQ513" s="405"/>
      <c r="KW513" s="83"/>
      <c r="LE513" s="405"/>
      <c r="LK513" s="83"/>
      <c r="LS513" s="405"/>
      <c r="LY513" s="83"/>
      <c r="MG513" s="405"/>
      <c r="MM513" s="83"/>
      <c r="MU513" s="405"/>
      <c r="NA513" s="83"/>
    </row>
    <row r="514">
      <c r="A514" s="380"/>
      <c r="B514" s="380"/>
      <c r="C514" s="380"/>
      <c r="D514" s="380"/>
      <c r="E514" s="380"/>
      <c r="F514" s="380"/>
      <c r="G514" s="380"/>
      <c r="H514" s="380"/>
      <c r="I514" s="403"/>
      <c r="J514" s="380"/>
      <c r="K514" s="380"/>
      <c r="L514" s="380"/>
      <c r="M514" s="380"/>
      <c r="N514" s="380"/>
      <c r="O514" s="404"/>
      <c r="P514" s="380"/>
      <c r="Q514" s="380"/>
      <c r="R514" s="380"/>
      <c r="S514" s="380"/>
      <c r="T514" s="380"/>
      <c r="U514" s="380"/>
      <c r="V514" s="380"/>
      <c r="W514" s="403"/>
      <c r="X514" s="380"/>
      <c r="Y514" s="380"/>
      <c r="Z514" s="380"/>
      <c r="AA514" s="380"/>
      <c r="AB514" s="380"/>
      <c r="AC514" s="404"/>
      <c r="AD514" s="380"/>
      <c r="AE514" s="380"/>
      <c r="AF514" s="380"/>
      <c r="AG514" s="380"/>
      <c r="AH514" s="380"/>
      <c r="AI514" s="380"/>
      <c r="AJ514" s="380"/>
      <c r="AK514" s="403"/>
      <c r="AL514" s="380"/>
      <c r="AM514" s="380"/>
      <c r="AN514" s="380"/>
      <c r="AO514" s="380"/>
      <c r="AP514" s="380"/>
      <c r="AQ514" s="404"/>
      <c r="AR514" s="380"/>
      <c r="AS514" s="380"/>
      <c r="AT514" s="380"/>
      <c r="AU514" s="380"/>
      <c r="AV514" s="380"/>
      <c r="AW514" s="380"/>
      <c r="AX514" s="380"/>
      <c r="AY514" s="403"/>
      <c r="AZ514" s="380"/>
      <c r="BA514" s="380"/>
      <c r="BB514" s="380"/>
      <c r="BC514" s="380"/>
      <c r="BD514" s="380"/>
      <c r="BE514" s="404"/>
      <c r="BF514" s="380"/>
      <c r="BG514" s="380"/>
      <c r="BH514" s="380"/>
      <c r="BI514" s="380"/>
      <c r="BJ514" s="380"/>
      <c r="BK514" s="380"/>
      <c r="BL514" s="380"/>
      <c r="BM514" s="403"/>
      <c r="BS514" s="83"/>
      <c r="CA514" s="405"/>
      <c r="CG514" s="83"/>
      <c r="CO514" s="405"/>
      <c r="CU514" s="83"/>
      <c r="DC514" s="405"/>
      <c r="DI514" s="83"/>
      <c r="DQ514" s="405"/>
      <c r="DW514" s="83"/>
      <c r="EE514" s="405"/>
      <c r="EK514" s="83"/>
      <c r="ES514" s="405"/>
      <c r="EY514" s="83"/>
      <c r="FG514" s="405"/>
      <c r="FM514" s="83"/>
      <c r="FU514" s="405"/>
      <c r="GA514" s="83"/>
      <c r="GI514" s="405"/>
      <c r="GO514" s="83"/>
      <c r="GW514" s="405"/>
      <c r="HC514" s="83"/>
      <c r="HK514" s="405"/>
      <c r="HQ514" s="83"/>
      <c r="HY514" s="405"/>
      <c r="IE514" s="83"/>
      <c r="IM514" s="405"/>
      <c r="IS514" s="83"/>
      <c r="JA514" s="405"/>
      <c r="JG514" s="83"/>
      <c r="JO514" s="405"/>
      <c r="JU514" s="83"/>
      <c r="KC514" s="405"/>
      <c r="KI514" s="83"/>
      <c r="KQ514" s="405"/>
      <c r="KW514" s="83"/>
      <c r="LE514" s="405"/>
      <c r="LK514" s="83"/>
      <c r="LS514" s="405"/>
      <c r="LY514" s="83"/>
      <c r="MG514" s="405"/>
      <c r="MM514" s="83"/>
      <c r="MU514" s="405"/>
      <c r="NA514" s="83"/>
    </row>
    <row r="515">
      <c r="A515" s="380"/>
      <c r="B515" s="380"/>
      <c r="C515" s="380"/>
      <c r="D515" s="380"/>
      <c r="E515" s="380"/>
      <c r="F515" s="380"/>
      <c r="G515" s="380"/>
      <c r="H515" s="380"/>
      <c r="I515" s="403"/>
      <c r="J515" s="380"/>
      <c r="K515" s="380"/>
      <c r="L515" s="380"/>
      <c r="M515" s="380"/>
      <c r="N515" s="380"/>
      <c r="O515" s="404"/>
      <c r="P515" s="380"/>
      <c r="Q515" s="380"/>
      <c r="R515" s="380"/>
      <c r="S515" s="380"/>
      <c r="T515" s="380"/>
      <c r="U515" s="380"/>
      <c r="V515" s="380"/>
      <c r="W515" s="403"/>
      <c r="X515" s="380"/>
      <c r="Y515" s="380"/>
      <c r="Z515" s="380"/>
      <c r="AA515" s="380"/>
      <c r="AB515" s="380"/>
      <c r="AC515" s="404"/>
      <c r="AD515" s="380"/>
      <c r="AE515" s="380"/>
      <c r="AF515" s="380"/>
      <c r="AG515" s="380"/>
      <c r="AH515" s="380"/>
      <c r="AI515" s="380"/>
      <c r="AJ515" s="380"/>
      <c r="AK515" s="403"/>
      <c r="AL515" s="380"/>
      <c r="AM515" s="380"/>
      <c r="AN515" s="380"/>
      <c r="AO515" s="380"/>
      <c r="AP515" s="380"/>
      <c r="AQ515" s="404"/>
      <c r="AR515" s="380"/>
      <c r="AS515" s="380"/>
      <c r="AT515" s="380"/>
      <c r="AU515" s="380"/>
      <c r="AV515" s="380"/>
      <c r="AW515" s="380"/>
      <c r="AX515" s="380"/>
      <c r="AY515" s="403"/>
      <c r="AZ515" s="380"/>
      <c r="BA515" s="380"/>
      <c r="BB515" s="380"/>
      <c r="BC515" s="380"/>
      <c r="BD515" s="380"/>
      <c r="BE515" s="404"/>
      <c r="BF515" s="380"/>
      <c r="BG515" s="380"/>
      <c r="BH515" s="380"/>
      <c r="BI515" s="380"/>
      <c r="BJ515" s="380"/>
      <c r="BK515" s="380"/>
      <c r="BL515" s="380"/>
      <c r="BM515" s="403"/>
      <c r="BS515" s="83"/>
      <c r="CA515" s="405"/>
      <c r="CG515" s="83"/>
      <c r="CO515" s="405"/>
      <c r="CU515" s="83"/>
      <c r="DC515" s="405"/>
      <c r="DI515" s="83"/>
      <c r="DQ515" s="405"/>
      <c r="DW515" s="83"/>
      <c r="EE515" s="405"/>
      <c r="EK515" s="83"/>
      <c r="ES515" s="405"/>
      <c r="EY515" s="83"/>
      <c r="FG515" s="405"/>
      <c r="FM515" s="83"/>
      <c r="FU515" s="405"/>
      <c r="GA515" s="83"/>
      <c r="GI515" s="405"/>
      <c r="GO515" s="83"/>
      <c r="GW515" s="405"/>
      <c r="HC515" s="83"/>
      <c r="HK515" s="405"/>
      <c r="HQ515" s="83"/>
      <c r="HY515" s="405"/>
      <c r="IE515" s="83"/>
      <c r="IM515" s="405"/>
      <c r="IS515" s="83"/>
      <c r="JA515" s="405"/>
      <c r="JG515" s="83"/>
      <c r="JO515" s="405"/>
      <c r="JU515" s="83"/>
      <c r="KC515" s="405"/>
      <c r="KI515" s="83"/>
      <c r="KQ515" s="405"/>
      <c r="KW515" s="83"/>
      <c r="LE515" s="405"/>
      <c r="LK515" s="83"/>
      <c r="LS515" s="405"/>
      <c r="LY515" s="83"/>
      <c r="MG515" s="405"/>
      <c r="MM515" s="83"/>
      <c r="MU515" s="405"/>
      <c r="NA515" s="83"/>
    </row>
    <row r="516">
      <c r="A516" s="380"/>
      <c r="B516" s="380"/>
      <c r="C516" s="380"/>
      <c r="D516" s="380"/>
      <c r="E516" s="380"/>
      <c r="F516" s="380"/>
      <c r="G516" s="380"/>
      <c r="H516" s="380"/>
      <c r="I516" s="403"/>
      <c r="J516" s="380"/>
      <c r="K516" s="380"/>
      <c r="L516" s="380"/>
      <c r="M516" s="380"/>
      <c r="N516" s="380"/>
      <c r="O516" s="404"/>
      <c r="P516" s="380"/>
      <c r="Q516" s="380"/>
      <c r="R516" s="380"/>
      <c r="S516" s="380"/>
      <c r="T516" s="380"/>
      <c r="U516" s="380"/>
      <c r="V516" s="380"/>
      <c r="W516" s="403"/>
      <c r="X516" s="380"/>
      <c r="Y516" s="380"/>
      <c r="Z516" s="380"/>
      <c r="AA516" s="380"/>
      <c r="AB516" s="380"/>
      <c r="AC516" s="404"/>
      <c r="AD516" s="380"/>
      <c r="AE516" s="380"/>
      <c r="AF516" s="380"/>
      <c r="AG516" s="380"/>
      <c r="AH516" s="380"/>
      <c r="AI516" s="380"/>
      <c r="AJ516" s="380"/>
      <c r="AK516" s="403"/>
      <c r="AL516" s="380"/>
      <c r="AM516" s="380"/>
      <c r="AN516" s="380"/>
      <c r="AO516" s="380"/>
      <c r="AP516" s="380"/>
      <c r="AQ516" s="404"/>
      <c r="AR516" s="380"/>
      <c r="AS516" s="380"/>
      <c r="AT516" s="380"/>
      <c r="AU516" s="380"/>
      <c r="AV516" s="380"/>
      <c r="AW516" s="380"/>
      <c r="AX516" s="380"/>
      <c r="AY516" s="403"/>
      <c r="AZ516" s="380"/>
      <c r="BA516" s="380"/>
      <c r="BB516" s="380"/>
      <c r="BC516" s="380"/>
      <c r="BD516" s="380"/>
      <c r="BE516" s="404"/>
      <c r="BF516" s="380"/>
      <c r="BG516" s="380"/>
      <c r="BH516" s="380"/>
      <c r="BI516" s="380"/>
      <c r="BJ516" s="380"/>
      <c r="BK516" s="380"/>
      <c r="BL516" s="380"/>
      <c r="BM516" s="403"/>
      <c r="BS516" s="83"/>
      <c r="CA516" s="405"/>
      <c r="CG516" s="83"/>
      <c r="CO516" s="405"/>
      <c r="CU516" s="83"/>
      <c r="DC516" s="405"/>
      <c r="DI516" s="83"/>
      <c r="DQ516" s="405"/>
      <c r="DW516" s="83"/>
      <c r="EE516" s="405"/>
      <c r="EK516" s="83"/>
      <c r="ES516" s="405"/>
      <c r="EY516" s="83"/>
      <c r="FG516" s="405"/>
      <c r="FM516" s="83"/>
      <c r="FU516" s="405"/>
      <c r="GA516" s="83"/>
      <c r="GI516" s="405"/>
      <c r="GO516" s="83"/>
      <c r="GW516" s="405"/>
      <c r="HC516" s="83"/>
      <c r="HK516" s="405"/>
      <c r="HQ516" s="83"/>
      <c r="HY516" s="405"/>
      <c r="IE516" s="83"/>
      <c r="IM516" s="405"/>
      <c r="IS516" s="83"/>
      <c r="JA516" s="405"/>
      <c r="JG516" s="83"/>
      <c r="JO516" s="405"/>
      <c r="JU516" s="83"/>
      <c r="KC516" s="405"/>
      <c r="KI516" s="83"/>
      <c r="KQ516" s="405"/>
      <c r="KW516" s="83"/>
      <c r="LE516" s="405"/>
      <c r="LK516" s="83"/>
      <c r="LS516" s="405"/>
      <c r="LY516" s="83"/>
      <c r="MG516" s="405"/>
      <c r="MM516" s="83"/>
      <c r="MU516" s="405"/>
      <c r="NA516" s="83"/>
    </row>
    <row r="517">
      <c r="A517" s="380"/>
      <c r="B517" s="380"/>
      <c r="C517" s="380"/>
      <c r="D517" s="380"/>
      <c r="E517" s="380"/>
      <c r="F517" s="380"/>
      <c r="G517" s="380"/>
      <c r="H517" s="380"/>
      <c r="I517" s="403"/>
      <c r="J517" s="380"/>
      <c r="K517" s="380"/>
      <c r="L517" s="380"/>
      <c r="M517" s="380"/>
      <c r="N517" s="380"/>
      <c r="O517" s="404"/>
      <c r="P517" s="380"/>
      <c r="Q517" s="380"/>
      <c r="R517" s="380"/>
      <c r="S517" s="380"/>
      <c r="T517" s="380"/>
      <c r="U517" s="380"/>
      <c r="V517" s="380"/>
      <c r="W517" s="403"/>
      <c r="X517" s="380"/>
      <c r="Y517" s="380"/>
      <c r="Z517" s="380"/>
      <c r="AA517" s="380"/>
      <c r="AB517" s="380"/>
      <c r="AC517" s="404"/>
      <c r="AD517" s="380"/>
      <c r="AE517" s="380"/>
      <c r="AF517" s="380"/>
      <c r="AG517" s="380"/>
      <c r="AH517" s="380"/>
      <c r="AI517" s="380"/>
      <c r="AJ517" s="380"/>
      <c r="AK517" s="403"/>
      <c r="AL517" s="380"/>
      <c r="AM517" s="380"/>
      <c r="AN517" s="380"/>
      <c r="AO517" s="380"/>
      <c r="AP517" s="380"/>
      <c r="AQ517" s="404"/>
      <c r="AR517" s="380"/>
      <c r="AS517" s="380"/>
      <c r="AT517" s="380"/>
      <c r="AU517" s="380"/>
      <c r="AV517" s="380"/>
      <c r="AW517" s="380"/>
      <c r="AX517" s="380"/>
      <c r="AY517" s="403"/>
      <c r="AZ517" s="380"/>
      <c r="BA517" s="380"/>
      <c r="BB517" s="380"/>
      <c r="BC517" s="380"/>
      <c r="BD517" s="380"/>
      <c r="BE517" s="404"/>
      <c r="BF517" s="380"/>
      <c r="BG517" s="380"/>
      <c r="BH517" s="380"/>
      <c r="BI517" s="380"/>
      <c r="BJ517" s="380"/>
      <c r="BK517" s="380"/>
      <c r="BL517" s="380"/>
      <c r="BM517" s="403"/>
      <c r="BS517" s="83"/>
      <c r="CA517" s="405"/>
      <c r="CG517" s="83"/>
      <c r="CO517" s="405"/>
      <c r="CU517" s="83"/>
      <c r="DC517" s="405"/>
      <c r="DI517" s="83"/>
      <c r="DQ517" s="405"/>
      <c r="DW517" s="83"/>
      <c r="EE517" s="405"/>
      <c r="EK517" s="83"/>
      <c r="ES517" s="405"/>
      <c r="EY517" s="83"/>
      <c r="FG517" s="405"/>
      <c r="FM517" s="83"/>
      <c r="FU517" s="405"/>
      <c r="GA517" s="83"/>
      <c r="GI517" s="405"/>
      <c r="GO517" s="83"/>
      <c r="GW517" s="405"/>
      <c r="HC517" s="83"/>
      <c r="HK517" s="405"/>
      <c r="HQ517" s="83"/>
      <c r="HY517" s="405"/>
      <c r="IE517" s="83"/>
      <c r="IM517" s="405"/>
      <c r="IS517" s="83"/>
      <c r="JA517" s="405"/>
      <c r="JG517" s="83"/>
      <c r="JO517" s="405"/>
      <c r="JU517" s="83"/>
      <c r="KC517" s="405"/>
      <c r="KI517" s="83"/>
      <c r="KQ517" s="405"/>
      <c r="KW517" s="83"/>
      <c r="LE517" s="405"/>
      <c r="LK517" s="83"/>
      <c r="LS517" s="405"/>
      <c r="LY517" s="83"/>
      <c r="MG517" s="405"/>
      <c r="MM517" s="83"/>
      <c r="MU517" s="405"/>
      <c r="NA517" s="83"/>
    </row>
    <row r="518">
      <c r="A518" s="380"/>
      <c r="B518" s="380"/>
      <c r="C518" s="380"/>
      <c r="D518" s="380"/>
      <c r="E518" s="380"/>
      <c r="F518" s="380"/>
      <c r="G518" s="380"/>
      <c r="H518" s="380"/>
      <c r="I518" s="403"/>
      <c r="J518" s="380"/>
      <c r="K518" s="380"/>
      <c r="L518" s="380"/>
      <c r="M518" s="380"/>
      <c r="N518" s="380"/>
      <c r="O518" s="404"/>
      <c r="P518" s="380"/>
      <c r="Q518" s="380"/>
      <c r="R518" s="380"/>
      <c r="S518" s="380"/>
      <c r="T518" s="380"/>
      <c r="U518" s="380"/>
      <c r="V518" s="380"/>
      <c r="W518" s="403"/>
      <c r="X518" s="380"/>
      <c r="Y518" s="380"/>
      <c r="Z518" s="380"/>
      <c r="AA518" s="380"/>
      <c r="AB518" s="380"/>
      <c r="AC518" s="404"/>
      <c r="AD518" s="380"/>
      <c r="AE518" s="380"/>
      <c r="AF518" s="380"/>
      <c r="AG518" s="380"/>
      <c r="AH518" s="380"/>
      <c r="AI518" s="380"/>
      <c r="AJ518" s="380"/>
      <c r="AK518" s="403"/>
      <c r="AL518" s="380"/>
      <c r="AM518" s="380"/>
      <c r="AN518" s="380"/>
      <c r="AO518" s="380"/>
      <c r="AP518" s="380"/>
      <c r="AQ518" s="404"/>
      <c r="AR518" s="380"/>
      <c r="AS518" s="380"/>
      <c r="AT518" s="380"/>
      <c r="AU518" s="380"/>
      <c r="AV518" s="380"/>
      <c r="AW518" s="380"/>
      <c r="AX518" s="380"/>
      <c r="AY518" s="403"/>
      <c r="AZ518" s="380"/>
      <c r="BA518" s="380"/>
      <c r="BB518" s="380"/>
      <c r="BC518" s="380"/>
      <c r="BD518" s="380"/>
      <c r="BE518" s="404"/>
      <c r="BF518" s="380"/>
      <c r="BG518" s="380"/>
      <c r="BH518" s="380"/>
      <c r="BI518" s="380"/>
      <c r="BJ518" s="380"/>
      <c r="BK518" s="380"/>
      <c r="BL518" s="380"/>
      <c r="BM518" s="403"/>
      <c r="BS518" s="83"/>
      <c r="CA518" s="405"/>
      <c r="CG518" s="83"/>
      <c r="CO518" s="405"/>
      <c r="CU518" s="83"/>
      <c r="DC518" s="405"/>
      <c r="DI518" s="83"/>
      <c r="DQ518" s="405"/>
      <c r="DW518" s="83"/>
      <c r="EE518" s="405"/>
      <c r="EK518" s="83"/>
      <c r="ES518" s="405"/>
      <c r="EY518" s="83"/>
      <c r="FG518" s="405"/>
      <c r="FM518" s="83"/>
      <c r="FU518" s="405"/>
      <c r="GA518" s="83"/>
      <c r="GI518" s="405"/>
      <c r="GO518" s="83"/>
      <c r="GW518" s="405"/>
      <c r="HC518" s="83"/>
      <c r="HK518" s="405"/>
      <c r="HQ518" s="83"/>
      <c r="HY518" s="405"/>
      <c r="IE518" s="83"/>
      <c r="IM518" s="405"/>
      <c r="IS518" s="83"/>
      <c r="JA518" s="405"/>
      <c r="JG518" s="83"/>
      <c r="JO518" s="405"/>
      <c r="JU518" s="83"/>
      <c r="KC518" s="405"/>
      <c r="KI518" s="83"/>
      <c r="KQ518" s="405"/>
      <c r="KW518" s="83"/>
      <c r="LE518" s="405"/>
      <c r="LK518" s="83"/>
      <c r="LS518" s="405"/>
      <c r="LY518" s="83"/>
      <c r="MG518" s="405"/>
      <c r="MM518" s="83"/>
      <c r="MU518" s="405"/>
      <c r="NA518" s="83"/>
    </row>
    <row r="519">
      <c r="A519" s="380"/>
      <c r="B519" s="380"/>
      <c r="C519" s="380"/>
      <c r="D519" s="380"/>
      <c r="E519" s="380"/>
      <c r="F519" s="380"/>
      <c r="G519" s="380"/>
      <c r="H519" s="380"/>
      <c r="I519" s="403"/>
      <c r="J519" s="380"/>
      <c r="K519" s="380"/>
      <c r="L519" s="380"/>
      <c r="M519" s="380"/>
      <c r="N519" s="380"/>
      <c r="O519" s="404"/>
      <c r="P519" s="380"/>
      <c r="Q519" s="380"/>
      <c r="R519" s="380"/>
      <c r="S519" s="380"/>
      <c r="T519" s="380"/>
      <c r="U519" s="380"/>
      <c r="V519" s="380"/>
      <c r="W519" s="403"/>
      <c r="X519" s="380"/>
      <c r="Y519" s="380"/>
      <c r="Z519" s="380"/>
      <c r="AA519" s="380"/>
      <c r="AB519" s="380"/>
      <c r="AC519" s="404"/>
      <c r="AD519" s="380"/>
      <c r="AE519" s="380"/>
      <c r="AF519" s="380"/>
      <c r="AG519" s="380"/>
      <c r="AH519" s="380"/>
      <c r="AI519" s="380"/>
      <c r="AJ519" s="380"/>
      <c r="AK519" s="403"/>
      <c r="AL519" s="380"/>
      <c r="AM519" s="380"/>
      <c r="AN519" s="380"/>
      <c r="AO519" s="380"/>
      <c r="AP519" s="380"/>
      <c r="AQ519" s="404"/>
      <c r="AR519" s="380"/>
      <c r="AS519" s="380"/>
      <c r="AT519" s="380"/>
      <c r="AU519" s="380"/>
      <c r="AV519" s="380"/>
      <c r="AW519" s="380"/>
      <c r="AX519" s="380"/>
      <c r="AY519" s="403"/>
      <c r="AZ519" s="380"/>
      <c r="BA519" s="380"/>
      <c r="BB519" s="380"/>
      <c r="BC519" s="380"/>
      <c r="BD519" s="380"/>
      <c r="BE519" s="404"/>
      <c r="BF519" s="380"/>
      <c r="BG519" s="380"/>
      <c r="BH519" s="380"/>
      <c r="BI519" s="380"/>
      <c r="BJ519" s="380"/>
      <c r="BK519" s="380"/>
      <c r="BL519" s="380"/>
      <c r="BM519" s="403"/>
      <c r="BS519" s="83"/>
      <c r="CA519" s="405"/>
      <c r="CG519" s="83"/>
      <c r="CO519" s="405"/>
      <c r="CU519" s="83"/>
      <c r="DC519" s="405"/>
      <c r="DI519" s="83"/>
      <c r="DQ519" s="405"/>
      <c r="DW519" s="83"/>
      <c r="EE519" s="405"/>
      <c r="EK519" s="83"/>
      <c r="ES519" s="405"/>
      <c r="EY519" s="83"/>
      <c r="FG519" s="405"/>
      <c r="FM519" s="83"/>
      <c r="FU519" s="405"/>
      <c r="GA519" s="83"/>
      <c r="GI519" s="405"/>
      <c r="GO519" s="83"/>
      <c r="GW519" s="405"/>
      <c r="HC519" s="83"/>
      <c r="HK519" s="405"/>
      <c r="HQ519" s="83"/>
      <c r="HY519" s="405"/>
      <c r="IE519" s="83"/>
      <c r="IM519" s="405"/>
      <c r="IS519" s="83"/>
      <c r="JA519" s="405"/>
      <c r="JG519" s="83"/>
      <c r="JO519" s="405"/>
      <c r="JU519" s="83"/>
      <c r="KC519" s="405"/>
      <c r="KI519" s="83"/>
      <c r="KQ519" s="405"/>
      <c r="KW519" s="83"/>
      <c r="LE519" s="405"/>
      <c r="LK519" s="83"/>
      <c r="LS519" s="405"/>
      <c r="LY519" s="83"/>
      <c r="MG519" s="405"/>
      <c r="MM519" s="83"/>
      <c r="MU519" s="405"/>
      <c r="NA519" s="83"/>
    </row>
    <row r="520">
      <c r="A520" s="380"/>
      <c r="B520" s="380"/>
      <c r="C520" s="380"/>
      <c r="D520" s="380"/>
      <c r="E520" s="380"/>
      <c r="F520" s="380"/>
      <c r="G520" s="380"/>
      <c r="H520" s="380"/>
      <c r="I520" s="403"/>
      <c r="J520" s="380"/>
      <c r="K520" s="380"/>
      <c r="L520" s="380"/>
      <c r="M520" s="380"/>
      <c r="N520" s="380"/>
      <c r="O520" s="404"/>
      <c r="P520" s="380"/>
      <c r="Q520" s="380"/>
      <c r="R520" s="380"/>
      <c r="S520" s="380"/>
      <c r="T520" s="380"/>
      <c r="U520" s="380"/>
      <c r="V520" s="380"/>
      <c r="W520" s="403"/>
      <c r="X520" s="380"/>
      <c r="Y520" s="380"/>
      <c r="Z520" s="380"/>
      <c r="AA520" s="380"/>
      <c r="AB520" s="380"/>
      <c r="AC520" s="404"/>
      <c r="AD520" s="380"/>
      <c r="AE520" s="380"/>
      <c r="AF520" s="380"/>
      <c r="AG520" s="380"/>
      <c r="AH520" s="380"/>
      <c r="AI520" s="380"/>
      <c r="AJ520" s="380"/>
      <c r="AK520" s="403"/>
      <c r="AL520" s="380"/>
      <c r="AM520" s="380"/>
      <c r="AN520" s="380"/>
      <c r="AO520" s="380"/>
      <c r="AP520" s="380"/>
      <c r="AQ520" s="404"/>
      <c r="AR520" s="380"/>
      <c r="AS520" s="380"/>
      <c r="AT520" s="380"/>
      <c r="AU520" s="380"/>
      <c r="AV520" s="380"/>
      <c r="AW520" s="380"/>
      <c r="AX520" s="380"/>
      <c r="AY520" s="403"/>
      <c r="AZ520" s="380"/>
      <c r="BA520" s="380"/>
      <c r="BB520" s="380"/>
      <c r="BC520" s="380"/>
      <c r="BD520" s="380"/>
      <c r="BE520" s="404"/>
      <c r="BF520" s="380"/>
      <c r="BG520" s="380"/>
      <c r="BH520" s="380"/>
      <c r="BI520" s="380"/>
      <c r="BJ520" s="380"/>
      <c r="BK520" s="380"/>
      <c r="BL520" s="380"/>
      <c r="BM520" s="403"/>
      <c r="BS520" s="83"/>
      <c r="CA520" s="405"/>
      <c r="CG520" s="83"/>
      <c r="CO520" s="405"/>
      <c r="CU520" s="83"/>
      <c r="DC520" s="405"/>
      <c r="DI520" s="83"/>
      <c r="DQ520" s="405"/>
      <c r="DW520" s="83"/>
      <c r="EE520" s="405"/>
      <c r="EK520" s="83"/>
      <c r="ES520" s="405"/>
      <c r="EY520" s="83"/>
      <c r="FG520" s="405"/>
      <c r="FM520" s="83"/>
      <c r="FU520" s="405"/>
      <c r="GA520" s="83"/>
      <c r="GI520" s="405"/>
      <c r="GO520" s="83"/>
      <c r="GW520" s="405"/>
      <c r="HC520" s="83"/>
      <c r="HK520" s="405"/>
      <c r="HQ520" s="83"/>
      <c r="HY520" s="405"/>
      <c r="IE520" s="83"/>
      <c r="IM520" s="405"/>
      <c r="IS520" s="83"/>
      <c r="JA520" s="405"/>
      <c r="JG520" s="83"/>
      <c r="JO520" s="405"/>
      <c r="JU520" s="83"/>
      <c r="KC520" s="405"/>
      <c r="KI520" s="83"/>
      <c r="KQ520" s="405"/>
      <c r="KW520" s="83"/>
      <c r="LE520" s="405"/>
      <c r="LK520" s="83"/>
      <c r="LS520" s="405"/>
      <c r="LY520" s="83"/>
      <c r="MG520" s="405"/>
      <c r="MM520" s="83"/>
      <c r="MU520" s="405"/>
      <c r="NA520" s="83"/>
    </row>
    <row r="521">
      <c r="A521" s="380"/>
      <c r="B521" s="380"/>
      <c r="C521" s="380"/>
      <c r="D521" s="380"/>
      <c r="E521" s="380"/>
      <c r="F521" s="380"/>
      <c r="G521" s="380"/>
      <c r="H521" s="380"/>
      <c r="I521" s="403"/>
      <c r="J521" s="380"/>
      <c r="K521" s="380"/>
      <c r="L521" s="380"/>
      <c r="M521" s="380"/>
      <c r="N521" s="380"/>
      <c r="O521" s="404"/>
      <c r="P521" s="380"/>
      <c r="Q521" s="380"/>
      <c r="R521" s="380"/>
      <c r="S521" s="380"/>
      <c r="T521" s="380"/>
      <c r="U521" s="380"/>
      <c r="V521" s="380"/>
      <c r="W521" s="403"/>
      <c r="X521" s="380"/>
      <c r="Y521" s="380"/>
      <c r="Z521" s="380"/>
      <c r="AA521" s="380"/>
      <c r="AB521" s="380"/>
      <c r="AC521" s="404"/>
      <c r="AD521" s="380"/>
      <c r="AE521" s="380"/>
      <c r="AF521" s="380"/>
      <c r="AG521" s="380"/>
      <c r="AH521" s="380"/>
      <c r="AI521" s="380"/>
      <c r="AJ521" s="380"/>
      <c r="AK521" s="403"/>
      <c r="AL521" s="380"/>
      <c r="AM521" s="380"/>
      <c r="AN521" s="380"/>
      <c r="AO521" s="380"/>
      <c r="AP521" s="380"/>
      <c r="AQ521" s="404"/>
      <c r="AR521" s="380"/>
      <c r="AS521" s="380"/>
      <c r="AT521" s="380"/>
      <c r="AU521" s="380"/>
      <c r="AV521" s="380"/>
      <c r="AW521" s="380"/>
      <c r="AX521" s="380"/>
      <c r="AY521" s="403"/>
      <c r="AZ521" s="380"/>
      <c r="BA521" s="380"/>
      <c r="BB521" s="380"/>
      <c r="BC521" s="380"/>
      <c r="BD521" s="380"/>
      <c r="BE521" s="404"/>
      <c r="BF521" s="380"/>
      <c r="BG521" s="380"/>
      <c r="BH521" s="380"/>
      <c r="BI521" s="380"/>
      <c r="BJ521" s="380"/>
      <c r="BK521" s="380"/>
      <c r="BL521" s="380"/>
      <c r="BM521" s="403"/>
      <c r="BS521" s="83"/>
      <c r="CA521" s="405"/>
      <c r="CG521" s="83"/>
      <c r="CO521" s="405"/>
      <c r="CU521" s="83"/>
      <c r="DC521" s="405"/>
      <c r="DI521" s="83"/>
      <c r="DQ521" s="405"/>
      <c r="DW521" s="83"/>
      <c r="EE521" s="405"/>
      <c r="EK521" s="83"/>
      <c r="ES521" s="405"/>
      <c r="EY521" s="83"/>
      <c r="FG521" s="405"/>
      <c r="FM521" s="83"/>
      <c r="FU521" s="405"/>
      <c r="GA521" s="83"/>
      <c r="GI521" s="405"/>
      <c r="GO521" s="83"/>
      <c r="GW521" s="405"/>
      <c r="HC521" s="83"/>
      <c r="HK521" s="405"/>
      <c r="HQ521" s="83"/>
      <c r="HY521" s="405"/>
      <c r="IE521" s="83"/>
      <c r="IM521" s="405"/>
      <c r="IS521" s="83"/>
      <c r="JA521" s="405"/>
      <c r="JG521" s="83"/>
      <c r="JO521" s="405"/>
      <c r="JU521" s="83"/>
      <c r="KC521" s="405"/>
      <c r="KI521" s="83"/>
      <c r="KQ521" s="405"/>
      <c r="KW521" s="83"/>
      <c r="LE521" s="405"/>
      <c r="LK521" s="83"/>
      <c r="LS521" s="405"/>
      <c r="LY521" s="83"/>
      <c r="MG521" s="405"/>
      <c r="MM521" s="83"/>
      <c r="MU521" s="405"/>
      <c r="NA521" s="83"/>
    </row>
    <row r="522">
      <c r="A522" s="380"/>
      <c r="B522" s="380"/>
      <c r="C522" s="380"/>
      <c r="D522" s="380"/>
      <c r="E522" s="380"/>
      <c r="F522" s="380"/>
      <c r="G522" s="380"/>
      <c r="H522" s="380"/>
      <c r="I522" s="403"/>
      <c r="J522" s="380"/>
      <c r="K522" s="380"/>
      <c r="L522" s="380"/>
      <c r="M522" s="380"/>
      <c r="N522" s="380"/>
      <c r="O522" s="404"/>
      <c r="P522" s="380"/>
      <c r="Q522" s="380"/>
      <c r="R522" s="380"/>
      <c r="S522" s="380"/>
      <c r="T522" s="380"/>
      <c r="U522" s="380"/>
      <c r="V522" s="380"/>
      <c r="W522" s="403"/>
      <c r="X522" s="380"/>
      <c r="Y522" s="380"/>
      <c r="Z522" s="380"/>
      <c r="AA522" s="380"/>
      <c r="AB522" s="380"/>
      <c r="AC522" s="404"/>
      <c r="AD522" s="380"/>
      <c r="AE522" s="380"/>
      <c r="AF522" s="380"/>
      <c r="AG522" s="380"/>
      <c r="AH522" s="380"/>
      <c r="AI522" s="380"/>
      <c r="AJ522" s="380"/>
      <c r="AK522" s="403"/>
      <c r="AL522" s="380"/>
      <c r="AM522" s="380"/>
      <c r="AN522" s="380"/>
      <c r="AO522" s="380"/>
      <c r="AP522" s="380"/>
      <c r="AQ522" s="404"/>
      <c r="AR522" s="380"/>
      <c r="AS522" s="380"/>
      <c r="AT522" s="380"/>
      <c r="AU522" s="380"/>
      <c r="AV522" s="380"/>
      <c r="AW522" s="380"/>
      <c r="AX522" s="380"/>
      <c r="AY522" s="403"/>
      <c r="AZ522" s="380"/>
      <c r="BA522" s="380"/>
      <c r="BB522" s="380"/>
      <c r="BC522" s="380"/>
      <c r="BD522" s="380"/>
      <c r="BE522" s="404"/>
      <c r="BF522" s="380"/>
      <c r="BG522" s="380"/>
      <c r="BH522" s="380"/>
      <c r="BI522" s="380"/>
      <c r="BJ522" s="380"/>
      <c r="BK522" s="380"/>
      <c r="BL522" s="380"/>
      <c r="BM522" s="403"/>
      <c r="BS522" s="83"/>
      <c r="CA522" s="405"/>
      <c r="CG522" s="83"/>
      <c r="CO522" s="405"/>
      <c r="CU522" s="83"/>
      <c r="DC522" s="405"/>
      <c r="DI522" s="83"/>
      <c r="DQ522" s="405"/>
      <c r="DW522" s="83"/>
      <c r="EE522" s="405"/>
      <c r="EK522" s="83"/>
      <c r="ES522" s="405"/>
      <c r="EY522" s="83"/>
      <c r="FG522" s="405"/>
      <c r="FM522" s="83"/>
      <c r="FU522" s="405"/>
      <c r="GA522" s="83"/>
      <c r="GI522" s="405"/>
      <c r="GO522" s="83"/>
      <c r="GW522" s="405"/>
      <c r="HC522" s="83"/>
      <c r="HK522" s="405"/>
      <c r="HQ522" s="83"/>
      <c r="HY522" s="405"/>
      <c r="IE522" s="83"/>
      <c r="IM522" s="405"/>
      <c r="IS522" s="83"/>
      <c r="JA522" s="405"/>
      <c r="JG522" s="83"/>
      <c r="JO522" s="405"/>
      <c r="JU522" s="83"/>
      <c r="KC522" s="405"/>
      <c r="KI522" s="83"/>
      <c r="KQ522" s="405"/>
      <c r="KW522" s="83"/>
      <c r="LE522" s="405"/>
      <c r="LK522" s="83"/>
      <c r="LS522" s="405"/>
      <c r="LY522" s="83"/>
      <c r="MG522" s="405"/>
      <c r="MM522" s="83"/>
      <c r="MU522" s="405"/>
      <c r="NA522" s="83"/>
    </row>
    <row r="523">
      <c r="A523" s="380"/>
      <c r="B523" s="380"/>
      <c r="C523" s="380"/>
      <c r="D523" s="380"/>
      <c r="E523" s="380"/>
      <c r="F523" s="380"/>
      <c r="G523" s="380"/>
      <c r="H523" s="380"/>
      <c r="I523" s="403"/>
      <c r="J523" s="380"/>
      <c r="K523" s="380"/>
      <c r="L523" s="380"/>
      <c r="M523" s="380"/>
      <c r="N523" s="380"/>
      <c r="O523" s="404"/>
      <c r="P523" s="380"/>
      <c r="Q523" s="380"/>
      <c r="R523" s="380"/>
      <c r="S523" s="380"/>
      <c r="T523" s="380"/>
      <c r="U523" s="380"/>
      <c r="V523" s="380"/>
      <c r="W523" s="403"/>
      <c r="X523" s="380"/>
      <c r="Y523" s="380"/>
      <c r="Z523" s="380"/>
      <c r="AA523" s="380"/>
      <c r="AB523" s="380"/>
      <c r="AC523" s="404"/>
      <c r="AD523" s="380"/>
      <c r="AE523" s="380"/>
      <c r="AF523" s="380"/>
      <c r="AG523" s="380"/>
      <c r="AH523" s="380"/>
      <c r="AI523" s="380"/>
      <c r="AJ523" s="380"/>
      <c r="AK523" s="403"/>
      <c r="AL523" s="380"/>
      <c r="AM523" s="380"/>
      <c r="AN523" s="380"/>
      <c r="AO523" s="380"/>
      <c r="AP523" s="380"/>
      <c r="AQ523" s="404"/>
      <c r="AR523" s="380"/>
      <c r="AS523" s="380"/>
      <c r="AT523" s="380"/>
      <c r="AU523" s="380"/>
      <c r="AV523" s="380"/>
      <c r="AW523" s="380"/>
      <c r="AX523" s="380"/>
      <c r="AY523" s="403"/>
      <c r="AZ523" s="380"/>
      <c r="BA523" s="380"/>
      <c r="BB523" s="380"/>
      <c r="BC523" s="380"/>
      <c r="BD523" s="380"/>
      <c r="BE523" s="404"/>
      <c r="BF523" s="380"/>
      <c r="BG523" s="380"/>
      <c r="BH523" s="380"/>
      <c r="BI523" s="380"/>
      <c r="BJ523" s="380"/>
      <c r="BK523" s="380"/>
      <c r="BL523" s="380"/>
      <c r="BM523" s="403"/>
      <c r="BS523" s="83"/>
      <c r="CA523" s="405"/>
      <c r="CG523" s="83"/>
      <c r="CO523" s="405"/>
      <c r="CU523" s="83"/>
      <c r="DC523" s="405"/>
      <c r="DI523" s="83"/>
      <c r="DQ523" s="405"/>
      <c r="DW523" s="83"/>
      <c r="EE523" s="405"/>
      <c r="EK523" s="83"/>
      <c r="ES523" s="405"/>
      <c r="EY523" s="83"/>
      <c r="FG523" s="405"/>
      <c r="FM523" s="83"/>
      <c r="FU523" s="405"/>
      <c r="GA523" s="83"/>
      <c r="GI523" s="405"/>
      <c r="GO523" s="83"/>
      <c r="GW523" s="405"/>
      <c r="HC523" s="83"/>
      <c r="HK523" s="405"/>
      <c r="HQ523" s="83"/>
      <c r="HY523" s="405"/>
      <c r="IE523" s="83"/>
      <c r="IM523" s="405"/>
      <c r="IS523" s="83"/>
      <c r="JA523" s="405"/>
      <c r="JG523" s="83"/>
      <c r="JO523" s="405"/>
      <c r="JU523" s="83"/>
      <c r="KC523" s="405"/>
      <c r="KI523" s="83"/>
      <c r="KQ523" s="405"/>
      <c r="KW523" s="83"/>
      <c r="LE523" s="405"/>
      <c r="LK523" s="83"/>
      <c r="LS523" s="405"/>
      <c r="LY523" s="83"/>
      <c r="MG523" s="405"/>
      <c r="MM523" s="83"/>
      <c r="MU523" s="405"/>
      <c r="NA523" s="83"/>
    </row>
    <row r="524">
      <c r="A524" s="380"/>
      <c r="B524" s="380"/>
      <c r="C524" s="380"/>
      <c r="D524" s="380"/>
      <c r="E524" s="380"/>
      <c r="F524" s="380"/>
      <c r="G524" s="380"/>
      <c r="H524" s="380"/>
      <c r="I524" s="403"/>
      <c r="J524" s="380"/>
      <c r="K524" s="380"/>
      <c r="L524" s="380"/>
      <c r="M524" s="380"/>
      <c r="N524" s="380"/>
      <c r="O524" s="404"/>
      <c r="P524" s="380"/>
      <c r="Q524" s="380"/>
      <c r="R524" s="380"/>
      <c r="S524" s="380"/>
      <c r="T524" s="380"/>
      <c r="U524" s="380"/>
      <c r="V524" s="380"/>
      <c r="W524" s="403"/>
      <c r="X524" s="380"/>
      <c r="Y524" s="380"/>
      <c r="Z524" s="380"/>
      <c r="AA524" s="380"/>
      <c r="AB524" s="380"/>
      <c r="AC524" s="404"/>
      <c r="AD524" s="380"/>
      <c r="AE524" s="380"/>
      <c r="AF524" s="380"/>
      <c r="AG524" s="380"/>
      <c r="AH524" s="380"/>
      <c r="AI524" s="380"/>
      <c r="AJ524" s="380"/>
      <c r="AK524" s="403"/>
      <c r="AL524" s="380"/>
      <c r="AM524" s="380"/>
      <c r="AN524" s="380"/>
      <c r="AO524" s="380"/>
      <c r="AP524" s="380"/>
      <c r="AQ524" s="404"/>
      <c r="AR524" s="380"/>
      <c r="AS524" s="380"/>
      <c r="AT524" s="380"/>
      <c r="AU524" s="380"/>
      <c r="AV524" s="380"/>
      <c r="AW524" s="380"/>
      <c r="AX524" s="380"/>
      <c r="AY524" s="403"/>
      <c r="AZ524" s="380"/>
      <c r="BA524" s="380"/>
      <c r="BB524" s="380"/>
      <c r="BC524" s="380"/>
      <c r="BD524" s="380"/>
      <c r="BE524" s="404"/>
      <c r="BF524" s="380"/>
      <c r="BG524" s="380"/>
      <c r="BH524" s="380"/>
      <c r="BI524" s="380"/>
      <c r="BJ524" s="380"/>
      <c r="BK524" s="380"/>
      <c r="BL524" s="380"/>
      <c r="BM524" s="403"/>
      <c r="BS524" s="83"/>
      <c r="CA524" s="405"/>
      <c r="CG524" s="83"/>
      <c r="CO524" s="405"/>
      <c r="CU524" s="83"/>
      <c r="DC524" s="405"/>
      <c r="DI524" s="83"/>
      <c r="DQ524" s="405"/>
      <c r="DW524" s="83"/>
      <c r="EE524" s="405"/>
      <c r="EK524" s="83"/>
      <c r="ES524" s="405"/>
      <c r="EY524" s="83"/>
      <c r="FG524" s="405"/>
      <c r="FM524" s="83"/>
      <c r="FU524" s="405"/>
      <c r="GA524" s="83"/>
      <c r="GI524" s="405"/>
      <c r="GO524" s="83"/>
      <c r="GW524" s="405"/>
      <c r="HC524" s="83"/>
      <c r="HK524" s="405"/>
      <c r="HQ524" s="83"/>
      <c r="HY524" s="405"/>
      <c r="IE524" s="83"/>
      <c r="IM524" s="405"/>
      <c r="IS524" s="83"/>
      <c r="JA524" s="405"/>
      <c r="JG524" s="83"/>
      <c r="JO524" s="405"/>
      <c r="JU524" s="83"/>
      <c r="KC524" s="405"/>
      <c r="KI524" s="83"/>
      <c r="KQ524" s="405"/>
      <c r="KW524" s="83"/>
      <c r="LE524" s="405"/>
      <c r="LK524" s="83"/>
      <c r="LS524" s="405"/>
      <c r="LY524" s="83"/>
      <c r="MG524" s="405"/>
      <c r="MM524" s="83"/>
      <c r="MU524" s="405"/>
      <c r="NA524" s="83"/>
    </row>
    <row r="525">
      <c r="A525" s="380"/>
      <c r="B525" s="380"/>
      <c r="C525" s="380"/>
      <c r="D525" s="380"/>
      <c r="E525" s="380"/>
      <c r="F525" s="380"/>
      <c r="G525" s="380"/>
      <c r="H525" s="380"/>
      <c r="I525" s="403"/>
      <c r="J525" s="380"/>
      <c r="K525" s="380"/>
      <c r="L525" s="380"/>
      <c r="M525" s="380"/>
      <c r="N525" s="380"/>
      <c r="O525" s="404"/>
      <c r="P525" s="380"/>
      <c r="Q525" s="380"/>
      <c r="R525" s="380"/>
      <c r="S525" s="380"/>
      <c r="T525" s="380"/>
      <c r="U525" s="380"/>
      <c r="V525" s="380"/>
      <c r="W525" s="403"/>
      <c r="X525" s="380"/>
      <c r="Y525" s="380"/>
      <c r="Z525" s="380"/>
      <c r="AA525" s="380"/>
      <c r="AB525" s="380"/>
      <c r="AC525" s="404"/>
      <c r="AD525" s="380"/>
      <c r="AE525" s="380"/>
      <c r="AF525" s="380"/>
      <c r="AG525" s="380"/>
      <c r="AH525" s="380"/>
      <c r="AI525" s="380"/>
      <c r="AJ525" s="380"/>
      <c r="AK525" s="403"/>
      <c r="AL525" s="380"/>
      <c r="AM525" s="380"/>
      <c r="AN525" s="380"/>
      <c r="AO525" s="380"/>
      <c r="AP525" s="380"/>
      <c r="AQ525" s="404"/>
      <c r="AR525" s="380"/>
      <c r="AS525" s="380"/>
      <c r="AT525" s="380"/>
      <c r="AU525" s="380"/>
      <c r="AV525" s="380"/>
      <c r="AW525" s="380"/>
      <c r="AX525" s="380"/>
      <c r="AY525" s="403"/>
      <c r="AZ525" s="380"/>
      <c r="BA525" s="380"/>
      <c r="BB525" s="380"/>
      <c r="BC525" s="380"/>
      <c r="BD525" s="380"/>
      <c r="BE525" s="404"/>
      <c r="BF525" s="380"/>
      <c r="BG525" s="380"/>
      <c r="BH525" s="380"/>
      <c r="BI525" s="380"/>
      <c r="BJ525" s="380"/>
      <c r="BK525" s="380"/>
      <c r="BL525" s="380"/>
      <c r="BM525" s="403"/>
      <c r="BS525" s="83"/>
      <c r="CA525" s="405"/>
      <c r="CG525" s="83"/>
      <c r="CO525" s="405"/>
      <c r="CU525" s="83"/>
      <c r="DC525" s="405"/>
      <c r="DI525" s="83"/>
      <c r="DQ525" s="405"/>
      <c r="DW525" s="83"/>
      <c r="EE525" s="405"/>
      <c r="EK525" s="83"/>
      <c r="ES525" s="405"/>
      <c r="EY525" s="83"/>
      <c r="FG525" s="405"/>
      <c r="FM525" s="83"/>
      <c r="FU525" s="405"/>
      <c r="GA525" s="83"/>
      <c r="GI525" s="405"/>
      <c r="GO525" s="83"/>
      <c r="GW525" s="405"/>
      <c r="HC525" s="83"/>
      <c r="HK525" s="405"/>
      <c r="HQ525" s="83"/>
      <c r="HY525" s="405"/>
      <c r="IE525" s="83"/>
      <c r="IM525" s="405"/>
      <c r="IS525" s="83"/>
      <c r="JA525" s="405"/>
      <c r="JG525" s="83"/>
      <c r="JO525" s="405"/>
      <c r="JU525" s="83"/>
      <c r="KC525" s="405"/>
      <c r="KI525" s="83"/>
      <c r="KQ525" s="405"/>
      <c r="KW525" s="83"/>
      <c r="LE525" s="405"/>
      <c r="LK525" s="83"/>
      <c r="LS525" s="405"/>
      <c r="LY525" s="83"/>
      <c r="MG525" s="405"/>
      <c r="MM525" s="83"/>
      <c r="MU525" s="405"/>
      <c r="NA525" s="83"/>
    </row>
    <row r="526">
      <c r="A526" s="380"/>
      <c r="B526" s="380"/>
      <c r="C526" s="380"/>
      <c r="D526" s="380"/>
      <c r="E526" s="380"/>
      <c r="F526" s="380"/>
      <c r="G526" s="380"/>
      <c r="H526" s="380"/>
      <c r="I526" s="403"/>
      <c r="J526" s="380"/>
      <c r="K526" s="380"/>
      <c r="L526" s="380"/>
      <c r="M526" s="380"/>
      <c r="N526" s="380"/>
      <c r="O526" s="404"/>
      <c r="P526" s="380"/>
      <c r="Q526" s="380"/>
      <c r="R526" s="380"/>
      <c r="S526" s="380"/>
      <c r="T526" s="380"/>
      <c r="U526" s="380"/>
      <c r="V526" s="380"/>
      <c r="W526" s="403"/>
      <c r="X526" s="380"/>
      <c r="Y526" s="380"/>
      <c r="Z526" s="380"/>
      <c r="AA526" s="380"/>
      <c r="AB526" s="380"/>
      <c r="AC526" s="404"/>
      <c r="AD526" s="380"/>
      <c r="AE526" s="380"/>
      <c r="AF526" s="380"/>
      <c r="AG526" s="380"/>
      <c r="AH526" s="380"/>
      <c r="AI526" s="380"/>
      <c r="AJ526" s="380"/>
      <c r="AK526" s="403"/>
      <c r="AL526" s="380"/>
      <c r="AM526" s="380"/>
      <c r="AN526" s="380"/>
      <c r="AO526" s="380"/>
      <c r="AP526" s="380"/>
      <c r="AQ526" s="404"/>
      <c r="AR526" s="380"/>
      <c r="AS526" s="380"/>
      <c r="AT526" s="380"/>
      <c r="AU526" s="380"/>
      <c r="AV526" s="380"/>
      <c r="AW526" s="380"/>
      <c r="AX526" s="380"/>
      <c r="AY526" s="403"/>
      <c r="AZ526" s="380"/>
      <c r="BA526" s="380"/>
      <c r="BB526" s="380"/>
      <c r="BC526" s="380"/>
      <c r="BD526" s="380"/>
      <c r="BE526" s="404"/>
      <c r="BF526" s="380"/>
      <c r="BG526" s="380"/>
      <c r="BH526" s="380"/>
      <c r="BI526" s="380"/>
      <c r="BJ526" s="380"/>
      <c r="BK526" s="380"/>
      <c r="BL526" s="380"/>
      <c r="BM526" s="403"/>
      <c r="BS526" s="83"/>
      <c r="CA526" s="405"/>
      <c r="CG526" s="83"/>
      <c r="CO526" s="405"/>
      <c r="CU526" s="83"/>
      <c r="DC526" s="405"/>
      <c r="DI526" s="83"/>
      <c r="DQ526" s="405"/>
      <c r="DW526" s="83"/>
      <c r="EE526" s="405"/>
      <c r="EK526" s="83"/>
      <c r="ES526" s="405"/>
      <c r="EY526" s="83"/>
      <c r="FG526" s="405"/>
      <c r="FM526" s="83"/>
      <c r="FU526" s="405"/>
      <c r="GA526" s="83"/>
      <c r="GI526" s="405"/>
      <c r="GO526" s="83"/>
      <c r="GW526" s="405"/>
      <c r="HC526" s="83"/>
      <c r="HK526" s="405"/>
      <c r="HQ526" s="83"/>
      <c r="HY526" s="405"/>
      <c r="IE526" s="83"/>
      <c r="IM526" s="405"/>
      <c r="IS526" s="83"/>
      <c r="JA526" s="405"/>
      <c r="JG526" s="83"/>
      <c r="JO526" s="405"/>
      <c r="JU526" s="83"/>
      <c r="KC526" s="405"/>
      <c r="KI526" s="83"/>
      <c r="KQ526" s="405"/>
      <c r="KW526" s="83"/>
      <c r="LE526" s="405"/>
      <c r="LK526" s="83"/>
      <c r="LS526" s="405"/>
      <c r="LY526" s="83"/>
      <c r="MG526" s="405"/>
      <c r="MM526" s="83"/>
      <c r="MU526" s="405"/>
      <c r="NA526" s="83"/>
    </row>
    <row r="527">
      <c r="A527" s="380"/>
      <c r="B527" s="380"/>
      <c r="C527" s="380"/>
      <c r="D527" s="380"/>
      <c r="E527" s="380"/>
      <c r="F527" s="380"/>
      <c r="G527" s="380"/>
      <c r="H527" s="380"/>
      <c r="I527" s="403"/>
      <c r="J527" s="380"/>
      <c r="K527" s="380"/>
      <c r="L527" s="380"/>
      <c r="M527" s="380"/>
      <c r="N527" s="380"/>
      <c r="O527" s="404"/>
      <c r="P527" s="380"/>
      <c r="Q527" s="380"/>
      <c r="R527" s="380"/>
      <c r="S527" s="380"/>
      <c r="T527" s="380"/>
      <c r="U527" s="380"/>
      <c r="V527" s="380"/>
      <c r="W527" s="403"/>
      <c r="X527" s="380"/>
      <c r="Y527" s="380"/>
      <c r="Z527" s="380"/>
      <c r="AA527" s="380"/>
      <c r="AB527" s="380"/>
      <c r="AC527" s="404"/>
      <c r="AD527" s="380"/>
      <c r="AE527" s="380"/>
      <c r="AF527" s="380"/>
      <c r="AG527" s="380"/>
      <c r="AH527" s="380"/>
      <c r="AI527" s="380"/>
      <c r="AJ527" s="380"/>
      <c r="AK527" s="403"/>
      <c r="AL527" s="380"/>
      <c r="AM527" s="380"/>
      <c r="AN527" s="380"/>
      <c r="AO527" s="380"/>
      <c r="AP527" s="380"/>
      <c r="AQ527" s="404"/>
      <c r="AR527" s="380"/>
      <c r="AS527" s="380"/>
      <c r="AT527" s="380"/>
      <c r="AU527" s="380"/>
      <c r="AV527" s="380"/>
      <c r="AW527" s="380"/>
      <c r="AX527" s="380"/>
      <c r="AY527" s="403"/>
      <c r="AZ527" s="380"/>
      <c r="BA527" s="380"/>
      <c r="BB527" s="380"/>
      <c r="BC527" s="380"/>
      <c r="BD527" s="380"/>
      <c r="BE527" s="404"/>
      <c r="BF527" s="380"/>
      <c r="BG527" s="380"/>
      <c r="BH527" s="380"/>
      <c r="BI527" s="380"/>
      <c r="BJ527" s="380"/>
      <c r="BK527" s="380"/>
      <c r="BL527" s="380"/>
      <c r="BM527" s="403"/>
      <c r="BS527" s="83"/>
      <c r="CA527" s="405"/>
      <c r="CG527" s="83"/>
      <c r="CO527" s="405"/>
      <c r="CU527" s="83"/>
      <c r="DC527" s="405"/>
      <c r="DI527" s="83"/>
      <c r="DQ527" s="405"/>
      <c r="DW527" s="83"/>
      <c r="EE527" s="405"/>
      <c r="EK527" s="83"/>
      <c r="ES527" s="405"/>
      <c r="EY527" s="83"/>
      <c r="FG527" s="405"/>
      <c r="FM527" s="83"/>
      <c r="FU527" s="405"/>
      <c r="GA527" s="83"/>
      <c r="GI527" s="405"/>
      <c r="GO527" s="83"/>
      <c r="GW527" s="405"/>
      <c r="HC527" s="83"/>
      <c r="HK527" s="405"/>
      <c r="HQ527" s="83"/>
      <c r="HY527" s="405"/>
      <c r="IE527" s="83"/>
      <c r="IM527" s="405"/>
      <c r="IS527" s="83"/>
      <c r="JA527" s="405"/>
      <c r="JG527" s="83"/>
      <c r="JO527" s="405"/>
      <c r="JU527" s="83"/>
      <c r="KC527" s="405"/>
      <c r="KI527" s="83"/>
      <c r="KQ527" s="405"/>
      <c r="KW527" s="83"/>
      <c r="LE527" s="405"/>
      <c r="LK527" s="83"/>
      <c r="LS527" s="405"/>
      <c r="LY527" s="83"/>
      <c r="MG527" s="405"/>
      <c r="MM527" s="83"/>
      <c r="MU527" s="405"/>
      <c r="NA527" s="83"/>
    </row>
    <row r="528">
      <c r="A528" s="380"/>
      <c r="B528" s="380"/>
      <c r="C528" s="380"/>
      <c r="D528" s="380"/>
      <c r="E528" s="380"/>
      <c r="F528" s="380"/>
      <c r="G528" s="380"/>
      <c r="H528" s="380"/>
      <c r="I528" s="403"/>
      <c r="J528" s="380"/>
      <c r="K528" s="380"/>
      <c r="L528" s="380"/>
      <c r="M528" s="380"/>
      <c r="N528" s="380"/>
      <c r="O528" s="404"/>
      <c r="P528" s="380"/>
      <c r="Q528" s="380"/>
      <c r="R528" s="380"/>
      <c r="S528" s="380"/>
      <c r="T528" s="380"/>
      <c r="U528" s="380"/>
      <c r="V528" s="380"/>
      <c r="W528" s="403"/>
      <c r="X528" s="380"/>
      <c r="Y528" s="380"/>
      <c r="Z528" s="380"/>
      <c r="AA528" s="380"/>
      <c r="AB528" s="380"/>
      <c r="AC528" s="404"/>
      <c r="AD528" s="380"/>
      <c r="AE528" s="380"/>
      <c r="AF528" s="380"/>
      <c r="AG528" s="380"/>
      <c r="AH528" s="380"/>
      <c r="AI528" s="380"/>
      <c r="AJ528" s="380"/>
      <c r="AK528" s="403"/>
      <c r="AL528" s="380"/>
      <c r="AM528" s="380"/>
      <c r="AN528" s="380"/>
      <c r="AO528" s="380"/>
      <c r="AP528" s="380"/>
      <c r="AQ528" s="404"/>
      <c r="AR528" s="380"/>
      <c r="AS528" s="380"/>
      <c r="AT528" s="380"/>
      <c r="AU528" s="380"/>
      <c r="AV528" s="380"/>
      <c r="AW528" s="380"/>
      <c r="AX528" s="380"/>
      <c r="AY528" s="403"/>
      <c r="AZ528" s="380"/>
      <c r="BA528" s="380"/>
      <c r="BB528" s="380"/>
      <c r="BC528" s="380"/>
      <c r="BD528" s="380"/>
      <c r="BE528" s="404"/>
      <c r="BF528" s="380"/>
      <c r="BG528" s="380"/>
      <c r="BH528" s="380"/>
      <c r="BI528" s="380"/>
      <c r="BJ528" s="380"/>
      <c r="BK528" s="380"/>
      <c r="BL528" s="380"/>
      <c r="BM528" s="403"/>
      <c r="BS528" s="83"/>
      <c r="CA528" s="405"/>
      <c r="CG528" s="83"/>
      <c r="CO528" s="405"/>
      <c r="CU528" s="83"/>
      <c r="DC528" s="405"/>
      <c r="DI528" s="83"/>
      <c r="DQ528" s="405"/>
      <c r="DW528" s="83"/>
      <c r="EE528" s="405"/>
      <c r="EK528" s="83"/>
      <c r="ES528" s="405"/>
      <c r="EY528" s="83"/>
      <c r="FG528" s="405"/>
      <c r="FM528" s="83"/>
      <c r="FU528" s="405"/>
      <c r="GA528" s="83"/>
      <c r="GI528" s="405"/>
      <c r="GO528" s="83"/>
      <c r="GW528" s="405"/>
      <c r="HC528" s="83"/>
      <c r="HK528" s="405"/>
      <c r="HQ528" s="83"/>
      <c r="HY528" s="405"/>
      <c r="IE528" s="83"/>
      <c r="IM528" s="405"/>
      <c r="IS528" s="83"/>
      <c r="JA528" s="405"/>
      <c r="JG528" s="83"/>
      <c r="JO528" s="405"/>
      <c r="JU528" s="83"/>
      <c r="KC528" s="405"/>
      <c r="KI528" s="83"/>
      <c r="KQ528" s="405"/>
      <c r="KW528" s="83"/>
      <c r="LE528" s="405"/>
      <c r="LK528" s="83"/>
      <c r="LS528" s="405"/>
      <c r="LY528" s="83"/>
      <c r="MG528" s="405"/>
      <c r="MM528" s="83"/>
      <c r="MU528" s="405"/>
      <c r="NA528" s="83"/>
    </row>
    <row r="529">
      <c r="A529" s="380"/>
      <c r="B529" s="380"/>
      <c r="C529" s="380"/>
      <c r="D529" s="380"/>
      <c r="E529" s="380"/>
      <c r="F529" s="380"/>
      <c r="G529" s="380"/>
      <c r="H529" s="380"/>
      <c r="I529" s="403"/>
      <c r="J529" s="380"/>
      <c r="K529" s="380"/>
      <c r="L529" s="380"/>
      <c r="M529" s="380"/>
      <c r="N529" s="380"/>
      <c r="O529" s="404"/>
      <c r="P529" s="380"/>
      <c r="Q529" s="380"/>
      <c r="R529" s="380"/>
      <c r="S529" s="380"/>
      <c r="T529" s="380"/>
      <c r="U529" s="380"/>
      <c r="V529" s="380"/>
      <c r="W529" s="403"/>
      <c r="X529" s="380"/>
      <c r="Y529" s="380"/>
      <c r="Z529" s="380"/>
      <c r="AA529" s="380"/>
      <c r="AB529" s="380"/>
      <c r="AC529" s="404"/>
      <c r="AD529" s="380"/>
      <c r="AE529" s="380"/>
      <c r="AF529" s="380"/>
      <c r="AG529" s="380"/>
      <c r="AH529" s="380"/>
      <c r="AI529" s="380"/>
      <c r="AJ529" s="380"/>
      <c r="AK529" s="403"/>
      <c r="AL529" s="380"/>
      <c r="AM529" s="380"/>
      <c r="AN529" s="380"/>
      <c r="AO529" s="380"/>
      <c r="AP529" s="380"/>
      <c r="AQ529" s="404"/>
      <c r="AR529" s="380"/>
      <c r="AS529" s="380"/>
      <c r="AT529" s="380"/>
      <c r="AU529" s="380"/>
      <c r="AV529" s="380"/>
      <c r="AW529" s="380"/>
      <c r="AX529" s="380"/>
      <c r="AY529" s="403"/>
      <c r="AZ529" s="380"/>
      <c r="BA529" s="380"/>
      <c r="BB529" s="380"/>
      <c r="BC529" s="380"/>
      <c r="BD529" s="380"/>
      <c r="BE529" s="404"/>
      <c r="BF529" s="380"/>
      <c r="BG529" s="380"/>
      <c r="BH529" s="380"/>
      <c r="BI529" s="380"/>
      <c r="BJ529" s="380"/>
      <c r="BK529" s="380"/>
      <c r="BL529" s="380"/>
      <c r="BM529" s="403"/>
      <c r="BS529" s="83"/>
      <c r="CA529" s="405"/>
      <c r="CG529" s="83"/>
      <c r="CO529" s="405"/>
      <c r="CU529" s="83"/>
      <c r="DC529" s="405"/>
      <c r="DI529" s="83"/>
      <c r="DQ529" s="405"/>
      <c r="DW529" s="83"/>
      <c r="EE529" s="405"/>
      <c r="EK529" s="83"/>
      <c r="ES529" s="405"/>
      <c r="EY529" s="83"/>
      <c r="FG529" s="405"/>
      <c r="FM529" s="83"/>
      <c r="FU529" s="405"/>
      <c r="GA529" s="83"/>
      <c r="GI529" s="405"/>
      <c r="GO529" s="83"/>
      <c r="GW529" s="405"/>
      <c r="HC529" s="83"/>
      <c r="HK529" s="405"/>
      <c r="HQ529" s="83"/>
      <c r="HY529" s="405"/>
      <c r="IE529" s="83"/>
      <c r="IM529" s="405"/>
      <c r="IS529" s="83"/>
      <c r="JA529" s="405"/>
      <c r="JG529" s="83"/>
      <c r="JO529" s="405"/>
      <c r="JU529" s="83"/>
      <c r="KC529" s="405"/>
      <c r="KI529" s="83"/>
      <c r="KQ529" s="405"/>
      <c r="KW529" s="83"/>
      <c r="LE529" s="405"/>
      <c r="LK529" s="83"/>
      <c r="LS529" s="405"/>
      <c r="LY529" s="83"/>
      <c r="MG529" s="405"/>
      <c r="MM529" s="83"/>
      <c r="MU529" s="405"/>
      <c r="NA529" s="83"/>
    </row>
    <row r="530">
      <c r="A530" s="380"/>
      <c r="B530" s="380"/>
      <c r="C530" s="380"/>
      <c r="D530" s="380"/>
      <c r="E530" s="380"/>
      <c r="F530" s="380"/>
      <c r="G530" s="380"/>
      <c r="H530" s="380"/>
      <c r="I530" s="403"/>
      <c r="J530" s="380"/>
      <c r="K530" s="380"/>
      <c r="L530" s="380"/>
      <c r="M530" s="380"/>
      <c r="N530" s="380"/>
      <c r="O530" s="404"/>
      <c r="P530" s="380"/>
      <c r="Q530" s="380"/>
      <c r="R530" s="380"/>
      <c r="S530" s="380"/>
      <c r="T530" s="380"/>
      <c r="U530" s="380"/>
      <c r="V530" s="380"/>
      <c r="W530" s="403"/>
      <c r="X530" s="380"/>
      <c r="Y530" s="380"/>
      <c r="Z530" s="380"/>
      <c r="AA530" s="380"/>
      <c r="AB530" s="380"/>
      <c r="AC530" s="404"/>
      <c r="AD530" s="380"/>
      <c r="AE530" s="380"/>
      <c r="AF530" s="380"/>
      <c r="AG530" s="380"/>
      <c r="AH530" s="380"/>
      <c r="AI530" s="380"/>
      <c r="AJ530" s="380"/>
      <c r="AK530" s="403"/>
      <c r="AL530" s="380"/>
      <c r="AM530" s="380"/>
      <c r="AN530" s="380"/>
      <c r="AO530" s="380"/>
      <c r="AP530" s="380"/>
      <c r="AQ530" s="404"/>
      <c r="AR530" s="380"/>
      <c r="AS530" s="380"/>
      <c r="AT530" s="380"/>
      <c r="AU530" s="380"/>
      <c r="AV530" s="380"/>
      <c r="AW530" s="380"/>
      <c r="AX530" s="380"/>
      <c r="AY530" s="403"/>
      <c r="AZ530" s="380"/>
      <c r="BA530" s="380"/>
      <c r="BB530" s="380"/>
      <c r="BC530" s="380"/>
      <c r="BD530" s="380"/>
      <c r="BE530" s="404"/>
      <c r="BF530" s="380"/>
      <c r="BG530" s="380"/>
      <c r="BH530" s="380"/>
      <c r="BI530" s="380"/>
      <c r="BJ530" s="380"/>
      <c r="BK530" s="380"/>
      <c r="BL530" s="380"/>
      <c r="BM530" s="403"/>
      <c r="BS530" s="83"/>
      <c r="CA530" s="405"/>
      <c r="CG530" s="83"/>
      <c r="CO530" s="405"/>
      <c r="CU530" s="83"/>
      <c r="DC530" s="405"/>
      <c r="DI530" s="83"/>
      <c r="DQ530" s="405"/>
      <c r="DW530" s="83"/>
      <c r="EE530" s="405"/>
      <c r="EK530" s="83"/>
      <c r="ES530" s="405"/>
      <c r="EY530" s="83"/>
      <c r="FG530" s="405"/>
      <c r="FM530" s="83"/>
      <c r="FU530" s="405"/>
      <c r="GA530" s="83"/>
      <c r="GI530" s="405"/>
      <c r="GO530" s="83"/>
      <c r="GW530" s="405"/>
      <c r="HC530" s="83"/>
      <c r="HK530" s="405"/>
      <c r="HQ530" s="83"/>
      <c r="HY530" s="405"/>
      <c r="IE530" s="83"/>
      <c r="IM530" s="405"/>
      <c r="IS530" s="83"/>
      <c r="JA530" s="405"/>
      <c r="JG530" s="83"/>
      <c r="JO530" s="405"/>
      <c r="JU530" s="83"/>
      <c r="KC530" s="405"/>
      <c r="KI530" s="83"/>
      <c r="KQ530" s="405"/>
      <c r="KW530" s="83"/>
      <c r="LE530" s="405"/>
      <c r="LK530" s="83"/>
      <c r="LS530" s="405"/>
      <c r="LY530" s="83"/>
      <c r="MG530" s="405"/>
      <c r="MM530" s="83"/>
      <c r="MU530" s="405"/>
      <c r="NA530" s="83"/>
    </row>
    <row r="531">
      <c r="A531" s="380"/>
      <c r="B531" s="380"/>
      <c r="C531" s="380"/>
      <c r="D531" s="380"/>
      <c r="E531" s="380"/>
      <c r="F531" s="380"/>
      <c r="G531" s="380"/>
      <c r="H531" s="380"/>
      <c r="I531" s="403"/>
      <c r="J531" s="380"/>
      <c r="K531" s="380"/>
      <c r="L531" s="380"/>
      <c r="M531" s="380"/>
      <c r="N531" s="380"/>
      <c r="O531" s="404"/>
      <c r="P531" s="380"/>
      <c r="Q531" s="380"/>
      <c r="R531" s="380"/>
      <c r="S531" s="380"/>
      <c r="T531" s="380"/>
      <c r="U531" s="380"/>
      <c r="V531" s="380"/>
      <c r="W531" s="403"/>
      <c r="X531" s="380"/>
      <c r="Y531" s="380"/>
      <c r="Z531" s="380"/>
      <c r="AA531" s="380"/>
      <c r="AB531" s="380"/>
      <c r="AC531" s="404"/>
      <c r="AD531" s="380"/>
      <c r="AE531" s="380"/>
      <c r="AF531" s="380"/>
      <c r="AG531" s="380"/>
      <c r="AH531" s="380"/>
      <c r="AI531" s="380"/>
      <c r="AJ531" s="380"/>
      <c r="AK531" s="403"/>
      <c r="AL531" s="380"/>
      <c r="AM531" s="380"/>
      <c r="AN531" s="380"/>
      <c r="AO531" s="380"/>
      <c r="AP531" s="380"/>
      <c r="AQ531" s="404"/>
      <c r="AR531" s="380"/>
      <c r="AS531" s="380"/>
      <c r="AT531" s="380"/>
      <c r="AU531" s="380"/>
      <c r="AV531" s="380"/>
      <c r="AW531" s="380"/>
      <c r="AX531" s="380"/>
      <c r="AY531" s="403"/>
      <c r="AZ531" s="380"/>
      <c r="BA531" s="380"/>
      <c r="BB531" s="380"/>
      <c r="BC531" s="380"/>
      <c r="BD531" s="380"/>
      <c r="BE531" s="404"/>
      <c r="BF531" s="380"/>
      <c r="BG531" s="380"/>
      <c r="BH531" s="380"/>
      <c r="BI531" s="380"/>
      <c r="BJ531" s="380"/>
      <c r="BK531" s="380"/>
      <c r="BL531" s="380"/>
      <c r="BM531" s="403"/>
      <c r="BS531" s="83"/>
      <c r="CA531" s="405"/>
      <c r="CG531" s="83"/>
      <c r="CO531" s="405"/>
      <c r="CU531" s="83"/>
      <c r="DC531" s="405"/>
      <c r="DI531" s="83"/>
      <c r="DQ531" s="405"/>
      <c r="DW531" s="83"/>
      <c r="EE531" s="405"/>
      <c r="EK531" s="83"/>
      <c r="ES531" s="405"/>
      <c r="EY531" s="83"/>
      <c r="FG531" s="405"/>
      <c r="FM531" s="83"/>
      <c r="FU531" s="405"/>
      <c r="GA531" s="83"/>
      <c r="GI531" s="405"/>
      <c r="GO531" s="83"/>
      <c r="GW531" s="405"/>
      <c r="HC531" s="83"/>
      <c r="HK531" s="405"/>
      <c r="HQ531" s="83"/>
      <c r="HY531" s="405"/>
      <c r="IE531" s="83"/>
      <c r="IM531" s="405"/>
      <c r="IS531" s="83"/>
      <c r="JA531" s="405"/>
      <c r="JG531" s="83"/>
      <c r="JO531" s="405"/>
      <c r="JU531" s="83"/>
      <c r="KC531" s="405"/>
      <c r="KI531" s="83"/>
      <c r="KQ531" s="405"/>
      <c r="KW531" s="83"/>
      <c r="LE531" s="405"/>
      <c r="LK531" s="83"/>
      <c r="LS531" s="405"/>
      <c r="LY531" s="83"/>
      <c r="MG531" s="405"/>
      <c r="MM531" s="83"/>
      <c r="MU531" s="405"/>
      <c r="NA531" s="83"/>
    </row>
    <row r="532">
      <c r="A532" s="380"/>
      <c r="B532" s="380"/>
      <c r="C532" s="380"/>
      <c r="D532" s="380"/>
      <c r="E532" s="380"/>
      <c r="F532" s="380"/>
      <c r="G532" s="380"/>
      <c r="H532" s="380"/>
      <c r="I532" s="403"/>
      <c r="J532" s="380"/>
      <c r="K532" s="380"/>
      <c r="L532" s="380"/>
      <c r="M532" s="380"/>
      <c r="N532" s="380"/>
      <c r="O532" s="404"/>
      <c r="P532" s="380"/>
      <c r="Q532" s="380"/>
      <c r="R532" s="380"/>
      <c r="S532" s="380"/>
      <c r="T532" s="380"/>
      <c r="U532" s="380"/>
      <c r="V532" s="380"/>
      <c r="W532" s="403"/>
      <c r="X532" s="380"/>
      <c r="Y532" s="380"/>
      <c r="Z532" s="380"/>
      <c r="AA532" s="380"/>
      <c r="AB532" s="380"/>
      <c r="AC532" s="404"/>
      <c r="AD532" s="380"/>
      <c r="AE532" s="380"/>
      <c r="AF532" s="380"/>
      <c r="AG532" s="380"/>
      <c r="AH532" s="380"/>
      <c r="AI532" s="380"/>
      <c r="AJ532" s="380"/>
      <c r="AK532" s="403"/>
      <c r="AL532" s="380"/>
      <c r="AM532" s="380"/>
      <c r="AN532" s="380"/>
      <c r="AO532" s="380"/>
      <c r="AP532" s="380"/>
      <c r="AQ532" s="404"/>
      <c r="AR532" s="380"/>
      <c r="AS532" s="380"/>
      <c r="AT532" s="380"/>
      <c r="AU532" s="380"/>
      <c r="AV532" s="380"/>
      <c r="AW532" s="380"/>
      <c r="AX532" s="380"/>
      <c r="AY532" s="403"/>
      <c r="AZ532" s="380"/>
      <c r="BA532" s="380"/>
      <c r="BB532" s="380"/>
      <c r="BC532" s="380"/>
      <c r="BD532" s="380"/>
      <c r="BE532" s="404"/>
      <c r="BF532" s="380"/>
      <c r="BG532" s="380"/>
      <c r="BH532" s="380"/>
      <c r="BI532" s="380"/>
      <c r="BJ532" s="380"/>
      <c r="BK532" s="380"/>
      <c r="BL532" s="380"/>
      <c r="BM532" s="403"/>
      <c r="BS532" s="83"/>
      <c r="CA532" s="405"/>
      <c r="CG532" s="83"/>
      <c r="CO532" s="405"/>
      <c r="CU532" s="83"/>
      <c r="DC532" s="405"/>
      <c r="DI532" s="83"/>
      <c r="DQ532" s="405"/>
      <c r="DW532" s="83"/>
      <c r="EE532" s="405"/>
      <c r="EK532" s="83"/>
      <c r="ES532" s="405"/>
      <c r="EY532" s="83"/>
      <c r="FG532" s="405"/>
      <c r="FM532" s="83"/>
      <c r="FU532" s="405"/>
      <c r="GA532" s="83"/>
      <c r="GI532" s="405"/>
      <c r="GO532" s="83"/>
      <c r="GW532" s="405"/>
      <c r="HC532" s="83"/>
      <c r="HK532" s="405"/>
      <c r="HQ532" s="83"/>
      <c r="HY532" s="405"/>
      <c r="IE532" s="83"/>
      <c r="IM532" s="405"/>
      <c r="IS532" s="83"/>
      <c r="JA532" s="405"/>
      <c r="JG532" s="83"/>
      <c r="JO532" s="405"/>
      <c r="JU532" s="83"/>
      <c r="KC532" s="405"/>
      <c r="KI532" s="83"/>
      <c r="KQ532" s="405"/>
      <c r="KW532" s="83"/>
      <c r="LE532" s="405"/>
      <c r="LK532" s="83"/>
      <c r="LS532" s="405"/>
      <c r="LY532" s="83"/>
      <c r="MG532" s="405"/>
      <c r="MM532" s="83"/>
      <c r="MU532" s="405"/>
      <c r="NA532" s="83"/>
    </row>
    <row r="533">
      <c r="A533" s="380"/>
      <c r="B533" s="380"/>
      <c r="C533" s="380"/>
      <c r="D533" s="380"/>
      <c r="E533" s="380"/>
      <c r="F533" s="380"/>
      <c r="G533" s="380"/>
      <c r="H533" s="380"/>
      <c r="I533" s="403"/>
      <c r="J533" s="380"/>
      <c r="K533" s="380"/>
      <c r="L533" s="380"/>
      <c r="M533" s="380"/>
      <c r="N533" s="380"/>
      <c r="O533" s="404"/>
      <c r="P533" s="380"/>
      <c r="Q533" s="380"/>
      <c r="R533" s="380"/>
      <c r="S533" s="380"/>
      <c r="T533" s="380"/>
      <c r="U533" s="380"/>
      <c r="V533" s="380"/>
      <c r="W533" s="403"/>
      <c r="X533" s="380"/>
      <c r="Y533" s="380"/>
      <c r="Z533" s="380"/>
      <c r="AA533" s="380"/>
      <c r="AB533" s="380"/>
      <c r="AC533" s="404"/>
      <c r="AD533" s="380"/>
      <c r="AE533" s="380"/>
      <c r="AF533" s="380"/>
      <c r="AG533" s="380"/>
      <c r="AH533" s="380"/>
      <c r="AI533" s="380"/>
      <c r="AJ533" s="380"/>
      <c r="AK533" s="403"/>
      <c r="AL533" s="380"/>
      <c r="AM533" s="380"/>
      <c r="AN533" s="380"/>
      <c r="AO533" s="380"/>
      <c r="AP533" s="380"/>
      <c r="AQ533" s="404"/>
      <c r="AR533" s="380"/>
      <c r="AS533" s="380"/>
      <c r="AT533" s="380"/>
      <c r="AU533" s="380"/>
      <c r="AV533" s="380"/>
      <c r="AW533" s="380"/>
      <c r="AX533" s="380"/>
      <c r="AY533" s="403"/>
      <c r="AZ533" s="380"/>
      <c r="BA533" s="380"/>
      <c r="BB533" s="380"/>
      <c r="BC533" s="380"/>
      <c r="BD533" s="380"/>
      <c r="BE533" s="404"/>
      <c r="BF533" s="380"/>
      <c r="BG533" s="380"/>
      <c r="BH533" s="380"/>
      <c r="BI533" s="380"/>
      <c r="BJ533" s="380"/>
      <c r="BK533" s="380"/>
      <c r="BL533" s="380"/>
      <c r="BM533" s="403"/>
      <c r="BS533" s="83"/>
      <c r="CA533" s="405"/>
      <c r="CG533" s="83"/>
      <c r="CO533" s="405"/>
      <c r="CU533" s="83"/>
      <c r="DC533" s="405"/>
      <c r="DI533" s="83"/>
      <c r="DQ533" s="405"/>
      <c r="DW533" s="83"/>
      <c r="EE533" s="405"/>
      <c r="EK533" s="83"/>
      <c r="ES533" s="405"/>
      <c r="EY533" s="83"/>
      <c r="FG533" s="405"/>
      <c r="FM533" s="83"/>
      <c r="FU533" s="405"/>
      <c r="GA533" s="83"/>
      <c r="GI533" s="405"/>
      <c r="GO533" s="83"/>
      <c r="GW533" s="405"/>
      <c r="HC533" s="83"/>
      <c r="HK533" s="405"/>
      <c r="HQ533" s="83"/>
      <c r="HY533" s="405"/>
      <c r="IE533" s="83"/>
      <c r="IM533" s="405"/>
      <c r="IS533" s="83"/>
      <c r="JA533" s="405"/>
      <c r="JG533" s="83"/>
      <c r="JO533" s="405"/>
      <c r="JU533" s="83"/>
      <c r="KC533" s="405"/>
      <c r="KI533" s="83"/>
      <c r="KQ533" s="405"/>
      <c r="KW533" s="83"/>
      <c r="LE533" s="405"/>
      <c r="LK533" s="83"/>
      <c r="LS533" s="405"/>
      <c r="LY533" s="83"/>
      <c r="MG533" s="405"/>
      <c r="MM533" s="83"/>
      <c r="MU533" s="405"/>
      <c r="NA533" s="83"/>
    </row>
    <row r="534">
      <c r="A534" s="380"/>
      <c r="B534" s="380"/>
      <c r="C534" s="380"/>
      <c r="D534" s="380"/>
      <c r="E534" s="380"/>
      <c r="F534" s="380"/>
      <c r="G534" s="380"/>
      <c r="H534" s="380"/>
      <c r="I534" s="403"/>
      <c r="J534" s="380"/>
      <c r="K534" s="380"/>
      <c r="L534" s="380"/>
      <c r="M534" s="380"/>
      <c r="N534" s="380"/>
      <c r="O534" s="404"/>
      <c r="P534" s="380"/>
      <c r="Q534" s="380"/>
      <c r="R534" s="380"/>
      <c r="S534" s="380"/>
      <c r="T534" s="380"/>
      <c r="U534" s="380"/>
      <c r="V534" s="380"/>
      <c r="W534" s="403"/>
      <c r="X534" s="380"/>
      <c r="Y534" s="380"/>
      <c r="Z534" s="380"/>
      <c r="AA534" s="380"/>
      <c r="AB534" s="380"/>
      <c r="AC534" s="404"/>
      <c r="AD534" s="380"/>
      <c r="AE534" s="380"/>
      <c r="AF534" s="380"/>
      <c r="AG534" s="380"/>
      <c r="AH534" s="380"/>
      <c r="AI534" s="380"/>
      <c r="AJ534" s="380"/>
      <c r="AK534" s="403"/>
      <c r="AL534" s="380"/>
      <c r="AM534" s="380"/>
      <c r="AN534" s="380"/>
      <c r="AO534" s="380"/>
      <c r="AP534" s="380"/>
      <c r="AQ534" s="404"/>
      <c r="AR534" s="380"/>
      <c r="AS534" s="380"/>
      <c r="AT534" s="380"/>
      <c r="AU534" s="380"/>
      <c r="AV534" s="380"/>
      <c r="AW534" s="380"/>
      <c r="AX534" s="380"/>
      <c r="AY534" s="403"/>
      <c r="AZ534" s="380"/>
      <c r="BA534" s="380"/>
      <c r="BB534" s="380"/>
      <c r="BC534" s="380"/>
      <c r="BD534" s="380"/>
      <c r="BE534" s="404"/>
      <c r="BF534" s="380"/>
      <c r="BG534" s="380"/>
      <c r="BH534" s="380"/>
      <c r="BI534" s="380"/>
      <c r="BJ534" s="380"/>
      <c r="BK534" s="380"/>
      <c r="BL534" s="380"/>
      <c r="BM534" s="403"/>
      <c r="BS534" s="83"/>
      <c r="CA534" s="405"/>
      <c r="CG534" s="83"/>
      <c r="CO534" s="405"/>
      <c r="CU534" s="83"/>
      <c r="DC534" s="405"/>
      <c r="DI534" s="83"/>
      <c r="DQ534" s="405"/>
      <c r="DW534" s="83"/>
      <c r="EE534" s="405"/>
      <c r="EK534" s="83"/>
      <c r="ES534" s="405"/>
      <c r="EY534" s="83"/>
      <c r="FG534" s="405"/>
      <c r="FM534" s="83"/>
      <c r="FU534" s="405"/>
      <c r="GA534" s="83"/>
      <c r="GI534" s="405"/>
      <c r="GO534" s="83"/>
      <c r="GW534" s="405"/>
      <c r="HC534" s="83"/>
      <c r="HK534" s="405"/>
      <c r="HQ534" s="83"/>
      <c r="HY534" s="405"/>
      <c r="IE534" s="83"/>
      <c r="IM534" s="405"/>
      <c r="IS534" s="83"/>
      <c r="JA534" s="405"/>
      <c r="JG534" s="83"/>
      <c r="JO534" s="405"/>
      <c r="JU534" s="83"/>
      <c r="KC534" s="405"/>
      <c r="KI534" s="83"/>
      <c r="KQ534" s="405"/>
      <c r="KW534" s="83"/>
      <c r="LE534" s="405"/>
      <c r="LK534" s="83"/>
      <c r="LS534" s="405"/>
      <c r="LY534" s="83"/>
      <c r="MG534" s="405"/>
      <c r="MM534" s="83"/>
      <c r="MU534" s="405"/>
      <c r="NA534" s="83"/>
    </row>
    <row r="535">
      <c r="A535" s="380"/>
      <c r="B535" s="380"/>
      <c r="C535" s="380"/>
      <c r="D535" s="380"/>
      <c r="E535" s="380"/>
      <c r="F535" s="380"/>
      <c r="G535" s="380"/>
      <c r="H535" s="380"/>
      <c r="I535" s="403"/>
      <c r="J535" s="380"/>
      <c r="K535" s="380"/>
      <c r="L535" s="380"/>
      <c r="M535" s="380"/>
      <c r="N535" s="380"/>
      <c r="O535" s="404"/>
      <c r="P535" s="380"/>
      <c r="Q535" s="380"/>
      <c r="R535" s="380"/>
      <c r="S535" s="380"/>
      <c r="T535" s="380"/>
      <c r="U535" s="380"/>
      <c r="V535" s="380"/>
      <c r="W535" s="403"/>
      <c r="X535" s="380"/>
      <c r="Y535" s="380"/>
      <c r="Z535" s="380"/>
      <c r="AA535" s="380"/>
      <c r="AB535" s="380"/>
      <c r="AC535" s="404"/>
      <c r="AD535" s="380"/>
      <c r="AE535" s="380"/>
      <c r="AF535" s="380"/>
      <c r="AG535" s="380"/>
      <c r="AH535" s="380"/>
      <c r="AI535" s="380"/>
      <c r="AJ535" s="380"/>
      <c r="AK535" s="403"/>
      <c r="AL535" s="380"/>
      <c r="AM535" s="380"/>
      <c r="AN535" s="380"/>
      <c r="AO535" s="380"/>
      <c r="AP535" s="380"/>
      <c r="AQ535" s="404"/>
      <c r="AR535" s="380"/>
      <c r="AS535" s="380"/>
      <c r="AT535" s="380"/>
      <c r="AU535" s="380"/>
      <c r="AV535" s="380"/>
      <c r="AW535" s="380"/>
      <c r="AX535" s="380"/>
      <c r="AY535" s="403"/>
      <c r="AZ535" s="380"/>
      <c r="BA535" s="380"/>
      <c r="BB535" s="380"/>
      <c r="BC535" s="380"/>
      <c r="BD535" s="380"/>
      <c r="BE535" s="404"/>
      <c r="BF535" s="380"/>
      <c r="BG535" s="380"/>
      <c r="BH535" s="380"/>
      <c r="BI535" s="380"/>
      <c r="BJ535" s="380"/>
      <c r="BK535" s="380"/>
      <c r="BL535" s="380"/>
      <c r="BM535" s="403"/>
      <c r="BS535" s="83"/>
      <c r="CA535" s="405"/>
      <c r="CG535" s="83"/>
      <c r="CO535" s="405"/>
      <c r="CU535" s="83"/>
      <c r="DC535" s="405"/>
      <c r="DI535" s="83"/>
      <c r="DQ535" s="405"/>
      <c r="DW535" s="83"/>
      <c r="EE535" s="405"/>
      <c r="EK535" s="83"/>
      <c r="ES535" s="405"/>
      <c r="EY535" s="83"/>
      <c r="FG535" s="405"/>
      <c r="FM535" s="83"/>
      <c r="FU535" s="405"/>
      <c r="GA535" s="83"/>
      <c r="GI535" s="405"/>
      <c r="GO535" s="83"/>
      <c r="GW535" s="405"/>
      <c r="HC535" s="83"/>
      <c r="HK535" s="405"/>
      <c r="HQ535" s="83"/>
      <c r="HY535" s="405"/>
      <c r="IE535" s="83"/>
      <c r="IM535" s="405"/>
      <c r="IS535" s="83"/>
      <c r="JA535" s="405"/>
      <c r="JG535" s="83"/>
      <c r="JO535" s="405"/>
      <c r="JU535" s="83"/>
      <c r="KC535" s="405"/>
      <c r="KI535" s="83"/>
      <c r="KQ535" s="405"/>
      <c r="KW535" s="83"/>
      <c r="LE535" s="405"/>
      <c r="LK535" s="83"/>
      <c r="LS535" s="405"/>
      <c r="LY535" s="83"/>
      <c r="MG535" s="405"/>
      <c r="MM535" s="83"/>
      <c r="MU535" s="405"/>
      <c r="NA535" s="83"/>
    </row>
    <row r="536">
      <c r="A536" s="380"/>
      <c r="B536" s="380"/>
      <c r="C536" s="380"/>
      <c r="D536" s="380"/>
      <c r="E536" s="380"/>
      <c r="F536" s="380"/>
      <c r="G536" s="380"/>
      <c r="H536" s="380"/>
      <c r="I536" s="403"/>
      <c r="J536" s="380"/>
      <c r="K536" s="380"/>
      <c r="L536" s="380"/>
      <c r="M536" s="380"/>
      <c r="N536" s="380"/>
      <c r="O536" s="404"/>
      <c r="P536" s="380"/>
      <c r="Q536" s="380"/>
      <c r="R536" s="380"/>
      <c r="S536" s="380"/>
      <c r="T536" s="380"/>
      <c r="U536" s="380"/>
      <c r="V536" s="380"/>
      <c r="W536" s="403"/>
      <c r="X536" s="380"/>
      <c r="Y536" s="380"/>
      <c r="Z536" s="380"/>
      <c r="AA536" s="380"/>
      <c r="AB536" s="380"/>
      <c r="AC536" s="404"/>
      <c r="AD536" s="380"/>
      <c r="AE536" s="380"/>
      <c r="AF536" s="380"/>
      <c r="AG536" s="380"/>
      <c r="AH536" s="380"/>
      <c r="AI536" s="380"/>
      <c r="AJ536" s="380"/>
      <c r="AK536" s="403"/>
      <c r="AL536" s="380"/>
      <c r="AM536" s="380"/>
      <c r="AN536" s="380"/>
      <c r="AO536" s="380"/>
      <c r="AP536" s="380"/>
      <c r="AQ536" s="404"/>
      <c r="AR536" s="380"/>
      <c r="AS536" s="380"/>
      <c r="AT536" s="380"/>
      <c r="AU536" s="380"/>
      <c r="AV536" s="380"/>
      <c r="AW536" s="380"/>
      <c r="AX536" s="380"/>
      <c r="AY536" s="403"/>
      <c r="AZ536" s="380"/>
      <c r="BA536" s="380"/>
      <c r="BB536" s="380"/>
      <c r="BC536" s="380"/>
      <c r="BD536" s="380"/>
      <c r="BE536" s="404"/>
      <c r="BF536" s="380"/>
      <c r="BG536" s="380"/>
      <c r="BH536" s="380"/>
      <c r="BI536" s="380"/>
      <c r="BJ536" s="380"/>
      <c r="BK536" s="380"/>
      <c r="BL536" s="380"/>
      <c r="BM536" s="403"/>
      <c r="BS536" s="83"/>
      <c r="CA536" s="405"/>
      <c r="CG536" s="83"/>
      <c r="CO536" s="405"/>
      <c r="CU536" s="83"/>
      <c r="DC536" s="405"/>
      <c r="DI536" s="83"/>
      <c r="DQ536" s="405"/>
      <c r="DW536" s="83"/>
      <c r="EE536" s="405"/>
      <c r="EK536" s="83"/>
      <c r="ES536" s="405"/>
      <c r="EY536" s="83"/>
      <c r="FG536" s="405"/>
      <c r="FM536" s="83"/>
      <c r="FU536" s="405"/>
      <c r="GA536" s="83"/>
      <c r="GI536" s="405"/>
      <c r="GO536" s="83"/>
      <c r="GW536" s="405"/>
      <c r="HC536" s="83"/>
      <c r="HK536" s="405"/>
      <c r="HQ536" s="83"/>
      <c r="HY536" s="405"/>
      <c r="IE536" s="83"/>
      <c r="IM536" s="405"/>
      <c r="IS536" s="83"/>
      <c r="JA536" s="405"/>
      <c r="JG536" s="83"/>
      <c r="JO536" s="405"/>
      <c r="JU536" s="83"/>
      <c r="KC536" s="405"/>
      <c r="KI536" s="83"/>
      <c r="KQ536" s="405"/>
      <c r="KW536" s="83"/>
      <c r="LE536" s="405"/>
      <c r="LK536" s="83"/>
      <c r="LS536" s="405"/>
      <c r="LY536" s="83"/>
      <c r="MG536" s="405"/>
      <c r="MM536" s="83"/>
      <c r="MU536" s="405"/>
      <c r="NA536" s="83"/>
    </row>
    <row r="537">
      <c r="A537" s="380"/>
      <c r="B537" s="380"/>
      <c r="C537" s="380"/>
      <c r="D537" s="380"/>
      <c r="E537" s="380"/>
      <c r="F537" s="380"/>
      <c r="G537" s="380"/>
      <c r="H537" s="380"/>
      <c r="I537" s="403"/>
      <c r="J537" s="380"/>
      <c r="K537" s="380"/>
      <c r="L537" s="380"/>
      <c r="M537" s="380"/>
      <c r="N537" s="380"/>
      <c r="O537" s="404"/>
      <c r="P537" s="380"/>
      <c r="Q537" s="380"/>
      <c r="R537" s="380"/>
      <c r="S537" s="380"/>
      <c r="T537" s="380"/>
      <c r="U537" s="380"/>
      <c r="V537" s="380"/>
      <c r="W537" s="403"/>
      <c r="X537" s="380"/>
      <c r="Y537" s="380"/>
      <c r="Z537" s="380"/>
      <c r="AA537" s="380"/>
      <c r="AB537" s="380"/>
      <c r="AC537" s="404"/>
      <c r="AD537" s="380"/>
      <c r="AE537" s="380"/>
      <c r="AF537" s="380"/>
      <c r="AG537" s="380"/>
      <c r="AH537" s="380"/>
      <c r="AI537" s="380"/>
      <c r="AJ537" s="380"/>
      <c r="AK537" s="403"/>
      <c r="AL537" s="380"/>
      <c r="AM537" s="380"/>
      <c r="AN537" s="380"/>
      <c r="AO537" s="380"/>
      <c r="AP537" s="380"/>
      <c r="AQ537" s="404"/>
      <c r="AR537" s="380"/>
      <c r="AS537" s="380"/>
      <c r="AT537" s="380"/>
      <c r="AU537" s="380"/>
      <c r="AV537" s="380"/>
      <c r="AW537" s="380"/>
      <c r="AX537" s="380"/>
      <c r="AY537" s="403"/>
      <c r="AZ537" s="380"/>
      <c r="BA537" s="380"/>
      <c r="BB537" s="380"/>
      <c r="BC537" s="380"/>
      <c r="BD537" s="380"/>
      <c r="BE537" s="404"/>
      <c r="BF537" s="380"/>
      <c r="BG537" s="380"/>
      <c r="BH537" s="380"/>
      <c r="BI537" s="380"/>
      <c r="BJ537" s="380"/>
      <c r="BK537" s="380"/>
      <c r="BL537" s="380"/>
      <c r="BM537" s="403"/>
      <c r="BS537" s="83"/>
      <c r="CA537" s="405"/>
      <c r="CG537" s="83"/>
      <c r="CO537" s="405"/>
      <c r="CU537" s="83"/>
      <c r="DC537" s="405"/>
      <c r="DI537" s="83"/>
      <c r="DQ537" s="405"/>
      <c r="DW537" s="83"/>
      <c r="EE537" s="405"/>
      <c r="EK537" s="83"/>
      <c r="ES537" s="405"/>
      <c r="EY537" s="83"/>
      <c r="FG537" s="405"/>
      <c r="FM537" s="83"/>
      <c r="FU537" s="405"/>
      <c r="GA537" s="83"/>
      <c r="GI537" s="405"/>
      <c r="GO537" s="83"/>
      <c r="GW537" s="405"/>
      <c r="HC537" s="83"/>
      <c r="HK537" s="405"/>
      <c r="HQ537" s="83"/>
      <c r="HY537" s="405"/>
      <c r="IE537" s="83"/>
      <c r="IM537" s="405"/>
      <c r="IS537" s="83"/>
      <c r="JA537" s="405"/>
      <c r="JG537" s="83"/>
      <c r="JO537" s="405"/>
      <c r="JU537" s="83"/>
      <c r="KC537" s="405"/>
      <c r="KI537" s="83"/>
      <c r="KQ537" s="405"/>
      <c r="KW537" s="83"/>
      <c r="LE537" s="405"/>
      <c r="LK537" s="83"/>
      <c r="LS537" s="405"/>
      <c r="LY537" s="83"/>
      <c r="MG537" s="405"/>
      <c r="MM537" s="83"/>
      <c r="MU537" s="405"/>
      <c r="NA537" s="83"/>
    </row>
    <row r="538">
      <c r="A538" s="380"/>
      <c r="B538" s="380"/>
      <c r="C538" s="380"/>
      <c r="D538" s="380"/>
      <c r="E538" s="380"/>
      <c r="F538" s="380"/>
      <c r="G538" s="380"/>
      <c r="H538" s="380"/>
      <c r="I538" s="403"/>
      <c r="J538" s="380"/>
      <c r="K538" s="380"/>
      <c r="L538" s="380"/>
      <c r="M538" s="380"/>
      <c r="N538" s="380"/>
      <c r="O538" s="404"/>
      <c r="P538" s="380"/>
      <c r="Q538" s="380"/>
      <c r="R538" s="380"/>
      <c r="S538" s="380"/>
      <c r="T538" s="380"/>
      <c r="U538" s="380"/>
      <c r="V538" s="380"/>
      <c r="W538" s="403"/>
      <c r="X538" s="380"/>
      <c r="Y538" s="380"/>
      <c r="Z538" s="380"/>
      <c r="AA538" s="380"/>
      <c r="AB538" s="380"/>
      <c r="AC538" s="404"/>
      <c r="AD538" s="380"/>
      <c r="AE538" s="380"/>
      <c r="AF538" s="380"/>
      <c r="AG538" s="380"/>
      <c r="AH538" s="380"/>
      <c r="AI538" s="380"/>
      <c r="AJ538" s="380"/>
      <c r="AK538" s="403"/>
      <c r="AL538" s="380"/>
      <c r="AM538" s="380"/>
      <c r="AN538" s="380"/>
      <c r="AO538" s="380"/>
      <c r="AP538" s="380"/>
      <c r="AQ538" s="404"/>
      <c r="AR538" s="380"/>
      <c r="AS538" s="380"/>
      <c r="AT538" s="380"/>
      <c r="AU538" s="380"/>
      <c r="AV538" s="380"/>
      <c r="AW538" s="380"/>
      <c r="AX538" s="380"/>
      <c r="AY538" s="403"/>
      <c r="AZ538" s="380"/>
      <c r="BA538" s="380"/>
      <c r="BB538" s="380"/>
      <c r="BC538" s="380"/>
      <c r="BD538" s="380"/>
      <c r="BE538" s="404"/>
      <c r="BF538" s="380"/>
      <c r="BG538" s="380"/>
      <c r="BH538" s="380"/>
      <c r="BI538" s="380"/>
      <c r="BJ538" s="380"/>
      <c r="BK538" s="380"/>
      <c r="BL538" s="380"/>
      <c r="BM538" s="403"/>
      <c r="BS538" s="83"/>
      <c r="CA538" s="405"/>
      <c r="CG538" s="83"/>
      <c r="CO538" s="405"/>
      <c r="CU538" s="83"/>
      <c r="DC538" s="405"/>
      <c r="DI538" s="83"/>
      <c r="DQ538" s="405"/>
      <c r="DW538" s="83"/>
      <c r="EE538" s="405"/>
      <c r="EK538" s="83"/>
      <c r="ES538" s="405"/>
      <c r="EY538" s="83"/>
      <c r="FG538" s="405"/>
      <c r="FM538" s="83"/>
      <c r="FU538" s="405"/>
      <c r="GA538" s="83"/>
      <c r="GI538" s="405"/>
      <c r="GO538" s="83"/>
      <c r="GW538" s="405"/>
      <c r="HC538" s="83"/>
      <c r="HK538" s="405"/>
      <c r="HQ538" s="83"/>
      <c r="HY538" s="405"/>
      <c r="IE538" s="83"/>
      <c r="IM538" s="405"/>
      <c r="IS538" s="83"/>
      <c r="JA538" s="405"/>
      <c r="JG538" s="83"/>
      <c r="JO538" s="405"/>
      <c r="JU538" s="83"/>
      <c r="KC538" s="405"/>
      <c r="KI538" s="83"/>
      <c r="KQ538" s="405"/>
      <c r="KW538" s="83"/>
      <c r="LE538" s="405"/>
      <c r="LK538" s="83"/>
      <c r="LS538" s="405"/>
      <c r="LY538" s="83"/>
      <c r="MG538" s="405"/>
      <c r="MM538" s="83"/>
      <c r="MU538" s="405"/>
      <c r="NA538" s="83"/>
    </row>
    <row r="539">
      <c r="A539" s="380"/>
      <c r="B539" s="380"/>
      <c r="C539" s="380"/>
      <c r="D539" s="380"/>
      <c r="E539" s="380"/>
      <c r="F539" s="380"/>
      <c r="G539" s="380"/>
      <c r="H539" s="380"/>
      <c r="I539" s="403"/>
      <c r="J539" s="380"/>
      <c r="K539" s="380"/>
      <c r="L539" s="380"/>
      <c r="M539" s="380"/>
      <c r="N539" s="380"/>
      <c r="O539" s="404"/>
      <c r="P539" s="380"/>
      <c r="Q539" s="380"/>
      <c r="R539" s="380"/>
      <c r="S539" s="380"/>
      <c r="T539" s="380"/>
      <c r="U539" s="380"/>
      <c r="V539" s="380"/>
      <c r="W539" s="403"/>
      <c r="X539" s="380"/>
      <c r="Y539" s="380"/>
      <c r="Z539" s="380"/>
      <c r="AA539" s="380"/>
      <c r="AB539" s="380"/>
      <c r="AC539" s="404"/>
      <c r="AD539" s="380"/>
      <c r="AE539" s="380"/>
      <c r="AF539" s="380"/>
      <c r="AG539" s="380"/>
      <c r="AH539" s="380"/>
      <c r="AI539" s="380"/>
      <c r="AJ539" s="380"/>
      <c r="AK539" s="403"/>
      <c r="AL539" s="380"/>
      <c r="AM539" s="380"/>
      <c r="AN539" s="380"/>
      <c r="AO539" s="380"/>
      <c r="AP539" s="380"/>
      <c r="AQ539" s="404"/>
      <c r="AR539" s="380"/>
      <c r="AS539" s="380"/>
      <c r="AT539" s="380"/>
      <c r="AU539" s="380"/>
      <c r="AV539" s="380"/>
      <c r="AW539" s="380"/>
      <c r="AX539" s="380"/>
      <c r="AY539" s="403"/>
      <c r="AZ539" s="380"/>
      <c r="BA539" s="380"/>
      <c r="BB539" s="380"/>
      <c r="BC539" s="380"/>
      <c r="BD539" s="380"/>
      <c r="BE539" s="404"/>
      <c r="BF539" s="380"/>
      <c r="BG539" s="380"/>
      <c r="BH539" s="380"/>
      <c r="BI539" s="380"/>
      <c r="BJ539" s="380"/>
      <c r="BK539" s="380"/>
      <c r="BL539" s="380"/>
      <c r="BM539" s="403"/>
      <c r="BS539" s="83"/>
      <c r="CA539" s="405"/>
      <c r="CG539" s="83"/>
      <c r="CO539" s="405"/>
      <c r="CU539" s="83"/>
      <c r="DC539" s="405"/>
      <c r="DI539" s="83"/>
      <c r="DQ539" s="405"/>
      <c r="DW539" s="83"/>
      <c r="EE539" s="405"/>
      <c r="EK539" s="83"/>
      <c r="ES539" s="405"/>
      <c r="EY539" s="83"/>
      <c r="FG539" s="405"/>
      <c r="FM539" s="83"/>
      <c r="FU539" s="405"/>
      <c r="GA539" s="83"/>
      <c r="GI539" s="405"/>
      <c r="GO539" s="83"/>
      <c r="GW539" s="405"/>
      <c r="HC539" s="83"/>
      <c r="HK539" s="405"/>
      <c r="HQ539" s="83"/>
      <c r="HY539" s="405"/>
      <c r="IE539" s="83"/>
      <c r="IM539" s="405"/>
      <c r="IS539" s="83"/>
      <c r="JA539" s="405"/>
      <c r="JG539" s="83"/>
      <c r="JO539" s="405"/>
      <c r="JU539" s="83"/>
      <c r="KC539" s="405"/>
      <c r="KI539" s="83"/>
      <c r="KQ539" s="405"/>
      <c r="KW539" s="83"/>
      <c r="LE539" s="405"/>
      <c r="LK539" s="83"/>
      <c r="LS539" s="405"/>
      <c r="LY539" s="83"/>
      <c r="MG539" s="405"/>
      <c r="MM539" s="83"/>
      <c r="MU539" s="405"/>
      <c r="NA539" s="83"/>
    </row>
    <row r="540">
      <c r="A540" s="380"/>
      <c r="B540" s="380"/>
      <c r="C540" s="380"/>
      <c r="D540" s="380"/>
      <c r="E540" s="380"/>
      <c r="F540" s="380"/>
      <c r="G540" s="380"/>
      <c r="H540" s="380"/>
      <c r="I540" s="403"/>
      <c r="J540" s="380"/>
      <c r="K540" s="380"/>
      <c r="L540" s="380"/>
      <c r="M540" s="380"/>
      <c r="N540" s="380"/>
      <c r="O540" s="404"/>
      <c r="P540" s="380"/>
      <c r="Q540" s="380"/>
      <c r="R540" s="380"/>
      <c r="S540" s="380"/>
      <c r="T540" s="380"/>
      <c r="U540" s="380"/>
      <c r="V540" s="380"/>
      <c r="W540" s="403"/>
      <c r="X540" s="380"/>
      <c r="Y540" s="380"/>
      <c r="Z540" s="380"/>
      <c r="AA540" s="380"/>
      <c r="AB540" s="380"/>
      <c r="AC540" s="404"/>
      <c r="AD540" s="380"/>
      <c r="AE540" s="380"/>
      <c r="AF540" s="380"/>
      <c r="AG540" s="380"/>
      <c r="AH540" s="380"/>
      <c r="AI540" s="380"/>
      <c r="AJ540" s="380"/>
      <c r="AK540" s="403"/>
      <c r="AL540" s="380"/>
      <c r="AM540" s="380"/>
      <c r="AN540" s="380"/>
      <c r="AO540" s="380"/>
      <c r="AP540" s="380"/>
      <c r="AQ540" s="404"/>
      <c r="AR540" s="380"/>
      <c r="AS540" s="380"/>
      <c r="AT540" s="380"/>
      <c r="AU540" s="380"/>
      <c r="AV540" s="380"/>
      <c r="AW540" s="380"/>
      <c r="AX540" s="380"/>
      <c r="AY540" s="403"/>
      <c r="AZ540" s="380"/>
      <c r="BA540" s="380"/>
      <c r="BB540" s="380"/>
      <c r="BC540" s="380"/>
      <c r="BD540" s="380"/>
      <c r="BE540" s="404"/>
      <c r="BF540" s="380"/>
      <c r="BG540" s="380"/>
      <c r="BH540" s="380"/>
      <c r="BI540" s="380"/>
      <c r="BJ540" s="380"/>
      <c r="BK540" s="380"/>
      <c r="BL540" s="380"/>
      <c r="BM540" s="403"/>
      <c r="BS540" s="83"/>
      <c r="CA540" s="405"/>
      <c r="CG540" s="83"/>
      <c r="CO540" s="405"/>
      <c r="CU540" s="83"/>
      <c r="DC540" s="405"/>
      <c r="DI540" s="83"/>
      <c r="DQ540" s="405"/>
      <c r="DW540" s="83"/>
      <c r="EE540" s="405"/>
      <c r="EK540" s="83"/>
      <c r="ES540" s="405"/>
      <c r="EY540" s="83"/>
      <c r="FG540" s="405"/>
      <c r="FM540" s="83"/>
      <c r="FU540" s="405"/>
      <c r="GA540" s="83"/>
      <c r="GI540" s="405"/>
      <c r="GO540" s="83"/>
      <c r="GW540" s="405"/>
      <c r="HC540" s="83"/>
      <c r="HK540" s="405"/>
      <c r="HQ540" s="83"/>
      <c r="HY540" s="405"/>
      <c r="IE540" s="83"/>
      <c r="IM540" s="405"/>
      <c r="IS540" s="83"/>
      <c r="JA540" s="405"/>
      <c r="JG540" s="83"/>
      <c r="JO540" s="405"/>
      <c r="JU540" s="83"/>
      <c r="KC540" s="405"/>
      <c r="KI540" s="83"/>
      <c r="KQ540" s="405"/>
      <c r="KW540" s="83"/>
      <c r="LE540" s="405"/>
      <c r="LK540" s="83"/>
      <c r="LS540" s="405"/>
      <c r="LY540" s="83"/>
      <c r="MG540" s="405"/>
      <c r="MM540" s="83"/>
      <c r="MU540" s="405"/>
      <c r="NA540" s="83"/>
    </row>
    <row r="541">
      <c r="A541" s="380"/>
      <c r="B541" s="380"/>
      <c r="C541" s="380"/>
      <c r="D541" s="380"/>
      <c r="E541" s="380"/>
      <c r="F541" s="380"/>
      <c r="G541" s="380"/>
      <c r="H541" s="380"/>
      <c r="I541" s="403"/>
      <c r="J541" s="380"/>
      <c r="K541" s="380"/>
      <c r="L541" s="380"/>
      <c r="M541" s="380"/>
      <c r="N541" s="380"/>
      <c r="O541" s="404"/>
      <c r="P541" s="380"/>
      <c r="Q541" s="380"/>
      <c r="R541" s="380"/>
      <c r="S541" s="380"/>
      <c r="T541" s="380"/>
      <c r="U541" s="380"/>
      <c r="V541" s="380"/>
      <c r="W541" s="403"/>
      <c r="X541" s="380"/>
      <c r="Y541" s="380"/>
      <c r="Z541" s="380"/>
      <c r="AA541" s="380"/>
      <c r="AB541" s="380"/>
      <c r="AC541" s="404"/>
      <c r="AD541" s="380"/>
      <c r="AE541" s="380"/>
      <c r="AF541" s="380"/>
      <c r="AG541" s="380"/>
      <c r="AH541" s="380"/>
      <c r="AI541" s="380"/>
      <c r="AJ541" s="380"/>
      <c r="AK541" s="403"/>
      <c r="AL541" s="380"/>
      <c r="AM541" s="380"/>
      <c r="AN541" s="380"/>
      <c r="AO541" s="380"/>
      <c r="AP541" s="380"/>
      <c r="AQ541" s="404"/>
      <c r="AR541" s="380"/>
      <c r="AS541" s="380"/>
      <c r="AT541" s="380"/>
      <c r="AU541" s="380"/>
      <c r="AV541" s="380"/>
      <c r="AW541" s="380"/>
      <c r="AX541" s="380"/>
      <c r="AY541" s="403"/>
      <c r="AZ541" s="380"/>
      <c r="BA541" s="380"/>
      <c r="BB541" s="380"/>
      <c r="BC541" s="380"/>
      <c r="BD541" s="380"/>
      <c r="BE541" s="404"/>
      <c r="BF541" s="380"/>
      <c r="BG541" s="380"/>
      <c r="BH541" s="380"/>
      <c r="BI541" s="380"/>
      <c r="BJ541" s="380"/>
      <c r="BK541" s="380"/>
      <c r="BL541" s="380"/>
      <c r="BM541" s="403"/>
      <c r="BS541" s="83"/>
      <c r="CA541" s="405"/>
      <c r="CG541" s="83"/>
      <c r="CO541" s="405"/>
      <c r="CU541" s="83"/>
      <c r="DC541" s="405"/>
      <c r="DI541" s="83"/>
      <c r="DQ541" s="405"/>
      <c r="DW541" s="83"/>
      <c r="EE541" s="405"/>
      <c r="EK541" s="83"/>
      <c r="ES541" s="405"/>
      <c r="EY541" s="83"/>
      <c r="FG541" s="405"/>
      <c r="FM541" s="83"/>
      <c r="FU541" s="405"/>
      <c r="GA541" s="83"/>
      <c r="GI541" s="405"/>
      <c r="GO541" s="83"/>
      <c r="GW541" s="405"/>
      <c r="HC541" s="83"/>
      <c r="HK541" s="405"/>
      <c r="HQ541" s="83"/>
      <c r="HY541" s="405"/>
      <c r="IE541" s="83"/>
      <c r="IM541" s="405"/>
      <c r="IS541" s="83"/>
      <c r="JA541" s="405"/>
      <c r="JG541" s="83"/>
      <c r="JO541" s="405"/>
      <c r="JU541" s="83"/>
      <c r="KC541" s="405"/>
      <c r="KI541" s="83"/>
      <c r="KQ541" s="405"/>
      <c r="KW541" s="83"/>
      <c r="LE541" s="405"/>
      <c r="LK541" s="83"/>
      <c r="LS541" s="405"/>
      <c r="LY541" s="83"/>
      <c r="MG541" s="405"/>
      <c r="MM541" s="83"/>
      <c r="MU541" s="405"/>
      <c r="NA541" s="83"/>
    </row>
    <row r="542">
      <c r="A542" s="380"/>
      <c r="B542" s="380"/>
      <c r="C542" s="380"/>
      <c r="D542" s="380"/>
      <c r="E542" s="380"/>
      <c r="F542" s="380"/>
      <c r="G542" s="380"/>
      <c r="H542" s="380"/>
      <c r="I542" s="403"/>
      <c r="J542" s="380"/>
      <c r="K542" s="380"/>
      <c r="L542" s="380"/>
      <c r="M542" s="380"/>
      <c r="N542" s="380"/>
      <c r="O542" s="404"/>
      <c r="P542" s="380"/>
      <c r="Q542" s="380"/>
      <c r="R542" s="380"/>
      <c r="S542" s="380"/>
      <c r="T542" s="380"/>
      <c r="U542" s="380"/>
      <c r="V542" s="380"/>
      <c r="W542" s="403"/>
      <c r="X542" s="380"/>
      <c r="Y542" s="380"/>
      <c r="Z542" s="380"/>
      <c r="AA542" s="380"/>
      <c r="AB542" s="380"/>
      <c r="AC542" s="404"/>
      <c r="AD542" s="380"/>
      <c r="AE542" s="380"/>
      <c r="AF542" s="380"/>
      <c r="AG542" s="380"/>
      <c r="AH542" s="380"/>
      <c r="AI542" s="380"/>
      <c r="AJ542" s="380"/>
      <c r="AK542" s="403"/>
      <c r="AL542" s="380"/>
      <c r="AM542" s="380"/>
      <c r="AN542" s="380"/>
      <c r="AO542" s="380"/>
      <c r="AP542" s="380"/>
      <c r="AQ542" s="404"/>
      <c r="AR542" s="380"/>
      <c r="AS542" s="380"/>
      <c r="AT542" s="380"/>
      <c r="AU542" s="380"/>
      <c r="AV542" s="380"/>
      <c r="AW542" s="380"/>
      <c r="AX542" s="380"/>
      <c r="AY542" s="403"/>
      <c r="AZ542" s="380"/>
      <c r="BA542" s="380"/>
      <c r="BB542" s="380"/>
      <c r="BC542" s="380"/>
      <c r="BD542" s="380"/>
      <c r="BE542" s="404"/>
      <c r="BF542" s="380"/>
      <c r="BG542" s="380"/>
      <c r="BH542" s="380"/>
      <c r="BI542" s="380"/>
      <c r="BJ542" s="380"/>
      <c r="BK542" s="380"/>
      <c r="BL542" s="380"/>
      <c r="BM542" s="403"/>
      <c r="BS542" s="83"/>
      <c r="CA542" s="405"/>
      <c r="CG542" s="83"/>
      <c r="CO542" s="405"/>
      <c r="CU542" s="83"/>
      <c r="DC542" s="405"/>
      <c r="DI542" s="83"/>
      <c r="DQ542" s="405"/>
      <c r="DW542" s="83"/>
      <c r="EE542" s="405"/>
      <c r="EK542" s="83"/>
      <c r="ES542" s="405"/>
      <c r="EY542" s="83"/>
      <c r="FG542" s="405"/>
      <c r="FM542" s="83"/>
      <c r="FU542" s="405"/>
      <c r="GA542" s="83"/>
      <c r="GI542" s="405"/>
      <c r="GO542" s="83"/>
      <c r="GW542" s="405"/>
      <c r="HC542" s="83"/>
      <c r="HK542" s="405"/>
      <c r="HQ542" s="83"/>
      <c r="HY542" s="405"/>
      <c r="IE542" s="83"/>
      <c r="IM542" s="405"/>
      <c r="IS542" s="83"/>
      <c r="JA542" s="405"/>
      <c r="JG542" s="83"/>
      <c r="JO542" s="405"/>
      <c r="JU542" s="83"/>
      <c r="KC542" s="405"/>
      <c r="KI542" s="83"/>
      <c r="KQ542" s="405"/>
      <c r="KW542" s="83"/>
      <c r="LE542" s="405"/>
      <c r="LK542" s="83"/>
      <c r="LS542" s="405"/>
      <c r="LY542" s="83"/>
      <c r="MG542" s="405"/>
      <c r="MM542" s="83"/>
      <c r="MU542" s="405"/>
      <c r="NA542" s="83"/>
    </row>
    <row r="543">
      <c r="A543" s="380"/>
      <c r="B543" s="380"/>
      <c r="C543" s="380"/>
      <c r="D543" s="380"/>
      <c r="E543" s="380"/>
      <c r="F543" s="380"/>
      <c r="G543" s="380"/>
      <c r="H543" s="380"/>
      <c r="I543" s="403"/>
      <c r="J543" s="380"/>
      <c r="K543" s="380"/>
      <c r="L543" s="380"/>
      <c r="M543" s="380"/>
      <c r="N543" s="380"/>
      <c r="O543" s="404"/>
      <c r="P543" s="380"/>
      <c r="Q543" s="380"/>
      <c r="R543" s="380"/>
      <c r="S543" s="380"/>
      <c r="T543" s="380"/>
      <c r="U543" s="380"/>
      <c r="V543" s="380"/>
      <c r="W543" s="403"/>
      <c r="X543" s="380"/>
      <c r="Y543" s="380"/>
      <c r="Z543" s="380"/>
      <c r="AA543" s="380"/>
      <c r="AB543" s="380"/>
      <c r="AC543" s="404"/>
      <c r="AD543" s="380"/>
      <c r="AE543" s="380"/>
      <c r="AF543" s="380"/>
      <c r="AG543" s="380"/>
      <c r="AH543" s="380"/>
      <c r="AI543" s="380"/>
      <c r="AJ543" s="380"/>
      <c r="AK543" s="403"/>
      <c r="AL543" s="380"/>
      <c r="AM543" s="380"/>
      <c r="AN543" s="380"/>
      <c r="AO543" s="380"/>
      <c r="AP543" s="380"/>
      <c r="AQ543" s="404"/>
      <c r="AR543" s="380"/>
      <c r="AS543" s="380"/>
      <c r="AT543" s="380"/>
      <c r="AU543" s="380"/>
      <c r="AV543" s="380"/>
      <c r="AW543" s="380"/>
      <c r="AX543" s="380"/>
      <c r="AY543" s="403"/>
      <c r="AZ543" s="380"/>
      <c r="BA543" s="380"/>
      <c r="BB543" s="380"/>
      <c r="BC543" s="380"/>
      <c r="BD543" s="380"/>
      <c r="BE543" s="404"/>
      <c r="BF543" s="380"/>
      <c r="BG543" s="380"/>
      <c r="BH543" s="380"/>
      <c r="BI543" s="380"/>
      <c r="BJ543" s="380"/>
      <c r="BK543" s="380"/>
      <c r="BL543" s="380"/>
      <c r="BM543" s="403"/>
      <c r="BS543" s="83"/>
      <c r="CA543" s="405"/>
      <c r="CG543" s="83"/>
      <c r="CO543" s="405"/>
      <c r="CU543" s="83"/>
      <c r="DC543" s="405"/>
      <c r="DI543" s="83"/>
      <c r="DQ543" s="405"/>
      <c r="DW543" s="83"/>
      <c r="EE543" s="405"/>
      <c r="EK543" s="83"/>
      <c r="ES543" s="405"/>
      <c r="EY543" s="83"/>
      <c r="FG543" s="405"/>
      <c r="FM543" s="83"/>
      <c r="FU543" s="405"/>
      <c r="GA543" s="83"/>
      <c r="GI543" s="405"/>
      <c r="GO543" s="83"/>
      <c r="GW543" s="405"/>
      <c r="HC543" s="83"/>
      <c r="HK543" s="405"/>
      <c r="HQ543" s="83"/>
      <c r="HY543" s="405"/>
      <c r="IE543" s="83"/>
      <c r="IM543" s="405"/>
      <c r="IS543" s="83"/>
      <c r="JA543" s="405"/>
      <c r="JG543" s="83"/>
      <c r="JO543" s="405"/>
      <c r="JU543" s="83"/>
      <c r="KC543" s="405"/>
      <c r="KI543" s="83"/>
      <c r="KQ543" s="405"/>
      <c r="KW543" s="83"/>
      <c r="LE543" s="405"/>
      <c r="LK543" s="83"/>
      <c r="LS543" s="405"/>
      <c r="LY543" s="83"/>
      <c r="MG543" s="405"/>
      <c r="MM543" s="83"/>
      <c r="MU543" s="405"/>
      <c r="NA543" s="83"/>
    </row>
    <row r="544">
      <c r="A544" s="380"/>
      <c r="B544" s="380"/>
      <c r="C544" s="380"/>
      <c r="D544" s="380"/>
      <c r="E544" s="380"/>
      <c r="F544" s="380"/>
      <c r="G544" s="380"/>
      <c r="H544" s="380"/>
      <c r="I544" s="403"/>
      <c r="J544" s="380"/>
      <c r="K544" s="380"/>
      <c r="L544" s="380"/>
      <c r="M544" s="380"/>
      <c r="N544" s="380"/>
      <c r="O544" s="404"/>
      <c r="P544" s="380"/>
      <c r="Q544" s="380"/>
      <c r="R544" s="380"/>
      <c r="S544" s="380"/>
      <c r="T544" s="380"/>
      <c r="U544" s="380"/>
      <c r="V544" s="380"/>
      <c r="W544" s="403"/>
      <c r="X544" s="380"/>
      <c r="Y544" s="380"/>
      <c r="Z544" s="380"/>
      <c r="AA544" s="380"/>
      <c r="AB544" s="380"/>
      <c r="AC544" s="404"/>
      <c r="AD544" s="380"/>
      <c r="AE544" s="380"/>
      <c r="AF544" s="380"/>
      <c r="AG544" s="380"/>
      <c r="AH544" s="380"/>
      <c r="AI544" s="380"/>
      <c r="AJ544" s="380"/>
      <c r="AK544" s="403"/>
      <c r="AL544" s="380"/>
      <c r="AM544" s="380"/>
      <c r="AN544" s="380"/>
      <c r="AO544" s="380"/>
      <c r="AP544" s="380"/>
      <c r="AQ544" s="404"/>
      <c r="AR544" s="380"/>
      <c r="AS544" s="380"/>
      <c r="AT544" s="380"/>
      <c r="AU544" s="380"/>
      <c r="AV544" s="380"/>
      <c r="AW544" s="380"/>
      <c r="AX544" s="380"/>
      <c r="AY544" s="403"/>
      <c r="AZ544" s="380"/>
      <c r="BA544" s="380"/>
      <c r="BB544" s="380"/>
      <c r="BC544" s="380"/>
      <c r="BD544" s="380"/>
      <c r="BE544" s="404"/>
      <c r="BF544" s="380"/>
      <c r="BG544" s="380"/>
      <c r="BH544" s="380"/>
      <c r="BI544" s="380"/>
      <c r="BJ544" s="380"/>
      <c r="BK544" s="380"/>
      <c r="BL544" s="380"/>
      <c r="BM544" s="403"/>
      <c r="BS544" s="83"/>
      <c r="CA544" s="405"/>
      <c r="CG544" s="83"/>
      <c r="CO544" s="405"/>
      <c r="CU544" s="83"/>
      <c r="DC544" s="405"/>
      <c r="DI544" s="83"/>
      <c r="DQ544" s="405"/>
      <c r="DW544" s="83"/>
      <c r="EE544" s="405"/>
      <c r="EK544" s="83"/>
      <c r="ES544" s="405"/>
      <c r="EY544" s="83"/>
      <c r="FG544" s="405"/>
      <c r="FM544" s="83"/>
      <c r="FU544" s="405"/>
      <c r="GA544" s="83"/>
      <c r="GI544" s="405"/>
      <c r="GO544" s="83"/>
      <c r="GW544" s="405"/>
      <c r="HC544" s="83"/>
      <c r="HK544" s="405"/>
      <c r="HQ544" s="83"/>
      <c r="HY544" s="405"/>
      <c r="IE544" s="83"/>
      <c r="IM544" s="405"/>
      <c r="IS544" s="83"/>
      <c r="JA544" s="405"/>
      <c r="JG544" s="83"/>
      <c r="JO544" s="405"/>
      <c r="JU544" s="83"/>
      <c r="KC544" s="405"/>
      <c r="KI544" s="83"/>
      <c r="KQ544" s="405"/>
      <c r="KW544" s="83"/>
      <c r="LE544" s="405"/>
      <c r="LK544" s="83"/>
      <c r="LS544" s="405"/>
      <c r="LY544" s="83"/>
      <c r="MG544" s="405"/>
      <c r="MM544" s="83"/>
      <c r="MU544" s="405"/>
      <c r="NA544" s="83"/>
    </row>
    <row r="545">
      <c r="A545" s="380"/>
      <c r="B545" s="380"/>
      <c r="C545" s="380"/>
      <c r="D545" s="380"/>
      <c r="E545" s="380"/>
      <c r="F545" s="380"/>
      <c r="G545" s="380"/>
      <c r="H545" s="380"/>
      <c r="I545" s="403"/>
      <c r="J545" s="380"/>
      <c r="K545" s="380"/>
      <c r="L545" s="380"/>
      <c r="M545" s="380"/>
      <c r="N545" s="380"/>
      <c r="O545" s="404"/>
      <c r="P545" s="380"/>
      <c r="Q545" s="380"/>
      <c r="R545" s="380"/>
      <c r="S545" s="380"/>
      <c r="T545" s="380"/>
      <c r="U545" s="380"/>
      <c r="V545" s="380"/>
      <c r="W545" s="403"/>
      <c r="X545" s="380"/>
      <c r="Y545" s="380"/>
      <c r="Z545" s="380"/>
      <c r="AA545" s="380"/>
      <c r="AB545" s="380"/>
      <c r="AC545" s="404"/>
      <c r="AD545" s="380"/>
      <c r="AE545" s="380"/>
      <c r="AF545" s="380"/>
      <c r="AG545" s="380"/>
      <c r="AH545" s="380"/>
      <c r="AI545" s="380"/>
      <c r="AJ545" s="380"/>
      <c r="AK545" s="403"/>
      <c r="AL545" s="380"/>
      <c r="AM545" s="380"/>
      <c r="AN545" s="380"/>
      <c r="AO545" s="380"/>
      <c r="AP545" s="380"/>
      <c r="AQ545" s="404"/>
      <c r="AR545" s="380"/>
      <c r="AS545" s="380"/>
      <c r="AT545" s="380"/>
      <c r="AU545" s="380"/>
      <c r="AV545" s="380"/>
      <c r="AW545" s="380"/>
      <c r="AX545" s="380"/>
      <c r="AY545" s="403"/>
      <c r="AZ545" s="380"/>
      <c r="BA545" s="380"/>
      <c r="BB545" s="380"/>
      <c r="BC545" s="380"/>
      <c r="BD545" s="380"/>
      <c r="BE545" s="404"/>
      <c r="BF545" s="380"/>
      <c r="BG545" s="380"/>
      <c r="BH545" s="380"/>
      <c r="BI545" s="380"/>
      <c r="BJ545" s="380"/>
      <c r="BK545" s="380"/>
      <c r="BL545" s="380"/>
      <c r="BM545" s="403"/>
      <c r="BS545" s="83"/>
      <c r="CA545" s="405"/>
      <c r="CG545" s="83"/>
      <c r="CO545" s="405"/>
      <c r="CU545" s="83"/>
      <c r="DC545" s="405"/>
      <c r="DI545" s="83"/>
      <c r="DQ545" s="405"/>
      <c r="DW545" s="83"/>
      <c r="EE545" s="405"/>
      <c r="EK545" s="83"/>
      <c r="ES545" s="405"/>
      <c r="EY545" s="83"/>
      <c r="FG545" s="405"/>
      <c r="FM545" s="83"/>
      <c r="FU545" s="405"/>
      <c r="GA545" s="83"/>
      <c r="GI545" s="405"/>
      <c r="GO545" s="83"/>
      <c r="GW545" s="405"/>
      <c r="HC545" s="83"/>
      <c r="HK545" s="405"/>
      <c r="HQ545" s="83"/>
      <c r="HY545" s="405"/>
      <c r="IE545" s="83"/>
      <c r="IM545" s="405"/>
      <c r="IS545" s="83"/>
      <c r="JA545" s="405"/>
      <c r="JG545" s="83"/>
      <c r="JO545" s="405"/>
      <c r="JU545" s="83"/>
      <c r="KC545" s="405"/>
      <c r="KI545" s="83"/>
      <c r="KQ545" s="405"/>
      <c r="KW545" s="83"/>
      <c r="LE545" s="405"/>
      <c r="LK545" s="83"/>
      <c r="LS545" s="405"/>
      <c r="LY545" s="83"/>
      <c r="MG545" s="405"/>
      <c r="MM545" s="83"/>
      <c r="MU545" s="405"/>
      <c r="NA545" s="83"/>
    </row>
    <row r="546">
      <c r="A546" s="380"/>
      <c r="B546" s="380"/>
      <c r="C546" s="380"/>
      <c r="D546" s="380"/>
      <c r="E546" s="380"/>
      <c r="F546" s="380"/>
      <c r="G546" s="380"/>
      <c r="H546" s="380"/>
      <c r="I546" s="403"/>
      <c r="J546" s="380"/>
      <c r="K546" s="380"/>
      <c r="L546" s="380"/>
      <c r="M546" s="380"/>
      <c r="N546" s="380"/>
      <c r="O546" s="404"/>
      <c r="P546" s="380"/>
      <c r="Q546" s="380"/>
      <c r="R546" s="380"/>
      <c r="S546" s="380"/>
      <c r="T546" s="380"/>
      <c r="U546" s="380"/>
      <c r="V546" s="380"/>
      <c r="W546" s="403"/>
      <c r="X546" s="380"/>
      <c r="Y546" s="380"/>
      <c r="Z546" s="380"/>
      <c r="AA546" s="380"/>
      <c r="AB546" s="380"/>
      <c r="AC546" s="404"/>
      <c r="AD546" s="380"/>
      <c r="AE546" s="380"/>
      <c r="AF546" s="380"/>
      <c r="AG546" s="380"/>
      <c r="AH546" s="380"/>
      <c r="AI546" s="380"/>
      <c r="AJ546" s="380"/>
      <c r="AK546" s="403"/>
      <c r="AL546" s="380"/>
      <c r="AM546" s="380"/>
      <c r="AN546" s="380"/>
      <c r="AO546" s="380"/>
      <c r="AP546" s="380"/>
      <c r="AQ546" s="404"/>
      <c r="AR546" s="380"/>
      <c r="AS546" s="380"/>
      <c r="AT546" s="380"/>
      <c r="AU546" s="380"/>
      <c r="AV546" s="380"/>
      <c r="AW546" s="380"/>
      <c r="AX546" s="380"/>
      <c r="AY546" s="403"/>
      <c r="AZ546" s="380"/>
      <c r="BA546" s="380"/>
      <c r="BB546" s="380"/>
      <c r="BC546" s="380"/>
      <c r="BD546" s="380"/>
      <c r="BE546" s="404"/>
      <c r="BF546" s="380"/>
      <c r="BG546" s="380"/>
      <c r="BH546" s="380"/>
      <c r="BI546" s="380"/>
      <c r="BJ546" s="380"/>
      <c r="BK546" s="380"/>
      <c r="BL546" s="380"/>
      <c r="BM546" s="403"/>
      <c r="BS546" s="83"/>
      <c r="CA546" s="405"/>
      <c r="CG546" s="83"/>
      <c r="CO546" s="405"/>
      <c r="CU546" s="83"/>
      <c r="DC546" s="405"/>
      <c r="DI546" s="83"/>
      <c r="DQ546" s="405"/>
      <c r="DW546" s="83"/>
      <c r="EE546" s="405"/>
      <c r="EK546" s="83"/>
      <c r="ES546" s="405"/>
      <c r="EY546" s="83"/>
      <c r="FG546" s="405"/>
      <c r="FM546" s="83"/>
      <c r="FU546" s="405"/>
      <c r="GA546" s="83"/>
      <c r="GI546" s="405"/>
      <c r="GO546" s="83"/>
      <c r="GW546" s="405"/>
      <c r="HC546" s="83"/>
      <c r="HK546" s="405"/>
      <c r="HQ546" s="83"/>
      <c r="HY546" s="405"/>
      <c r="IE546" s="83"/>
      <c r="IM546" s="405"/>
      <c r="IS546" s="83"/>
      <c r="JA546" s="405"/>
      <c r="JG546" s="83"/>
      <c r="JO546" s="405"/>
      <c r="JU546" s="83"/>
      <c r="KC546" s="405"/>
      <c r="KI546" s="83"/>
      <c r="KQ546" s="405"/>
      <c r="KW546" s="83"/>
      <c r="LE546" s="405"/>
      <c r="LK546" s="83"/>
      <c r="LS546" s="405"/>
      <c r="LY546" s="83"/>
      <c r="MG546" s="405"/>
      <c r="MM546" s="83"/>
      <c r="MU546" s="405"/>
      <c r="NA546" s="83"/>
    </row>
    <row r="547">
      <c r="A547" s="380"/>
      <c r="B547" s="380"/>
      <c r="C547" s="380"/>
      <c r="D547" s="380"/>
      <c r="E547" s="380"/>
      <c r="F547" s="380"/>
      <c r="G547" s="380"/>
      <c r="H547" s="380"/>
      <c r="I547" s="403"/>
      <c r="J547" s="380"/>
      <c r="K547" s="380"/>
      <c r="L547" s="380"/>
      <c r="M547" s="380"/>
      <c r="N547" s="380"/>
      <c r="O547" s="404"/>
      <c r="P547" s="380"/>
      <c r="Q547" s="380"/>
      <c r="R547" s="380"/>
      <c r="S547" s="380"/>
      <c r="T547" s="380"/>
      <c r="U547" s="380"/>
      <c r="V547" s="380"/>
      <c r="W547" s="403"/>
      <c r="X547" s="380"/>
      <c r="Y547" s="380"/>
      <c r="Z547" s="380"/>
      <c r="AA547" s="380"/>
      <c r="AB547" s="380"/>
      <c r="AC547" s="404"/>
      <c r="AD547" s="380"/>
      <c r="AE547" s="380"/>
      <c r="AF547" s="380"/>
      <c r="AG547" s="380"/>
      <c r="AH547" s="380"/>
      <c r="AI547" s="380"/>
      <c r="AJ547" s="380"/>
      <c r="AK547" s="403"/>
      <c r="AL547" s="380"/>
      <c r="AM547" s="380"/>
      <c r="AN547" s="380"/>
      <c r="AO547" s="380"/>
      <c r="AP547" s="380"/>
      <c r="AQ547" s="404"/>
      <c r="AR547" s="380"/>
      <c r="AS547" s="380"/>
      <c r="AT547" s="380"/>
      <c r="AU547" s="380"/>
      <c r="AV547" s="380"/>
      <c r="AW547" s="380"/>
      <c r="AX547" s="380"/>
      <c r="AY547" s="403"/>
      <c r="AZ547" s="380"/>
      <c r="BA547" s="380"/>
      <c r="BB547" s="380"/>
      <c r="BC547" s="380"/>
      <c r="BD547" s="380"/>
      <c r="BE547" s="404"/>
      <c r="BF547" s="380"/>
      <c r="BG547" s="380"/>
      <c r="BH547" s="380"/>
      <c r="BI547" s="380"/>
      <c r="BJ547" s="380"/>
      <c r="BK547" s="380"/>
      <c r="BL547" s="380"/>
      <c r="BM547" s="403"/>
      <c r="BS547" s="83"/>
      <c r="CA547" s="405"/>
      <c r="CG547" s="83"/>
      <c r="CO547" s="405"/>
      <c r="CU547" s="83"/>
      <c r="DC547" s="405"/>
      <c r="DI547" s="83"/>
      <c r="DQ547" s="405"/>
      <c r="DW547" s="83"/>
      <c r="EE547" s="405"/>
      <c r="EK547" s="83"/>
      <c r="ES547" s="405"/>
      <c r="EY547" s="83"/>
      <c r="FG547" s="405"/>
      <c r="FM547" s="83"/>
      <c r="FU547" s="405"/>
      <c r="GA547" s="83"/>
      <c r="GI547" s="405"/>
      <c r="GO547" s="83"/>
      <c r="GW547" s="405"/>
      <c r="HC547" s="83"/>
      <c r="HK547" s="405"/>
      <c r="HQ547" s="83"/>
      <c r="HY547" s="405"/>
      <c r="IE547" s="83"/>
      <c r="IM547" s="405"/>
      <c r="IS547" s="83"/>
      <c r="JA547" s="405"/>
      <c r="JG547" s="83"/>
      <c r="JO547" s="405"/>
      <c r="JU547" s="83"/>
      <c r="KC547" s="405"/>
      <c r="KI547" s="83"/>
      <c r="KQ547" s="405"/>
      <c r="KW547" s="83"/>
      <c r="LE547" s="405"/>
      <c r="LK547" s="83"/>
      <c r="LS547" s="405"/>
      <c r="LY547" s="83"/>
      <c r="MG547" s="405"/>
      <c r="MM547" s="83"/>
      <c r="MU547" s="405"/>
      <c r="NA547" s="83"/>
    </row>
    <row r="548">
      <c r="A548" s="380"/>
      <c r="B548" s="380"/>
      <c r="C548" s="380"/>
      <c r="D548" s="380"/>
      <c r="E548" s="380"/>
      <c r="F548" s="380"/>
      <c r="G548" s="380"/>
      <c r="H548" s="380"/>
      <c r="I548" s="403"/>
      <c r="J548" s="380"/>
      <c r="K548" s="380"/>
      <c r="L548" s="380"/>
      <c r="M548" s="380"/>
      <c r="N548" s="380"/>
      <c r="O548" s="404"/>
      <c r="P548" s="380"/>
      <c r="Q548" s="380"/>
      <c r="R548" s="380"/>
      <c r="S548" s="380"/>
      <c r="T548" s="380"/>
      <c r="U548" s="380"/>
      <c r="V548" s="380"/>
      <c r="W548" s="403"/>
      <c r="X548" s="380"/>
      <c r="Y548" s="380"/>
      <c r="Z548" s="380"/>
      <c r="AA548" s="380"/>
      <c r="AB548" s="380"/>
      <c r="AC548" s="404"/>
      <c r="AD548" s="380"/>
      <c r="AE548" s="380"/>
      <c r="AF548" s="380"/>
      <c r="AG548" s="380"/>
      <c r="AH548" s="380"/>
      <c r="AI548" s="380"/>
      <c r="AJ548" s="380"/>
      <c r="AK548" s="403"/>
      <c r="AL548" s="380"/>
      <c r="AM548" s="380"/>
      <c r="AN548" s="380"/>
      <c r="AO548" s="380"/>
      <c r="AP548" s="380"/>
      <c r="AQ548" s="404"/>
      <c r="AR548" s="380"/>
      <c r="AS548" s="380"/>
      <c r="AT548" s="380"/>
      <c r="AU548" s="380"/>
      <c r="AV548" s="380"/>
      <c r="AW548" s="380"/>
      <c r="AX548" s="380"/>
      <c r="AY548" s="403"/>
      <c r="AZ548" s="380"/>
      <c r="BA548" s="380"/>
      <c r="BB548" s="380"/>
      <c r="BC548" s="380"/>
      <c r="BD548" s="380"/>
      <c r="BE548" s="404"/>
      <c r="BF548" s="380"/>
      <c r="BG548" s="380"/>
      <c r="BH548" s="380"/>
      <c r="BI548" s="380"/>
      <c r="BJ548" s="380"/>
      <c r="BK548" s="380"/>
      <c r="BL548" s="380"/>
      <c r="BM548" s="403"/>
      <c r="BS548" s="83"/>
      <c r="CA548" s="405"/>
      <c r="CG548" s="83"/>
      <c r="CO548" s="405"/>
      <c r="CU548" s="83"/>
      <c r="DC548" s="405"/>
      <c r="DI548" s="83"/>
      <c r="DQ548" s="405"/>
      <c r="DW548" s="83"/>
      <c r="EE548" s="405"/>
      <c r="EK548" s="83"/>
      <c r="ES548" s="405"/>
      <c r="EY548" s="83"/>
      <c r="FG548" s="405"/>
      <c r="FM548" s="83"/>
      <c r="FU548" s="405"/>
      <c r="GA548" s="83"/>
      <c r="GI548" s="405"/>
      <c r="GO548" s="83"/>
      <c r="GW548" s="405"/>
      <c r="HC548" s="83"/>
      <c r="HK548" s="405"/>
      <c r="HQ548" s="83"/>
      <c r="HY548" s="405"/>
      <c r="IE548" s="83"/>
      <c r="IM548" s="405"/>
      <c r="IS548" s="83"/>
      <c r="JA548" s="405"/>
      <c r="JG548" s="83"/>
      <c r="JO548" s="405"/>
      <c r="JU548" s="83"/>
      <c r="KC548" s="405"/>
      <c r="KI548" s="83"/>
      <c r="KQ548" s="405"/>
      <c r="KW548" s="83"/>
      <c r="LE548" s="405"/>
      <c r="LK548" s="83"/>
      <c r="LS548" s="405"/>
      <c r="LY548" s="83"/>
      <c r="MG548" s="405"/>
      <c r="MM548" s="83"/>
      <c r="MU548" s="405"/>
      <c r="NA548" s="83"/>
    </row>
    <row r="549">
      <c r="A549" s="380"/>
      <c r="B549" s="380"/>
      <c r="C549" s="380"/>
      <c r="D549" s="380"/>
      <c r="E549" s="380"/>
      <c r="F549" s="380"/>
      <c r="G549" s="380"/>
      <c r="H549" s="380"/>
      <c r="I549" s="403"/>
      <c r="J549" s="380"/>
      <c r="K549" s="380"/>
      <c r="L549" s="380"/>
      <c r="M549" s="380"/>
      <c r="N549" s="380"/>
      <c r="O549" s="404"/>
      <c r="P549" s="380"/>
      <c r="Q549" s="380"/>
      <c r="R549" s="380"/>
      <c r="S549" s="380"/>
      <c r="T549" s="380"/>
      <c r="U549" s="380"/>
      <c r="V549" s="380"/>
      <c r="W549" s="403"/>
      <c r="X549" s="380"/>
      <c r="Y549" s="380"/>
      <c r="Z549" s="380"/>
      <c r="AA549" s="380"/>
      <c r="AB549" s="380"/>
      <c r="AC549" s="404"/>
      <c r="AD549" s="380"/>
      <c r="AE549" s="380"/>
      <c r="AF549" s="380"/>
      <c r="AG549" s="380"/>
      <c r="AH549" s="380"/>
      <c r="AI549" s="380"/>
      <c r="AJ549" s="380"/>
      <c r="AK549" s="403"/>
      <c r="AL549" s="380"/>
      <c r="AM549" s="380"/>
      <c r="AN549" s="380"/>
      <c r="AO549" s="380"/>
      <c r="AP549" s="380"/>
      <c r="AQ549" s="404"/>
      <c r="AR549" s="380"/>
      <c r="AS549" s="380"/>
      <c r="AT549" s="380"/>
      <c r="AU549" s="380"/>
      <c r="AV549" s="380"/>
      <c r="AW549" s="380"/>
      <c r="AX549" s="380"/>
      <c r="AY549" s="403"/>
      <c r="AZ549" s="380"/>
      <c r="BA549" s="380"/>
      <c r="BB549" s="380"/>
      <c r="BC549" s="380"/>
      <c r="BD549" s="380"/>
      <c r="BE549" s="404"/>
      <c r="BF549" s="380"/>
      <c r="BG549" s="380"/>
      <c r="BH549" s="380"/>
      <c r="BI549" s="380"/>
      <c r="BJ549" s="380"/>
      <c r="BK549" s="380"/>
      <c r="BL549" s="380"/>
      <c r="BM549" s="403"/>
      <c r="BS549" s="83"/>
      <c r="CA549" s="405"/>
      <c r="CG549" s="83"/>
      <c r="CO549" s="405"/>
      <c r="CU549" s="83"/>
      <c r="DC549" s="405"/>
      <c r="DI549" s="83"/>
      <c r="DQ549" s="405"/>
      <c r="DW549" s="83"/>
      <c r="EE549" s="405"/>
      <c r="EK549" s="83"/>
      <c r="ES549" s="405"/>
      <c r="EY549" s="83"/>
      <c r="FG549" s="405"/>
      <c r="FM549" s="83"/>
      <c r="FU549" s="405"/>
      <c r="GA549" s="83"/>
      <c r="GI549" s="405"/>
      <c r="GO549" s="83"/>
      <c r="GW549" s="405"/>
      <c r="HC549" s="83"/>
      <c r="HK549" s="405"/>
      <c r="HQ549" s="83"/>
      <c r="HY549" s="405"/>
      <c r="IE549" s="83"/>
      <c r="IM549" s="405"/>
      <c r="IS549" s="83"/>
      <c r="JA549" s="405"/>
      <c r="JG549" s="83"/>
      <c r="JO549" s="405"/>
      <c r="JU549" s="83"/>
      <c r="KC549" s="405"/>
      <c r="KI549" s="83"/>
      <c r="KQ549" s="405"/>
      <c r="KW549" s="83"/>
      <c r="LE549" s="405"/>
      <c r="LK549" s="83"/>
      <c r="LS549" s="405"/>
      <c r="LY549" s="83"/>
      <c r="MG549" s="405"/>
      <c r="MM549" s="83"/>
      <c r="MU549" s="405"/>
      <c r="NA549" s="83"/>
    </row>
    <row r="550">
      <c r="A550" s="380"/>
      <c r="B550" s="380"/>
      <c r="C550" s="380"/>
      <c r="D550" s="380"/>
      <c r="E550" s="380"/>
      <c r="F550" s="380"/>
      <c r="G550" s="380"/>
      <c r="H550" s="380"/>
      <c r="I550" s="403"/>
      <c r="J550" s="380"/>
      <c r="K550" s="380"/>
      <c r="L550" s="380"/>
      <c r="M550" s="380"/>
      <c r="N550" s="380"/>
      <c r="O550" s="404"/>
      <c r="P550" s="380"/>
      <c r="Q550" s="380"/>
      <c r="R550" s="380"/>
      <c r="S550" s="380"/>
      <c r="T550" s="380"/>
      <c r="U550" s="380"/>
      <c r="V550" s="380"/>
      <c r="W550" s="403"/>
      <c r="X550" s="380"/>
      <c r="Y550" s="380"/>
      <c r="Z550" s="380"/>
      <c r="AA550" s="380"/>
      <c r="AB550" s="380"/>
      <c r="AC550" s="404"/>
      <c r="AD550" s="380"/>
      <c r="AE550" s="380"/>
      <c r="AF550" s="380"/>
      <c r="AG550" s="380"/>
      <c r="AH550" s="380"/>
      <c r="AI550" s="380"/>
      <c r="AJ550" s="380"/>
      <c r="AK550" s="403"/>
      <c r="AL550" s="380"/>
      <c r="AM550" s="380"/>
      <c r="AN550" s="380"/>
      <c r="AO550" s="380"/>
      <c r="AP550" s="380"/>
      <c r="AQ550" s="404"/>
      <c r="AR550" s="380"/>
      <c r="AS550" s="380"/>
      <c r="AT550" s="380"/>
      <c r="AU550" s="380"/>
      <c r="AV550" s="380"/>
      <c r="AW550" s="380"/>
      <c r="AX550" s="380"/>
      <c r="AY550" s="403"/>
      <c r="AZ550" s="380"/>
      <c r="BA550" s="380"/>
      <c r="BB550" s="380"/>
      <c r="BC550" s="380"/>
      <c r="BD550" s="380"/>
      <c r="BE550" s="404"/>
      <c r="BF550" s="380"/>
      <c r="BG550" s="380"/>
      <c r="BH550" s="380"/>
      <c r="BI550" s="380"/>
      <c r="BJ550" s="380"/>
      <c r="BK550" s="380"/>
      <c r="BL550" s="380"/>
      <c r="BM550" s="403"/>
      <c r="BS550" s="83"/>
      <c r="CA550" s="405"/>
      <c r="CG550" s="83"/>
      <c r="CO550" s="405"/>
      <c r="CU550" s="83"/>
      <c r="DC550" s="405"/>
      <c r="DI550" s="83"/>
      <c r="DQ550" s="405"/>
      <c r="DW550" s="83"/>
      <c r="EE550" s="405"/>
      <c r="EK550" s="83"/>
      <c r="ES550" s="405"/>
      <c r="EY550" s="83"/>
      <c r="FG550" s="405"/>
      <c r="FM550" s="83"/>
      <c r="FU550" s="405"/>
      <c r="GA550" s="83"/>
      <c r="GI550" s="405"/>
      <c r="GO550" s="83"/>
      <c r="GW550" s="405"/>
      <c r="HC550" s="83"/>
      <c r="HK550" s="405"/>
      <c r="HQ550" s="83"/>
      <c r="HY550" s="405"/>
      <c r="IE550" s="83"/>
      <c r="IM550" s="405"/>
      <c r="IS550" s="83"/>
      <c r="JA550" s="405"/>
      <c r="JG550" s="83"/>
      <c r="JO550" s="405"/>
      <c r="JU550" s="83"/>
      <c r="KC550" s="405"/>
      <c r="KI550" s="83"/>
      <c r="KQ550" s="405"/>
      <c r="KW550" s="83"/>
      <c r="LE550" s="405"/>
      <c r="LK550" s="83"/>
      <c r="LS550" s="405"/>
      <c r="LY550" s="83"/>
      <c r="MG550" s="405"/>
      <c r="MM550" s="83"/>
      <c r="MU550" s="405"/>
      <c r="NA550" s="83"/>
    </row>
    <row r="551">
      <c r="A551" s="380"/>
      <c r="B551" s="380"/>
      <c r="C551" s="380"/>
      <c r="D551" s="380"/>
      <c r="E551" s="380"/>
      <c r="F551" s="380"/>
      <c r="G551" s="380"/>
      <c r="H551" s="380"/>
      <c r="I551" s="403"/>
      <c r="J551" s="380"/>
      <c r="K551" s="380"/>
      <c r="L551" s="380"/>
      <c r="M551" s="380"/>
      <c r="N551" s="380"/>
      <c r="O551" s="404"/>
      <c r="P551" s="380"/>
      <c r="Q551" s="380"/>
      <c r="R551" s="380"/>
      <c r="S551" s="380"/>
      <c r="T551" s="380"/>
      <c r="U551" s="380"/>
      <c r="V551" s="380"/>
      <c r="W551" s="403"/>
      <c r="X551" s="380"/>
      <c r="Y551" s="380"/>
      <c r="Z551" s="380"/>
      <c r="AA551" s="380"/>
      <c r="AB551" s="380"/>
      <c r="AC551" s="404"/>
      <c r="AD551" s="380"/>
      <c r="AE551" s="380"/>
      <c r="AF551" s="380"/>
      <c r="AG551" s="380"/>
      <c r="AH551" s="380"/>
      <c r="AI551" s="380"/>
      <c r="AJ551" s="380"/>
      <c r="AK551" s="403"/>
      <c r="AL551" s="380"/>
      <c r="AM551" s="380"/>
      <c r="AN551" s="380"/>
      <c r="AO551" s="380"/>
      <c r="AP551" s="380"/>
      <c r="AQ551" s="404"/>
      <c r="AR551" s="380"/>
      <c r="AS551" s="380"/>
      <c r="AT551" s="380"/>
      <c r="AU551" s="380"/>
      <c r="AV551" s="380"/>
      <c r="AW551" s="380"/>
      <c r="AX551" s="380"/>
      <c r="AY551" s="403"/>
      <c r="AZ551" s="380"/>
      <c r="BA551" s="380"/>
      <c r="BB551" s="380"/>
      <c r="BC551" s="380"/>
      <c r="BD551" s="380"/>
      <c r="BE551" s="404"/>
      <c r="BF551" s="380"/>
      <c r="BG551" s="380"/>
      <c r="BH551" s="380"/>
      <c r="BI551" s="380"/>
      <c r="BJ551" s="380"/>
      <c r="BK551" s="380"/>
      <c r="BL551" s="380"/>
      <c r="BM551" s="403"/>
      <c r="BS551" s="83"/>
      <c r="CA551" s="405"/>
      <c r="CG551" s="83"/>
      <c r="CO551" s="405"/>
      <c r="CU551" s="83"/>
      <c r="DC551" s="405"/>
      <c r="DI551" s="83"/>
      <c r="DQ551" s="405"/>
      <c r="DW551" s="83"/>
      <c r="EE551" s="405"/>
      <c r="EK551" s="83"/>
      <c r="ES551" s="405"/>
      <c r="EY551" s="83"/>
      <c r="FG551" s="405"/>
      <c r="FM551" s="83"/>
      <c r="FU551" s="405"/>
      <c r="GA551" s="83"/>
      <c r="GI551" s="405"/>
      <c r="GO551" s="83"/>
      <c r="GW551" s="405"/>
      <c r="HC551" s="83"/>
      <c r="HK551" s="405"/>
      <c r="HQ551" s="83"/>
      <c r="HY551" s="405"/>
      <c r="IE551" s="83"/>
      <c r="IM551" s="405"/>
      <c r="IS551" s="83"/>
      <c r="JA551" s="405"/>
      <c r="JG551" s="83"/>
      <c r="JO551" s="405"/>
      <c r="JU551" s="83"/>
      <c r="KC551" s="405"/>
      <c r="KI551" s="83"/>
      <c r="KQ551" s="405"/>
      <c r="KW551" s="83"/>
      <c r="LE551" s="405"/>
      <c r="LK551" s="83"/>
      <c r="LS551" s="405"/>
      <c r="LY551" s="83"/>
      <c r="MG551" s="405"/>
      <c r="MM551" s="83"/>
      <c r="MU551" s="405"/>
      <c r="NA551" s="83"/>
    </row>
    <row r="552">
      <c r="A552" s="380"/>
      <c r="B552" s="380"/>
      <c r="C552" s="380"/>
      <c r="D552" s="380"/>
      <c r="E552" s="380"/>
      <c r="F552" s="380"/>
      <c r="G552" s="380"/>
      <c r="H552" s="380"/>
      <c r="I552" s="403"/>
      <c r="J552" s="380"/>
      <c r="K552" s="380"/>
      <c r="L552" s="380"/>
      <c r="M552" s="380"/>
      <c r="N552" s="380"/>
      <c r="O552" s="404"/>
      <c r="P552" s="380"/>
      <c r="Q552" s="380"/>
      <c r="R552" s="380"/>
      <c r="S552" s="380"/>
      <c r="T552" s="380"/>
      <c r="U552" s="380"/>
      <c r="V552" s="380"/>
      <c r="W552" s="403"/>
      <c r="X552" s="380"/>
      <c r="Y552" s="380"/>
      <c r="Z552" s="380"/>
      <c r="AA552" s="380"/>
      <c r="AB552" s="380"/>
      <c r="AC552" s="404"/>
      <c r="AD552" s="380"/>
      <c r="AE552" s="380"/>
      <c r="AF552" s="380"/>
      <c r="AG552" s="380"/>
      <c r="AH552" s="380"/>
      <c r="AI552" s="380"/>
      <c r="AJ552" s="380"/>
      <c r="AK552" s="403"/>
      <c r="AL552" s="380"/>
      <c r="AM552" s="380"/>
      <c r="AN552" s="380"/>
      <c r="AO552" s="380"/>
      <c r="AP552" s="380"/>
      <c r="AQ552" s="404"/>
      <c r="AR552" s="380"/>
      <c r="AS552" s="380"/>
      <c r="AT552" s="380"/>
      <c r="AU552" s="380"/>
      <c r="AV552" s="380"/>
      <c r="AW552" s="380"/>
      <c r="AX552" s="380"/>
      <c r="AY552" s="403"/>
      <c r="AZ552" s="380"/>
      <c r="BA552" s="380"/>
      <c r="BB552" s="380"/>
      <c r="BC552" s="380"/>
      <c r="BD552" s="380"/>
      <c r="BE552" s="404"/>
      <c r="BF552" s="380"/>
      <c r="BG552" s="380"/>
      <c r="BH552" s="380"/>
      <c r="BI552" s="380"/>
      <c r="BJ552" s="380"/>
      <c r="BK552" s="380"/>
      <c r="BL552" s="380"/>
      <c r="BM552" s="403"/>
      <c r="BS552" s="83"/>
      <c r="CA552" s="405"/>
      <c r="CG552" s="83"/>
      <c r="CO552" s="405"/>
      <c r="CU552" s="83"/>
      <c r="DC552" s="405"/>
      <c r="DI552" s="83"/>
      <c r="DQ552" s="405"/>
      <c r="DW552" s="83"/>
      <c r="EE552" s="405"/>
      <c r="EK552" s="83"/>
      <c r="ES552" s="405"/>
      <c r="EY552" s="83"/>
      <c r="FG552" s="405"/>
      <c r="FM552" s="83"/>
      <c r="FU552" s="405"/>
      <c r="GA552" s="83"/>
      <c r="GI552" s="405"/>
      <c r="GO552" s="83"/>
      <c r="GW552" s="405"/>
      <c r="HC552" s="83"/>
      <c r="HK552" s="405"/>
      <c r="HQ552" s="83"/>
      <c r="HY552" s="405"/>
      <c r="IE552" s="83"/>
      <c r="IM552" s="405"/>
      <c r="IS552" s="83"/>
      <c r="JA552" s="405"/>
      <c r="JG552" s="83"/>
      <c r="JO552" s="405"/>
      <c r="JU552" s="83"/>
      <c r="KC552" s="405"/>
      <c r="KI552" s="83"/>
      <c r="KQ552" s="405"/>
      <c r="KW552" s="83"/>
      <c r="LE552" s="405"/>
      <c r="LK552" s="83"/>
      <c r="LS552" s="405"/>
      <c r="LY552" s="83"/>
      <c r="MG552" s="405"/>
      <c r="MM552" s="83"/>
      <c r="MU552" s="405"/>
      <c r="NA552" s="83"/>
    </row>
    <row r="553">
      <c r="A553" s="380"/>
      <c r="B553" s="380"/>
      <c r="C553" s="380"/>
      <c r="D553" s="380"/>
      <c r="E553" s="380"/>
      <c r="F553" s="380"/>
      <c r="G553" s="380"/>
      <c r="H553" s="380"/>
      <c r="I553" s="403"/>
      <c r="J553" s="380"/>
      <c r="K553" s="380"/>
      <c r="L553" s="380"/>
      <c r="M553" s="380"/>
      <c r="N553" s="380"/>
      <c r="O553" s="404"/>
      <c r="P553" s="380"/>
      <c r="Q553" s="380"/>
      <c r="R553" s="380"/>
      <c r="S553" s="380"/>
      <c r="T553" s="380"/>
      <c r="U553" s="380"/>
      <c r="V553" s="380"/>
      <c r="W553" s="403"/>
      <c r="X553" s="380"/>
      <c r="Y553" s="380"/>
      <c r="Z553" s="380"/>
      <c r="AA553" s="380"/>
      <c r="AB553" s="380"/>
      <c r="AC553" s="404"/>
      <c r="AD553" s="380"/>
      <c r="AE553" s="380"/>
      <c r="AF553" s="380"/>
      <c r="AG553" s="380"/>
      <c r="AH553" s="380"/>
      <c r="AI553" s="380"/>
      <c r="AJ553" s="380"/>
      <c r="AK553" s="403"/>
      <c r="AL553" s="380"/>
      <c r="AM553" s="380"/>
      <c r="AN553" s="380"/>
      <c r="AO553" s="380"/>
      <c r="AP553" s="380"/>
      <c r="AQ553" s="404"/>
      <c r="AR553" s="380"/>
      <c r="AS553" s="380"/>
      <c r="AT553" s="380"/>
      <c r="AU553" s="380"/>
      <c r="AV553" s="380"/>
      <c r="AW553" s="380"/>
      <c r="AX553" s="380"/>
      <c r="AY553" s="403"/>
      <c r="AZ553" s="380"/>
      <c r="BA553" s="380"/>
      <c r="BB553" s="380"/>
      <c r="BC553" s="380"/>
      <c r="BD553" s="380"/>
      <c r="BE553" s="404"/>
      <c r="BF553" s="380"/>
      <c r="BG553" s="380"/>
      <c r="BH553" s="380"/>
      <c r="BI553" s="380"/>
      <c r="BJ553" s="380"/>
      <c r="BK553" s="380"/>
      <c r="BL553" s="380"/>
      <c r="BM553" s="403"/>
      <c r="BS553" s="83"/>
      <c r="CA553" s="405"/>
      <c r="CG553" s="83"/>
      <c r="CO553" s="405"/>
      <c r="CU553" s="83"/>
      <c r="DC553" s="405"/>
      <c r="DI553" s="83"/>
      <c r="DQ553" s="405"/>
      <c r="DW553" s="83"/>
      <c r="EE553" s="405"/>
      <c r="EK553" s="83"/>
      <c r="ES553" s="405"/>
      <c r="EY553" s="83"/>
      <c r="FG553" s="405"/>
      <c r="FM553" s="83"/>
      <c r="FU553" s="405"/>
      <c r="GA553" s="83"/>
      <c r="GI553" s="405"/>
      <c r="GO553" s="83"/>
      <c r="GW553" s="405"/>
      <c r="HC553" s="83"/>
      <c r="HK553" s="405"/>
      <c r="HQ553" s="83"/>
      <c r="HY553" s="405"/>
      <c r="IE553" s="83"/>
      <c r="IM553" s="405"/>
      <c r="IS553" s="83"/>
      <c r="JA553" s="405"/>
      <c r="JG553" s="83"/>
      <c r="JO553" s="405"/>
      <c r="JU553" s="83"/>
      <c r="KC553" s="405"/>
      <c r="KI553" s="83"/>
      <c r="KQ553" s="405"/>
      <c r="KW553" s="83"/>
      <c r="LE553" s="405"/>
      <c r="LK553" s="83"/>
      <c r="LS553" s="405"/>
      <c r="LY553" s="83"/>
      <c r="MG553" s="405"/>
      <c r="MM553" s="83"/>
      <c r="MU553" s="405"/>
      <c r="NA553" s="83"/>
    </row>
    <row r="554">
      <c r="A554" s="380"/>
      <c r="B554" s="380"/>
      <c r="C554" s="380"/>
      <c r="D554" s="380"/>
      <c r="E554" s="380"/>
      <c r="F554" s="380"/>
      <c r="G554" s="380"/>
      <c r="H554" s="380"/>
      <c r="I554" s="403"/>
      <c r="J554" s="380"/>
      <c r="K554" s="380"/>
      <c r="L554" s="380"/>
      <c r="M554" s="380"/>
      <c r="N554" s="380"/>
      <c r="O554" s="404"/>
      <c r="P554" s="380"/>
      <c r="Q554" s="380"/>
      <c r="R554" s="380"/>
      <c r="S554" s="380"/>
      <c r="T554" s="380"/>
      <c r="U554" s="380"/>
      <c r="V554" s="380"/>
      <c r="W554" s="403"/>
      <c r="X554" s="380"/>
      <c r="Y554" s="380"/>
      <c r="Z554" s="380"/>
      <c r="AA554" s="380"/>
      <c r="AB554" s="380"/>
      <c r="AC554" s="404"/>
      <c r="AD554" s="380"/>
      <c r="AE554" s="380"/>
      <c r="AF554" s="380"/>
      <c r="AG554" s="380"/>
      <c r="AH554" s="380"/>
      <c r="AI554" s="380"/>
      <c r="AJ554" s="380"/>
      <c r="AK554" s="403"/>
      <c r="AL554" s="380"/>
      <c r="AM554" s="380"/>
      <c r="AN554" s="380"/>
      <c r="AO554" s="380"/>
      <c r="AP554" s="380"/>
      <c r="AQ554" s="404"/>
      <c r="AR554" s="380"/>
      <c r="AS554" s="380"/>
      <c r="AT554" s="380"/>
      <c r="AU554" s="380"/>
      <c r="AV554" s="380"/>
      <c r="AW554" s="380"/>
      <c r="AX554" s="380"/>
      <c r="AY554" s="403"/>
      <c r="AZ554" s="380"/>
      <c r="BA554" s="380"/>
      <c r="BB554" s="380"/>
      <c r="BC554" s="380"/>
      <c r="BD554" s="380"/>
      <c r="BE554" s="404"/>
      <c r="BF554" s="380"/>
      <c r="BG554" s="380"/>
      <c r="BH554" s="380"/>
      <c r="BI554" s="380"/>
      <c r="BJ554" s="380"/>
      <c r="BK554" s="380"/>
      <c r="BL554" s="380"/>
      <c r="BM554" s="403"/>
      <c r="BS554" s="83"/>
      <c r="CA554" s="405"/>
      <c r="CG554" s="83"/>
      <c r="CO554" s="405"/>
      <c r="CU554" s="83"/>
      <c r="DC554" s="405"/>
      <c r="DI554" s="83"/>
      <c r="DQ554" s="405"/>
      <c r="DW554" s="83"/>
      <c r="EE554" s="405"/>
      <c r="EK554" s="83"/>
      <c r="ES554" s="405"/>
      <c r="EY554" s="83"/>
      <c r="FG554" s="405"/>
      <c r="FM554" s="83"/>
      <c r="FU554" s="405"/>
      <c r="GA554" s="83"/>
      <c r="GI554" s="405"/>
      <c r="GO554" s="83"/>
      <c r="GW554" s="405"/>
      <c r="HC554" s="83"/>
      <c r="HK554" s="405"/>
      <c r="HQ554" s="83"/>
      <c r="HY554" s="405"/>
      <c r="IE554" s="83"/>
      <c r="IM554" s="405"/>
      <c r="IS554" s="83"/>
      <c r="JA554" s="405"/>
      <c r="JG554" s="83"/>
      <c r="JO554" s="405"/>
      <c r="JU554" s="83"/>
      <c r="KC554" s="405"/>
      <c r="KI554" s="83"/>
      <c r="KQ554" s="405"/>
      <c r="KW554" s="83"/>
      <c r="LE554" s="405"/>
      <c r="LK554" s="83"/>
      <c r="LS554" s="405"/>
      <c r="LY554" s="83"/>
      <c r="MG554" s="405"/>
      <c r="MM554" s="83"/>
      <c r="MU554" s="405"/>
      <c r="NA554" s="83"/>
    </row>
    <row r="555">
      <c r="A555" s="380"/>
      <c r="B555" s="380"/>
      <c r="C555" s="380"/>
      <c r="D555" s="380"/>
      <c r="E555" s="380"/>
      <c r="F555" s="380"/>
      <c r="G555" s="380"/>
      <c r="H555" s="380"/>
      <c r="I555" s="403"/>
      <c r="J555" s="380"/>
      <c r="K555" s="380"/>
      <c r="L555" s="380"/>
      <c r="M555" s="380"/>
      <c r="N555" s="380"/>
      <c r="O555" s="404"/>
      <c r="P555" s="380"/>
      <c r="Q555" s="380"/>
      <c r="R555" s="380"/>
      <c r="S555" s="380"/>
      <c r="T555" s="380"/>
      <c r="U555" s="380"/>
      <c r="V555" s="380"/>
      <c r="W555" s="403"/>
      <c r="X555" s="380"/>
      <c r="Y555" s="380"/>
      <c r="Z555" s="380"/>
      <c r="AA555" s="380"/>
      <c r="AB555" s="380"/>
      <c r="AC555" s="404"/>
      <c r="AD555" s="380"/>
      <c r="AE555" s="380"/>
      <c r="AF555" s="380"/>
      <c r="AG555" s="380"/>
      <c r="AH555" s="380"/>
      <c r="AI555" s="380"/>
      <c r="AJ555" s="380"/>
      <c r="AK555" s="403"/>
      <c r="AL555" s="380"/>
      <c r="AM555" s="380"/>
      <c r="AN555" s="380"/>
      <c r="AO555" s="380"/>
      <c r="AP555" s="380"/>
      <c r="AQ555" s="404"/>
      <c r="AR555" s="380"/>
      <c r="AS555" s="380"/>
      <c r="AT555" s="380"/>
      <c r="AU555" s="380"/>
      <c r="AV555" s="380"/>
      <c r="AW555" s="380"/>
      <c r="AX555" s="380"/>
      <c r="AY555" s="403"/>
      <c r="AZ555" s="380"/>
      <c r="BA555" s="380"/>
      <c r="BB555" s="380"/>
      <c r="BC555" s="380"/>
      <c r="BD555" s="380"/>
      <c r="BE555" s="404"/>
      <c r="BF555" s="380"/>
      <c r="BG555" s="380"/>
      <c r="BH555" s="380"/>
      <c r="BI555" s="380"/>
      <c r="BJ555" s="380"/>
      <c r="BK555" s="380"/>
      <c r="BL555" s="380"/>
      <c r="BM555" s="403"/>
      <c r="BS555" s="83"/>
      <c r="CA555" s="405"/>
      <c r="CG555" s="83"/>
      <c r="CO555" s="405"/>
      <c r="CU555" s="83"/>
      <c r="DC555" s="405"/>
      <c r="DI555" s="83"/>
      <c r="DQ555" s="405"/>
      <c r="DW555" s="83"/>
      <c r="EE555" s="405"/>
      <c r="EK555" s="83"/>
      <c r="ES555" s="405"/>
      <c r="EY555" s="83"/>
      <c r="FG555" s="405"/>
      <c r="FM555" s="83"/>
      <c r="FU555" s="405"/>
      <c r="GA555" s="83"/>
      <c r="GI555" s="405"/>
      <c r="GO555" s="83"/>
      <c r="GW555" s="405"/>
      <c r="HC555" s="83"/>
      <c r="HK555" s="405"/>
      <c r="HQ555" s="83"/>
      <c r="HY555" s="405"/>
      <c r="IE555" s="83"/>
      <c r="IM555" s="405"/>
      <c r="IS555" s="83"/>
      <c r="JA555" s="405"/>
      <c r="JG555" s="83"/>
      <c r="JO555" s="405"/>
      <c r="JU555" s="83"/>
      <c r="KC555" s="405"/>
      <c r="KI555" s="83"/>
      <c r="KQ555" s="405"/>
      <c r="KW555" s="83"/>
      <c r="LE555" s="405"/>
      <c r="LK555" s="83"/>
      <c r="LS555" s="405"/>
      <c r="LY555" s="83"/>
      <c r="MG555" s="405"/>
      <c r="MM555" s="83"/>
      <c r="MU555" s="405"/>
      <c r="NA555" s="83"/>
    </row>
    <row r="556">
      <c r="A556" s="380"/>
      <c r="B556" s="380"/>
      <c r="C556" s="380"/>
      <c r="D556" s="380"/>
      <c r="E556" s="380"/>
      <c r="F556" s="380"/>
      <c r="G556" s="380"/>
      <c r="H556" s="380"/>
      <c r="I556" s="403"/>
      <c r="J556" s="380"/>
      <c r="K556" s="380"/>
      <c r="L556" s="380"/>
      <c r="M556" s="380"/>
      <c r="N556" s="380"/>
      <c r="O556" s="404"/>
      <c r="P556" s="380"/>
      <c r="Q556" s="380"/>
      <c r="R556" s="380"/>
      <c r="S556" s="380"/>
      <c r="T556" s="380"/>
      <c r="U556" s="380"/>
      <c r="V556" s="380"/>
      <c r="W556" s="403"/>
      <c r="X556" s="380"/>
      <c r="Y556" s="380"/>
      <c r="Z556" s="380"/>
      <c r="AA556" s="380"/>
      <c r="AB556" s="380"/>
      <c r="AC556" s="404"/>
      <c r="AD556" s="380"/>
      <c r="AE556" s="380"/>
      <c r="AF556" s="380"/>
      <c r="AG556" s="380"/>
      <c r="AH556" s="380"/>
      <c r="AI556" s="380"/>
      <c r="AJ556" s="380"/>
      <c r="AK556" s="403"/>
      <c r="AL556" s="380"/>
      <c r="AM556" s="380"/>
      <c r="AN556" s="380"/>
      <c r="AO556" s="380"/>
      <c r="AP556" s="380"/>
      <c r="AQ556" s="404"/>
      <c r="AR556" s="380"/>
      <c r="AS556" s="380"/>
      <c r="AT556" s="380"/>
      <c r="AU556" s="380"/>
      <c r="AV556" s="380"/>
      <c r="AW556" s="380"/>
      <c r="AX556" s="380"/>
      <c r="AY556" s="403"/>
      <c r="AZ556" s="380"/>
      <c r="BA556" s="380"/>
      <c r="BB556" s="380"/>
      <c r="BC556" s="380"/>
      <c r="BD556" s="380"/>
      <c r="BE556" s="404"/>
      <c r="BF556" s="380"/>
      <c r="BG556" s="380"/>
      <c r="BH556" s="380"/>
      <c r="BI556" s="380"/>
      <c r="BJ556" s="380"/>
      <c r="BK556" s="380"/>
      <c r="BL556" s="380"/>
      <c r="BM556" s="403"/>
      <c r="BS556" s="83"/>
      <c r="CA556" s="405"/>
      <c r="CG556" s="83"/>
      <c r="CO556" s="405"/>
      <c r="CU556" s="83"/>
      <c r="DC556" s="405"/>
      <c r="DI556" s="83"/>
      <c r="DQ556" s="405"/>
      <c r="DW556" s="83"/>
      <c r="EE556" s="405"/>
      <c r="EK556" s="83"/>
      <c r="ES556" s="405"/>
      <c r="EY556" s="83"/>
      <c r="FG556" s="405"/>
      <c r="FM556" s="83"/>
      <c r="FU556" s="405"/>
      <c r="GA556" s="83"/>
      <c r="GI556" s="405"/>
      <c r="GO556" s="83"/>
      <c r="GW556" s="405"/>
      <c r="HC556" s="83"/>
      <c r="HK556" s="405"/>
      <c r="HQ556" s="83"/>
      <c r="HY556" s="405"/>
      <c r="IE556" s="83"/>
      <c r="IM556" s="405"/>
      <c r="IS556" s="83"/>
      <c r="JA556" s="405"/>
      <c r="JG556" s="83"/>
      <c r="JO556" s="405"/>
      <c r="JU556" s="83"/>
      <c r="KC556" s="405"/>
      <c r="KI556" s="83"/>
      <c r="KQ556" s="405"/>
      <c r="KW556" s="83"/>
      <c r="LE556" s="405"/>
      <c r="LK556" s="83"/>
      <c r="LS556" s="405"/>
      <c r="LY556" s="83"/>
      <c r="MG556" s="405"/>
      <c r="MM556" s="83"/>
      <c r="MU556" s="405"/>
      <c r="NA556" s="83"/>
    </row>
    <row r="557">
      <c r="A557" s="380"/>
      <c r="B557" s="380"/>
      <c r="C557" s="380"/>
      <c r="D557" s="380"/>
      <c r="E557" s="380"/>
      <c r="F557" s="380"/>
      <c r="G557" s="380"/>
      <c r="H557" s="380"/>
      <c r="I557" s="403"/>
      <c r="J557" s="380"/>
      <c r="K557" s="380"/>
      <c r="L557" s="380"/>
      <c r="M557" s="380"/>
      <c r="N557" s="380"/>
      <c r="O557" s="404"/>
      <c r="P557" s="380"/>
      <c r="Q557" s="380"/>
      <c r="R557" s="380"/>
      <c r="S557" s="380"/>
      <c r="T557" s="380"/>
      <c r="U557" s="380"/>
      <c r="V557" s="380"/>
      <c r="W557" s="403"/>
      <c r="X557" s="380"/>
      <c r="Y557" s="380"/>
      <c r="Z557" s="380"/>
      <c r="AA557" s="380"/>
      <c r="AB557" s="380"/>
      <c r="AC557" s="404"/>
      <c r="AD557" s="380"/>
      <c r="AE557" s="380"/>
      <c r="AF557" s="380"/>
      <c r="AG557" s="380"/>
      <c r="AH557" s="380"/>
      <c r="AI557" s="380"/>
      <c r="AJ557" s="380"/>
      <c r="AK557" s="403"/>
      <c r="AL557" s="380"/>
      <c r="AM557" s="380"/>
      <c r="AN557" s="380"/>
      <c r="AO557" s="380"/>
      <c r="AP557" s="380"/>
      <c r="AQ557" s="404"/>
      <c r="AR557" s="380"/>
      <c r="AS557" s="380"/>
      <c r="AT557" s="380"/>
      <c r="AU557" s="380"/>
      <c r="AV557" s="380"/>
      <c r="AW557" s="380"/>
      <c r="AX557" s="380"/>
      <c r="AY557" s="403"/>
      <c r="AZ557" s="380"/>
      <c r="BA557" s="380"/>
      <c r="BB557" s="380"/>
      <c r="BC557" s="380"/>
      <c r="BD557" s="380"/>
      <c r="BE557" s="404"/>
      <c r="BF557" s="380"/>
      <c r="BG557" s="380"/>
      <c r="BH557" s="380"/>
      <c r="BI557" s="380"/>
      <c r="BJ557" s="380"/>
      <c r="BK557" s="380"/>
      <c r="BL557" s="380"/>
      <c r="BM557" s="403"/>
      <c r="BS557" s="83"/>
      <c r="CA557" s="405"/>
      <c r="CG557" s="83"/>
      <c r="CO557" s="405"/>
      <c r="CU557" s="83"/>
      <c r="DC557" s="405"/>
      <c r="DI557" s="83"/>
      <c r="DQ557" s="405"/>
      <c r="DW557" s="83"/>
      <c r="EE557" s="405"/>
      <c r="EK557" s="83"/>
      <c r="ES557" s="405"/>
      <c r="EY557" s="83"/>
      <c r="FG557" s="405"/>
      <c r="FM557" s="83"/>
      <c r="FU557" s="405"/>
      <c r="GA557" s="83"/>
      <c r="GI557" s="405"/>
      <c r="GO557" s="83"/>
      <c r="GW557" s="405"/>
      <c r="HC557" s="83"/>
      <c r="HK557" s="405"/>
      <c r="HQ557" s="83"/>
      <c r="HY557" s="405"/>
      <c r="IE557" s="83"/>
      <c r="IM557" s="405"/>
      <c r="IS557" s="83"/>
      <c r="JA557" s="405"/>
      <c r="JG557" s="83"/>
      <c r="JO557" s="405"/>
      <c r="JU557" s="83"/>
      <c r="KC557" s="405"/>
      <c r="KI557" s="83"/>
      <c r="KQ557" s="405"/>
      <c r="KW557" s="83"/>
      <c r="LE557" s="405"/>
      <c r="LK557" s="83"/>
      <c r="LS557" s="405"/>
      <c r="LY557" s="83"/>
      <c r="MG557" s="405"/>
      <c r="MM557" s="83"/>
      <c r="MU557" s="405"/>
      <c r="NA557" s="83"/>
    </row>
    <row r="558">
      <c r="A558" s="380"/>
      <c r="B558" s="380"/>
      <c r="C558" s="380"/>
      <c r="D558" s="380"/>
      <c r="E558" s="380"/>
      <c r="F558" s="380"/>
      <c r="G558" s="380"/>
      <c r="H558" s="380"/>
      <c r="I558" s="403"/>
      <c r="J558" s="380"/>
      <c r="K558" s="380"/>
      <c r="L558" s="380"/>
      <c r="M558" s="380"/>
      <c r="N558" s="380"/>
      <c r="O558" s="404"/>
      <c r="P558" s="380"/>
      <c r="Q558" s="380"/>
      <c r="R558" s="380"/>
      <c r="S558" s="380"/>
      <c r="T558" s="380"/>
      <c r="U558" s="380"/>
      <c r="V558" s="380"/>
      <c r="W558" s="403"/>
      <c r="X558" s="380"/>
      <c r="Y558" s="380"/>
      <c r="Z558" s="380"/>
      <c r="AA558" s="380"/>
      <c r="AB558" s="380"/>
      <c r="AC558" s="404"/>
      <c r="AD558" s="380"/>
      <c r="AE558" s="380"/>
      <c r="AF558" s="380"/>
      <c r="AG558" s="380"/>
      <c r="AH558" s="380"/>
      <c r="AI558" s="380"/>
      <c r="AJ558" s="380"/>
      <c r="AK558" s="403"/>
      <c r="AL558" s="380"/>
      <c r="AM558" s="380"/>
      <c r="AN558" s="380"/>
      <c r="AO558" s="380"/>
      <c r="AP558" s="380"/>
      <c r="AQ558" s="404"/>
      <c r="AR558" s="380"/>
      <c r="AS558" s="380"/>
      <c r="AT558" s="380"/>
      <c r="AU558" s="380"/>
      <c r="AV558" s="380"/>
      <c r="AW558" s="380"/>
      <c r="AX558" s="380"/>
      <c r="AY558" s="403"/>
      <c r="AZ558" s="380"/>
      <c r="BA558" s="380"/>
      <c r="BB558" s="380"/>
      <c r="BC558" s="380"/>
      <c r="BD558" s="380"/>
      <c r="BE558" s="404"/>
      <c r="BF558" s="380"/>
      <c r="BG558" s="380"/>
      <c r="BH558" s="380"/>
      <c r="BI558" s="380"/>
      <c r="BJ558" s="380"/>
      <c r="BK558" s="380"/>
      <c r="BL558" s="380"/>
      <c r="BM558" s="403"/>
      <c r="BS558" s="83"/>
      <c r="CA558" s="405"/>
      <c r="CG558" s="83"/>
      <c r="CO558" s="405"/>
      <c r="CU558" s="83"/>
      <c r="DC558" s="405"/>
      <c r="DI558" s="83"/>
      <c r="DQ558" s="405"/>
      <c r="DW558" s="83"/>
      <c r="EE558" s="405"/>
      <c r="EK558" s="83"/>
      <c r="ES558" s="405"/>
      <c r="EY558" s="83"/>
      <c r="FG558" s="405"/>
      <c r="FM558" s="83"/>
      <c r="FU558" s="405"/>
      <c r="GA558" s="83"/>
      <c r="GI558" s="405"/>
      <c r="GO558" s="83"/>
      <c r="GW558" s="405"/>
      <c r="HC558" s="83"/>
      <c r="HK558" s="405"/>
      <c r="HQ558" s="83"/>
      <c r="HY558" s="405"/>
      <c r="IE558" s="83"/>
      <c r="IM558" s="405"/>
      <c r="IS558" s="83"/>
      <c r="JA558" s="405"/>
      <c r="JG558" s="83"/>
      <c r="JO558" s="405"/>
      <c r="JU558" s="83"/>
      <c r="KC558" s="405"/>
      <c r="KI558" s="83"/>
      <c r="KQ558" s="405"/>
      <c r="KW558" s="83"/>
      <c r="LE558" s="405"/>
      <c r="LK558" s="83"/>
      <c r="LS558" s="405"/>
      <c r="LY558" s="83"/>
      <c r="MG558" s="405"/>
      <c r="MM558" s="83"/>
      <c r="MU558" s="405"/>
      <c r="NA558" s="83"/>
    </row>
    <row r="559">
      <c r="A559" s="380"/>
      <c r="B559" s="380"/>
      <c r="C559" s="380"/>
      <c r="D559" s="380"/>
      <c r="E559" s="380"/>
      <c r="F559" s="380"/>
      <c r="G559" s="380"/>
      <c r="H559" s="380"/>
      <c r="I559" s="403"/>
      <c r="J559" s="380"/>
      <c r="K559" s="380"/>
      <c r="L559" s="380"/>
      <c r="M559" s="380"/>
      <c r="N559" s="380"/>
      <c r="O559" s="404"/>
      <c r="P559" s="380"/>
      <c r="Q559" s="380"/>
      <c r="R559" s="380"/>
      <c r="S559" s="380"/>
      <c r="T559" s="380"/>
      <c r="U559" s="380"/>
      <c r="V559" s="380"/>
      <c r="W559" s="403"/>
      <c r="X559" s="380"/>
      <c r="Y559" s="380"/>
      <c r="Z559" s="380"/>
      <c r="AA559" s="380"/>
      <c r="AB559" s="380"/>
      <c r="AC559" s="404"/>
      <c r="AD559" s="380"/>
      <c r="AE559" s="380"/>
      <c r="AF559" s="380"/>
      <c r="AG559" s="380"/>
      <c r="AH559" s="380"/>
      <c r="AI559" s="380"/>
      <c r="AJ559" s="380"/>
      <c r="AK559" s="403"/>
      <c r="AL559" s="380"/>
      <c r="AM559" s="380"/>
      <c r="AN559" s="380"/>
      <c r="AO559" s="380"/>
      <c r="AP559" s="380"/>
      <c r="AQ559" s="404"/>
      <c r="AR559" s="380"/>
      <c r="AS559" s="380"/>
      <c r="AT559" s="380"/>
      <c r="AU559" s="380"/>
      <c r="AV559" s="380"/>
      <c r="AW559" s="380"/>
      <c r="AX559" s="380"/>
      <c r="AY559" s="403"/>
      <c r="AZ559" s="380"/>
      <c r="BA559" s="380"/>
      <c r="BB559" s="380"/>
      <c r="BC559" s="380"/>
      <c r="BD559" s="380"/>
      <c r="BE559" s="404"/>
      <c r="BF559" s="380"/>
      <c r="BG559" s="380"/>
      <c r="BH559" s="380"/>
      <c r="BI559" s="380"/>
      <c r="BJ559" s="380"/>
      <c r="BK559" s="380"/>
      <c r="BL559" s="380"/>
      <c r="BM559" s="403"/>
      <c r="BS559" s="83"/>
      <c r="CA559" s="405"/>
      <c r="CG559" s="83"/>
      <c r="CO559" s="405"/>
      <c r="CU559" s="83"/>
      <c r="DC559" s="405"/>
      <c r="DI559" s="83"/>
      <c r="DQ559" s="405"/>
      <c r="DW559" s="83"/>
      <c r="EE559" s="405"/>
      <c r="EK559" s="83"/>
      <c r="ES559" s="405"/>
      <c r="EY559" s="83"/>
      <c r="FG559" s="405"/>
      <c r="FM559" s="83"/>
      <c r="FU559" s="405"/>
      <c r="GA559" s="83"/>
      <c r="GI559" s="405"/>
      <c r="GO559" s="83"/>
      <c r="GW559" s="405"/>
      <c r="HC559" s="83"/>
      <c r="HK559" s="405"/>
      <c r="HQ559" s="83"/>
      <c r="HY559" s="405"/>
      <c r="IE559" s="83"/>
      <c r="IM559" s="405"/>
      <c r="IS559" s="83"/>
      <c r="JA559" s="405"/>
      <c r="JG559" s="83"/>
      <c r="JO559" s="405"/>
      <c r="JU559" s="83"/>
      <c r="KC559" s="405"/>
      <c r="KI559" s="83"/>
      <c r="KQ559" s="405"/>
      <c r="KW559" s="83"/>
      <c r="LE559" s="405"/>
      <c r="LK559" s="83"/>
      <c r="LS559" s="405"/>
      <c r="LY559" s="83"/>
      <c r="MG559" s="405"/>
      <c r="MM559" s="83"/>
      <c r="MU559" s="405"/>
      <c r="NA559" s="83"/>
    </row>
    <row r="560">
      <c r="A560" s="380"/>
      <c r="B560" s="380"/>
      <c r="C560" s="380"/>
      <c r="D560" s="380"/>
      <c r="E560" s="380"/>
      <c r="F560" s="380"/>
      <c r="G560" s="380"/>
      <c r="H560" s="380"/>
      <c r="I560" s="403"/>
      <c r="J560" s="380"/>
      <c r="K560" s="380"/>
      <c r="L560" s="380"/>
      <c r="M560" s="380"/>
      <c r="N560" s="380"/>
      <c r="O560" s="404"/>
      <c r="P560" s="380"/>
      <c r="Q560" s="380"/>
      <c r="R560" s="380"/>
      <c r="S560" s="380"/>
      <c r="T560" s="380"/>
      <c r="U560" s="380"/>
      <c r="V560" s="380"/>
      <c r="W560" s="403"/>
      <c r="X560" s="380"/>
      <c r="Y560" s="380"/>
      <c r="Z560" s="380"/>
      <c r="AA560" s="380"/>
      <c r="AB560" s="380"/>
      <c r="AC560" s="404"/>
      <c r="AD560" s="380"/>
      <c r="AE560" s="380"/>
      <c r="AF560" s="380"/>
      <c r="AG560" s="380"/>
      <c r="AH560" s="380"/>
      <c r="AI560" s="380"/>
      <c r="AJ560" s="380"/>
      <c r="AK560" s="403"/>
      <c r="AL560" s="380"/>
      <c r="AM560" s="380"/>
      <c r="AN560" s="380"/>
      <c r="AO560" s="380"/>
      <c r="AP560" s="380"/>
      <c r="AQ560" s="404"/>
      <c r="AR560" s="380"/>
      <c r="AS560" s="380"/>
      <c r="AT560" s="380"/>
      <c r="AU560" s="380"/>
      <c r="AV560" s="380"/>
      <c r="AW560" s="380"/>
      <c r="AX560" s="380"/>
      <c r="AY560" s="403"/>
      <c r="AZ560" s="380"/>
      <c r="BA560" s="380"/>
      <c r="BB560" s="380"/>
      <c r="BC560" s="380"/>
      <c r="BD560" s="380"/>
      <c r="BE560" s="404"/>
      <c r="BF560" s="380"/>
      <c r="BG560" s="380"/>
      <c r="BH560" s="380"/>
      <c r="BI560" s="380"/>
      <c r="BJ560" s="380"/>
      <c r="BK560" s="380"/>
      <c r="BL560" s="380"/>
      <c r="BM560" s="403"/>
      <c r="BS560" s="83"/>
      <c r="CA560" s="405"/>
      <c r="CG560" s="83"/>
      <c r="CO560" s="405"/>
      <c r="CU560" s="83"/>
      <c r="DC560" s="405"/>
      <c r="DI560" s="83"/>
      <c r="DQ560" s="405"/>
      <c r="DW560" s="83"/>
      <c r="EE560" s="405"/>
      <c r="EK560" s="83"/>
      <c r="ES560" s="405"/>
      <c r="EY560" s="83"/>
      <c r="FG560" s="405"/>
      <c r="FM560" s="83"/>
      <c r="FU560" s="405"/>
      <c r="GA560" s="83"/>
      <c r="GI560" s="405"/>
      <c r="GO560" s="83"/>
      <c r="GW560" s="405"/>
      <c r="HC560" s="83"/>
      <c r="HK560" s="405"/>
      <c r="HQ560" s="83"/>
      <c r="HY560" s="405"/>
      <c r="IE560" s="83"/>
      <c r="IM560" s="405"/>
      <c r="IS560" s="83"/>
      <c r="JA560" s="405"/>
      <c r="JG560" s="83"/>
      <c r="JO560" s="405"/>
      <c r="JU560" s="83"/>
      <c r="KC560" s="405"/>
      <c r="KI560" s="83"/>
      <c r="KQ560" s="405"/>
      <c r="KW560" s="83"/>
      <c r="LE560" s="405"/>
      <c r="LK560" s="83"/>
      <c r="LS560" s="405"/>
      <c r="LY560" s="83"/>
      <c r="MG560" s="405"/>
      <c r="MM560" s="83"/>
      <c r="MU560" s="405"/>
      <c r="NA560" s="83"/>
    </row>
    <row r="561">
      <c r="A561" s="380"/>
      <c r="B561" s="380"/>
      <c r="C561" s="380"/>
      <c r="D561" s="380"/>
      <c r="E561" s="380"/>
      <c r="F561" s="380"/>
      <c r="G561" s="380"/>
      <c r="H561" s="380"/>
      <c r="I561" s="403"/>
      <c r="J561" s="380"/>
      <c r="K561" s="380"/>
      <c r="L561" s="380"/>
      <c r="M561" s="380"/>
      <c r="N561" s="380"/>
      <c r="O561" s="404"/>
      <c r="P561" s="380"/>
      <c r="Q561" s="380"/>
      <c r="R561" s="380"/>
      <c r="S561" s="380"/>
      <c r="T561" s="380"/>
      <c r="U561" s="380"/>
      <c r="V561" s="380"/>
      <c r="W561" s="403"/>
      <c r="X561" s="380"/>
      <c r="Y561" s="380"/>
      <c r="Z561" s="380"/>
      <c r="AA561" s="380"/>
      <c r="AB561" s="380"/>
      <c r="AC561" s="404"/>
      <c r="AD561" s="380"/>
      <c r="AE561" s="380"/>
      <c r="AF561" s="380"/>
      <c r="AG561" s="380"/>
      <c r="AH561" s="380"/>
      <c r="AI561" s="380"/>
      <c r="AJ561" s="380"/>
      <c r="AK561" s="403"/>
      <c r="AL561" s="380"/>
      <c r="AM561" s="380"/>
      <c r="AN561" s="380"/>
      <c r="AO561" s="380"/>
      <c r="AP561" s="380"/>
      <c r="AQ561" s="404"/>
      <c r="AR561" s="380"/>
      <c r="AS561" s="380"/>
      <c r="AT561" s="380"/>
      <c r="AU561" s="380"/>
      <c r="AV561" s="380"/>
      <c r="AW561" s="380"/>
      <c r="AX561" s="380"/>
      <c r="AY561" s="403"/>
      <c r="AZ561" s="380"/>
      <c r="BA561" s="380"/>
      <c r="BB561" s="380"/>
      <c r="BC561" s="380"/>
      <c r="BD561" s="380"/>
      <c r="BE561" s="404"/>
      <c r="BF561" s="380"/>
      <c r="BG561" s="380"/>
      <c r="BH561" s="380"/>
      <c r="BI561" s="380"/>
      <c r="BJ561" s="380"/>
      <c r="BK561" s="380"/>
      <c r="BL561" s="380"/>
      <c r="BM561" s="403"/>
      <c r="BS561" s="83"/>
      <c r="CA561" s="405"/>
      <c r="CG561" s="83"/>
      <c r="CO561" s="405"/>
      <c r="CU561" s="83"/>
      <c r="DC561" s="405"/>
      <c r="DI561" s="83"/>
      <c r="DQ561" s="405"/>
      <c r="DW561" s="83"/>
      <c r="EE561" s="405"/>
      <c r="EK561" s="83"/>
      <c r="ES561" s="405"/>
      <c r="EY561" s="83"/>
      <c r="FG561" s="405"/>
      <c r="FM561" s="83"/>
      <c r="FU561" s="405"/>
      <c r="GA561" s="83"/>
      <c r="GI561" s="405"/>
      <c r="GO561" s="83"/>
      <c r="GW561" s="405"/>
      <c r="HC561" s="83"/>
      <c r="HK561" s="405"/>
      <c r="HQ561" s="83"/>
      <c r="HY561" s="405"/>
      <c r="IE561" s="83"/>
      <c r="IM561" s="405"/>
      <c r="IS561" s="83"/>
      <c r="JA561" s="405"/>
      <c r="JG561" s="83"/>
      <c r="JO561" s="405"/>
      <c r="JU561" s="83"/>
      <c r="KC561" s="405"/>
      <c r="KI561" s="83"/>
      <c r="KQ561" s="405"/>
      <c r="KW561" s="83"/>
      <c r="LE561" s="405"/>
      <c r="LK561" s="83"/>
      <c r="LS561" s="405"/>
      <c r="LY561" s="83"/>
      <c r="MG561" s="405"/>
      <c r="MM561" s="83"/>
      <c r="MU561" s="405"/>
      <c r="NA561" s="83"/>
    </row>
    <row r="562">
      <c r="A562" s="380"/>
      <c r="B562" s="380"/>
      <c r="C562" s="380"/>
      <c r="D562" s="380"/>
      <c r="E562" s="380"/>
      <c r="F562" s="380"/>
      <c r="G562" s="380"/>
      <c r="H562" s="380"/>
      <c r="I562" s="403"/>
      <c r="J562" s="380"/>
      <c r="K562" s="380"/>
      <c r="L562" s="380"/>
      <c r="M562" s="380"/>
      <c r="N562" s="380"/>
      <c r="O562" s="404"/>
      <c r="P562" s="380"/>
      <c r="Q562" s="380"/>
      <c r="R562" s="380"/>
      <c r="S562" s="380"/>
      <c r="T562" s="380"/>
      <c r="U562" s="380"/>
      <c r="V562" s="380"/>
      <c r="W562" s="403"/>
      <c r="X562" s="380"/>
      <c r="Y562" s="380"/>
      <c r="Z562" s="380"/>
      <c r="AA562" s="380"/>
      <c r="AB562" s="380"/>
      <c r="AC562" s="404"/>
      <c r="AD562" s="380"/>
      <c r="AE562" s="380"/>
      <c r="AF562" s="380"/>
      <c r="AG562" s="380"/>
      <c r="AH562" s="380"/>
      <c r="AI562" s="380"/>
      <c r="AJ562" s="380"/>
      <c r="AK562" s="403"/>
      <c r="AL562" s="380"/>
      <c r="AM562" s="380"/>
      <c r="AN562" s="380"/>
      <c r="AO562" s="380"/>
      <c r="AP562" s="380"/>
      <c r="AQ562" s="404"/>
      <c r="AR562" s="380"/>
      <c r="AS562" s="380"/>
      <c r="AT562" s="380"/>
      <c r="AU562" s="380"/>
      <c r="AV562" s="380"/>
      <c r="AW562" s="380"/>
      <c r="AX562" s="380"/>
      <c r="AY562" s="403"/>
      <c r="AZ562" s="380"/>
      <c r="BA562" s="380"/>
      <c r="BB562" s="380"/>
      <c r="BC562" s="380"/>
      <c r="BD562" s="380"/>
      <c r="BE562" s="404"/>
      <c r="BF562" s="380"/>
      <c r="BG562" s="380"/>
      <c r="BH562" s="380"/>
      <c r="BI562" s="380"/>
      <c r="BJ562" s="380"/>
      <c r="BK562" s="380"/>
      <c r="BL562" s="380"/>
      <c r="BM562" s="403"/>
      <c r="BS562" s="83"/>
      <c r="CA562" s="405"/>
      <c r="CG562" s="83"/>
      <c r="CO562" s="405"/>
      <c r="CU562" s="83"/>
      <c r="DC562" s="405"/>
      <c r="DI562" s="83"/>
      <c r="DQ562" s="405"/>
      <c r="DW562" s="83"/>
      <c r="EE562" s="405"/>
      <c r="EK562" s="83"/>
      <c r="ES562" s="405"/>
      <c r="EY562" s="83"/>
      <c r="FG562" s="405"/>
      <c r="FM562" s="83"/>
      <c r="FU562" s="405"/>
      <c r="GA562" s="83"/>
      <c r="GI562" s="405"/>
      <c r="GO562" s="83"/>
      <c r="GW562" s="405"/>
      <c r="HC562" s="83"/>
      <c r="HK562" s="405"/>
      <c r="HQ562" s="83"/>
      <c r="HY562" s="405"/>
      <c r="IE562" s="83"/>
      <c r="IM562" s="405"/>
      <c r="IS562" s="83"/>
      <c r="JA562" s="405"/>
      <c r="JG562" s="83"/>
      <c r="JO562" s="405"/>
      <c r="JU562" s="83"/>
      <c r="KC562" s="405"/>
      <c r="KI562" s="83"/>
      <c r="KQ562" s="405"/>
      <c r="KW562" s="83"/>
      <c r="LE562" s="405"/>
      <c r="LK562" s="83"/>
      <c r="LS562" s="405"/>
      <c r="LY562" s="83"/>
      <c r="MG562" s="405"/>
      <c r="MM562" s="83"/>
      <c r="MU562" s="405"/>
      <c r="NA562" s="83"/>
    </row>
    <row r="563">
      <c r="A563" s="380"/>
      <c r="B563" s="380"/>
      <c r="C563" s="380"/>
      <c r="D563" s="380"/>
      <c r="E563" s="380"/>
      <c r="F563" s="380"/>
      <c r="G563" s="380"/>
      <c r="H563" s="380"/>
      <c r="I563" s="403"/>
      <c r="J563" s="380"/>
      <c r="K563" s="380"/>
      <c r="L563" s="380"/>
      <c r="M563" s="380"/>
      <c r="N563" s="380"/>
      <c r="O563" s="404"/>
      <c r="P563" s="380"/>
      <c r="Q563" s="380"/>
      <c r="R563" s="380"/>
      <c r="S563" s="380"/>
      <c r="T563" s="380"/>
      <c r="U563" s="380"/>
      <c r="V563" s="380"/>
      <c r="W563" s="403"/>
      <c r="X563" s="380"/>
      <c r="Y563" s="380"/>
      <c r="Z563" s="380"/>
      <c r="AA563" s="380"/>
      <c r="AB563" s="380"/>
      <c r="AC563" s="404"/>
      <c r="AD563" s="380"/>
      <c r="AE563" s="380"/>
      <c r="AF563" s="380"/>
      <c r="AG563" s="380"/>
      <c r="AH563" s="380"/>
      <c r="AI563" s="380"/>
      <c r="AJ563" s="380"/>
      <c r="AK563" s="403"/>
      <c r="AL563" s="380"/>
      <c r="AM563" s="380"/>
      <c r="AN563" s="380"/>
      <c r="AO563" s="380"/>
      <c r="AP563" s="380"/>
      <c r="AQ563" s="404"/>
      <c r="AR563" s="380"/>
      <c r="AS563" s="380"/>
      <c r="AT563" s="380"/>
      <c r="AU563" s="380"/>
      <c r="AV563" s="380"/>
      <c r="AW563" s="380"/>
      <c r="AX563" s="380"/>
      <c r="AY563" s="403"/>
      <c r="AZ563" s="380"/>
      <c r="BA563" s="380"/>
      <c r="BB563" s="380"/>
      <c r="BC563" s="380"/>
      <c r="BD563" s="380"/>
      <c r="BE563" s="404"/>
      <c r="BF563" s="380"/>
      <c r="BG563" s="380"/>
      <c r="BH563" s="380"/>
      <c r="BI563" s="380"/>
      <c r="BJ563" s="380"/>
      <c r="BK563" s="380"/>
      <c r="BL563" s="380"/>
      <c r="BM563" s="403"/>
      <c r="BS563" s="83"/>
      <c r="CA563" s="405"/>
      <c r="CG563" s="83"/>
      <c r="CO563" s="405"/>
      <c r="CU563" s="83"/>
      <c r="DC563" s="405"/>
      <c r="DI563" s="83"/>
      <c r="DQ563" s="405"/>
      <c r="DW563" s="83"/>
      <c r="EE563" s="405"/>
      <c r="EK563" s="83"/>
      <c r="ES563" s="405"/>
      <c r="EY563" s="83"/>
      <c r="FG563" s="405"/>
      <c r="FM563" s="83"/>
      <c r="FU563" s="405"/>
      <c r="GA563" s="83"/>
      <c r="GI563" s="405"/>
      <c r="GO563" s="83"/>
      <c r="GW563" s="405"/>
      <c r="HC563" s="83"/>
      <c r="HK563" s="405"/>
      <c r="HQ563" s="83"/>
      <c r="HY563" s="405"/>
      <c r="IE563" s="83"/>
      <c r="IM563" s="405"/>
      <c r="IS563" s="83"/>
      <c r="JA563" s="405"/>
      <c r="JG563" s="83"/>
      <c r="JO563" s="405"/>
      <c r="JU563" s="83"/>
      <c r="KC563" s="405"/>
      <c r="KI563" s="83"/>
      <c r="KQ563" s="405"/>
      <c r="KW563" s="83"/>
      <c r="LE563" s="405"/>
      <c r="LK563" s="83"/>
      <c r="LS563" s="405"/>
      <c r="LY563" s="83"/>
      <c r="MG563" s="405"/>
      <c r="MM563" s="83"/>
      <c r="MU563" s="405"/>
      <c r="NA563" s="83"/>
    </row>
    <row r="564">
      <c r="A564" s="380"/>
      <c r="B564" s="380"/>
      <c r="C564" s="380"/>
      <c r="D564" s="380"/>
      <c r="E564" s="380"/>
      <c r="F564" s="380"/>
      <c r="G564" s="380"/>
      <c r="H564" s="380"/>
      <c r="I564" s="403"/>
      <c r="J564" s="380"/>
      <c r="K564" s="380"/>
      <c r="L564" s="380"/>
      <c r="M564" s="380"/>
      <c r="N564" s="380"/>
      <c r="O564" s="404"/>
      <c r="P564" s="380"/>
      <c r="Q564" s="380"/>
      <c r="R564" s="380"/>
      <c r="S564" s="380"/>
      <c r="T564" s="380"/>
      <c r="U564" s="380"/>
      <c r="V564" s="380"/>
      <c r="W564" s="403"/>
      <c r="X564" s="380"/>
      <c r="Y564" s="380"/>
      <c r="Z564" s="380"/>
      <c r="AA564" s="380"/>
      <c r="AB564" s="380"/>
      <c r="AC564" s="404"/>
      <c r="AD564" s="380"/>
      <c r="AE564" s="380"/>
      <c r="AF564" s="380"/>
      <c r="AG564" s="380"/>
      <c r="AH564" s="380"/>
      <c r="AI564" s="380"/>
      <c r="AJ564" s="380"/>
      <c r="AK564" s="403"/>
      <c r="AL564" s="380"/>
      <c r="AM564" s="380"/>
      <c r="AN564" s="380"/>
      <c r="AO564" s="380"/>
      <c r="AP564" s="380"/>
      <c r="AQ564" s="404"/>
      <c r="AR564" s="380"/>
      <c r="AS564" s="380"/>
      <c r="AT564" s="380"/>
      <c r="AU564" s="380"/>
      <c r="AV564" s="380"/>
      <c r="AW564" s="380"/>
      <c r="AX564" s="380"/>
      <c r="AY564" s="403"/>
      <c r="AZ564" s="380"/>
      <c r="BA564" s="380"/>
      <c r="BB564" s="380"/>
      <c r="BC564" s="380"/>
      <c r="BD564" s="380"/>
      <c r="BE564" s="404"/>
      <c r="BF564" s="380"/>
      <c r="BG564" s="380"/>
      <c r="BH564" s="380"/>
      <c r="BI564" s="380"/>
      <c r="BJ564" s="380"/>
      <c r="BK564" s="380"/>
      <c r="BL564" s="380"/>
      <c r="BM564" s="403"/>
      <c r="BS564" s="83"/>
      <c r="CA564" s="405"/>
      <c r="CG564" s="83"/>
      <c r="CO564" s="405"/>
      <c r="CU564" s="83"/>
      <c r="DC564" s="405"/>
      <c r="DI564" s="83"/>
      <c r="DQ564" s="405"/>
      <c r="DW564" s="83"/>
      <c r="EE564" s="405"/>
      <c r="EK564" s="83"/>
      <c r="ES564" s="405"/>
      <c r="EY564" s="83"/>
      <c r="FG564" s="405"/>
      <c r="FM564" s="83"/>
      <c r="FU564" s="405"/>
      <c r="GA564" s="83"/>
      <c r="GI564" s="405"/>
      <c r="GO564" s="83"/>
      <c r="GW564" s="405"/>
      <c r="HC564" s="83"/>
      <c r="HK564" s="405"/>
      <c r="HQ564" s="83"/>
      <c r="HY564" s="405"/>
      <c r="IE564" s="83"/>
      <c r="IM564" s="405"/>
      <c r="IS564" s="83"/>
      <c r="JA564" s="405"/>
      <c r="JG564" s="83"/>
      <c r="JO564" s="405"/>
      <c r="JU564" s="83"/>
      <c r="KC564" s="405"/>
      <c r="KI564" s="83"/>
      <c r="KQ564" s="405"/>
      <c r="KW564" s="83"/>
      <c r="LE564" s="405"/>
      <c r="LK564" s="83"/>
      <c r="LS564" s="405"/>
      <c r="LY564" s="83"/>
      <c r="MG564" s="405"/>
      <c r="MM564" s="83"/>
      <c r="MU564" s="405"/>
      <c r="NA564" s="83"/>
    </row>
    <row r="565">
      <c r="A565" s="380"/>
      <c r="B565" s="380"/>
      <c r="C565" s="380"/>
      <c r="D565" s="380"/>
      <c r="E565" s="380"/>
      <c r="F565" s="380"/>
      <c r="G565" s="380"/>
      <c r="H565" s="380"/>
      <c r="I565" s="403"/>
      <c r="J565" s="380"/>
      <c r="K565" s="380"/>
      <c r="L565" s="380"/>
      <c r="M565" s="380"/>
      <c r="N565" s="380"/>
      <c r="O565" s="404"/>
      <c r="P565" s="380"/>
      <c r="Q565" s="380"/>
      <c r="R565" s="380"/>
      <c r="S565" s="380"/>
      <c r="T565" s="380"/>
      <c r="U565" s="380"/>
      <c r="V565" s="380"/>
      <c r="W565" s="403"/>
      <c r="X565" s="380"/>
      <c r="Y565" s="380"/>
      <c r="Z565" s="380"/>
      <c r="AA565" s="380"/>
      <c r="AB565" s="380"/>
      <c r="AC565" s="404"/>
      <c r="AD565" s="380"/>
      <c r="AE565" s="380"/>
      <c r="AF565" s="380"/>
      <c r="AG565" s="380"/>
      <c r="AH565" s="380"/>
      <c r="AI565" s="380"/>
      <c r="AJ565" s="380"/>
      <c r="AK565" s="403"/>
      <c r="AL565" s="380"/>
      <c r="AM565" s="380"/>
      <c r="AN565" s="380"/>
      <c r="AO565" s="380"/>
      <c r="AP565" s="380"/>
      <c r="AQ565" s="404"/>
      <c r="AR565" s="380"/>
      <c r="AS565" s="380"/>
      <c r="AT565" s="380"/>
      <c r="AU565" s="380"/>
      <c r="AV565" s="380"/>
      <c r="AW565" s="380"/>
      <c r="AX565" s="380"/>
      <c r="AY565" s="403"/>
      <c r="AZ565" s="380"/>
      <c r="BA565" s="380"/>
      <c r="BB565" s="380"/>
      <c r="BC565" s="380"/>
      <c r="BD565" s="380"/>
      <c r="BE565" s="404"/>
      <c r="BF565" s="380"/>
      <c r="BG565" s="380"/>
      <c r="BH565" s="380"/>
      <c r="BI565" s="380"/>
      <c r="BJ565" s="380"/>
      <c r="BK565" s="380"/>
      <c r="BL565" s="380"/>
      <c r="BM565" s="403"/>
      <c r="BS565" s="83"/>
      <c r="CA565" s="405"/>
      <c r="CG565" s="83"/>
      <c r="CO565" s="405"/>
      <c r="CU565" s="83"/>
      <c r="DC565" s="405"/>
      <c r="DI565" s="83"/>
      <c r="DQ565" s="405"/>
      <c r="DW565" s="83"/>
      <c r="EE565" s="405"/>
      <c r="EK565" s="83"/>
      <c r="ES565" s="405"/>
      <c r="EY565" s="83"/>
      <c r="FG565" s="405"/>
      <c r="FM565" s="83"/>
      <c r="FU565" s="405"/>
      <c r="GA565" s="83"/>
      <c r="GI565" s="405"/>
      <c r="GO565" s="83"/>
      <c r="GW565" s="405"/>
      <c r="HC565" s="83"/>
      <c r="HK565" s="405"/>
      <c r="HQ565" s="83"/>
      <c r="HY565" s="405"/>
      <c r="IE565" s="83"/>
      <c r="IM565" s="405"/>
      <c r="IS565" s="83"/>
      <c r="JA565" s="405"/>
      <c r="JG565" s="83"/>
      <c r="JO565" s="405"/>
      <c r="JU565" s="83"/>
      <c r="KC565" s="405"/>
      <c r="KI565" s="83"/>
      <c r="KQ565" s="405"/>
      <c r="KW565" s="83"/>
      <c r="LE565" s="405"/>
      <c r="LK565" s="83"/>
      <c r="LS565" s="405"/>
      <c r="LY565" s="83"/>
      <c r="MG565" s="405"/>
      <c r="MM565" s="83"/>
      <c r="MU565" s="405"/>
      <c r="NA565" s="83"/>
    </row>
    <row r="566">
      <c r="A566" s="380"/>
      <c r="B566" s="380"/>
      <c r="C566" s="380"/>
      <c r="D566" s="380"/>
      <c r="E566" s="380"/>
      <c r="F566" s="380"/>
      <c r="G566" s="380"/>
      <c r="H566" s="380"/>
      <c r="I566" s="403"/>
      <c r="J566" s="380"/>
      <c r="K566" s="380"/>
      <c r="L566" s="380"/>
      <c r="M566" s="380"/>
      <c r="N566" s="380"/>
      <c r="O566" s="404"/>
      <c r="P566" s="380"/>
      <c r="Q566" s="380"/>
      <c r="R566" s="380"/>
      <c r="S566" s="380"/>
      <c r="T566" s="380"/>
      <c r="U566" s="380"/>
      <c r="V566" s="380"/>
      <c r="W566" s="403"/>
      <c r="X566" s="380"/>
      <c r="Y566" s="380"/>
      <c r="Z566" s="380"/>
      <c r="AA566" s="380"/>
      <c r="AB566" s="380"/>
      <c r="AC566" s="404"/>
      <c r="AD566" s="380"/>
      <c r="AE566" s="380"/>
      <c r="AF566" s="380"/>
      <c r="AG566" s="380"/>
      <c r="AH566" s="380"/>
      <c r="AI566" s="380"/>
      <c r="AJ566" s="380"/>
      <c r="AK566" s="403"/>
      <c r="AL566" s="380"/>
      <c r="AM566" s="380"/>
      <c r="AN566" s="380"/>
      <c r="AO566" s="380"/>
      <c r="AP566" s="380"/>
      <c r="AQ566" s="404"/>
      <c r="AR566" s="380"/>
      <c r="AS566" s="380"/>
      <c r="AT566" s="380"/>
      <c r="AU566" s="380"/>
      <c r="AV566" s="380"/>
      <c r="AW566" s="380"/>
      <c r="AX566" s="380"/>
      <c r="AY566" s="403"/>
      <c r="AZ566" s="380"/>
      <c r="BA566" s="380"/>
      <c r="BB566" s="380"/>
      <c r="BC566" s="380"/>
      <c r="BD566" s="380"/>
      <c r="BE566" s="404"/>
      <c r="BF566" s="380"/>
      <c r="BG566" s="380"/>
      <c r="BH566" s="380"/>
      <c r="BI566" s="380"/>
      <c r="BJ566" s="380"/>
      <c r="BK566" s="380"/>
      <c r="BL566" s="380"/>
      <c r="BM566" s="403"/>
      <c r="BS566" s="83"/>
      <c r="CA566" s="405"/>
      <c r="CG566" s="83"/>
      <c r="CO566" s="405"/>
      <c r="CU566" s="83"/>
      <c r="DC566" s="405"/>
      <c r="DI566" s="83"/>
      <c r="DQ566" s="405"/>
      <c r="DW566" s="83"/>
      <c r="EE566" s="405"/>
      <c r="EK566" s="83"/>
      <c r="ES566" s="405"/>
      <c r="EY566" s="83"/>
      <c r="FG566" s="405"/>
      <c r="FM566" s="83"/>
      <c r="FU566" s="405"/>
      <c r="GA566" s="83"/>
      <c r="GI566" s="405"/>
      <c r="GO566" s="83"/>
      <c r="GW566" s="405"/>
      <c r="HC566" s="83"/>
      <c r="HK566" s="405"/>
      <c r="HQ566" s="83"/>
      <c r="HY566" s="405"/>
      <c r="IE566" s="83"/>
      <c r="IM566" s="405"/>
      <c r="IS566" s="83"/>
      <c r="JA566" s="405"/>
      <c r="JG566" s="83"/>
      <c r="JO566" s="405"/>
      <c r="JU566" s="83"/>
      <c r="KC566" s="405"/>
      <c r="KI566" s="83"/>
      <c r="KQ566" s="405"/>
      <c r="KW566" s="83"/>
      <c r="LE566" s="405"/>
      <c r="LK566" s="83"/>
      <c r="LS566" s="405"/>
      <c r="LY566" s="83"/>
      <c r="MG566" s="405"/>
      <c r="MM566" s="83"/>
      <c r="MU566" s="405"/>
      <c r="NA566" s="83"/>
    </row>
    <row r="567">
      <c r="A567" s="380"/>
      <c r="B567" s="380"/>
      <c r="C567" s="380"/>
      <c r="D567" s="380"/>
      <c r="E567" s="380"/>
      <c r="F567" s="380"/>
      <c r="G567" s="380"/>
      <c r="H567" s="380"/>
      <c r="I567" s="403"/>
      <c r="J567" s="380"/>
      <c r="K567" s="380"/>
      <c r="L567" s="380"/>
      <c r="M567" s="380"/>
      <c r="N567" s="380"/>
      <c r="O567" s="404"/>
      <c r="P567" s="380"/>
      <c r="Q567" s="380"/>
      <c r="R567" s="380"/>
      <c r="S567" s="380"/>
      <c r="T567" s="380"/>
      <c r="U567" s="380"/>
      <c r="V567" s="380"/>
      <c r="W567" s="403"/>
      <c r="X567" s="380"/>
      <c r="Y567" s="380"/>
      <c r="Z567" s="380"/>
      <c r="AA567" s="380"/>
      <c r="AB567" s="380"/>
      <c r="AC567" s="404"/>
      <c r="AD567" s="380"/>
      <c r="AE567" s="380"/>
      <c r="AF567" s="380"/>
      <c r="AG567" s="380"/>
      <c r="AH567" s="380"/>
      <c r="AI567" s="380"/>
      <c r="AJ567" s="380"/>
      <c r="AK567" s="403"/>
      <c r="AL567" s="380"/>
      <c r="AM567" s="380"/>
      <c r="AN567" s="380"/>
      <c r="AO567" s="380"/>
      <c r="AP567" s="380"/>
      <c r="AQ567" s="404"/>
      <c r="AR567" s="380"/>
      <c r="AS567" s="380"/>
      <c r="AT567" s="380"/>
      <c r="AU567" s="380"/>
      <c r="AV567" s="380"/>
      <c r="AW567" s="380"/>
      <c r="AX567" s="380"/>
      <c r="AY567" s="403"/>
      <c r="AZ567" s="380"/>
      <c r="BA567" s="380"/>
      <c r="BB567" s="380"/>
      <c r="BC567" s="380"/>
      <c r="BD567" s="380"/>
      <c r="BE567" s="404"/>
      <c r="BF567" s="380"/>
      <c r="BG567" s="380"/>
      <c r="BH567" s="380"/>
      <c r="BI567" s="380"/>
      <c r="BJ567" s="380"/>
      <c r="BK567" s="380"/>
      <c r="BL567" s="380"/>
      <c r="BM567" s="403"/>
      <c r="BS567" s="83"/>
      <c r="CA567" s="405"/>
      <c r="CG567" s="83"/>
      <c r="CO567" s="405"/>
      <c r="CU567" s="83"/>
      <c r="DC567" s="405"/>
      <c r="DI567" s="83"/>
      <c r="DQ567" s="405"/>
      <c r="DW567" s="83"/>
      <c r="EE567" s="405"/>
      <c r="EK567" s="83"/>
      <c r="ES567" s="405"/>
      <c r="EY567" s="83"/>
      <c r="FG567" s="405"/>
      <c r="FM567" s="83"/>
      <c r="FU567" s="405"/>
      <c r="GA567" s="83"/>
      <c r="GI567" s="405"/>
      <c r="GO567" s="83"/>
      <c r="GW567" s="405"/>
      <c r="HC567" s="83"/>
      <c r="HK567" s="405"/>
      <c r="HQ567" s="83"/>
      <c r="HY567" s="405"/>
      <c r="IE567" s="83"/>
      <c r="IM567" s="405"/>
      <c r="IS567" s="83"/>
      <c r="JA567" s="405"/>
      <c r="JG567" s="83"/>
      <c r="JO567" s="405"/>
      <c r="JU567" s="83"/>
      <c r="KC567" s="405"/>
      <c r="KI567" s="83"/>
      <c r="KQ567" s="405"/>
      <c r="KW567" s="83"/>
      <c r="LE567" s="405"/>
      <c r="LK567" s="83"/>
      <c r="LS567" s="405"/>
      <c r="LY567" s="83"/>
      <c r="MG567" s="405"/>
      <c r="MM567" s="83"/>
      <c r="MU567" s="405"/>
      <c r="NA567" s="83"/>
    </row>
    <row r="568">
      <c r="A568" s="380"/>
      <c r="B568" s="380"/>
      <c r="C568" s="380"/>
      <c r="D568" s="380"/>
      <c r="E568" s="380"/>
      <c r="F568" s="380"/>
      <c r="G568" s="380"/>
      <c r="H568" s="380"/>
      <c r="I568" s="403"/>
      <c r="J568" s="380"/>
      <c r="K568" s="380"/>
      <c r="L568" s="380"/>
      <c r="M568" s="380"/>
      <c r="N568" s="380"/>
      <c r="O568" s="404"/>
      <c r="P568" s="380"/>
      <c r="Q568" s="380"/>
      <c r="R568" s="380"/>
      <c r="S568" s="380"/>
      <c r="T568" s="380"/>
      <c r="U568" s="380"/>
      <c r="V568" s="380"/>
      <c r="W568" s="403"/>
      <c r="X568" s="380"/>
      <c r="Y568" s="380"/>
      <c r="Z568" s="380"/>
      <c r="AA568" s="380"/>
      <c r="AB568" s="380"/>
      <c r="AC568" s="404"/>
      <c r="AD568" s="380"/>
      <c r="AE568" s="380"/>
      <c r="AF568" s="380"/>
      <c r="AG568" s="380"/>
      <c r="AH568" s="380"/>
      <c r="AI568" s="380"/>
      <c r="AJ568" s="380"/>
      <c r="AK568" s="403"/>
      <c r="AL568" s="380"/>
      <c r="AM568" s="380"/>
      <c r="AN568" s="380"/>
      <c r="AO568" s="380"/>
      <c r="AP568" s="380"/>
      <c r="AQ568" s="404"/>
      <c r="AR568" s="380"/>
      <c r="AS568" s="380"/>
      <c r="AT568" s="380"/>
      <c r="AU568" s="380"/>
      <c r="AV568" s="380"/>
      <c r="AW568" s="380"/>
      <c r="AX568" s="380"/>
      <c r="AY568" s="403"/>
      <c r="AZ568" s="380"/>
      <c r="BA568" s="380"/>
      <c r="BB568" s="380"/>
      <c r="BC568" s="380"/>
      <c r="BD568" s="380"/>
      <c r="BE568" s="404"/>
      <c r="BF568" s="380"/>
      <c r="BG568" s="380"/>
      <c r="BH568" s="380"/>
      <c r="BI568" s="380"/>
      <c r="BJ568" s="380"/>
      <c r="BK568" s="380"/>
      <c r="BL568" s="380"/>
      <c r="BM568" s="403"/>
      <c r="BS568" s="83"/>
      <c r="CA568" s="405"/>
      <c r="CG568" s="83"/>
      <c r="CO568" s="405"/>
      <c r="CU568" s="83"/>
      <c r="DC568" s="405"/>
      <c r="DI568" s="83"/>
      <c r="DQ568" s="405"/>
      <c r="DW568" s="83"/>
      <c r="EE568" s="405"/>
      <c r="EK568" s="83"/>
      <c r="ES568" s="405"/>
      <c r="EY568" s="83"/>
      <c r="FG568" s="405"/>
      <c r="FM568" s="83"/>
      <c r="FU568" s="405"/>
      <c r="GA568" s="83"/>
      <c r="GI568" s="405"/>
      <c r="GO568" s="83"/>
      <c r="GW568" s="405"/>
      <c r="HC568" s="83"/>
      <c r="HK568" s="405"/>
      <c r="HQ568" s="83"/>
      <c r="HY568" s="405"/>
      <c r="IE568" s="83"/>
      <c r="IM568" s="405"/>
      <c r="IS568" s="83"/>
      <c r="JA568" s="405"/>
      <c r="JG568" s="83"/>
      <c r="JO568" s="405"/>
      <c r="JU568" s="83"/>
      <c r="KC568" s="405"/>
      <c r="KI568" s="83"/>
      <c r="KQ568" s="405"/>
      <c r="KW568" s="83"/>
      <c r="LE568" s="405"/>
      <c r="LK568" s="83"/>
      <c r="LS568" s="405"/>
      <c r="LY568" s="83"/>
      <c r="MG568" s="405"/>
      <c r="MM568" s="83"/>
      <c r="MU568" s="405"/>
      <c r="NA568" s="83"/>
    </row>
    <row r="569">
      <c r="A569" s="380"/>
      <c r="B569" s="380"/>
      <c r="C569" s="380"/>
      <c r="D569" s="380"/>
      <c r="E569" s="380"/>
      <c r="F569" s="380"/>
      <c r="G569" s="380"/>
      <c r="H569" s="380"/>
      <c r="I569" s="403"/>
      <c r="J569" s="380"/>
      <c r="K569" s="380"/>
      <c r="L569" s="380"/>
      <c r="M569" s="380"/>
      <c r="N569" s="380"/>
      <c r="O569" s="404"/>
      <c r="P569" s="380"/>
      <c r="Q569" s="380"/>
      <c r="R569" s="380"/>
      <c r="S569" s="380"/>
      <c r="T569" s="380"/>
      <c r="U569" s="380"/>
      <c r="V569" s="380"/>
      <c r="W569" s="403"/>
      <c r="X569" s="380"/>
      <c r="Y569" s="380"/>
      <c r="Z569" s="380"/>
      <c r="AA569" s="380"/>
      <c r="AB569" s="380"/>
      <c r="AC569" s="404"/>
      <c r="AD569" s="380"/>
      <c r="AE569" s="380"/>
      <c r="AF569" s="380"/>
      <c r="AG569" s="380"/>
      <c r="AH569" s="380"/>
      <c r="AI569" s="380"/>
      <c r="AJ569" s="380"/>
      <c r="AK569" s="403"/>
      <c r="AL569" s="380"/>
      <c r="AM569" s="380"/>
      <c r="AN569" s="380"/>
      <c r="AO569" s="380"/>
      <c r="AP569" s="380"/>
      <c r="AQ569" s="404"/>
      <c r="AR569" s="380"/>
      <c r="AS569" s="380"/>
      <c r="AT569" s="380"/>
      <c r="AU569" s="380"/>
      <c r="AV569" s="380"/>
      <c r="AW569" s="380"/>
      <c r="AX569" s="380"/>
      <c r="AY569" s="403"/>
      <c r="AZ569" s="380"/>
      <c r="BA569" s="380"/>
      <c r="BB569" s="380"/>
      <c r="BC569" s="380"/>
      <c r="BD569" s="380"/>
      <c r="BE569" s="404"/>
      <c r="BF569" s="380"/>
      <c r="BG569" s="380"/>
      <c r="BH569" s="380"/>
      <c r="BI569" s="380"/>
      <c r="BJ569" s="380"/>
      <c r="BK569" s="380"/>
      <c r="BL569" s="380"/>
      <c r="BM569" s="403"/>
      <c r="BS569" s="83"/>
      <c r="CA569" s="405"/>
      <c r="CG569" s="83"/>
      <c r="CO569" s="405"/>
      <c r="CU569" s="83"/>
      <c r="DC569" s="405"/>
      <c r="DI569" s="83"/>
      <c r="DQ569" s="405"/>
      <c r="DW569" s="83"/>
      <c r="EE569" s="405"/>
      <c r="EK569" s="83"/>
      <c r="ES569" s="405"/>
      <c r="EY569" s="83"/>
      <c r="FG569" s="405"/>
      <c r="FM569" s="83"/>
      <c r="FU569" s="405"/>
      <c r="GA569" s="83"/>
      <c r="GI569" s="405"/>
      <c r="GO569" s="83"/>
      <c r="GW569" s="405"/>
      <c r="HC569" s="83"/>
      <c r="HK569" s="405"/>
      <c r="HQ569" s="83"/>
      <c r="HY569" s="405"/>
      <c r="IE569" s="83"/>
      <c r="IM569" s="405"/>
      <c r="IS569" s="83"/>
      <c r="JA569" s="405"/>
      <c r="JG569" s="83"/>
      <c r="JO569" s="405"/>
      <c r="JU569" s="83"/>
      <c r="KC569" s="405"/>
      <c r="KI569" s="83"/>
      <c r="KQ569" s="405"/>
      <c r="KW569" s="83"/>
      <c r="LE569" s="405"/>
      <c r="LK569" s="83"/>
      <c r="LS569" s="405"/>
      <c r="LY569" s="83"/>
      <c r="MG569" s="405"/>
      <c r="MM569" s="83"/>
      <c r="MU569" s="405"/>
      <c r="NA569" s="83"/>
    </row>
    <row r="570">
      <c r="A570" s="380"/>
      <c r="B570" s="380"/>
      <c r="C570" s="380"/>
      <c r="D570" s="380"/>
      <c r="E570" s="380"/>
      <c r="F570" s="380"/>
      <c r="G570" s="380"/>
      <c r="H570" s="380"/>
      <c r="I570" s="403"/>
      <c r="J570" s="380"/>
      <c r="K570" s="380"/>
      <c r="L570" s="380"/>
      <c r="M570" s="380"/>
      <c r="N570" s="380"/>
      <c r="O570" s="404"/>
      <c r="P570" s="380"/>
      <c r="Q570" s="380"/>
      <c r="R570" s="380"/>
      <c r="S570" s="380"/>
      <c r="T570" s="380"/>
      <c r="U570" s="380"/>
      <c r="V570" s="380"/>
      <c r="W570" s="403"/>
      <c r="X570" s="380"/>
      <c r="Y570" s="380"/>
      <c r="Z570" s="380"/>
      <c r="AA570" s="380"/>
      <c r="AB570" s="380"/>
      <c r="AC570" s="404"/>
      <c r="AD570" s="380"/>
      <c r="AE570" s="380"/>
      <c r="AF570" s="380"/>
      <c r="AG570" s="380"/>
      <c r="AH570" s="380"/>
      <c r="AI570" s="380"/>
      <c r="AJ570" s="380"/>
      <c r="AK570" s="403"/>
      <c r="AL570" s="380"/>
      <c r="AM570" s="380"/>
      <c r="AN570" s="380"/>
      <c r="AO570" s="380"/>
      <c r="AP570" s="380"/>
      <c r="AQ570" s="404"/>
      <c r="AR570" s="380"/>
      <c r="AS570" s="380"/>
      <c r="AT570" s="380"/>
      <c r="AU570" s="380"/>
      <c r="AV570" s="380"/>
      <c r="AW570" s="380"/>
      <c r="AX570" s="380"/>
      <c r="AY570" s="403"/>
      <c r="AZ570" s="380"/>
      <c r="BA570" s="380"/>
      <c r="BB570" s="380"/>
      <c r="BC570" s="380"/>
      <c r="BD570" s="380"/>
      <c r="BE570" s="404"/>
      <c r="BF570" s="380"/>
      <c r="BG570" s="380"/>
      <c r="BH570" s="380"/>
      <c r="BI570" s="380"/>
      <c r="BJ570" s="380"/>
      <c r="BK570" s="380"/>
      <c r="BL570" s="380"/>
      <c r="BM570" s="403"/>
      <c r="BS570" s="83"/>
      <c r="CA570" s="405"/>
      <c r="CG570" s="83"/>
      <c r="CO570" s="405"/>
      <c r="CU570" s="83"/>
      <c r="DC570" s="405"/>
      <c r="DI570" s="83"/>
      <c r="DQ570" s="405"/>
      <c r="DW570" s="83"/>
      <c r="EE570" s="405"/>
      <c r="EK570" s="83"/>
      <c r="ES570" s="405"/>
      <c r="EY570" s="83"/>
      <c r="FG570" s="405"/>
      <c r="FM570" s="83"/>
      <c r="FU570" s="405"/>
      <c r="GA570" s="83"/>
      <c r="GI570" s="405"/>
      <c r="GO570" s="83"/>
      <c r="GW570" s="405"/>
      <c r="HC570" s="83"/>
      <c r="HK570" s="405"/>
      <c r="HQ570" s="83"/>
      <c r="HY570" s="405"/>
      <c r="IE570" s="83"/>
      <c r="IM570" s="405"/>
      <c r="IS570" s="83"/>
      <c r="JA570" s="405"/>
      <c r="JG570" s="83"/>
      <c r="JO570" s="405"/>
      <c r="JU570" s="83"/>
      <c r="KC570" s="405"/>
      <c r="KI570" s="83"/>
      <c r="KQ570" s="405"/>
      <c r="KW570" s="83"/>
      <c r="LE570" s="405"/>
      <c r="LK570" s="83"/>
      <c r="LS570" s="405"/>
      <c r="LY570" s="83"/>
      <c r="MG570" s="405"/>
      <c r="MM570" s="83"/>
      <c r="MU570" s="405"/>
      <c r="NA570" s="83"/>
    </row>
    <row r="571">
      <c r="A571" s="380"/>
      <c r="B571" s="380"/>
      <c r="C571" s="380"/>
      <c r="D571" s="380"/>
      <c r="E571" s="380"/>
      <c r="F571" s="380"/>
      <c r="G571" s="380"/>
      <c r="H571" s="380"/>
      <c r="I571" s="403"/>
      <c r="J571" s="380"/>
      <c r="K571" s="380"/>
      <c r="L571" s="380"/>
      <c r="M571" s="380"/>
      <c r="N571" s="380"/>
      <c r="O571" s="404"/>
      <c r="P571" s="380"/>
      <c r="Q571" s="380"/>
      <c r="R571" s="380"/>
      <c r="S571" s="380"/>
      <c r="T571" s="380"/>
      <c r="U571" s="380"/>
      <c r="V571" s="380"/>
      <c r="W571" s="403"/>
      <c r="X571" s="380"/>
      <c r="Y571" s="380"/>
      <c r="Z571" s="380"/>
      <c r="AA571" s="380"/>
      <c r="AB571" s="380"/>
      <c r="AC571" s="404"/>
      <c r="AD571" s="380"/>
      <c r="AE571" s="380"/>
      <c r="AF571" s="380"/>
      <c r="AG571" s="380"/>
      <c r="AH571" s="380"/>
      <c r="AI571" s="380"/>
      <c r="AJ571" s="380"/>
      <c r="AK571" s="403"/>
      <c r="AL571" s="380"/>
      <c r="AM571" s="380"/>
      <c r="AN571" s="380"/>
      <c r="AO571" s="380"/>
      <c r="AP571" s="380"/>
      <c r="AQ571" s="404"/>
      <c r="AR571" s="380"/>
      <c r="AS571" s="380"/>
      <c r="AT571" s="380"/>
      <c r="AU571" s="380"/>
      <c r="AV571" s="380"/>
      <c r="AW571" s="380"/>
      <c r="AX571" s="380"/>
      <c r="AY571" s="403"/>
      <c r="AZ571" s="380"/>
      <c r="BA571" s="380"/>
      <c r="BB571" s="380"/>
      <c r="BC571" s="380"/>
      <c r="BD571" s="380"/>
      <c r="BE571" s="404"/>
      <c r="BF571" s="380"/>
      <c r="BG571" s="380"/>
      <c r="BH571" s="380"/>
      <c r="BI571" s="380"/>
      <c r="BJ571" s="380"/>
      <c r="BK571" s="380"/>
      <c r="BL571" s="380"/>
      <c r="BM571" s="403"/>
      <c r="BS571" s="83"/>
      <c r="CA571" s="405"/>
      <c r="CG571" s="83"/>
      <c r="CO571" s="405"/>
      <c r="CU571" s="83"/>
      <c r="DC571" s="405"/>
      <c r="DI571" s="83"/>
      <c r="DQ571" s="405"/>
      <c r="DW571" s="83"/>
      <c r="EE571" s="405"/>
      <c r="EK571" s="83"/>
      <c r="ES571" s="405"/>
      <c r="EY571" s="83"/>
      <c r="FG571" s="405"/>
      <c r="FM571" s="83"/>
      <c r="FU571" s="405"/>
      <c r="GA571" s="83"/>
      <c r="GI571" s="405"/>
      <c r="GO571" s="83"/>
      <c r="GW571" s="405"/>
      <c r="HC571" s="83"/>
      <c r="HK571" s="405"/>
      <c r="HQ571" s="83"/>
      <c r="HY571" s="405"/>
      <c r="IE571" s="83"/>
      <c r="IM571" s="405"/>
      <c r="IS571" s="83"/>
      <c r="JA571" s="405"/>
      <c r="JG571" s="83"/>
      <c r="JO571" s="405"/>
      <c r="JU571" s="83"/>
      <c r="KC571" s="405"/>
      <c r="KI571" s="83"/>
      <c r="KQ571" s="405"/>
      <c r="KW571" s="83"/>
      <c r="LE571" s="405"/>
      <c r="LK571" s="83"/>
      <c r="LS571" s="405"/>
      <c r="LY571" s="83"/>
      <c r="MG571" s="405"/>
      <c r="MM571" s="83"/>
      <c r="MU571" s="405"/>
      <c r="NA571" s="83"/>
    </row>
    <row r="572">
      <c r="A572" s="380"/>
      <c r="B572" s="380"/>
      <c r="C572" s="380"/>
      <c r="D572" s="380"/>
      <c r="E572" s="380"/>
      <c r="F572" s="380"/>
      <c r="G572" s="380"/>
      <c r="H572" s="380"/>
      <c r="I572" s="403"/>
      <c r="J572" s="380"/>
      <c r="K572" s="380"/>
      <c r="L572" s="380"/>
      <c r="M572" s="380"/>
      <c r="N572" s="380"/>
      <c r="O572" s="404"/>
      <c r="P572" s="380"/>
      <c r="Q572" s="380"/>
      <c r="R572" s="380"/>
      <c r="S572" s="380"/>
      <c r="T572" s="380"/>
      <c r="U572" s="380"/>
      <c r="V572" s="380"/>
      <c r="W572" s="403"/>
      <c r="X572" s="380"/>
      <c r="Y572" s="380"/>
      <c r="Z572" s="380"/>
      <c r="AA572" s="380"/>
      <c r="AB572" s="380"/>
      <c r="AC572" s="404"/>
      <c r="AD572" s="380"/>
      <c r="AE572" s="380"/>
      <c r="AF572" s="380"/>
      <c r="AG572" s="380"/>
      <c r="AH572" s="380"/>
      <c r="AI572" s="380"/>
      <c r="AJ572" s="380"/>
      <c r="AK572" s="403"/>
      <c r="AL572" s="380"/>
      <c r="AM572" s="380"/>
      <c r="AN572" s="380"/>
      <c r="AO572" s="380"/>
      <c r="AP572" s="380"/>
      <c r="AQ572" s="404"/>
      <c r="AR572" s="380"/>
      <c r="AS572" s="380"/>
      <c r="AT572" s="380"/>
      <c r="AU572" s="380"/>
      <c r="AV572" s="380"/>
      <c r="AW572" s="380"/>
      <c r="AX572" s="380"/>
      <c r="AY572" s="403"/>
      <c r="AZ572" s="380"/>
      <c r="BA572" s="380"/>
      <c r="BB572" s="380"/>
      <c r="BC572" s="380"/>
      <c r="BD572" s="380"/>
      <c r="BE572" s="404"/>
      <c r="BF572" s="380"/>
      <c r="BG572" s="380"/>
      <c r="BH572" s="380"/>
      <c r="BI572" s="380"/>
      <c r="BJ572" s="380"/>
      <c r="BK572" s="380"/>
      <c r="BL572" s="380"/>
      <c r="BM572" s="403"/>
      <c r="BS572" s="83"/>
      <c r="CA572" s="405"/>
      <c r="CG572" s="83"/>
      <c r="CO572" s="405"/>
      <c r="CU572" s="83"/>
      <c r="DC572" s="405"/>
      <c r="DI572" s="83"/>
      <c r="DQ572" s="405"/>
      <c r="DW572" s="83"/>
      <c r="EE572" s="405"/>
      <c r="EK572" s="83"/>
      <c r="ES572" s="405"/>
      <c r="EY572" s="83"/>
      <c r="FG572" s="405"/>
      <c r="FM572" s="83"/>
      <c r="FU572" s="405"/>
      <c r="GA572" s="83"/>
      <c r="GI572" s="405"/>
      <c r="GO572" s="83"/>
      <c r="GW572" s="405"/>
      <c r="HC572" s="83"/>
      <c r="HK572" s="405"/>
      <c r="HQ572" s="83"/>
      <c r="HY572" s="405"/>
      <c r="IE572" s="83"/>
      <c r="IM572" s="405"/>
      <c r="IS572" s="83"/>
      <c r="JA572" s="405"/>
      <c r="JG572" s="83"/>
      <c r="JO572" s="405"/>
      <c r="JU572" s="83"/>
      <c r="KC572" s="405"/>
      <c r="KI572" s="83"/>
      <c r="KQ572" s="405"/>
      <c r="KW572" s="83"/>
      <c r="LE572" s="405"/>
      <c r="LK572" s="83"/>
      <c r="LS572" s="405"/>
      <c r="LY572" s="83"/>
      <c r="MG572" s="405"/>
      <c r="MM572" s="83"/>
      <c r="MU572" s="405"/>
      <c r="NA572" s="83"/>
    </row>
    <row r="573">
      <c r="A573" s="380"/>
      <c r="B573" s="380"/>
      <c r="C573" s="380"/>
      <c r="D573" s="380"/>
      <c r="E573" s="380"/>
      <c r="F573" s="380"/>
      <c r="G573" s="380"/>
      <c r="H573" s="380"/>
      <c r="I573" s="403"/>
      <c r="J573" s="380"/>
      <c r="K573" s="380"/>
      <c r="L573" s="380"/>
      <c r="M573" s="380"/>
      <c r="N573" s="380"/>
      <c r="O573" s="404"/>
      <c r="P573" s="380"/>
      <c r="Q573" s="380"/>
      <c r="R573" s="380"/>
      <c r="S573" s="380"/>
      <c r="T573" s="380"/>
      <c r="U573" s="380"/>
      <c r="V573" s="380"/>
      <c r="W573" s="403"/>
      <c r="X573" s="380"/>
      <c r="Y573" s="380"/>
      <c r="Z573" s="380"/>
      <c r="AA573" s="380"/>
      <c r="AB573" s="380"/>
      <c r="AC573" s="404"/>
      <c r="AD573" s="380"/>
      <c r="AE573" s="380"/>
      <c r="AF573" s="380"/>
      <c r="AG573" s="380"/>
      <c r="AH573" s="380"/>
      <c r="AI573" s="380"/>
      <c r="AJ573" s="380"/>
      <c r="AK573" s="403"/>
      <c r="AL573" s="380"/>
      <c r="AM573" s="380"/>
      <c r="AN573" s="380"/>
      <c r="AO573" s="380"/>
      <c r="AP573" s="380"/>
      <c r="AQ573" s="404"/>
      <c r="AR573" s="380"/>
      <c r="AS573" s="380"/>
      <c r="AT573" s="380"/>
      <c r="AU573" s="380"/>
      <c r="AV573" s="380"/>
      <c r="AW573" s="380"/>
      <c r="AX573" s="380"/>
      <c r="AY573" s="403"/>
      <c r="AZ573" s="380"/>
      <c r="BA573" s="380"/>
      <c r="BB573" s="380"/>
      <c r="BC573" s="380"/>
      <c r="BD573" s="380"/>
      <c r="BE573" s="404"/>
      <c r="BF573" s="380"/>
      <c r="BG573" s="380"/>
      <c r="BH573" s="380"/>
      <c r="BI573" s="380"/>
      <c r="BJ573" s="380"/>
      <c r="BK573" s="380"/>
      <c r="BL573" s="380"/>
      <c r="BM573" s="403"/>
      <c r="BS573" s="83"/>
      <c r="CA573" s="405"/>
      <c r="CG573" s="83"/>
      <c r="CO573" s="405"/>
      <c r="CU573" s="83"/>
      <c r="DC573" s="405"/>
      <c r="DI573" s="83"/>
      <c r="DQ573" s="405"/>
      <c r="DW573" s="83"/>
      <c r="EE573" s="405"/>
      <c r="EK573" s="83"/>
      <c r="ES573" s="405"/>
      <c r="EY573" s="83"/>
      <c r="FG573" s="405"/>
      <c r="FM573" s="83"/>
      <c r="FU573" s="405"/>
      <c r="GA573" s="83"/>
      <c r="GI573" s="405"/>
      <c r="GO573" s="83"/>
      <c r="GW573" s="405"/>
      <c r="HC573" s="83"/>
      <c r="HK573" s="405"/>
      <c r="HQ573" s="83"/>
      <c r="HY573" s="405"/>
      <c r="IE573" s="83"/>
      <c r="IM573" s="405"/>
      <c r="IS573" s="83"/>
      <c r="JA573" s="405"/>
      <c r="JG573" s="83"/>
      <c r="JO573" s="405"/>
      <c r="JU573" s="83"/>
      <c r="KC573" s="405"/>
      <c r="KI573" s="83"/>
      <c r="KQ573" s="405"/>
      <c r="KW573" s="83"/>
      <c r="LE573" s="405"/>
      <c r="LK573" s="83"/>
      <c r="LS573" s="405"/>
      <c r="LY573" s="83"/>
      <c r="MG573" s="405"/>
      <c r="MM573" s="83"/>
      <c r="MU573" s="405"/>
      <c r="NA573" s="83"/>
    </row>
    <row r="574">
      <c r="A574" s="380"/>
      <c r="B574" s="380"/>
      <c r="C574" s="380"/>
      <c r="D574" s="380"/>
      <c r="E574" s="380"/>
      <c r="F574" s="380"/>
      <c r="G574" s="380"/>
      <c r="H574" s="380"/>
      <c r="I574" s="403"/>
      <c r="J574" s="380"/>
      <c r="K574" s="380"/>
      <c r="L574" s="380"/>
      <c r="M574" s="380"/>
      <c r="N574" s="380"/>
      <c r="O574" s="404"/>
      <c r="P574" s="380"/>
      <c r="Q574" s="380"/>
      <c r="R574" s="380"/>
      <c r="S574" s="380"/>
      <c r="T574" s="380"/>
      <c r="U574" s="380"/>
      <c r="V574" s="380"/>
      <c r="W574" s="403"/>
      <c r="X574" s="380"/>
      <c r="Y574" s="380"/>
      <c r="Z574" s="380"/>
      <c r="AA574" s="380"/>
      <c r="AB574" s="380"/>
      <c r="AC574" s="404"/>
      <c r="AD574" s="380"/>
      <c r="AE574" s="380"/>
      <c r="AF574" s="380"/>
      <c r="AG574" s="380"/>
      <c r="AH574" s="380"/>
      <c r="AI574" s="380"/>
      <c r="AJ574" s="380"/>
      <c r="AK574" s="403"/>
      <c r="AL574" s="380"/>
      <c r="AM574" s="380"/>
      <c r="AN574" s="380"/>
      <c r="AO574" s="380"/>
      <c r="AP574" s="380"/>
      <c r="AQ574" s="404"/>
      <c r="AR574" s="380"/>
      <c r="AS574" s="380"/>
      <c r="AT574" s="380"/>
      <c r="AU574" s="380"/>
      <c r="AV574" s="380"/>
      <c r="AW574" s="380"/>
      <c r="AX574" s="380"/>
      <c r="AY574" s="403"/>
      <c r="AZ574" s="380"/>
      <c r="BA574" s="380"/>
      <c r="BB574" s="380"/>
      <c r="BC574" s="380"/>
      <c r="BD574" s="380"/>
      <c r="BE574" s="404"/>
      <c r="BF574" s="380"/>
      <c r="BG574" s="380"/>
      <c r="BH574" s="380"/>
      <c r="BI574" s="380"/>
      <c r="BJ574" s="380"/>
      <c r="BK574" s="380"/>
      <c r="BL574" s="380"/>
      <c r="BM574" s="403"/>
      <c r="BS574" s="83"/>
      <c r="CA574" s="405"/>
      <c r="CG574" s="83"/>
      <c r="CO574" s="405"/>
      <c r="CU574" s="83"/>
      <c r="DC574" s="405"/>
      <c r="DI574" s="83"/>
      <c r="DQ574" s="405"/>
      <c r="DW574" s="83"/>
      <c r="EE574" s="405"/>
      <c r="EK574" s="83"/>
      <c r="ES574" s="405"/>
      <c r="EY574" s="83"/>
      <c r="FG574" s="405"/>
      <c r="FM574" s="83"/>
      <c r="FU574" s="405"/>
      <c r="GA574" s="83"/>
      <c r="GI574" s="405"/>
      <c r="GO574" s="83"/>
      <c r="GW574" s="405"/>
      <c r="HC574" s="83"/>
      <c r="HK574" s="405"/>
      <c r="HQ574" s="83"/>
      <c r="HY574" s="405"/>
      <c r="IE574" s="83"/>
      <c r="IM574" s="405"/>
      <c r="IS574" s="83"/>
      <c r="JA574" s="405"/>
      <c r="JG574" s="83"/>
      <c r="JO574" s="405"/>
      <c r="JU574" s="83"/>
      <c r="KC574" s="405"/>
      <c r="KI574" s="83"/>
      <c r="KQ574" s="405"/>
      <c r="KW574" s="83"/>
      <c r="LE574" s="405"/>
      <c r="LK574" s="83"/>
      <c r="LS574" s="405"/>
      <c r="LY574" s="83"/>
      <c r="MG574" s="405"/>
      <c r="MM574" s="83"/>
      <c r="MU574" s="405"/>
      <c r="NA574" s="83"/>
    </row>
    <row r="575">
      <c r="A575" s="380"/>
      <c r="B575" s="380"/>
      <c r="C575" s="380"/>
      <c r="D575" s="380"/>
      <c r="E575" s="380"/>
      <c r="F575" s="380"/>
      <c r="G575" s="380"/>
      <c r="H575" s="380"/>
      <c r="I575" s="403"/>
      <c r="J575" s="380"/>
      <c r="K575" s="380"/>
      <c r="L575" s="380"/>
      <c r="M575" s="380"/>
      <c r="N575" s="380"/>
      <c r="O575" s="404"/>
      <c r="P575" s="380"/>
      <c r="Q575" s="380"/>
      <c r="R575" s="380"/>
      <c r="S575" s="380"/>
      <c r="T575" s="380"/>
      <c r="U575" s="380"/>
      <c r="V575" s="380"/>
      <c r="W575" s="403"/>
      <c r="X575" s="380"/>
      <c r="Y575" s="380"/>
      <c r="Z575" s="380"/>
      <c r="AA575" s="380"/>
      <c r="AB575" s="380"/>
      <c r="AC575" s="404"/>
      <c r="AD575" s="380"/>
      <c r="AE575" s="380"/>
      <c r="AF575" s="380"/>
      <c r="AG575" s="380"/>
      <c r="AH575" s="380"/>
      <c r="AI575" s="380"/>
      <c r="AJ575" s="380"/>
      <c r="AK575" s="403"/>
      <c r="AL575" s="380"/>
      <c r="AM575" s="380"/>
      <c r="AN575" s="380"/>
      <c r="AO575" s="380"/>
      <c r="AP575" s="380"/>
      <c r="AQ575" s="404"/>
      <c r="AR575" s="380"/>
      <c r="AS575" s="380"/>
      <c r="AT575" s="380"/>
      <c r="AU575" s="380"/>
      <c r="AV575" s="380"/>
      <c r="AW575" s="380"/>
      <c r="AX575" s="380"/>
      <c r="AY575" s="403"/>
      <c r="AZ575" s="380"/>
      <c r="BA575" s="380"/>
      <c r="BB575" s="380"/>
      <c r="BC575" s="380"/>
      <c r="BD575" s="380"/>
      <c r="BE575" s="404"/>
      <c r="BF575" s="380"/>
      <c r="BG575" s="380"/>
      <c r="BH575" s="380"/>
      <c r="BI575" s="380"/>
      <c r="BJ575" s="380"/>
      <c r="BK575" s="380"/>
      <c r="BL575" s="380"/>
      <c r="BM575" s="403"/>
      <c r="BS575" s="83"/>
      <c r="CA575" s="405"/>
      <c r="CG575" s="83"/>
      <c r="CO575" s="405"/>
      <c r="CU575" s="83"/>
      <c r="DC575" s="405"/>
      <c r="DI575" s="83"/>
      <c r="DQ575" s="405"/>
      <c r="DW575" s="83"/>
      <c r="EE575" s="405"/>
      <c r="EK575" s="83"/>
      <c r="ES575" s="405"/>
      <c r="EY575" s="83"/>
      <c r="FG575" s="405"/>
      <c r="FM575" s="83"/>
      <c r="FU575" s="405"/>
      <c r="GA575" s="83"/>
      <c r="GI575" s="405"/>
      <c r="GO575" s="83"/>
      <c r="GW575" s="405"/>
      <c r="HC575" s="83"/>
      <c r="HK575" s="405"/>
      <c r="HQ575" s="83"/>
      <c r="HY575" s="405"/>
      <c r="IE575" s="83"/>
      <c r="IM575" s="405"/>
      <c r="IS575" s="83"/>
      <c r="JA575" s="405"/>
      <c r="JG575" s="83"/>
      <c r="JO575" s="405"/>
      <c r="JU575" s="83"/>
      <c r="KC575" s="405"/>
      <c r="KI575" s="83"/>
      <c r="KQ575" s="405"/>
      <c r="KW575" s="83"/>
      <c r="LE575" s="405"/>
      <c r="LK575" s="83"/>
      <c r="LS575" s="405"/>
      <c r="LY575" s="83"/>
      <c r="MG575" s="405"/>
      <c r="MM575" s="83"/>
      <c r="MU575" s="405"/>
      <c r="NA575" s="83"/>
    </row>
    <row r="576">
      <c r="A576" s="380"/>
      <c r="B576" s="380"/>
      <c r="C576" s="380"/>
      <c r="D576" s="380"/>
      <c r="E576" s="380"/>
      <c r="F576" s="380"/>
      <c r="G576" s="380"/>
      <c r="H576" s="380"/>
      <c r="I576" s="403"/>
      <c r="J576" s="380"/>
      <c r="K576" s="380"/>
      <c r="L576" s="380"/>
      <c r="M576" s="380"/>
      <c r="N576" s="380"/>
      <c r="O576" s="404"/>
      <c r="P576" s="380"/>
      <c r="Q576" s="380"/>
      <c r="R576" s="380"/>
      <c r="S576" s="380"/>
      <c r="T576" s="380"/>
      <c r="U576" s="380"/>
      <c r="V576" s="380"/>
      <c r="W576" s="403"/>
      <c r="X576" s="380"/>
      <c r="Y576" s="380"/>
      <c r="Z576" s="380"/>
      <c r="AA576" s="380"/>
      <c r="AB576" s="380"/>
      <c r="AC576" s="404"/>
      <c r="AD576" s="380"/>
      <c r="AE576" s="380"/>
      <c r="AF576" s="380"/>
      <c r="AG576" s="380"/>
      <c r="AH576" s="380"/>
      <c r="AI576" s="380"/>
      <c r="AJ576" s="380"/>
      <c r="AK576" s="403"/>
      <c r="AL576" s="380"/>
      <c r="AM576" s="380"/>
      <c r="AN576" s="380"/>
      <c r="AO576" s="380"/>
      <c r="AP576" s="380"/>
      <c r="AQ576" s="404"/>
      <c r="AR576" s="380"/>
      <c r="AS576" s="380"/>
      <c r="AT576" s="380"/>
      <c r="AU576" s="380"/>
      <c r="AV576" s="380"/>
      <c r="AW576" s="380"/>
      <c r="AX576" s="380"/>
      <c r="AY576" s="403"/>
      <c r="AZ576" s="380"/>
      <c r="BA576" s="380"/>
      <c r="BB576" s="380"/>
      <c r="BC576" s="380"/>
      <c r="BD576" s="380"/>
      <c r="BE576" s="404"/>
      <c r="BF576" s="380"/>
      <c r="BG576" s="380"/>
      <c r="BH576" s="380"/>
      <c r="BI576" s="380"/>
      <c r="BJ576" s="380"/>
      <c r="BK576" s="380"/>
      <c r="BL576" s="380"/>
      <c r="BM576" s="403"/>
      <c r="BS576" s="83"/>
      <c r="CA576" s="405"/>
      <c r="CG576" s="83"/>
      <c r="CO576" s="405"/>
      <c r="CU576" s="83"/>
      <c r="DC576" s="405"/>
      <c r="DI576" s="83"/>
      <c r="DQ576" s="405"/>
      <c r="DW576" s="83"/>
      <c r="EE576" s="405"/>
      <c r="EK576" s="83"/>
      <c r="ES576" s="405"/>
      <c r="EY576" s="83"/>
      <c r="FG576" s="405"/>
      <c r="FM576" s="83"/>
      <c r="FU576" s="405"/>
      <c r="GA576" s="83"/>
      <c r="GI576" s="405"/>
      <c r="GO576" s="83"/>
      <c r="GW576" s="405"/>
      <c r="HC576" s="83"/>
      <c r="HK576" s="405"/>
      <c r="HQ576" s="83"/>
      <c r="HY576" s="405"/>
      <c r="IE576" s="83"/>
      <c r="IM576" s="405"/>
      <c r="IS576" s="83"/>
      <c r="JA576" s="405"/>
      <c r="JG576" s="83"/>
      <c r="JO576" s="405"/>
      <c r="JU576" s="83"/>
      <c r="KC576" s="405"/>
      <c r="KI576" s="83"/>
      <c r="KQ576" s="405"/>
      <c r="KW576" s="83"/>
      <c r="LE576" s="405"/>
      <c r="LK576" s="83"/>
      <c r="LS576" s="405"/>
      <c r="LY576" s="83"/>
      <c r="MG576" s="405"/>
      <c r="MM576" s="83"/>
      <c r="MU576" s="405"/>
      <c r="NA576" s="83"/>
    </row>
    <row r="577">
      <c r="A577" s="380"/>
      <c r="B577" s="380"/>
      <c r="C577" s="380"/>
      <c r="D577" s="380"/>
      <c r="E577" s="380"/>
      <c r="F577" s="380"/>
      <c r="G577" s="380"/>
      <c r="H577" s="380"/>
      <c r="I577" s="403"/>
      <c r="J577" s="380"/>
      <c r="K577" s="380"/>
      <c r="L577" s="380"/>
      <c r="M577" s="380"/>
      <c r="N577" s="380"/>
      <c r="O577" s="404"/>
      <c r="P577" s="380"/>
      <c r="Q577" s="380"/>
      <c r="R577" s="380"/>
      <c r="S577" s="380"/>
      <c r="T577" s="380"/>
      <c r="U577" s="380"/>
      <c r="V577" s="380"/>
      <c r="W577" s="403"/>
      <c r="X577" s="380"/>
      <c r="Y577" s="380"/>
      <c r="Z577" s="380"/>
      <c r="AA577" s="380"/>
      <c r="AB577" s="380"/>
      <c r="AC577" s="404"/>
      <c r="AD577" s="380"/>
      <c r="AE577" s="380"/>
      <c r="AF577" s="380"/>
      <c r="AG577" s="380"/>
      <c r="AH577" s="380"/>
      <c r="AI577" s="380"/>
      <c r="AJ577" s="380"/>
      <c r="AK577" s="403"/>
      <c r="AL577" s="380"/>
      <c r="AM577" s="380"/>
      <c r="AN577" s="380"/>
      <c r="AO577" s="380"/>
      <c r="AP577" s="380"/>
      <c r="AQ577" s="404"/>
      <c r="AR577" s="380"/>
      <c r="AS577" s="380"/>
      <c r="AT577" s="380"/>
      <c r="AU577" s="380"/>
      <c r="AV577" s="380"/>
      <c r="AW577" s="380"/>
      <c r="AX577" s="380"/>
      <c r="AY577" s="403"/>
      <c r="AZ577" s="380"/>
      <c r="BA577" s="380"/>
      <c r="BB577" s="380"/>
      <c r="BC577" s="380"/>
      <c r="BD577" s="380"/>
      <c r="BE577" s="404"/>
      <c r="BF577" s="380"/>
      <c r="BG577" s="380"/>
      <c r="BH577" s="380"/>
      <c r="BI577" s="380"/>
      <c r="BJ577" s="380"/>
      <c r="BK577" s="380"/>
      <c r="BL577" s="380"/>
      <c r="BM577" s="403"/>
      <c r="BS577" s="83"/>
      <c r="CA577" s="405"/>
      <c r="CG577" s="83"/>
      <c r="CO577" s="405"/>
      <c r="CU577" s="83"/>
      <c r="DC577" s="405"/>
      <c r="DI577" s="83"/>
      <c r="DQ577" s="405"/>
      <c r="DW577" s="83"/>
      <c r="EE577" s="405"/>
      <c r="EK577" s="83"/>
      <c r="ES577" s="405"/>
      <c r="EY577" s="83"/>
      <c r="FG577" s="405"/>
      <c r="FM577" s="83"/>
      <c r="FU577" s="405"/>
      <c r="GA577" s="83"/>
      <c r="GI577" s="405"/>
      <c r="GO577" s="83"/>
      <c r="GW577" s="405"/>
      <c r="HC577" s="83"/>
      <c r="HK577" s="405"/>
      <c r="HQ577" s="83"/>
      <c r="HY577" s="405"/>
      <c r="IE577" s="83"/>
      <c r="IM577" s="405"/>
      <c r="IS577" s="83"/>
      <c r="JA577" s="405"/>
      <c r="JG577" s="83"/>
      <c r="JO577" s="405"/>
      <c r="JU577" s="83"/>
      <c r="KC577" s="405"/>
      <c r="KI577" s="83"/>
      <c r="KQ577" s="405"/>
      <c r="KW577" s="83"/>
      <c r="LE577" s="405"/>
      <c r="LK577" s="83"/>
      <c r="LS577" s="405"/>
      <c r="LY577" s="83"/>
      <c r="MG577" s="405"/>
      <c r="MM577" s="83"/>
      <c r="MU577" s="405"/>
      <c r="NA577" s="83"/>
    </row>
    <row r="578">
      <c r="A578" s="380"/>
      <c r="B578" s="380"/>
      <c r="C578" s="380"/>
      <c r="D578" s="380"/>
      <c r="E578" s="380"/>
      <c r="F578" s="380"/>
      <c r="G578" s="380"/>
      <c r="H578" s="380"/>
      <c r="I578" s="403"/>
      <c r="J578" s="380"/>
      <c r="K578" s="380"/>
      <c r="L578" s="380"/>
      <c r="M578" s="380"/>
      <c r="N578" s="380"/>
      <c r="O578" s="404"/>
      <c r="P578" s="380"/>
      <c r="Q578" s="380"/>
      <c r="R578" s="380"/>
      <c r="S578" s="380"/>
      <c r="T578" s="380"/>
      <c r="U578" s="380"/>
      <c r="V578" s="380"/>
      <c r="W578" s="403"/>
      <c r="X578" s="380"/>
      <c r="Y578" s="380"/>
      <c r="Z578" s="380"/>
      <c r="AA578" s="380"/>
      <c r="AB578" s="380"/>
      <c r="AC578" s="404"/>
      <c r="AD578" s="380"/>
      <c r="AE578" s="380"/>
      <c r="AF578" s="380"/>
      <c r="AG578" s="380"/>
      <c r="AH578" s="380"/>
      <c r="AI578" s="380"/>
      <c r="AJ578" s="380"/>
      <c r="AK578" s="403"/>
      <c r="AL578" s="380"/>
      <c r="AM578" s="380"/>
      <c r="AN578" s="380"/>
      <c r="AO578" s="380"/>
      <c r="AP578" s="380"/>
      <c r="AQ578" s="404"/>
      <c r="AR578" s="380"/>
      <c r="AS578" s="380"/>
      <c r="AT578" s="380"/>
      <c r="AU578" s="380"/>
      <c r="AV578" s="380"/>
      <c r="AW578" s="380"/>
      <c r="AX578" s="380"/>
      <c r="AY578" s="403"/>
      <c r="AZ578" s="380"/>
      <c r="BA578" s="380"/>
      <c r="BB578" s="380"/>
      <c r="BC578" s="380"/>
      <c r="BD578" s="380"/>
      <c r="BE578" s="404"/>
      <c r="BF578" s="380"/>
      <c r="BG578" s="380"/>
      <c r="BH578" s="380"/>
      <c r="BI578" s="380"/>
      <c r="BJ578" s="380"/>
      <c r="BK578" s="380"/>
      <c r="BL578" s="380"/>
      <c r="BM578" s="403"/>
      <c r="BS578" s="83"/>
      <c r="CA578" s="405"/>
      <c r="CG578" s="83"/>
      <c r="CO578" s="405"/>
      <c r="CU578" s="83"/>
      <c r="DC578" s="405"/>
      <c r="DI578" s="83"/>
      <c r="DQ578" s="405"/>
      <c r="DW578" s="83"/>
      <c r="EE578" s="405"/>
      <c r="EK578" s="83"/>
      <c r="ES578" s="405"/>
      <c r="EY578" s="83"/>
      <c r="FG578" s="405"/>
      <c r="FM578" s="83"/>
      <c r="FU578" s="405"/>
      <c r="GA578" s="83"/>
      <c r="GI578" s="405"/>
      <c r="GO578" s="83"/>
      <c r="GW578" s="405"/>
      <c r="HC578" s="83"/>
      <c r="HK578" s="405"/>
      <c r="HQ578" s="83"/>
      <c r="HY578" s="405"/>
      <c r="IE578" s="83"/>
      <c r="IM578" s="405"/>
      <c r="IS578" s="83"/>
      <c r="JA578" s="405"/>
      <c r="JG578" s="83"/>
      <c r="JO578" s="405"/>
      <c r="JU578" s="83"/>
      <c r="KC578" s="405"/>
      <c r="KI578" s="83"/>
      <c r="KQ578" s="405"/>
      <c r="KW578" s="83"/>
      <c r="LE578" s="405"/>
      <c r="LK578" s="83"/>
      <c r="LS578" s="405"/>
      <c r="LY578" s="83"/>
      <c r="MG578" s="405"/>
      <c r="MM578" s="83"/>
      <c r="MU578" s="405"/>
      <c r="NA578" s="83"/>
    </row>
    <row r="579">
      <c r="A579" s="380"/>
      <c r="B579" s="380"/>
      <c r="C579" s="380"/>
      <c r="D579" s="380"/>
      <c r="E579" s="380"/>
      <c r="F579" s="380"/>
      <c r="G579" s="380"/>
      <c r="H579" s="380"/>
      <c r="I579" s="403"/>
      <c r="J579" s="380"/>
      <c r="K579" s="380"/>
      <c r="L579" s="380"/>
      <c r="M579" s="380"/>
      <c r="N579" s="380"/>
      <c r="O579" s="404"/>
      <c r="P579" s="380"/>
      <c r="Q579" s="380"/>
      <c r="R579" s="380"/>
      <c r="S579" s="380"/>
      <c r="T579" s="380"/>
      <c r="U579" s="380"/>
      <c r="V579" s="380"/>
      <c r="W579" s="403"/>
      <c r="X579" s="380"/>
      <c r="Y579" s="380"/>
      <c r="Z579" s="380"/>
      <c r="AA579" s="380"/>
      <c r="AB579" s="380"/>
      <c r="AC579" s="404"/>
      <c r="AD579" s="380"/>
      <c r="AE579" s="380"/>
      <c r="AF579" s="380"/>
      <c r="AG579" s="380"/>
      <c r="AH579" s="380"/>
      <c r="AI579" s="380"/>
      <c r="AJ579" s="380"/>
      <c r="AK579" s="403"/>
      <c r="AL579" s="380"/>
      <c r="AM579" s="380"/>
      <c r="AN579" s="380"/>
      <c r="AO579" s="380"/>
      <c r="AP579" s="380"/>
      <c r="AQ579" s="404"/>
      <c r="AR579" s="380"/>
      <c r="AS579" s="380"/>
      <c r="AT579" s="380"/>
      <c r="AU579" s="380"/>
      <c r="AV579" s="380"/>
      <c r="AW579" s="380"/>
      <c r="AX579" s="380"/>
      <c r="AY579" s="403"/>
      <c r="AZ579" s="380"/>
      <c r="BA579" s="380"/>
      <c r="BB579" s="380"/>
      <c r="BC579" s="380"/>
      <c r="BD579" s="380"/>
      <c r="BE579" s="404"/>
      <c r="BF579" s="380"/>
      <c r="BG579" s="380"/>
      <c r="BH579" s="380"/>
      <c r="BI579" s="380"/>
      <c r="BJ579" s="380"/>
      <c r="BK579" s="380"/>
      <c r="BL579" s="380"/>
      <c r="BM579" s="403"/>
      <c r="BS579" s="83"/>
      <c r="CA579" s="405"/>
      <c r="CG579" s="83"/>
      <c r="CO579" s="405"/>
      <c r="CU579" s="83"/>
      <c r="DC579" s="405"/>
      <c r="DI579" s="83"/>
      <c r="DQ579" s="405"/>
      <c r="DW579" s="83"/>
      <c r="EE579" s="405"/>
      <c r="EK579" s="83"/>
      <c r="ES579" s="405"/>
      <c r="EY579" s="83"/>
      <c r="FG579" s="405"/>
      <c r="FM579" s="83"/>
      <c r="FU579" s="405"/>
      <c r="GA579" s="83"/>
      <c r="GI579" s="405"/>
      <c r="GO579" s="83"/>
      <c r="GW579" s="405"/>
      <c r="HC579" s="83"/>
      <c r="HK579" s="405"/>
      <c r="HQ579" s="83"/>
      <c r="HY579" s="405"/>
      <c r="IE579" s="83"/>
      <c r="IM579" s="405"/>
      <c r="IS579" s="83"/>
      <c r="JA579" s="405"/>
      <c r="JG579" s="83"/>
      <c r="JO579" s="405"/>
      <c r="JU579" s="83"/>
      <c r="KC579" s="405"/>
      <c r="KI579" s="83"/>
      <c r="KQ579" s="405"/>
      <c r="KW579" s="83"/>
      <c r="LE579" s="405"/>
      <c r="LK579" s="83"/>
      <c r="LS579" s="405"/>
      <c r="LY579" s="83"/>
      <c r="MG579" s="405"/>
      <c r="MM579" s="83"/>
      <c r="MU579" s="405"/>
      <c r="NA579" s="83"/>
    </row>
    <row r="580">
      <c r="A580" s="380"/>
      <c r="B580" s="380"/>
      <c r="C580" s="380"/>
      <c r="D580" s="380"/>
      <c r="E580" s="380"/>
      <c r="F580" s="380"/>
      <c r="G580" s="380"/>
      <c r="H580" s="380"/>
      <c r="I580" s="403"/>
      <c r="J580" s="380"/>
      <c r="K580" s="380"/>
      <c r="L580" s="380"/>
      <c r="M580" s="380"/>
      <c r="N580" s="380"/>
      <c r="O580" s="404"/>
      <c r="P580" s="380"/>
      <c r="Q580" s="380"/>
      <c r="R580" s="380"/>
      <c r="S580" s="380"/>
      <c r="T580" s="380"/>
      <c r="U580" s="380"/>
      <c r="V580" s="380"/>
      <c r="W580" s="403"/>
      <c r="X580" s="380"/>
      <c r="Y580" s="380"/>
      <c r="Z580" s="380"/>
      <c r="AA580" s="380"/>
      <c r="AB580" s="380"/>
      <c r="AC580" s="404"/>
      <c r="AD580" s="380"/>
      <c r="AE580" s="380"/>
      <c r="AF580" s="380"/>
      <c r="AG580" s="380"/>
      <c r="AH580" s="380"/>
      <c r="AI580" s="380"/>
      <c r="AJ580" s="380"/>
      <c r="AK580" s="403"/>
      <c r="AL580" s="380"/>
      <c r="AM580" s="380"/>
      <c r="AN580" s="380"/>
      <c r="AO580" s="380"/>
      <c r="AP580" s="380"/>
      <c r="AQ580" s="404"/>
      <c r="AR580" s="380"/>
      <c r="AS580" s="380"/>
      <c r="AT580" s="380"/>
      <c r="AU580" s="380"/>
      <c r="AV580" s="380"/>
      <c r="AW580" s="380"/>
      <c r="AX580" s="380"/>
      <c r="AY580" s="403"/>
      <c r="AZ580" s="380"/>
      <c r="BA580" s="380"/>
      <c r="BB580" s="380"/>
      <c r="BC580" s="380"/>
      <c r="BD580" s="380"/>
      <c r="BE580" s="404"/>
      <c r="BF580" s="380"/>
      <c r="BG580" s="380"/>
      <c r="BH580" s="380"/>
      <c r="BI580" s="380"/>
      <c r="BJ580" s="380"/>
      <c r="BK580" s="380"/>
      <c r="BL580" s="380"/>
      <c r="BM580" s="403"/>
      <c r="BS580" s="83"/>
      <c r="CA580" s="405"/>
      <c r="CG580" s="83"/>
      <c r="CO580" s="405"/>
      <c r="CU580" s="83"/>
      <c r="DC580" s="405"/>
      <c r="DI580" s="83"/>
      <c r="DQ580" s="405"/>
      <c r="DW580" s="83"/>
      <c r="EE580" s="405"/>
      <c r="EK580" s="83"/>
      <c r="ES580" s="405"/>
      <c r="EY580" s="83"/>
      <c r="FG580" s="405"/>
      <c r="FM580" s="83"/>
      <c r="FU580" s="405"/>
      <c r="GA580" s="83"/>
      <c r="GI580" s="405"/>
      <c r="GO580" s="83"/>
      <c r="GW580" s="405"/>
      <c r="HC580" s="83"/>
      <c r="HK580" s="405"/>
      <c r="HQ580" s="83"/>
      <c r="HY580" s="405"/>
      <c r="IE580" s="83"/>
      <c r="IM580" s="405"/>
      <c r="IS580" s="83"/>
      <c r="JA580" s="405"/>
      <c r="JG580" s="83"/>
      <c r="JO580" s="405"/>
      <c r="JU580" s="83"/>
      <c r="KC580" s="405"/>
      <c r="KI580" s="83"/>
      <c r="KQ580" s="405"/>
      <c r="KW580" s="83"/>
      <c r="LE580" s="405"/>
      <c r="LK580" s="83"/>
      <c r="LS580" s="405"/>
      <c r="LY580" s="83"/>
      <c r="MG580" s="405"/>
      <c r="MM580" s="83"/>
      <c r="MU580" s="405"/>
      <c r="NA580" s="83"/>
    </row>
    <row r="581">
      <c r="A581" s="380"/>
      <c r="B581" s="380"/>
      <c r="C581" s="380"/>
      <c r="D581" s="380"/>
      <c r="E581" s="380"/>
      <c r="F581" s="380"/>
      <c r="G581" s="380"/>
      <c r="H581" s="380"/>
      <c r="I581" s="403"/>
      <c r="J581" s="380"/>
      <c r="K581" s="380"/>
      <c r="L581" s="380"/>
      <c r="M581" s="380"/>
      <c r="N581" s="380"/>
      <c r="O581" s="404"/>
      <c r="P581" s="380"/>
      <c r="Q581" s="380"/>
      <c r="R581" s="380"/>
      <c r="S581" s="380"/>
      <c r="T581" s="380"/>
      <c r="U581" s="380"/>
      <c r="V581" s="380"/>
      <c r="W581" s="403"/>
      <c r="X581" s="380"/>
      <c r="Y581" s="380"/>
      <c r="Z581" s="380"/>
      <c r="AA581" s="380"/>
      <c r="AB581" s="380"/>
      <c r="AC581" s="404"/>
      <c r="AD581" s="380"/>
      <c r="AE581" s="380"/>
      <c r="AF581" s="380"/>
      <c r="AG581" s="380"/>
      <c r="AH581" s="380"/>
      <c r="AI581" s="380"/>
      <c r="AJ581" s="380"/>
      <c r="AK581" s="403"/>
      <c r="AL581" s="380"/>
      <c r="AM581" s="380"/>
      <c r="AN581" s="380"/>
      <c r="AO581" s="380"/>
      <c r="AP581" s="380"/>
      <c r="AQ581" s="404"/>
      <c r="AR581" s="380"/>
      <c r="AS581" s="380"/>
      <c r="AT581" s="380"/>
      <c r="AU581" s="380"/>
      <c r="AV581" s="380"/>
      <c r="AW581" s="380"/>
      <c r="AX581" s="380"/>
      <c r="AY581" s="403"/>
      <c r="AZ581" s="380"/>
      <c r="BA581" s="380"/>
      <c r="BB581" s="380"/>
      <c r="BC581" s="380"/>
      <c r="BD581" s="380"/>
      <c r="BE581" s="404"/>
      <c r="BF581" s="380"/>
      <c r="BG581" s="380"/>
      <c r="BH581" s="380"/>
      <c r="BI581" s="380"/>
      <c r="BJ581" s="380"/>
      <c r="BK581" s="380"/>
      <c r="BL581" s="380"/>
      <c r="BM581" s="403"/>
      <c r="BS581" s="83"/>
      <c r="CA581" s="405"/>
      <c r="CG581" s="83"/>
      <c r="CO581" s="405"/>
      <c r="CU581" s="83"/>
      <c r="DC581" s="405"/>
      <c r="DI581" s="83"/>
      <c r="DQ581" s="405"/>
      <c r="DW581" s="83"/>
      <c r="EE581" s="405"/>
      <c r="EK581" s="83"/>
      <c r="ES581" s="405"/>
      <c r="EY581" s="83"/>
      <c r="FG581" s="405"/>
      <c r="FM581" s="83"/>
      <c r="FU581" s="405"/>
      <c r="GA581" s="83"/>
      <c r="GI581" s="405"/>
      <c r="GO581" s="83"/>
      <c r="GW581" s="405"/>
      <c r="HC581" s="83"/>
      <c r="HK581" s="405"/>
      <c r="HQ581" s="83"/>
      <c r="HY581" s="405"/>
      <c r="IE581" s="83"/>
      <c r="IM581" s="405"/>
      <c r="IS581" s="83"/>
      <c r="JA581" s="405"/>
      <c r="JG581" s="83"/>
      <c r="JO581" s="405"/>
      <c r="JU581" s="83"/>
      <c r="KC581" s="405"/>
      <c r="KI581" s="83"/>
      <c r="KQ581" s="405"/>
      <c r="KW581" s="83"/>
      <c r="LE581" s="405"/>
      <c r="LK581" s="83"/>
      <c r="LS581" s="405"/>
      <c r="LY581" s="83"/>
      <c r="MG581" s="405"/>
      <c r="MM581" s="83"/>
      <c r="MU581" s="405"/>
      <c r="NA581" s="83"/>
    </row>
    <row r="582">
      <c r="A582" s="380"/>
      <c r="B582" s="380"/>
      <c r="C582" s="380"/>
      <c r="D582" s="380"/>
      <c r="E582" s="380"/>
      <c r="F582" s="380"/>
      <c r="G582" s="380"/>
      <c r="H582" s="380"/>
      <c r="I582" s="403"/>
      <c r="J582" s="380"/>
      <c r="K582" s="380"/>
      <c r="L582" s="380"/>
      <c r="M582" s="380"/>
      <c r="N582" s="380"/>
      <c r="O582" s="404"/>
      <c r="P582" s="380"/>
      <c r="Q582" s="380"/>
      <c r="R582" s="380"/>
      <c r="S582" s="380"/>
      <c r="T582" s="380"/>
      <c r="U582" s="380"/>
      <c r="V582" s="380"/>
      <c r="W582" s="403"/>
      <c r="X582" s="380"/>
      <c r="Y582" s="380"/>
      <c r="Z582" s="380"/>
      <c r="AA582" s="380"/>
      <c r="AB582" s="380"/>
      <c r="AC582" s="404"/>
      <c r="AD582" s="380"/>
      <c r="AE582" s="380"/>
      <c r="AF582" s="380"/>
      <c r="AG582" s="380"/>
      <c r="AH582" s="380"/>
      <c r="AI582" s="380"/>
      <c r="AJ582" s="380"/>
      <c r="AK582" s="403"/>
      <c r="AL582" s="380"/>
      <c r="AM582" s="380"/>
      <c r="AN582" s="380"/>
      <c r="AO582" s="380"/>
      <c r="AP582" s="380"/>
      <c r="AQ582" s="404"/>
      <c r="AR582" s="380"/>
      <c r="AS582" s="380"/>
      <c r="AT582" s="380"/>
      <c r="AU582" s="380"/>
      <c r="AV582" s="380"/>
      <c r="AW582" s="380"/>
      <c r="AX582" s="380"/>
      <c r="AY582" s="403"/>
      <c r="AZ582" s="380"/>
      <c r="BA582" s="380"/>
      <c r="BB582" s="380"/>
      <c r="BC582" s="380"/>
      <c r="BD582" s="380"/>
      <c r="BE582" s="404"/>
      <c r="BF582" s="380"/>
      <c r="BG582" s="380"/>
      <c r="BH582" s="380"/>
      <c r="BI582" s="380"/>
      <c r="BJ582" s="380"/>
      <c r="BK582" s="380"/>
      <c r="BL582" s="380"/>
      <c r="BM582" s="403"/>
      <c r="BS582" s="83"/>
      <c r="CA582" s="405"/>
      <c r="CG582" s="83"/>
      <c r="CO582" s="405"/>
      <c r="CU582" s="83"/>
      <c r="DC582" s="405"/>
      <c r="DI582" s="83"/>
      <c r="DQ582" s="405"/>
      <c r="DW582" s="83"/>
      <c r="EE582" s="405"/>
      <c r="EK582" s="83"/>
      <c r="ES582" s="405"/>
      <c r="EY582" s="83"/>
      <c r="FG582" s="405"/>
      <c r="FM582" s="83"/>
      <c r="FU582" s="405"/>
      <c r="GA582" s="83"/>
      <c r="GI582" s="405"/>
      <c r="GO582" s="83"/>
      <c r="GW582" s="405"/>
      <c r="HC582" s="83"/>
      <c r="HK582" s="405"/>
      <c r="HQ582" s="83"/>
      <c r="HY582" s="405"/>
      <c r="IE582" s="83"/>
      <c r="IM582" s="405"/>
      <c r="IS582" s="83"/>
      <c r="JA582" s="405"/>
      <c r="JG582" s="83"/>
      <c r="JO582" s="405"/>
      <c r="JU582" s="83"/>
      <c r="KC582" s="405"/>
      <c r="KI582" s="83"/>
      <c r="KQ582" s="405"/>
      <c r="KW582" s="83"/>
      <c r="LE582" s="405"/>
      <c r="LK582" s="83"/>
      <c r="LS582" s="405"/>
      <c r="LY582" s="83"/>
      <c r="MG582" s="405"/>
      <c r="MM582" s="83"/>
      <c r="MU582" s="405"/>
      <c r="NA582" s="83"/>
    </row>
    <row r="583">
      <c r="A583" s="380"/>
      <c r="B583" s="380"/>
      <c r="C583" s="380"/>
      <c r="D583" s="380"/>
      <c r="E583" s="380"/>
      <c r="F583" s="380"/>
      <c r="G583" s="380"/>
      <c r="H583" s="380"/>
      <c r="I583" s="403"/>
      <c r="J583" s="380"/>
      <c r="K583" s="380"/>
      <c r="L583" s="380"/>
      <c r="M583" s="380"/>
      <c r="N583" s="380"/>
      <c r="O583" s="404"/>
      <c r="P583" s="380"/>
      <c r="Q583" s="380"/>
      <c r="R583" s="380"/>
      <c r="S583" s="380"/>
      <c r="T583" s="380"/>
      <c r="U583" s="380"/>
      <c r="V583" s="380"/>
      <c r="W583" s="403"/>
      <c r="X583" s="380"/>
      <c r="Y583" s="380"/>
      <c r="Z583" s="380"/>
      <c r="AA583" s="380"/>
      <c r="AB583" s="380"/>
      <c r="AC583" s="404"/>
      <c r="AD583" s="380"/>
      <c r="AE583" s="380"/>
      <c r="AF583" s="380"/>
      <c r="AG583" s="380"/>
      <c r="AH583" s="380"/>
      <c r="AI583" s="380"/>
      <c r="AJ583" s="380"/>
      <c r="AK583" s="403"/>
      <c r="AL583" s="380"/>
      <c r="AM583" s="380"/>
      <c r="AN583" s="380"/>
      <c r="AO583" s="380"/>
      <c r="AP583" s="380"/>
      <c r="AQ583" s="404"/>
      <c r="AR583" s="380"/>
      <c r="AS583" s="380"/>
      <c r="AT583" s="380"/>
      <c r="AU583" s="380"/>
      <c r="AV583" s="380"/>
      <c r="AW583" s="380"/>
      <c r="AX583" s="380"/>
      <c r="AY583" s="403"/>
      <c r="AZ583" s="380"/>
      <c r="BA583" s="380"/>
      <c r="BB583" s="380"/>
      <c r="BC583" s="380"/>
      <c r="BD583" s="380"/>
      <c r="BE583" s="404"/>
      <c r="BF583" s="380"/>
      <c r="BG583" s="380"/>
      <c r="BH583" s="380"/>
      <c r="BI583" s="380"/>
      <c r="BJ583" s="380"/>
      <c r="BK583" s="380"/>
      <c r="BL583" s="380"/>
      <c r="BM583" s="403"/>
      <c r="BS583" s="83"/>
      <c r="CA583" s="405"/>
      <c r="CG583" s="83"/>
      <c r="CO583" s="405"/>
      <c r="CU583" s="83"/>
      <c r="DC583" s="405"/>
      <c r="DI583" s="83"/>
      <c r="DQ583" s="405"/>
      <c r="DW583" s="83"/>
      <c r="EE583" s="405"/>
      <c r="EK583" s="83"/>
      <c r="ES583" s="405"/>
      <c r="EY583" s="83"/>
      <c r="FG583" s="405"/>
      <c r="FM583" s="83"/>
      <c r="FU583" s="405"/>
      <c r="GA583" s="83"/>
      <c r="GI583" s="405"/>
      <c r="GO583" s="83"/>
      <c r="GW583" s="405"/>
      <c r="HC583" s="83"/>
      <c r="HK583" s="405"/>
      <c r="HQ583" s="83"/>
      <c r="HY583" s="405"/>
      <c r="IE583" s="83"/>
      <c r="IM583" s="405"/>
      <c r="IS583" s="83"/>
      <c r="JA583" s="405"/>
      <c r="JG583" s="83"/>
      <c r="JO583" s="405"/>
      <c r="JU583" s="83"/>
      <c r="KC583" s="405"/>
      <c r="KI583" s="83"/>
      <c r="KQ583" s="405"/>
      <c r="KW583" s="83"/>
      <c r="LE583" s="405"/>
      <c r="LK583" s="83"/>
      <c r="LS583" s="405"/>
      <c r="LY583" s="83"/>
      <c r="MG583" s="405"/>
      <c r="MM583" s="83"/>
      <c r="MU583" s="405"/>
      <c r="NA583" s="83"/>
    </row>
    <row r="584">
      <c r="A584" s="380"/>
      <c r="B584" s="380"/>
      <c r="C584" s="380"/>
      <c r="D584" s="380"/>
      <c r="E584" s="380"/>
      <c r="F584" s="380"/>
      <c r="G584" s="380"/>
      <c r="H584" s="380"/>
      <c r="I584" s="403"/>
      <c r="J584" s="380"/>
      <c r="K584" s="380"/>
      <c r="L584" s="380"/>
      <c r="M584" s="380"/>
      <c r="N584" s="380"/>
      <c r="O584" s="404"/>
      <c r="P584" s="380"/>
      <c r="Q584" s="380"/>
      <c r="R584" s="380"/>
      <c r="S584" s="380"/>
      <c r="T584" s="380"/>
      <c r="U584" s="380"/>
      <c r="V584" s="380"/>
      <c r="W584" s="403"/>
      <c r="X584" s="380"/>
      <c r="Y584" s="380"/>
      <c r="Z584" s="380"/>
      <c r="AA584" s="380"/>
      <c r="AB584" s="380"/>
      <c r="AC584" s="404"/>
      <c r="AD584" s="380"/>
      <c r="AE584" s="380"/>
      <c r="AF584" s="380"/>
      <c r="AG584" s="380"/>
      <c r="AH584" s="380"/>
      <c r="AI584" s="380"/>
      <c r="AJ584" s="380"/>
      <c r="AK584" s="403"/>
      <c r="AL584" s="380"/>
      <c r="AM584" s="380"/>
      <c r="AN584" s="380"/>
      <c r="AO584" s="380"/>
      <c r="AP584" s="380"/>
      <c r="AQ584" s="404"/>
      <c r="AR584" s="380"/>
      <c r="AS584" s="380"/>
      <c r="AT584" s="380"/>
      <c r="AU584" s="380"/>
      <c r="AV584" s="380"/>
      <c r="AW584" s="380"/>
      <c r="AX584" s="380"/>
      <c r="AY584" s="403"/>
      <c r="AZ584" s="380"/>
      <c r="BA584" s="380"/>
      <c r="BB584" s="380"/>
      <c r="BC584" s="380"/>
      <c r="BD584" s="380"/>
      <c r="BE584" s="404"/>
      <c r="BF584" s="380"/>
      <c r="BG584" s="380"/>
      <c r="BH584" s="380"/>
      <c r="BI584" s="380"/>
      <c r="BJ584" s="380"/>
      <c r="BK584" s="380"/>
      <c r="BL584" s="380"/>
      <c r="BM584" s="403"/>
      <c r="BS584" s="83"/>
      <c r="CA584" s="405"/>
      <c r="CG584" s="83"/>
      <c r="CO584" s="405"/>
      <c r="CU584" s="83"/>
      <c r="DC584" s="405"/>
      <c r="DI584" s="83"/>
      <c r="DQ584" s="405"/>
      <c r="DW584" s="83"/>
      <c r="EE584" s="405"/>
      <c r="EK584" s="83"/>
      <c r="ES584" s="405"/>
      <c r="EY584" s="83"/>
      <c r="FG584" s="405"/>
      <c r="FM584" s="83"/>
      <c r="FU584" s="405"/>
      <c r="GA584" s="83"/>
      <c r="GI584" s="405"/>
      <c r="GO584" s="83"/>
      <c r="GW584" s="405"/>
      <c r="HC584" s="83"/>
      <c r="HK584" s="405"/>
      <c r="HQ584" s="83"/>
      <c r="HY584" s="405"/>
      <c r="IE584" s="83"/>
      <c r="IM584" s="405"/>
      <c r="IS584" s="83"/>
      <c r="JA584" s="405"/>
      <c r="JG584" s="83"/>
      <c r="JO584" s="405"/>
      <c r="JU584" s="83"/>
      <c r="KC584" s="405"/>
      <c r="KI584" s="83"/>
      <c r="KQ584" s="405"/>
      <c r="KW584" s="83"/>
      <c r="LE584" s="405"/>
      <c r="LK584" s="83"/>
      <c r="LS584" s="405"/>
      <c r="LY584" s="83"/>
      <c r="MG584" s="405"/>
      <c r="MM584" s="83"/>
      <c r="MU584" s="405"/>
      <c r="NA584" s="83"/>
    </row>
    <row r="585">
      <c r="A585" s="380"/>
      <c r="B585" s="380"/>
      <c r="C585" s="380"/>
      <c r="D585" s="380"/>
      <c r="E585" s="380"/>
      <c r="F585" s="380"/>
      <c r="G585" s="380"/>
      <c r="H585" s="380"/>
      <c r="I585" s="403"/>
      <c r="J585" s="380"/>
      <c r="K585" s="380"/>
      <c r="L585" s="380"/>
      <c r="M585" s="380"/>
      <c r="N585" s="380"/>
      <c r="O585" s="404"/>
      <c r="P585" s="380"/>
      <c r="Q585" s="380"/>
      <c r="R585" s="380"/>
      <c r="S585" s="380"/>
      <c r="T585" s="380"/>
      <c r="U585" s="380"/>
      <c r="V585" s="380"/>
      <c r="W585" s="403"/>
      <c r="X585" s="380"/>
      <c r="Y585" s="380"/>
      <c r="Z585" s="380"/>
      <c r="AA585" s="380"/>
      <c r="AB585" s="380"/>
      <c r="AC585" s="404"/>
      <c r="AD585" s="380"/>
      <c r="AE585" s="380"/>
      <c r="AF585" s="380"/>
      <c r="AG585" s="380"/>
      <c r="AH585" s="380"/>
      <c r="AI585" s="380"/>
      <c r="AJ585" s="380"/>
      <c r="AK585" s="403"/>
      <c r="AL585" s="380"/>
      <c r="AM585" s="380"/>
      <c r="AN585" s="380"/>
      <c r="AO585" s="380"/>
      <c r="AP585" s="380"/>
      <c r="AQ585" s="404"/>
      <c r="AR585" s="380"/>
      <c r="AS585" s="380"/>
      <c r="AT585" s="380"/>
      <c r="AU585" s="380"/>
      <c r="AV585" s="380"/>
      <c r="AW585" s="380"/>
      <c r="AX585" s="380"/>
      <c r="AY585" s="403"/>
      <c r="AZ585" s="380"/>
      <c r="BA585" s="380"/>
      <c r="BB585" s="380"/>
      <c r="BC585" s="380"/>
      <c r="BD585" s="380"/>
      <c r="BE585" s="404"/>
      <c r="BF585" s="380"/>
      <c r="BG585" s="380"/>
      <c r="BH585" s="380"/>
      <c r="BI585" s="380"/>
      <c r="BJ585" s="380"/>
      <c r="BK585" s="380"/>
      <c r="BL585" s="380"/>
      <c r="BM585" s="403"/>
      <c r="BS585" s="83"/>
      <c r="CA585" s="405"/>
      <c r="CG585" s="83"/>
      <c r="CO585" s="405"/>
      <c r="CU585" s="83"/>
      <c r="DC585" s="405"/>
      <c r="DI585" s="83"/>
      <c r="DQ585" s="405"/>
      <c r="DW585" s="83"/>
      <c r="EE585" s="405"/>
      <c r="EK585" s="83"/>
      <c r="ES585" s="405"/>
      <c r="EY585" s="83"/>
      <c r="FG585" s="405"/>
      <c r="FM585" s="83"/>
      <c r="FU585" s="405"/>
      <c r="GA585" s="83"/>
      <c r="GI585" s="405"/>
      <c r="GO585" s="83"/>
      <c r="GW585" s="405"/>
      <c r="HC585" s="83"/>
      <c r="HK585" s="405"/>
      <c r="HQ585" s="83"/>
      <c r="HY585" s="405"/>
      <c r="IE585" s="83"/>
      <c r="IM585" s="405"/>
      <c r="IS585" s="83"/>
      <c r="JA585" s="405"/>
      <c r="JG585" s="83"/>
      <c r="JO585" s="405"/>
      <c r="JU585" s="83"/>
      <c r="KC585" s="405"/>
      <c r="KI585" s="83"/>
      <c r="KQ585" s="405"/>
      <c r="KW585" s="83"/>
      <c r="LE585" s="405"/>
      <c r="LK585" s="83"/>
      <c r="LS585" s="405"/>
      <c r="LY585" s="83"/>
      <c r="MG585" s="405"/>
      <c r="MM585" s="83"/>
      <c r="MU585" s="405"/>
      <c r="NA585" s="83"/>
    </row>
    <row r="586">
      <c r="A586" s="380"/>
      <c r="B586" s="380"/>
      <c r="C586" s="380"/>
      <c r="D586" s="380"/>
      <c r="E586" s="380"/>
      <c r="F586" s="380"/>
      <c r="G586" s="380"/>
      <c r="H586" s="380"/>
      <c r="I586" s="403"/>
      <c r="J586" s="380"/>
      <c r="K586" s="380"/>
      <c r="L586" s="380"/>
      <c r="M586" s="380"/>
      <c r="N586" s="380"/>
      <c r="O586" s="404"/>
      <c r="P586" s="380"/>
      <c r="Q586" s="380"/>
      <c r="R586" s="380"/>
      <c r="S586" s="380"/>
      <c r="T586" s="380"/>
      <c r="U586" s="380"/>
      <c r="V586" s="380"/>
      <c r="W586" s="403"/>
      <c r="X586" s="380"/>
      <c r="Y586" s="380"/>
      <c r="Z586" s="380"/>
      <c r="AA586" s="380"/>
      <c r="AB586" s="380"/>
      <c r="AC586" s="404"/>
      <c r="AD586" s="380"/>
      <c r="AE586" s="380"/>
      <c r="AF586" s="380"/>
      <c r="AG586" s="380"/>
      <c r="AH586" s="380"/>
      <c r="AI586" s="380"/>
      <c r="AJ586" s="380"/>
      <c r="AK586" s="403"/>
      <c r="AL586" s="380"/>
      <c r="AM586" s="380"/>
      <c r="AN586" s="380"/>
      <c r="AO586" s="380"/>
      <c r="AP586" s="380"/>
      <c r="AQ586" s="404"/>
      <c r="AR586" s="380"/>
      <c r="AS586" s="380"/>
      <c r="AT586" s="380"/>
      <c r="AU586" s="380"/>
      <c r="AV586" s="380"/>
      <c r="AW586" s="380"/>
      <c r="AX586" s="380"/>
      <c r="AY586" s="403"/>
      <c r="AZ586" s="380"/>
      <c r="BA586" s="380"/>
      <c r="BB586" s="380"/>
      <c r="BC586" s="380"/>
      <c r="BD586" s="380"/>
      <c r="BE586" s="404"/>
      <c r="BF586" s="380"/>
      <c r="BG586" s="380"/>
      <c r="BH586" s="380"/>
      <c r="BI586" s="380"/>
      <c r="BJ586" s="380"/>
      <c r="BK586" s="380"/>
      <c r="BL586" s="380"/>
      <c r="BM586" s="403"/>
      <c r="BS586" s="83"/>
      <c r="CA586" s="405"/>
      <c r="CG586" s="83"/>
      <c r="CO586" s="405"/>
      <c r="CU586" s="83"/>
      <c r="DC586" s="405"/>
      <c r="DI586" s="83"/>
      <c r="DQ586" s="405"/>
      <c r="DW586" s="83"/>
      <c r="EE586" s="405"/>
      <c r="EK586" s="83"/>
      <c r="ES586" s="405"/>
      <c r="EY586" s="83"/>
      <c r="FG586" s="405"/>
      <c r="FM586" s="83"/>
      <c r="FU586" s="405"/>
      <c r="GA586" s="83"/>
      <c r="GI586" s="405"/>
      <c r="GO586" s="83"/>
      <c r="GW586" s="405"/>
      <c r="HC586" s="83"/>
      <c r="HK586" s="405"/>
      <c r="HQ586" s="83"/>
      <c r="HY586" s="405"/>
      <c r="IE586" s="83"/>
      <c r="IM586" s="405"/>
      <c r="IS586" s="83"/>
      <c r="JA586" s="405"/>
      <c r="JG586" s="83"/>
      <c r="JO586" s="405"/>
      <c r="JU586" s="83"/>
      <c r="KC586" s="405"/>
      <c r="KI586" s="83"/>
      <c r="KQ586" s="405"/>
      <c r="KW586" s="83"/>
      <c r="LE586" s="405"/>
      <c r="LK586" s="83"/>
      <c r="LS586" s="405"/>
      <c r="LY586" s="83"/>
      <c r="MG586" s="405"/>
      <c r="MM586" s="83"/>
      <c r="MU586" s="405"/>
      <c r="NA586" s="83"/>
    </row>
    <row r="587">
      <c r="A587" s="380"/>
      <c r="B587" s="380"/>
      <c r="C587" s="380"/>
      <c r="D587" s="380"/>
      <c r="E587" s="380"/>
      <c r="F587" s="380"/>
      <c r="G587" s="380"/>
      <c r="H587" s="380"/>
      <c r="I587" s="403"/>
      <c r="J587" s="380"/>
      <c r="K587" s="380"/>
      <c r="L587" s="380"/>
      <c r="M587" s="380"/>
      <c r="N587" s="380"/>
      <c r="O587" s="404"/>
      <c r="P587" s="380"/>
      <c r="Q587" s="380"/>
      <c r="R587" s="380"/>
      <c r="S587" s="380"/>
      <c r="T587" s="380"/>
      <c r="U587" s="380"/>
      <c r="V587" s="380"/>
      <c r="W587" s="403"/>
      <c r="X587" s="380"/>
      <c r="Y587" s="380"/>
      <c r="Z587" s="380"/>
      <c r="AA587" s="380"/>
      <c r="AB587" s="380"/>
      <c r="AC587" s="404"/>
      <c r="AD587" s="380"/>
      <c r="AE587" s="380"/>
      <c r="AF587" s="380"/>
      <c r="AG587" s="380"/>
      <c r="AH587" s="380"/>
      <c r="AI587" s="380"/>
      <c r="AJ587" s="380"/>
      <c r="AK587" s="403"/>
      <c r="AL587" s="380"/>
      <c r="AM587" s="380"/>
      <c r="AN587" s="380"/>
      <c r="AO587" s="380"/>
      <c r="AP587" s="380"/>
      <c r="AQ587" s="404"/>
      <c r="AR587" s="380"/>
      <c r="AS587" s="380"/>
      <c r="AT587" s="380"/>
      <c r="AU587" s="380"/>
      <c r="AV587" s="380"/>
      <c r="AW587" s="380"/>
      <c r="AX587" s="380"/>
      <c r="AY587" s="403"/>
      <c r="AZ587" s="380"/>
      <c r="BA587" s="380"/>
      <c r="BB587" s="380"/>
      <c r="BC587" s="380"/>
      <c r="BD587" s="380"/>
      <c r="BE587" s="404"/>
      <c r="BF587" s="380"/>
      <c r="BG587" s="380"/>
      <c r="BH587" s="380"/>
      <c r="BI587" s="380"/>
      <c r="BJ587" s="380"/>
      <c r="BK587" s="380"/>
      <c r="BL587" s="380"/>
      <c r="BM587" s="403"/>
      <c r="BS587" s="83"/>
      <c r="CA587" s="405"/>
      <c r="CG587" s="83"/>
      <c r="CO587" s="405"/>
      <c r="CU587" s="83"/>
      <c r="DC587" s="405"/>
      <c r="DI587" s="83"/>
      <c r="DQ587" s="405"/>
      <c r="DW587" s="83"/>
      <c r="EE587" s="405"/>
      <c r="EK587" s="83"/>
      <c r="ES587" s="405"/>
      <c r="EY587" s="83"/>
      <c r="FG587" s="405"/>
      <c r="FM587" s="83"/>
      <c r="FU587" s="405"/>
      <c r="GA587" s="83"/>
      <c r="GI587" s="405"/>
      <c r="GO587" s="83"/>
      <c r="GW587" s="405"/>
      <c r="HC587" s="83"/>
      <c r="HK587" s="405"/>
      <c r="HQ587" s="83"/>
      <c r="HY587" s="405"/>
      <c r="IE587" s="83"/>
      <c r="IM587" s="405"/>
      <c r="IS587" s="83"/>
      <c r="JA587" s="405"/>
      <c r="JG587" s="83"/>
      <c r="JO587" s="405"/>
      <c r="JU587" s="83"/>
      <c r="KC587" s="405"/>
      <c r="KI587" s="83"/>
      <c r="KQ587" s="405"/>
      <c r="KW587" s="83"/>
      <c r="LE587" s="405"/>
      <c r="LK587" s="83"/>
      <c r="LS587" s="405"/>
      <c r="LY587" s="83"/>
      <c r="MG587" s="405"/>
      <c r="MM587" s="83"/>
      <c r="MU587" s="405"/>
      <c r="NA587" s="83"/>
    </row>
    <row r="588">
      <c r="A588" s="380"/>
      <c r="B588" s="380"/>
      <c r="C588" s="380"/>
      <c r="D588" s="380"/>
      <c r="E588" s="380"/>
      <c r="F588" s="380"/>
      <c r="G588" s="380"/>
      <c r="H588" s="380"/>
      <c r="I588" s="403"/>
      <c r="J588" s="380"/>
      <c r="K588" s="380"/>
      <c r="L588" s="380"/>
      <c r="M588" s="380"/>
      <c r="N588" s="380"/>
      <c r="O588" s="404"/>
      <c r="P588" s="380"/>
      <c r="Q588" s="380"/>
      <c r="R588" s="380"/>
      <c r="S588" s="380"/>
      <c r="T588" s="380"/>
      <c r="U588" s="380"/>
      <c r="V588" s="380"/>
      <c r="W588" s="403"/>
      <c r="X588" s="380"/>
      <c r="Y588" s="380"/>
      <c r="Z588" s="380"/>
      <c r="AA588" s="380"/>
      <c r="AB588" s="380"/>
      <c r="AC588" s="404"/>
      <c r="AD588" s="380"/>
      <c r="AE588" s="380"/>
      <c r="AF588" s="380"/>
      <c r="AG588" s="380"/>
      <c r="AH588" s="380"/>
      <c r="AI588" s="380"/>
      <c r="AJ588" s="380"/>
      <c r="AK588" s="403"/>
      <c r="AL588" s="380"/>
      <c r="AM588" s="380"/>
      <c r="AN588" s="380"/>
      <c r="AO588" s="380"/>
      <c r="AP588" s="380"/>
      <c r="AQ588" s="404"/>
      <c r="AR588" s="380"/>
      <c r="AS588" s="380"/>
      <c r="AT588" s="380"/>
      <c r="AU588" s="380"/>
      <c r="AV588" s="380"/>
      <c r="AW588" s="380"/>
      <c r="AX588" s="380"/>
      <c r="AY588" s="403"/>
      <c r="AZ588" s="380"/>
      <c r="BA588" s="380"/>
      <c r="BB588" s="380"/>
      <c r="BC588" s="380"/>
      <c r="BD588" s="380"/>
      <c r="BE588" s="404"/>
      <c r="BF588" s="380"/>
      <c r="BG588" s="380"/>
      <c r="BH588" s="380"/>
      <c r="BI588" s="380"/>
      <c r="BJ588" s="380"/>
      <c r="BK588" s="380"/>
      <c r="BL588" s="380"/>
      <c r="BM588" s="403"/>
      <c r="BS588" s="83"/>
      <c r="CA588" s="405"/>
      <c r="CG588" s="83"/>
      <c r="CO588" s="405"/>
      <c r="CU588" s="83"/>
      <c r="DC588" s="405"/>
      <c r="DI588" s="83"/>
      <c r="DQ588" s="405"/>
      <c r="DW588" s="83"/>
      <c r="EE588" s="405"/>
      <c r="EK588" s="83"/>
      <c r="ES588" s="405"/>
      <c r="EY588" s="83"/>
      <c r="FG588" s="405"/>
      <c r="FM588" s="83"/>
      <c r="FU588" s="405"/>
      <c r="GA588" s="83"/>
      <c r="GI588" s="405"/>
      <c r="GO588" s="83"/>
      <c r="GW588" s="405"/>
      <c r="HC588" s="83"/>
      <c r="HK588" s="405"/>
      <c r="HQ588" s="83"/>
      <c r="HY588" s="405"/>
      <c r="IE588" s="83"/>
      <c r="IM588" s="405"/>
      <c r="IS588" s="83"/>
      <c r="JA588" s="405"/>
      <c r="JG588" s="83"/>
      <c r="JO588" s="405"/>
      <c r="JU588" s="83"/>
      <c r="KC588" s="405"/>
      <c r="KI588" s="83"/>
      <c r="KQ588" s="405"/>
      <c r="KW588" s="83"/>
      <c r="LE588" s="405"/>
      <c r="LK588" s="83"/>
      <c r="LS588" s="405"/>
      <c r="LY588" s="83"/>
      <c r="MG588" s="405"/>
      <c r="MM588" s="83"/>
      <c r="MU588" s="405"/>
      <c r="NA588" s="83"/>
    </row>
    <row r="589">
      <c r="A589" s="380"/>
      <c r="B589" s="380"/>
      <c r="C589" s="380"/>
      <c r="D589" s="380"/>
      <c r="E589" s="380"/>
      <c r="F589" s="380"/>
      <c r="G589" s="380"/>
      <c r="H589" s="380"/>
      <c r="I589" s="403"/>
      <c r="J589" s="380"/>
      <c r="K589" s="380"/>
      <c r="L589" s="380"/>
      <c r="M589" s="380"/>
      <c r="N589" s="380"/>
      <c r="O589" s="404"/>
      <c r="P589" s="380"/>
      <c r="Q589" s="380"/>
      <c r="R589" s="380"/>
      <c r="S589" s="380"/>
      <c r="T589" s="380"/>
      <c r="U589" s="380"/>
      <c r="V589" s="380"/>
      <c r="W589" s="403"/>
      <c r="X589" s="380"/>
      <c r="Y589" s="380"/>
      <c r="Z589" s="380"/>
      <c r="AA589" s="380"/>
      <c r="AB589" s="380"/>
      <c r="AC589" s="404"/>
      <c r="AD589" s="380"/>
      <c r="AE589" s="380"/>
      <c r="AF589" s="380"/>
      <c r="AG589" s="380"/>
      <c r="AH589" s="380"/>
      <c r="AI589" s="380"/>
      <c r="AJ589" s="380"/>
      <c r="AK589" s="403"/>
      <c r="AL589" s="380"/>
      <c r="AM589" s="380"/>
      <c r="AN589" s="380"/>
      <c r="AO589" s="380"/>
      <c r="AP589" s="380"/>
      <c r="AQ589" s="404"/>
      <c r="AR589" s="380"/>
      <c r="AS589" s="380"/>
      <c r="AT589" s="380"/>
      <c r="AU589" s="380"/>
      <c r="AV589" s="380"/>
      <c r="AW589" s="380"/>
      <c r="AX589" s="380"/>
      <c r="AY589" s="403"/>
      <c r="AZ589" s="380"/>
      <c r="BA589" s="380"/>
      <c r="BB589" s="380"/>
      <c r="BC589" s="380"/>
      <c r="BD589" s="380"/>
      <c r="BE589" s="404"/>
      <c r="BF589" s="380"/>
      <c r="BG589" s="380"/>
      <c r="BH589" s="380"/>
      <c r="BI589" s="380"/>
      <c r="BJ589" s="380"/>
      <c r="BK589" s="380"/>
      <c r="BL589" s="380"/>
      <c r="BM589" s="403"/>
      <c r="BS589" s="83"/>
      <c r="CA589" s="405"/>
      <c r="CG589" s="83"/>
      <c r="CO589" s="405"/>
      <c r="CU589" s="83"/>
      <c r="DC589" s="405"/>
      <c r="DI589" s="83"/>
      <c r="DQ589" s="405"/>
      <c r="DW589" s="83"/>
      <c r="EE589" s="405"/>
      <c r="EK589" s="83"/>
      <c r="ES589" s="405"/>
      <c r="EY589" s="83"/>
      <c r="FG589" s="405"/>
      <c r="FM589" s="83"/>
      <c r="FU589" s="405"/>
      <c r="GA589" s="83"/>
      <c r="GI589" s="405"/>
      <c r="GO589" s="83"/>
      <c r="GW589" s="405"/>
      <c r="HC589" s="83"/>
      <c r="HK589" s="405"/>
      <c r="HQ589" s="83"/>
      <c r="HY589" s="405"/>
      <c r="IE589" s="83"/>
      <c r="IM589" s="405"/>
      <c r="IS589" s="83"/>
      <c r="JA589" s="405"/>
      <c r="JG589" s="83"/>
      <c r="JO589" s="405"/>
      <c r="JU589" s="83"/>
      <c r="KC589" s="405"/>
      <c r="KI589" s="83"/>
      <c r="KQ589" s="405"/>
      <c r="KW589" s="83"/>
      <c r="LE589" s="405"/>
      <c r="LK589" s="83"/>
      <c r="LS589" s="405"/>
      <c r="LY589" s="83"/>
      <c r="MG589" s="405"/>
      <c r="MM589" s="83"/>
      <c r="MU589" s="405"/>
      <c r="NA589" s="83"/>
    </row>
    <row r="590">
      <c r="A590" s="380"/>
      <c r="B590" s="380"/>
      <c r="C590" s="380"/>
      <c r="D590" s="380"/>
      <c r="E590" s="380"/>
      <c r="F590" s="380"/>
      <c r="G590" s="380"/>
      <c r="H590" s="380"/>
      <c r="I590" s="403"/>
      <c r="J590" s="380"/>
      <c r="K590" s="380"/>
      <c r="L590" s="380"/>
      <c r="M590" s="380"/>
      <c r="N590" s="380"/>
      <c r="O590" s="404"/>
      <c r="P590" s="380"/>
      <c r="Q590" s="380"/>
      <c r="R590" s="380"/>
      <c r="S590" s="380"/>
      <c r="T590" s="380"/>
      <c r="U590" s="380"/>
      <c r="V590" s="380"/>
      <c r="W590" s="403"/>
      <c r="X590" s="380"/>
      <c r="Y590" s="380"/>
      <c r="Z590" s="380"/>
      <c r="AA590" s="380"/>
      <c r="AB590" s="380"/>
      <c r="AC590" s="404"/>
      <c r="AD590" s="380"/>
      <c r="AE590" s="380"/>
      <c r="AF590" s="380"/>
      <c r="AG590" s="380"/>
      <c r="AH590" s="380"/>
      <c r="AI590" s="380"/>
      <c r="AJ590" s="380"/>
      <c r="AK590" s="403"/>
      <c r="AL590" s="380"/>
      <c r="AM590" s="380"/>
      <c r="AN590" s="380"/>
      <c r="AO590" s="380"/>
      <c r="AP590" s="380"/>
      <c r="AQ590" s="404"/>
      <c r="AR590" s="380"/>
      <c r="AS590" s="380"/>
      <c r="AT590" s="380"/>
      <c r="AU590" s="380"/>
      <c r="AV590" s="380"/>
      <c r="AW590" s="380"/>
      <c r="AX590" s="380"/>
      <c r="AY590" s="403"/>
      <c r="AZ590" s="380"/>
      <c r="BA590" s="380"/>
      <c r="BB590" s="380"/>
      <c r="BC590" s="380"/>
      <c r="BD590" s="380"/>
      <c r="BE590" s="404"/>
      <c r="BF590" s="380"/>
      <c r="BG590" s="380"/>
      <c r="BH590" s="380"/>
      <c r="BI590" s="380"/>
      <c r="BJ590" s="380"/>
      <c r="BK590" s="380"/>
      <c r="BL590" s="380"/>
      <c r="BM590" s="403"/>
      <c r="BS590" s="83"/>
      <c r="CA590" s="405"/>
      <c r="CG590" s="83"/>
      <c r="CO590" s="405"/>
      <c r="CU590" s="83"/>
      <c r="DC590" s="405"/>
      <c r="DI590" s="83"/>
      <c r="DQ590" s="405"/>
      <c r="DW590" s="83"/>
      <c r="EE590" s="405"/>
      <c r="EK590" s="83"/>
      <c r="ES590" s="405"/>
      <c r="EY590" s="83"/>
      <c r="FG590" s="405"/>
      <c r="FM590" s="83"/>
      <c r="FU590" s="405"/>
      <c r="GA590" s="83"/>
      <c r="GI590" s="405"/>
      <c r="GO590" s="83"/>
      <c r="GW590" s="405"/>
      <c r="HC590" s="83"/>
      <c r="HK590" s="405"/>
      <c r="HQ590" s="83"/>
      <c r="HY590" s="405"/>
      <c r="IE590" s="83"/>
      <c r="IM590" s="405"/>
      <c r="IS590" s="83"/>
      <c r="JA590" s="405"/>
      <c r="JG590" s="83"/>
      <c r="JO590" s="405"/>
      <c r="JU590" s="83"/>
      <c r="KC590" s="405"/>
      <c r="KI590" s="83"/>
      <c r="KQ590" s="405"/>
      <c r="KW590" s="83"/>
      <c r="LE590" s="405"/>
      <c r="LK590" s="83"/>
      <c r="LS590" s="405"/>
      <c r="LY590" s="83"/>
      <c r="MG590" s="405"/>
      <c r="MM590" s="83"/>
      <c r="MU590" s="405"/>
      <c r="NA590" s="83"/>
    </row>
    <row r="591">
      <c r="A591" s="380"/>
      <c r="B591" s="380"/>
      <c r="C591" s="380"/>
      <c r="D591" s="380"/>
      <c r="E591" s="380"/>
      <c r="F591" s="380"/>
      <c r="G591" s="380"/>
      <c r="H591" s="380"/>
      <c r="I591" s="403"/>
      <c r="J591" s="380"/>
      <c r="K591" s="380"/>
      <c r="L591" s="380"/>
      <c r="M591" s="380"/>
      <c r="N591" s="380"/>
      <c r="O591" s="404"/>
      <c r="P591" s="380"/>
      <c r="Q591" s="380"/>
      <c r="R591" s="380"/>
      <c r="S591" s="380"/>
      <c r="T591" s="380"/>
      <c r="U591" s="380"/>
      <c r="V591" s="380"/>
      <c r="W591" s="403"/>
      <c r="X591" s="380"/>
      <c r="Y591" s="380"/>
      <c r="Z591" s="380"/>
      <c r="AA591" s="380"/>
      <c r="AB591" s="380"/>
      <c r="AC591" s="404"/>
      <c r="AD591" s="380"/>
      <c r="AE591" s="380"/>
      <c r="AF591" s="380"/>
      <c r="AG591" s="380"/>
      <c r="AH591" s="380"/>
      <c r="AI591" s="380"/>
      <c r="AJ591" s="380"/>
      <c r="AK591" s="403"/>
      <c r="AL591" s="380"/>
      <c r="AM591" s="380"/>
      <c r="AN591" s="380"/>
      <c r="AO591" s="380"/>
      <c r="AP591" s="380"/>
      <c r="AQ591" s="404"/>
      <c r="AR591" s="380"/>
      <c r="AS591" s="380"/>
      <c r="AT591" s="380"/>
      <c r="AU591" s="380"/>
      <c r="AV591" s="380"/>
      <c r="AW591" s="380"/>
      <c r="AX591" s="380"/>
      <c r="AY591" s="403"/>
      <c r="AZ591" s="380"/>
      <c r="BA591" s="380"/>
      <c r="BB591" s="380"/>
      <c r="BC591" s="380"/>
      <c r="BD591" s="380"/>
      <c r="BE591" s="404"/>
      <c r="BF591" s="380"/>
      <c r="BG591" s="380"/>
      <c r="BH591" s="380"/>
      <c r="BI591" s="380"/>
      <c r="BJ591" s="380"/>
      <c r="BK591" s="380"/>
      <c r="BL591" s="380"/>
      <c r="BM591" s="403"/>
      <c r="BS591" s="83"/>
      <c r="CA591" s="405"/>
      <c r="CG591" s="83"/>
      <c r="CO591" s="405"/>
      <c r="CU591" s="83"/>
      <c r="DC591" s="405"/>
      <c r="DI591" s="83"/>
      <c r="DQ591" s="405"/>
      <c r="DW591" s="83"/>
      <c r="EE591" s="405"/>
      <c r="EK591" s="83"/>
      <c r="ES591" s="405"/>
      <c r="EY591" s="83"/>
      <c r="FG591" s="405"/>
      <c r="FM591" s="83"/>
      <c r="FU591" s="405"/>
      <c r="GA591" s="83"/>
      <c r="GI591" s="405"/>
      <c r="GO591" s="83"/>
      <c r="GW591" s="405"/>
      <c r="HC591" s="83"/>
      <c r="HK591" s="405"/>
      <c r="HQ591" s="83"/>
      <c r="HY591" s="405"/>
      <c r="IE591" s="83"/>
      <c r="IM591" s="405"/>
      <c r="IS591" s="83"/>
      <c r="JA591" s="405"/>
      <c r="JG591" s="83"/>
      <c r="JO591" s="405"/>
      <c r="JU591" s="83"/>
      <c r="KC591" s="405"/>
      <c r="KI591" s="83"/>
      <c r="KQ591" s="405"/>
      <c r="KW591" s="83"/>
      <c r="LE591" s="405"/>
      <c r="LK591" s="83"/>
      <c r="LS591" s="405"/>
      <c r="LY591" s="83"/>
      <c r="MG591" s="405"/>
      <c r="MM591" s="83"/>
      <c r="MU591" s="405"/>
      <c r="NA591" s="83"/>
    </row>
    <row r="592">
      <c r="A592" s="380"/>
      <c r="B592" s="380"/>
      <c r="C592" s="380"/>
      <c r="D592" s="380"/>
      <c r="E592" s="380"/>
      <c r="F592" s="380"/>
      <c r="G592" s="380"/>
      <c r="H592" s="380"/>
      <c r="I592" s="403"/>
      <c r="J592" s="380"/>
      <c r="K592" s="380"/>
      <c r="L592" s="380"/>
      <c r="M592" s="380"/>
      <c r="N592" s="380"/>
      <c r="O592" s="404"/>
      <c r="P592" s="380"/>
      <c r="Q592" s="380"/>
      <c r="R592" s="380"/>
      <c r="S592" s="380"/>
      <c r="T592" s="380"/>
      <c r="U592" s="380"/>
      <c r="V592" s="380"/>
      <c r="W592" s="403"/>
      <c r="X592" s="380"/>
      <c r="Y592" s="380"/>
      <c r="Z592" s="380"/>
      <c r="AA592" s="380"/>
      <c r="AB592" s="380"/>
      <c r="AC592" s="404"/>
      <c r="AD592" s="380"/>
      <c r="AE592" s="380"/>
      <c r="AF592" s="380"/>
      <c r="AG592" s="380"/>
      <c r="AH592" s="380"/>
      <c r="AI592" s="380"/>
      <c r="AJ592" s="380"/>
      <c r="AK592" s="403"/>
      <c r="AL592" s="380"/>
      <c r="AM592" s="380"/>
      <c r="AN592" s="380"/>
      <c r="AO592" s="380"/>
      <c r="AP592" s="380"/>
      <c r="AQ592" s="404"/>
      <c r="AR592" s="380"/>
      <c r="AS592" s="380"/>
      <c r="AT592" s="380"/>
      <c r="AU592" s="380"/>
      <c r="AV592" s="380"/>
      <c r="AW592" s="380"/>
      <c r="AX592" s="380"/>
      <c r="AY592" s="403"/>
      <c r="AZ592" s="380"/>
      <c r="BA592" s="380"/>
      <c r="BB592" s="380"/>
      <c r="BC592" s="380"/>
      <c r="BD592" s="380"/>
      <c r="BE592" s="404"/>
      <c r="BF592" s="380"/>
      <c r="BG592" s="380"/>
      <c r="BH592" s="380"/>
      <c r="BI592" s="380"/>
      <c r="BJ592" s="380"/>
      <c r="BK592" s="380"/>
      <c r="BL592" s="380"/>
      <c r="BM592" s="403"/>
      <c r="BS592" s="83"/>
      <c r="CA592" s="405"/>
      <c r="CG592" s="83"/>
      <c r="CO592" s="405"/>
      <c r="CU592" s="83"/>
      <c r="DC592" s="405"/>
      <c r="DI592" s="83"/>
      <c r="DQ592" s="405"/>
      <c r="DW592" s="83"/>
      <c r="EE592" s="405"/>
      <c r="EK592" s="83"/>
      <c r="ES592" s="405"/>
      <c r="EY592" s="83"/>
      <c r="FG592" s="405"/>
      <c r="FM592" s="83"/>
      <c r="FU592" s="405"/>
      <c r="GA592" s="83"/>
      <c r="GI592" s="405"/>
      <c r="GO592" s="83"/>
      <c r="GW592" s="405"/>
      <c r="HC592" s="83"/>
      <c r="HK592" s="405"/>
      <c r="HQ592" s="83"/>
      <c r="HY592" s="405"/>
      <c r="IE592" s="83"/>
      <c r="IM592" s="405"/>
      <c r="IS592" s="83"/>
      <c r="JA592" s="405"/>
      <c r="JG592" s="83"/>
      <c r="JO592" s="405"/>
      <c r="JU592" s="83"/>
      <c r="KC592" s="405"/>
      <c r="KI592" s="83"/>
      <c r="KQ592" s="405"/>
      <c r="KW592" s="83"/>
      <c r="LE592" s="405"/>
      <c r="LK592" s="83"/>
      <c r="LS592" s="405"/>
      <c r="LY592" s="83"/>
      <c r="MG592" s="405"/>
      <c r="MM592" s="83"/>
      <c r="MU592" s="405"/>
      <c r="NA592" s="83"/>
    </row>
    <row r="593">
      <c r="A593" s="380"/>
      <c r="B593" s="380"/>
      <c r="C593" s="380"/>
      <c r="D593" s="380"/>
      <c r="E593" s="380"/>
      <c r="F593" s="380"/>
      <c r="G593" s="380"/>
      <c r="H593" s="380"/>
      <c r="I593" s="403"/>
      <c r="J593" s="380"/>
      <c r="K593" s="380"/>
      <c r="L593" s="380"/>
      <c r="M593" s="380"/>
      <c r="N593" s="380"/>
      <c r="O593" s="404"/>
      <c r="P593" s="380"/>
      <c r="Q593" s="380"/>
      <c r="R593" s="380"/>
      <c r="S593" s="380"/>
      <c r="T593" s="380"/>
      <c r="U593" s="380"/>
      <c r="V593" s="380"/>
      <c r="W593" s="403"/>
      <c r="X593" s="380"/>
      <c r="Y593" s="380"/>
      <c r="Z593" s="380"/>
      <c r="AA593" s="380"/>
      <c r="AB593" s="380"/>
      <c r="AC593" s="404"/>
      <c r="AD593" s="380"/>
      <c r="AE593" s="380"/>
      <c r="AF593" s="380"/>
      <c r="AG593" s="380"/>
      <c r="AH593" s="380"/>
      <c r="AI593" s="380"/>
      <c r="AJ593" s="380"/>
      <c r="AK593" s="403"/>
      <c r="AL593" s="380"/>
      <c r="AM593" s="380"/>
      <c r="AN593" s="380"/>
      <c r="AO593" s="380"/>
      <c r="AP593" s="380"/>
      <c r="AQ593" s="404"/>
      <c r="AR593" s="380"/>
      <c r="AS593" s="380"/>
      <c r="AT593" s="380"/>
      <c r="AU593" s="380"/>
      <c r="AV593" s="380"/>
      <c r="AW593" s="380"/>
      <c r="AX593" s="380"/>
      <c r="AY593" s="403"/>
      <c r="AZ593" s="380"/>
      <c r="BA593" s="380"/>
      <c r="BB593" s="380"/>
      <c r="BC593" s="380"/>
      <c r="BD593" s="380"/>
      <c r="BE593" s="404"/>
      <c r="BF593" s="380"/>
      <c r="BG593" s="380"/>
      <c r="BH593" s="380"/>
      <c r="BI593" s="380"/>
      <c r="BJ593" s="380"/>
      <c r="BK593" s="380"/>
      <c r="BL593" s="380"/>
      <c r="BM593" s="403"/>
      <c r="BS593" s="83"/>
      <c r="CA593" s="405"/>
      <c r="CG593" s="83"/>
      <c r="CO593" s="405"/>
      <c r="CU593" s="83"/>
      <c r="DC593" s="405"/>
      <c r="DI593" s="83"/>
      <c r="DQ593" s="405"/>
      <c r="DW593" s="83"/>
      <c r="EE593" s="405"/>
      <c r="EK593" s="83"/>
      <c r="ES593" s="405"/>
      <c r="EY593" s="83"/>
      <c r="FG593" s="405"/>
      <c r="FM593" s="83"/>
      <c r="FU593" s="405"/>
      <c r="GA593" s="83"/>
      <c r="GI593" s="405"/>
      <c r="GO593" s="83"/>
      <c r="GW593" s="405"/>
      <c r="HC593" s="83"/>
      <c r="HK593" s="405"/>
      <c r="HQ593" s="83"/>
      <c r="HY593" s="405"/>
      <c r="IE593" s="83"/>
      <c r="IM593" s="405"/>
      <c r="IS593" s="83"/>
      <c r="JA593" s="405"/>
      <c r="JG593" s="83"/>
      <c r="JO593" s="405"/>
      <c r="JU593" s="83"/>
      <c r="KC593" s="405"/>
      <c r="KI593" s="83"/>
      <c r="KQ593" s="405"/>
      <c r="KW593" s="83"/>
      <c r="LE593" s="405"/>
      <c r="LK593" s="83"/>
      <c r="LS593" s="405"/>
      <c r="LY593" s="83"/>
      <c r="MG593" s="405"/>
      <c r="MM593" s="83"/>
      <c r="MU593" s="405"/>
      <c r="NA593" s="83"/>
    </row>
    <row r="594">
      <c r="A594" s="380"/>
      <c r="B594" s="380"/>
      <c r="C594" s="380"/>
      <c r="D594" s="380"/>
      <c r="E594" s="380"/>
      <c r="F594" s="380"/>
      <c r="G594" s="380"/>
      <c r="H594" s="380"/>
      <c r="I594" s="403"/>
      <c r="J594" s="380"/>
      <c r="K594" s="380"/>
      <c r="L594" s="380"/>
      <c r="M594" s="380"/>
      <c r="N594" s="380"/>
      <c r="O594" s="404"/>
      <c r="P594" s="380"/>
      <c r="Q594" s="380"/>
      <c r="R594" s="380"/>
      <c r="S594" s="380"/>
      <c r="T594" s="380"/>
      <c r="U594" s="380"/>
      <c r="V594" s="380"/>
      <c r="W594" s="403"/>
      <c r="X594" s="380"/>
      <c r="Y594" s="380"/>
      <c r="Z594" s="380"/>
      <c r="AA594" s="380"/>
      <c r="AB594" s="380"/>
      <c r="AC594" s="404"/>
      <c r="AD594" s="380"/>
      <c r="AE594" s="380"/>
      <c r="AF594" s="380"/>
      <c r="AG594" s="380"/>
      <c r="AH594" s="380"/>
      <c r="AI594" s="380"/>
      <c r="AJ594" s="380"/>
      <c r="AK594" s="403"/>
      <c r="AL594" s="380"/>
      <c r="AM594" s="380"/>
      <c r="AN594" s="380"/>
      <c r="AO594" s="380"/>
      <c r="AP594" s="380"/>
      <c r="AQ594" s="404"/>
      <c r="AR594" s="380"/>
      <c r="AS594" s="380"/>
      <c r="AT594" s="380"/>
      <c r="AU594" s="380"/>
      <c r="AV594" s="380"/>
      <c r="AW594" s="380"/>
      <c r="AX594" s="380"/>
      <c r="AY594" s="403"/>
      <c r="AZ594" s="380"/>
      <c r="BA594" s="380"/>
      <c r="BB594" s="380"/>
      <c r="BC594" s="380"/>
      <c r="BD594" s="380"/>
      <c r="BE594" s="404"/>
      <c r="BF594" s="380"/>
      <c r="BG594" s="380"/>
      <c r="BH594" s="380"/>
      <c r="BI594" s="380"/>
      <c r="BJ594" s="380"/>
      <c r="BK594" s="380"/>
      <c r="BL594" s="380"/>
      <c r="BM594" s="403"/>
      <c r="BS594" s="83"/>
      <c r="CA594" s="405"/>
      <c r="CG594" s="83"/>
      <c r="CO594" s="405"/>
      <c r="CU594" s="83"/>
      <c r="DC594" s="405"/>
      <c r="DI594" s="83"/>
      <c r="DQ594" s="405"/>
      <c r="DW594" s="83"/>
      <c r="EE594" s="405"/>
      <c r="EK594" s="83"/>
      <c r="ES594" s="405"/>
      <c r="EY594" s="83"/>
      <c r="FG594" s="405"/>
      <c r="FM594" s="83"/>
      <c r="FU594" s="405"/>
      <c r="GA594" s="83"/>
      <c r="GI594" s="405"/>
      <c r="GO594" s="83"/>
      <c r="GW594" s="405"/>
      <c r="HC594" s="83"/>
      <c r="HK594" s="405"/>
      <c r="HQ594" s="83"/>
      <c r="HY594" s="405"/>
      <c r="IE594" s="83"/>
      <c r="IM594" s="405"/>
      <c r="IS594" s="83"/>
      <c r="JA594" s="405"/>
      <c r="JG594" s="83"/>
      <c r="JO594" s="405"/>
      <c r="JU594" s="83"/>
      <c r="KC594" s="405"/>
      <c r="KI594" s="83"/>
      <c r="KQ594" s="405"/>
      <c r="KW594" s="83"/>
      <c r="LE594" s="405"/>
      <c r="LK594" s="83"/>
      <c r="LS594" s="405"/>
      <c r="LY594" s="83"/>
      <c r="MG594" s="405"/>
      <c r="MM594" s="83"/>
      <c r="MU594" s="405"/>
      <c r="NA594" s="83"/>
    </row>
    <row r="595">
      <c r="A595" s="380"/>
      <c r="B595" s="380"/>
      <c r="C595" s="380"/>
      <c r="D595" s="380"/>
      <c r="E595" s="380"/>
      <c r="F595" s="380"/>
      <c r="G595" s="380"/>
      <c r="H595" s="380"/>
      <c r="I595" s="403"/>
      <c r="J595" s="380"/>
      <c r="K595" s="380"/>
      <c r="L595" s="380"/>
      <c r="M595" s="380"/>
      <c r="N595" s="380"/>
      <c r="O595" s="404"/>
      <c r="P595" s="380"/>
      <c r="Q595" s="380"/>
      <c r="R595" s="380"/>
      <c r="S595" s="380"/>
      <c r="T595" s="380"/>
      <c r="U595" s="380"/>
      <c r="V595" s="380"/>
      <c r="W595" s="403"/>
      <c r="X595" s="380"/>
      <c r="Y595" s="380"/>
      <c r="Z595" s="380"/>
      <c r="AA595" s="380"/>
      <c r="AB595" s="380"/>
      <c r="AC595" s="404"/>
      <c r="AD595" s="380"/>
      <c r="AE595" s="380"/>
      <c r="AF595" s="380"/>
      <c r="AG595" s="380"/>
      <c r="AH595" s="380"/>
      <c r="AI595" s="380"/>
      <c r="AJ595" s="380"/>
      <c r="AK595" s="403"/>
      <c r="AL595" s="380"/>
      <c r="AM595" s="380"/>
      <c r="AN595" s="380"/>
      <c r="AO595" s="380"/>
      <c r="AP595" s="380"/>
      <c r="AQ595" s="404"/>
      <c r="AR595" s="380"/>
      <c r="AS595" s="380"/>
      <c r="AT595" s="380"/>
      <c r="AU595" s="380"/>
      <c r="AV595" s="380"/>
      <c r="AW595" s="380"/>
      <c r="AX595" s="380"/>
      <c r="AY595" s="403"/>
      <c r="AZ595" s="380"/>
      <c r="BA595" s="380"/>
      <c r="BB595" s="380"/>
      <c r="BC595" s="380"/>
      <c r="BD595" s="380"/>
      <c r="BE595" s="404"/>
      <c r="BF595" s="380"/>
      <c r="BG595" s="380"/>
      <c r="BH595" s="380"/>
      <c r="BI595" s="380"/>
      <c r="BJ595" s="380"/>
      <c r="BK595" s="380"/>
      <c r="BL595" s="380"/>
      <c r="BM595" s="403"/>
      <c r="BS595" s="83"/>
      <c r="CA595" s="405"/>
      <c r="CG595" s="83"/>
      <c r="CO595" s="405"/>
      <c r="CU595" s="83"/>
      <c r="DC595" s="405"/>
      <c r="DI595" s="83"/>
      <c r="DQ595" s="405"/>
      <c r="DW595" s="83"/>
      <c r="EE595" s="405"/>
      <c r="EK595" s="83"/>
      <c r="ES595" s="405"/>
      <c r="EY595" s="83"/>
      <c r="FG595" s="405"/>
      <c r="FM595" s="83"/>
      <c r="FU595" s="405"/>
      <c r="GA595" s="83"/>
      <c r="GI595" s="405"/>
      <c r="GO595" s="83"/>
      <c r="GW595" s="405"/>
      <c r="HC595" s="83"/>
      <c r="HK595" s="405"/>
      <c r="HQ595" s="83"/>
      <c r="HY595" s="405"/>
      <c r="IE595" s="83"/>
      <c r="IM595" s="405"/>
      <c r="IS595" s="83"/>
      <c r="JA595" s="405"/>
      <c r="JG595" s="83"/>
      <c r="JO595" s="405"/>
      <c r="JU595" s="83"/>
      <c r="KC595" s="405"/>
      <c r="KI595" s="83"/>
      <c r="KQ595" s="405"/>
      <c r="KW595" s="83"/>
      <c r="LE595" s="405"/>
      <c r="LK595" s="83"/>
      <c r="LS595" s="405"/>
      <c r="LY595" s="83"/>
      <c r="MG595" s="405"/>
      <c r="MM595" s="83"/>
      <c r="MU595" s="405"/>
      <c r="NA595" s="83"/>
    </row>
    <row r="596">
      <c r="A596" s="380"/>
      <c r="B596" s="380"/>
      <c r="C596" s="380"/>
      <c r="D596" s="380"/>
      <c r="E596" s="380"/>
      <c r="F596" s="380"/>
      <c r="G596" s="380"/>
      <c r="H596" s="380"/>
      <c r="I596" s="403"/>
      <c r="J596" s="380"/>
      <c r="K596" s="380"/>
      <c r="L596" s="380"/>
      <c r="M596" s="380"/>
      <c r="N596" s="380"/>
      <c r="O596" s="404"/>
      <c r="P596" s="380"/>
      <c r="Q596" s="380"/>
      <c r="R596" s="380"/>
      <c r="S596" s="380"/>
      <c r="T596" s="380"/>
      <c r="U596" s="380"/>
      <c r="V596" s="380"/>
      <c r="W596" s="403"/>
      <c r="X596" s="380"/>
      <c r="Y596" s="380"/>
      <c r="Z596" s="380"/>
      <c r="AA596" s="380"/>
      <c r="AB596" s="380"/>
      <c r="AC596" s="404"/>
      <c r="AD596" s="380"/>
      <c r="AE596" s="380"/>
      <c r="AF596" s="380"/>
      <c r="AG596" s="380"/>
      <c r="AH596" s="380"/>
      <c r="AI596" s="380"/>
      <c r="AJ596" s="380"/>
      <c r="AK596" s="403"/>
      <c r="AL596" s="380"/>
      <c r="AM596" s="380"/>
      <c r="AN596" s="380"/>
      <c r="AO596" s="380"/>
      <c r="AP596" s="380"/>
      <c r="AQ596" s="404"/>
      <c r="AR596" s="380"/>
      <c r="AS596" s="380"/>
      <c r="AT596" s="380"/>
      <c r="AU596" s="380"/>
      <c r="AV596" s="380"/>
      <c r="AW596" s="380"/>
      <c r="AX596" s="380"/>
      <c r="AY596" s="403"/>
      <c r="AZ596" s="380"/>
      <c r="BA596" s="380"/>
      <c r="BB596" s="380"/>
      <c r="BC596" s="380"/>
      <c r="BD596" s="380"/>
      <c r="BE596" s="404"/>
      <c r="BF596" s="380"/>
      <c r="BG596" s="380"/>
      <c r="BH596" s="380"/>
      <c r="BI596" s="380"/>
      <c r="BJ596" s="380"/>
      <c r="BK596" s="380"/>
      <c r="BL596" s="380"/>
      <c r="BM596" s="403"/>
      <c r="BS596" s="83"/>
      <c r="CA596" s="405"/>
      <c r="CG596" s="83"/>
      <c r="CO596" s="405"/>
      <c r="CU596" s="83"/>
      <c r="DC596" s="405"/>
      <c r="DI596" s="83"/>
      <c r="DQ596" s="405"/>
      <c r="DW596" s="83"/>
      <c r="EE596" s="405"/>
      <c r="EK596" s="83"/>
      <c r="ES596" s="405"/>
      <c r="EY596" s="83"/>
      <c r="FG596" s="405"/>
      <c r="FM596" s="83"/>
      <c r="FU596" s="405"/>
      <c r="GA596" s="83"/>
      <c r="GI596" s="405"/>
      <c r="GO596" s="83"/>
      <c r="GW596" s="405"/>
      <c r="HC596" s="83"/>
      <c r="HK596" s="405"/>
      <c r="HQ596" s="83"/>
      <c r="HY596" s="405"/>
      <c r="IE596" s="83"/>
      <c r="IM596" s="405"/>
      <c r="IS596" s="83"/>
      <c r="JA596" s="405"/>
      <c r="JG596" s="83"/>
      <c r="JO596" s="405"/>
      <c r="JU596" s="83"/>
      <c r="KC596" s="405"/>
      <c r="KI596" s="83"/>
      <c r="KQ596" s="405"/>
      <c r="KW596" s="83"/>
      <c r="LE596" s="405"/>
      <c r="LK596" s="83"/>
      <c r="LS596" s="405"/>
      <c r="LY596" s="83"/>
      <c r="MG596" s="405"/>
      <c r="MM596" s="83"/>
      <c r="MU596" s="405"/>
      <c r="NA596" s="83"/>
    </row>
    <row r="597">
      <c r="A597" s="380"/>
      <c r="B597" s="380"/>
      <c r="C597" s="380"/>
      <c r="D597" s="380"/>
      <c r="E597" s="380"/>
      <c r="F597" s="380"/>
      <c r="G597" s="380"/>
      <c r="H597" s="380"/>
      <c r="I597" s="403"/>
      <c r="J597" s="380"/>
      <c r="K597" s="380"/>
      <c r="L597" s="380"/>
      <c r="M597" s="380"/>
      <c r="N597" s="380"/>
      <c r="O597" s="404"/>
      <c r="P597" s="380"/>
      <c r="Q597" s="380"/>
      <c r="R597" s="380"/>
      <c r="S597" s="380"/>
      <c r="T597" s="380"/>
      <c r="U597" s="380"/>
      <c r="V597" s="380"/>
      <c r="W597" s="403"/>
      <c r="X597" s="380"/>
      <c r="Y597" s="380"/>
      <c r="Z597" s="380"/>
      <c r="AA597" s="380"/>
      <c r="AB597" s="380"/>
      <c r="AC597" s="404"/>
      <c r="AD597" s="380"/>
      <c r="AE597" s="380"/>
      <c r="AF597" s="380"/>
      <c r="AG597" s="380"/>
      <c r="AH597" s="380"/>
      <c r="AI597" s="380"/>
      <c r="AJ597" s="380"/>
      <c r="AK597" s="403"/>
      <c r="AL597" s="380"/>
      <c r="AM597" s="380"/>
      <c r="AN597" s="380"/>
      <c r="AO597" s="380"/>
      <c r="AP597" s="380"/>
      <c r="AQ597" s="404"/>
      <c r="AR597" s="380"/>
      <c r="AS597" s="380"/>
      <c r="AT597" s="380"/>
      <c r="AU597" s="380"/>
      <c r="AV597" s="380"/>
      <c r="AW597" s="380"/>
      <c r="AX597" s="380"/>
      <c r="AY597" s="403"/>
      <c r="AZ597" s="380"/>
      <c r="BA597" s="380"/>
      <c r="BB597" s="380"/>
      <c r="BC597" s="380"/>
      <c r="BD597" s="380"/>
      <c r="BE597" s="404"/>
      <c r="BF597" s="380"/>
      <c r="BG597" s="380"/>
      <c r="BH597" s="380"/>
      <c r="BI597" s="380"/>
      <c r="BJ597" s="380"/>
      <c r="BK597" s="380"/>
      <c r="BL597" s="380"/>
      <c r="BM597" s="403"/>
      <c r="BS597" s="83"/>
      <c r="CA597" s="405"/>
      <c r="CG597" s="83"/>
      <c r="CO597" s="405"/>
      <c r="CU597" s="83"/>
      <c r="DC597" s="405"/>
      <c r="DI597" s="83"/>
      <c r="DQ597" s="405"/>
      <c r="DW597" s="83"/>
      <c r="EE597" s="405"/>
      <c r="EK597" s="83"/>
      <c r="ES597" s="405"/>
      <c r="EY597" s="83"/>
      <c r="FG597" s="405"/>
      <c r="FM597" s="83"/>
      <c r="FU597" s="405"/>
      <c r="GA597" s="83"/>
      <c r="GI597" s="405"/>
      <c r="GO597" s="83"/>
      <c r="GW597" s="405"/>
      <c r="HC597" s="83"/>
      <c r="HK597" s="405"/>
      <c r="HQ597" s="83"/>
      <c r="HY597" s="405"/>
      <c r="IE597" s="83"/>
      <c r="IM597" s="405"/>
      <c r="IS597" s="83"/>
      <c r="JA597" s="405"/>
      <c r="JG597" s="83"/>
      <c r="JO597" s="405"/>
      <c r="JU597" s="83"/>
      <c r="KC597" s="405"/>
      <c r="KI597" s="83"/>
      <c r="KQ597" s="405"/>
      <c r="KW597" s="83"/>
      <c r="LE597" s="405"/>
      <c r="LK597" s="83"/>
      <c r="LS597" s="405"/>
      <c r="LY597" s="83"/>
      <c r="MG597" s="405"/>
      <c r="MM597" s="83"/>
      <c r="MU597" s="405"/>
      <c r="NA597" s="83"/>
    </row>
    <row r="598">
      <c r="A598" s="380"/>
      <c r="B598" s="380"/>
      <c r="C598" s="380"/>
      <c r="D598" s="380"/>
      <c r="E598" s="380"/>
      <c r="F598" s="380"/>
      <c r="G598" s="380"/>
      <c r="H598" s="380"/>
      <c r="I598" s="403"/>
      <c r="J598" s="380"/>
      <c r="K598" s="380"/>
      <c r="L598" s="380"/>
      <c r="M598" s="380"/>
      <c r="N598" s="380"/>
      <c r="O598" s="404"/>
      <c r="P598" s="380"/>
      <c r="Q598" s="380"/>
      <c r="R598" s="380"/>
      <c r="S598" s="380"/>
      <c r="T598" s="380"/>
      <c r="U598" s="380"/>
      <c r="V598" s="380"/>
      <c r="W598" s="403"/>
      <c r="X598" s="380"/>
      <c r="Y598" s="380"/>
      <c r="Z598" s="380"/>
      <c r="AA598" s="380"/>
      <c r="AB598" s="380"/>
      <c r="AC598" s="404"/>
      <c r="AD598" s="380"/>
      <c r="AE598" s="380"/>
      <c r="AF598" s="380"/>
      <c r="AG598" s="380"/>
      <c r="AH598" s="380"/>
      <c r="AI598" s="380"/>
      <c r="AJ598" s="380"/>
      <c r="AK598" s="403"/>
      <c r="AL598" s="380"/>
      <c r="AM598" s="380"/>
      <c r="AN598" s="380"/>
      <c r="AO598" s="380"/>
      <c r="AP598" s="380"/>
      <c r="AQ598" s="404"/>
      <c r="AR598" s="380"/>
      <c r="AS598" s="380"/>
      <c r="AT598" s="380"/>
      <c r="AU598" s="380"/>
      <c r="AV598" s="380"/>
      <c r="AW598" s="380"/>
      <c r="AX598" s="380"/>
      <c r="AY598" s="403"/>
      <c r="AZ598" s="380"/>
      <c r="BA598" s="380"/>
      <c r="BB598" s="380"/>
      <c r="BC598" s="380"/>
      <c r="BD598" s="380"/>
      <c r="BE598" s="404"/>
      <c r="BF598" s="380"/>
      <c r="BG598" s="380"/>
      <c r="BH598" s="380"/>
      <c r="BI598" s="380"/>
      <c r="BJ598" s="380"/>
      <c r="BK598" s="380"/>
      <c r="BL598" s="380"/>
      <c r="BM598" s="403"/>
      <c r="BS598" s="83"/>
      <c r="CA598" s="405"/>
      <c r="CG598" s="83"/>
      <c r="CO598" s="405"/>
      <c r="CU598" s="83"/>
      <c r="DC598" s="405"/>
      <c r="DI598" s="83"/>
      <c r="DQ598" s="405"/>
      <c r="DW598" s="83"/>
      <c r="EE598" s="405"/>
      <c r="EK598" s="83"/>
      <c r="ES598" s="405"/>
      <c r="EY598" s="83"/>
      <c r="FG598" s="405"/>
      <c r="FM598" s="83"/>
      <c r="FU598" s="405"/>
      <c r="GA598" s="83"/>
      <c r="GI598" s="405"/>
      <c r="GO598" s="83"/>
      <c r="GW598" s="405"/>
      <c r="HC598" s="83"/>
      <c r="HK598" s="405"/>
      <c r="HQ598" s="83"/>
      <c r="HY598" s="405"/>
      <c r="IE598" s="83"/>
      <c r="IM598" s="405"/>
      <c r="IS598" s="83"/>
      <c r="JA598" s="405"/>
      <c r="JG598" s="83"/>
      <c r="JO598" s="405"/>
      <c r="JU598" s="83"/>
      <c r="KC598" s="405"/>
      <c r="KI598" s="83"/>
      <c r="KQ598" s="405"/>
      <c r="KW598" s="83"/>
      <c r="LE598" s="405"/>
      <c r="LK598" s="83"/>
      <c r="LS598" s="405"/>
      <c r="LY598" s="83"/>
      <c r="MG598" s="405"/>
      <c r="MM598" s="83"/>
      <c r="MU598" s="405"/>
      <c r="NA598" s="83"/>
    </row>
    <row r="599">
      <c r="A599" s="380"/>
      <c r="B599" s="380"/>
      <c r="C599" s="380"/>
      <c r="D599" s="380"/>
      <c r="E599" s="380"/>
      <c r="F599" s="380"/>
      <c r="G599" s="380"/>
      <c r="H599" s="380"/>
      <c r="I599" s="403"/>
      <c r="J599" s="380"/>
      <c r="K599" s="380"/>
      <c r="L599" s="380"/>
      <c r="M599" s="380"/>
      <c r="N599" s="380"/>
      <c r="O599" s="404"/>
      <c r="P599" s="380"/>
      <c r="Q599" s="380"/>
      <c r="R599" s="380"/>
      <c r="S599" s="380"/>
      <c r="T599" s="380"/>
      <c r="U599" s="380"/>
      <c r="V599" s="380"/>
      <c r="W599" s="403"/>
      <c r="X599" s="380"/>
      <c r="Y599" s="380"/>
      <c r="Z599" s="380"/>
      <c r="AA599" s="380"/>
      <c r="AB599" s="380"/>
      <c r="AC599" s="404"/>
      <c r="AD599" s="380"/>
      <c r="AE599" s="380"/>
      <c r="AF599" s="380"/>
      <c r="AG599" s="380"/>
      <c r="AH599" s="380"/>
      <c r="AI599" s="380"/>
      <c r="AJ599" s="380"/>
      <c r="AK599" s="403"/>
      <c r="AL599" s="380"/>
      <c r="AM599" s="380"/>
      <c r="AN599" s="380"/>
      <c r="AO599" s="380"/>
      <c r="AP599" s="380"/>
      <c r="AQ599" s="404"/>
      <c r="AR599" s="380"/>
      <c r="AS599" s="380"/>
      <c r="AT599" s="380"/>
      <c r="AU599" s="380"/>
      <c r="AV599" s="380"/>
      <c r="AW599" s="380"/>
      <c r="AX599" s="380"/>
      <c r="AY599" s="403"/>
      <c r="AZ599" s="380"/>
      <c r="BA599" s="380"/>
      <c r="BB599" s="380"/>
      <c r="BC599" s="380"/>
      <c r="BD599" s="380"/>
      <c r="BE599" s="404"/>
      <c r="BF599" s="380"/>
      <c r="BG599" s="380"/>
      <c r="BH599" s="380"/>
      <c r="BI599" s="380"/>
      <c r="BJ599" s="380"/>
      <c r="BK599" s="380"/>
      <c r="BL599" s="380"/>
      <c r="BM599" s="403"/>
      <c r="BS599" s="83"/>
      <c r="CA599" s="405"/>
      <c r="CG599" s="83"/>
      <c r="CO599" s="405"/>
      <c r="CU599" s="83"/>
      <c r="DC599" s="405"/>
      <c r="DI599" s="83"/>
      <c r="DQ599" s="405"/>
      <c r="DW599" s="83"/>
      <c r="EE599" s="405"/>
      <c r="EK599" s="83"/>
      <c r="ES599" s="405"/>
      <c r="EY599" s="83"/>
      <c r="FG599" s="405"/>
      <c r="FM599" s="83"/>
      <c r="FU599" s="405"/>
      <c r="GA599" s="83"/>
      <c r="GI599" s="405"/>
      <c r="GO599" s="83"/>
      <c r="GW599" s="405"/>
      <c r="HC599" s="83"/>
      <c r="HK599" s="405"/>
      <c r="HQ599" s="83"/>
      <c r="HY599" s="405"/>
      <c r="IE599" s="83"/>
      <c r="IM599" s="405"/>
      <c r="IS599" s="83"/>
      <c r="JA599" s="405"/>
      <c r="JG599" s="83"/>
      <c r="JO599" s="405"/>
      <c r="JU599" s="83"/>
      <c r="KC599" s="405"/>
      <c r="KI599" s="83"/>
      <c r="KQ599" s="405"/>
      <c r="KW599" s="83"/>
      <c r="LE599" s="405"/>
      <c r="LK599" s="83"/>
      <c r="LS599" s="405"/>
      <c r="LY599" s="83"/>
      <c r="MG599" s="405"/>
      <c r="MM599" s="83"/>
      <c r="MU599" s="405"/>
      <c r="NA599" s="83"/>
    </row>
    <row r="600">
      <c r="A600" s="380"/>
      <c r="B600" s="380"/>
      <c r="C600" s="380"/>
      <c r="D600" s="380"/>
      <c r="E600" s="380"/>
      <c r="F600" s="380"/>
      <c r="G600" s="380"/>
      <c r="H600" s="380"/>
      <c r="I600" s="403"/>
      <c r="J600" s="380"/>
      <c r="K600" s="380"/>
      <c r="L600" s="380"/>
      <c r="M600" s="380"/>
      <c r="N600" s="380"/>
      <c r="O600" s="404"/>
      <c r="P600" s="380"/>
      <c r="Q600" s="380"/>
      <c r="R600" s="380"/>
      <c r="S600" s="380"/>
      <c r="T600" s="380"/>
      <c r="U600" s="380"/>
      <c r="V600" s="380"/>
      <c r="W600" s="403"/>
      <c r="X600" s="380"/>
      <c r="Y600" s="380"/>
      <c r="Z600" s="380"/>
      <c r="AA600" s="380"/>
      <c r="AB600" s="380"/>
      <c r="AC600" s="404"/>
      <c r="AD600" s="380"/>
      <c r="AE600" s="380"/>
      <c r="AF600" s="380"/>
      <c r="AG600" s="380"/>
      <c r="AH600" s="380"/>
      <c r="AI600" s="380"/>
      <c r="AJ600" s="380"/>
      <c r="AK600" s="403"/>
      <c r="AL600" s="380"/>
      <c r="AM600" s="380"/>
      <c r="AN600" s="380"/>
      <c r="AO600" s="380"/>
      <c r="AP600" s="380"/>
      <c r="AQ600" s="404"/>
      <c r="AR600" s="380"/>
      <c r="AS600" s="380"/>
      <c r="AT600" s="380"/>
      <c r="AU600" s="380"/>
      <c r="AV600" s="380"/>
      <c r="AW600" s="380"/>
      <c r="AX600" s="380"/>
      <c r="AY600" s="403"/>
      <c r="AZ600" s="380"/>
      <c r="BA600" s="380"/>
      <c r="BB600" s="380"/>
      <c r="BC600" s="380"/>
      <c r="BD600" s="380"/>
      <c r="BE600" s="404"/>
      <c r="BF600" s="380"/>
      <c r="BG600" s="380"/>
      <c r="BH600" s="380"/>
      <c r="BI600" s="380"/>
      <c r="BJ600" s="380"/>
      <c r="BK600" s="380"/>
      <c r="BL600" s="380"/>
      <c r="BM600" s="403"/>
      <c r="BS600" s="83"/>
      <c r="CA600" s="405"/>
      <c r="CG600" s="83"/>
      <c r="CO600" s="405"/>
      <c r="CU600" s="83"/>
      <c r="DC600" s="405"/>
      <c r="DI600" s="83"/>
      <c r="DQ600" s="405"/>
      <c r="DW600" s="83"/>
      <c r="EE600" s="405"/>
      <c r="EK600" s="83"/>
      <c r="ES600" s="405"/>
      <c r="EY600" s="83"/>
      <c r="FG600" s="405"/>
      <c r="FM600" s="83"/>
      <c r="FU600" s="405"/>
      <c r="GA600" s="83"/>
      <c r="GI600" s="405"/>
      <c r="GO600" s="83"/>
      <c r="GW600" s="405"/>
      <c r="HC600" s="83"/>
      <c r="HK600" s="405"/>
      <c r="HQ600" s="83"/>
      <c r="HY600" s="405"/>
      <c r="IE600" s="83"/>
      <c r="IM600" s="405"/>
      <c r="IS600" s="83"/>
      <c r="JA600" s="405"/>
      <c r="JG600" s="83"/>
      <c r="JO600" s="405"/>
      <c r="JU600" s="83"/>
      <c r="KC600" s="405"/>
      <c r="KI600" s="83"/>
      <c r="KQ600" s="405"/>
      <c r="KW600" s="83"/>
      <c r="LE600" s="405"/>
      <c r="LK600" s="83"/>
      <c r="LS600" s="405"/>
      <c r="LY600" s="83"/>
      <c r="MG600" s="405"/>
      <c r="MM600" s="83"/>
      <c r="MU600" s="405"/>
      <c r="NA600" s="83"/>
    </row>
    <row r="601">
      <c r="A601" s="380"/>
      <c r="B601" s="380"/>
      <c r="C601" s="380"/>
      <c r="D601" s="380"/>
      <c r="E601" s="380"/>
      <c r="F601" s="380"/>
      <c r="G601" s="380"/>
      <c r="H601" s="380"/>
      <c r="I601" s="403"/>
      <c r="J601" s="380"/>
      <c r="K601" s="380"/>
      <c r="L601" s="380"/>
      <c r="M601" s="380"/>
      <c r="N601" s="380"/>
      <c r="O601" s="404"/>
      <c r="P601" s="380"/>
      <c r="Q601" s="380"/>
      <c r="R601" s="380"/>
      <c r="S601" s="380"/>
      <c r="T601" s="380"/>
      <c r="U601" s="380"/>
      <c r="V601" s="380"/>
      <c r="W601" s="403"/>
      <c r="X601" s="380"/>
      <c r="Y601" s="380"/>
      <c r="Z601" s="380"/>
      <c r="AA601" s="380"/>
      <c r="AB601" s="380"/>
      <c r="AC601" s="404"/>
      <c r="AD601" s="380"/>
      <c r="AE601" s="380"/>
      <c r="AF601" s="380"/>
      <c r="AG601" s="380"/>
      <c r="AH601" s="380"/>
      <c r="AI601" s="380"/>
      <c r="AJ601" s="380"/>
      <c r="AK601" s="403"/>
      <c r="AL601" s="380"/>
      <c r="AM601" s="380"/>
      <c r="AN601" s="380"/>
      <c r="AO601" s="380"/>
      <c r="AP601" s="380"/>
      <c r="AQ601" s="404"/>
      <c r="AR601" s="380"/>
      <c r="AS601" s="380"/>
      <c r="AT601" s="380"/>
      <c r="AU601" s="380"/>
      <c r="AV601" s="380"/>
      <c r="AW601" s="380"/>
      <c r="AX601" s="380"/>
      <c r="AY601" s="403"/>
      <c r="AZ601" s="380"/>
      <c r="BA601" s="380"/>
      <c r="BB601" s="380"/>
      <c r="BC601" s="380"/>
      <c r="BD601" s="380"/>
      <c r="BE601" s="404"/>
      <c r="BF601" s="380"/>
      <c r="BG601" s="380"/>
      <c r="BH601" s="380"/>
      <c r="BI601" s="380"/>
      <c r="BJ601" s="380"/>
      <c r="BK601" s="380"/>
      <c r="BL601" s="380"/>
      <c r="BM601" s="403"/>
      <c r="BS601" s="83"/>
      <c r="CA601" s="405"/>
      <c r="CG601" s="83"/>
      <c r="CO601" s="405"/>
      <c r="CU601" s="83"/>
      <c r="DC601" s="405"/>
      <c r="DI601" s="83"/>
      <c r="DQ601" s="405"/>
      <c r="DW601" s="83"/>
      <c r="EE601" s="405"/>
      <c r="EK601" s="83"/>
      <c r="ES601" s="405"/>
      <c r="EY601" s="83"/>
      <c r="FG601" s="405"/>
      <c r="FM601" s="83"/>
      <c r="FU601" s="405"/>
      <c r="GA601" s="83"/>
      <c r="GI601" s="405"/>
      <c r="GO601" s="83"/>
      <c r="GW601" s="405"/>
      <c r="HC601" s="83"/>
      <c r="HK601" s="405"/>
      <c r="HQ601" s="83"/>
      <c r="HY601" s="405"/>
      <c r="IE601" s="83"/>
      <c r="IM601" s="405"/>
      <c r="IS601" s="83"/>
      <c r="JA601" s="405"/>
      <c r="JG601" s="83"/>
      <c r="JO601" s="405"/>
      <c r="JU601" s="83"/>
      <c r="KC601" s="405"/>
      <c r="KI601" s="83"/>
      <c r="KQ601" s="405"/>
      <c r="KW601" s="83"/>
      <c r="LE601" s="405"/>
      <c r="LK601" s="83"/>
      <c r="LS601" s="405"/>
      <c r="LY601" s="83"/>
      <c r="MG601" s="405"/>
      <c r="MM601" s="83"/>
      <c r="MU601" s="405"/>
      <c r="NA601" s="83"/>
    </row>
    <row r="602">
      <c r="A602" s="380"/>
      <c r="B602" s="380"/>
      <c r="C602" s="380"/>
      <c r="D602" s="380"/>
      <c r="E602" s="380"/>
      <c r="F602" s="380"/>
      <c r="G602" s="380"/>
      <c r="H602" s="380"/>
      <c r="I602" s="403"/>
      <c r="J602" s="380"/>
      <c r="K602" s="380"/>
      <c r="L602" s="380"/>
      <c r="M602" s="380"/>
      <c r="N602" s="380"/>
      <c r="O602" s="404"/>
      <c r="P602" s="380"/>
      <c r="Q602" s="380"/>
      <c r="R602" s="380"/>
      <c r="S602" s="380"/>
      <c r="T602" s="380"/>
      <c r="U602" s="380"/>
      <c r="V602" s="380"/>
      <c r="W602" s="403"/>
      <c r="X602" s="380"/>
      <c r="Y602" s="380"/>
      <c r="Z602" s="380"/>
      <c r="AA602" s="380"/>
      <c r="AB602" s="380"/>
      <c r="AC602" s="404"/>
      <c r="AD602" s="380"/>
      <c r="AE602" s="380"/>
      <c r="AF602" s="380"/>
      <c r="AG602" s="380"/>
      <c r="AH602" s="380"/>
      <c r="AI602" s="380"/>
      <c r="AJ602" s="380"/>
      <c r="AK602" s="403"/>
      <c r="AL602" s="380"/>
      <c r="AM602" s="380"/>
      <c r="AN602" s="380"/>
      <c r="AO602" s="380"/>
      <c r="AP602" s="380"/>
      <c r="AQ602" s="404"/>
      <c r="AR602" s="380"/>
      <c r="AS602" s="380"/>
      <c r="AT602" s="380"/>
      <c r="AU602" s="380"/>
      <c r="AV602" s="380"/>
      <c r="AW602" s="380"/>
      <c r="AX602" s="380"/>
      <c r="AY602" s="403"/>
      <c r="AZ602" s="380"/>
      <c r="BA602" s="380"/>
      <c r="BB602" s="380"/>
      <c r="BC602" s="380"/>
      <c r="BD602" s="380"/>
      <c r="BE602" s="404"/>
      <c r="BF602" s="380"/>
      <c r="BG602" s="380"/>
      <c r="BH602" s="380"/>
      <c r="BI602" s="380"/>
      <c r="BJ602" s="380"/>
      <c r="BK602" s="380"/>
      <c r="BL602" s="380"/>
      <c r="BM602" s="403"/>
      <c r="BS602" s="83"/>
      <c r="CA602" s="405"/>
      <c r="CG602" s="83"/>
      <c r="CO602" s="405"/>
      <c r="CU602" s="83"/>
      <c r="DC602" s="405"/>
      <c r="DI602" s="83"/>
      <c r="DQ602" s="405"/>
      <c r="DW602" s="83"/>
      <c r="EE602" s="405"/>
      <c r="EK602" s="83"/>
      <c r="ES602" s="405"/>
      <c r="EY602" s="83"/>
      <c r="FG602" s="405"/>
      <c r="FM602" s="83"/>
      <c r="FU602" s="405"/>
      <c r="GA602" s="83"/>
      <c r="GI602" s="405"/>
      <c r="GO602" s="83"/>
      <c r="GW602" s="405"/>
      <c r="HC602" s="83"/>
      <c r="HK602" s="405"/>
      <c r="HQ602" s="83"/>
      <c r="HY602" s="405"/>
      <c r="IE602" s="83"/>
      <c r="IM602" s="405"/>
      <c r="IS602" s="83"/>
      <c r="JA602" s="405"/>
      <c r="JG602" s="83"/>
      <c r="JO602" s="405"/>
      <c r="JU602" s="83"/>
      <c r="KC602" s="405"/>
      <c r="KI602" s="83"/>
      <c r="KQ602" s="405"/>
      <c r="KW602" s="83"/>
      <c r="LE602" s="405"/>
      <c r="LK602" s="83"/>
      <c r="LS602" s="405"/>
      <c r="LY602" s="83"/>
      <c r="MG602" s="405"/>
      <c r="MM602" s="83"/>
      <c r="MU602" s="405"/>
      <c r="NA602" s="83"/>
    </row>
    <row r="603">
      <c r="A603" s="380"/>
      <c r="B603" s="380"/>
      <c r="C603" s="380"/>
      <c r="D603" s="380"/>
      <c r="E603" s="380"/>
      <c r="F603" s="380"/>
      <c r="G603" s="380"/>
      <c r="H603" s="380"/>
      <c r="I603" s="403"/>
      <c r="J603" s="380"/>
      <c r="K603" s="380"/>
      <c r="L603" s="380"/>
      <c r="M603" s="380"/>
      <c r="N603" s="380"/>
      <c r="O603" s="404"/>
      <c r="P603" s="380"/>
      <c r="Q603" s="380"/>
      <c r="R603" s="380"/>
      <c r="S603" s="380"/>
      <c r="T603" s="380"/>
      <c r="U603" s="380"/>
      <c r="V603" s="380"/>
      <c r="W603" s="403"/>
      <c r="X603" s="380"/>
      <c r="Y603" s="380"/>
      <c r="Z603" s="380"/>
      <c r="AA603" s="380"/>
      <c r="AB603" s="380"/>
      <c r="AC603" s="404"/>
      <c r="AD603" s="380"/>
      <c r="AE603" s="380"/>
      <c r="AF603" s="380"/>
      <c r="AG603" s="380"/>
      <c r="AH603" s="380"/>
      <c r="AI603" s="380"/>
      <c r="AJ603" s="380"/>
      <c r="AK603" s="403"/>
      <c r="AL603" s="380"/>
      <c r="AM603" s="380"/>
      <c r="AN603" s="380"/>
      <c r="AO603" s="380"/>
      <c r="AP603" s="380"/>
      <c r="AQ603" s="404"/>
      <c r="AR603" s="380"/>
      <c r="AS603" s="380"/>
      <c r="AT603" s="380"/>
      <c r="AU603" s="380"/>
      <c r="AV603" s="380"/>
      <c r="AW603" s="380"/>
      <c r="AX603" s="380"/>
      <c r="AY603" s="403"/>
      <c r="AZ603" s="380"/>
      <c r="BA603" s="380"/>
      <c r="BB603" s="380"/>
      <c r="BC603" s="380"/>
      <c r="BD603" s="380"/>
      <c r="BE603" s="404"/>
      <c r="BF603" s="380"/>
      <c r="BG603" s="380"/>
      <c r="BH603" s="380"/>
      <c r="BI603" s="380"/>
      <c r="BJ603" s="380"/>
      <c r="BK603" s="380"/>
      <c r="BL603" s="380"/>
      <c r="BM603" s="403"/>
      <c r="BS603" s="83"/>
      <c r="CA603" s="405"/>
      <c r="CG603" s="83"/>
      <c r="CO603" s="405"/>
      <c r="CU603" s="83"/>
      <c r="DC603" s="405"/>
      <c r="DI603" s="83"/>
      <c r="DQ603" s="405"/>
      <c r="DW603" s="83"/>
      <c r="EE603" s="405"/>
      <c r="EK603" s="83"/>
      <c r="ES603" s="405"/>
      <c r="EY603" s="83"/>
      <c r="FG603" s="405"/>
      <c r="FM603" s="83"/>
      <c r="FU603" s="405"/>
      <c r="GA603" s="83"/>
      <c r="GI603" s="405"/>
      <c r="GO603" s="83"/>
      <c r="GW603" s="405"/>
      <c r="HC603" s="83"/>
      <c r="HK603" s="405"/>
      <c r="HQ603" s="83"/>
      <c r="HY603" s="405"/>
      <c r="IE603" s="83"/>
      <c r="IM603" s="405"/>
      <c r="IS603" s="83"/>
      <c r="JA603" s="405"/>
      <c r="JG603" s="83"/>
      <c r="JO603" s="405"/>
      <c r="JU603" s="83"/>
      <c r="KC603" s="405"/>
      <c r="KI603" s="83"/>
      <c r="KQ603" s="405"/>
      <c r="KW603" s="83"/>
      <c r="LE603" s="405"/>
      <c r="LK603" s="83"/>
      <c r="LS603" s="405"/>
      <c r="LY603" s="83"/>
      <c r="MG603" s="405"/>
      <c r="MM603" s="83"/>
      <c r="MU603" s="405"/>
      <c r="NA603" s="83"/>
    </row>
    <row r="604">
      <c r="A604" s="380"/>
      <c r="B604" s="380"/>
      <c r="C604" s="380"/>
      <c r="D604" s="380"/>
      <c r="E604" s="380"/>
      <c r="F604" s="380"/>
      <c r="G604" s="380"/>
      <c r="H604" s="380"/>
      <c r="I604" s="403"/>
      <c r="J604" s="380"/>
      <c r="K604" s="380"/>
      <c r="L604" s="380"/>
      <c r="M604" s="380"/>
      <c r="N604" s="380"/>
      <c r="O604" s="404"/>
      <c r="P604" s="380"/>
      <c r="Q604" s="380"/>
      <c r="R604" s="380"/>
      <c r="S604" s="380"/>
      <c r="T604" s="380"/>
      <c r="U604" s="380"/>
      <c r="V604" s="380"/>
      <c r="W604" s="403"/>
      <c r="X604" s="380"/>
      <c r="Y604" s="380"/>
      <c r="Z604" s="380"/>
      <c r="AA604" s="380"/>
      <c r="AB604" s="380"/>
      <c r="AC604" s="404"/>
      <c r="AD604" s="380"/>
      <c r="AE604" s="380"/>
      <c r="AF604" s="380"/>
      <c r="AG604" s="380"/>
      <c r="AH604" s="380"/>
      <c r="AI604" s="380"/>
      <c r="AJ604" s="380"/>
      <c r="AK604" s="403"/>
      <c r="AL604" s="380"/>
      <c r="AM604" s="380"/>
      <c r="AN604" s="380"/>
      <c r="AO604" s="380"/>
      <c r="AP604" s="380"/>
      <c r="AQ604" s="404"/>
      <c r="AR604" s="380"/>
      <c r="AS604" s="380"/>
      <c r="AT604" s="380"/>
      <c r="AU604" s="380"/>
      <c r="AV604" s="380"/>
      <c r="AW604" s="380"/>
      <c r="AX604" s="380"/>
      <c r="AY604" s="403"/>
      <c r="AZ604" s="380"/>
      <c r="BA604" s="380"/>
      <c r="BB604" s="380"/>
      <c r="BC604" s="380"/>
      <c r="BD604" s="380"/>
      <c r="BE604" s="404"/>
      <c r="BF604" s="380"/>
      <c r="BG604" s="380"/>
      <c r="BH604" s="380"/>
      <c r="BI604" s="380"/>
      <c r="BJ604" s="380"/>
      <c r="BK604" s="380"/>
      <c r="BL604" s="380"/>
      <c r="BM604" s="403"/>
      <c r="BS604" s="83"/>
      <c r="CA604" s="405"/>
      <c r="CG604" s="83"/>
      <c r="CO604" s="405"/>
      <c r="CU604" s="83"/>
      <c r="DC604" s="405"/>
      <c r="DI604" s="83"/>
      <c r="DQ604" s="405"/>
      <c r="DW604" s="83"/>
      <c r="EE604" s="405"/>
      <c r="EK604" s="83"/>
      <c r="ES604" s="405"/>
      <c r="EY604" s="83"/>
      <c r="FG604" s="405"/>
      <c r="FM604" s="83"/>
      <c r="FU604" s="405"/>
      <c r="GA604" s="83"/>
      <c r="GI604" s="405"/>
      <c r="GO604" s="83"/>
      <c r="GW604" s="405"/>
      <c r="HC604" s="83"/>
      <c r="HK604" s="405"/>
      <c r="HQ604" s="83"/>
      <c r="HY604" s="405"/>
      <c r="IE604" s="83"/>
      <c r="IM604" s="405"/>
      <c r="IS604" s="83"/>
      <c r="JA604" s="405"/>
      <c r="JG604" s="83"/>
      <c r="JO604" s="405"/>
      <c r="JU604" s="83"/>
      <c r="KC604" s="405"/>
      <c r="KI604" s="83"/>
      <c r="KQ604" s="405"/>
      <c r="KW604" s="83"/>
      <c r="LE604" s="405"/>
      <c r="LK604" s="83"/>
      <c r="LS604" s="405"/>
      <c r="LY604" s="83"/>
      <c r="MG604" s="405"/>
      <c r="MM604" s="83"/>
      <c r="MU604" s="405"/>
      <c r="NA604" s="83"/>
    </row>
    <row r="605">
      <c r="A605" s="380"/>
      <c r="B605" s="380"/>
      <c r="C605" s="380"/>
      <c r="D605" s="380"/>
      <c r="E605" s="380"/>
      <c r="F605" s="380"/>
      <c r="G605" s="380"/>
      <c r="H605" s="380"/>
      <c r="I605" s="403"/>
      <c r="J605" s="380"/>
      <c r="K605" s="380"/>
      <c r="L605" s="380"/>
      <c r="M605" s="380"/>
      <c r="N605" s="380"/>
      <c r="O605" s="404"/>
      <c r="P605" s="380"/>
      <c r="Q605" s="380"/>
      <c r="R605" s="380"/>
      <c r="S605" s="380"/>
      <c r="T605" s="380"/>
      <c r="U605" s="380"/>
      <c r="V605" s="380"/>
      <c r="W605" s="403"/>
      <c r="X605" s="380"/>
      <c r="Y605" s="380"/>
      <c r="Z605" s="380"/>
      <c r="AA605" s="380"/>
      <c r="AB605" s="380"/>
      <c r="AC605" s="404"/>
      <c r="AD605" s="380"/>
      <c r="AE605" s="380"/>
      <c r="AF605" s="380"/>
      <c r="AG605" s="380"/>
      <c r="AH605" s="380"/>
      <c r="AI605" s="380"/>
      <c r="AJ605" s="380"/>
      <c r="AK605" s="403"/>
      <c r="AL605" s="380"/>
      <c r="AM605" s="380"/>
      <c r="AN605" s="380"/>
      <c r="AO605" s="380"/>
      <c r="AP605" s="380"/>
      <c r="AQ605" s="404"/>
      <c r="AR605" s="380"/>
      <c r="AS605" s="380"/>
      <c r="AT605" s="380"/>
      <c r="AU605" s="380"/>
      <c r="AV605" s="380"/>
      <c r="AW605" s="380"/>
      <c r="AX605" s="380"/>
      <c r="AY605" s="403"/>
      <c r="AZ605" s="380"/>
      <c r="BA605" s="380"/>
      <c r="BB605" s="380"/>
      <c r="BC605" s="380"/>
      <c r="BD605" s="380"/>
      <c r="BE605" s="404"/>
      <c r="BF605" s="380"/>
      <c r="BG605" s="380"/>
      <c r="BH605" s="380"/>
      <c r="BI605" s="380"/>
      <c r="BJ605" s="380"/>
      <c r="BK605" s="380"/>
      <c r="BL605" s="380"/>
      <c r="BM605" s="403"/>
      <c r="BS605" s="83"/>
      <c r="CA605" s="405"/>
      <c r="CG605" s="83"/>
      <c r="CO605" s="405"/>
      <c r="CU605" s="83"/>
      <c r="DC605" s="405"/>
      <c r="DI605" s="83"/>
      <c r="DQ605" s="405"/>
      <c r="DW605" s="83"/>
      <c r="EE605" s="405"/>
      <c r="EK605" s="83"/>
      <c r="ES605" s="405"/>
      <c r="EY605" s="83"/>
      <c r="FG605" s="405"/>
      <c r="FM605" s="83"/>
      <c r="FU605" s="405"/>
      <c r="GA605" s="83"/>
      <c r="GI605" s="405"/>
      <c r="GO605" s="83"/>
      <c r="GW605" s="405"/>
      <c r="HC605" s="83"/>
      <c r="HK605" s="405"/>
      <c r="HQ605" s="83"/>
      <c r="HY605" s="405"/>
      <c r="IE605" s="83"/>
      <c r="IM605" s="405"/>
      <c r="IS605" s="83"/>
      <c r="JA605" s="405"/>
      <c r="JG605" s="83"/>
      <c r="JO605" s="405"/>
      <c r="JU605" s="83"/>
      <c r="KC605" s="405"/>
      <c r="KI605" s="83"/>
      <c r="KQ605" s="405"/>
      <c r="KW605" s="83"/>
      <c r="LE605" s="405"/>
      <c r="LK605" s="83"/>
      <c r="LS605" s="405"/>
      <c r="LY605" s="83"/>
      <c r="MG605" s="405"/>
      <c r="MM605" s="83"/>
      <c r="MU605" s="405"/>
      <c r="NA605" s="83"/>
    </row>
    <row r="606">
      <c r="A606" s="380"/>
      <c r="B606" s="380"/>
      <c r="C606" s="380"/>
      <c r="D606" s="380"/>
      <c r="E606" s="380"/>
      <c r="F606" s="380"/>
      <c r="G606" s="380"/>
      <c r="H606" s="380"/>
      <c r="I606" s="403"/>
      <c r="J606" s="380"/>
      <c r="K606" s="380"/>
      <c r="L606" s="380"/>
      <c r="M606" s="380"/>
      <c r="N606" s="380"/>
      <c r="O606" s="404"/>
      <c r="P606" s="380"/>
      <c r="Q606" s="380"/>
      <c r="R606" s="380"/>
      <c r="S606" s="380"/>
      <c r="T606" s="380"/>
      <c r="U606" s="380"/>
      <c r="V606" s="380"/>
      <c r="W606" s="403"/>
      <c r="X606" s="380"/>
      <c r="Y606" s="380"/>
      <c r="Z606" s="380"/>
      <c r="AA606" s="380"/>
      <c r="AB606" s="380"/>
      <c r="AC606" s="404"/>
      <c r="AD606" s="380"/>
      <c r="AE606" s="380"/>
      <c r="AF606" s="380"/>
      <c r="AG606" s="380"/>
      <c r="AH606" s="380"/>
      <c r="AI606" s="380"/>
      <c r="AJ606" s="380"/>
      <c r="AK606" s="403"/>
      <c r="AL606" s="380"/>
      <c r="AM606" s="380"/>
      <c r="AN606" s="380"/>
      <c r="AO606" s="380"/>
      <c r="AP606" s="380"/>
      <c r="AQ606" s="404"/>
      <c r="AR606" s="380"/>
      <c r="AS606" s="380"/>
      <c r="AT606" s="380"/>
      <c r="AU606" s="380"/>
      <c r="AV606" s="380"/>
      <c r="AW606" s="380"/>
      <c r="AX606" s="380"/>
      <c r="AY606" s="403"/>
      <c r="AZ606" s="380"/>
      <c r="BA606" s="380"/>
      <c r="BB606" s="380"/>
      <c r="BC606" s="380"/>
      <c r="BD606" s="380"/>
      <c r="BE606" s="404"/>
      <c r="BF606" s="380"/>
      <c r="BG606" s="380"/>
      <c r="BH606" s="380"/>
      <c r="BI606" s="380"/>
      <c r="BJ606" s="380"/>
      <c r="BK606" s="380"/>
      <c r="BL606" s="380"/>
      <c r="BM606" s="403"/>
      <c r="BS606" s="83"/>
      <c r="CA606" s="405"/>
      <c r="CG606" s="83"/>
      <c r="CO606" s="405"/>
      <c r="CU606" s="83"/>
      <c r="DC606" s="405"/>
      <c r="DI606" s="83"/>
      <c r="DQ606" s="405"/>
      <c r="DW606" s="83"/>
      <c r="EE606" s="405"/>
      <c r="EK606" s="83"/>
      <c r="ES606" s="405"/>
      <c r="EY606" s="83"/>
      <c r="FG606" s="405"/>
      <c r="FM606" s="83"/>
      <c r="FU606" s="405"/>
      <c r="GA606" s="83"/>
      <c r="GI606" s="405"/>
      <c r="GO606" s="83"/>
      <c r="GW606" s="405"/>
      <c r="HC606" s="83"/>
      <c r="HK606" s="405"/>
      <c r="HQ606" s="83"/>
      <c r="HY606" s="405"/>
      <c r="IE606" s="83"/>
      <c r="IM606" s="405"/>
      <c r="IS606" s="83"/>
      <c r="JA606" s="405"/>
      <c r="JG606" s="83"/>
      <c r="JO606" s="405"/>
      <c r="JU606" s="83"/>
      <c r="KC606" s="405"/>
      <c r="KI606" s="83"/>
      <c r="KQ606" s="405"/>
      <c r="KW606" s="83"/>
      <c r="LE606" s="405"/>
      <c r="LK606" s="83"/>
      <c r="LS606" s="405"/>
      <c r="LY606" s="83"/>
      <c r="MG606" s="405"/>
      <c r="MM606" s="83"/>
      <c r="MU606" s="405"/>
      <c r="NA606" s="83"/>
    </row>
    <row r="607">
      <c r="A607" s="380"/>
      <c r="B607" s="380"/>
      <c r="C607" s="380"/>
      <c r="D607" s="380"/>
      <c r="E607" s="380"/>
      <c r="F607" s="380"/>
      <c r="G607" s="380"/>
      <c r="H607" s="380"/>
      <c r="I607" s="403"/>
      <c r="J607" s="380"/>
      <c r="K607" s="380"/>
      <c r="L607" s="380"/>
      <c r="M607" s="380"/>
      <c r="N607" s="380"/>
      <c r="O607" s="404"/>
      <c r="P607" s="380"/>
      <c r="Q607" s="380"/>
      <c r="R607" s="380"/>
      <c r="S607" s="380"/>
      <c r="T607" s="380"/>
      <c r="U607" s="380"/>
      <c r="V607" s="380"/>
      <c r="W607" s="403"/>
      <c r="X607" s="380"/>
      <c r="Y607" s="380"/>
      <c r="Z607" s="380"/>
      <c r="AA607" s="380"/>
      <c r="AB607" s="380"/>
      <c r="AC607" s="404"/>
      <c r="AD607" s="380"/>
      <c r="AE607" s="380"/>
      <c r="AF607" s="380"/>
      <c r="AG607" s="380"/>
      <c r="AH607" s="380"/>
      <c r="AI607" s="380"/>
      <c r="AJ607" s="380"/>
      <c r="AK607" s="403"/>
      <c r="AL607" s="380"/>
      <c r="AM607" s="380"/>
      <c r="AN607" s="380"/>
      <c r="AO607" s="380"/>
      <c r="AP607" s="380"/>
      <c r="AQ607" s="404"/>
      <c r="AR607" s="380"/>
      <c r="AS607" s="380"/>
      <c r="AT607" s="380"/>
      <c r="AU607" s="380"/>
      <c r="AV607" s="380"/>
      <c r="AW607" s="380"/>
      <c r="AX607" s="380"/>
      <c r="AY607" s="403"/>
      <c r="AZ607" s="380"/>
      <c r="BA607" s="380"/>
      <c r="BB607" s="380"/>
      <c r="BC607" s="380"/>
      <c r="BD607" s="380"/>
      <c r="BE607" s="404"/>
      <c r="BF607" s="380"/>
      <c r="BG607" s="380"/>
      <c r="BH607" s="380"/>
      <c r="BI607" s="380"/>
      <c r="BJ607" s="380"/>
      <c r="BK607" s="380"/>
      <c r="BL607" s="380"/>
      <c r="BM607" s="403"/>
      <c r="BS607" s="83"/>
      <c r="CA607" s="405"/>
      <c r="CG607" s="83"/>
      <c r="CO607" s="405"/>
      <c r="CU607" s="83"/>
      <c r="DC607" s="405"/>
      <c r="DI607" s="83"/>
      <c r="DQ607" s="405"/>
      <c r="DW607" s="83"/>
      <c r="EE607" s="405"/>
      <c r="EK607" s="83"/>
      <c r="ES607" s="405"/>
      <c r="EY607" s="83"/>
      <c r="FG607" s="405"/>
      <c r="FM607" s="83"/>
      <c r="FU607" s="405"/>
      <c r="GA607" s="83"/>
      <c r="GI607" s="405"/>
      <c r="GO607" s="83"/>
      <c r="GW607" s="405"/>
      <c r="HC607" s="83"/>
      <c r="HK607" s="405"/>
      <c r="HQ607" s="83"/>
      <c r="HY607" s="405"/>
      <c r="IE607" s="83"/>
      <c r="IM607" s="405"/>
      <c r="IS607" s="83"/>
      <c r="JA607" s="405"/>
      <c r="JG607" s="83"/>
      <c r="JO607" s="405"/>
      <c r="JU607" s="83"/>
      <c r="KC607" s="405"/>
      <c r="KI607" s="83"/>
      <c r="KQ607" s="405"/>
      <c r="KW607" s="83"/>
      <c r="LE607" s="405"/>
      <c r="LK607" s="83"/>
      <c r="LS607" s="405"/>
      <c r="LY607" s="83"/>
      <c r="MG607" s="405"/>
      <c r="MM607" s="83"/>
      <c r="MU607" s="405"/>
      <c r="NA607" s="83"/>
    </row>
    <row r="608">
      <c r="A608" s="380"/>
      <c r="B608" s="380"/>
      <c r="C608" s="380"/>
      <c r="D608" s="380"/>
      <c r="E608" s="380"/>
      <c r="F608" s="380"/>
      <c r="G608" s="380"/>
      <c r="H608" s="380"/>
      <c r="I608" s="403"/>
      <c r="J608" s="380"/>
      <c r="K608" s="380"/>
      <c r="L608" s="380"/>
      <c r="M608" s="380"/>
      <c r="N608" s="380"/>
      <c r="O608" s="404"/>
      <c r="P608" s="380"/>
      <c r="Q608" s="380"/>
      <c r="R608" s="380"/>
      <c r="S608" s="380"/>
      <c r="T608" s="380"/>
      <c r="U608" s="380"/>
      <c r="V608" s="380"/>
      <c r="W608" s="403"/>
      <c r="X608" s="380"/>
      <c r="Y608" s="380"/>
      <c r="Z608" s="380"/>
      <c r="AA608" s="380"/>
      <c r="AB608" s="380"/>
      <c r="AC608" s="404"/>
      <c r="AD608" s="380"/>
      <c r="AE608" s="380"/>
      <c r="AF608" s="380"/>
      <c r="AG608" s="380"/>
      <c r="AH608" s="380"/>
      <c r="AI608" s="380"/>
      <c r="AJ608" s="380"/>
      <c r="AK608" s="403"/>
      <c r="AL608" s="380"/>
      <c r="AM608" s="380"/>
      <c r="AN608" s="380"/>
      <c r="AO608" s="380"/>
      <c r="AP608" s="380"/>
      <c r="AQ608" s="404"/>
      <c r="AR608" s="380"/>
      <c r="AS608" s="380"/>
      <c r="AT608" s="380"/>
      <c r="AU608" s="380"/>
      <c r="AV608" s="380"/>
      <c r="AW608" s="380"/>
      <c r="AX608" s="380"/>
      <c r="AY608" s="403"/>
      <c r="AZ608" s="380"/>
      <c r="BA608" s="380"/>
      <c r="BB608" s="380"/>
      <c r="BC608" s="380"/>
      <c r="BD608" s="380"/>
      <c r="BE608" s="404"/>
      <c r="BF608" s="380"/>
      <c r="BG608" s="380"/>
      <c r="BH608" s="380"/>
      <c r="BI608" s="380"/>
      <c r="BJ608" s="380"/>
      <c r="BK608" s="380"/>
      <c r="BL608" s="380"/>
      <c r="BM608" s="403"/>
      <c r="BS608" s="83"/>
      <c r="CA608" s="405"/>
      <c r="CG608" s="83"/>
      <c r="CO608" s="405"/>
      <c r="CU608" s="83"/>
      <c r="DC608" s="405"/>
      <c r="DI608" s="83"/>
      <c r="DQ608" s="405"/>
      <c r="DW608" s="83"/>
      <c r="EE608" s="405"/>
      <c r="EK608" s="83"/>
      <c r="ES608" s="405"/>
      <c r="EY608" s="83"/>
      <c r="FG608" s="405"/>
      <c r="FM608" s="83"/>
      <c r="FU608" s="405"/>
      <c r="GA608" s="83"/>
      <c r="GI608" s="405"/>
      <c r="GO608" s="83"/>
      <c r="GW608" s="405"/>
      <c r="HC608" s="83"/>
      <c r="HK608" s="405"/>
      <c r="HQ608" s="83"/>
      <c r="HY608" s="405"/>
      <c r="IE608" s="83"/>
      <c r="IM608" s="405"/>
      <c r="IS608" s="83"/>
      <c r="JA608" s="405"/>
      <c r="JG608" s="83"/>
      <c r="JO608" s="405"/>
      <c r="JU608" s="83"/>
      <c r="KC608" s="405"/>
      <c r="KI608" s="83"/>
      <c r="KQ608" s="405"/>
      <c r="KW608" s="83"/>
      <c r="LE608" s="405"/>
      <c r="LK608" s="83"/>
      <c r="LS608" s="405"/>
      <c r="LY608" s="83"/>
      <c r="MG608" s="405"/>
      <c r="MM608" s="83"/>
      <c r="MU608" s="405"/>
      <c r="NA608" s="83"/>
    </row>
    <row r="609">
      <c r="A609" s="380"/>
      <c r="B609" s="380"/>
      <c r="C609" s="380"/>
      <c r="D609" s="380"/>
      <c r="E609" s="380"/>
      <c r="F609" s="380"/>
      <c r="G609" s="380"/>
      <c r="H609" s="380"/>
      <c r="I609" s="403"/>
      <c r="J609" s="380"/>
      <c r="K609" s="380"/>
      <c r="L609" s="380"/>
      <c r="M609" s="380"/>
      <c r="N609" s="380"/>
      <c r="O609" s="404"/>
      <c r="P609" s="380"/>
      <c r="Q609" s="380"/>
      <c r="R609" s="380"/>
      <c r="S609" s="380"/>
      <c r="T609" s="380"/>
      <c r="U609" s="380"/>
      <c r="V609" s="380"/>
      <c r="W609" s="403"/>
      <c r="X609" s="380"/>
      <c r="Y609" s="380"/>
      <c r="Z609" s="380"/>
      <c r="AA609" s="380"/>
      <c r="AB609" s="380"/>
      <c r="AC609" s="404"/>
      <c r="AD609" s="380"/>
      <c r="AE609" s="380"/>
      <c r="AF609" s="380"/>
      <c r="AG609" s="380"/>
      <c r="AH609" s="380"/>
      <c r="AI609" s="380"/>
      <c r="AJ609" s="380"/>
      <c r="AK609" s="403"/>
      <c r="AL609" s="380"/>
      <c r="AM609" s="380"/>
      <c r="AN609" s="380"/>
      <c r="AO609" s="380"/>
      <c r="AP609" s="380"/>
      <c r="AQ609" s="404"/>
      <c r="AR609" s="380"/>
      <c r="AS609" s="380"/>
      <c r="AT609" s="380"/>
      <c r="AU609" s="380"/>
      <c r="AV609" s="380"/>
      <c r="AW609" s="380"/>
      <c r="AX609" s="380"/>
      <c r="AY609" s="403"/>
      <c r="AZ609" s="380"/>
      <c r="BA609" s="380"/>
      <c r="BB609" s="380"/>
      <c r="BC609" s="380"/>
      <c r="BD609" s="380"/>
      <c r="BE609" s="404"/>
      <c r="BF609" s="380"/>
      <c r="BG609" s="380"/>
      <c r="BH609" s="380"/>
      <c r="BI609" s="380"/>
      <c r="BJ609" s="380"/>
      <c r="BK609" s="380"/>
      <c r="BL609" s="380"/>
      <c r="BM609" s="403"/>
      <c r="BS609" s="83"/>
      <c r="CA609" s="405"/>
      <c r="CG609" s="83"/>
      <c r="CO609" s="405"/>
      <c r="CU609" s="83"/>
      <c r="DC609" s="405"/>
      <c r="DI609" s="83"/>
      <c r="DQ609" s="405"/>
      <c r="DW609" s="83"/>
      <c r="EE609" s="405"/>
      <c r="EK609" s="83"/>
      <c r="ES609" s="405"/>
      <c r="EY609" s="83"/>
      <c r="FG609" s="405"/>
      <c r="FM609" s="83"/>
      <c r="FU609" s="405"/>
      <c r="GA609" s="83"/>
      <c r="GI609" s="405"/>
      <c r="GO609" s="83"/>
      <c r="GW609" s="405"/>
      <c r="HC609" s="83"/>
      <c r="HK609" s="405"/>
      <c r="HQ609" s="83"/>
      <c r="HY609" s="405"/>
      <c r="IE609" s="83"/>
      <c r="IM609" s="405"/>
      <c r="IS609" s="83"/>
      <c r="JA609" s="405"/>
      <c r="JG609" s="83"/>
      <c r="JO609" s="405"/>
      <c r="JU609" s="83"/>
      <c r="KC609" s="405"/>
      <c r="KI609" s="83"/>
      <c r="KQ609" s="405"/>
      <c r="KW609" s="83"/>
      <c r="LE609" s="405"/>
      <c r="LK609" s="83"/>
      <c r="LS609" s="405"/>
      <c r="LY609" s="83"/>
      <c r="MG609" s="405"/>
      <c r="MM609" s="83"/>
      <c r="MU609" s="405"/>
      <c r="NA609" s="83"/>
    </row>
    <row r="610">
      <c r="A610" s="380"/>
      <c r="B610" s="380"/>
      <c r="C610" s="380"/>
      <c r="D610" s="380"/>
      <c r="E610" s="380"/>
      <c r="F610" s="380"/>
      <c r="G610" s="380"/>
      <c r="H610" s="380"/>
      <c r="I610" s="403"/>
      <c r="J610" s="380"/>
      <c r="K610" s="380"/>
      <c r="L610" s="380"/>
      <c r="M610" s="380"/>
      <c r="N610" s="380"/>
      <c r="O610" s="404"/>
      <c r="P610" s="380"/>
      <c r="Q610" s="380"/>
      <c r="R610" s="380"/>
      <c r="S610" s="380"/>
      <c r="T610" s="380"/>
      <c r="U610" s="380"/>
      <c r="V610" s="380"/>
      <c r="W610" s="403"/>
      <c r="X610" s="380"/>
      <c r="Y610" s="380"/>
      <c r="Z610" s="380"/>
      <c r="AA610" s="380"/>
      <c r="AB610" s="380"/>
      <c r="AC610" s="404"/>
      <c r="AD610" s="380"/>
      <c r="AE610" s="380"/>
      <c r="AF610" s="380"/>
      <c r="AG610" s="380"/>
      <c r="AH610" s="380"/>
      <c r="AI610" s="380"/>
      <c r="AJ610" s="380"/>
      <c r="AK610" s="403"/>
      <c r="AL610" s="380"/>
      <c r="AM610" s="380"/>
      <c r="AN610" s="380"/>
      <c r="AO610" s="380"/>
      <c r="AP610" s="380"/>
      <c r="AQ610" s="404"/>
      <c r="AR610" s="380"/>
      <c r="AS610" s="380"/>
      <c r="AT610" s="380"/>
      <c r="AU610" s="380"/>
      <c r="AV610" s="380"/>
      <c r="AW610" s="380"/>
      <c r="AX610" s="380"/>
      <c r="AY610" s="403"/>
      <c r="AZ610" s="380"/>
      <c r="BA610" s="380"/>
      <c r="BB610" s="380"/>
      <c r="BC610" s="380"/>
      <c r="BD610" s="380"/>
      <c r="BE610" s="404"/>
      <c r="BF610" s="380"/>
      <c r="BG610" s="380"/>
      <c r="BH610" s="380"/>
      <c r="BI610" s="380"/>
      <c r="BJ610" s="380"/>
      <c r="BK610" s="380"/>
      <c r="BL610" s="380"/>
      <c r="BM610" s="403"/>
      <c r="BS610" s="83"/>
      <c r="CA610" s="405"/>
      <c r="CG610" s="83"/>
      <c r="CO610" s="405"/>
      <c r="CU610" s="83"/>
      <c r="DC610" s="405"/>
      <c r="DI610" s="83"/>
      <c r="DQ610" s="405"/>
      <c r="DW610" s="83"/>
      <c r="EE610" s="405"/>
      <c r="EK610" s="83"/>
      <c r="ES610" s="405"/>
      <c r="EY610" s="83"/>
      <c r="FG610" s="405"/>
      <c r="FM610" s="83"/>
      <c r="FU610" s="405"/>
      <c r="GA610" s="83"/>
      <c r="GI610" s="405"/>
      <c r="GO610" s="83"/>
      <c r="GW610" s="405"/>
      <c r="HC610" s="83"/>
      <c r="HK610" s="405"/>
      <c r="HQ610" s="83"/>
      <c r="HY610" s="405"/>
      <c r="IE610" s="83"/>
      <c r="IM610" s="405"/>
      <c r="IS610" s="83"/>
      <c r="JA610" s="405"/>
      <c r="JG610" s="83"/>
      <c r="JO610" s="405"/>
      <c r="JU610" s="83"/>
      <c r="KC610" s="405"/>
      <c r="KI610" s="83"/>
      <c r="KQ610" s="405"/>
      <c r="KW610" s="83"/>
      <c r="LE610" s="405"/>
      <c r="LK610" s="83"/>
      <c r="LS610" s="405"/>
      <c r="LY610" s="83"/>
      <c r="MG610" s="405"/>
      <c r="MM610" s="83"/>
      <c r="MU610" s="405"/>
      <c r="NA610" s="83"/>
    </row>
    <row r="611">
      <c r="A611" s="380"/>
      <c r="B611" s="380"/>
      <c r="C611" s="380"/>
      <c r="D611" s="380"/>
      <c r="E611" s="380"/>
      <c r="F611" s="380"/>
      <c r="G611" s="380"/>
      <c r="H611" s="380"/>
      <c r="I611" s="403"/>
      <c r="J611" s="380"/>
      <c r="K611" s="380"/>
      <c r="L611" s="380"/>
      <c r="M611" s="380"/>
      <c r="N611" s="380"/>
      <c r="O611" s="404"/>
      <c r="P611" s="380"/>
      <c r="Q611" s="380"/>
      <c r="R611" s="380"/>
      <c r="S611" s="380"/>
      <c r="T611" s="380"/>
      <c r="U611" s="380"/>
      <c r="V611" s="380"/>
      <c r="W611" s="403"/>
      <c r="X611" s="380"/>
      <c r="Y611" s="380"/>
      <c r="Z611" s="380"/>
      <c r="AA611" s="380"/>
      <c r="AB611" s="380"/>
      <c r="AC611" s="404"/>
      <c r="AD611" s="380"/>
      <c r="AE611" s="380"/>
      <c r="AF611" s="380"/>
      <c r="AG611" s="380"/>
      <c r="AH611" s="380"/>
      <c r="AI611" s="380"/>
      <c r="AJ611" s="380"/>
      <c r="AK611" s="403"/>
      <c r="AL611" s="380"/>
      <c r="AM611" s="380"/>
      <c r="AN611" s="380"/>
      <c r="AO611" s="380"/>
      <c r="AP611" s="380"/>
      <c r="AQ611" s="404"/>
      <c r="AR611" s="380"/>
      <c r="AS611" s="380"/>
      <c r="AT611" s="380"/>
      <c r="AU611" s="380"/>
      <c r="AV611" s="380"/>
      <c r="AW611" s="380"/>
      <c r="AX611" s="380"/>
      <c r="AY611" s="403"/>
      <c r="AZ611" s="380"/>
      <c r="BA611" s="380"/>
      <c r="BB611" s="380"/>
      <c r="BC611" s="380"/>
      <c r="BD611" s="380"/>
      <c r="BE611" s="404"/>
      <c r="BF611" s="380"/>
      <c r="BG611" s="380"/>
      <c r="BH611" s="380"/>
      <c r="BI611" s="380"/>
      <c r="BJ611" s="380"/>
      <c r="BK611" s="380"/>
      <c r="BL611" s="380"/>
      <c r="BM611" s="403"/>
      <c r="BS611" s="83"/>
      <c r="CA611" s="405"/>
      <c r="CG611" s="83"/>
      <c r="CO611" s="405"/>
      <c r="CU611" s="83"/>
      <c r="DC611" s="405"/>
      <c r="DI611" s="83"/>
      <c r="DQ611" s="405"/>
      <c r="DW611" s="83"/>
      <c r="EE611" s="405"/>
      <c r="EK611" s="83"/>
      <c r="ES611" s="405"/>
      <c r="EY611" s="83"/>
      <c r="FG611" s="405"/>
      <c r="FM611" s="83"/>
      <c r="FU611" s="405"/>
      <c r="GA611" s="83"/>
      <c r="GI611" s="405"/>
      <c r="GO611" s="83"/>
      <c r="GW611" s="405"/>
      <c r="HC611" s="83"/>
      <c r="HK611" s="405"/>
      <c r="HQ611" s="83"/>
      <c r="HY611" s="405"/>
      <c r="IE611" s="83"/>
      <c r="IM611" s="405"/>
      <c r="IS611" s="83"/>
      <c r="JA611" s="405"/>
      <c r="JG611" s="83"/>
      <c r="JO611" s="405"/>
      <c r="JU611" s="83"/>
      <c r="KC611" s="405"/>
      <c r="KI611" s="83"/>
      <c r="KQ611" s="405"/>
      <c r="KW611" s="83"/>
      <c r="LE611" s="405"/>
      <c r="LK611" s="83"/>
      <c r="LS611" s="405"/>
      <c r="LY611" s="83"/>
      <c r="MG611" s="405"/>
      <c r="MM611" s="83"/>
      <c r="MU611" s="405"/>
      <c r="NA611" s="83"/>
    </row>
    <row r="612">
      <c r="A612" s="380"/>
      <c r="B612" s="380"/>
      <c r="C612" s="380"/>
      <c r="D612" s="380"/>
      <c r="E612" s="380"/>
      <c r="F612" s="380"/>
      <c r="G612" s="380"/>
      <c r="H612" s="380"/>
      <c r="I612" s="403"/>
      <c r="J612" s="380"/>
      <c r="K612" s="380"/>
      <c r="L612" s="380"/>
      <c r="M612" s="380"/>
      <c r="N612" s="380"/>
      <c r="O612" s="404"/>
      <c r="P612" s="380"/>
      <c r="Q612" s="380"/>
      <c r="R612" s="380"/>
      <c r="S612" s="380"/>
      <c r="T612" s="380"/>
      <c r="U612" s="380"/>
      <c r="V612" s="380"/>
      <c r="W612" s="403"/>
      <c r="X612" s="380"/>
      <c r="Y612" s="380"/>
      <c r="Z612" s="380"/>
      <c r="AA612" s="380"/>
      <c r="AB612" s="380"/>
      <c r="AC612" s="404"/>
      <c r="AD612" s="380"/>
      <c r="AE612" s="380"/>
      <c r="AF612" s="380"/>
      <c r="AG612" s="380"/>
      <c r="AH612" s="380"/>
      <c r="AI612" s="380"/>
      <c r="AJ612" s="380"/>
      <c r="AK612" s="403"/>
      <c r="AL612" s="380"/>
      <c r="AM612" s="380"/>
      <c r="AN612" s="380"/>
      <c r="AO612" s="380"/>
      <c r="AP612" s="380"/>
      <c r="AQ612" s="404"/>
      <c r="AR612" s="380"/>
      <c r="AS612" s="380"/>
      <c r="AT612" s="380"/>
      <c r="AU612" s="380"/>
      <c r="AV612" s="380"/>
      <c r="AW612" s="380"/>
      <c r="AX612" s="380"/>
      <c r="AY612" s="403"/>
      <c r="AZ612" s="380"/>
      <c r="BA612" s="380"/>
      <c r="BB612" s="380"/>
      <c r="BC612" s="380"/>
      <c r="BD612" s="380"/>
      <c r="BE612" s="404"/>
      <c r="BF612" s="380"/>
      <c r="BG612" s="380"/>
      <c r="BH612" s="380"/>
      <c r="BI612" s="380"/>
      <c r="BJ612" s="380"/>
      <c r="BK612" s="380"/>
      <c r="BL612" s="380"/>
      <c r="BM612" s="403"/>
      <c r="BS612" s="83"/>
      <c r="CA612" s="405"/>
      <c r="CG612" s="83"/>
      <c r="CO612" s="405"/>
      <c r="CU612" s="83"/>
      <c r="DC612" s="405"/>
      <c r="DI612" s="83"/>
      <c r="DQ612" s="405"/>
      <c r="DW612" s="83"/>
      <c r="EE612" s="405"/>
      <c r="EK612" s="83"/>
      <c r="ES612" s="405"/>
      <c r="EY612" s="83"/>
      <c r="FG612" s="405"/>
      <c r="FM612" s="83"/>
      <c r="FU612" s="405"/>
      <c r="GA612" s="83"/>
      <c r="GI612" s="405"/>
      <c r="GO612" s="83"/>
      <c r="GW612" s="405"/>
      <c r="HC612" s="83"/>
      <c r="HK612" s="405"/>
      <c r="HQ612" s="83"/>
      <c r="HY612" s="405"/>
      <c r="IE612" s="83"/>
      <c r="IM612" s="405"/>
      <c r="IS612" s="83"/>
      <c r="JA612" s="405"/>
      <c r="JG612" s="83"/>
      <c r="JO612" s="405"/>
      <c r="JU612" s="83"/>
      <c r="KC612" s="405"/>
      <c r="KI612" s="83"/>
      <c r="KQ612" s="405"/>
      <c r="KW612" s="83"/>
      <c r="LE612" s="405"/>
      <c r="LK612" s="83"/>
      <c r="LS612" s="405"/>
      <c r="LY612" s="83"/>
      <c r="MG612" s="405"/>
      <c r="MM612" s="83"/>
      <c r="MU612" s="405"/>
      <c r="NA612" s="83"/>
    </row>
    <row r="613">
      <c r="A613" s="380"/>
      <c r="B613" s="380"/>
      <c r="C613" s="380"/>
      <c r="D613" s="380"/>
      <c r="E613" s="380"/>
      <c r="F613" s="380"/>
      <c r="G613" s="380"/>
      <c r="H613" s="380"/>
      <c r="I613" s="403"/>
      <c r="J613" s="380"/>
      <c r="K613" s="380"/>
      <c r="L613" s="380"/>
      <c r="M613" s="380"/>
      <c r="N613" s="380"/>
      <c r="O613" s="404"/>
      <c r="P613" s="380"/>
      <c r="Q613" s="380"/>
      <c r="R613" s="380"/>
      <c r="S613" s="380"/>
      <c r="T613" s="380"/>
      <c r="U613" s="380"/>
      <c r="V613" s="380"/>
      <c r="W613" s="403"/>
      <c r="X613" s="380"/>
      <c r="Y613" s="380"/>
      <c r="Z613" s="380"/>
      <c r="AA613" s="380"/>
      <c r="AB613" s="380"/>
      <c r="AC613" s="404"/>
      <c r="AD613" s="380"/>
      <c r="AE613" s="380"/>
      <c r="AF613" s="380"/>
      <c r="AG613" s="380"/>
      <c r="AH613" s="380"/>
      <c r="AI613" s="380"/>
      <c r="AJ613" s="380"/>
      <c r="AK613" s="403"/>
      <c r="AL613" s="380"/>
      <c r="AM613" s="380"/>
      <c r="AN613" s="380"/>
      <c r="AO613" s="380"/>
      <c r="AP613" s="380"/>
      <c r="AQ613" s="404"/>
      <c r="AR613" s="380"/>
      <c r="AS613" s="380"/>
      <c r="AT613" s="380"/>
      <c r="AU613" s="380"/>
      <c r="AV613" s="380"/>
      <c r="AW613" s="380"/>
      <c r="AX613" s="380"/>
      <c r="AY613" s="403"/>
      <c r="AZ613" s="380"/>
      <c r="BA613" s="380"/>
      <c r="BB613" s="380"/>
      <c r="BC613" s="380"/>
      <c r="BD613" s="380"/>
      <c r="BE613" s="404"/>
      <c r="BF613" s="380"/>
      <c r="BG613" s="380"/>
      <c r="BH613" s="380"/>
      <c r="BI613" s="380"/>
      <c r="BJ613" s="380"/>
      <c r="BK613" s="380"/>
      <c r="BL613" s="380"/>
      <c r="BM613" s="403"/>
      <c r="BS613" s="83"/>
      <c r="CA613" s="405"/>
      <c r="CG613" s="83"/>
      <c r="CO613" s="405"/>
      <c r="CU613" s="83"/>
      <c r="DC613" s="405"/>
      <c r="DI613" s="83"/>
      <c r="DQ613" s="405"/>
      <c r="DW613" s="83"/>
      <c r="EE613" s="405"/>
      <c r="EK613" s="83"/>
      <c r="ES613" s="405"/>
      <c r="EY613" s="83"/>
      <c r="FG613" s="405"/>
      <c r="FM613" s="83"/>
      <c r="FU613" s="405"/>
      <c r="GA613" s="83"/>
      <c r="GI613" s="405"/>
      <c r="GO613" s="83"/>
      <c r="GW613" s="405"/>
      <c r="HC613" s="83"/>
      <c r="HK613" s="405"/>
      <c r="HQ613" s="83"/>
      <c r="HY613" s="405"/>
      <c r="IE613" s="83"/>
      <c r="IM613" s="405"/>
      <c r="IS613" s="83"/>
      <c r="JA613" s="405"/>
      <c r="JG613" s="83"/>
      <c r="JO613" s="405"/>
      <c r="JU613" s="83"/>
      <c r="KC613" s="405"/>
      <c r="KI613" s="83"/>
      <c r="KQ613" s="405"/>
      <c r="KW613" s="83"/>
      <c r="LE613" s="405"/>
      <c r="LK613" s="83"/>
      <c r="LS613" s="405"/>
      <c r="LY613" s="83"/>
      <c r="MG613" s="405"/>
      <c r="MM613" s="83"/>
      <c r="MU613" s="405"/>
      <c r="NA613" s="83"/>
    </row>
    <row r="614">
      <c r="A614" s="380"/>
      <c r="B614" s="380"/>
      <c r="C614" s="380"/>
      <c r="D614" s="380"/>
      <c r="E614" s="380"/>
      <c r="F614" s="380"/>
      <c r="G614" s="380"/>
      <c r="H614" s="380"/>
      <c r="I614" s="403"/>
      <c r="J614" s="380"/>
      <c r="K614" s="380"/>
      <c r="L614" s="380"/>
      <c r="M614" s="380"/>
      <c r="N614" s="380"/>
      <c r="O614" s="404"/>
      <c r="P614" s="380"/>
      <c r="Q614" s="380"/>
      <c r="R614" s="380"/>
      <c r="S614" s="380"/>
      <c r="T614" s="380"/>
      <c r="U614" s="380"/>
      <c r="V614" s="380"/>
      <c r="W614" s="403"/>
      <c r="X614" s="380"/>
      <c r="Y614" s="380"/>
      <c r="Z614" s="380"/>
      <c r="AA614" s="380"/>
      <c r="AB614" s="380"/>
      <c r="AC614" s="404"/>
      <c r="AD614" s="380"/>
      <c r="AE614" s="380"/>
      <c r="AF614" s="380"/>
      <c r="AG614" s="380"/>
      <c r="AH614" s="380"/>
      <c r="AI614" s="380"/>
      <c r="AJ614" s="380"/>
      <c r="AK614" s="403"/>
      <c r="AL614" s="380"/>
      <c r="AM614" s="380"/>
      <c r="AN614" s="380"/>
      <c r="AO614" s="380"/>
      <c r="AP614" s="380"/>
      <c r="AQ614" s="404"/>
      <c r="AR614" s="380"/>
      <c r="AS614" s="380"/>
      <c r="AT614" s="380"/>
      <c r="AU614" s="380"/>
      <c r="AV614" s="380"/>
      <c r="AW614" s="380"/>
      <c r="AX614" s="380"/>
      <c r="AY614" s="403"/>
      <c r="AZ614" s="380"/>
      <c r="BA614" s="380"/>
      <c r="BB614" s="380"/>
      <c r="BC614" s="380"/>
      <c r="BD614" s="380"/>
      <c r="BE614" s="404"/>
      <c r="BF614" s="380"/>
      <c r="BG614" s="380"/>
      <c r="BH614" s="380"/>
      <c r="BI614" s="380"/>
      <c r="BJ614" s="380"/>
      <c r="BK614" s="380"/>
      <c r="BL614" s="380"/>
      <c r="BM614" s="403"/>
      <c r="BS614" s="83"/>
      <c r="CA614" s="405"/>
      <c r="CG614" s="83"/>
      <c r="CO614" s="405"/>
      <c r="CU614" s="83"/>
      <c r="DC614" s="405"/>
      <c r="DI614" s="83"/>
      <c r="DQ614" s="405"/>
      <c r="DW614" s="83"/>
      <c r="EE614" s="405"/>
      <c r="EK614" s="83"/>
      <c r="ES614" s="405"/>
      <c r="EY614" s="83"/>
      <c r="FG614" s="405"/>
      <c r="FM614" s="83"/>
      <c r="FU614" s="405"/>
      <c r="GA614" s="83"/>
      <c r="GI614" s="405"/>
      <c r="GO614" s="83"/>
      <c r="GW614" s="405"/>
      <c r="HC614" s="83"/>
      <c r="HK614" s="405"/>
      <c r="HQ614" s="83"/>
      <c r="HY614" s="405"/>
      <c r="IE614" s="83"/>
      <c r="IM614" s="405"/>
      <c r="IS614" s="83"/>
      <c r="JA614" s="405"/>
      <c r="JG614" s="83"/>
      <c r="JO614" s="405"/>
      <c r="JU614" s="83"/>
      <c r="KC614" s="405"/>
      <c r="KI614" s="83"/>
      <c r="KQ614" s="405"/>
      <c r="KW614" s="83"/>
      <c r="LE614" s="405"/>
      <c r="LK614" s="83"/>
      <c r="LS614" s="405"/>
      <c r="LY614" s="83"/>
      <c r="MG614" s="405"/>
      <c r="MM614" s="83"/>
      <c r="MU614" s="405"/>
      <c r="NA614" s="83"/>
    </row>
    <row r="615">
      <c r="A615" s="380"/>
      <c r="B615" s="380"/>
      <c r="C615" s="380"/>
      <c r="D615" s="380"/>
      <c r="E615" s="380"/>
      <c r="F615" s="380"/>
      <c r="G615" s="380"/>
      <c r="H615" s="380"/>
      <c r="I615" s="403"/>
      <c r="J615" s="380"/>
      <c r="K615" s="380"/>
      <c r="L615" s="380"/>
      <c r="M615" s="380"/>
      <c r="N615" s="380"/>
      <c r="O615" s="404"/>
      <c r="P615" s="380"/>
      <c r="Q615" s="380"/>
      <c r="R615" s="380"/>
      <c r="S615" s="380"/>
      <c r="T615" s="380"/>
      <c r="U615" s="380"/>
      <c r="V615" s="380"/>
      <c r="W615" s="403"/>
      <c r="X615" s="380"/>
      <c r="Y615" s="380"/>
      <c r="Z615" s="380"/>
      <c r="AA615" s="380"/>
      <c r="AB615" s="380"/>
      <c r="AC615" s="404"/>
      <c r="AD615" s="380"/>
      <c r="AE615" s="380"/>
      <c r="AF615" s="380"/>
      <c r="AG615" s="380"/>
      <c r="AH615" s="380"/>
      <c r="AI615" s="380"/>
      <c r="AJ615" s="380"/>
      <c r="AK615" s="403"/>
      <c r="AL615" s="380"/>
      <c r="AM615" s="380"/>
      <c r="AN615" s="380"/>
      <c r="AO615" s="380"/>
      <c r="AP615" s="380"/>
      <c r="AQ615" s="404"/>
      <c r="AR615" s="380"/>
      <c r="AS615" s="380"/>
      <c r="AT615" s="380"/>
      <c r="AU615" s="380"/>
      <c r="AV615" s="380"/>
      <c r="AW615" s="380"/>
      <c r="AX615" s="380"/>
      <c r="AY615" s="403"/>
      <c r="AZ615" s="380"/>
      <c r="BA615" s="380"/>
      <c r="BB615" s="380"/>
      <c r="BC615" s="380"/>
      <c r="BD615" s="380"/>
      <c r="BE615" s="404"/>
      <c r="BF615" s="380"/>
      <c r="BG615" s="380"/>
      <c r="BH615" s="380"/>
      <c r="BI615" s="380"/>
      <c r="BJ615" s="380"/>
      <c r="BK615" s="380"/>
      <c r="BL615" s="380"/>
      <c r="BM615" s="403"/>
      <c r="BS615" s="83"/>
      <c r="CA615" s="405"/>
      <c r="CG615" s="83"/>
      <c r="CO615" s="405"/>
      <c r="CU615" s="83"/>
      <c r="DC615" s="405"/>
      <c r="DI615" s="83"/>
      <c r="DQ615" s="405"/>
      <c r="DW615" s="83"/>
      <c r="EE615" s="405"/>
      <c r="EK615" s="83"/>
      <c r="ES615" s="405"/>
      <c r="EY615" s="83"/>
      <c r="FG615" s="405"/>
      <c r="FM615" s="83"/>
      <c r="FU615" s="405"/>
      <c r="GA615" s="83"/>
      <c r="GI615" s="405"/>
      <c r="GO615" s="83"/>
      <c r="GW615" s="405"/>
      <c r="HC615" s="83"/>
      <c r="HK615" s="405"/>
      <c r="HQ615" s="83"/>
      <c r="HY615" s="405"/>
      <c r="IE615" s="83"/>
      <c r="IM615" s="405"/>
      <c r="IS615" s="83"/>
      <c r="JA615" s="405"/>
      <c r="JG615" s="83"/>
      <c r="JO615" s="405"/>
      <c r="JU615" s="83"/>
      <c r="KC615" s="405"/>
      <c r="KI615" s="83"/>
      <c r="KQ615" s="405"/>
      <c r="KW615" s="83"/>
      <c r="LE615" s="405"/>
      <c r="LK615" s="83"/>
      <c r="LS615" s="405"/>
      <c r="LY615" s="83"/>
      <c r="MG615" s="405"/>
      <c r="MM615" s="83"/>
      <c r="MU615" s="405"/>
      <c r="NA615" s="83"/>
    </row>
    <row r="616">
      <c r="A616" s="380"/>
      <c r="B616" s="380"/>
      <c r="C616" s="380"/>
      <c r="D616" s="380"/>
      <c r="E616" s="380"/>
      <c r="F616" s="380"/>
      <c r="G616" s="380"/>
      <c r="H616" s="380"/>
      <c r="I616" s="403"/>
      <c r="J616" s="380"/>
      <c r="K616" s="380"/>
      <c r="L616" s="380"/>
      <c r="M616" s="380"/>
      <c r="N616" s="380"/>
      <c r="O616" s="404"/>
      <c r="P616" s="380"/>
      <c r="Q616" s="380"/>
      <c r="R616" s="380"/>
      <c r="S616" s="380"/>
      <c r="T616" s="380"/>
      <c r="U616" s="380"/>
      <c r="V616" s="380"/>
      <c r="W616" s="403"/>
      <c r="X616" s="380"/>
      <c r="Y616" s="380"/>
      <c r="Z616" s="380"/>
      <c r="AA616" s="380"/>
      <c r="AB616" s="380"/>
      <c r="AC616" s="404"/>
      <c r="AD616" s="380"/>
      <c r="AE616" s="380"/>
      <c r="AF616" s="380"/>
      <c r="AG616" s="380"/>
      <c r="AH616" s="380"/>
      <c r="AI616" s="380"/>
      <c r="AJ616" s="380"/>
      <c r="AK616" s="403"/>
      <c r="AL616" s="380"/>
      <c r="AM616" s="380"/>
      <c r="AN616" s="380"/>
      <c r="AO616" s="380"/>
      <c r="AP616" s="380"/>
      <c r="AQ616" s="404"/>
      <c r="AR616" s="380"/>
      <c r="AS616" s="380"/>
      <c r="AT616" s="380"/>
      <c r="AU616" s="380"/>
      <c r="AV616" s="380"/>
      <c r="AW616" s="380"/>
      <c r="AX616" s="380"/>
      <c r="AY616" s="403"/>
      <c r="AZ616" s="380"/>
      <c r="BA616" s="380"/>
      <c r="BB616" s="380"/>
      <c r="BC616" s="380"/>
      <c r="BD616" s="380"/>
      <c r="BE616" s="404"/>
      <c r="BF616" s="380"/>
      <c r="BG616" s="380"/>
      <c r="BH616" s="380"/>
      <c r="BI616" s="380"/>
      <c r="BJ616" s="380"/>
      <c r="BK616" s="380"/>
      <c r="BL616" s="380"/>
      <c r="BM616" s="403"/>
      <c r="BS616" s="83"/>
      <c r="CA616" s="405"/>
      <c r="CG616" s="83"/>
      <c r="CO616" s="405"/>
      <c r="CU616" s="83"/>
      <c r="DC616" s="405"/>
      <c r="DI616" s="83"/>
      <c r="DQ616" s="405"/>
      <c r="DW616" s="83"/>
      <c r="EE616" s="405"/>
      <c r="EK616" s="83"/>
      <c r="ES616" s="405"/>
      <c r="EY616" s="83"/>
      <c r="FG616" s="405"/>
      <c r="FM616" s="83"/>
      <c r="FU616" s="405"/>
      <c r="GA616" s="83"/>
      <c r="GI616" s="405"/>
      <c r="GO616" s="83"/>
      <c r="GW616" s="405"/>
      <c r="HC616" s="83"/>
      <c r="HK616" s="405"/>
      <c r="HQ616" s="83"/>
      <c r="HY616" s="405"/>
      <c r="IE616" s="83"/>
      <c r="IM616" s="405"/>
      <c r="IS616" s="83"/>
      <c r="JA616" s="405"/>
      <c r="JG616" s="83"/>
      <c r="JO616" s="405"/>
      <c r="JU616" s="83"/>
      <c r="KC616" s="405"/>
      <c r="KI616" s="83"/>
      <c r="KQ616" s="405"/>
      <c r="KW616" s="83"/>
      <c r="LE616" s="405"/>
      <c r="LK616" s="83"/>
      <c r="LS616" s="405"/>
      <c r="LY616" s="83"/>
      <c r="MG616" s="405"/>
      <c r="MM616" s="83"/>
      <c r="MU616" s="405"/>
      <c r="NA616" s="83"/>
    </row>
    <row r="617">
      <c r="A617" s="380"/>
      <c r="B617" s="380"/>
      <c r="C617" s="380"/>
      <c r="D617" s="380"/>
      <c r="E617" s="380"/>
      <c r="F617" s="380"/>
      <c r="G617" s="380"/>
      <c r="H617" s="380"/>
      <c r="I617" s="403"/>
      <c r="J617" s="380"/>
      <c r="K617" s="380"/>
      <c r="L617" s="380"/>
      <c r="M617" s="380"/>
      <c r="N617" s="380"/>
      <c r="O617" s="404"/>
      <c r="P617" s="380"/>
      <c r="Q617" s="380"/>
      <c r="R617" s="380"/>
      <c r="S617" s="380"/>
      <c r="T617" s="380"/>
      <c r="U617" s="380"/>
      <c r="V617" s="380"/>
      <c r="W617" s="403"/>
      <c r="X617" s="380"/>
      <c r="Y617" s="380"/>
      <c r="Z617" s="380"/>
      <c r="AA617" s="380"/>
      <c r="AB617" s="380"/>
      <c r="AC617" s="404"/>
      <c r="AD617" s="380"/>
      <c r="AE617" s="380"/>
      <c r="AF617" s="380"/>
      <c r="AG617" s="380"/>
      <c r="AH617" s="380"/>
      <c r="AI617" s="380"/>
      <c r="AJ617" s="380"/>
      <c r="AK617" s="403"/>
      <c r="AL617" s="380"/>
      <c r="AM617" s="380"/>
      <c r="AN617" s="380"/>
      <c r="AO617" s="380"/>
      <c r="AP617" s="380"/>
      <c r="AQ617" s="404"/>
      <c r="AR617" s="380"/>
      <c r="AS617" s="380"/>
      <c r="AT617" s="380"/>
      <c r="AU617" s="380"/>
      <c r="AV617" s="380"/>
      <c r="AW617" s="380"/>
      <c r="AX617" s="380"/>
      <c r="AY617" s="403"/>
      <c r="AZ617" s="380"/>
      <c r="BA617" s="380"/>
      <c r="BB617" s="380"/>
      <c r="BC617" s="380"/>
      <c r="BD617" s="380"/>
      <c r="BE617" s="404"/>
      <c r="BF617" s="380"/>
      <c r="BG617" s="380"/>
      <c r="BH617" s="380"/>
      <c r="BI617" s="380"/>
      <c r="BJ617" s="380"/>
      <c r="BK617" s="380"/>
      <c r="BL617" s="380"/>
      <c r="BM617" s="403"/>
      <c r="BS617" s="83"/>
      <c r="CA617" s="405"/>
      <c r="CG617" s="83"/>
      <c r="CO617" s="405"/>
      <c r="CU617" s="83"/>
      <c r="DC617" s="405"/>
      <c r="DI617" s="83"/>
      <c r="DQ617" s="405"/>
      <c r="DW617" s="83"/>
      <c r="EE617" s="405"/>
      <c r="EK617" s="83"/>
      <c r="ES617" s="405"/>
      <c r="EY617" s="83"/>
      <c r="FG617" s="405"/>
      <c r="FM617" s="83"/>
      <c r="FU617" s="405"/>
      <c r="GA617" s="83"/>
      <c r="GI617" s="405"/>
      <c r="GO617" s="83"/>
      <c r="GW617" s="405"/>
      <c r="HC617" s="83"/>
      <c r="HK617" s="405"/>
      <c r="HQ617" s="83"/>
      <c r="HY617" s="405"/>
      <c r="IE617" s="83"/>
      <c r="IM617" s="405"/>
      <c r="IS617" s="83"/>
      <c r="JA617" s="405"/>
      <c r="JG617" s="83"/>
      <c r="JO617" s="405"/>
      <c r="JU617" s="83"/>
      <c r="KC617" s="405"/>
      <c r="KI617" s="83"/>
      <c r="KQ617" s="405"/>
      <c r="KW617" s="83"/>
      <c r="LE617" s="405"/>
      <c r="LK617" s="83"/>
      <c r="LS617" s="405"/>
      <c r="LY617" s="83"/>
      <c r="MG617" s="405"/>
      <c r="MM617" s="83"/>
      <c r="MU617" s="405"/>
      <c r="NA617" s="83"/>
    </row>
    <row r="618">
      <c r="A618" s="380"/>
      <c r="B618" s="380"/>
      <c r="C618" s="380"/>
      <c r="D618" s="380"/>
      <c r="E618" s="380"/>
      <c r="F618" s="380"/>
      <c r="G618" s="380"/>
      <c r="H618" s="380"/>
      <c r="I618" s="403"/>
      <c r="J618" s="380"/>
      <c r="K618" s="380"/>
      <c r="L618" s="380"/>
      <c r="M618" s="380"/>
      <c r="N618" s="380"/>
      <c r="O618" s="404"/>
      <c r="P618" s="380"/>
      <c r="Q618" s="380"/>
      <c r="R618" s="380"/>
      <c r="S618" s="380"/>
      <c r="T618" s="380"/>
      <c r="U618" s="380"/>
      <c r="V618" s="380"/>
      <c r="W618" s="403"/>
      <c r="X618" s="380"/>
      <c r="Y618" s="380"/>
      <c r="Z618" s="380"/>
      <c r="AA618" s="380"/>
      <c r="AB618" s="380"/>
      <c r="AC618" s="404"/>
      <c r="AD618" s="380"/>
      <c r="AE618" s="380"/>
      <c r="AF618" s="380"/>
      <c r="AG618" s="380"/>
      <c r="AH618" s="380"/>
      <c r="AI618" s="380"/>
      <c r="AJ618" s="380"/>
      <c r="AK618" s="403"/>
      <c r="AL618" s="380"/>
      <c r="AM618" s="380"/>
      <c r="AN618" s="380"/>
      <c r="AO618" s="380"/>
      <c r="AP618" s="380"/>
      <c r="AQ618" s="404"/>
      <c r="AR618" s="380"/>
      <c r="AS618" s="380"/>
      <c r="AT618" s="380"/>
      <c r="AU618" s="380"/>
      <c r="AV618" s="380"/>
      <c r="AW618" s="380"/>
      <c r="AX618" s="380"/>
      <c r="AY618" s="403"/>
      <c r="AZ618" s="380"/>
      <c r="BA618" s="380"/>
      <c r="BB618" s="380"/>
      <c r="BC618" s="380"/>
      <c r="BD618" s="380"/>
      <c r="BE618" s="404"/>
      <c r="BF618" s="380"/>
      <c r="BG618" s="380"/>
      <c r="BH618" s="380"/>
      <c r="BI618" s="380"/>
      <c r="BJ618" s="380"/>
      <c r="BK618" s="380"/>
      <c r="BL618" s="380"/>
      <c r="BM618" s="403"/>
      <c r="BS618" s="83"/>
      <c r="CA618" s="405"/>
      <c r="CG618" s="83"/>
      <c r="CO618" s="405"/>
      <c r="CU618" s="83"/>
      <c r="DC618" s="405"/>
      <c r="DI618" s="83"/>
      <c r="DQ618" s="405"/>
      <c r="DW618" s="83"/>
      <c r="EE618" s="405"/>
      <c r="EK618" s="83"/>
      <c r="ES618" s="405"/>
      <c r="EY618" s="83"/>
      <c r="FG618" s="405"/>
      <c r="FM618" s="83"/>
      <c r="FU618" s="405"/>
      <c r="GA618" s="83"/>
      <c r="GI618" s="405"/>
      <c r="GO618" s="83"/>
      <c r="GW618" s="405"/>
      <c r="HC618" s="83"/>
      <c r="HK618" s="405"/>
      <c r="HQ618" s="83"/>
      <c r="HY618" s="405"/>
      <c r="IE618" s="83"/>
      <c r="IM618" s="405"/>
      <c r="IS618" s="83"/>
      <c r="JA618" s="405"/>
      <c r="JG618" s="83"/>
      <c r="JO618" s="405"/>
      <c r="JU618" s="83"/>
      <c r="KC618" s="405"/>
      <c r="KI618" s="83"/>
      <c r="KQ618" s="405"/>
      <c r="KW618" s="83"/>
      <c r="LE618" s="405"/>
      <c r="LK618" s="83"/>
      <c r="LS618" s="405"/>
      <c r="LY618" s="83"/>
      <c r="MG618" s="405"/>
      <c r="MM618" s="83"/>
      <c r="MU618" s="405"/>
      <c r="NA618" s="83"/>
    </row>
    <row r="619">
      <c r="A619" s="380"/>
      <c r="B619" s="380"/>
      <c r="C619" s="380"/>
      <c r="D619" s="380"/>
      <c r="E619" s="380"/>
      <c r="F619" s="380"/>
      <c r="G619" s="380"/>
      <c r="H619" s="380"/>
      <c r="I619" s="403"/>
      <c r="J619" s="380"/>
      <c r="K619" s="380"/>
      <c r="L619" s="380"/>
      <c r="M619" s="380"/>
      <c r="N619" s="380"/>
      <c r="O619" s="404"/>
      <c r="P619" s="380"/>
      <c r="Q619" s="380"/>
      <c r="R619" s="380"/>
      <c r="S619" s="380"/>
      <c r="T619" s="380"/>
      <c r="U619" s="380"/>
      <c r="V619" s="380"/>
      <c r="W619" s="403"/>
      <c r="X619" s="380"/>
      <c r="Y619" s="380"/>
      <c r="Z619" s="380"/>
      <c r="AA619" s="380"/>
      <c r="AB619" s="380"/>
      <c r="AC619" s="404"/>
      <c r="AD619" s="380"/>
      <c r="AE619" s="380"/>
      <c r="AF619" s="380"/>
      <c r="AG619" s="380"/>
      <c r="AH619" s="380"/>
      <c r="AI619" s="380"/>
      <c r="AJ619" s="380"/>
      <c r="AK619" s="403"/>
      <c r="AL619" s="380"/>
      <c r="AM619" s="380"/>
      <c r="AN619" s="380"/>
      <c r="AO619" s="380"/>
      <c r="AP619" s="380"/>
      <c r="AQ619" s="404"/>
      <c r="AR619" s="380"/>
      <c r="AS619" s="380"/>
      <c r="AT619" s="380"/>
      <c r="AU619" s="380"/>
      <c r="AV619" s="380"/>
      <c r="AW619" s="380"/>
      <c r="AX619" s="380"/>
      <c r="AY619" s="403"/>
      <c r="AZ619" s="380"/>
      <c r="BA619" s="380"/>
      <c r="BB619" s="380"/>
      <c r="BC619" s="380"/>
      <c r="BD619" s="380"/>
      <c r="BE619" s="404"/>
      <c r="BF619" s="380"/>
      <c r="BG619" s="380"/>
      <c r="BH619" s="380"/>
      <c r="BI619" s="380"/>
      <c r="BJ619" s="380"/>
      <c r="BK619" s="380"/>
      <c r="BL619" s="380"/>
      <c r="BM619" s="403"/>
      <c r="BS619" s="83"/>
      <c r="CA619" s="405"/>
      <c r="CG619" s="83"/>
      <c r="CO619" s="405"/>
      <c r="CU619" s="83"/>
      <c r="DC619" s="405"/>
      <c r="DI619" s="83"/>
      <c r="DQ619" s="405"/>
      <c r="DW619" s="83"/>
      <c r="EE619" s="405"/>
      <c r="EK619" s="83"/>
      <c r="ES619" s="405"/>
      <c r="EY619" s="83"/>
      <c r="FG619" s="405"/>
      <c r="FM619" s="83"/>
      <c r="FU619" s="405"/>
      <c r="GA619" s="83"/>
      <c r="GI619" s="405"/>
      <c r="GO619" s="83"/>
      <c r="GW619" s="405"/>
      <c r="HC619" s="83"/>
      <c r="HK619" s="405"/>
      <c r="HQ619" s="83"/>
      <c r="HY619" s="405"/>
      <c r="IE619" s="83"/>
      <c r="IM619" s="405"/>
      <c r="IS619" s="83"/>
      <c r="JA619" s="405"/>
      <c r="JG619" s="83"/>
      <c r="JO619" s="405"/>
      <c r="JU619" s="83"/>
      <c r="KC619" s="405"/>
      <c r="KI619" s="83"/>
      <c r="KQ619" s="405"/>
      <c r="KW619" s="83"/>
      <c r="LE619" s="405"/>
      <c r="LK619" s="83"/>
      <c r="LS619" s="405"/>
      <c r="LY619" s="83"/>
      <c r="MG619" s="405"/>
      <c r="MM619" s="83"/>
      <c r="MU619" s="405"/>
      <c r="NA619" s="83"/>
    </row>
    <row r="620">
      <c r="A620" s="380"/>
      <c r="B620" s="380"/>
      <c r="C620" s="380"/>
      <c r="D620" s="380"/>
      <c r="E620" s="380"/>
      <c r="F620" s="380"/>
      <c r="G620" s="380"/>
      <c r="H620" s="380"/>
      <c r="I620" s="403"/>
      <c r="J620" s="380"/>
      <c r="K620" s="380"/>
      <c r="L620" s="380"/>
      <c r="M620" s="380"/>
      <c r="N620" s="380"/>
      <c r="O620" s="404"/>
      <c r="P620" s="380"/>
      <c r="Q620" s="380"/>
      <c r="R620" s="380"/>
      <c r="S620" s="380"/>
      <c r="T620" s="380"/>
      <c r="U620" s="380"/>
      <c r="V620" s="380"/>
      <c r="W620" s="403"/>
      <c r="X620" s="380"/>
      <c r="Y620" s="380"/>
      <c r="Z620" s="380"/>
      <c r="AA620" s="380"/>
      <c r="AB620" s="380"/>
      <c r="AC620" s="404"/>
      <c r="AD620" s="380"/>
      <c r="AE620" s="380"/>
      <c r="AF620" s="380"/>
      <c r="AG620" s="380"/>
      <c r="AH620" s="380"/>
      <c r="AI620" s="380"/>
      <c r="AJ620" s="380"/>
      <c r="AK620" s="403"/>
      <c r="AL620" s="380"/>
      <c r="AM620" s="380"/>
      <c r="AN620" s="380"/>
      <c r="AO620" s="380"/>
      <c r="AP620" s="380"/>
      <c r="AQ620" s="404"/>
      <c r="AR620" s="380"/>
      <c r="AS620" s="380"/>
      <c r="AT620" s="380"/>
      <c r="AU620" s="380"/>
      <c r="AV620" s="380"/>
      <c r="AW620" s="380"/>
      <c r="AX620" s="380"/>
      <c r="AY620" s="403"/>
      <c r="AZ620" s="380"/>
      <c r="BA620" s="380"/>
      <c r="BB620" s="380"/>
      <c r="BC620" s="380"/>
      <c r="BD620" s="380"/>
      <c r="BE620" s="404"/>
      <c r="BF620" s="380"/>
      <c r="BG620" s="380"/>
      <c r="BH620" s="380"/>
      <c r="BI620" s="380"/>
      <c r="BJ620" s="380"/>
      <c r="BK620" s="380"/>
      <c r="BL620" s="380"/>
      <c r="BM620" s="403"/>
      <c r="BS620" s="83"/>
      <c r="CA620" s="405"/>
      <c r="CG620" s="83"/>
      <c r="CO620" s="405"/>
      <c r="CU620" s="83"/>
      <c r="DC620" s="405"/>
      <c r="DI620" s="83"/>
      <c r="DQ620" s="405"/>
      <c r="DW620" s="83"/>
      <c r="EE620" s="405"/>
      <c r="EK620" s="83"/>
      <c r="ES620" s="405"/>
      <c r="EY620" s="83"/>
      <c r="FG620" s="405"/>
      <c r="FM620" s="83"/>
      <c r="FU620" s="405"/>
      <c r="GA620" s="83"/>
      <c r="GI620" s="405"/>
      <c r="GO620" s="83"/>
      <c r="GW620" s="405"/>
      <c r="HC620" s="83"/>
      <c r="HK620" s="405"/>
      <c r="HQ620" s="83"/>
      <c r="HY620" s="405"/>
      <c r="IE620" s="83"/>
      <c r="IM620" s="405"/>
      <c r="IS620" s="83"/>
      <c r="JA620" s="405"/>
      <c r="JG620" s="83"/>
      <c r="JO620" s="405"/>
      <c r="JU620" s="83"/>
      <c r="KC620" s="405"/>
      <c r="KI620" s="83"/>
      <c r="KQ620" s="405"/>
      <c r="KW620" s="83"/>
      <c r="LE620" s="405"/>
      <c r="LK620" s="83"/>
      <c r="LS620" s="405"/>
      <c r="LY620" s="83"/>
      <c r="MG620" s="405"/>
      <c r="MM620" s="83"/>
      <c r="MU620" s="405"/>
      <c r="NA620" s="83"/>
    </row>
    <row r="621">
      <c r="A621" s="380"/>
      <c r="B621" s="380"/>
      <c r="C621" s="380"/>
      <c r="D621" s="380"/>
      <c r="E621" s="380"/>
      <c r="F621" s="380"/>
      <c r="G621" s="380"/>
      <c r="H621" s="380"/>
      <c r="I621" s="403"/>
      <c r="J621" s="380"/>
      <c r="K621" s="380"/>
      <c r="L621" s="380"/>
      <c r="M621" s="380"/>
      <c r="N621" s="380"/>
      <c r="O621" s="404"/>
      <c r="P621" s="380"/>
      <c r="Q621" s="380"/>
      <c r="R621" s="380"/>
      <c r="S621" s="380"/>
      <c r="T621" s="380"/>
      <c r="U621" s="380"/>
      <c r="V621" s="380"/>
      <c r="W621" s="403"/>
      <c r="X621" s="380"/>
      <c r="Y621" s="380"/>
      <c r="Z621" s="380"/>
      <c r="AA621" s="380"/>
      <c r="AB621" s="380"/>
      <c r="AC621" s="404"/>
      <c r="AD621" s="380"/>
      <c r="AE621" s="380"/>
      <c r="AF621" s="380"/>
      <c r="AG621" s="380"/>
      <c r="AH621" s="380"/>
      <c r="AI621" s="380"/>
      <c r="AJ621" s="380"/>
      <c r="AK621" s="403"/>
      <c r="AL621" s="380"/>
      <c r="AM621" s="380"/>
      <c r="AN621" s="380"/>
      <c r="AO621" s="380"/>
      <c r="AP621" s="380"/>
      <c r="AQ621" s="404"/>
      <c r="AR621" s="380"/>
      <c r="AS621" s="380"/>
      <c r="AT621" s="380"/>
      <c r="AU621" s="380"/>
      <c r="AV621" s="380"/>
      <c r="AW621" s="380"/>
      <c r="AX621" s="380"/>
      <c r="AY621" s="403"/>
      <c r="AZ621" s="380"/>
      <c r="BA621" s="380"/>
      <c r="BB621" s="380"/>
      <c r="BC621" s="380"/>
      <c r="BD621" s="380"/>
      <c r="BE621" s="404"/>
      <c r="BF621" s="380"/>
      <c r="BG621" s="380"/>
      <c r="BH621" s="380"/>
      <c r="BI621" s="380"/>
      <c r="BJ621" s="380"/>
      <c r="BK621" s="380"/>
      <c r="BL621" s="380"/>
      <c r="BM621" s="403"/>
      <c r="BS621" s="83"/>
      <c r="CA621" s="405"/>
      <c r="CG621" s="83"/>
      <c r="CO621" s="405"/>
      <c r="CU621" s="83"/>
      <c r="DC621" s="405"/>
      <c r="DI621" s="83"/>
      <c r="DQ621" s="405"/>
      <c r="DW621" s="83"/>
      <c r="EE621" s="405"/>
      <c r="EK621" s="83"/>
      <c r="ES621" s="405"/>
      <c r="EY621" s="83"/>
      <c r="FG621" s="405"/>
      <c r="FM621" s="83"/>
      <c r="FU621" s="405"/>
      <c r="GA621" s="83"/>
      <c r="GI621" s="405"/>
      <c r="GO621" s="83"/>
      <c r="GW621" s="405"/>
      <c r="HC621" s="83"/>
      <c r="HK621" s="405"/>
      <c r="HQ621" s="83"/>
      <c r="HY621" s="405"/>
      <c r="IE621" s="83"/>
      <c r="IM621" s="405"/>
      <c r="IS621" s="83"/>
      <c r="JA621" s="405"/>
      <c r="JG621" s="83"/>
      <c r="JO621" s="405"/>
      <c r="JU621" s="83"/>
      <c r="KC621" s="405"/>
      <c r="KI621" s="83"/>
      <c r="KQ621" s="405"/>
      <c r="KW621" s="83"/>
      <c r="LE621" s="405"/>
      <c r="LK621" s="83"/>
      <c r="LS621" s="405"/>
      <c r="LY621" s="83"/>
      <c r="MG621" s="405"/>
      <c r="MM621" s="83"/>
      <c r="MU621" s="405"/>
      <c r="NA621" s="83"/>
    </row>
    <row r="622">
      <c r="A622" s="380"/>
      <c r="B622" s="380"/>
      <c r="C622" s="380"/>
      <c r="D622" s="380"/>
      <c r="E622" s="380"/>
      <c r="F622" s="380"/>
      <c r="G622" s="380"/>
      <c r="H622" s="380"/>
      <c r="I622" s="403"/>
      <c r="J622" s="380"/>
      <c r="K622" s="380"/>
      <c r="L622" s="380"/>
      <c r="M622" s="380"/>
      <c r="N622" s="380"/>
      <c r="O622" s="404"/>
      <c r="P622" s="380"/>
      <c r="Q622" s="380"/>
      <c r="R622" s="380"/>
      <c r="S622" s="380"/>
      <c r="T622" s="380"/>
      <c r="U622" s="380"/>
      <c r="V622" s="380"/>
      <c r="W622" s="403"/>
      <c r="X622" s="380"/>
      <c r="Y622" s="380"/>
      <c r="Z622" s="380"/>
      <c r="AA622" s="380"/>
      <c r="AB622" s="380"/>
      <c r="AC622" s="404"/>
      <c r="AD622" s="380"/>
      <c r="AE622" s="380"/>
      <c r="AF622" s="380"/>
      <c r="AG622" s="380"/>
      <c r="AH622" s="380"/>
      <c r="AI622" s="380"/>
      <c r="AJ622" s="380"/>
      <c r="AK622" s="403"/>
      <c r="AL622" s="380"/>
      <c r="AM622" s="380"/>
      <c r="AN622" s="380"/>
      <c r="AO622" s="380"/>
      <c r="AP622" s="380"/>
      <c r="AQ622" s="404"/>
      <c r="AR622" s="380"/>
      <c r="AS622" s="380"/>
      <c r="AT622" s="380"/>
      <c r="AU622" s="380"/>
      <c r="AV622" s="380"/>
      <c r="AW622" s="380"/>
      <c r="AX622" s="380"/>
      <c r="AY622" s="403"/>
      <c r="AZ622" s="380"/>
      <c r="BA622" s="380"/>
      <c r="BB622" s="380"/>
      <c r="BC622" s="380"/>
      <c r="BD622" s="380"/>
      <c r="BE622" s="404"/>
      <c r="BF622" s="380"/>
      <c r="BG622" s="380"/>
      <c r="BH622" s="380"/>
      <c r="BI622" s="380"/>
      <c r="BJ622" s="380"/>
      <c r="BK622" s="380"/>
      <c r="BL622" s="380"/>
      <c r="BM622" s="403"/>
      <c r="BS622" s="83"/>
      <c r="CA622" s="405"/>
      <c r="CG622" s="83"/>
      <c r="CO622" s="405"/>
      <c r="CU622" s="83"/>
      <c r="DC622" s="405"/>
      <c r="DI622" s="83"/>
      <c r="DQ622" s="405"/>
      <c r="DW622" s="83"/>
      <c r="EE622" s="405"/>
      <c r="EK622" s="83"/>
      <c r="ES622" s="405"/>
      <c r="EY622" s="83"/>
      <c r="FG622" s="405"/>
      <c r="FM622" s="83"/>
      <c r="FU622" s="405"/>
      <c r="GA622" s="83"/>
      <c r="GI622" s="405"/>
      <c r="GO622" s="83"/>
      <c r="GW622" s="405"/>
      <c r="HC622" s="83"/>
      <c r="HK622" s="405"/>
      <c r="HQ622" s="83"/>
      <c r="HY622" s="405"/>
      <c r="IE622" s="83"/>
      <c r="IM622" s="405"/>
      <c r="IS622" s="83"/>
      <c r="JA622" s="405"/>
      <c r="JG622" s="83"/>
      <c r="JO622" s="405"/>
      <c r="JU622" s="83"/>
      <c r="KC622" s="405"/>
      <c r="KI622" s="83"/>
      <c r="KQ622" s="405"/>
      <c r="KW622" s="83"/>
      <c r="LE622" s="405"/>
      <c r="LK622" s="83"/>
      <c r="LS622" s="405"/>
      <c r="LY622" s="83"/>
      <c r="MG622" s="405"/>
      <c r="MM622" s="83"/>
      <c r="MU622" s="405"/>
      <c r="NA622" s="83"/>
    </row>
    <row r="623">
      <c r="A623" s="380"/>
      <c r="B623" s="380"/>
      <c r="C623" s="380"/>
      <c r="D623" s="380"/>
      <c r="E623" s="380"/>
      <c r="F623" s="380"/>
      <c r="G623" s="380"/>
      <c r="H623" s="380"/>
      <c r="I623" s="403"/>
      <c r="J623" s="380"/>
      <c r="K623" s="380"/>
      <c r="L623" s="380"/>
      <c r="M623" s="380"/>
      <c r="N623" s="380"/>
      <c r="O623" s="404"/>
      <c r="P623" s="380"/>
      <c r="Q623" s="380"/>
      <c r="R623" s="380"/>
      <c r="S623" s="380"/>
      <c r="T623" s="380"/>
      <c r="U623" s="380"/>
      <c r="V623" s="380"/>
      <c r="W623" s="403"/>
      <c r="X623" s="380"/>
      <c r="Y623" s="380"/>
      <c r="Z623" s="380"/>
      <c r="AA623" s="380"/>
      <c r="AB623" s="380"/>
      <c r="AC623" s="404"/>
      <c r="AD623" s="380"/>
      <c r="AE623" s="380"/>
      <c r="AF623" s="380"/>
      <c r="AG623" s="380"/>
      <c r="AH623" s="380"/>
      <c r="AI623" s="380"/>
      <c r="AJ623" s="380"/>
      <c r="AK623" s="403"/>
      <c r="AL623" s="380"/>
      <c r="AM623" s="380"/>
      <c r="AN623" s="380"/>
      <c r="AO623" s="380"/>
      <c r="AP623" s="380"/>
      <c r="AQ623" s="404"/>
      <c r="AR623" s="380"/>
      <c r="AS623" s="380"/>
      <c r="AT623" s="380"/>
      <c r="AU623" s="380"/>
      <c r="AV623" s="380"/>
      <c r="AW623" s="380"/>
      <c r="AX623" s="380"/>
      <c r="AY623" s="403"/>
      <c r="AZ623" s="380"/>
      <c r="BA623" s="380"/>
      <c r="BB623" s="380"/>
      <c r="BC623" s="380"/>
      <c r="BD623" s="380"/>
      <c r="BE623" s="404"/>
      <c r="BF623" s="380"/>
      <c r="BG623" s="380"/>
      <c r="BH623" s="380"/>
      <c r="BI623" s="380"/>
      <c r="BJ623" s="380"/>
      <c r="BK623" s="380"/>
      <c r="BL623" s="380"/>
      <c r="BM623" s="403"/>
      <c r="BS623" s="83"/>
      <c r="CA623" s="405"/>
      <c r="CG623" s="83"/>
      <c r="CO623" s="405"/>
      <c r="CU623" s="83"/>
      <c r="DC623" s="405"/>
      <c r="DI623" s="83"/>
      <c r="DQ623" s="405"/>
      <c r="DW623" s="83"/>
      <c r="EE623" s="405"/>
      <c r="EK623" s="83"/>
      <c r="ES623" s="405"/>
      <c r="EY623" s="83"/>
      <c r="FG623" s="405"/>
      <c r="FM623" s="83"/>
      <c r="FU623" s="405"/>
      <c r="GA623" s="83"/>
      <c r="GI623" s="405"/>
      <c r="GO623" s="83"/>
      <c r="GW623" s="405"/>
      <c r="HC623" s="83"/>
      <c r="HK623" s="405"/>
      <c r="HQ623" s="83"/>
      <c r="HY623" s="405"/>
      <c r="IE623" s="83"/>
      <c r="IM623" s="405"/>
      <c r="IS623" s="83"/>
      <c r="JA623" s="405"/>
      <c r="JG623" s="83"/>
      <c r="JO623" s="405"/>
      <c r="JU623" s="83"/>
      <c r="KC623" s="405"/>
      <c r="KI623" s="83"/>
      <c r="KQ623" s="405"/>
      <c r="KW623" s="83"/>
      <c r="LE623" s="405"/>
      <c r="LK623" s="83"/>
      <c r="LS623" s="405"/>
      <c r="LY623" s="83"/>
      <c r="MG623" s="405"/>
      <c r="MM623" s="83"/>
      <c r="MU623" s="405"/>
      <c r="NA623" s="83"/>
    </row>
    <row r="624">
      <c r="A624" s="380"/>
      <c r="B624" s="380"/>
      <c r="C624" s="380"/>
      <c r="D624" s="380"/>
      <c r="E624" s="380"/>
      <c r="F624" s="380"/>
      <c r="G624" s="380"/>
      <c r="H624" s="380"/>
      <c r="I624" s="403"/>
      <c r="J624" s="380"/>
      <c r="K624" s="380"/>
      <c r="L624" s="380"/>
      <c r="M624" s="380"/>
      <c r="N624" s="380"/>
      <c r="O624" s="404"/>
      <c r="P624" s="380"/>
      <c r="Q624" s="380"/>
      <c r="R624" s="380"/>
      <c r="S624" s="380"/>
      <c r="T624" s="380"/>
      <c r="U624" s="380"/>
      <c r="V624" s="380"/>
      <c r="W624" s="403"/>
      <c r="X624" s="380"/>
      <c r="Y624" s="380"/>
      <c r="Z624" s="380"/>
      <c r="AA624" s="380"/>
      <c r="AB624" s="380"/>
      <c r="AC624" s="404"/>
      <c r="AD624" s="380"/>
      <c r="AE624" s="380"/>
      <c r="AF624" s="380"/>
      <c r="AG624" s="380"/>
      <c r="AH624" s="380"/>
      <c r="AI624" s="380"/>
      <c r="AJ624" s="380"/>
      <c r="AK624" s="403"/>
      <c r="AL624" s="380"/>
      <c r="AM624" s="380"/>
      <c r="AN624" s="380"/>
      <c r="AO624" s="380"/>
      <c r="AP624" s="380"/>
      <c r="AQ624" s="404"/>
      <c r="AR624" s="380"/>
      <c r="AS624" s="380"/>
      <c r="AT624" s="380"/>
      <c r="AU624" s="380"/>
      <c r="AV624" s="380"/>
      <c r="AW624" s="380"/>
      <c r="AX624" s="380"/>
      <c r="AY624" s="403"/>
      <c r="AZ624" s="380"/>
      <c r="BA624" s="380"/>
      <c r="BB624" s="380"/>
      <c r="BC624" s="380"/>
      <c r="BD624" s="380"/>
      <c r="BE624" s="404"/>
      <c r="BF624" s="380"/>
      <c r="BG624" s="380"/>
      <c r="BH624" s="380"/>
      <c r="BI624" s="380"/>
      <c r="BJ624" s="380"/>
      <c r="BK624" s="380"/>
      <c r="BL624" s="380"/>
      <c r="BM624" s="403"/>
      <c r="BS624" s="83"/>
      <c r="CA624" s="405"/>
      <c r="CG624" s="83"/>
      <c r="CO624" s="405"/>
      <c r="CU624" s="83"/>
      <c r="DC624" s="405"/>
      <c r="DI624" s="83"/>
      <c r="DQ624" s="405"/>
      <c r="DW624" s="83"/>
      <c r="EE624" s="405"/>
      <c r="EK624" s="83"/>
      <c r="ES624" s="405"/>
      <c r="EY624" s="83"/>
      <c r="FG624" s="405"/>
      <c r="FM624" s="83"/>
      <c r="FU624" s="405"/>
      <c r="GA624" s="83"/>
      <c r="GI624" s="405"/>
      <c r="GO624" s="83"/>
      <c r="GW624" s="405"/>
      <c r="HC624" s="83"/>
      <c r="HK624" s="405"/>
      <c r="HQ624" s="83"/>
      <c r="HY624" s="405"/>
      <c r="IE624" s="83"/>
      <c r="IM624" s="405"/>
      <c r="IS624" s="83"/>
      <c r="JA624" s="405"/>
      <c r="JG624" s="83"/>
      <c r="JO624" s="405"/>
      <c r="JU624" s="83"/>
      <c r="KC624" s="405"/>
      <c r="KI624" s="83"/>
      <c r="KQ624" s="405"/>
      <c r="KW624" s="83"/>
      <c r="LE624" s="405"/>
      <c r="LK624" s="83"/>
      <c r="LS624" s="405"/>
      <c r="LY624" s="83"/>
      <c r="MG624" s="405"/>
      <c r="MM624" s="83"/>
      <c r="MU624" s="405"/>
      <c r="NA624" s="83"/>
    </row>
    <row r="625">
      <c r="A625" s="380"/>
      <c r="B625" s="380"/>
      <c r="C625" s="380"/>
      <c r="D625" s="380"/>
      <c r="E625" s="380"/>
      <c r="F625" s="380"/>
      <c r="G625" s="380"/>
      <c r="H625" s="380"/>
      <c r="I625" s="403"/>
      <c r="J625" s="380"/>
      <c r="K625" s="380"/>
      <c r="L625" s="380"/>
      <c r="M625" s="380"/>
      <c r="N625" s="380"/>
      <c r="O625" s="404"/>
      <c r="P625" s="380"/>
      <c r="Q625" s="380"/>
      <c r="R625" s="380"/>
      <c r="S625" s="380"/>
      <c r="T625" s="380"/>
      <c r="U625" s="380"/>
      <c r="V625" s="380"/>
      <c r="W625" s="403"/>
      <c r="X625" s="380"/>
      <c r="Y625" s="380"/>
      <c r="Z625" s="380"/>
      <c r="AA625" s="380"/>
      <c r="AB625" s="380"/>
      <c r="AC625" s="404"/>
      <c r="AD625" s="380"/>
      <c r="AE625" s="380"/>
      <c r="AF625" s="380"/>
      <c r="AG625" s="380"/>
      <c r="AH625" s="380"/>
      <c r="AI625" s="380"/>
      <c r="AJ625" s="380"/>
      <c r="AK625" s="403"/>
      <c r="AL625" s="380"/>
      <c r="AM625" s="380"/>
      <c r="AN625" s="380"/>
      <c r="AO625" s="380"/>
      <c r="AP625" s="380"/>
      <c r="AQ625" s="404"/>
      <c r="AR625" s="380"/>
      <c r="AS625" s="380"/>
      <c r="AT625" s="380"/>
      <c r="AU625" s="380"/>
      <c r="AV625" s="380"/>
      <c r="AW625" s="380"/>
      <c r="AX625" s="380"/>
      <c r="AY625" s="403"/>
      <c r="AZ625" s="380"/>
      <c r="BA625" s="380"/>
      <c r="BB625" s="380"/>
      <c r="BC625" s="380"/>
      <c r="BD625" s="380"/>
      <c r="BE625" s="404"/>
      <c r="BF625" s="380"/>
      <c r="BG625" s="380"/>
      <c r="BH625" s="380"/>
      <c r="BI625" s="380"/>
      <c r="BJ625" s="380"/>
      <c r="BK625" s="380"/>
      <c r="BL625" s="380"/>
      <c r="BM625" s="403"/>
      <c r="BS625" s="83"/>
      <c r="CA625" s="405"/>
      <c r="CG625" s="83"/>
      <c r="CO625" s="405"/>
      <c r="CU625" s="83"/>
      <c r="DC625" s="405"/>
      <c r="DI625" s="83"/>
      <c r="DQ625" s="405"/>
      <c r="DW625" s="83"/>
      <c r="EE625" s="405"/>
      <c r="EK625" s="83"/>
      <c r="ES625" s="405"/>
      <c r="EY625" s="83"/>
      <c r="FG625" s="405"/>
      <c r="FM625" s="83"/>
      <c r="FU625" s="405"/>
      <c r="GA625" s="83"/>
      <c r="GI625" s="405"/>
      <c r="GO625" s="83"/>
      <c r="GW625" s="405"/>
      <c r="HC625" s="83"/>
      <c r="HK625" s="405"/>
      <c r="HQ625" s="83"/>
      <c r="HY625" s="405"/>
      <c r="IE625" s="83"/>
      <c r="IM625" s="405"/>
      <c r="IS625" s="83"/>
      <c r="JA625" s="405"/>
      <c r="JG625" s="83"/>
      <c r="JO625" s="405"/>
      <c r="JU625" s="83"/>
      <c r="KC625" s="405"/>
      <c r="KI625" s="83"/>
      <c r="KQ625" s="405"/>
      <c r="KW625" s="83"/>
      <c r="LE625" s="405"/>
      <c r="LK625" s="83"/>
      <c r="LS625" s="405"/>
      <c r="LY625" s="83"/>
      <c r="MG625" s="405"/>
      <c r="MM625" s="83"/>
      <c r="MU625" s="405"/>
      <c r="NA625" s="83"/>
    </row>
    <row r="626">
      <c r="A626" s="380"/>
      <c r="B626" s="380"/>
      <c r="C626" s="380"/>
      <c r="D626" s="380"/>
      <c r="E626" s="380"/>
      <c r="F626" s="380"/>
      <c r="G626" s="380"/>
      <c r="H626" s="380"/>
      <c r="I626" s="403"/>
      <c r="J626" s="380"/>
      <c r="K626" s="380"/>
      <c r="L626" s="380"/>
      <c r="M626" s="380"/>
      <c r="N626" s="380"/>
      <c r="O626" s="404"/>
      <c r="P626" s="380"/>
      <c r="Q626" s="380"/>
      <c r="R626" s="380"/>
      <c r="S626" s="380"/>
      <c r="T626" s="380"/>
      <c r="U626" s="380"/>
      <c r="V626" s="380"/>
      <c r="W626" s="403"/>
      <c r="X626" s="380"/>
      <c r="Y626" s="380"/>
      <c r="Z626" s="380"/>
      <c r="AA626" s="380"/>
      <c r="AB626" s="380"/>
      <c r="AC626" s="404"/>
      <c r="AD626" s="380"/>
      <c r="AE626" s="380"/>
      <c r="AF626" s="380"/>
      <c r="AG626" s="380"/>
      <c r="AH626" s="380"/>
      <c r="AI626" s="380"/>
      <c r="AJ626" s="380"/>
      <c r="AK626" s="403"/>
      <c r="AL626" s="380"/>
      <c r="AM626" s="380"/>
      <c r="AN626" s="380"/>
      <c r="AO626" s="380"/>
      <c r="AP626" s="380"/>
      <c r="AQ626" s="404"/>
      <c r="AR626" s="380"/>
      <c r="AS626" s="380"/>
      <c r="AT626" s="380"/>
      <c r="AU626" s="380"/>
      <c r="AV626" s="380"/>
      <c r="AW626" s="380"/>
      <c r="AX626" s="380"/>
      <c r="AY626" s="403"/>
      <c r="AZ626" s="380"/>
      <c r="BA626" s="380"/>
      <c r="BB626" s="380"/>
      <c r="BC626" s="380"/>
      <c r="BD626" s="380"/>
      <c r="BE626" s="404"/>
      <c r="BF626" s="380"/>
      <c r="BG626" s="380"/>
      <c r="BH626" s="380"/>
      <c r="BI626" s="380"/>
      <c r="BJ626" s="380"/>
      <c r="BK626" s="380"/>
      <c r="BL626" s="380"/>
      <c r="BM626" s="403"/>
      <c r="BS626" s="83"/>
      <c r="CA626" s="405"/>
      <c r="CG626" s="83"/>
      <c r="CO626" s="405"/>
      <c r="CU626" s="83"/>
      <c r="DC626" s="405"/>
      <c r="DI626" s="83"/>
      <c r="DQ626" s="405"/>
      <c r="DW626" s="83"/>
      <c r="EE626" s="405"/>
      <c r="EK626" s="83"/>
      <c r="ES626" s="405"/>
      <c r="EY626" s="83"/>
      <c r="FG626" s="405"/>
      <c r="FM626" s="83"/>
      <c r="FU626" s="405"/>
      <c r="GA626" s="83"/>
      <c r="GI626" s="405"/>
      <c r="GO626" s="83"/>
      <c r="GW626" s="405"/>
      <c r="HC626" s="83"/>
      <c r="HK626" s="405"/>
      <c r="HQ626" s="83"/>
      <c r="HY626" s="405"/>
      <c r="IE626" s="83"/>
      <c r="IM626" s="405"/>
      <c r="IS626" s="83"/>
      <c r="JA626" s="405"/>
      <c r="JG626" s="83"/>
      <c r="JO626" s="405"/>
      <c r="JU626" s="83"/>
      <c r="KC626" s="405"/>
      <c r="KI626" s="83"/>
      <c r="KQ626" s="405"/>
      <c r="KW626" s="83"/>
      <c r="LE626" s="405"/>
      <c r="LK626" s="83"/>
      <c r="LS626" s="405"/>
      <c r="LY626" s="83"/>
      <c r="MG626" s="405"/>
      <c r="MM626" s="83"/>
      <c r="MU626" s="405"/>
      <c r="NA626" s="83"/>
    </row>
    <row r="627">
      <c r="A627" s="380"/>
      <c r="B627" s="380"/>
      <c r="C627" s="380"/>
      <c r="D627" s="380"/>
      <c r="E627" s="380"/>
      <c r="F627" s="380"/>
      <c r="G627" s="380"/>
      <c r="H627" s="380"/>
      <c r="I627" s="403"/>
      <c r="J627" s="380"/>
      <c r="K627" s="380"/>
      <c r="L627" s="380"/>
      <c r="M627" s="380"/>
      <c r="N627" s="380"/>
      <c r="O627" s="404"/>
      <c r="P627" s="380"/>
      <c r="Q627" s="380"/>
      <c r="R627" s="380"/>
      <c r="S627" s="380"/>
      <c r="T627" s="380"/>
      <c r="U627" s="380"/>
      <c r="V627" s="380"/>
      <c r="W627" s="403"/>
      <c r="X627" s="380"/>
      <c r="Y627" s="380"/>
      <c r="Z627" s="380"/>
      <c r="AA627" s="380"/>
      <c r="AB627" s="380"/>
      <c r="AC627" s="404"/>
      <c r="AD627" s="380"/>
      <c r="AE627" s="380"/>
      <c r="AF627" s="380"/>
      <c r="AG627" s="380"/>
      <c r="AH627" s="380"/>
      <c r="AI627" s="380"/>
      <c r="AJ627" s="380"/>
      <c r="AK627" s="403"/>
      <c r="AL627" s="380"/>
      <c r="AM627" s="380"/>
      <c r="AN627" s="380"/>
      <c r="AO627" s="380"/>
      <c r="AP627" s="380"/>
      <c r="AQ627" s="404"/>
      <c r="AR627" s="380"/>
      <c r="AS627" s="380"/>
      <c r="AT627" s="380"/>
      <c r="AU627" s="380"/>
      <c r="AV627" s="380"/>
      <c r="AW627" s="380"/>
      <c r="AX627" s="380"/>
      <c r="AY627" s="403"/>
      <c r="AZ627" s="380"/>
      <c r="BA627" s="380"/>
      <c r="BB627" s="380"/>
      <c r="BC627" s="380"/>
      <c r="BD627" s="380"/>
      <c r="BE627" s="404"/>
      <c r="BF627" s="380"/>
      <c r="BG627" s="380"/>
      <c r="BH627" s="380"/>
      <c r="BI627" s="380"/>
      <c r="BJ627" s="380"/>
      <c r="BK627" s="380"/>
      <c r="BL627" s="380"/>
      <c r="BM627" s="403"/>
      <c r="BS627" s="83"/>
      <c r="CA627" s="405"/>
      <c r="CG627" s="83"/>
      <c r="CO627" s="405"/>
      <c r="CU627" s="83"/>
      <c r="DC627" s="405"/>
      <c r="DI627" s="83"/>
      <c r="DQ627" s="405"/>
      <c r="DW627" s="83"/>
      <c r="EE627" s="405"/>
      <c r="EK627" s="83"/>
      <c r="ES627" s="405"/>
      <c r="EY627" s="83"/>
      <c r="FG627" s="405"/>
      <c r="FM627" s="83"/>
      <c r="FU627" s="405"/>
      <c r="GA627" s="83"/>
      <c r="GI627" s="405"/>
      <c r="GO627" s="83"/>
      <c r="GW627" s="405"/>
      <c r="HC627" s="83"/>
      <c r="HK627" s="405"/>
      <c r="HQ627" s="83"/>
      <c r="HY627" s="405"/>
      <c r="IE627" s="83"/>
      <c r="IM627" s="405"/>
      <c r="IS627" s="83"/>
      <c r="JA627" s="405"/>
      <c r="JG627" s="83"/>
      <c r="JO627" s="405"/>
      <c r="JU627" s="83"/>
      <c r="KC627" s="405"/>
      <c r="KI627" s="83"/>
      <c r="KQ627" s="405"/>
      <c r="KW627" s="83"/>
      <c r="LE627" s="405"/>
      <c r="LK627" s="83"/>
      <c r="LS627" s="405"/>
      <c r="LY627" s="83"/>
      <c r="MG627" s="405"/>
      <c r="MM627" s="83"/>
      <c r="MU627" s="405"/>
      <c r="NA627" s="83"/>
    </row>
    <row r="628">
      <c r="A628" s="380"/>
      <c r="B628" s="380"/>
      <c r="C628" s="380"/>
      <c r="D628" s="380"/>
      <c r="E628" s="380"/>
      <c r="F628" s="380"/>
      <c r="G628" s="380"/>
      <c r="H628" s="380"/>
      <c r="I628" s="403"/>
      <c r="J628" s="380"/>
      <c r="K628" s="380"/>
      <c r="L628" s="380"/>
      <c r="M628" s="380"/>
      <c r="N628" s="380"/>
      <c r="O628" s="404"/>
      <c r="P628" s="380"/>
      <c r="Q628" s="380"/>
      <c r="R628" s="380"/>
      <c r="S628" s="380"/>
      <c r="T628" s="380"/>
      <c r="U628" s="380"/>
      <c r="V628" s="380"/>
      <c r="W628" s="403"/>
      <c r="X628" s="380"/>
      <c r="Y628" s="380"/>
      <c r="Z628" s="380"/>
      <c r="AA628" s="380"/>
      <c r="AB628" s="380"/>
      <c r="AC628" s="404"/>
      <c r="AD628" s="380"/>
      <c r="AE628" s="380"/>
      <c r="AF628" s="380"/>
      <c r="AG628" s="380"/>
      <c r="AH628" s="380"/>
      <c r="AI628" s="380"/>
      <c r="AJ628" s="380"/>
      <c r="AK628" s="403"/>
      <c r="AL628" s="380"/>
      <c r="AM628" s="380"/>
      <c r="AN628" s="380"/>
      <c r="AO628" s="380"/>
      <c r="AP628" s="380"/>
      <c r="AQ628" s="404"/>
      <c r="AR628" s="380"/>
      <c r="AS628" s="380"/>
      <c r="AT628" s="380"/>
      <c r="AU628" s="380"/>
      <c r="AV628" s="380"/>
      <c r="AW628" s="380"/>
      <c r="AX628" s="380"/>
      <c r="AY628" s="403"/>
      <c r="AZ628" s="380"/>
      <c r="BA628" s="380"/>
      <c r="BB628" s="380"/>
      <c r="BC628" s="380"/>
      <c r="BD628" s="380"/>
      <c r="BE628" s="404"/>
      <c r="BF628" s="380"/>
      <c r="BG628" s="380"/>
      <c r="BH628" s="380"/>
      <c r="BI628" s="380"/>
      <c r="BJ628" s="380"/>
      <c r="BK628" s="380"/>
      <c r="BL628" s="380"/>
      <c r="BM628" s="403"/>
      <c r="BS628" s="83"/>
      <c r="CA628" s="405"/>
      <c r="CG628" s="83"/>
      <c r="CO628" s="405"/>
      <c r="CU628" s="83"/>
      <c r="DC628" s="405"/>
      <c r="DI628" s="83"/>
      <c r="DQ628" s="405"/>
      <c r="DW628" s="83"/>
      <c r="EE628" s="405"/>
      <c r="EK628" s="83"/>
      <c r="ES628" s="405"/>
      <c r="EY628" s="83"/>
      <c r="FG628" s="405"/>
      <c r="FM628" s="83"/>
      <c r="FU628" s="405"/>
      <c r="GA628" s="83"/>
      <c r="GI628" s="405"/>
      <c r="GO628" s="83"/>
      <c r="GW628" s="405"/>
      <c r="HC628" s="83"/>
      <c r="HK628" s="405"/>
      <c r="HQ628" s="83"/>
      <c r="HY628" s="405"/>
      <c r="IE628" s="83"/>
      <c r="IM628" s="405"/>
      <c r="IS628" s="83"/>
      <c r="JA628" s="405"/>
      <c r="JG628" s="83"/>
      <c r="JO628" s="405"/>
      <c r="JU628" s="83"/>
      <c r="KC628" s="405"/>
      <c r="KI628" s="83"/>
      <c r="KQ628" s="405"/>
      <c r="KW628" s="83"/>
      <c r="LE628" s="405"/>
      <c r="LK628" s="83"/>
      <c r="LS628" s="405"/>
      <c r="LY628" s="83"/>
      <c r="MG628" s="405"/>
      <c r="MM628" s="83"/>
      <c r="MU628" s="405"/>
      <c r="NA628" s="83"/>
    </row>
    <row r="629">
      <c r="A629" s="380"/>
      <c r="B629" s="380"/>
      <c r="C629" s="380"/>
      <c r="D629" s="380"/>
      <c r="E629" s="380"/>
      <c r="F629" s="380"/>
      <c r="G629" s="380"/>
      <c r="H629" s="380"/>
      <c r="I629" s="403"/>
      <c r="J629" s="380"/>
      <c r="K629" s="380"/>
      <c r="L629" s="380"/>
      <c r="M629" s="380"/>
      <c r="N629" s="380"/>
      <c r="O629" s="404"/>
      <c r="P629" s="380"/>
      <c r="Q629" s="380"/>
      <c r="R629" s="380"/>
      <c r="S629" s="380"/>
      <c r="T629" s="380"/>
      <c r="U629" s="380"/>
      <c r="V629" s="380"/>
      <c r="W629" s="403"/>
      <c r="X629" s="380"/>
      <c r="Y629" s="380"/>
      <c r="Z629" s="380"/>
      <c r="AA629" s="380"/>
      <c r="AB629" s="380"/>
      <c r="AC629" s="404"/>
      <c r="AD629" s="380"/>
      <c r="AE629" s="380"/>
      <c r="AF629" s="380"/>
      <c r="AG629" s="380"/>
      <c r="AH629" s="380"/>
      <c r="AI629" s="380"/>
      <c r="AJ629" s="380"/>
      <c r="AK629" s="403"/>
      <c r="AL629" s="380"/>
      <c r="AM629" s="380"/>
      <c r="AN629" s="380"/>
      <c r="AO629" s="380"/>
      <c r="AP629" s="380"/>
      <c r="AQ629" s="404"/>
      <c r="AR629" s="380"/>
      <c r="AS629" s="380"/>
      <c r="AT629" s="380"/>
      <c r="AU629" s="380"/>
      <c r="AV629" s="380"/>
      <c r="AW629" s="380"/>
      <c r="AX629" s="380"/>
      <c r="AY629" s="403"/>
      <c r="AZ629" s="380"/>
      <c r="BA629" s="380"/>
      <c r="BB629" s="380"/>
      <c r="BC629" s="380"/>
      <c r="BD629" s="380"/>
      <c r="BE629" s="404"/>
      <c r="BF629" s="380"/>
      <c r="BG629" s="380"/>
      <c r="BH629" s="380"/>
      <c r="BI629" s="380"/>
      <c r="BJ629" s="380"/>
      <c r="BK629" s="380"/>
      <c r="BL629" s="380"/>
      <c r="BM629" s="403"/>
      <c r="BS629" s="83"/>
      <c r="CA629" s="405"/>
      <c r="CG629" s="83"/>
      <c r="CO629" s="405"/>
      <c r="CU629" s="83"/>
      <c r="DC629" s="405"/>
      <c r="DI629" s="83"/>
      <c r="DQ629" s="405"/>
      <c r="DW629" s="83"/>
      <c r="EE629" s="405"/>
      <c r="EK629" s="83"/>
      <c r="ES629" s="405"/>
      <c r="EY629" s="83"/>
      <c r="FG629" s="405"/>
      <c r="FM629" s="83"/>
      <c r="FU629" s="405"/>
      <c r="GA629" s="83"/>
      <c r="GI629" s="405"/>
      <c r="GO629" s="83"/>
      <c r="GW629" s="405"/>
      <c r="HC629" s="83"/>
      <c r="HK629" s="405"/>
      <c r="HQ629" s="83"/>
      <c r="HY629" s="405"/>
      <c r="IE629" s="83"/>
      <c r="IM629" s="405"/>
      <c r="IS629" s="83"/>
      <c r="JA629" s="405"/>
      <c r="JG629" s="83"/>
      <c r="JO629" s="405"/>
      <c r="JU629" s="83"/>
      <c r="KC629" s="405"/>
      <c r="KI629" s="83"/>
      <c r="KQ629" s="405"/>
      <c r="KW629" s="83"/>
      <c r="LE629" s="405"/>
      <c r="LK629" s="83"/>
      <c r="LS629" s="405"/>
      <c r="LY629" s="83"/>
      <c r="MG629" s="405"/>
      <c r="MM629" s="83"/>
      <c r="MU629" s="405"/>
      <c r="NA629" s="83"/>
    </row>
    <row r="630">
      <c r="A630" s="380"/>
      <c r="B630" s="380"/>
      <c r="C630" s="380"/>
      <c r="D630" s="380"/>
      <c r="E630" s="380"/>
      <c r="F630" s="380"/>
      <c r="G630" s="380"/>
      <c r="H630" s="380"/>
      <c r="I630" s="403"/>
      <c r="J630" s="380"/>
      <c r="K630" s="380"/>
      <c r="L630" s="380"/>
      <c r="M630" s="380"/>
      <c r="N630" s="380"/>
      <c r="O630" s="404"/>
      <c r="P630" s="380"/>
      <c r="Q630" s="380"/>
      <c r="R630" s="380"/>
      <c r="S630" s="380"/>
      <c r="T630" s="380"/>
      <c r="U630" s="380"/>
      <c r="V630" s="380"/>
      <c r="W630" s="403"/>
      <c r="X630" s="380"/>
      <c r="Y630" s="380"/>
      <c r="Z630" s="380"/>
      <c r="AA630" s="380"/>
      <c r="AB630" s="380"/>
      <c r="AC630" s="404"/>
      <c r="AD630" s="380"/>
      <c r="AE630" s="380"/>
      <c r="AF630" s="380"/>
      <c r="AG630" s="380"/>
      <c r="AH630" s="380"/>
      <c r="AI630" s="380"/>
      <c r="AJ630" s="380"/>
      <c r="AK630" s="403"/>
      <c r="AL630" s="380"/>
      <c r="AM630" s="380"/>
      <c r="AN630" s="380"/>
      <c r="AO630" s="380"/>
      <c r="AP630" s="380"/>
      <c r="AQ630" s="404"/>
      <c r="AR630" s="380"/>
      <c r="AS630" s="380"/>
      <c r="AT630" s="380"/>
      <c r="AU630" s="380"/>
      <c r="AV630" s="380"/>
      <c r="AW630" s="380"/>
      <c r="AX630" s="380"/>
      <c r="AY630" s="403"/>
      <c r="AZ630" s="380"/>
      <c r="BA630" s="380"/>
      <c r="BB630" s="380"/>
      <c r="BC630" s="380"/>
      <c r="BD630" s="380"/>
      <c r="BE630" s="404"/>
      <c r="BF630" s="380"/>
      <c r="BG630" s="380"/>
      <c r="BH630" s="380"/>
      <c r="BI630" s="380"/>
      <c r="BJ630" s="380"/>
      <c r="BK630" s="380"/>
      <c r="BL630" s="380"/>
      <c r="BM630" s="403"/>
      <c r="BS630" s="83"/>
      <c r="CA630" s="405"/>
      <c r="CG630" s="83"/>
      <c r="CO630" s="405"/>
      <c r="CU630" s="83"/>
      <c r="DC630" s="405"/>
      <c r="DI630" s="83"/>
      <c r="DQ630" s="405"/>
      <c r="DW630" s="83"/>
      <c r="EE630" s="405"/>
      <c r="EK630" s="83"/>
      <c r="ES630" s="405"/>
      <c r="EY630" s="83"/>
      <c r="FG630" s="405"/>
      <c r="FM630" s="83"/>
      <c r="FU630" s="405"/>
      <c r="GA630" s="83"/>
      <c r="GI630" s="405"/>
      <c r="GO630" s="83"/>
      <c r="GW630" s="405"/>
      <c r="HC630" s="83"/>
      <c r="HK630" s="405"/>
      <c r="HQ630" s="83"/>
      <c r="HY630" s="405"/>
      <c r="IE630" s="83"/>
      <c r="IM630" s="405"/>
      <c r="IS630" s="83"/>
      <c r="JA630" s="405"/>
      <c r="JG630" s="83"/>
      <c r="JO630" s="405"/>
      <c r="JU630" s="83"/>
      <c r="KC630" s="405"/>
      <c r="KI630" s="83"/>
      <c r="KQ630" s="405"/>
      <c r="KW630" s="83"/>
      <c r="LE630" s="405"/>
      <c r="LK630" s="83"/>
      <c r="LS630" s="405"/>
      <c r="LY630" s="83"/>
      <c r="MG630" s="405"/>
      <c r="MM630" s="83"/>
      <c r="MU630" s="405"/>
      <c r="NA630" s="83"/>
    </row>
    <row r="631">
      <c r="A631" s="380"/>
      <c r="B631" s="380"/>
      <c r="C631" s="380"/>
      <c r="D631" s="380"/>
      <c r="E631" s="380"/>
      <c r="F631" s="380"/>
      <c r="G631" s="380"/>
      <c r="H631" s="380"/>
      <c r="I631" s="403"/>
      <c r="J631" s="380"/>
      <c r="K631" s="380"/>
      <c r="L631" s="380"/>
      <c r="M631" s="380"/>
      <c r="N631" s="380"/>
      <c r="O631" s="404"/>
      <c r="P631" s="380"/>
      <c r="Q631" s="380"/>
      <c r="R631" s="380"/>
      <c r="S631" s="380"/>
      <c r="T631" s="380"/>
      <c r="U631" s="380"/>
      <c r="V631" s="380"/>
      <c r="W631" s="403"/>
      <c r="X631" s="380"/>
      <c r="Y631" s="380"/>
      <c r="Z631" s="380"/>
      <c r="AA631" s="380"/>
      <c r="AB631" s="380"/>
      <c r="AC631" s="404"/>
      <c r="AD631" s="380"/>
      <c r="AE631" s="380"/>
      <c r="AF631" s="380"/>
      <c r="AG631" s="380"/>
      <c r="AH631" s="380"/>
      <c r="AI631" s="380"/>
      <c r="AJ631" s="380"/>
      <c r="AK631" s="403"/>
      <c r="AL631" s="380"/>
      <c r="AM631" s="380"/>
      <c r="AN631" s="380"/>
      <c r="AO631" s="380"/>
      <c r="AP631" s="380"/>
      <c r="AQ631" s="404"/>
      <c r="AR631" s="380"/>
      <c r="AS631" s="380"/>
      <c r="AT631" s="380"/>
      <c r="AU631" s="380"/>
      <c r="AV631" s="380"/>
      <c r="AW631" s="380"/>
      <c r="AX631" s="380"/>
      <c r="AY631" s="403"/>
      <c r="AZ631" s="380"/>
      <c r="BA631" s="380"/>
      <c r="BB631" s="380"/>
      <c r="BC631" s="380"/>
      <c r="BD631" s="380"/>
      <c r="BE631" s="404"/>
      <c r="BF631" s="380"/>
      <c r="BG631" s="380"/>
      <c r="BH631" s="380"/>
      <c r="BI631" s="380"/>
      <c r="BJ631" s="380"/>
      <c r="BK631" s="380"/>
      <c r="BL631" s="380"/>
      <c r="BM631" s="403"/>
      <c r="BS631" s="83"/>
      <c r="CA631" s="405"/>
      <c r="CG631" s="83"/>
      <c r="CO631" s="405"/>
      <c r="CU631" s="83"/>
      <c r="DC631" s="405"/>
      <c r="DI631" s="83"/>
      <c r="DQ631" s="405"/>
      <c r="DW631" s="83"/>
      <c r="EE631" s="405"/>
      <c r="EK631" s="83"/>
      <c r="ES631" s="405"/>
      <c r="EY631" s="83"/>
      <c r="FG631" s="405"/>
      <c r="FM631" s="83"/>
      <c r="FU631" s="405"/>
      <c r="GA631" s="83"/>
      <c r="GI631" s="405"/>
      <c r="GO631" s="83"/>
      <c r="GW631" s="405"/>
      <c r="HC631" s="83"/>
      <c r="HK631" s="405"/>
      <c r="HQ631" s="83"/>
      <c r="HY631" s="405"/>
      <c r="IE631" s="83"/>
      <c r="IM631" s="405"/>
      <c r="IS631" s="83"/>
      <c r="JA631" s="405"/>
      <c r="JG631" s="83"/>
      <c r="JO631" s="405"/>
      <c r="JU631" s="83"/>
      <c r="KC631" s="405"/>
      <c r="KI631" s="83"/>
      <c r="KQ631" s="405"/>
      <c r="KW631" s="83"/>
      <c r="LE631" s="405"/>
      <c r="LK631" s="83"/>
      <c r="LS631" s="405"/>
      <c r="LY631" s="83"/>
      <c r="MG631" s="405"/>
      <c r="MM631" s="83"/>
      <c r="MU631" s="405"/>
      <c r="NA631" s="83"/>
    </row>
    <row r="632">
      <c r="A632" s="380"/>
      <c r="B632" s="380"/>
      <c r="C632" s="380"/>
      <c r="D632" s="380"/>
      <c r="E632" s="380"/>
      <c r="F632" s="380"/>
      <c r="G632" s="380"/>
      <c r="H632" s="380"/>
      <c r="I632" s="403"/>
      <c r="J632" s="380"/>
      <c r="K632" s="380"/>
      <c r="L632" s="380"/>
      <c r="M632" s="380"/>
      <c r="N632" s="380"/>
      <c r="O632" s="404"/>
      <c r="P632" s="380"/>
      <c r="Q632" s="380"/>
      <c r="R632" s="380"/>
      <c r="S632" s="380"/>
      <c r="T632" s="380"/>
      <c r="U632" s="380"/>
      <c r="V632" s="380"/>
      <c r="W632" s="403"/>
      <c r="X632" s="380"/>
      <c r="Y632" s="380"/>
      <c r="Z632" s="380"/>
      <c r="AA632" s="380"/>
      <c r="AB632" s="380"/>
      <c r="AC632" s="404"/>
      <c r="AD632" s="380"/>
      <c r="AE632" s="380"/>
      <c r="AF632" s="380"/>
      <c r="AG632" s="380"/>
      <c r="AH632" s="380"/>
      <c r="AI632" s="380"/>
      <c r="AJ632" s="380"/>
      <c r="AK632" s="403"/>
      <c r="AL632" s="380"/>
      <c r="AM632" s="380"/>
      <c r="AN632" s="380"/>
      <c r="AO632" s="380"/>
      <c r="AP632" s="380"/>
      <c r="AQ632" s="404"/>
      <c r="AR632" s="380"/>
      <c r="AS632" s="380"/>
      <c r="AT632" s="380"/>
      <c r="AU632" s="380"/>
      <c r="AV632" s="380"/>
      <c r="AW632" s="380"/>
      <c r="AX632" s="380"/>
      <c r="AY632" s="403"/>
      <c r="AZ632" s="380"/>
      <c r="BA632" s="380"/>
      <c r="BB632" s="380"/>
      <c r="BC632" s="380"/>
      <c r="BD632" s="380"/>
      <c r="BE632" s="404"/>
      <c r="BF632" s="380"/>
      <c r="BG632" s="380"/>
      <c r="BH632" s="380"/>
      <c r="BI632" s="380"/>
      <c r="BJ632" s="380"/>
      <c r="BK632" s="380"/>
      <c r="BL632" s="380"/>
      <c r="BM632" s="403"/>
      <c r="BS632" s="83"/>
      <c r="CA632" s="405"/>
      <c r="CG632" s="83"/>
      <c r="CO632" s="405"/>
      <c r="CU632" s="83"/>
      <c r="DC632" s="405"/>
      <c r="DI632" s="83"/>
      <c r="DQ632" s="405"/>
      <c r="DW632" s="83"/>
      <c r="EE632" s="405"/>
      <c r="EK632" s="83"/>
      <c r="ES632" s="405"/>
      <c r="EY632" s="83"/>
      <c r="FG632" s="405"/>
      <c r="FM632" s="83"/>
      <c r="FU632" s="405"/>
      <c r="GA632" s="83"/>
      <c r="GI632" s="405"/>
      <c r="GO632" s="83"/>
      <c r="GW632" s="405"/>
      <c r="HC632" s="83"/>
      <c r="HK632" s="405"/>
      <c r="HQ632" s="83"/>
      <c r="HY632" s="405"/>
      <c r="IE632" s="83"/>
      <c r="IM632" s="405"/>
      <c r="IS632" s="83"/>
      <c r="JA632" s="405"/>
      <c r="JG632" s="83"/>
      <c r="JO632" s="405"/>
      <c r="JU632" s="83"/>
      <c r="KC632" s="405"/>
      <c r="KI632" s="83"/>
      <c r="KQ632" s="405"/>
      <c r="KW632" s="83"/>
      <c r="LE632" s="405"/>
      <c r="LK632" s="83"/>
      <c r="LS632" s="405"/>
      <c r="LY632" s="83"/>
      <c r="MG632" s="405"/>
      <c r="MM632" s="83"/>
      <c r="MU632" s="405"/>
      <c r="NA632" s="83"/>
    </row>
    <row r="633">
      <c r="A633" s="380"/>
      <c r="B633" s="380"/>
      <c r="C633" s="380"/>
      <c r="D633" s="380"/>
      <c r="E633" s="380"/>
      <c r="F633" s="380"/>
      <c r="G633" s="380"/>
      <c r="H633" s="380"/>
      <c r="I633" s="403"/>
      <c r="J633" s="380"/>
      <c r="K633" s="380"/>
      <c r="L633" s="380"/>
      <c r="M633" s="380"/>
      <c r="N633" s="380"/>
      <c r="O633" s="404"/>
      <c r="P633" s="380"/>
      <c r="Q633" s="380"/>
      <c r="R633" s="380"/>
      <c r="S633" s="380"/>
      <c r="T633" s="380"/>
      <c r="U633" s="380"/>
      <c r="V633" s="380"/>
      <c r="W633" s="403"/>
      <c r="X633" s="380"/>
      <c r="Y633" s="380"/>
      <c r="Z633" s="380"/>
      <c r="AA633" s="380"/>
      <c r="AB633" s="380"/>
      <c r="AC633" s="404"/>
      <c r="AD633" s="380"/>
      <c r="AE633" s="380"/>
      <c r="AF633" s="380"/>
      <c r="AG633" s="380"/>
      <c r="AH633" s="380"/>
      <c r="AI633" s="380"/>
      <c r="AJ633" s="380"/>
      <c r="AK633" s="403"/>
      <c r="AL633" s="380"/>
      <c r="AM633" s="380"/>
      <c r="AN633" s="380"/>
      <c r="AO633" s="380"/>
      <c r="AP633" s="380"/>
      <c r="AQ633" s="404"/>
      <c r="AR633" s="380"/>
      <c r="AS633" s="380"/>
      <c r="AT633" s="380"/>
      <c r="AU633" s="380"/>
      <c r="AV633" s="380"/>
      <c r="AW633" s="380"/>
      <c r="AX633" s="380"/>
      <c r="AY633" s="403"/>
      <c r="AZ633" s="380"/>
      <c r="BA633" s="380"/>
      <c r="BB633" s="380"/>
      <c r="BC633" s="380"/>
      <c r="BD633" s="380"/>
      <c r="BE633" s="404"/>
      <c r="BF633" s="380"/>
      <c r="BG633" s="380"/>
      <c r="BH633" s="380"/>
      <c r="BI633" s="380"/>
      <c r="BJ633" s="380"/>
      <c r="BK633" s="380"/>
      <c r="BL633" s="380"/>
      <c r="BM633" s="403"/>
      <c r="BS633" s="83"/>
      <c r="CA633" s="405"/>
      <c r="CG633" s="83"/>
      <c r="CO633" s="405"/>
      <c r="CU633" s="83"/>
      <c r="DC633" s="405"/>
      <c r="DI633" s="83"/>
      <c r="DQ633" s="405"/>
      <c r="DW633" s="83"/>
      <c r="EE633" s="405"/>
      <c r="EK633" s="83"/>
      <c r="ES633" s="405"/>
      <c r="EY633" s="83"/>
      <c r="FG633" s="405"/>
      <c r="FM633" s="83"/>
      <c r="FU633" s="405"/>
      <c r="GA633" s="83"/>
      <c r="GI633" s="405"/>
      <c r="GO633" s="83"/>
      <c r="GW633" s="405"/>
      <c r="HC633" s="83"/>
      <c r="HK633" s="405"/>
      <c r="HQ633" s="83"/>
      <c r="HY633" s="405"/>
      <c r="IE633" s="83"/>
      <c r="IM633" s="405"/>
      <c r="IS633" s="83"/>
      <c r="JA633" s="405"/>
      <c r="JG633" s="83"/>
      <c r="JO633" s="405"/>
      <c r="JU633" s="83"/>
      <c r="KC633" s="405"/>
      <c r="KI633" s="83"/>
      <c r="KQ633" s="405"/>
      <c r="KW633" s="83"/>
      <c r="LE633" s="405"/>
      <c r="LK633" s="83"/>
      <c r="LS633" s="405"/>
      <c r="LY633" s="83"/>
      <c r="MG633" s="405"/>
      <c r="MM633" s="83"/>
      <c r="MU633" s="405"/>
      <c r="NA633" s="83"/>
    </row>
    <row r="634">
      <c r="A634" s="380"/>
      <c r="B634" s="380"/>
      <c r="C634" s="380"/>
      <c r="D634" s="380"/>
      <c r="E634" s="380"/>
      <c r="F634" s="380"/>
      <c r="G634" s="380"/>
      <c r="H634" s="380"/>
      <c r="I634" s="403"/>
      <c r="J634" s="380"/>
      <c r="K634" s="380"/>
      <c r="L634" s="380"/>
      <c r="M634" s="380"/>
      <c r="N634" s="380"/>
      <c r="O634" s="404"/>
      <c r="P634" s="380"/>
      <c r="Q634" s="380"/>
      <c r="R634" s="380"/>
      <c r="S634" s="380"/>
      <c r="T634" s="380"/>
      <c r="U634" s="380"/>
      <c r="V634" s="380"/>
      <c r="W634" s="403"/>
      <c r="X634" s="380"/>
      <c r="Y634" s="380"/>
      <c r="Z634" s="380"/>
      <c r="AA634" s="380"/>
      <c r="AB634" s="380"/>
      <c r="AC634" s="404"/>
      <c r="AD634" s="380"/>
      <c r="AE634" s="380"/>
      <c r="AF634" s="380"/>
      <c r="AG634" s="380"/>
      <c r="AH634" s="380"/>
      <c r="AI634" s="380"/>
      <c r="AJ634" s="380"/>
      <c r="AK634" s="403"/>
      <c r="AL634" s="380"/>
      <c r="AM634" s="380"/>
      <c r="AN634" s="380"/>
      <c r="AO634" s="380"/>
      <c r="AP634" s="380"/>
      <c r="AQ634" s="404"/>
      <c r="AR634" s="380"/>
      <c r="AS634" s="380"/>
      <c r="AT634" s="380"/>
      <c r="AU634" s="380"/>
      <c r="AV634" s="380"/>
      <c r="AW634" s="380"/>
      <c r="AX634" s="380"/>
      <c r="AY634" s="403"/>
      <c r="AZ634" s="380"/>
      <c r="BA634" s="380"/>
      <c r="BB634" s="380"/>
      <c r="BC634" s="380"/>
      <c r="BD634" s="380"/>
      <c r="BE634" s="404"/>
      <c r="BF634" s="380"/>
      <c r="BG634" s="380"/>
      <c r="BH634" s="380"/>
      <c r="BI634" s="380"/>
      <c r="BJ634" s="380"/>
      <c r="BK634" s="380"/>
      <c r="BL634" s="380"/>
      <c r="BM634" s="403"/>
      <c r="BS634" s="83"/>
      <c r="CA634" s="405"/>
      <c r="CG634" s="83"/>
      <c r="CO634" s="405"/>
      <c r="CU634" s="83"/>
      <c r="DC634" s="405"/>
      <c r="DI634" s="83"/>
      <c r="DQ634" s="405"/>
      <c r="DW634" s="83"/>
      <c r="EE634" s="405"/>
      <c r="EK634" s="83"/>
      <c r="ES634" s="405"/>
      <c r="EY634" s="83"/>
      <c r="FG634" s="405"/>
      <c r="FM634" s="83"/>
      <c r="FU634" s="405"/>
      <c r="GA634" s="83"/>
      <c r="GI634" s="405"/>
      <c r="GO634" s="83"/>
      <c r="GW634" s="405"/>
      <c r="HC634" s="83"/>
      <c r="HK634" s="405"/>
      <c r="HQ634" s="83"/>
      <c r="HY634" s="405"/>
      <c r="IE634" s="83"/>
      <c r="IM634" s="405"/>
      <c r="IS634" s="83"/>
      <c r="JA634" s="405"/>
      <c r="JG634" s="83"/>
      <c r="JO634" s="405"/>
      <c r="JU634" s="83"/>
      <c r="KC634" s="405"/>
      <c r="KI634" s="83"/>
      <c r="KQ634" s="405"/>
      <c r="KW634" s="83"/>
      <c r="LE634" s="405"/>
      <c r="LK634" s="83"/>
      <c r="LS634" s="405"/>
      <c r="LY634" s="83"/>
      <c r="MG634" s="405"/>
      <c r="MM634" s="83"/>
      <c r="MU634" s="405"/>
      <c r="NA634" s="83"/>
    </row>
    <row r="635">
      <c r="A635" s="380"/>
      <c r="B635" s="380"/>
      <c r="C635" s="380"/>
      <c r="D635" s="380"/>
      <c r="E635" s="380"/>
      <c r="F635" s="380"/>
      <c r="G635" s="380"/>
      <c r="H635" s="380"/>
      <c r="I635" s="403"/>
      <c r="J635" s="380"/>
      <c r="K635" s="380"/>
      <c r="L635" s="380"/>
      <c r="M635" s="380"/>
      <c r="N635" s="380"/>
      <c r="O635" s="404"/>
      <c r="P635" s="380"/>
      <c r="Q635" s="380"/>
      <c r="R635" s="380"/>
      <c r="S635" s="380"/>
      <c r="T635" s="380"/>
      <c r="U635" s="380"/>
      <c r="V635" s="380"/>
      <c r="W635" s="403"/>
      <c r="X635" s="380"/>
      <c r="Y635" s="380"/>
      <c r="Z635" s="380"/>
      <c r="AA635" s="380"/>
      <c r="AB635" s="380"/>
      <c r="AC635" s="404"/>
      <c r="AD635" s="380"/>
      <c r="AE635" s="380"/>
      <c r="AF635" s="380"/>
      <c r="AG635" s="380"/>
      <c r="AH635" s="380"/>
      <c r="AI635" s="380"/>
      <c r="AJ635" s="380"/>
      <c r="AK635" s="403"/>
      <c r="AL635" s="380"/>
      <c r="AM635" s="380"/>
      <c r="AN635" s="380"/>
      <c r="AO635" s="380"/>
      <c r="AP635" s="380"/>
      <c r="AQ635" s="404"/>
      <c r="AR635" s="380"/>
      <c r="AS635" s="380"/>
      <c r="AT635" s="380"/>
      <c r="AU635" s="380"/>
      <c r="AV635" s="380"/>
      <c r="AW635" s="380"/>
      <c r="AX635" s="380"/>
      <c r="AY635" s="403"/>
      <c r="AZ635" s="380"/>
      <c r="BA635" s="380"/>
      <c r="BB635" s="380"/>
      <c r="BC635" s="380"/>
      <c r="BD635" s="380"/>
      <c r="BE635" s="404"/>
      <c r="BF635" s="380"/>
      <c r="BG635" s="380"/>
      <c r="BH635" s="380"/>
      <c r="BI635" s="380"/>
      <c r="BJ635" s="380"/>
      <c r="BK635" s="380"/>
      <c r="BL635" s="380"/>
      <c r="BM635" s="403"/>
      <c r="BS635" s="83"/>
      <c r="CA635" s="405"/>
      <c r="CG635" s="83"/>
      <c r="CO635" s="405"/>
      <c r="CU635" s="83"/>
      <c r="DC635" s="405"/>
      <c r="DI635" s="83"/>
      <c r="DQ635" s="405"/>
      <c r="DW635" s="83"/>
      <c r="EE635" s="405"/>
      <c r="EK635" s="83"/>
      <c r="ES635" s="405"/>
      <c r="EY635" s="83"/>
      <c r="FG635" s="405"/>
      <c r="FM635" s="83"/>
      <c r="FU635" s="405"/>
      <c r="GA635" s="83"/>
      <c r="GI635" s="405"/>
      <c r="GO635" s="83"/>
      <c r="GW635" s="405"/>
      <c r="HC635" s="83"/>
      <c r="HK635" s="405"/>
      <c r="HQ635" s="83"/>
      <c r="HY635" s="405"/>
      <c r="IE635" s="83"/>
      <c r="IM635" s="405"/>
      <c r="IS635" s="83"/>
      <c r="JA635" s="405"/>
      <c r="JG635" s="83"/>
      <c r="JO635" s="405"/>
      <c r="JU635" s="83"/>
      <c r="KC635" s="405"/>
      <c r="KI635" s="83"/>
      <c r="KQ635" s="405"/>
      <c r="KW635" s="83"/>
      <c r="LE635" s="405"/>
      <c r="LK635" s="83"/>
      <c r="LS635" s="405"/>
      <c r="LY635" s="83"/>
      <c r="MG635" s="405"/>
      <c r="MM635" s="83"/>
      <c r="MU635" s="405"/>
      <c r="NA635" s="83"/>
    </row>
    <row r="636">
      <c r="A636" s="380"/>
      <c r="B636" s="380"/>
      <c r="C636" s="380"/>
      <c r="D636" s="380"/>
      <c r="E636" s="380"/>
      <c r="F636" s="380"/>
      <c r="G636" s="380"/>
      <c r="H636" s="380"/>
      <c r="I636" s="403"/>
      <c r="J636" s="380"/>
      <c r="K636" s="380"/>
      <c r="L636" s="380"/>
      <c r="M636" s="380"/>
      <c r="N636" s="380"/>
      <c r="O636" s="404"/>
      <c r="P636" s="380"/>
      <c r="Q636" s="380"/>
      <c r="R636" s="380"/>
      <c r="S636" s="380"/>
      <c r="T636" s="380"/>
      <c r="U636" s="380"/>
      <c r="V636" s="380"/>
      <c r="W636" s="403"/>
      <c r="X636" s="380"/>
      <c r="Y636" s="380"/>
      <c r="Z636" s="380"/>
      <c r="AA636" s="380"/>
      <c r="AB636" s="380"/>
      <c r="AC636" s="404"/>
      <c r="AD636" s="380"/>
      <c r="AE636" s="380"/>
      <c r="AF636" s="380"/>
      <c r="AG636" s="380"/>
      <c r="AH636" s="380"/>
      <c r="AI636" s="380"/>
      <c r="AJ636" s="380"/>
      <c r="AK636" s="403"/>
      <c r="AL636" s="380"/>
      <c r="AM636" s="380"/>
      <c r="AN636" s="380"/>
      <c r="AO636" s="380"/>
      <c r="AP636" s="380"/>
      <c r="AQ636" s="404"/>
      <c r="AR636" s="380"/>
      <c r="AS636" s="380"/>
      <c r="AT636" s="380"/>
      <c r="AU636" s="380"/>
      <c r="AV636" s="380"/>
      <c r="AW636" s="380"/>
      <c r="AX636" s="380"/>
      <c r="AY636" s="403"/>
      <c r="AZ636" s="380"/>
      <c r="BA636" s="380"/>
      <c r="BB636" s="380"/>
      <c r="BC636" s="380"/>
      <c r="BD636" s="380"/>
      <c r="BE636" s="404"/>
      <c r="BF636" s="380"/>
      <c r="BG636" s="380"/>
      <c r="BH636" s="380"/>
      <c r="BI636" s="380"/>
      <c r="BJ636" s="380"/>
      <c r="BK636" s="380"/>
      <c r="BL636" s="380"/>
      <c r="BM636" s="403"/>
      <c r="BS636" s="83"/>
      <c r="CA636" s="405"/>
      <c r="CG636" s="83"/>
      <c r="CO636" s="405"/>
      <c r="CU636" s="83"/>
      <c r="DC636" s="405"/>
      <c r="DI636" s="83"/>
      <c r="DQ636" s="405"/>
      <c r="DW636" s="83"/>
      <c r="EE636" s="405"/>
      <c r="EK636" s="83"/>
      <c r="ES636" s="405"/>
      <c r="EY636" s="83"/>
      <c r="FG636" s="405"/>
      <c r="FM636" s="83"/>
      <c r="FU636" s="405"/>
      <c r="GA636" s="83"/>
      <c r="GI636" s="405"/>
      <c r="GO636" s="83"/>
      <c r="GW636" s="405"/>
      <c r="HC636" s="83"/>
      <c r="HK636" s="405"/>
      <c r="HQ636" s="83"/>
      <c r="HY636" s="405"/>
      <c r="IE636" s="83"/>
      <c r="IM636" s="405"/>
      <c r="IS636" s="83"/>
      <c r="JA636" s="405"/>
      <c r="JG636" s="83"/>
      <c r="JO636" s="405"/>
      <c r="JU636" s="83"/>
      <c r="KC636" s="405"/>
      <c r="KI636" s="83"/>
      <c r="KQ636" s="405"/>
      <c r="KW636" s="83"/>
      <c r="LE636" s="405"/>
      <c r="LK636" s="83"/>
      <c r="LS636" s="405"/>
      <c r="LY636" s="83"/>
      <c r="MG636" s="405"/>
      <c r="MM636" s="83"/>
      <c r="MU636" s="405"/>
      <c r="NA636" s="83"/>
    </row>
    <row r="637">
      <c r="A637" s="380"/>
      <c r="B637" s="380"/>
      <c r="C637" s="380"/>
      <c r="D637" s="380"/>
      <c r="E637" s="380"/>
      <c r="F637" s="380"/>
      <c r="G637" s="380"/>
      <c r="H637" s="380"/>
      <c r="I637" s="403"/>
      <c r="J637" s="380"/>
      <c r="K637" s="380"/>
      <c r="L637" s="380"/>
      <c r="M637" s="380"/>
      <c r="N637" s="380"/>
      <c r="O637" s="404"/>
      <c r="P637" s="380"/>
      <c r="Q637" s="380"/>
      <c r="R637" s="380"/>
      <c r="S637" s="380"/>
      <c r="T637" s="380"/>
      <c r="U637" s="380"/>
      <c r="V637" s="380"/>
      <c r="W637" s="403"/>
      <c r="X637" s="380"/>
      <c r="Y637" s="380"/>
      <c r="Z637" s="380"/>
      <c r="AA637" s="380"/>
      <c r="AB637" s="380"/>
      <c r="AC637" s="404"/>
      <c r="AD637" s="380"/>
      <c r="AE637" s="380"/>
      <c r="AF637" s="380"/>
      <c r="AG637" s="380"/>
      <c r="AH637" s="380"/>
      <c r="AI637" s="380"/>
      <c r="AJ637" s="380"/>
      <c r="AK637" s="403"/>
      <c r="AL637" s="380"/>
      <c r="AM637" s="380"/>
      <c r="AN637" s="380"/>
      <c r="AO637" s="380"/>
      <c r="AP637" s="380"/>
      <c r="AQ637" s="404"/>
      <c r="AR637" s="380"/>
      <c r="AS637" s="380"/>
      <c r="AT637" s="380"/>
      <c r="AU637" s="380"/>
      <c r="AV637" s="380"/>
      <c r="AW637" s="380"/>
      <c r="AX637" s="380"/>
      <c r="AY637" s="403"/>
      <c r="AZ637" s="380"/>
      <c r="BA637" s="380"/>
      <c r="BB637" s="380"/>
      <c r="BC637" s="380"/>
      <c r="BD637" s="380"/>
      <c r="BE637" s="404"/>
      <c r="BF637" s="380"/>
      <c r="BG637" s="380"/>
      <c r="BH637" s="380"/>
      <c r="BI637" s="380"/>
      <c r="BJ637" s="380"/>
      <c r="BK637" s="380"/>
      <c r="BL637" s="380"/>
      <c r="BM637" s="403"/>
      <c r="BS637" s="83"/>
      <c r="CA637" s="405"/>
      <c r="CG637" s="83"/>
      <c r="CO637" s="405"/>
      <c r="CU637" s="83"/>
      <c r="DC637" s="405"/>
      <c r="DI637" s="83"/>
      <c r="DQ637" s="405"/>
      <c r="DW637" s="83"/>
      <c r="EE637" s="405"/>
      <c r="EK637" s="83"/>
      <c r="ES637" s="405"/>
      <c r="EY637" s="83"/>
      <c r="FG637" s="405"/>
      <c r="FM637" s="83"/>
      <c r="FU637" s="405"/>
      <c r="GA637" s="83"/>
      <c r="GI637" s="405"/>
      <c r="GO637" s="83"/>
      <c r="GW637" s="405"/>
      <c r="HC637" s="83"/>
      <c r="HK637" s="405"/>
      <c r="HQ637" s="83"/>
      <c r="HY637" s="405"/>
      <c r="IE637" s="83"/>
      <c r="IM637" s="405"/>
      <c r="IS637" s="83"/>
      <c r="JA637" s="405"/>
      <c r="JG637" s="83"/>
      <c r="JO637" s="405"/>
      <c r="JU637" s="83"/>
      <c r="KC637" s="405"/>
      <c r="KI637" s="83"/>
      <c r="KQ637" s="405"/>
      <c r="KW637" s="83"/>
      <c r="LE637" s="405"/>
      <c r="LK637" s="83"/>
      <c r="LS637" s="405"/>
      <c r="LY637" s="83"/>
      <c r="MG637" s="405"/>
      <c r="MM637" s="83"/>
      <c r="MU637" s="405"/>
      <c r="NA637" s="83"/>
    </row>
    <row r="638">
      <c r="A638" s="380"/>
      <c r="B638" s="380"/>
      <c r="C638" s="380"/>
      <c r="D638" s="380"/>
      <c r="E638" s="380"/>
      <c r="F638" s="380"/>
      <c r="G638" s="380"/>
      <c r="H638" s="380"/>
      <c r="I638" s="403"/>
      <c r="J638" s="380"/>
      <c r="K638" s="380"/>
      <c r="L638" s="380"/>
      <c r="M638" s="380"/>
      <c r="N638" s="380"/>
      <c r="O638" s="404"/>
      <c r="P638" s="380"/>
      <c r="Q638" s="380"/>
      <c r="R638" s="380"/>
      <c r="S638" s="380"/>
      <c r="T638" s="380"/>
      <c r="U638" s="380"/>
      <c r="V638" s="380"/>
      <c r="W638" s="403"/>
      <c r="X638" s="380"/>
      <c r="Y638" s="380"/>
      <c r="Z638" s="380"/>
      <c r="AA638" s="380"/>
      <c r="AB638" s="380"/>
      <c r="AC638" s="404"/>
      <c r="AD638" s="380"/>
      <c r="AE638" s="380"/>
      <c r="AF638" s="380"/>
      <c r="AG638" s="380"/>
      <c r="AH638" s="380"/>
      <c r="AI638" s="380"/>
      <c r="AJ638" s="380"/>
      <c r="AK638" s="403"/>
      <c r="AL638" s="380"/>
      <c r="AM638" s="380"/>
      <c r="AN638" s="380"/>
      <c r="AO638" s="380"/>
      <c r="AP638" s="380"/>
      <c r="AQ638" s="404"/>
      <c r="AR638" s="380"/>
      <c r="AS638" s="380"/>
      <c r="AT638" s="380"/>
      <c r="AU638" s="380"/>
      <c r="AV638" s="380"/>
      <c r="AW638" s="380"/>
      <c r="AX638" s="380"/>
      <c r="AY638" s="403"/>
      <c r="AZ638" s="380"/>
      <c r="BA638" s="380"/>
      <c r="BB638" s="380"/>
      <c r="BC638" s="380"/>
      <c r="BD638" s="380"/>
      <c r="BE638" s="404"/>
      <c r="BF638" s="380"/>
      <c r="BG638" s="380"/>
      <c r="BH638" s="380"/>
      <c r="BI638" s="380"/>
      <c r="BJ638" s="380"/>
      <c r="BK638" s="380"/>
      <c r="BL638" s="380"/>
      <c r="BM638" s="403"/>
      <c r="BS638" s="83"/>
      <c r="CA638" s="405"/>
      <c r="CG638" s="83"/>
      <c r="CO638" s="405"/>
      <c r="CU638" s="83"/>
      <c r="DC638" s="405"/>
      <c r="DI638" s="83"/>
      <c r="DQ638" s="405"/>
      <c r="DW638" s="83"/>
      <c r="EE638" s="405"/>
      <c r="EK638" s="83"/>
      <c r="ES638" s="405"/>
      <c r="EY638" s="83"/>
      <c r="FG638" s="405"/>
      <c r="FM638" s="83"/>
      <c r="FU638" s="405"/>
      <c r="GA638" s="83"/>
      <c r="GI638" s="405"/>
      <c r="GO638" s="83"/>
      <c r="GW638" s="405"/>
      <c r="HC638" s="83"/>
      <c r="HK638" s="405"/>
      <c r="HQ638" s="83"/>
      <c r="HY638" s="405"/>
      <c r="IE638" s="83"/>
      <c r="IM638" s="405"/>
      <c r="IS638" s="83"/>
      <c r="JA638" s="405"/>
      <c r="JG638" s="83"/>
      <c r="JO638" s="405"/>
      <c r="JU638" s="83"/>
      <c r="KC638" s="405"/>
      <c r="KI638" s="83"/>
      <c r="KQ638" s="405"/>
      <c r="KW638" s="83"/>
      <c r="LE638" s="405"/>
      <c r="LK638" s="83"/>
      <c r="LS638" s="405"/>
      <c r="LY638" s="83"/>
      <c r="MG638" s="405"/>
      <c r="MM638" s="83"/>
      <c r="MU638" s="405"/>
      <c r="NA638" s="83"/>
    </row>
    <row r="639">
      <c r="A639" s="380"/>
      <c r="B639" s="380"/>
      <c r="C639" s="380"/>
      <c r="D639" s="380"/>
      <c r="E639" s="380"/>
      <c r="F639" s="380"/>
      <c r="G639" s="380"/>
      <c r="H639" s="380"/>
      <c r="I639" s="403"/>
      <c r="J639" s="380"/>
      <c r="K639" s="380"/>
      <c r="L639" s="380"/>
      <c r="M639" s="380"/>
      <c r="N639" s="380"/>
      <c r="O639" s="404"/>
      <c r="P639" s="380"/>
      <c r="Q639" s="380"/>
      <c r="R639" s="380"/>
      <c r="S639" s="380"/>
      <c r="T639" s="380"/>
      <c r="U639" s="380"/>
      <c r="V639" s="380"/>
      <c r="W639" s="403"/>
      <c r="X639" s="380"/>
      <c r="Y639" s="380"/>
      <c r="Z639" s="380"/>
      <c r="AA639" s="380"/>
      <c r="AB639" s="380"/>
      <c r="AC639" s="404"/>
      <c r="AD639" s="380"/>
      <c r="AE639" s="380"/>
      <c r="AF639" s="380"/>
      <c r="AG639" s="380"/>
      <c r="AH639" s="380"/>
      <c r="AI639" s="380"/>
      <c r="AJ639" s="380"/>
      <c r="AK639" s="403"/>
      <c r="AL639" s="380"/>
      <c r="AM639" s="380"/>
      <c r="AN639" s="380"/>
      <c r="AO639" s="380"/>
      <c r="AP639" s="380"/>
      <c r="AQ639" s="404"/>
      <c r="AR639" s="380"/>
      <c r="AS639" s="380"/>
      <c r="AT639" s="380"/>
      <c r="AU639" s="380"/>
      <c r="AV639" s="380"/>
      <c r="AW639" s="380"/>
      <c r="AX639" s="380"/>
      <c r="AY639" s="403"/>
      <c r="AZ639" s="380"/>
      <c r="BA639" s="380"/>
      <c r="BB639" s="380"/>
      <c r="BC639" s="380"/>
      <c r="BD639" s="380"/>
      <c r="BE639" s="404"/>
      <c r="BF639" s="380"/>
      <c r="BG639" s="380"/>
      <c r="BH639" s="380"/>
      <c r="BI639" s="380"/>
      <c r="BJ639" s="380"/>
      <c r="BK639" s="380"/>
      <c r="BL639" s="380"/>
      <c r="BM639" s="403"/>
      <c r="BS639" s="83"/>
      <c r="CA639" s="405"/>
      <c r="CG639" s="83"/>
      <c r="CO639" s="405"/>
      <c r="CU639" s="83"/>
      <c r="DC639" s="405"/>
      <c r="DI639" s="83"/>
      <c r="DQ639" s="405"/>
      <c r="DW639" s="83"/>
      <c r="EE639" s="405"/>
      <c r="EK639" s="83"/>
      <c r="ES639" s="405"/>
      <c r="EY639" s="83"/>
      <c r="FG639" s="405"/>
      <c r="FM639" s="83"/>
      <c r="FU639" s="405"/>
      <c r="GA639" s="83"/>
      <c r="GI639" s="405"/>
      <c r="GO639" s="83"/>
      <c r="GW639" s="405"/>
      <c r="HC639" s="83"/>
      <c r="HK639" s="405"/>
      <c r="HQ639" s="83"/>
      <c r="HY639" s="405"/>
      <c r="IE639" s="83"/>
      <c r="IM639" s="405"/>
      <c r="IS639" s="83"/>
      <c r="JA639" s="405"/>
      <c r="JG639" s="83"/>
      <c r="JO639" s="405"/>
      <c r="JU639" s="83"/>
      <c r="KC639" s="405"/>
      <c r="KI639" s="83"/>
      <c r="KQ639" s="405"/>
      <c r="KW639" s="83"/>
      <c r="LE639" s="405"/>
      <c r="LK639" s="83"/>
      <c r="LS639" s="405"/>
      <c r="LY639" s="83"/>
      <c r="MG639" s="405"/>
      <c r="MM639" s="83"/>
      <c r="MU639" s="405"/>
      <c r="NA639" s="83"/>
    </row>
    <row r="640">
      <c r="A640" s="380"/>
      <c r="B640" s="380"/>
      <c r="C640" s="380"/>
      <c r="D640" s="380"/>
      <c r="E640" s="380"/>
      <c r="F640" s="380"/>
      <c r="G640" s="380"/>
      <c r="H640" s="380"/>
      <c r="I640" s="403"/>
      <c r="J640" s="380"/>
      <c r="K640" s="380"/>
      <c r="L640" s="380"/>
      <c r="M640" s="380"/>
      <c r="N640" s="380"/>
      <c r="O640" s="404"/>
      <c r="P640" s="380"/>
      <c r="Q640" s="380"/>
      <c r="R640" s="380"/>
      <c r="S640" s="380"/>
      <c r="T640" s="380"/>
      <c r="U640" s="380"/>
      <c r="V640" s="380"/>
      <c r="W640" s="403"/>
      <c r="X640" s="380"/>
      <c r="Y640" s="380"/>
      <c r="Z640" s="380"/>
      <c r="AA640" s="380"/>
      <c r="AB640" s="380"/>
      <c r="AC640" s="404"/>
      <c r="AD640" s="380"/>
      <c r="AE640" s="380"/>
      <c r="AF640" s="380"/>
      <c r="AG640" s="380"/>
      <c r="AH640" s="380"/>
      <c r="AI640" s="380"/>
      <c r="AJ640" s="380"/>
      <c r="AK640" s="403"/>
      <c r="AL640" s="380"/>
      <c r="AM640" s="380"/>
      <c r="AN640" s="380"/>
      <c r="AO640" s="380"/>
      <c r="AP640" s="380"/>
      <c r="AQ640" s="404"/>
      <c r="AR640" s="380"/>
      <c r="AS640" s="380"/>
      <c r="AT640" s="380"/>
      <c r="AU640" s="380"/>
      <c r="AV640" s="380"/>
      <c r="AW640" s="380"/>
      <c r="AX640" s="380"/>
      <c r="AY640" s="403"/>
      <c r="AZ640" s="380"/>
      <c r="BA640" s="380"/>
      <c r="BB640" s="380"/>
      <c r="BC640" s="380"/>
      <c r="BD640" s="380"/>
      <c r="BE640" s="404"/>
      <c r="BF640" s="380"/>
      <c r="BG640" s="380"/>
      <c r="BH640" s="380"/>
      <c r="BI640" s="380"/>
      <c r="BJ640" s="380"/>
      <c r="BK640" s="380"/>
      <c r="BL640" s="380"/>
      <c r="BM640" s="403"/>
      <c r="BS640" s="83"/>
      <c r="CA640" s="405"/>
      <c r="CG640" s="83"/>
      <c r="CO640" s="405"/>
      <c r="CU640" s="83"/>
      <c r="DC640" s="405"/>
      <c r="DI640" s="83"/>
      <c r="DQ640" s="405"/>
      <c r="DW640" s="83"/>
      <c r="EE640" s="405"/>
      <c r="EK640" s="83"/>
      <c r="ES640" s="405"/>
      <c r="EY640" s="83"/>
      <c r="FG640" s="405"/>
      <c r="FM640" s="83"/>
      <c r="FU640" s="405"/>
      <c r="GA640" s="83"/>
      <c r="GI640" s="405"/>
      <c r="GO640" s="83"/>
      <c r="GW640" s="405"/>
      <c r="HC640" s="83"/>
      <c r="HK640" s="405"/>
      <c r="HQ640" s="83"/>
      <c r="HY640" s="405"/>
      <c r="IE640" s="83"/>
      <c r="IM640" s="405"/>
      <c r="IS640" s="83"/>
      <c r="JA640" s="405"/>
      <c r="JG640" s="83"/>
      <c r="JO640" s="405"/>
      <c r="JU640" s="83"/>
      <c r="KC640" s="405"/>
      <c r="KI640" s="83"/>
      <c r="KQ640" s="405"/>
      <c r="KW640" s="83"/>
      <c r="LE640" s="405"/>
      <c r="LK640" s="83"/>
      <c r="LS640" s="405"/>
      <c r="LY640" s="83"/>
      <c r="MG640" s="405"/>
      <c r="MM640" s="83"/>
      <c r="MU640" s="405"/>
      <c r="NA640" s="83"/>
    </row>
    <row r="641">
      <c r="A641" s="380"/>
      <c r="B641" s="380"/>
      <c r="C641" s="380"/>
      <c r="D641" s="380"/>
      <c r="E641" s="380"/>
      <c r="F641" s="380"/>
      <c r="G641" s="380"/>
      <c r="H641" s="380"/>
      <c r="I641" s="403"/>
      <c r="J641" s="380"/>
      <c r="K641" s="380"/>
      <c r="L641" s="380"/>
      <c r="M641" s="380"/>
      <c r="N641" s="380"/>
      <c r="O641" s="404"/>
      <c r="P641" s="380"/>
      <c r="Q641" s="380"/>
      <c r="R641" s="380"/>
      <c r="S641" s="380"/>
      <c r="T641" s="380"/>
      <c r="U641" s="380"/>
      <c r="V641" s="380"/>
      <c r="W641" s="403"/>
      <c r="X641" s="380"/>
      <c r="Y641" s="380"/>
      <c r="Z641" s="380"/>
      <c r="AA641" s="380"/>
      <c r="AB641" s="380"/>
      <c r="AC641" s="404"/>
      <c r="AD641" s="380"/>
      <c r="AE641" s="380"/>
      <c r="AF641" s="380"/>
      <c r="AG641" s="380"/>
      <c r="AH641" s="380"/>
      <c r="AI641" s="380"/>
      <c r="AJ641" s="380"/>
      <c r="AK641" s="403"/>
      <c r="AL641" s="380"/>
      <c r="AM641" s="380"/>
      <c r="AN641" s="380"/>
      <c r="AO641" s="380"/>
      <c r="AP641" s="380"/>
      <c r="AQ641" s="404"/>
      <c r="AR641" s="380"/>
      <c r="AS641" s="380"/>
      <c r="AT641" s="380"/>
      <c r="AU641" s="380"/>
      <c r="AV641" s="380"/>
      <c r="AW641" s="380"/>
      <c r="AX641" s="380"/>
      <c r="AY641" s="403"/>
      <c r="AZ641" s="380"/>
      <c r="BA641" s="380"/>
      <c r="BB641" s="380"/>
      <c r="BC641" s="380"/>
      <c r="BD641" s="380"/>
      <c r="BE641" s="404"/>
      <c r="BF641" s="380"/>
      <c r="BG641" s="380"/>
      <c r="BH641" s="380"/>
      <c r="BI641" s="380"/>
      <c r="BJ641" s="380"/>
      <c r="BK641" s="380"/>
      <c r="BL641" s="380"/>
      <c r="BM641" s="403"/>
      <c r="BS641" s="83"/>
      <c r="CA641" s="405"/>
      <c r="CG641" s="83"/>
      <c r="CO641" s="405"/>
      <c r="CU641" s="83"/>
      <c r="DC641" s="405"/>
      <c r="DI641" s="83"/>
      <c r="DQ641" s="405"/>
      <c r="DW641" s="83"/>
      <c r="EE641" s="405"/>
      <c r="EK641" s="83"/>
      <c r="ES641" s="405"/>
      <c r="EY641" s="83"/>
      <c r="FG641" s="405"/>
      <c r="FM641" s="83"/>
      <c r="FU641" s="405"/>
      <c r="GA641" s="83"/>
      <c r="GI641" s="405"/>
      <c r="GO641" s="83"/>
      <c r="GW641" s="405"/>
      <c r="HC641" s="83"/>
      <c r="HK641" s="405"/>
      <c r="HQ641" s="83"/>
      <c r="HY641" s="405"/>
      <c r="IE641" s="83"/>
      <c r="IM641" s="405"/>
      <c r="IS641" s="83"/>
      <c r="JA641" s="405"/>
      <c r="JG641" s="83"/>
      <c r="JO641" s="405"/>
      <c r="JU641" s="83"/>
      <c r="KC641" s="405"/>
      <c r="KI641" s="83"/>
      <c r="KQ641" s="405"/>
      <c r="KW641" s="83"/>
      <c r="LE641" s="405"/>
      <c r="LK641" s="83"/>
      <c r="LS641" s="405"/>
      <c r="LY641" s="83"/>
      <c r="MG641" s="405"/>
      <c r="MM641" s="83"/>
      <c r="MU641" s="405"/>
      <c r="NA641" s="83"/>
    </row>
    <row r="642">
      <c r="A642" s="380"/>
      <c r="B642" s="380"/>
      <c r="C642" s="380"/>
      <c r="D642" s="380"/>
      <c r="E642" s="380"/>
      <c r="F642" s="380"/>
      <c r="G642" s="380"/>
      <c r="H642" s="380"/>
      <c r="I642" s="403"/>
      <c r="J642" s="380"/>
      <c r="K642" s="380"/>
      <c r="L642" s="380"/>
      <c r="M642" s="380"/>
      <c r="N642" s="380"/>
      <c r="O642" s="404"/>
      <c r="P642" s="380"/>
      <c r="Q642" s="380"/>
      <c r="R642" s="380"/>
      <c r="S642" s="380"/>
      <c r="T642" s="380"/>
      <c r="U642" s="380"/>
      <c r="V642" s="380"/>
      <c r="W642" s="403"/>
      <c r="X642" s="380"/>
      <c r="Y642" s="380"/>
      <c r="Z642" s="380"/>
      <c r="AA642" s="380"/>
      <c r="AB642" s="380"/>
      <c r="AC642" s="404"/>
      <c r="AD642" s="380"/>
      <c r="AE642" s="380"/>
      <c r="AF642" s="380"/>
      <c r="AG642" s="380"/>
      <c r="AH642" s="380"/>
      <c r="AI642" s="380"/>
      <c r="AJ642" s="380"/>
      <c r="AK642" s="403"/>
      <c r="AL642" s="380"/>
      <c r="AM642" s="380"/>
      <c r="AN642" s="380"/>
      <c r="AO642" s="380"/>
      <c r="AP642" s="380"/>
      <c r="AQ642" s="404"/>
      <c r="AR642" s="380"/>
      <c r="AS642" s="380"/>
      <c r="AT642" s="380"/>
      <c r="AU642" s="380"/>
      <c r="AV642" s="380"/>
      <c r="AW642" s="380"/>
      <c r="AX642" s="380"/>
      <c r="AY642" s="403"/>
      <c r="AZ642" s="380"/>
      <c r="BA642" s="380"/>
      <c r="BB642" s="380"/>
      <c r="BC642" s="380"/>
      <c r="BD642" s="380"/>
      <c r="BE642" s="404"/>
      <c r="BF642" s="380"/>
      <c r="BG642" s="380"/>
      <c r="BH642" s="380"/>
      <c r="BI642" s="380"/>
      <c r="BJ642" s="380"/>
      <c r="BK642" s="380"/>
      <c r="BL642" s="380"/>
      <c r="BM642" s="403"/>
      <c r="BS642" s="83"/>
      <c r="CA642" s="405"/>
      <c r="CG642" s="83"/>
      <c r="CO642" s="405"/>
      <c r="CU642" s="83"/>
      <c r="DC642" s="405"/>
      <c r="DI642" s="83"/>
      <c r="DQ642" s="405"/>
      <c r="DW642" s="83"/>
      <c r="EE642" s="405"/>
      <c r="EK642" s="83"/>
      <c r="ES642" s="405"/>
      <c r="EY642" s="83"/>
      <c r="FG642" s="405"/>
      <c r="FM642" s="83"/>
      <c r="FU642" s="405"/>
      <c r="GA642" s="83"/>
      <c r="GI642" s="405"/>
      <c r="GO642" s="83"/>
      <c r="GW642" s="405"/>
      <c r="HC642" s="83"/>
      <c r="HK642" s="405"/>
      <c r="HQ642" s="83"/>
      <c r="HY642" s="405"/>
      <c r="IE642" s="83"/>
      <c r="IM642" s="405"/>
      <c r="IS642" s="83"/>
      <c r="JA642" s="405"/>
      <c r="JG642" s="83"/>
      <c r="JO642" s="405"/>
      <c r="JU642" s="83"/>
      <c r="KC642" s="405"/>
      <c r="KI642" s="83"/>
      <c r="KQ642" s="405"/>
      <c r="KW642" s="83"/>
      <c r="LE642" s="405"/>
      <c r="LK642" s="83"/>
      <c r="LS642" s="405"/>
      <c r="LY642" s="83"/>
      <c r="MG642" s="405"/>
      <c r="MM642" s="83"/>
      <c r="MU642" s="405"/>
      <c r="NA642" s="83"/>
    </row>
    <row r="643">
      <c r="A643" s="380"/>
      <c r="B643" s="380"/>
      <c r="C643" s="380"/>
      <c r="D643" s="380"/>
      <c r="E643" s="380"/>
      <c r="F643" s="380"/>
      <c r="G643" s="380"/>
      <c r="H643" s="380"/>
      <c r="I643" s="403"/>
      <c r="J643" s="380"/>
      <c r="K643" s="380"/>
      <c r="L643" s="380"/>
      <c r="M643" s="380"/>
      <c r="N643" s="380"/>
      <c r="O643" s="404"/>
      <c r="P643" s="380"/>
      <c r="Q643" s="380"/>
      <c r="R643" s="380"/>
      <c r="S643" s="380"/>
      <c r="T643" s="380"/>
      <c r="U643" s="380"/>
      <c r="V643" s="380"/>
      <c r="W643" s="403"/>
      <c r="X643" s="380"/>
      <c r="Y643" s="380"/>
      <c r="Z643" s="380"/>
      <c r="AA643" s="380"/>
      <c r="AB643" s="380"/>
      <c r="AC643" s="404"/>
      <c r="AD643" s="380"/>
      <c r="AE643" s="380"/>
      <c r="AF643" s="380"/>
      <c r="AG643" s="380"/>
      <c r="AH643" s="380"/>
      <c r="AI643" s="380"/>
      <c r="AJ643" s="380"/>
      <c r="AK643" s="403"/>
      <c r="AL643" s="380"/>
      <c r="AM643" s="380"/>
      <c r="AN643" s="380"/>
      <c r="AO643" s="380"/>
      <c r="AP643" s="380"/>
      <c r="AQ643" s="404"/>
      <c r="AR643" s="380"/>
      <c r="AS643" s="380"/>
      <c r="AT643" s="380"/>
      <c r="AU643" s="380"/>
      <c r="AV643" s="380"/>
      <c r="AW643" s="380"/>
      <c r="AX643" s="380"/>
      <c r="AY643" s="403"/>
      <c r="AZ643" s="380"/>
      <c r="BA643" s="380"/>
      <c r="BB643" s="380"/>
      <c r="BC643" s="380"/>
      <c r="BD643" s="380"/>
      <c r="BE643" s="404"/>
      <c r="BF643" s="380"/>
      <c r="BG643" s="380"/>
      <c r="BH643" s="380"/>
      <c r="BI643" s="380"/>
      <c r="BJ643" s="380"/>
      <c r="BK643" s="380"/>
      <c r="BL643" s="380"/>
      <c r="BM643" s="403"/>
      <c r="BS643" s="83"/>
      <c r="CA643" s="405"/>
      <c r="CG643" s="83"/>
      <c r="CO643" s="405"/>
      <c r="CU643" s="83"/>
      <c r="DC643" s="405"/>
      <c r="DI643" s="83"/>
      <c r="DQ643" s="405"/>
      <c r="DW643" s="83"/>
      <c r="EE643" s="405"/>
      <c r="EK643" s="83"/>
      <c r="ES643" s="405"/>
      <c r="EY643" s="83"/>
      <c r="FG643" s="405"/>
      <c r="FM643" s="83"/>
      <c r="FU643" s="405"/>
      <c r="GA643" s="83"/>
      <c r="GI643" s="405"/>
      <c r="GO643" s="83"/>
      <c r="GW643" s="405"/>
      <c r="HC643" s="83"/>
      <c r="HK643" s="405"/>
      <c r="HQ643" s="83"/>
      <c r="HY643" s="405"/>
      <c r="IE643" s="83"/>
      <c r="IM643" s="405"/>
      <c r="IS643" s="83"/>
      <c r="JA643" s="405"/>
      <c r="JG643" s="83"/>
      <c r="JO643" s="405"/>
      <c r="JU643" s="83"/>
      <c r="KC643" s="405"/>
      <c r="KI643" s="83"/>
      <c r="KQ643" s="405"/>
      <c r="KW643" s="83"/>
      <c r="LE643" s="405"/>
      <c r="LK643" s="83"/>
      <c r="LS643" s="405"/>
      <c r="LY643" s="83"/>
      <c r="MG643" s="405"/>
      <c r="MM643" s="83"/>
      <c r="MU643" s="405"/>
      <c r="NA643" s="83"/>
    </row>
    <row r="644">
      <c r="A644" s="380"/>
      <c r="B644" s="380"/>
      <c r="C644" s="380"/>
      <c r="D644" s="380"/>
      <c r="E644" s="380"/>
      <c r="F644" s="380"/>
      <c r="G644" s="380"/>
      <c r="H644" s="380"/>
      <c r="I644" s="403"/>
      <c r="J644" s="380"/>
      <c r="K644" s="380"/>
      <c r="L644" s="380"/>
      <c r="M644" s="380"/>
      <c r="N644" s="380"/>
      <c r="O644" s="404"/>
      <c r="P644" s="380"/>
      <c r="Q644" s="380"/>
      <c r="R644" s="380"/>
      <c r="S644" s="380"/>
      <c r="T644" s="380"/>
      <c r="U644" s="380"/>
      <c r="V644" s="380"/>
      <c r="W644" s="403"/>
      <c r="X644" s="380"/>
      <c r="Y644" s="380"/>
      <c r="Z644" s="380"/>
      <c r="AA644" s="380"/>
      <c r="AB644" s="380"/>
      <c r="AC644" s="404"/>
      <c r="AD644" s="380"/>
      <c r="AE644" s="380"/>
      <c r="AF644" s="380"/>
      <c r="AG644" s="380"/>
      <c r="AH644" s="380"/>
      <c r="AI644" s="380"/>
      <c r="AJ644" s="380"/>
      <c r="AK644" s="403"/>
      <c r="AL644" s="380"/>
      <c r="AM644" s="380"/>
      <c r="AN644" s="380"/>
      <c r="AO644" s="380"/>
      <c r="AP644" s="380"/>
      <c r="AQ644" s="404"/>
      <c r="AR644" s="380"/>
      <c r="AS644" s="380"/>
      <c r="AT644" s="380"/>
      <c r="AU644" s="380"/>
      <c r="AV644" s="380"/>
      <c r="AW644" s="380"/>
      <c r="AX644" s="380"/>
      <c r="AY644" s="403"/>
      <c r="AZ644" s="380"/>
      <c r="BA644" s="380"/>
      <c r="BB644" s="380"/>
      <c r="BC644" s="380"/>
      <c r="BD644" s="380"/>
      <c r="BE644" s="404"/>
      <c r="BF644" s="380"/>
      <c r="BG644" s="380"/>
      <c r="BH644" s="380"/>
      <c r="BI644" s="380"/>
      <c r="BJ644" s="380"/>
      <c r="BK644" s="380"/>
      <c r="BL644" s="380"/>
      <c r="BM644" s="403"/>
      <c r="BS644" s="83"/>
      <c r="CA644" s="405"/>
      <c r="CG644" s="83"/>
      <c r="CO644" s="405"/>
      <c r="CU644" s="83"/>
      <c r="DC644" s="405"/>
      <c r="DI644" s="83"/>
      <c r="DQ644" s="405"/>
      <c r="DW644" s="83"/>
      <c r="EE644" s="405"/>
      <c r="EK644" s="83"/>
      <c r="ES644" s="405"/>
      <c r="EY644" s="83"/>
      <c r="FG644" s="405"/>
      <c r="FM644" s="83"/>
      <c r="FU644" s="405"/>
      <c r="GA644" s="83"/>
      <c r="GI644" s="405"/>
      <c r="GO644" s="83"/>
      <c r="GW644" s="405"/>
      <c r="HC644" s="83"/>
      <c r="HK644" s="405"/>
      <c r="HQ644" s="83"/>
      <c r="HY644" s="405"/>
      <c r="IE644" s="83"/>
      <c r="IM644" s="405"/>
      <c r="IS644" s="83"/>
      <c r="JA644" s="405"/>
      <c r="JG644" s="83"/>
      <c r="JO644" s="405"/>
      <c r="JU644" s="83"/>
      <c r="KC644" s="405"/>
      <c r="KI644" s="83"/>
      <c r="KQ644" s="405"/>
      <c r="KW644" s="83"/>
      <c r="LE644" s="405"/>
      <c r="LK644" s="83"/>
      <c r="LS644" s="405"/>
      <c r="LY644" s="83"/>
      <c r="MG644" s="405"/>
      <c r="MM644" s="83"/>
      <c r="MU644" s="405"/>
      <c r="NA644" s="83"/>
    </row>
    <row r="645">
      <c r="A645" s="380"/>
      <c r="B645" s="380"/>
      <c r="C645" s="380"/>
      <c r="D645" s="380"/>
      <c r="E645" s="380"/>
      <c r="F645" s="380"/>
      <c r="G645" s="380"/>
      <c r="H645" s="380"/>
      <c r="I645" s="403"/>
      <c r="J645" s="380"/>
      <c r="K645" s="380"/>
      <c r="L645" s="380"/>
      <c r="M645" s="380"/>
      <c r="N645" s="380"/>
      <c r="O645" s="404"/>
      <c r="P645" s="380"/>
      <c r="Q645" s="380"/>
      <c r="R645" s="380"/>
      <c r="S645" s="380"/>
      <c r="T645" s="380"/>
      <c r="U645" s="380"/>
      <c r="V645" s="380"/>
      <c r="W645" s="403"/>
      <c r="X645" s="380"/>
      <c r="Y645" s="380"/>
      <c r="Z645" s="380"/>
      <c r="AA645" s="380"/>
      <c r="AB645" s="380"/>
      <c r="AC645" s="404"/>
      <c r="AD645" s="380"/>
      <c r="AE645" s="380"/>
      <c r="AF645" s="380"/>
      <c r="AG645" s="380"/>
      <c r="AH645" s="380"/>
      <c r="AI645" s="380"/>
      <c r="AJ645" s="380"/>
      <c r="AK645" s="403"/>
      <c r="AL645" s="380"/>
      <c r="AM645" s="380"/>
      <c r="AN645" s="380"/>
      <c r="AO645" s="380"/>
      <c r="AP645" s="380"/>
      <c r="AQ645" s="404"/>
      <c r="AR645" s="380"/>
      <c r="AS645" s="380"/>
      <c r="AT645" s="380"/>
      <c r="AU645" s="380"/>
      <c r="AV645" s="380"/>
      <c r="AW645" s="380"/>
      <c r="AX645" s="380"/>
      <c r="AY645" s="403"/>
      <c r="AZ645" s="380"/>
      <c r="BA645" s="380"/>
      <c r="BB645" s="380"/>
      <c r="BC645" s="380"/>
      <c r="BD645" s="380"/>
      <c r="BE645" s="404"/>
      <c r="BF645" s="380"/>
      <c r="BG645" s="380"/>
      <c r="BH645" s="380"/>
      <c r="BI645" s="380"/>
      <c r="BJ645" s="380"/>
      <c r="BK645" s="380"/>
      <c r="BL645" s="380"/>
      <c r="BM645" s="403"/>
      <c r="BS645" s="83"/>
      <c r="CA645" s="405"/>
      <c r="CG645" s="83"/>
      <c r="CO645" s="405"/>
      <c r="CU645" s="83"/>
      <c r="DC645" s="405"/>
      <c r="DI645" s="83"/>
      <c r="DQ645" s="405"/>
      <c r="DW645" s="83"/>
      <c r="EE645" s="405"/>
      <c r="EK645" s="83"/>
      <c r="ES645" s="405"/>
      <c r="EY645" s="83"/>
      <c r="FG645" s="405"/>
      <c r="FM645" s="83"/>
      <c r="FU645" s="405"/>
      <c r="GA645" s="83"/>
      <c r="GI645" s="405"/>
      <c r="GO645" s="83"/>
      <c r="GW645" s="405"/>
      <c r="HC645" s="83"/>
      <c r="HK645" s="405"/>
      <c r="HQ645" s="83"/>
      <c r="HY645" s="405"/>
      <c r="IE645" s="83"/>
      <c r="IM645" s="405"/>
      <c r="IS645" s="83"/>
      <c r="JA645" s="405"/>
      <c r="JG645" s="83"/>
      <c r="JO645" s="405"/>
      <c r="JU645" s="83"/>
      <c r="KC645" s="405"/>
      <c r="KI645" s="83"/>
      <c r="KQ645" s="405"/>
      <c r="KW645" s="83"/>
      <c r="LE645" s="405"/>
      <c r="LK645" s="83"/>
      <c r="LS645" s="405"/>
      <c r="LY645" s="83"/>
      <c r="MG645" s="405"/>
      <c r="MM645" s="83"/>
      <c r="MU645" s="405"/>
      <c r="NA645" s="83"/>
    </row>
    <row r="646">
      <c r="A646" s="380"/>
      <c r="B646" s="380"/>
      <c r="C646" s="380"/>
      <c r="D646" s="380"/>
      <c r="E646" s="380"/>
      <c r="F646" s="380"/>
      <c r="G646" s="380"/>
      <c r="H646" s="380"/>
      <c r="I646" s="403"/>
      <c r="J646" s="380"/>
      <c r="K646" s="380"/>
      <c r="L646" s="380"/>
      <c r="M646" s="380"/>
      <c r="N646" s="380"/>
      <c r="O646" s="404"/>
      <c r="P646" s="380"/>
      <c r="Q646" s="380"/>
      <c r="R646" s="380"/>
      <c r="S646" s="380"/>
      <c r="T646" s="380"/>
      <c r="U646" s="380"/>
      <c r="V646" s="380"/>
      <c r="W646" s="403"/>
      <c r="X646" s="380"/>
      <c r="Y646" s="380"/>
      <c r="Z646" s="380"/>
      <c r="AA646" s="380"/>
      <c r="AB646" s="380"/>
      <c r="AC646" s="404"/>
      <c r="AD646" s="380"/>
      <c r="AE646" s="380"/>
      <c r="AF646" s="380"/>
      <c r="AG646" s="380"/>
      <c r="AH646" s="380"/>
      <c r="AI646" s="380"/>
      <c r="AJ646" s="380"/>
      <c r="AK646" s="403"/>
      <c r="AL646" s="380"/>
      <c r="AM646" s="380"/>
      <c r="AN646" s="380"/>
      <c r="AO646" s="380"/>
      <c r="AP646" s="380"/>
      <c r="AQ646" s="404"/>
      <c r="AR646" s="380"/>
      <c r="AS646" s="380"/>
      <c r="AT646" s="380"/>
      <c r="AU646" s="380"/>
      <c r="AV646" s="380"/>
      <c r="AW646" s="380"/>
      <c r="AX646" s="380"/>
      <c r="AY646" s="403"/>
      <c r="AZ646" s="380"/>
      <c r="BA646" s="380"/>
      <c r="BB646" s="380"/>
      <c r="BC646" s="380"/>
      <c r="BD646" s="380"/>
      <c r="BE646" s="404"/>
      <c r="BF646" s="380"/>
      <c r="BG646" s="380"/>
      <c r="BH646" s="380"/>
      <c r="BI646" s="380"/>
      <c r="BJ646" s="380"/>
      <c r="BK646" s="380"/>
      <c r="BL646" s="380"/>
      <c r="BM646" s="403"/>
      <c r="BS646" s="83"/>
      <c r="CA646" s="405"/>
      <c r="CG646" s="83"/>
      <c r="CO646" s="405"/>
      <c r="CU646" s="83"/>
      <c r="DC646" s="405"/>
      <c r="DI646" s="83"/>
      <c r="DQ646" s="405"/>
      <c r="DW646" s="83"/>
      <c r="EE646" s="405"/>
      <c r="EK646" s="83"/>
      <c r="ES646" s="405"/>
      <c r="EY646" s="83"/>
      <c r="FG646" s="405"/>
      <c r="FM646" s="83"/>
      <c r="FU646" s="405"/>
      <c r="GA646" s="83"/>
      <c r="GI646" s="405"/>
      <c r="GO646" s="83"/>
      <c r="GW646" s="405"/>
      <c r="HC646" s="83"/>
      <c r="HK646" s="405"/>
      <c r="HQ646" s="83"/>
      <c r="HY646" s="405"/>
      <c r="IE646" s="83"/>
      <c r="IM646" s="405"/>
      <c r="IS646" s="83"/>
      <c r="JA646" s="405"/>
      <c r="JG646" s="83"/>
      <c r="JO646" s="405"/>
      <c r="JU646" s="83"/>
      <c r="KC646" s="405"/>
      <c r="KI646" s="83"/>
      <c r="KQ646" s="405"/>
      <c r="KW646" s="83"/>
      <c r="LE646" s="405"/>
      <c r="LK646" s="83"/>
      <c r="LS646" s="405"/>
      <c r="LY646" s="83"/>
      <c r="MG646" s="405"/>
      <c r="MM646" s="83"/>
      <c r="MU646" s="405"/>
      <c r="NA646" s="83"/>
    </row>
    <row r="647">
      <c r="A647" s="380"/>
      <c r="B647" s="380"/>
      <c r="C647" s="380"/>
      <c r="D647" s="380"/>
      <c r="E647" s="380"/>
      <c r="F647" s="380"/>
      <c r="G647" s="380"/>
      <c r="H647" s="380"/>
      <c r="I647" s="403"/>
      <c r="J647" s="380"/>
      <c r="K647" s="380"/>
      <c r="L647" s="380"/>
      <c r="M647" s="380"/>
      <c r="N647" s="380"/>
      <c r="O647" s="404"/>
      <c r="P647" s="380"/>
      <c r="Q647" s="380"/>
      <c r="R647" s="380"/>
      <c r="S647" s="380"/>
      <c r="T647" s="380"/>
      <c r="U647" s="380"/>
      <c r="V647" s="380"/>
      <c r="W647" s="403"/>
      <c r="X647" s="380"/>
      <c r="Y647" s="380"/>
      <c r="Z647" s="380"/>
      <c r="AA647" s="380"/>
      <c r="AB647" s="380"/>
      <c r="AC647" s="404"/>
      <c r="AD647" s="380"/>
      <c r="AE647" s="380"/>
      <c r="AF647" s="380"/>
      <c r="AG647" s="380"/>
      <c r="AH647" s="380"/>
      <c r="AI647" s="380"/>
      <c r="AJ647" s="380"/>
      <c r="AK647" s="403"/>
      <c r="AL647" s="380"/>
      <c r="AM647" s="380"/>
      <c r="AN647" s="380"/>
      <c r="AO647" s="380"/>
      <c r="AP647" s="380"/>
      <c r="AQ647" s="404"/>
      <c r="AR647" s="380"/>
      <c r="AS647" s="380"/>
      <c r="AT647" s="380"/>
      <c r="AU647" s="380"/>
      <c r="AV647" s="380"/>
      <c r="AW647" s="380"/>
      <c r="AX647" s="380"/>
      <c r="AY647" s="403"/>
      <c r="AZ647" s="380"/>
      <c r="BA647" s="380"/>
      <c r="BB647" s="380"/>
      <c r="BC647" s="380"/>
      <c r="BD647" s="380"/>
      <c r="BE647" s="404"/>
      <c r="BF647" s="380"/>
      <c r="BG647" s="380"/>
      <c r="BH647" s="380"/>
      <c r="BI647" s="380"/>
      <c r="BJ647" s="380"/>
      <c r="BK647" s="380"/>
      <c r="BL647" s="380"/>
      <c r="BM647" s="403"/>
      <c r="BS647" s="83"/>
      <c r="CA647" s="405"/>
      <c r="CG647" s="83"/>
      <c r="CO647" s="405"/>
      <c r="CU647" s="83"/>
      <c r="DC647" s="405"/>
      <c r="DI647" s="83"/>
      <c r="DQ647" s="405"/>
      <c r="DW647" s="83"/>
      <c r="EE647" s="405"/>
      <c r="EK647" s="83"/>
      <c r="ES647" s="405"/>
      <c r="EY647" s="83"/>
      <c r="FG647" s="405"/>
      <c r="FM647" s="83"/>
      <c r="FU647" s="405"/>
      <c r="GA647" s="83"/>
      <c r="GI647" s="405"/>
      <c r="GO647" s="83"/>
      <c r="GW647" s="405"/>
      <c r="HC647" s="83"/>
      <c r="HK647" s="405"/>
      <c r="HQ647" s="83"/>
      <c r="HY647" s="405"/>
      <c r="IE647" s="83"/>
      <c r="IM647" s="405"/>
      <c r="IS647" s="83"/>
      <c r="JA647" s="405"/>
      <c r="JG647" s="83"/>
      <c r="JO647" s="405"/>
      <c r="JU647" s="83"/>
      <c r="KC647" s="405"/>
      <c r="KI647" s="83"/>
      <c r="KQ647" s="405"/>
      <c r="KW647" s="83"/>
      <c r="LE647" s="405"/>
      <c r="LK647" s="83"/>
      <c r="LS647" s="405"/>
      <c r="LY647" s="83"/>
      <c r="MG647" s="405"/>
      <c r="MM647" s="83"/>
      <c r="MU647" s="405"/>
      <c r="NA647" s="83"/>
    </row>
    <row r="648">
      <c r="A648" s="380"/>
      <c r="B648" s="380"/>
      <c r="C648" s="380"/>
      <c r="D648" s="380"/>
      <c r="E648" s="380"/>
      <c r="F648" s="380"/>
      <c r="G648" s="380"/>
      <c r="H648" s="380"/>
      <c r="I648" s="403"/>
      <c r="J648" s="380"/>
      <c r="K648" s="380"/>
      <c r="L648" s="380"/>
      <c r="M648" s="380"/>
      <c r="N648" s="380"/>
      <c r="O648" s="404"/>
      <c r="P648" s="380"/>
      <c r="Q648" s="380"/>
      <c r="R648" s="380"/>
      <c r="S648" s="380"/>
      <c r="T648" s="380"/>
      <c r="U648" s="380"/>
      <c r="V648" s="380"/>
      <c r="W648" s="403"/>
      <c r="X648" s="380"/>
      <c r="Y648" s="380"/>
      <c r="Z648" s="380"/>
      <c r="AA648" s="380"/>
      <c r="AB648" s="380"/>
      <c r="AC648" s="404"/>
      <c r="AD648" s="380"/>
      <c r="AE648" s="380"/>
      <c r="AF648" s="380"/>
      <c r="AG648" s="380"/>
      <c r="AH648" s="380"/>
      <c r="AI648" s="380"/>
      <c r="AJ648" s="380"/>
      <c r="AK648" s="403"/>
      <c r="AL648" s="380"/>
      <c r="AM648" s="380"/>
      <c r="AN648" s="380"/>
      <c r="AO648" s="380"/>
      <c r="AP648" s="380"/>
      <c r="AQ648" s="404"/>
      <c r="AR648" s="380"/>
      <c r="AS648" s="380"/>
      <c r="AT648" s="380"/>
      <c r="AU648" s="380"/>
      <c r="AV648" s="380"/>
      <c r="AW648" s="380"/>
      <c r="AX648" s="380"/>
      <c r="AY648" s="403"/>
      <c r="AZ648" s="380"/>
      <c r="BA648" s="380"/>
      <c r="BB648" s="380"/>
      <c r="BC648" s="380"/>
      <c r="BD648" s="380"/>
      <c r="BE648" s="404"/>
      <c r="BF648" s="380"/>
      <c r="BG648" s="380"/>
      <c r="BH648" s="380"/>
      <c r="BI648" s="380"/>
      <c r="BJ648" s="380"/>
      <c r="BK648" s="380"/>
      <c r="BL648" s="380"/>
      <c r="BM648" s="403"/>
      <c r="BS648" s="83"/>
      <c r="CA648" s="405"/>
      <c r="CG648" s="83"/>
      <c r="CO648" s="405"/>
      <c r="CU648" s="83"/>
      <c r="DC648" s="405"/>
      <c r="DI648" s="83"/>
      <c r="DQ648" s="405"/>
      <c r="DW648" s="83"/>
      <c r="EE648" s="405"/>
      <c r="EK648" s="83"/>
      <c r="ES648" s="405"/>
      <c r="EY648" s="83"/>
      <c r="FG648" s="405"/>
      <c r="FM648" s="83"/>
      <c r="FU648" s="405"/>
      <c r="GA648" s="83"/>
      <c r="GI648" s="405"/>
      <c r="GO648" s="83"/>
      <c r="GW648" s="405"/>
      <c r="HC648" s="83"/>
      <c r="HK648" s="405"/>
      <c r="HQ648" s="83"/>
      <c r="HY648" s="405"/>
      <c r="IE648" s="83"/>
      <c r="IM648" s="405"/>
      <c r="IS648" s="83"/>
      <c r="JA648" s="405"/>
      <c r="JG648" s="83"/>
      <c r="JO648" s="405"/>
      <c r="JU648" s="83"/>
      <c r="KC648" s="405"/>
      <c r="KI648" s="83"/>
      <c r="KQ648" s="405"/>
      <c r="KW648" s="83"/>
      <c r="LE648" s="405"/>
      <c r="LK648" s="83"/>
      <c r="LS648" s="405"/>
      <c r="LY648" s="83"/>
      <c r="MG648" s="405"/>
      <c r="MM648" s="83"/>
      <c r="MU648" s="405"/>
      <c r="NA648" s="83"/>
    </row>
    <row r="649">
      <c r="A649" s="380"/>
      <c r="B649" s="380"/>
      <c r="C649" s="380"/>
      <c r="D649" s="380"/>
      <c r="E649" s="380"/>
      <c r="F649" s="380"/>
      <c r="G649" s="380"/>
      <c r="H649" s="380"/>
      <c r="I649" s="403"/>
      <c r="J649" s="380"/>
      <c r="K649" s="380"/>
      <c r="L649" s="380"/>
      <c r="M649" s="380"/>
      <c r="N649" s="380"/>
      <c r="O649" s="404"/>
      <c r="P649" s="380"/>
      <c r="Q649" s="380"/>
      <c r="R649" s="380"/>
      <c r="S649" s="380"/>
      <c r="T649" s="380"/>
      <c r="U649" s="380"/>
      <c r="V649" s="380"/>
      <c r="W649" s="403"/>
      <c r="X649" s="380"/>
      <c r="Y649" s="380"/>
      <c r="Z649" s="380"/>
      <c r="AA649" s="380"/>
      <c r="AB649" s="380"/>
      <c r="AC649" s="404"/>
      <c r="AD649" s="380"/>
      <c r="AE649" s="380"/>
      <c r="AF649" s="380"/>
      <c r="AG649" s="380"/>
      <c r="AH649" s="380"/>
      <c r="AI649" s="380"/>
      <c r="AJ649" s="380"/>
      <c r="AK649" s="403"/>
      <c r="AL649" s="380"/>
      <c r="AM649" s="380"/>
      <c r="AN649" s="380"/>
      <c r="AO649" s="380"/>
      <c r="AP649" s="380"/>
      <c r="AQ649" s="404"/>
      <c r="AR649" s="380"/>
      <c r="AS649" s="380"/>
      <c r="AT649" s="380"/>
      <c r="AU649" s="380"/>
      <c r="AV649" s="380"/>
      <c r="AW649" s="380"/>
      <c r="AX649" s="380"/>
      <c r="AY649" s="403"/>
      <c r="AZ649" s="380"/>
      <c r="BA649" s="380"/>
      <c r="BB649" s="380"/>
      <c r="BC649" s="380"/>
      <c r="BD649" s="380"/>
      <c r="BE649" s="404"/>
      <c r="BF649" s="380"/>
      <c r="BG649" s="380"/>
      <c r="BH649" s="380"/>
      <c r="BI649" s="380"/>
      <c r="BJ649" s="380"/>
      <c r="BK649" s="380"/>
      <c r="BL649" s="380"/>
      <c r="BM649" s="403"/>
      <c r="BS649" s="83"/>
      <c r="CA649" s="405"/>
      <c r="CG649" s="83"/>
      <c r="CO649" s="405"/>
      <c r="CU649" s="83"/>
      <c r="DC649" s="405"/>
      <c r="DI649" s="83"/>
      <c r="DQ649" s="405"/>
      <c r="DW649" s="83"/>
      <c r="EE649" s="405"/>
      <c r="EK649" s="83"/>
      <c r="ES649" s="405"/>
      <c r="EY649" s="83"/>
      <c r="FG649" s="405"/>
      <c r="FM649" s="83"/>
      <c r="FU649" s="405"/>
      <c r="GA649" s="83"/>
      <c r="GI649" s="405"/>
      <c r="GO649" s="83"/>
      <c r="GW649" s="405"/>
      <c r="HC649" s="83"/>
      <c r="HK649" s="405"/>
      <c r="HQ649" s="83"/>
      <c r="HY649" s="405"/>
      <c r="IE649" s="83"/>
      <c r="IM649" s="405"/>
      <c r="IS649" s="83"/>
      <c r="JA649" s="405"/>
      <c r="JG649" s="83"/>
      <c r="JO649" s="405"/>
      <c r="JU649" s="83"/>
      <c r="KC649" s="405"/>
      <c r="KI649" s="83"/>
      <c r="KQ649" s="405"/>
      <c r="KW649" s="83"/>
      <c r="LE649" s="405"/>
      <c r="LK649" s="83"/>
      <c r="LS649" s="405"/>
      <c r="LY649" s="83"/>
      <c r="MG649" s="405"/>
      <c r="MM649" s="83"/>
      <c r="MU649" s="405"/>
      <c r="NA649" s="83"/>
    </row>
    <row r="650">
      <c r="A650" s="380"/>
      <c r="B650" s="380"/>
      <c r="C650" s="380"/>
      <c r="D650" s="380"/>
      <c r="E650" s="380"/>
      <c r="F650" s="380"/>
      <c r="G650" s="380"/>
      <c r="H650" s="380"/>
      <c r="I650" s="403"/>
      <c r="J650" s="380"/>
      <c r="K650" s="380"/>
      <c r="L650" s="380"/>
      <c r="M650" s="380"/>
      <c r="N650" s="380"/>
      <c r="O650" s="404"/>
      <c r="P650" s="380"/>
      <c r="Q650" s="380"/>
      <c r="R650" s="380"/>
      <c r="S650" s="380"/>
      <c r="T650" s="380"/>
      <c r="U650" s="380"/>
      <c r="V650" s="380"/>
      <c r="W650" s="403"/>
      <c r="X650" s="380"/>
      <c r="Y650" s="380"/>
      <c r="Z650" s="380"/>
      <c r="AA650" s="380"/>
      <c r="AB650" s="380"/>
      <c r="AC650" s="404"/>
      <c r="AD650" s="380"/>
      <c r="AE650" s="380"/>
      <c r="AF650" s="380"/>
      <c r="AG650" s="380"/>
      <c r="AH650" s="380"/>
      <c r="AI650" s="380"/>
      <c r="AJ650" s="380"/>
      <c r="AK650" s="403"/>
      <c r="AL650" s="380"/>
      <c r="AM650" s="380"/>
      <c r="AN650" s="380"/>
      <c r="AO650" s="380"/>
      <c r="AP650" s="380"/>
      <c r="AQ650" s="404"/>
      <c r="AR650" s="380"/>
      <c r="AS650" s="380"/>
      <c r="AT650" s="380"/>
      <c r="AU650" s="380"/>
      <c r="AV650" s="380"/>
      <c r="AW650" s="380"/>
      <c r="AX650" s="380"/>
      <c r="AY650" s="403"/>
      <c r="AZ650" s="380"/>
      <c r="BA650" s="380"/>
      <c r="BB650" s="380"/>
      <c r="BC650" s="380"/>
      <c r="BD650" s="380"/>
      <c r="BE650" s="404"/>
      <c r="BF650" s="380"/>
      <c r="BG650" s="380"/>
      <c r="BH650" s="380"/>
      <c r="BI650" s="380"/>
      <c r="BJ650" s="380"/>
      <c r="BK650" s="380"/>
      <c r="BL650" s="380"/>
      <c r="BM650" s="403"/>
      <c r="BS650" s="83"/>
      <c r="CA650" s="405"/>
      <c r="CG650" s="83"/>
      <c r="CO650" s="405"/>
      <c r="CU650" s="83"/>
      <c r="DC650" s="405"/>
      <c r="DI650" s="83"/>
      <c r="DQ650" s="405"/>
      <c r="DW650" s="83"/>
      <c r="EE650" s="405"/>
      <c r="EK650" s="83"/>
      <c r="ES650" s="405"/>
      <c r="EY650" s="83"/>
      <c r="FG650" s="405"/>
      <c r="FM650" s="83"/>
      <c r="FU650" s="405"/>
      <c r="GA650" s="83"/>
      <c r="GI650" s="405"/>
      <c r="GO650" s="83"/>
      <c r="GW650" s="405"/>
      <c r="HC650" s="83"/>
      <c r="HK650" s="405"/>
      <c r="HQ650" s="83"/>
      <c r="HY650" s="405"/>
      <c r="IE650" s="83"/>
      <c r="IM650" s="405"/>
      <c r="IS650" s="83"/>
      <c r="JA650" s="405"/>
      <c r="JG650" s="83"/>
      <c r="JO650" s="405"/>
      <c r="JU650" s="83"/>
      <c r="KC650" s="405"/>
      <c r="KI650" s="83"/>
      <c r="KQ650" s="405"/>
      <c r="KW650" s="83"/>
      <c r="LE650" s="405"/>
      <c r="LK650" s="83"/>
      <c r="LS650" s="405"/>
      <c r="LY650" s="83"/>
      <c r="MG650" s="405"/>
      <c r="MM650" s="83"/>
      <c r="MU650" s="405"/>
      <c r="NA650" s="83"/>
    </row>
    <row r="651">
      <c r="A651" s="380"/>
      <c r="B651" s="380"/>
      <c r="C651" s="380"/>
      <c r="D651" s="380"/>
      <c r="E651" s="380"/>
      <c r="F651" s="380"/>
      <c r="G651" s="380"/>
      <c r="H651" s="380"/>
      <c r="I651" s="403"/>
      <c r="J651" s="380"/>
      <c r="K651" s="380"/>
      <c r="L651" s="380"/>
      <c r="M651" s="380"/>
      <c r="N651" s="380"/>
      <c r="O651" s="404"/>
      <c r="P651" s="380"/>
      <c r="Q651" s="380"/>
      <c r="R651" s="380"/>
      <c r="S651" s="380"/>
      <c r="T651" s="380"/>
      <c r="U651" s="380"/>
      <c r="V651" s="380"/>
      <c r="W651" s="403"/>
      <c r="X651" s="380"/>
      <c r="Y651" s="380"/>
      <c r="Z651" s="380"/>
      <c r="AA651" s="380"/>
      <c r="AB651" s="380"/>
      <c r="AC651" s="404"/>
      <c r="AD651" s="380"/>
      <c r="AE651" s="380"/>
      <c r="AF651" s="380"/>
      <c r="AG651" s="380"/>
      <c r="AH651" s="380"/>
      <c r="AI651" s="380"/>
      <c r="AJ651" s="380"/>
      <c r="AK651" s="403"/>
      <c r="AL651" s="380"/>
      <c r="AM651" s="380"/>
      <c r="AN651" s="380"/>
      <c r="AO651" s="380"/>
      <c r="AP651" s="380"/>
      <c r="AQ651" s="404"/>
      <c r="AR651" s="380"/>
      <c r="AS651" s="380"/>
      <c r="AT651" s="380"/>
      <c r="AU651" s="380"/>
      <c r="AV651" s="380"/>
      <c r="AW651" s="380"/>
      <c r="AX651" s="380"/>
      <c r="AY651" s="403"/>
      <c r="AZ651" s="380"/>
      <c r="BA651" s="380"/>
      <c r="BB651" s="380"/>
      <c r="BC651" s="380"/>
      <c r="BD651" s="380"/>
      <c r="BE651" s="404"/>
      <c r="BF651" s="380"/>
      <c r="BG651" s="380"/>
      <c r="BH651" s="380"/>
      <c r="BI651" s="380"/>
      <c r="BJ651" s="380"/>
      <c r="BK651" s="380"/>
      <c r="BL651" s="380"/>
      <c r="BM651" s="403"/>
      <c r="BS651" s="83"/>
      <c r="CA651" s="405"/>
      <c r="CG651" s="83"/>
      <c r="CO651" s="405"/>
      <c r="CU651" s="83"/>
      <c r="DC651" s="405"/>
      <c r="DI651" s="83"/>
      <c r="DQ651" s="405"/>
      <c r="DW651" s="83"/>
      <c r="EE651" s="405"/>
      <c r="EK651" s="83"/>
      <c r="ES651" s="405"/>
      <c r="EY651" s="83"/>
      <c r="FG651" s="405"/>
      <c r="FM651" s="83"/>
      <c r="FU651" s="405"/>
      <c r="GA651" s="83"/>
      <c r="GI651" s="405"/>
      <c r="GO651" s="83"/>
      <c r="GW651" s="405"/>
      <c r="HC651" s="83"/>
      <c r="HK651" s="405"/>
      <c r="HQ651" s="83"/>
      <c r="HY651" s="405"/>
      <c r="IE651" s="83"/>
      <c r="IM651" s="405"/>
      <c r="IS651" s="83"/>
      <c r="JA651" s="405"/>
      <c r="JG651" s="83"/>
      <c r="JO651" s="405"/>
      <c r="JU651" s="83"/>
      <c r="KC651" s="405"/>
      <c r="KI651" s="83"/>
      <c r="KQ651" s="405"/>
      <c r="KW651" s="83"/>
      <c r="LE651" s="405"/>
      <c r="LK651" s="83"/>
      <c r="LS651" s="405"/>
      <c r="LY651" s="83"/>
      <c r="MG651" s="405"/>
      <c r="MM651" s="83"/>
      <c r="MU651" s="405"/>
      <c r="NA651" s="83"/>
    </row>
    <row r="652">
      <c r="A652" s="380"/>
      <c r="B652" s="380"/>
      <c r="C652" s="380"/>
      <c r="D652" s="380"/>
      <c r="E652" s="380"/>
      <c r="F652" s="380"/>
      <c r="G652" s="380"/>
      <c r="H652" s="380"/>
      <c r="I652" s="403"/>
      <c r="J652" s="380"/>
      <c r="K652" s="380"/>
      <c r="L652" s="380"/>
      <c r="M652" s="380"/>
      <c r="N652" s="380"/>
      <c r="O652" s="404"/>
      <c r="P652" s="380"/>
      <c r="Q652" s="380"/>
      <c r="R652" s="380"/>
      <c r="S652" s="380"/>
      <c r="T652" s="380"/>
      <c r="U652" s="380"/>
      <c r="V652" s="380"/>
      <c r="W652" s="403"/>
      <c r="X652" s="380"/>
      <c r="Y652" s="380"/>
      <c r="Z652" s="380"/>
      <c r="AA652" s="380"/>
      <c r="AB652" s="380"/>
      <c r="AC652" s="404"/>
      <c r="AD652" s="380"/>
      <c r="AE652" s="380"/>
      <c r="AF652" s="380"/>
      <c r="AG652" s="380"/>
      <c r="AH652" s="380"/>
      <c r="AI652" s="380"/>
      <c r="AJ652" s="380"/>
      <c r="AK652" s="403"/>
      <c r="AL652" s="380"/>
      <c r="AM652" s="380"/>
      <c r="AN652" s="380"/>
      <c r="AO652" s="380"/>
      <c r="AP652" s="380"/>
      <c r="AQ652" s="404"/>
      <c r="AR652" s="380"/>
      <c r="AS652" s="380"/>
      <c r="AT652" s="380"/>
      <c r="AU652" s="380"/>
      <c r="AV652" s="380"/>
      <c r="AW652" s="380"/>
      <c r="AX652" s="380"/>
      <c r="AY652" s="403"/>
      <c r="AZ652" s="380"/>
      <c r="BA652" s="380"/>
      <c r="BB652" s="380"/>
      <c r="BC652" s="380"/>
      <c r="BD652" s="380"/>
      <c r="BE652" s="404"/>
      <c r="BF652" s="380"/>
      <c r="BG652" s="380"/>
      <c r="BH652" s="380"/>
      <c r="BI652" s="380"/>
      <c r="BJ652" s="380"/>
      <c r="BK652" s="380"/>
      <c r="BL652" s="380"/>
      <c r="BM652" s="403"/>
      <c r="BS652" s="83"/>
      <c r="CA652" s="405"/>
      <c r="CG652" s="83"/>
      <c r="CO652" s="405"/>
      <c r="CU652" s="83"/>
      <c r="DC652" s="405"/>
      <c r="DI652" s="83"/>
      <c r="DQ652" s="405"/>
      <c r="DW652" s="83"/>
      <c r="EE652" s="405"/>
      <c r="EK652" s="83"/>
      <c r="ES652" s="405"/>
      <c r="EY652" s="83"/>
      <c r="FG652" s="405"/>
      <c r="FM652" s="83"/>
      <c r="FU652" s="405"/>
      <c r="GA652" s="83"/>
      <c r="GI652" s="405"/>
      <c r="GO652" s="83"/>
      <c r="GW652" s="405"/>
      <c r="HC652" s="83"/>
      <c r="HK652" s="405"/>
      <c r="HQ652" s="83"/>
      <c r="HY652" s="405"/>
      <c r="IE652" s="83"/>
      <c r="IM652" s="405"/>
      <c r="IS652" s="83"/>
      <c r="JA652" s="405"/>
      <c r="JG652" s="83"/>
      <c r="JO652" s="405"/>
      <c r="JU652" s="83"/>
      <c r="KC652" s="405"/>
      <c r="KI652" s="83"/>
      <c r="KQ652" s="405"/>
      <c r="KW652" s="83"/>
      <c r="LE652" s="405"/>
      <c r="LK652" s="83"/>
      <c r="LS652" s="405"/>
      <c r="LY652" s="83"/>
      <c r="MG652" s="405"/>
      <c r="MM652" s="83"/>
      <c r="MU652" s="405"/>
      <c r="NA652" s="83"/>
    </row>
    <row r="653">
      <c r="A653" s="380"/>
      <c r="B653" s="380"/>
      <c r="C653" s="380"/>
      <c r="D653" s="380"/>
      <c r="E653" s="380"/>
      <c r="F653" s="380"/>
      <c r="G653" s="380"/>
      <c r="H653" s="380"/>
      <c r="I653" s="403"/>
      <c r="J653" s="380"/>
      <c r="K653" s="380"/>
      <c r="L653" s="380"/>
      <c r="M653" s="380"/>
      <c r="N653" s="380"/>
      <c r="O653" s="404"/>
      <c r="P653" s="380"/>
      <c r="Q653" s="380"/>
      <c r="R653" s="380"/>
      <c r="S653" s="380"/>
      <c r="T653" s="380"/>
      <c r="U653" s="380"/>
      <c r="V653" s="380"/>
      <c r="W653" s="403"/>
      <c r="X653" s="380"/>
      <c r="Y653" s="380"/>
      <c r="Z653" s="380"/>
      <c r="AA653" s="380"/>
      <c r="AB653" s="380"/>
      <c r="AC653" s="404"/>
      <c r="AD653" s="380"/>
      <c r="AE653" s="380"/>
      <c r="AF653" s="380"/>
      <c r="AG653" s="380"/>
      <c r="AH653" s="380"/>
      <c r="AI653" s="380"/>
      <c r="AJ653" s="380"/>
      <c r="AK653" s="403"/>
      <c r="AL653" s="380"/>
      <c r="AM653" s="380"/>
      <c r="AN653" s="380"/>
      <c r="AO653" s="380"/>
      <c r="AP653" s="380"/>
      <c r="AQ653" s="404"/>
      <c r="AR653" s="380"/>
      <c r="AS653" s="380"/>
      <c r="AT653" s="380"/>
      <c r="AU653" s="380"/>
      <c r="AV653" s="380"/>
      <c r="AW653" s="380"/>
      <c r="AX653" s="380"/>
      <c r="AY653" s="403"/>
      <c r="AZ653" s="380"/>
      <c r="BA653" s="380"/>
      <c r="BB653" s="380"/>
      <c r="BC653" s="380"/>
      <c r="BD653" s="380"/>
      <c r="BE653" s="404"/>
      <c r="BF653" s="380"/>
      <c r="BG653" s="380"/>
      <c r="BH653" s="380"/>
      <c r="BI653" s="380"/>
      <c r="BJ653" s="380"/>
      <c r="BK653" s="380"/>
      <c r="BL653" s="380"/>
      <c r="BM653" s="403"/>
      <c r="BS653" s="83"/>
      <c r="CA653" s="405"/>
      <c r="CG653" s="83"/>
      <c r="CO653" s="405"/>
      <c r="CU653" s="83"/>
      <c r="DC653" s="405"/>
      <c r="DI653" s="83"/>
      <c r="DQ653" s="405"/>
      <c r="DW653" s="83"/>
      <c r="EE653" s="405"/>
      <c r="EK653" s="83"/>
      <c r="ES653" s="405"/>
      <c r="EY653" s="83"/>
      <c r="FG653" s="405"/>
      <c r="FM653" s="83"/>
      <c r="FU653" s="405"/>
      <c r="GA653" s="83"/>
      <c r="GI653" s="405"/>
      <c r="GO653" s="83"/>
      <c r="GW653" s="405"/>
      <c r="HC653" s="83"/>
      <c r="HK653" s="405"/>
      <c r="HQ653" s="83"/>
      <c r="HY653" s="405"/>
      <c r="IE653" s="83"/>
      <c r="IM653" s="405"/>
      <c r="IS653" s="83"/>
      <c r="JA653" s="405"/>
      <c r="JG653" s="83"/>
      <c r="JO653" s="405"/>
      <c r="JU653" s="83"/>
      <c r="KC653" s="405"/>
      <c r="KI653" s="83"/>
      <c r="KQ653" s="405"/>
      <c r="KW653" s="83"/>
      <c r="LE653" s="405"/>
      <c r="LK653" s="83"/>
      <c r="LS653" s="405"/>
      <c r="LY653" s="83"/>
      <c r="MG653" s="405"/>
      <c r="MM653" s="83"/>
      <c r="MU653" s="405"/>
      <c r="NA653" s="83"/>
    </row>
    <row r="654">
      <c r="A654" s="380"/>
      <c r="B654" s="380"/>
      <c r="C654" s="380"/>
      <c r="D654" s="380"/>
      <c r="E654" s="380"/>
      <c r="F654" s="380"/>
      <c r="G654" s="380"/>
      <c r="H654" s="380"/>
      <c r="I654" s="403"/>
      <c r="J654" s="380"/>
      <c r="K654" s="380"/>
      <c r="L654" s="380"/>
      <c r="M654" s="380"/>
      <c r="N654" s="380"/>
      <c r="O654" s="404"/>
      <c r="P654" s="380"/>
      <c r="Q654" s="380"/>
      <c r="R654" s="380"/>
      <c r="S654" s="380"/>
      <c r="T654" s="380"/>
      <c r="U654" s="380"/>
      <c r="V654" s="380"/>
      <c r="W654" s="403"/>
      <c r="X654" s="380"/>
      <c r="Y654" s="380"/>
      <c r="Z654" s="380"/>
      <c r="AA654" s="380"/>
      <c r="AB654" s="380"/>
      <c r="AC654" s="404"/>
      <c r="AD654" s="380"/>
      <c r="AE654" s="380"/>
      <c r="AF654" s="380"/>
      <c r="AG654" s="380"/>
      <c r="AH654" s="380"/>
      <c r="AI654" s="380"/>
      <c r="AJ654" s="380"/>
      <c r="AK654" s="403"/>
      <c r="AL654" s="380"/>
      <c r="AM654" s="380"/>
      <c r="AN654" s="380"/>
      <c r="AO654" s="380"/>
      <c r="AP654" s="380"/>
      <c r="AQ654" s="404"/>
      <c r="AR654" s="380"/>
      <c r="AS654" s="380"/>
      <c r="AT654" s="380"/>
      <c r="AU654" s="380"/>
      <c r="AV654" s="380"/>
      <c r="AW654" s="380"/>
      <c r="AX654" s="380"/>
      <c r="AY654" s="403"/>
      <c r="AZ654" s="380"/>
      <c r="BA654" s="380"/>
      <c r="BB654" s="380"/>
      <c r="BC654" s="380"/>
      <c r="BD654" s="380"/>
      <c r="BE654" s="404"/>
      <c r="BF654" s="380"/>
      <c r="BG654" s="380"/>
      <c r="BH654" s="380"/>
      <c r="BI654" s="380"/>
      <c r="BJ654" s="380"/>
      <c r="BK654" s="380"/>
      <c r="BL654" s="380"/>
      <c r="BM654" s="403"/>
      <c r="BS654" s="83"/>
      <c r="CA654" s="405"/>
      <c r="CG654" s="83"/>
      <c r="CO654" s="405"/>
      <c r="CU654" s="83"/>
      <c r="DC654" s="405"/>
      <c r="DI654" s="83"/>
      <c r="DQ654" s="405"/>
      <c r="DW654" s="83"/>
      <c r="EE654" s="405"/>
      <c r="EK654" s="83"/>
      <c r="ES654" s="405"/>
      <c r="EY654" s="83"/>
      <c r="FG654" s="405"/>
      <c r="FM654" s="83"/>
      <c r="FU654" s="405"/>
      <c r="GA654" s="83"/>
      <c r="GI654" s="405"/>
      <c r="GO654" s="83"/>
      <c r="GW654" s="405"/>
      <c r="HC654" s="83"/>
      <c r="HK654" s="405"/>
      <c r="HQ654" s="83"/>
      <c r="HY654" s="405"/>
      <c r="IE654" s="83"/>
      <c r="IM654" s="405"/>
      <c r="IS654" s="83"/>
      <c r="JA654" s="405"/>
      <c r="JG654" s="83"/>
      <c r="JO654" s="405"/>
      <c r="JU654" s="83"/>
      <c r="KC654" s="405"/>
      <c r="KI654" s="83"/>
      <c r="KQ654" s="405"/>
      <c r="KW654" s="83"/>
      <c r="LE654" s="405"/>
      <c r="LK654" s="83"/>
      <c r="LS654" s="405"/>
      <c r="LY654" s="83"/>
      <c r="MG654" s="405"/>
      <c r="MM654" s="83"/>
      <c r="MU654" s="405"/>
      <c r="NA654" s="83"/>
    </row>
    <row r="655">
      <c r="A655" s="380"/>
      <c r="B655" s="380"/>
      <c r="C655" s="380"/>
      <c r="D655" s="380"/>
      <c r="E655" s="380"/>
      <c r="F655" s="380"/>
      <c r="G655" s="380"/>
      <c r="H655" s="380"/>
      <c r="I655" s="403"/>
      <c r="J655" s="380"/>
      <c r="K655" s="380"/>
      <c r="L655" s="380"/>
      <c r="M655" s="380"/>
      <c r="N655" s="380"/>
      <c r="O655" s="404"/>
      <c r="P655" s="380"/>
      <c r="Q655" s="380"/>
      <c r="R655" s="380"/>
      <c r="S655" s="380"/>
      <c r="T655" s="380"/>
      <c r="U655" s="380"/>
      <c r="V655" s="380"/>
      <c r="W655" s="403"/>
      <c r="X655" s="380"/>
      <c r="Y655" s="380"/>
      <c r="Z655" s="380"/>
      <c r="AA655" s="380"/>
      <c r="AB655" s="380"/>
      <c r="AC655" s="404"/>
      <c r="AD655" s="380"/>
      <c r="AE655" s="380"/>
      <c r="AF655" s="380"/>
      <c r="AG655" s="380"/>
      <c r="AH655" s="380"/>
      <c r="AI655" s="380"/>
      <c r="AJ655" s="380"/>
      <c r="AK655" s="403"/>
      <c r="AL655" s="380"/>
      <c r="AM655" s="380"/>
      <c r="AN655" s="380"/>
      <c r="AO655" s="380"/>
      <c r="AP655" s="380"/>
      <c r="AQ655" s="404"/>
      <c r="AR655" s="380"/>
      <c r="AS655" s="380"/>
      <c r="AT655" s="380"/>
      <c r="AU655" s="380"/>
      <c r="AV655" s="380"/>
      <c r="AW655" s="380"/>
      <c r="AX655" s="380"/>
      <c r="AY655" s="403"/>
      <c r="AZ655" s="380"/>
      <c r="BA655" s="380"/>
      <c r="BB655" s="380"/>
      <c r="BC655" s="380"/>
      <c r="BD655" s="380"/>
      <c r="BE655" s="404"/>
      <c r="BF655" s="380"/>
      <c r="BG655" s="380"/>
      <c r="BH655" s="380"/>
      <c r="BI655" s="380"/>
      <c r="BJ655" s="380"/>
      <c r="BK655" s="380"/>
      <c r="BL655" s="380"/>
      <c r="BM655" s="403"/>
      <c r="BS655" s="83"/>
      <c r="CA655" s="405"/>
      <c r="CG655" s="83"/>
      <c r="CO655" s="405"/>
      <c r="CU655" s="83"/>
      <c r="DC655" s="405"/>
      <c r="DI655" s="83"/>
      <c r="DQ655" s="405"/>
      <c r="DW655" s="83"/>
      <c r="EE655" s="405"/>
      <c r="EK655" s="83"/>
      <c r="ES655" s="405"/>
      <c r="EY655" s="83"/>
      <c r="FG655" s="405"/>
      <c r="FM655" s="83"/>
      <c r="FU655" s="405"/>
      <c r="GA655" s="83"/>
      <c r="GI655" s="405"/>
      <c r="GO655" s="83"/>
      <c r="GW655" s="405"/>
      <c r="HC655" s="83"/>
      <c r="HK655" s="405"/>
      <c r="HQ655" s="83"/>
      <c r="HY655" s="405"/>
      <c r="IE655" s="83"/>
      <c r="IM655" s="405"/>
      <c r="IS655" s="83"/>
      <c r="JA655" s="405"/>
      <c r="JG655" s="83"/>
      <c r="JO655" s="405"/>
      <c r="JU655" s="83"/>
      <c r="KC655" s="405"/>
      <c r="KI655" s="83"/>
      <c r="KQ655" s="405"/>
      <c r="KW655" s="83"/>
      <c r="LE655" s="405"/>
      <c r="LK655" s="83"/>
      <c r="LS655" s="405"/>
      <c r="LY655" s="83"/>
      <c r="MG655" s="405"/>
      <c r="MM655" s="83"/>
      <c r="MU655" s="405"/>
      <c r="NA655" s="83"/>
    </row>
    <row r="656">
      <c r="A656" s="380"/>
      <c r="B656" s="380"/>
      <c r="C656" s="380"/>
      <c r="D656" s="380"/>
      <c r="E656" s="380"/>
      <c r="F656" s="380"/>
      <c r="G656" s="380"/>
      <c r="H656" s="380"/>
      <c r="I656" s="403"/>
      <c r="J656" s="380"/>
      <c r="K656" s="380"/>
      <c r="L656" s="380"/>
      <c r="M656" s="380"/>
      <c r="N656" s="380"/>
      <c r="O656" s="404"/>
      <c r="P656" s="380"/>
      <c r="Q656" s="380"/>
      <c r="R656" s="380"/>
      <c r="S656" s="380"/>
      <c r="T656" s="380"/>
      <c r="U656" s="380"/>
      <c r="V656" s="380"/>
      <c r="W656" s="403"/>
      <c r="X656" s="380"/>
      <c r="Y656" s="380"/>
      <c r="Z656" s="380"/>
      <c r="AA656" s="380"/>
      <c r="AB656" s="380"/>
      <c r="AC656" s="404"/>
      <c r="AD656" s="380"/>
      <c r="AE656" s="380"/>
      <c r="AF656" s="380"/>
      <c r="AG656" s="380"/>
      <c r="AH656" s="380"/>
      <c r="AI656" s="380"/>
      <c r="AJ656" s="380"/>
      <c r="AK656" s="403"/>
      <c r="AL656" s="380"/>
      <c r="AM656" s="380"/>
      <c r="AN656" s="380"/>
      <c r="AO656" s="380"/>
      <c r="AP656" s="380"/>
      <c r="AQ656" s="404"/>
      <c r="AR656" s="380"/>
      <c r="AS656" s="380"/>
      <c r="AT656" s="380"/>
      <c r="AU656" s="380"/>
      <c r="AV656" s="380"/>
      <c r="AW656" s="380"/>
      <c r="AX656" s="380"/>
      <c r="AY656" s="403"/>
      <c r="AZ656" s="380"/>
      <c r="BA656" s="380"/>
      <c r="BB656" s="380"/>
      <c r="BC656" s="380"/>
      <c r="BD656" s="380"/>
      <c r="BE656" s="404"/>
      <c r="BF656" s="380"/>
      <c r="BG656" s="380"/>
      <c r="BH656" s="380"/>
      <c r="BI656" s="380"/>
      <c r="BJ656" s="380"/>
      <c r="BK656" s="380"/>
      <c r="BL656" s="380"/>
      <c r="BM656" s="403"/>
      <c r="BS656" s="83"/>
      <c r="CA656" s="405"/>
      <c r="CG656" s="83"/>
      <c r="CO656" s="405"/>
      <c r="CU656" s="83"/>
      <c r="DC656" s="405"/>
      <c r="DI656" s="83"/>
      <c r="DQ656" s="405"/>
      <c r="DW656" s="83"/>
      <c r="EE656" s="405"/>
      <c r="EK656" s="83"/>
      <c r="ES656" s="405"/>
      <c r="EY656" s="83"/>
      <c r="FG656" s="405"/>
      <c r="FM656" s="83"/>
      <c r="FU656" s="405"/>
      <c r="GA656" s="83"/>
      <c r="GI656" s="405"/>
      <c r="GO656" s="83"/>
      <c r="GW656" s="405"/>
      <c r="HC656" s="83"/>
      <c r="HK656" s="405"/>
      <c r="HQ656" s="83"/>
      <c r="HY656" s="405"/>
      <c r="IE656" s="83"/>
      <c r="IM656" s="405"/>
      <c r="IS656" s="83"/>
      <c r="JA656" s="405"/>
      <c r="JG656" s="83"/>
      <c r="JO656" s="405"/>
      <c r="JU656" s="83"/>
      <c r="KC656" s="405"/>
      <c r="KI656" s="83"/>
      <c r="KQ656" s="405"/>
      <c r="KW656" s="83"/>
      <c r="LE656" s="405"/>
      <c r="LK656" s="83"/>
      <c r="LS656" s="405"/>
      <c r="LY656" s="83"/>
      <c r="MG656" s="405"/>
      <c r="MM656" s="83"/>
      <c r="MU656" s="405"/>
      <c r="NA656" s="83"/>
    </row>
    <row r="657">
      <c r="A657" s="380"/>
      <c r="B657" s="380"/>
      <c r="C657" s="380"/>
      <c r="D657" s="380"/>
      <c r="E657" s="380"/>
      <c r="F657" s="380"/>
      <c r="G657" s="380"/>
      <c r="H657" s="380"/>
      <c r="I657" s="403"/>
      <c r="J657" s="380"/>
      <c r="K657" s="380"/>
      <c r="L657" s="380"/>
      <c r="M657" s="380"/>
      <c r="N657" s="380"/>
      <c r="O657" s="404"/>
      <c r="P657" s="380"/>
      <c r="Q657" s="380"/>
      <c r="R657" s="380"/>
      <c r="S657" s="380"/>
      <c r="T657" s="380"/>
      <c r="U657" s="380"/>
      <c r="V657" s="380"/>
      <c r="W657" s="403"/>
      <c r="X657" s="380"/>
      <c r="Y657" s="380"/>
      <c r="Z657" s="380"/>
      <c r="AA657" s="380"/>
      <c r="AB657" s="380"/>
      <c r="AC657" s="404"/>
      <c r="AD657" s="380"/>
      <c r="AE657" s="380"/>
      <c r="AF657" s="380"/>
      <c r="AG657" s="380"/>
      <c r="AH657" s="380"/>
      <c r="AI657" s="380"/>
      <c r="AJ657" s="380"/>
      <c r="AK657" s="403"/>
      <c r="AL657" s="380"/>
      <c r="AM657" s="380"/>
      <c r="AN657" s="380"/>
      <c r="AO657" s="380"/>
      <c r="AP657" s="380"/>
      <c r="AQ657" s="404"/>
      <c r="AR657" s="380"/>
      <c r="AS657" s="380"/>
      <c r="AT657" s="380"/>
      <c r="AU657" s="380"/>
      <c r="AV657" s="380"/>
      <c r="AW657" s="380"/>
      <c r="AX657" s="380"/>
      <c r="AY657" s="403"/>
      <c r="AZ657" s="380"/>
      <c r="BA657" s="380"/>
      <c r="BB657" s="380"/>
      <c r="BC657" s="380"/>
      <c r="BD657" s="380"/>
      <c r="BE657" s="404"/>
      <c r="BF657" s="380"/>
      <c r="BG657" s="380"/>
      <c r="BH657" s="380"/>
      <c r="BI657" s="380"/>
      <c r="BJ657" s="380"/>
      <c r="BK657" s="380"/>
      <c r="BL657" s="380"/>
      <c r="BM657" s="403"/>
      <c r="BS657" s="83"/>
      <c r="CA657" s="405"/>
      <c r="CG657" s="83"/>
      <c r="CO657" s="405"/>
      <c r="CU657" s="83"/>
      <c r="DC657" s="405"/>
      <c r="DI657" s="83"/>
      <c r="DQ657" s="405"/>
      <c r="DW657" s="83"/>
      <c r="EE657" s="405"/>
      <c r="EK657" s="83"/>
      <c r="ES657" s="405"/>
      <c r="EY657" s="83"/>
      <c r="FG657" s="405"/>
      <c r="FM657" s="83"/>
      <c r="FU657" s="405"/>
      <c r="GA657" s="83"/>
      <c r="GI657" s="405"/>
      <c r="GO657" s="83"/>
      <c r="GW657" s="405"/>
      <c r="HC657" s="83"/>
      <c r="HK657" s="405"/>
      <c r="HQ657" s="83"/>
      <c r="HY657" s="405"/>
      <c r="IE657" s="83"/>
      <c r="IM657" s="405"/>
      <c r="IS657" s="83"/>
      <c r="JA657" s="405"/>
      <c r="JG657" s="83"/>
      <c r="JO657" s="405"/>
      <c r="JU657" s="83"/>
      <c r="KC657" s="405"/>
      <c r="KI657" s="83"/>
      <c r="KQ657" s="405"/>
      <c r="KW657" s="83"/>
      <c r="LE657" s="405"/>
      <c r="LK657" s="83"/>
      <c r="LS657" s="405"/>
      <c r="LY657" s="83"/>
      <c r="MG657" s="405"/>
      <c r="MM657" s="83"/>
      <c r="MU657" s="405"/>
      <c r="NA657" s="83"/>
    </row>
    <row r="658">
      <c r="A658" s="380"/>
      <c r="B658" s="380"/>
      <c r="C658" s="380"/>
      <c r="D658" s="380"/>
      <c r="E658" s="380"/>
      <c r="F658" s="380"/>
      <c r="G658" s="380"/>
      <c r="H658" s="380"/>
      <c r="I658" s="403"/>
      <c r="J658" s="380"/>
      <c r="K658" s="380"/>
      <c r="L658" s="380"/>
      <c r="M658" s="380"/>
      <c r="N658" s="380"/>
      <c r="O658" s="404"/>
      <c r="P658" s="380"/>
      <c r="Q658" s="380"/>
      <c r="R658" s="380"/>
      <c r="S658" s="380"/>
      <c r="T658" s="380"/>
      <c r="U658" s="380"/>
      <c r="V658" s="380"/>
      <c r="W658" s="403"/>
      <c r="X658" s="380"/>
      <c r="Y658" s="380"/>
      <c r="Z658" s="380"/>
      <c r="AA658" s="380"/>
      <c r="AB658" s="380"/>
      <c r="AC658" s="404"/>
      <c r="AD658" s="380"/>
      <c r="AE658" s="380"/>
      <c r="AF658" s="380"/>
      <c r="AG658" s="380"/>
      <c r="AH658" s="380"/>
      <c r="AI658" s="380"/>
      <c r="AJ658" s="380"/>
      <c r="AK658" s="403"/>
      <c r="AL658" s="380"/>
      <c r="AM658" s="380"/>
      <c r="AN658" s="380"/>
      <c r="AO658" s="380"/>
      <c r="AP658" s="380"/>
      <c r="AQ658" s="404"/>
      <c r="AR658" s="380"/>
      <c r="AS658" s="380"/>
      <c r="AT658" s="380"/>
      <c r="AU658" s="380"/>
      <c r="AV658" s="380"/>
      <c r="AW658" s="380"/>
      <c r="AX658" s="380"/>
      <c r="AY658" s="403"/>
      <c r="AZ658" s="380"/>
      <c r="BA658" s="380"/>
      <c r="BB658" s="380"/>
      <c r="BC658" s="380"/>
      <c r="BD658" s="380"/>
      <c r="BE658" s="404"/>
      <c r="BF658" s="380"/>
      <c r="BG658" s="380"/>
      <c r="BH658" s="380"/>
      <c r="BI658" s="380"/>
      <c r="BJ658" s="380"/>
      <c r="BK658" s="380"/>
      <c r="BL658" s="380"/>
      <c r="BM658" s="403"/>
      <c r="BS658" s="83"/>
      <c r="CA658" s="405"/>
      <c r="CG658" s="83"/>
      <c r="CO658" s="405"/>
      <c r="CU658" s="83"/>
      <c r="DC658" s="405"/>
      <c r="DI658" s="83"/>
      <c r="DQ658" s="405"/>
      <c r="DW658" s="83"/>
      <c r="EE658" s="405"/>
      <c r="EK658" s="83"/>
      <c r="ES658" s="405"/>
      <c r="EY658" s="83"/>
      <c r="FG658" s="405"/>
      <c r="FM658" s="83"/>
      <c r="FU658" s="405"/>
      <c r="GA658" s="83"/>
      <c r="GI658" s="405"/>
      <c r="GO658" s="83"/>
      <c r="GW658" s="405"/>
      <c r="HC658" s="83"/>
      <c r="HK658" s="405"/>
      <c r="HQ658" s="83"/>
      <c r="HY658" s="405"/>
      <c r="IE658" s="83"/>
      <c r="IM658" s="405"/>
      <c r="IS658" s="83"/>
      <c r="JA658" s="405"/>
      <c r="JG658" s="83"/>
      <c r="JO658" s="405"/>
      <c r="JU658" s="83"/>
      <c r="KC658" s="405"/>
      <c r="KI658" s="83"/>
      <c r="KQ658" s="405"/>
      <c r="KW658" s="83"/>
      <c r="LE658" s="405"/>
      <c r="LK658" s="83"/>
      <c r="LS658" s="405"/>
      <c r="LY658" s="83"/>
      <c r="MG658" s="405"/>
      <c r="MM658" s="83"/>
      <c r="MU658" s="405"/>
      <c r="NA658" s="83"/>
    </row>
    <row r="659">
      <c r="A659" s="380"/>
      <c r="B659" s="380"/>
      <c r="C659" s="380"/>
      <c r="D659" s="380"/>
      <c r="E659" s="380"/>
      <c r="F659" s="380"/>
      <c r="G659" s="380"/>
      <c r="H659" s="380"/>
      <c r="I659" s="403"/>
      <c r="J659" s="380"/>
      <c r="K659" s="380"/>
      <c r="L659" s="380"/>
      <c r="M659" s="380"/>
      <c r="N659" s="380"/>
      <c r="O659" s="404"/>
      <c r="P659" s="380"/>
      <c r="Q659" s="380"/>
      <c r="R659" s="380"/>
      <c r="S659" s="380"/>
      <c r="T659" s="380"/>
      <c r="U659" s="380"/>
      <c r="V659" s="380"/>
      <c r="W659" s="403"/>
      <c r="X659" s="380"/>
      <c r="Y659" s="380"/>
      <c r="Z659" s="380"/>
      <c r="AA659" s="380"/>
      <c r="AB659" s="380"/>
      <c r="AC659" s="404"/>
      <c r="AD659" s="380"/>
      <c r="AE659" s="380"/>
      <c r="AF659" s="380"/>
      <c r="AG659" s="380"/>
      <c r="AH659" s="380"/>
      <c r="AI659" s="380"/>
      <c r="AJ659" s="380"/>
      <c r="AK659" s="403"/>
      <c r="AL659" s="380"/>
      <c r="AM659" s="380"/>
      <c r="AN659" s="380"/>
      <c r="AO659" s="380"/>
      <c r="AP659" s="380"/>
      <c r="AQ659" s="404"/>
      <c r="AR659" s="380"/>
      <c r="AS659" s="380"/>
      <c r="AT659" s="380"/>
      <c r="AU659" s="380"/>
      <c r="AV659" s="380"/>
      <c r="AW659" s="380"/>
      <c r="AX659" s="380"/>
      <c r="AY659" s="403"/>
      <c r="AZ659" s="380"/>
      <c r="BA659" s="380"/>
      <c r="BB659" s="380"/>
      <c r="BC659" s="380"/>
      <c r="BD659" s="380"/>
      <c r="BE659" s="404"/>
      <c r="BF659" s="380"/>
      <c r="BG659" s="380"/>
      <c r="BH659" s="380"/>
      <c r="BI659" s="380"/>
      <c r="BJ659" s="380"/>
      <c r="BK659" s="380"/>
      <c r="BL659" s="380"/>
      <c r="BM659" s="403"/>
      <c r="BS659" s="83"/>
      <c r="CA659" s="405"/>
      <c r="CG659" s="83"/>
      <c r="CO659" s="405"/>
      <c r="CU659" s="83"/>
      <c r="DC659" s="405"/>
      <c r="DI659" s="83"/>
      <c r="DQ659" s="405"/>
      <c r="DW659" s="83"/>
      <c r="EE659" s="405"/>
      <c r="EK659" s="83"/>
      <c r="ES659" s="405"/>
      <c r="EY659" s="83"/>
      <c r="FG659" s="405"/>
      <c r="FM659" s="83"/>
      <c r="FU659" s="405"/>
      <c r="GA659" s="83"/>
      <c r="GI659" s="405"/>
      <c r="GO659" s="83"/>
      <c r="GW659" s="405"/>
      <c r="HC659" s="83"/>
      <c r="HK659" s="405"/>
      <c r="HQ659" s="83"/>
      <c r="HY659" s="405"/>
      <c r="IE659" s="83"/>
      <c r="IM659" s="405"/>
      <c r="IS659" s="83"/>
      <c r="JA659" s="405"/>
      <c r="JG659" s="83"/>
      <c r="JO659" s="405"/>
      <c r="JU659" s="83"/>
      <c r="KC659" s="405"/>
      <c r="KI659" s="83"/>
      <c r="KQ659" s="405"/>
      <c r="KW659" s="83"/>
      <c r="LE659" s="405"/>
      <c r="LK659" s="83"/>
      <c r="LS659" s="405"/>
      <c r="LY659" s="83"/>
      <c r="MG659" s="405"/>
      <c r="MM659" s="83"/>
      <c r="MU659" s="405"/>
      <c r="NA659" s="83"/>
    </row>
    <row r="660">
      <c r="A660" s="380"/>
      <c r="B660" s="380"/>
      <c r="C660" s="380"/>
      <c r="D660" s="380"/>
      <c r="E660" s="380"/>
      <c r="F660" s="380"/>
      <c r="G660" s="380"/>
      <c r="H660" s="380"/>
      <c r="I660" s="403"/>
      <c r="J660" s="380"/>
      <c r="K660" s="380"/>
      <c r="L660" s="380"/>
      <c r="M660" s="380"/>
      <c r="N660" s="380"/>
      <c r="O660" s="404"/>
      <c r="P660" s="380"/>
      <c r="Q660" s="380"/>
      <c r="R660" s="380"/>
      <c r="S660" s="380"/>
      <c r="T660" s="380"/>
      <c r="U660" s="380"/>
      <c r="V660" s="380"/>
      <c r="W660" s="403"/>
      <c r="X660" s="380"/>
      <c r="Y660" s="380"/>
      <c r="Z660" s="380"/>
      <c r="AA660" s="380"/>
      <c r="AB660" s="380"/>
      <c r="AC660" s="404"/>
      <c r="AD660" s="380"/>
      <c r="AE660" s="380"/>
      <c r="AF660" s="380"/>
      <c r="AG660" s="380"/>
      <c r="AH660" s="380"/>
      <c r="AI660" s="380"/>
      <c r="AJ660" s="380"/>
      <c r="AK660" s="403"/>
      <c r="AL660" s="380"/>
      <c r="AM660" s="380"/>
      <c r="AN660" s="380"/>
      <c r="AO660" s="380"/>
      <c r="AP660" s="380"/>
      <c r="AQ660" s="404"/>
      <c r="AR660" s="380"/>
      <c r="AS660" s="380"/>
      <c r="AT660" s="380"/>
      <c r="AU660" s="380"/>
      <c r="AV660" s="380"/>
      <c r="AW660" s="380"/>
      <c r="AX660" s="380"/>
      <c r="AY660" s="403"/>
      <c r="AZ660" s="380"/>
      <c r="BA660" s="380"/>
      <c r="BB660" s="380"/>
      <c r="BC660" s="380"/>
      <c r="BD660" s="380"/>
      <c r="BE660" s="404"/>
      <c r="BF660" s="380"/>
      <c r="BG660" s="380"/>
      <c r="BH660" s="380"/>
      <c r="BI660" s="380"/>
      <c r="BJ660" s="380"/>
      <c r="BK660" s="380"/>
      <c r="BL660" s="380"/>
      <c r="BM660" s="403"/>
      <c r="BS660" s="83"/>
      <c r="CA660" s="405"/>
      <c r="CG660" s="83"/>
      <c r="CO660" s="405"/>
      <c r="CU660" s="83"/>
      <c r="DC660" s="405"/>
      <c r="DI660" s="83"/>
      <c r="DQ660" s="405"/>
      <c r="DW660" s="83"/>
      <c r="EE660" s="405"/>
      <c r="EK660" s="83"/>
      <c r="ES660" s="405"/>
      <c r="EY660" s="83"/>
      <c r="FG660" s="405"/>
      <c r="FM660" s="83"/>
      <c r="FU660" s="405"/>
      <c r="GA660" s="83"/>
      <c r="GI660" s="405"/>
      <c r="GO660" s="83"/>
      <c r="GW660" s="405"/>
      <c r="HC660" s="83"/>
      <c r="HK660" s="405"/>
      <c r="HQ660" s="83"/>
      <c r="HY660" s="405"/>
      <c r="IE660" s="83"/>
      <c r="IM660" s="405"/>
      <c r="IS660" s="83"/>
      <c r="JA660" s="405"/>
      <c r="JG660" s="83"/>
      <c r="JO660" s="405"/>
      <c r="JU660" s="83"/>
      <c r="KC660" s="405"/>
      <c r="KI660" s="83"/>
      <c r="KQ660" s="405"/>
      <c r="KW660" s="83"/>
      <c r="LE660" s="405"/>
      <c r="LK660" s="83"/>
      <c r="LS660" s="405"/>
      <c r="LY660" s="83"/>
      <c r="MG660" s="405"/>
      <c r="MM660" s="83"/>
      <c r="MU660" s="405"/>
      <c r="NA660" s="83"/>
    </row>
    <row r="661">
      <c r="A661" s="380"/>
      <c r="B661" s="380"/>
      <c r="C661" s="380"/>
      <c r="D661" s="380"/>
      <c r="E661" s="380"/>
      <c r="F661" s="380"/>
      <c r="G661" s="380"/>
      <c r="H661" s="380"/>
      <c r="I661" s="403"/>
      <c r="J661" s="380"/>
      <c r="K661" s="380"/>
      <c r="L661" s="380"/>
      <c r="M661" s="380"/>
      <c r="N661" s="380"/>
      <c r="O661" s="404"/>
      <c r="P661" s="380"/>
      <c r="Q661" s="380"/>
      <c r="R661" s="380"/>
      <c r="S661" s="380"/>
      <c r="T661" s="380"/>
      <c r="U661" s="380"/>
      <c r="V661" s="380"/>
      <c r="W661" s="403"/>
      <c r="X661" s="380"/>
      <c r="Y661" s="380"/>
      <c r="Z661" s="380"/>
      <c r="AA661" s="380"/>
      <c r="AB661" s="380"/>
      <c r="AC661" s="404"/>
      <c r="AD661" s="380"/>
      <c r="AE661" s="380"/>
      <c r="AF661" s="380"/>
      <c r="AG661" s="380"/>
      <c r="AH661" s="380"/>
      <c r="AI661" s="380"/>
      <c r="AJ661" s="380"/>
      <c r="AK661" s="403"/>
      <c r="AL661" s="380"/>
      <c r="AM661" s="380"/>
      <c r="AN661" s="380"/>
      <c r="AO661" s="380"/>
      <c r="AP661" s="380"/>
      <c r="AQ661" s="404"/>
      <c r="AR661" s="380"/>
      <c r="AS661" s="380"/>
      <c r="AT661" s="380"/>
      <c r="AU661" s="380"/>
      <c r="AV661" s="380"/>
      <c r="AW661" s="380"/>
      <c r="AX661" s="380"/>
      <c r="AY661" s="403"/>
      <c r="AZ661" s="380"/>
      <c r="BA661" s="380"/>
      <c r="BB661" s="380"/>
      <c r="BC661" s="380"/>
      <c r="BD661" s="380"/>
      <c r="BE661" s="404"/>
      <c r="BF661" s="380"/>
      <c r="BG661" s="380"/>
      <c r="BH661" s="380"/>
      <c r="BI661" s="380"/>
      <c r="BJ661" s="380"/>
      <c r="BK661" s="380"/>
      <c r="BL661" s="380"/>
      <c r="BM661" s="403"/>
      <c r="BS661" s="83"/>
      <c r="CA661" s="405"/>
      <c r="CG661" s="83"/>
      <c r="CO661" s="405"/>
      <c r="CU661" s="83"/>
      <c r="DC661" s="405"/>
      <c r="DI661" s="83"/>
      <c r="DQ661" s="405"/>
      <c r="DW661" s="83"/>
      <c r="EE661" s="405"/>
      <c r="EK661" s="83"/>
      <c r="ES661" s="405"/>
      <c r="EY661" s="83"/>
      <c r="FG661" s="405"/>
      <c r="FM661" s="83"/>
      <c r="FU661" s="405"/>
      <c r="GA661" s="83"/>
      <c r="GI661" s="405"/>
      <c r="GO661" s="83"/>
      <c r="GW661" s="405"/>
      <c r="HC661" s="83"/>
      <c r="HK661" s="405"/>
      <c r="HQ661" s="83"/>
      <c r="HY661" s="405"/>
      <c r="IE661" s="83"/>
      <c r="IM661" s="405"/>
      <c r="IS661" s="83"/>
      <c r="JA661" s="405"/>
      <c r="JG661" s="83"/>
      <c r="JO661" s="405"/>
      <c r="JU661" s="83"/>
      <c r="KC661" s="405"/>
      <c r="KI661" s="83"/>
      <c r="KQ661" s="405"/>
      <c r="KW661" s="83"/>
      <c r="LE661" s="405"/>
      <c r="LK661" s="83"/>
      <c r="LS661" s="405"/>
      <c r="LY661" s="83"/>
      <c r="MG661" s="405"/>
      <c r="MM661" s="83"/>
      <c r="MU661" s="405"/>
      <c r="NA661" s="83"/>
    </row>
    <row r="662">
      <c r="A662" s="380"/>
      <c r="B662" s="380"/>
      <c r="C662" s="380"/>
      <c r="D662" s="380"/>
      <c r="E662" s="380"/>
      <c r="F662" s="380"/>
      <c r="G662" s="380"/>
      <c r="H662" s="380"/>
      <c r="I662" s="403"/>
      <c r="J662" s="380"/>
      <c r="K662" s="380"/>
      <c r="L662" s="380"/>
      <c r="M662" s="380"/>
      <c r="N662" s="380"/>
      <c r="O662" s="404"/>
      <c r="P662" s="380"/>
      <c r="Q662" s="380"/>
      <c r="R662" s="380"/>
      <c r="S662" s="380"/>
      <c r="T662" s="380"/>
      <c r="U662" s="380"/>
      <c r="V662" s="380"/>
      <c r="W662" s="403"/>
      <c r="X662" s="380"/>
      <c r="Y662" s="380"/>
      <c r="Z662" s="380"/>
      <c r="AA662" s="380"/>
      <c r="AB662" s="380"/>
      <c r="AC662" s="404"/>
      <c r="AD662" s="380"/>
      <c r="AE662" s="380"/>
      <c r="AF662" s="380"/>
      <c r="AG662" s="380"/>
      <c r="AH662" s="380"/>
      <c r="AI662" s="380"/>
      <c r="AJ662" s="380"/>
      <c r="AK662" s="403"/>
      <c r="AL662" s="380"/>
      <c r="AM662" s="380"/>
      <c r="AN662" s="380"/>
      <c r="AO662" s="380"/>
      <c r="AP662" s="380"/>
      <c r="AQ662" s="404"/>
      <c r="AR662" s="380"/>
      <c r="AS662" s="380"/>
      <c r="AT662" s="380"/>
      <c r="AU662" s="380"/>
      <c r="AV662" s="380"/>
      <c r="AW662" s="380"/>
      <c r="AX662" s="380"/>
      <c r="AY662" s="403"/>
      <c r="AZ662" s="380"/>
      <c r="BA662" s="380"/>
      <c r="BB662" s="380"/>
      <c r="BC662" s="380"/>
      <c r="BD662" s="380"/>
      <c r="BE662" s="404"/>
      <c r="BF662" s="380"/>
      <c r="BG662" s="380"/>
      <c r="BH662" s="380"/>
      <c r="BI662" s="380"/>
      <c r="BJ662" s="380"/>
      <c r="BK662" s="380"/>
      <c r="BL662" s="380"/>
      <c r="BM662" s="403"/>
      <c r="BS662" s="83"/>
      <c r="CA662" s="405"/>
      <c r="CG662" s="83"/>
      <c r="CO662" s="405"/>
      <c r="CU662" s="83"/>
      <c r="DC662" s="405"/>
      <c r="DI662" s="83"/>
      <c r="DQ662" s="405"/>
      <c r="DW662" s="83"/>
      <c r="EE662" s="405"/>
      <c r="EK662" s="83"/>
      <c r="ES662" s="405"/>
      <c r="EY662" s="83"/>
      <c r="FG662" s="405"/>
      <c r="FM662" s="83"/>
      <c r="FU662" s="405"/>
      <c r="GA662" s="83"/>
      <c r="GI662" s="405"/>
      <c r="GO662" s="83"/>
      <c r="GW662" s="405"/>
      <c r="HC662" s="83"/>
      <c r="HK662" s="405"/>
      <c r="HQ662" s="83"/>
      <c r="HY662" s="405"/>
      <c r="IE662" s="83"/>
      <c r="IM662" s="405"/>
      <c r="IS662" s="83"/>
      <c r="JA662" s="405"/>
      <c r="JG662" s="83"/>
      <c r="JO662" s="405"/>
      <c r="JU662" s="83"/>
      <c r="KC662" s="405"/>
      <c r="KI662" s="83"/>
      <c r="KQ662" s="405"/>
      <c r="KW662" s="83"/>
      <c r="LE662" s="405"/>
      <c r="LK662" s="83"/>
      <c r="LS662" s="405"/>
      <c r="LY662" s="83"/>
      <c r="MG662" s="405"/>
      <c r="MM662" s="83"/>
      <c r="MU662" s="405"/>
      <c r="NA662" s="83"/>
    </row>
    <row r="663">
      <c r="A663" s="380"/>
      <c r="B663" s="380"/>
      <c r="C663" s="380"/>
      <c r="D663" s="380"/>
      <c r="E663" s="380"/>
      <c r="F663" s="380"/>
      <c r="G663" s="380"/>
      <c r="H663" s="380"/>
      <c r="I663" s="403"/>
      <c r="J663" s="380"/>
      <c r="K663" s="380"/>
      <c r="L663" s="380"/>
      <c r="M663" s="380"/>
      <c r="N663" s="380"/>
      <c r="O663" s="404"/>
      <c r="P663" s="380"/>
      <c r="Q663" s="380"/>
      <c r="R663" s="380"/>
      <c r="S663" s="380"/>
      <c r="T663" s="380"/>
      <c r="U663" s="380"/>
      <c r="V663" s="380"/>
      <c r="W663" s="403"/>
      <c r="X663" s="380"/>
      <c r="Y663" s="380"/>
      <c r="Z663" s="380"/>
      <c r="AA663" s="380"/>
      <c r="AB663" s="380"/>
      <c r="AC663" s="404"/>
      <c r="AD663" s="380"/>
      <c r="AE663" s="380"/>
      <c r="AF663" s="380"/>
      <c r="AG663" s="380"/>
      <c r="AH663" s="380"/>
      <c r="AI663" s="380"/>
      <c r="AJ663" s="380"/>
      <c r="AK663" s="403"/>
      <c r="AL663" s="380"/>
      <c r="AM663" s="380"/>
      <c r="AN663" s="380"/>
      <c r="AO663" s="380"/>
      <c r="AP663" s="380"/>
      <c r="AQ663" s="404"/>
      <c r="AR663" s="380"/>
      <c r="AS663" s="380"/>
      <c r="AT663" s="380"/>
      <c r="AU663" s="380"/>
      <c r="AV663" s="380"/>
      <c r="AW663" s="380"/>
      <c r="AX663" s="380"/>
      <c r="AY663" s="403"/>
      <c r="AZ663" s="380"/>
      <c r="BA663" s="380"/>
      <c r="BB663" s="380"/>
      <c r="BC663" s="380"/>
      <c r="BD663" s="380"/>
      <c r="BE663" s="404"/>
      <c r="BF663" s="380"/>
      <c r="BG663" s="380"/>
      <c r="BH663" s="380"/>
      <c r="BI663" s="380"/>
      <c r="BJ663" s="380"/>
      <c r="BK663" s="380"/>
      <c r="BL663" s="380"/>
      <c r="BM663" s="403"/>
      <c r="BS663" s="83"/>
      <c r="CA663" s="405"/>
      <c r="CG663" s="83"/>
      <c r="CO663" s="405"/>
      <c r="CU663" s="83"/>
      <c r="DC663" s="405"/>
      <c r="DI663" s="83"/>
      <c r="DQ663" s="405"/>
      <c r="DW663" s="83"/>
      <c r="EE663" s="405"/>
      <c r="EK663" s="83"/>
      <c r="ES663" s="405"/>
      <c r="EY663" s="83"/>
      <c r="FG663" s="405"/>
      <c r="FM663" s="83"/>
      <c r="FU663" s="405"/>
      <c r="GA663" s="83"/>
      <c r="GI663" s="405"/>
      <c r="GO663" s="83"/>
      <c r="GW663" s="405"/>
      <c r="HC663" s="83"/>
      <c r="HK663" s="405"/>
      <c r="HQ663" s="83"/>
      <c r="HY663" s="405"/>
      <c r="IE663" s="83"/>
      <c r="IM663" s="405"/>
      <c r="IS663" s="83"/>
      <c r="JA663" s="405"/>
      <c r="JG663" s="83"/>
      <c r="JO663" s="405"/>
      <c r="JU663" s="83"/>
      <c r="KC663" s="405"/>
      <c r="KI663" s="83"/>
      <c r="KQ663" s="405"/>
      <c r="KW663" s="83"/>
      <c r="LE663" s="405"/>
      <c r="LK663" s="83"/>
      <c r="LS663" s="405"/>
      <c r="LY663" s="83"/>
      <c r="MG663" s="405"/>
      <c r="MM663" s="83"/>
      <c r="MU663" s="405"/>
      <c r="NA663" s="83"/>
    </row>
    <row r="664">
      <c r="A664" s="380"/>
      <c r="B664" s="380"/>
      <c r="C664" s="380"/>
      <c r="D664" s="380"/>
      <c r="E664" s="380"/>
      <c r="F664" s="380"/>
      <c r="G664" s="380"/>
      <c r="H664" s="380"/>
      <c r="I664" s="403"/>
      <c r="J664" s="380"/>
      <c r="K664" s="380"/>
      <c r="L664" s="380"/>
      <c r="M664" s="380"/>
      <c r="N664" s="380"/>
      <c r="O664" s="404"/>
      <c r="P664" s="380"/>
      <c r="Q664" s="380"/>
      <c r="R664" s="380"/>
      <c r="S664" s="380"/>
      <c r="T664" s="380"/>
      <c r="U664" s="380"/>
      <c r="V664" s="380"/>
      <c r="W664" s="403"/>
      <c r="X664" s="380"/>
      <c r="Y664" s="380"/>
      <c r="Z664" s="380"/>
      <c r="AA664" s="380"/>
      <c r="AB664" s="380"/>
      <c r="AC664" s="404"/>
      <c r="AD664" s="380"/>
      <c r="AE664" s="380"/>
      <c r="AF664" s="380"/>
      <c r="AG664" s="380"/>
      <c r="AH664" s="380"/>
      <c r="AI664" s="380"/>
      <c r="AJ664" s="380"/>
      <c r="AK664" s="403"/>
      <c r="AL664" s="380"/>
      <c r="AM664" s="380"/>
      <c r="AN664" s="380"/>
      <c r="AO664" s="380"/>
      <c r="AP664" s="380"/>
      <c r="AQ664" s="404"/>
      <c r="AR664" s="380"/>
      <c r="AS664" s="380"/>
      <c r="AT664" s="380"/>
      <c r="AU664" s="380"/>
      <c r="AV664" s="380"/>
      <c r="AW664" s="380"/>
      <c r="AX664" s="380"/>
      <c r="AY664" s="403"/>
      <c r="AZ664" s="380"/>
      <c r="BA664" s="380"/>
      <c r="BB664" s="380"/>
      <c r="BC664" s="380"/>
      <c r="BD664" s="380"/>
      <c r="BE664" s="404"/>
      <c r="BF664" s="380"/>
      <c r="BG664" s="380"/>
      <c r="BH664" s="380"/>
      <c r="BI664" s="380"/>
      <c r="BJ664" s="380"/>
      <c r="BK664" s="380"/>
      <c r="BL664" s="380"/>
      <c r="BM664" s="403"/>
      <c r="BS664" s="83"/>
      <c r="CA664" s="405"/>
      <c r="CG664" s="83"/>
      <c r="CO664" s="405"/>
      <c r="CU664" s="83"/>
      <c r="DC664" s="405"/>
      <c r="DI664" s="83"/>
      <c r="DQ664" s="405"/>
      <c r="DW664" s="83"/>
      <c r="EE664" s="405"/>
      <c r="EK664" s="83"/>
      <c r="ES664" s="405"/>
      <c r="EY664" s="83"/>
      <c r="FG664" s="405"/>
      <c r="FM664" s="83"/>
      <c r="FU664" s="405"/>
      <c r="GA664" s="83"/>
      <c r="GI664" s="405"/>
      <c r="GO664" s="83"/>
      <c r="GW664" s="405"/>
      <c r="HC664" s="83"/>
      <c r="HK664" s="405"/>
      <c r="HQ664" s="83"/>
      <c r="HY664" s="405"/>
      <c r="IE664" s="83"/>
      <c r="IM664" s="405"/>
      <c r="IS664" s="83"/>
      <c r="JA664" s="405"/>
      <c r="JG664" s="83"/>
      <c r="JO664" s="405"/>
      <c r="JU664" s="83"/>
      <c r="KC664" s="405"/>
      <c r="KI664" s="83"/>
      <c r="KQ664" s="405"/>
      <c r="KW664" s="83"/>
      <c r="LE664" s="405"/>
      <c r="LK664" s="83"/>
      <c r="LS664" s="405"/>
      <c r="LY664" s="83"/>
      <c r="MG664" s="405"/>
      <c r="MM664" s="83"/>
      <c r="MU664" s="405"/>
      <c r="NA664" s="83"/>
    </row>
    <row r="665">
      <c r="A665" s="380"/>
      <c r="B665" s="380"/>
      <c r="C665" s="380"/>
      <c r="D665" s="380"/>
      <c r="E665" s="380"/>
      <c r="F665" s="380"/>
      <c r="G665" s="380"/>
      <c r="H665" s="380"/>
      <c r="I665" s="403"/>
      <c r="J665" s="380"/>
      <c r="K665" s="380"/>
      <c r="L665" s="380"/>
      <c r="M665" s="380"/>
      <c r="N665" s="380"/>
      <c r="O665" s="404"/>
      <c r="P665" s="380"/>
      <c r="Q665" s="380"/>
      <c r="R665" s="380"/>
      <c r="S665" s="380"/>
      <c r="T665" s="380"/>
      <c r="U665" s="380"/>
      <c r="V665" s="380"/>
      <c r="W665" s="403"/>
      <c r="X665" s="380"/>
      <c r="Y665" s="380"/>
      <c r="Z665" s="380"/>
      <c r="AA665" s="380"/>
      <c r="AB665" s="380"/>
      <c r="AC665" s="404"/>
      <c r="AD665" s="380"/>
      <c r="AE665" s="380"/>
      <c r="AF665" s="380"/>
      <c r="AG665" s="380"/>
      <c r="AH665" s="380"/>
      <c r="AI665" s="380"/>
      <c r="AJ665" s="380"/>
      <c r="AK665" s="403"/>
      <c r="AL665" s="380"/>
      <c r="AM665" s="380"/>
      <c r="AN665" s="380"/>
      <c r="AO665" s="380"/>
      <c r="AP665" s="380"/>
      <c r="AQ665" s="404"/>
      <c r="AR665" s="380"/>
      <c r="AS665" s="380"/>
      <c r="AT665" s="380"/>
      <c r="AU665" s="380"/>
      <c r="AV665" s="380"/>
      <c r="AW665" s="380"/>
      <c r="AX665" s="380"/>
      <c r="AY665" s="403"/>
      <c r="AZ665" s="380"/>
      <c r="BA665" s="380"/>
      <c r="BB665" s="380"/>
      <c r="BC665" s="380"/>
      <c r="BD665" s="380"/>
      <c r="BE665" s="404"/>
      <c r="BF665" s="380"/>
      <c r="BG665" s="380"/>
      <c r="BH665" s="380"/>
      <c r="BI665" s="380"/>
      <c r="BJ665" s="380"/>
      <c r="BK665" s="380"/>
      <c r="BL665" s="380"/>
      <c r="BM665" s="403"/>
      <c r="BS665" s="83"/>
      <c r="CA665" s="405"/>
      <c r="CG665" s="83"/>
      <c r="CO665" s="405"/>
      <c r="CU665" s="83"/>
      <c r="DC665" s="405"/>
      <c r="DI665" s="83"/>
      <c r="DQ665" s="405"/>
      <c r="DW665" s="83"/>
      <c r="EE665" s="405"/>
      <c r="EK665" s="83"/>
      <c r="ES665" s="405"/>
      <c r="EY665" s="83"/>
      <c r="FG665" s="405"/>
      <c r="FM665" s="83"/>
      <c r="FU665" s="405"/>
      <c r="GA665" s="83"/>
      <c r="GI665" s="405"/>
      <c r="GO665" s="83"/>
      <c r="GW665" s="405"/>
      <c r="HC665" s="83"/>
      <c r="HK665" s="405"/>
      <c r="HQ665" s="83"/>
      <c r="HY665" s="405"/>
      <c r="IE665" s="83"/>
      <c r="IM665" s="405"/>
      <c r="IS665" s="83"/>
      <c r="JA665" s="405"/>
      <c r="JG665" s="83"/>
      <c r="JO665" s="405"/>
      <c r="JU665" s="83"/>
      <c r="KC665" s="405"/>
      <c r="KI665" s="83"/>
      <c r="KQ665" s="405"/>
      <c r="KW665" s="83"/>
      <c r="LE665" s="405"/>
      <c r="LK665" s="83"/>
      <c r="LS665" s="405"/>
      <c r="LY665" s="83"/>
      <c r="MG665" s="405"/>
      <c r="MM665" s="83"/>
      <c r="MU665" s="405"/>
      <c r="NA665" s="83"/>
    </row>
    <row r="666">
      <c r="A666" s="380"/>
      <c r="B666" s="380"/>
      <c r="C666" s="380"/>
      <c r="D666" s="380"/>
      <c r="E666" s="380"/>
      <c r="F666" s="380"/>
      <c r="G666" s="380"/>
      <c r="H666" s="380"/>
      <c r="I666" s="403"/>
      <c r="J666" s="380"/>
      <c r="K666" s="380"/>
      <c r="L666" s="380"/>
      <c r="M666" s="380"/>
      <c r="N666" s="380"/>
      <c r="O666" s="404"/>
      <c r="P666" s="380"/>
      <c r="Q666" s="380"/>
      <c r="R666" s="380"/>
      <c r="S666" s="380"/>
      <c r="T666" s="380"/>
      <c r="U666" s="380"/>
      <c r="V666" s="380"/>
      <c r="W666" s="403"/>
      <c r="X666" s="380"/>
      <c r="Y666" s="380"/>
      <c r="Z666" s="380"/>
      <c r="AA666" s="380"/>
      <c r="AB666" s="380"/>
      <c r="AC666" s="404"/>
      <c r="AD666" s="380"/>
      <c r="AE666" s="380"/>
      <c r="AF666" s="380"/>
      <c r="AG666" s="380"/>
      <c r="AH666" s="380"/>
      <c r="AI666" s="380"/>
      <c r="AJ666" s="380"/>
      <c r="AK666" s="403"/>
      <c r="AL666" s="380"/>
      <c r="AM666" s="380"/>
      <c r="AN666" s="380"/>
      <c r="AO666" s="380"/>
      <c r="AP666" s="380"/>
      <c r="AQ666" s="404"/>
      <c r="AR666" s="380"/>
      <c r="AS666" s="380"/>
      <c r="AT666" s="380"/>
      <c r="AU666" s="380"/>
      <c r="AV666" s="380"/>
      <c r="AW666" s="380"/>
      <c r="AX666" s="380"/>
      <c r="AY666" s="403"/>
      <c r="AZ666" s="380"/>
      <c r="BA666" s="380"/>
      <c r="BB666" s="380"/>
      <c r="BC666" s="380"/>
      <c r="BD666" s="380"/>
      <c r="BE666" s="404"/>
      <c r="BF666" s="380"/>
      <c r="BG666" s="380"/>
      <c r="BH666" s="380"/>
      <c r="BI666" s="380"/>
      <c r="BJ666" s="380"/>
      <c r="BK666" s="380"/>
      <c r="BL666" s="380"/>
      <c r="BM666" s="403"/>
      <c r="BS666" s="83"/>
      <c r="CA666" s="405"/>
      <c r="CG666" s="83"/>
      <c r="CO666" s="405"/>
      <c r="CU666" s="83"/>
      <c r="DC666" s="405"/>
      <c r="DI666" s="83"/>
      <c r="DQ666" s="405"/>
      <c r="DW666" s="83"/>
      <c r="EE666" s="405"/>
      <c r="EK666" s="83"/>
      <c r="ES666" s="405"/>
      <c r="EY666" s="83"/>
      <c r="FG666" s="405"/>
      <c r="FM666" s="83"/>
      <c r="FU666" s="405"/>
      <c r="GA666" s="83"/>
      <c r="GI666" s="405"/>
      <c r="GO666" s="83"/>
      <c r="GW666" s="405"/>
      <c r="HC666" s="83"/>
      <c r="HK666" s="405"/>
      <c r="HQ666" s="83"/>
      <c r="HY666" s="405"/>
      <c r="IE666" s="83"/>
      <c r="IM666" s="405"/>
      <c r="IS666" s="83"/>
      <c r="JA666" s="405"/>
      <c r="JG666" s="83"/>
      <c r="JO666" s="405"/>
      <c r="JU666" s="83"/>
      <c r="KC666" s="405"/>
      <c r="KI666" s="83"/>
      <c r="KQ666" s="405"/>
      <c r="KW666" s="83"/>
      <c r="LE666" s="405"/>
      <c r="LK666" s="83"/>
      <c r="LS666" s="405"/>
      <c r="LY666" s="83"/>
      <c r="MG666" s="405"/>
      <c r="MM666" s="83"/>
      <c r="MU666" s="405"/>
      <c r="NA666" s="83"/>
    </row>
    <row r="667">
      <c r="A667" s="380"/>
      <c r="B667" s="380"/>
      <c r="C667" s="380"/>
      <c r="D667" s="380"/>
      <c r="E667" s="380"/>
      <c r="F667" s="380"/>
      <c r="G667" s="380"/>
      <c r="H667" s="380"/>
      <c r="I667" s="403"/>
      <c r="J667" s="380"/>
      <c r="K667" s="380"/>
      <c r="L667" s="380"/>
      <c r="M667" s="380"/>
      <c r="N667" s="380"/>
      <c r="O667" s="404"/>
      <c r="P667" s="380"/>
      <c r="Q667" s="380"/>
      <c r="R667" s="380"/>
      <c r="S667" s="380"/>
      <c r="T667" s="380"/>
      <c r="U667" s="380"/>
      <c r="V667" s="380"/>
      <c r="W667" s="403"/>
      <c r="X667" s="380"/>
      <c r="Y667" s="380"/>
      <c r="Z667" s="380"/>
      <c r="AA667" s="380"/>
      <c r="AB667" s="380"/>
      <c r="AC667" s="404"/>
      <c r="AD667" s="380"/>
      <c r="AE667" s="380"/>
      <c r="AF667" s="380"/>
      <c r="AG667" s="380"/>
      <c r="AH667" s="380"/>
      <c r="AI667" s="380"/>
      <c r="AJ667" s="380"/>
      <c r="AK667" s="403"/>
      <c r="AL667" s="380"/>
      <c r="AM667" s="380"/>
      <c r="AN667" s="380"/>
      <c r="AO667" s="380"/>
      <c r="AP667" s="380"/>
      <c r="AQ667" s="404"/>
      <c r="AR667" s="380"/>
      <c r="AS667" s="380"/>
      <c r="AT667" s="380"/>
      <c r="AU667" s="380"/>
      <c r="AV667" s="380"/>
      <c r="AW667" s="380"/>
      <c r="AX667" s="380"/>
      <c r="AY667" s="403"/>
      <c r="AZ667" s="380"/>
      <c r="BA667" s="380"/>
      <c r="BB667" s="380"/>
      <c r="BC667" s="380"/>
      <c r="BD667" s="380"/>
      <c r="BE667" s="404"/>
      <c r="BF667" s="380"/>
      <c r="BG667" s="380"/>
      <c r="BH667" s="380"/>
      <c r="BI667" s="380"/>
      <c r="BJ667" s="380"/>
      <c r="BK667" s="380"/>
      <c r="BL667" s="380"/>
      <c r="BM667" s="403"/>
      <c r="BS667" s="83"/>
      <c r="CA667" s="405"/>
      <c r="CG667" s="83"/>
      <c r="CO667" s="405"/>
      <c r="CU667" s="83"/>
      <c r="DC667" s="405"/>
      <c r="DI667" s="83"/>
      <c r="DQ667" s="405"/>
      <c r="DW667" s="83"/>
      <c r="EE667" s="405"/>
      <c r="EK667" s="83"/>
      <c r="ES667" s="405"/>
      <c r="EY667" s="83"/>
      <c r="FG667" s="405"/>
      <c r="FM667" s="83"/>
      <c r="FU667" s="405"/>
      <c r="GA667" s="83"/>
      <c r="GI667" s="405"/>
      <c r="GO667" s="83"/>
      <c r="GW667" s="405"/>
      <c r="HC667" s="83"/>
      <c r="HK667" s="405"/>
      <c r="HQ667" s="83"/>
      <c r="HY667" s="405"/>
      <c r="IE667" s="83"/>
      <c r="IM667" s="405"/>
      <c r="IS667" s="83"/>
      <c r="JA667" s="405"/>
      <c r="JG667" s="83"/>
      <c r="JO667" s="405"/>
      <c r="JU667" s="83"/>
      <c r="KC667" s="405"/>
      <c r="KI667" s="83"/>
      <c r="KQ667" s="405"/>
      <c r="KW667" s="83"/>
      <c r="LE667" s="405"/>
      <c r="LK667" s="83"/>
      <c r="LS667" s="405"/>
      <c r="LY667" s="83"/>
      <c r="MG667" s="405"/>
      <c r="MM667" s="83"/>
      <c r="MU667" s="405"/>
      <c r="NA667" s="83"/>
    </row>
    <row r="668">
      <c r="A668" s="380"/>
      <c r="B668" s="380"/>
      <c r="C668" s="380"/>
      <c r="D668" s="380"/>
      <c r="E668" s="380"/>
      <c r="F668" s="380"/>
      <c r="G668" s="380"/>
      <c r="H668" s="380"/>
      <c r="I668" s="403"/>
      <c r="J668" s="380"/>
      <c r="K668" s="380"/>
      <c r="L668" s="380"/>
      <c r="M668" s="380"/>
      <c r="N668" s="380"/>
      <c r="O668" s="404"/>
      <c r="P668" s="380"/>
      <c r="Q668" s="380"/>
      <c r="R668" s="380"/>
      <c r="S668" s="380"/>
      <c r="T668" s="380"/>
      <c r="U668" s="380"/>
      <c r="V668" s="380"/>
      <c r="W668" s="403"/>
      <c r="X668" s="380"/>
      <c r="Y668" s="380"/>
      <c r="Z668" s="380"/>
      <c r="AA668" s="380"/>
      <c r="AB668" s="380"/>
      <c r="AC668" s="404"/>
      <c r="AD668" s="380"/>
      <c r="AE668" s="380"/>
      <c r="AF668" s="380"/>
      <c r="AG668" s="380"/>
      <c r="AH668" s="380"/>
      <c r="AI668" s="380"/>
      <c r="AJ668" s="380"/>
      <c r="AK668" s="403"/>
      <c r="AL668" s="380"/>
      <c r="AM668" s="380"/>
      <c r="AN668" s="380"/>
      <c r="AO668" s="380"/>
      <c r="AP668" s="380"/>
      <c r="AQ668" s="404"/>
      <c r="AR668" s="380"/>
      <c r="AS668" s="380"/>
      <c r="AT668" s="380"/>
      <c r="AU668" s="380"/>
      <c r="AV668" s="380"/>
      <c r="AW668" s="380"/>
      <c r="AX668" s="380"/>
      <c r="AY668" s="403"/>
      <c r="AZ668" s="380"/>
      <c r="BA668" s="380"/>
      <c r="BB668" s="380"/>
      <c r="BC668" s="380"/>
      <c r="BD668" s="380"/>
      <c r="BE668" s="404"/>
      <c r="BF668" s="380"/>
      <c r="BG668" s="380"/>
      <c r="BH668" s="380"/>
      <c r="BI668" s="380"/>
      <c r="BJ668" s="380"/>
      <c r="BK668" s="380"/>
      <c r="BL668" s="380"/>
      <c r="BM668" s="403"/>
      <c r="BS668" s="83"/>
      <c r="CA668" s="405"/>
      <c r="CG668" s="83"/>
      <c r="CO668" s="405"/>
      <c r="CU668" s="83"/>
      <c r="DC668" s="405"/>
      <c r="DI668" s="83"/>
      <c r="DQ668" s="405"/>
      <c r="DW668" s="83"/>
      <c r="EE668" s="405"/>
      <c r="EK668" s="83"/>
      <c r="ES668" s="405"/>
      <c r="EY668" s="83"/>
      <c r="FG668" s="405"/>
      <c r="FM668" s="83"/>
      <c r="FU668" s="405"/>
      <c r="GA668" s="83"/>
      <c r="GI668" s="405"/>
      <c r="GO668" s="83"/>
      <c r="GW668" s="405"/>
      <c r="HC668" s="83"/>
      <c r="HK668" s="405"/>
      <c r="HQ668" s="83"/>
      <c r="HY668" s="405"/>
      <c r="IE668" s="83"/>
      <c r="IM668" s="405"/>
      <c r="IS668" s="83"/>
      <c r="JA668" s="405"/>
      <c r="JG668" s="83"/>
      <c r="JO668" s="405"/>
      <c r="JU668" s="83"/>
      <c r="KC668" s="405"/>
      <c r="KI668" s="83"/>
      <c r="KQ668" s="405"/>
      <c r="KW668" s="83"/>
      <c r="LE668" s="405"/>
      <c r="LK668" s="83"/>
      <c r="LS668" s="405"/>
      <c r="LY668" s="83"/>
      <c r="MG668" s="405"/>
      <c r="MM668" s="83"/>
      <c r="MU668" s="405"/>
      <c r="NA668" s="83"/>
    </row>
    <row r="669">
      <c r="A669" s="380"/>
      <c r="B669" s="380"/>
      <c r="C669" s="380"/>
      <c r="D669" s="380"/>
      <c r="E669" s="380"/>
      <c r="F669" s="380"/>
      <c r="G669" s="380"/>
      <c r="H669" s="380"/>
      <c r="I669" s="403"/>
      <c r="J669" s="380"/>
      <c r="K669" s="380"/>
      <c r="L669" s="380"/>
      <c r="M669" s="380"/>
      <c r="N669" s="380"/>
      <c r="O669" s="404"/>
      <c r="P669" s="380"/>
      <c r="Q669" s="380"/>
      <c r="R669" s="380"/>
      <c r="S669" s="380"/>
      <c r="T669" s="380"/>
      <c r="U669" s="380"/>
      <c r="V669" s="380"/>
      <c r="W669" s="403"/>
      <c r="X669" s="380"/>
      <c r="Y669" s="380"/>
      <c r="Z669" s="380"/>
      <c r="AA669" s="380"/>
      <c r="AB669" s="380"/>
      <c r="AC669" s="404"/>
      <c r="AD669" s="380"/>
      <c r="AE669" s="380"/>
      <c r="AF669" s="380"/>
      <c r="AG669" s="380"/>
      <c r="AH669" s="380"/>
      <c r="AI669" s="380"/>
      <c r="AJ669" s="380"/>
      <c r="AK669" s="403"/>
      <c r="AL669" s="380"/>
      <c r="AM669" s="380"/>
      <c r="AN669" s="380"/>
      <c r="AO669" s="380"/>
      <c r="AP669" s="380"/>
      <c r="AQ669" s="404"/>
      <c r="AR669" s="380"/>
      <c r="AS669" s="380"/>
      <c r="AT669" s="380"/>
      <c r="AU669" s="380"/>
      <c r="AV669" s="380"/>
      <c r="AW669" s="380"/>
      <c r="AX669" s="380"/>
      <c r="AY669" s="403"/>
      <c r="AZ669" s="380"/>
      <c r="BA669" s="380"/>
      <c r="BB669" s="380"/>
      <c r="BC669" s="380"/>
      <c r="BD669" s="380"/>
      <c r="BE669" s="404"/>
      <c r="BF669" s="380"/>
      <c r="BG669" s="380"/>
      <c r="BH669" s="380"/>
      <c r="BI669" s="380"/>
      <c r="BJ669" s="380"/>
      <c r="BK669" s="380"/>
      <c r="BL669" s="380"/>
      <c r="BM669" s="403"/>
      <c r="BS669" s="83"/>
      <c r="CA669" s="405"/>
      <c r="CG669" s="83"/>
      <c r="CO669" s="405"/>
      <c r="CU669" s="83"/>
      <c r="DC669" s="405"/>
      <c r="DI669" s="83"/>
      <c r="DQ669" s="405"/>
      <c r="DW669" s="83"/>
      <c r="EE669" s="405"/>
      <c r="EK669" s="83"/>
      <c r="ES669" s="405"/>
      <c r="EY669" s="83"/>
      <c r="FG669" s="405"/>
      <c r="FM669" s="83"/>
      <c r="FU669" s="405"/>
      <c r="GA669" s="83"/>
      <c r="GI669" s="405"/>
      <c r="GO669" s="83"/>
      <c r="GW669" s="405"/>
      <c r="HC669" s="83"/>
      <c r="HK669" s="405"/>
      <c r="HQ669" s="83"/>
      <c r="HY669" s="405"/>
      <c r="IE669" s="83"/>
      <c r="IM669" s="405"/>
      <c r="IS669" s="83"/>
      <c r="JA669" s="405"/>
      <c r="JG669" s="83"/>
      <c r="JO669" s="405"/>
      <c r="JU669" s="83"/>
      <c r="KC669" s="405"/>
      <c r="KI669" s="83"/>
      <c r="KQ669" s="405"/>
      <c r="KW669" s="83"/>
      <c r="LE669" s="405"/>
      <c r="LK669" s="83"/>
      <c r="LS669" s="405"/>
      <c r="LY669" s="83"/>
      <c r="MG669" s="405"/>
      <c r="MM669" s="83"/>
      <c r="MU669" s="405"/>
      <c r="NA669" s="83"/>
    </row>
    <row r="670">
      <c r="A670" s="380"/>
      <c r="B670" s="380"/>
      <c r="C670" s="380"/>
      <c r="D670" s="380"/>
      <c r="E670" s="380"/>
      <c r="F670" s="380"/>
      <c r="G670" s="380"/>
      <c r="H670" s="380"/>
      <c r="I670" s="403"/>
      <c r="J670" s="380"/>
      <c r="K670" s="380"/>
      <c r="L670" s="380"/>
      <c r="M670" s="380"/>
      <c r="N670" s="380"/>
      <c r="O670" s="404"/>
      <c r="P670" s="380"/>
      <c r="Q670" s="380"/>
      <c r="R670" s="380"/>
      <c r="S670" s="380"/>
      <c r="T670" s="380"/>
      <c r="U670" s="380"/>
      <c r="V670" s="380"/>
      <c r="W670" s="403"/>
      <c r="X670" s="380"/>
      <c r="Y670" s="380"/>
      <c r="Z670" s="380"/>
      <c r="AA670" s="380"/>
      <c r="AB670" s="380"/>
      <c r="AC670" s="404"/>
      <c r="AD670" s="380"/>
      <c r="AE670" s="380"/>
      <c r="AF670" s="380"/>
      <c r="AG670" s="380"/>
      <c r="AH670" s="380"/>
      <c r="AI670" s="380"/>
      <c r="AJ670" s="380"/>
      <c r="AK670" s="403"/>
      <c r="AL670" s="380"/>
      <c r="AM670" s="380"/>
      <c r="AN670" s="380"/>
      <c r="AO670" s="380"/>
      <c r="AP670" s="380"/>
      <c r="AQ670" s="404"/>
      <c r="AR670" s="380"/>
      <c r="AS670" s="380"/>
      <c r="AT670" s="380"/>
      <c r="AU670" s="380"/>
      <c r="AV670" s="380"/>
      <c r="AW670" s="380"/>
      <c r="AX670" s="380"/>
      <c r="AY670" s="403"/>
      <c r="AZ670" s="380"/>
      <c r="BA670" s="380"/>
      <c r="BB670" s="380"/>
      <c r="BC670" s="380"/>
      <c r="BD670" s="380"/>
      <c r="BE670" s="404"/>
      <c r="BF670" s="380"/>
      <c r="BG670" s="380"/>
      <c r="BH670" s="380"/>
      <c r="BI670" s="380"/>
      <c r="BJ670" s="380"/>
      <c r="BK670" s="380"/>
      <c r="BL670" s="380"/>
      <c r="BM670" s="403"/>
      <c r="BS670" s="83"/>
      <c r="CA670" s="405"/>
      <c r="CG670" s="83"/>
      <c r="CO670" s="405"/>
      <c r="CU670" s="83"/>
      <c r="DC670" s="405"/>
      <c r="DI670" s="83"/>
      <c r="DQ670" s="405"/>
      <c r="DW670" s="83"/>
      <c r="EE670" s="405"/>
      <c r="EK670" s="83"/>
      <c r="ES670" s="405"/>
      <c r="EY670" s="83"/>
      <c r="FG670" s="405"/>
      <c r="FM670" s="83"/>
      <c r="FU670" s="405"/>
      <c r="GA670" s="83"/>
      <c r="GI670" s="405"/>
      <c r="GO670" s="83"/>
      <c r="GW670" s="405"/>
      <c r="HC670" s="83"/>
      <c r="HK670" s="405"/>
      <c r="HQ670" s="83"/>
      <c r="HY670" s="405"/>
      <c r="IE670" s="83"/>
      <c r="IM670" s="405"/>
      <c r="IS670" s="83"/>
      <c r="JA670" s="405"/>
      <c r="JG670" s="83"/>
      <c r="JO670" s="405"/>
      <c r="JU670" s="83"/>
      <c r="KC670" s="405"/>
      <c r="KI670" s="83"/>
      <c r="KQ670" s="405"/>
      <c r="KW670" s="83"/>
      <c r="LE670" s="405"/>
      <c r="LK670" s="83"/>
      <c r="LS670" s="405"/>
      <c r="LY670" s="83"/>
      <c r="MG670" s="405"/>
      <c r="MM670" s="83"/>
      <c r="MU670" s="405"/>
      <c r="NA670" s="83"/>
    </row>
    <row r="671">
      <c r="A671" s="380"/>
      <c r="B671" s="380"/>
      <c r="C671" s="380"/>
      <c r="D671" s="380"/>
      <c r="E671" s="380"/>
      <c r="F671" s="380"/>
      <c r="G671" s="380"/>
      <c r="H671" s="380"/>
      <c r="I671" s="403"/>
      <c r="J671" s="380"/>
      <c r="K671" s="380"/>
      <c r="L671" s="380"/>
      <c r="M671" s="380"/>
      <c r="N671" s="380"/>
      <c r="O671" s="404"/>
      <c r="P671" s="380"/>
      <c r="Q671" s="380"/>
      <c r="R671" s="380"/>
      <c r="S671" s="380"/>
      <c r="T671" s="380"/>
      <c r="U671" s="380"/>
      <c r="V671" s="380"/>
      <c r="W671" s="403"/>
      <c r="X671" s="380"/>
      <c r="Y671" s="380"/>
      <c r="Z671" s="380"/>
      <c r="AA671" s="380"/>
      <c r="AB671" s="380"/>
      <c r="AC671" s="404"/>
      <c r="AD671" s="380"/>
      <c r="AE671" s="380"/>
      <c r="AF671" s="380"/>
      <c r="AG671" s="380"/>
      <c r="AH671" s="380"/>
      <c r="AI671" s="380"/>
      <c r="AJ671" s="380"/>
      <c r="AK671" s="403"/>
      <c r="AL671" s="380"/>
      <c r="AM671" s="380"/>
      <c r="AN671" s="380"/>
      <c r="AO671" s="380"/>
      <c r="AP671" s="380"/>
      <c r="AQ671" s="404"/>
      <c r="AR671" s="380"/>
      <c r="AS671" s="380"/>
      <c r="AT671" s="380"/>
      <c r="AU671" s="380"/>
      <c r="AV671" s="380"/>
      <c r="AW671" s="380"/>
      <c r="AX671" s="380"/>
      <c r="AY671" s="403"/>
      <c r="AZ671" s="380"/>
      <c r="BA671" s="380"/>
      <c r="BB671" s="380"/>
      <c r="BC671" s="380"/>
      <c r="BD671" s="380"/>
      <c r="BE671" s="404"/>
      <c r="BF671" s="380"/>
      <c r="BG671" s="380"/>
      <c r="BH671" s="380"/>
      <c r="BI671" s="380"/>
      <c r="BJ671" s="380"/>
      <c r="BK671" s="380"/>
      <c r="BL671" s="380"/>
      <c r="BM671" s="403"/>
      <c r="BS671" s="83"/>
      <c r="CA671" s="405"/>
      <c r="CG671" s="83"/>
      <c r="CO671" s="405"/>
      <c r="CU671" s="83"/>
      <c r="DC671" s="405"/>
      <c r="DI671" s="83"/>
      <c r="DQ671" s="405"/>
      <c r="DW671" s="83"/>
      <c r="EE671" s="405"/>
      <c r="EK671" s="83"/>
      <c r="ES671" s="405"/>
      <c r="EY671" s="83"/>
      <c r="FG671" s="405"/>
      <c r="FM671" s="83"/>
      <c r="FU671" s="405"/>
      <c r="GA671" s="83"/>
      <c r="GI671" s="405"/>
      <c r="GO671" s="83"/>
      <c r="GW671" s="405"/>
      <c r="HC671" s="83"/>
      <c r="HK671" s="405"/>
      <c r="HQ671" s="83"/>
      <c r="HY671" s="405"/>
      <c r="IE671" s="83"/>
      <c r="IM671" s="405"/>
      <c r="IS671" s="83"/>
      <c r="JA671" s="405"/>
      <c r="JG671" s="83"/>
      <c r="JO671" s="405"/>
      <c r="JU671" s="83"/>
      <c r="KC671" s="405"/>
      <c r="KI671" s="83"/>
      <c r="KQ671" s="405"/>
      <c r="KW671" s="83"/>
      <c r="LE671" s="405"/>
      <c r="LK671" s="83"/>
      <c r="LS671" s="405"/>
      <c r="LY671" s="83"/>
      <c r="MG671" s="405"/>
      <c r="MM671" s="83"/>
      <c r="MU671" s="405"/>
      <c r="NA671" s="83"/>
    </row>
    <row r="672">
      <c r="A672" s="380"/>
      <c r="B672" s="380"/>
      <c r="C672" s="380"/>
      <c r="D672" s="380"/>
      <c r="E672" s="380"/>
      <c r="F672" s="380"/>
      <c r="G672" s="380"/>
      <c r="H672" s="380"/>
      <c r="I672" s="403"/>
      <c r="J672" s="380"/>
      <c r="K672" s="380"/>
      <c r="L672" s="380"/>
      <c r="M672" s="380"/>
      <c r="N672" s="380"/>
      <c r="O672" s="404"/>
      <c r="P672" s="380"/>
      <c r="Q672" s="380"/>
      <c r="R672" s="380"/>
      <c r="S672" s="380"/>
      <c r="T672" s="380"/>
      <c r="U672" s="380"/>
      <c r="V672" s="380"/>
      <c r="W672" s="403"/>
      <c r="X672" s="380"/>
      <c r="Y672" s="380"/>
      <c r="Z672" s="380"/>
      <c r="AA672" s="380"/>
      <c r="AB672" s="380"/>
      <c r="AC672" s="404"/>
      <c r="AD672" s="380"/>
      <c r="AE672" s="380"/>
      <c r="AF672" s="380"/>
      <c r="AG672" s="380"/>
      <c r="AH672" s="380"/>
      <c r="AI672" s="380"/>
      <c r="AJ672" s="380"/>
      <c r="AK672" s="403"/>
      <c r="AL672" s="380"/>
      <c r="AM672" s="380"/>
      <c r="AN672" s="380"/>
      <c r="AO672" s="380"/>
      <c r="AP672" s="380"/>
      <c r="AQ672" s="404"/>
      <c r="AR672" s="380"/>
      <c r="AS672" s="380"/>
      <c r="AT672" s="380"/>
      <c r="AU672" s="380"/>
      <c r="AV672" s="380"/>
      <c r="AW672" s="380"/>
      <c r="AX672" s="380"/>
      <c r="AY672" s="403"/>
      <c r="AZ672" s="380"/>
      <c r="BA672" s="380"/>
      <c r="BB672" s="380"/>
      <c r="BC672" s="380"/>
      <c r="BD672" s="380"/>
      <c r="BE672" s="404"/>
      <c r="BF672" s="380"/>
      <c r="BG672" s="380"/>
      <c r="BH672" s="380"/>
      <c r="BI672" s="380"/>
      <c r="BJ672" s="380"/>
      <c r="BK672" s="380"/>
      <c r="BL672" s="380"/>
      <c r="BM672" s="403"/>
      <c r="BS672" s="83"/>
      <c r="CA672" s="405"/>
      <c r="CG672" s="83"/>
      <c r="CO672" s="405"/>
      <c r="CU672" s="83"/>
      <c r="DC672" s="405"/>
      <c r="DI672" s="83"/>
      <c r="DQ672" s="405"/>
      <c r="DW672" s="83"/>
      <c r="EE672" s="405"/>
      <c r="EK672" s="83"/>
      <c r="ES672" s="405"/>
      <c r="EY672" s="83"/>
      <c r="FG672" s="405"/>
      <c r="FM672" s="83"/>
      <c r="FU672" s="405"/>
      <c r="GA672" s="83"/>
      <c r="GI672" s="405"/>
      <c r="GO672" s="83"/>
      <c r="GW672" s="405"/>
      <c r="HC672" s="83"/>
      <c r="HK672" s="405"/>
      <c r="HQ672" s="83"/>
      <c r="HY672" s="405"/>
      <c r="IE672" s="83"/>
      <c r="IM672" s="405"/>
      <c r="IS672" s="83"/>
      <c r="JA672" s="405"/>
      <c r="JG672" s="83"/>
      <c r="JO672" s="405"/>
      <c r="JU672" s="83"/>
      <c r="KC672" s="405"/>
      <c r="KI672" s="83"/>
      <c r="KQ672" s="405"/>
      <c r="KW672" s="83"/>
      <c r="LE672" s="405"/>
      <c r="LK672" s="83"/>
      <c r="LS672" s="405"/>
      <c r="LY672" s="83"/>
      <c r="MG672" s="405"/>
      <c r="MM672" s="83"/>
      <c r="MU672" s="405"/>
      <c r="NA672" s="83"/>
    </row>
    <row r="673">
      <c r="A673" s="380"/>
      <c r="B673" s="380"/>
      <c r="C673" s="380"/>
      <c r="D673" s="380"/>
      <c r="E673" s="380"/>
      <c r="F673" s="380"/>
      <c r="G673" s="380"/>
      <c r="H673" s="380"/>
      <c r="I673" s="403"/>
      <c r="J673" s="380"/>
      <c r="K673" s="380"/>
      <c r="L673" s="380"/>
      <c r="M673" s="380"/>
      <c r="N673" s="380"/>
      <c r="O673" s="404"/>
      <c r="P673" s="380"/>
      <c r="Q673" s="380"/>
      <c r="R673" s="380"/>
      <c r="S673" s="380"/>
      <c r="T673" s="380"/>
      <c r="U673" s="380"/>
      <c r="V673" s="380"/>
      <c r="W673" s="403"/>
      <c r="X673" s="380"/>
      <c r="Y673" s="380"/>
      <c r="Z673" s="380"/>
      <c r="AA673" s="380"/>
      <c r="AB673" s="380"/>
      <c r="AC673" s="404"/>
      <c r="AD673" s="380"/>
      <c r="AE673" s="380"/>
      <c r="AF673" s="380"/>
      <c r="AG673" s="380"/>
      <c r="AH673" s="380"/>
      <c r="AI673" s="380"/>
      <c r="AJ673" s="380"/>
      <c r="AK673" s="403"/>
      <c r="AL673" s="380"/>
      <c r="AM673" s="380"/>
      <c r="AN673" s="380"/>
      <c r="AO673" s="380"/>
      <c r="AP673" s="380"/>
      <c r="AQ673" s="404"/>
      <c r="AR673" s="380"/>
      <c r="AS673" s="380"/>
      <c r="AT673" s="380"/>
      <c r="AU673" s="380"/>
      <c r="AV673" s="380"/>
      <c r="AW673" s="380"/>
      <c r="AX673" s="380"/>
      <c r="AY673" s="403"/>
      <c r="AZ673" s="380"/>
      <c r="BA673" s="380"/>
      <c r="BB673" s="380"/>
      <c r="BC673" s="380"/>
      <c r="BD673" s="380"/>
      <c r="BE673" s="404"/>
      <c r="BF673" s="380"/>
      <c r="BG673" s="380"/>
      <c r="BH673" s="380"/>
      <c r="BI673" s="380"/>
      <c r="BJ673" s="380"/>
      <c r="BK673" s="380"/>
      <c r="BL673" s="380"/>
      <c r="BM673" s="403"/>
      <c r="BS673" s="83"/>
      <c r="CA673" s="405"/>
      <c r="CG673" s="83"/>
      <c r="CO673" s="405"/>
      <c r="CU673" s="83"/>
      <c r="DC673" s="405"/>
      <c r="DI673" s="83"/>
      <c r="DQ673" s="405"/>
      <c r="DW673" s="83"/>
      <c r="EE673" s="405"/>
      <c r="EK673" s="83"/>
      <c r="ES673" s="405"/>
      <c r="EY673" s="83"/>
      <c r="FG673" s="405"/>
      <c r="FM673" s="83"/>
      <c r="FU673" s="405"/>
      <c r="GA673" s="83"/>
      <c r="GI673" s="405"/>
      <c r="GO673" s="83"/>
      <c r="GW673" s="405"/>
      <c r="HC673" s="83"/>
      <c r="HK673" s="405"/>
      <c r="HQ673" s="83"/>
      <c r="HY673" s="405"/>
      <c r="IE673" s="83"/>
      <c r="IM673" s="405"/>
      <c r="IS673" s="83"/>
      <c r="JA673" s="405"/>
      <c r="JG673" s="83"/>
      <c r="JO673" s="405"/>
      <c r="JU673" s="83"/>
      <c r="KC673" s="405"/>
      <c r="KI673" s="83"/>
      <c r="KQ673" s="405"/>
      <c r="KW673" s="83"/>
      <c r="LE673" s="405"/>
      <c r="LK673" s="83"/>
      <c r="LS673" s="405"/>
      <c r="LY673" s="83"/>
      <c r="MG673" s="405"/>
      <c r="MM673" s="83"/>
      <c r="MU673" s="405"/>
      <c r="NA673" s="83"/>
    </row>
    <row r="674">
      <c r="A674" s="380"/>
      <c r="B674" s="380"/>
      <c r="C674" s="380"/>
      <c r="D674" s="380"/>
      <c r="E674" s="380"/>
      <c r="F674" s="380"/>
      <c r="G674" s="380"/>
      <c r="H674" s="380"/>
      <c r="I674" s="403"/>
      <c r="J674" s="380"/>
      <c r="K674" s="380"/>
      <c r="L674" s="380"/>
      <c r="M674" s="380"/>
      <c r="N674" s="380"/>
      <c r="O674" s="404"/>
      <c r="P674" s="380"/>
      <c r="Q674" s="380"/>
      <c r="R674" s="380"/>
      <c r="S674" s="380"/>
      <c r="T674" s="380"/>
      <c r="U674" s="380"/>
      <c r="V674" s="380"/>
      <c r="W674" s="403"/>
      <c r="X674" s="380"/>
      <c r="Y674" s="380"/>
      <c r="Z674" s="380"/>
      <c r="AA674" s="380"/>
      <c r="AB674" s="380"/>
      <c r="AC674" s="404"/>
      <c r="AD674" s="380"/>
      <c r="AE674" s="380"/>
      <c r="AF674" s="380"/>
      <c r="AG674" s="380"/>
      <c r="AH674" s="380"/>
      <c r="AI674" s="380"/>
      <c r="AJ674" s="380"/>
      <c r="AK674" s="403"/>
      <c r="AL674" s="380"/>
      <c r="AM674" s="380"/>
      <c r="AN674" s="380"/>
      <c r="AO674" s="380"/>
      <c r="AP674" s="380"/>
      <c r="AQ674" s="404"/>
      <c r="AR674" s="380"/>
      <c r="AS674" s="380"/>
      <c r="AT674" s="380"/>
      <c r="AU674" s="380"/>
      <c r="AV674" s="380"/>
      <c r="AW674" s="380"/>
      <c r="AX674" s="380"/>
      <c r="AY674" s="403"/>
      <c r="AZ674" s="380"/>
      <c r="BA674" s="380"/>
      <c r="BB674" s="380"/>
      <c r="BC674" s="380"/>
      <c r="BD674" s="380"/>
      <c r="BE674" s="404"/>
      <c r="BF674" s="380"/>
      <c r="BG674" s="380"/>
      <c r="BH674" s="380"/>
      <c r="BI674" s="380"/>
      <c r="BJ674" s="380"/>
      <c r="BK674" s="380"/>
      <c r="BL674" s="380"/>
      <c r="BM674" s="403"/>
      <c r="BS674" s="83"/>
      <c r="CA674" s="405"/>
      <c r="CG674" s="83"/>
      <c r="CO674" s="405"/>
      <c r="CU674" s="83"/>
      <c r="DC674" s="405"/>
      <c r="DI674" s="83"/>
      <c r="DQ674" s="405"/>
      <c r="DW674" s="83"/>
      <c r="EE674" s="405"/>
      <c r="EK674" s="83"/>
      <c r="ES674" s="405"/>
      <c r="EY674" s="83"/>
      <c r="FG674" s="405"/>
      <c r="FM674" s="83"/>
      <c r="FU674" s="405"/>
      <c r="GA674" s="83"/>
      <c r="GI674" s="405"/>
      <c r="GO674" s="83"/>
      <c r="GW674" s="405"/>
      <c r="HC674" s="83"/>
      <c r="HK674" s="405"/>
      <c r="HQ674" s="83"/>
      <c r="HY674" s="405"/>
      <c r="IE674" s="83"/>
      <c r="IM674" s="405"/>
      <c r="IS674" s="83"/>
      <c r="JA674" s="405"/>
      <c r="JG674" s="83"/>
      <c r="JO674" s="405"/>
      <c r="JU674" s="83"/>
      <c r="KC674" s="405"/>
      <c r="KI674" s="83"/>
      <c r="KQ674" s="405"/>
      <c r="KW674" s="83"/>
      <c r="LE674" s="405"/>
      <c r="LK674" s="83"/>
      <c r="LS674" s="405"/>
      <c r="LY674" s="83"/>
      <c r="MG674" s="405"/>
      <c r="MM674" s="83"/>
      <c r="MU674" s="405"/>
      <c r="NA674" s="83"/>
    </row>
    <row r="675">
      <c r="A675" s="380"/>
      <c r="B675" s="380"/>
      <c r="C675" s="380"/>
      <c r="D675" s="380"/>
      <c r="E675" s="380"/>
      <c r="F675" s="380"/>
      <c r="G675" s="380"/>
      <c r="H675" s="380"/>
      <c r="I675" s="403"/>
      <c r="J675" s="380"/>
      <c r="K675" s="380"/>
      <c r="L675" s="380"/>
      <c r="M675" s="380"/>
      <c r="N675" s="380"/>
      <c r="O675" s="404"/>
      <c r="P675" s="380"/>
      <c r="Q675" s="380"/>
      <c r="R675" s="380"/>
      <c r="S675" s="380"/>
      <c r="T675" s="380"/>
      <c r="U675" s="380"/>
      <c r="V675" s="380"/>
      <c r="W675" s="403"/>
      <c r="X675" s="380"/>
      <c r="Y675" s="380"/>
      <c r="Z675" s="380"/>
      <c r="AA675" s="380"/>
      <c r="AB675" s="380"/>
      <c r="AC675" s="404"/>
      <c r="AD675" s="380"/>
      <c r="AE675" s="380"/>
      <c r="AF675" s="380"/>
      <c r="AG675" s="380"/>
      <c r="AH675" s="380"/>
      <c r="AI675" s="380"/>
      <c r="AJ675" s="380"/>
      <c r="AK675" s="403"/>
      <c r="AL675" s="380"/>
      <c r="AM675" s="380"/>
      <c r="AN675" s="380"/>
      <c r="AO675" s="380"/>
      <c r="AP675" s="380"/>
      <c r="AQ675" s="404"/>
      <c r="AR675" s="380"/>
      <c r="AS675" s="380"/>
      <c r="AT675" s="380"/>
      <c r="AU675" s="380"/>
      <c r="AV675" s="380"/>
      <c r="AW675" s="380"/>
      <c r="AX675" s="380"/>
      <c r="AY675" s="403"/>
      <c r="AZ675" s="380"/>
      <c r="BA675" s="380"/>
      <c r="BB675" s="380"/>
      <c r="BC675" s="380"/>
      <c r="BD675" s="380"/>
      <c r="BE675" s="404"/>
      <c r="BF675" s="380"/>
      <c r="BG675" s="380"/>
      <c r="BH675" s="380"/>
      <c r="BI675" s="380"/>
      <c r="BJ675" s="380"/>
      <c r="BK675" s="380"/>
      <c r="BL675" s="380"/>
      <c r="BM675" s="403"/>
      <c r="BS675" s="83"/>
      <c r="CA675" s="405"/>
      <c r="CG675" s="83"/>
      <c r="CO675" s="405"/>
      <c r="CU675" s="83"/>
      <c r="DC675" s="405"/>
      <c r="DI675" s="83"/>
      <c r="DQ675" s="405"/>
      <c r="DW675" s="83"/>
      <c r="EE675" s="405"/>
      <c r="EK675" s="83"/>
      <c r="ES675" s="405"/>
      <c r="EY675" s="83"/>
      <c r="FG675" s="405"/>
      <c r="FM675" s="83"/>
      <c r="FU675" s="405"/>
      <c r="GA675" s="83"/>
      <c r="GI675" s="405"/>
      <c r="GO675" s="83"/>
      <c r="GW675" s="405"/>
      <c r="HC675" s="83"/>
      <c r="HK675" s="405"/>
      <c r="HQ675" s="83"/>
      <c r="HY675" s="405"/>
      <c r="IE675" s="83"/>
      <c r="IM675" s="405"/>
      <c r="IS675" s="83"/>
      <c r="JA675" s="405"/>
      <c r="JG675" s="83"/>
      <c r="JO675" s="405"/>
      <c r="JU675" s="83"/>
      <c r="KC675" s="405"/>
      <c r="KI675" s="83"/>
      <c r="KQ675" s="405"/>
      <c r="KW675" s="83"/>
      <c r="LE675" s="405"/>
      <c r="LK675" s="83"/>
      <c r="LS675" s="405"/>
      <c r="LY675" s="83"/>
      <c r="MG675" s="405"/>
      <c r="MM675" s="83"/>
      <c r="MU675" s="405"/>
      <c r="NA675" s="83"/>
    </row>
    <row r="676">
      <c r="A676" s="380"/>
      <c r="B676" s="380"/>
      <c r="C676" s="380"/>
      <c r="D676" s="380"/>
      <c r="E676" s="380"/>
      <c r="F676" s="380"/>
      <c r="G676" s="380"/>
      <c r="H676" s="380"/>
      <c r="I676" s="403"/>
      <c r="J676" s="380"/>
      <c r="K676" s="380"/>
      <c r="L676" s="380"/>
      <c r="M676" s="380"/>
      <c r="N676" s="380"/>
      <c r="O676" s="404"/>
      <c r="P676" s="380"/>
      <c r="Q676" s="380"/>
      <c r="R676" s="380"/>
      <c r="S676" s="380"/>
      <c r="T676" s="380"/>
      <c r="U676" s="380"/>
      <c r="V676" s="380"/>
      <c r="W676" s="403"/>
      <c r="X676" s="380"/>
      <c r="Y676" s="380"/>
      <c r="Z676" s="380"/>
      <c r="AA676" s="380"/>
      <c r="AB676" s="380"/>
      <c r="AC676" s="404"/>
      <c r="AD676" s="380"/>
      <c r="AE676" s="380"/>
      <c r="AF676" s="380"/>
      <c r="AG676" s="380"/>
      <c r="AH676" s="380"/>
      <c r="AI676" s="380"/>
      <c r="AJ676" s="380"/>
      <c r="AK676" s="403"/>
      <c r="AL676" s="380"/>
      <c r="AM676" s="380"/>
      <c r="AN676" s="380"/>
      <c r="AO676" s="380"/>
      <c r="AP676" s="380"/>
      <c r="AQ676" s="404"/>
      <c r="AR676" s="380"/>
      <c r="AS676" s="380"/>
      <c r="AT676" s="380"/>
      <c r="AU676" s="380"/>
      <c r="AV676" s="380"/>
      <c r="AW676" s="380"/>
      <c r="AX676" s="380"/>
      <c r="AY676" s="403"/>
      <c r="AZ676" s="380"/>
      <c r="BA676" s="380"/>
      <c r="BB676" s="380"/>
      <c r="BC676" s="380"/>
      <c r="BD676" s="380"/>
      <c r="BE676" s="404"/>
      <c r="BF676" s="380"/>
      <c r="BG676" s="380"/>
      <c r="BH676" s="380"/>
      <c r="BI676" s="380"/>
      <c r="BJ676" s="380"/>
      <c r="BK676" s="380"/>
      <c r="BL676" s="380"/>
      <c r="BM676" s="403"/>
      <c r="BS676" s="83"/>
      <c r="CA676" s="405"/>
      <c r="CG676" s="83"/>
      <c r="CO676" s="405"/>
      <c r="CU676" s="83"/>
      <c r="DC676" s="405"/>
      <c r="DI676" s="83"/>
      <c r="DQ676" s="405"/>
      <c r="DW676" s="83"/>
      <c r="EE676" s="405"/>
      <c r="EK676" s="83"/>
      <c r="ES676" s="405"/>
      <c r="EY676" s="83"/>
      <c r="FG676" s="405"/>
      <c r="FM676" s="83"/>
      <c r="FU676" s="405"/>
      <c r="GA676" s="83"/>
      <c r="GI676" s="405"/>
      <c r="GO676" s="83"/>
      <c r="GW676" s="405"/>
      <c r="HC676" s="83"/>
      <c r="HK676" s="405"/>
      <c r="HQ676" s="83"/>
      <c r="HY676" s="405"/>
      <c r="IE676" s="83"/>
      <c r="IM676" s="405"/>
      <c r="IS676" s="83"/>
      <c r="JA676" s="405"/>
      <c r="JG676" s="83"/>
      <c r="JO676" s="405"/>
      <c r="JU676" s="83"/>
      <c r="KC676" s="405"/>
      <c r="KI676" s="83"/>
      <c r="KQ676" s="405"/>
      <c r="KW676" s="83"/>
      <c r="LE676" s="405"/>
      <c r="LK676" s="83"/>
      <c r="LS676" s="405"/>
      <c r="LY676" s="83"/>
      <c r="MG676" s="405"/>
      <c r="MM676" s="83"/>
      <c r="MU676" s="405"/>
      <c r="NA676" s="83"/>
    </row>
    <row r="677">
      <c r="A677" s="380"/>
      <c r="B677" s="380"/>
      <c r="C677" s="380"/>
      <c r="D677" s="380"/>
      <c r="E677" s="380"/>
      <c r="F677" s="380"/>
      <c r="G677" s="380"/>
      <c r="H677" s="380"/>
      <c r="I677" s="403"/>
      <c r="J677" s="380"/>
      <c r="K677" s="380"/>
      <c r="L677" s="380"/>
      <c r="M677" s="380"/>
      <c r="N677" s="380"/>
      <c r="O677" s="404"/>
      <c r="P677" s="380"/>
      <c r="Q677" s="380"/>
      <c r="R677" s="380"/>
      <c r="S677" s="380"/>
      <c r="T677" s="380"/>
      <c r="U677" s="380"/>
      <c r="V677" s="380"/>
      <c r="W677" s="403"/>
      <c r="X677" s="380"/>
      <c r="Y677" s="380"/>
      <c r="Z677" s="380"/>
      <c r="AA677" s="380"/>
      <c r="AB677" s="380"/>
      <c r="AC677" s="404"/>
      <c r="AD677" s="380"/>
      <c r="AE677" s="380"/>
      <c r="AF677" s="380"/>
      <c r="AG677" s="380"/>
      <c r="AH677" s="380"/>
      <c r="AI677" s="380"/>
      <c r="AJ677" s="380"/>
      <c r="AK677" s="403"/>
      <c r="AL677" s="380"/>
      <c r="AM677" s="380"/>
      <c r="AN677" s="380"/>
      <c r="AO677" s="380"/>
      <c r="AP677" s="380"/>
      <c r="AQ677" s="404"/>
      <c r="AR677" s="380"/>
      <c r="AS677" s="380"/>
      <c r="AT677" s="380"/>
      <c r="AU677" s="380"/>
      <c r="AV677" s="380"/>
      <c r="AW677" s="380"/>
      <c r="AX677" s="380"/>
      <c r="AY677" s="403"/>
      <c r="AZ677" s="380"/>
      <c r="BA677" s="380"/>
      <c r="BB677" s="380"/>
      <c r="BC677" s="380"/>
      <c r="BD677" s="380"/>
      <c r="BE677" s="404"/>
      <c r="BF677" s="380"/>
      <c r="BG677" s="380"/>
      <c r="BH677" s="380"/>
      <c r="BI677" s="380"/>
      <c r="BJ677" s="380"/>
      <c r="BK677" s="380"/>
      <c r="BL677" s="380"/>
      <c r="BM677" s="403"/>
      <c r="BS677" s="83"/>
      <c r="CA677" s="405"/>
      <c r="CG677" s="83"/>
      <c r="CO677" s="405"/>
      <c r="CU677" s="83"/>
      <c r="DC677" s="405"/>
      <c r="DI677" s="83"/>
      <c r="DQ677" s="405"/>
      <c r="DW677" s="83"/>
      <c r="EE677" s="405"/>
      <c r="EK677" s="83"/>
      <c r="ES677" s="405"/>
      <c r="EY677" s="83"/>
      <c r="FG677" s="405"/>
      <c r="FM677" s="83"/>
      <c r="FU677" s="405"/>
      <c r="GA677" s="83"/>
      <c r="GI677" s="405"/>
      <c r="GO677" s="83"/>
      <c r="GW677" s="405"/>
      <c r="HC677" s="83"/>
      <c r="HK677" s="405"/>
      <c r="HQ677" s="83"/>
      <c r="HY677" s="405"/>
      <c r="IE677" s="83"/>
      <c r="IM677" s="405"/>
      <c r="IS677" s="83"/>
      <c r="JA677" s="405"/>
      <c r="JG677" s="83"/>
      <c r="JO677" s="405"/>
      <c r="JU677" s="83"/>
      <c r="KC677" s="405"/>
      <c r="KI677" s="83"/>
      <c r="KQ677" s="405"/>
      <c r="KW677" s="83"/>
      <c r="LE677" s="405"/>
      <c r="LK677" s="83"/>
      <c r="LS677" s="405"/>
      <c r="LY677" s="83"/>
      <c r="MG677" s="405"/>
      <c r="MM677" s="83"/>
      <c r="MU677" s="405"/>
      <c r="NA677" s="83"/>
    </row>
    <row r="678">
      <c r="A678" s="380"/>
      <c r="B678" s="380"/>
      <c r="C678" s="380"/>
      <c r="D678" s="380"/>
      <c r="E678" s="380"/>
      <c r="F678" s="380"/>
      <c r="G678" s="380"/>
      <c r="H678" s="380"/>
      <c r="I678" s="403"/>
      <c r="J678" s="380"/>
      <c r="K678" s="380"/>
      <c r="L678" s="380"/>
      <c r="M678" s="380"/>
      <c r="N678" s="380"/>
      <c r="O678" s="404"/>
      <c r="P678" s="380"/>
      <c r="Q678" s="380"/>
      <c r="R678" s="380"/>
      <c r="S678" s="380"/>
      <c r="T678" s="380"/>
      <c r="U678" s="380"/>
      <c r="V678" s="380"/>
      <c r="W678" s="403"/>
      <c r="X678" s="380"/>
      <c r="Y678" s="380"/>
      <c r="Z678" s="380"/>
      <c r="AA678" s="380"/>
      <c r="AB678" s="380"/>
      <c r="AC678" s="404"/>
      <c r="AD678" s="380"/>
      <c r="AE678" s="380"/>
      <c r="AF678" s="380"/>
      <c r="AG678" s="380"/>
      <c r="AH678" s="380"/>
      <c r="AI678" s="380"/>
      <c r="AJ678" s="380"/>
      <c r="AK678" s="403"/>
      <c r="AL678" s="380"/>
      <c r="AM678" s="380"/>
      <c r="AN678" s="380"/>
      <c r="AO678" s="380"/>
      <c r="AP678" s="380"/>
      <c r="AQ678" s="404"/>
      <c r="AR678" s="380"/>
      <c r="AS678" s="380"/>
      <c r="AT678" s="380"/>
      <c r="AU678" s="380"/>
      <c r="AV678" s="380"/>
      <c r="AW678" s="380"/>
      <c r="AX678" s="380"/>
      <c r="AY678" s="403"/>
      <c r="AZ678" s="380"/>
      <c r="BA678" s="380"/>
      <c r="BB678" s="380"/>
      <c r="BC678" s="380"/>
      <c r="BD678" s="380"/>
      <c r="BE678" s="404"/>
      <c r="BF678" s="380"/>
      <c r="BG678" s="380"/>
      <c r="BH678" s="380"/>
      <c r="BI678" s="380"/>
      <c r="BJ678" s="380"/>
      <c r="BK678" s="380"/>
      <c r="BL678" s="380"/>
      <c r="BM678" s="403"/>
      <c r="BS678" s="83"/>
      <c r="CA678" s="405"/>
      <c r="CG678" s="83"/>
      <c r="CO678" s="405"/>
      <c r="CU678" s="83"/>
      <c r="DC678" s="405"/>
      <c r="DI678" s="83"/>
      <c r="DQ678" s="405"/>
      <c r="DW678" s="83"/>
      <c r="EE678" s="405"/>
      <c r="EK678" s="83"/>
      <c r="ES678" s="405"/>
      <c r="EY678" s="83"/>
      <c r="FG678" s="405"/>
      <c r="FM678" s="83"/>
      <c r="FU678" s="405"/>
      <c r="GA678" s="83"/>
      <c r="GI678" s="405"/>
      <c r="GO678" s="83"/>
      <c r="GW678" s="405"/>
      <c r="HC678" s="83"/>
      <c r="HK678" s="405"/>
      <c r="HQ678" s="83"/>
      <c r="HY678" s="405"/>
      <c r="IE678" s="83"/>
      <c r="IM678" s="405"/>
      <c r="IS678" s="83"/>
      <c r="JA678" s="405"/>
      <c r="JG678" s="83"/>
      <c r="JO678" s="405"/>
      <c r="JU678" s="83"/>
      <c r="KC678" s="405"/>
      <c r="KI678" s="83"/>
      <c r="KQ678" s="405"/>
      <c r="KW678" s="83"/>
      <c r="LE678" s="405"/>
      <c r="LK678" s="83"/>
      <c r="LS678" s="405"/>
      <c r="LY678" s="83"/>
      <c r="MG678" s="405"/>
      <c r="MM678" s="83"/>
      <c r="MU678" s="405"/>
      <c r="NA678" s="83"/>
    </row>
    <row r="679">
      <c r="A679" s="380"/>
      <c r="B679" s="380"/>
      <c r="C679" s="380"/>
      <c r="D679" s="380"/>
      <c r="E679" s="380"/>
      <c r="F679" s="380"/>
      <c r="G679" s="380"/>
      <c r="H679" s="380"/>
      <c r="I679" s="403"/>
      <c r="J679" s="380"/>
      <c r="K679" s="380"/>
      <c r="L679" s="380"/>
      <c r="M679" s="380"/>
      <c r="N679" s="380"/>
      <c r="O679" s="404"/>
      <c r="P679" s="380"/>
      <c r="Q679" s="380"/>
      <c r="R679" s="380"/>
      <c r="S679" s="380"/>
      <c r="T679" s="380"/>
      <c r="U679" s="380"/>
      <c r="V679" s="380"/>
      <c r="W679" s="403"/>
      <c r="X679" s="380"/>
      <c r="Y679" s="380"/>
      <c r="Z679" s="380"/>
      <c r="AA679" s="380"/>
      <c r="AB679" s="380"/>
      <c r="AC679" s="404"/>
      <c r="AD679" s="380"/>
      <c r="AE679" s="380"/>
      <c r="AF679" s="380"/>
      <c r="AG679" s="380"/>
      <c r="AH679" s="380"/>
      <c r="AI679" s="380"/>
      <c r="AJ679" s="380"/>
      <c r="AK679" s="403"/>
      <c r="AL679" s="380"/>
      <c r="AM679" s="380"/>
      <c r="AN679" s="380"/>
      <c r="AO679" s="380"/>
      <c r="AP679" s="380"/>
      <c r="AQ679" s="404"/>
      <c r="AR679" s="380"/>
      <c r="AS679" s="380"/>
      <c r="AT679" s="380"/>
      <c r="AU679" s="380"/>
      <c r="AV679" s="380"/>
      <c r="AW679" s="380"/>
      <c r="AX679" s="380"/>
      <c r="AY679" s="403"/>
      <c r="AZ679" s="380"/>
      <c r="BA679" s="380"/>
      <c r="BB679" s="380"/>
      <c r="BC679" s="380"/>
      <c r="BD679" s="380"/>
      <c r="BE679" s="404"/>
      <c r="BF679" s="380"/>
      <c r="BG679" s="380"/>
      <c r="BH679" s="380"/>
      <c r="BI679" s="380"/>
      <c r="BJ679" s="380"/>
      <c r="BK679" s="380"/>
      <c r="BL679" s="380"/>
      <c r="BM679" s="403"/>
      <c r="BS679" s="83"/>
      <c r="CA679" s="405"/>
      <c r="CG679" s="83"/>
      <c r="CO679" s="405"/>
      <c r="CU679" s="83"/>
      <c r="DC679" s="405"/>
      <c r="DI679" s="83"/>
      <c r="DQ679" s="405"/>
      <c r="DW679" s="83"/>
      <c r="EE679" s="405"/>
      <c r="EK679" s="83"/>
      <c r="ES679" s="405"/>
      <c r="EY679" s="83"/>
      <c r="FG679" s="405"/>
      <c r="FM679" s="83"/>
      <c r="FU679" s="405"/>
      <c r="GA679" s="83"/>
      <c r="GI679" s="405"/>
      <c r="GO679" s="83"/>
      <c r="GW679" s="405"/>
      <c r="HC679" s="83"/>
      <c r="HK679" s="405"/>
      <c r="HQ679" s="83"/>
      <c r="HY679" s="405"/>
      <c r="IE679" s="83"/>
      <c r="IM679" s="405"/>
      <c r="IS679" s="83"/>
      <c r="JA679" s="405"/>
      <c r="JG679" s="83"/>
      <c r="JO679" s="405"/>
      <c r="JU679" s="83"/>
      <c r="KC679" s="405"/>
      <c r="KI679" s="83"/>
      <c r="KQ679" s="405"/>
      <c r="KW679" s="83"/>
      <c r="LE679" s="405"/>
      <c r="LK679" s="83"/>
      <c r="LS679" s="405"/>
      <c r="LY679" s="83"/>
      <c r="MG679" s="405"/>
      <c r="MM679" s="83"/>
      <c r="MU679" s="405"/>
      <c r="NA679" s="83"/>
    </row>
    <row r="680">
      <c r="A680" s="380"/>
      <c r="B680" s="380"/>
      <c r="C680" s="380"/>
      <c r="D680" s="380"/>
      <c r="E680" s="380"/>
      <c r="F680" s="380"/>
      <c r="G680" s="380"/>
      <c r="H680" s="380"/>
      <c r="I680" s="403"/>
      <c r="J680" s="380"/>
      <c r="K680" s="380"/>
      <c r="L680" s="380"/>
      <c r="M680" s="380"/>
      <c r="N680" s="380"/>
      <c r="O680" s="404"/>
      <c r="P680" s="380"/>
      <c r="Q680" s="380"/>
      <c r="R680" s="380"/>
      <c r="S680" s="380"/>
      <c r="T680" s="380"/>
      <c r="U680" s="380"/>
      <c r="V680" s="380"/>
      <c r="W680" s="403"/>
      <c r="X680" s="380"/>
      <c r="Y680" s="380"/>
      <c r="Z680" s="380"/>
      <c r="AA680" s="380"/>
      <c r="AB680" s="380"/>
      <c r="AC680" s="404"/>
      <c r="AD680" s="380"/>
      <c r="AE680" s="380"/>
      <c r="AF680" s="380"/>
      <c r="AG680" s="380"/>
      <c r="AH680" s="380"/>
      <c r="AI680" s="380"/>
      <c r="AJ680" s="380"/>
      <c r="AK680" s="403"/>
      <c r="AL680" s="380"/>
      <c r="AM680" s="380"/>
      <c r="AN680" s="380"/>
      <c r="AO680" s="380"/>
      <c r="AP680" s="380"/>
      <c r="AQ680" s="404"/>
      <c r="AR680" s="380"/>
      <c r="AS680" s="380"/>
      <c r="AT680" s="380"/>
      <c r="AU680" s="380"/>
      <c r="AV680" s="380"/>
      <c r="AW680" s="380"/>
      <c r="AX680" s="380"/>
      <c r="AY680" s="403"/>
      <c r="AZ680" s="380"/>
      <c r="BA680" s="380"/>
      <c r="BB680" s="380"/>
      <c r="BC680" s="380"/>
      <c r="BD680" s="380"/>
      <c r="BE680" s="404"/>
      <c r="BF680" s="380"/>
      <c r="BG680" s="380"/>
      <c r="BH680" s="380"/>
      <c r="BI680" s="380"/>
      <c r="BJ680" s="380"/>
      <c r="BK680" s="380"/>
      <c r="BL680" s="380"/>
      <c r="BM680" s="403"/>
      <c r="BS680" s="83"/>
      <c r="CA680" s="405"/>
      <c r="CG680" s="83"/>
      <c r="CO680" s="405"/>
      <c r="CU680" s="83"/>
      <c r="DC680" s="405"/>
      <c r="DI680" s="83"/>
      <c r="DQ680" s="405"/>
      <c r="DW680" s="83"/>
      <c r="EE680" s="405"/>
      <c r="EK680" s="83"/>
      <c r="ES680" s="405"/>
      <c r="EY680" s="83"/>
      <c r="FG680" s="405"/>
      <c r="FM680" s="83"/>
      <c r="FU680" s="405"/>
      <c r="GA680" s="83"/>
      <c r="GI680" s="405"/>
      <c r="GO680" s="83"/>
      <c r="GW680" s="405"/>
      <c r="HC680" s="83"/>
      <c r="HK680" s="405"/>
      <c r="HQ680" s="83"/>
      <c r="HY680" s="405"/>
      <c r="IE680" s="83"/>
      <c r="IM680" s="405"/>
      <c r="IS680" s="83"/>
      <c r="JA680" s="405"/>
      <c r="JG680" s="83"/>
      <c r="JO680" s="405"/>
      <c r="JU680" s="83"/>
      <c r="KC680" s="405"/>
      <c r="KI680" s="83"/>
      <c r="KQ680" s="405"/>
      <c r="KW680" s="83"/>
      <c r="LE680" s="405"/>
      <c r="LK680" s="83"/>
      <c r="LS680" s="405"/>
      <c r="LY680" s="83"/>
      <c r="MG680" s="405"/>
      <c r="MM680" s="83"/>
      <c r="MU680" s="405"/>
      <c r="NA680" s="83"/>
    </row>
    <row r="681">
      <c r="A681" s="380"/>
      <c r="B681" s="380"/>
      <c r="C681" s="380"/>
      <c r="D681" s="380"/>
      <c r="E681" s="380"/>
      <c r="F681" s="380"/>
      <c r="G681" s="380"/>
      <c r="H681" s="380"/>
      <c r="I681" s="403"/>
      <c r="J681" s="380"/>
      <c r="K681" s="380"/>
      <c r="L681" s="380"/>
      <c r="M681" s="380"/>
      <c r="N681" s="380"/>
      <c r="O681" s="404"/>
      <c r="P681" s="380"/>
      <c r="Q681" s="380"/>
      <c r="R681" s="380"/>
      <c r="S681" s="380"/>
      <c r="T681" s="380"/>
      <c r="U681" s="380"/>
      <c r="V681" s="380"/>
      <c r="W681" s="403"/>
      <c r="X681" s="380"/>
      <c r="Y681" s="380"/>
      <c r="Z681" s="380"/>
      <c r="AA681" s="380"/>
      <c r="AB681" s="380"/>
      <c r="AC681" s="404"/>
      <c r="AD681" s="380"/>
      <c r="AE681" s="380"/>
      <c r="AF681" s="380"/>
      <c r="AG681" s="380"/>
      <c r="AH681" s="380"/>
      <c r="AI681" s="380"/>
      <c r="AJ681" s="380"/>
      <c r="AK681" s="403"/>
      <c r="AL681" s="380"/>
      <c r="AM681" s="380"/>
      <c r="AN681" s="380"/>
      <c r="AO681" s="380"/>
      <c r="AP681" s="380"/>
      <c r="AQ681" s="404"/>
      <c r="AR681" s="380"/>
      <c r="AS681" s="380"/>
      <c r="AT681" s="380"/>
      <c r="AU681" s="380"/>
      <c r="AV681" s="380"/>
      <c r="AW681" s="380"/>
      <c r="AX681" s="380"/>
      <c r="AY681" s="403"/>
      <c r="AZ681" s="380"/>
      <c r="BA681" s="380"/>
      <c r="BB681" s="380"/>
      <c r="BC681" s="380"/>
      <c r="BD681" s="380"/>
      <c r="BE681" s="404"/>
      <c r="BF681" s="380"/>
      <c r="BG681" s="380"/>
      <c r="BH681" s="380"/>
      <c r="BI681" s="380"/>
      <c r="BJ681" s="380"/>
      <c r="BK681" s="380"/>
      <c r="BL681" s="380"/>
      <c r="BM681" s="403"/>
      <c r="BS681" s="83"/>
      <c r="CA681" s="405"/>
      <c r="CG681" s="83"/>
      <c r="CO681" s="405"/>
      <c r="CU681" s="83"/>
      <c r="DC681" s="405"/>
      <c r="DI681" s="83"/>
      <c r="DQ681" s="405"/>
      <c r="DW681" s="83"/>
      <c r="EE681" s="405"/>
      <c r="EK681" s="83"/>
      <c r="ES681" s="405"/>
      <c r="EY681" s="83"/>
      <c r="FG681" s="405"/>
      <c r="FM681" s="83"/>
      <c r="FU681" s="405"/>
      <c r="GA681" s="83"/>
      <c r="GI681" s="405"/>
      <c r="GO681" s="83"/>
      <c r="GW681" s="405"/>
      <c r="HC681" s="83"/>
      <c r="HK681" s="405"/>
      <c r="HQ681" s="83"/>
      <c r="HY681" s="405"/>
      <c r="IE681" s="83"/>
      <c r="IM681" s="405"/>
      <c r="IS681" s="83"/>
      <c r="JA681" s="405"/>
      <c r="JG681" s="83"/>
      <c r="JO681" s="405"/>
      <c r="JU681" s="83"/>
      <c r="KC681" s="405"/>
      <c r="KI681" s="83"/>
      <c r="KQ681" s="405"/>
      <c r="KW681" s="83"/>
      <c r="LE681" s="405"/>
      <c r="LK681" s="83"/>
      <c r="LS681" s="405"/>
      <c r="LY681" s="83"/>
      <c r="MG681" s="405"/>
      <c r="MM681" s="83"/>
      <c r="MU681" s="405"/>
      <c r="NA681" s="83"/>
    </row>
    <row r="682">
      <c r="A682" s="380"/>
      <c r="B682" s="380"/>
      <c r="C682" s="380"/>
      <c r="D682" s="380"/>
      <c r="E682" s="380"/>
      <c r="F682" s="380"/>
      <c r="G682" s="380"/>
      <c r="H682" s="380"/>
      <c r="I682" s="403"/>
      <c r="J682" s="380"/>
      <c r="K682" s="380"/>
      <c r="L682" s="380"/>
      <c r="M682" s="380"/>
      <c r="N682" s="380"/>
      <c r="O682" s="404"/>
      <c r="P682" s="380"/>
      <c r="Q682" s="380"/>
      <c r="R682" s="380"/>
      <c r="S682" s="380"/>
      <c r="T682" s="380"/>
      <c r="U682" s="380"/>
      <c r="V682" s="380"/>
      <c r="W682" s="403"/>
      <c r="X682" s="380"/>
      <c r="Y682" s="380"/>
      <c r="Z682" s="380"/>
      <c r="AA682" s="380"/>
      <c r="AB682" s="380"/>
      <c r="AC682" s="404"/>
      <c r="AD682" s="380"/>
      <c r="AE682" s="380"/>
      <c r="AF682" s="380"/>
      <c r="AG682" s="380"/>
      <c r="AH682" s="380"/>
      <c r="AI682" s="380"/>
      <c r="AJ682" s="380"/>
      <c r="AK682" s="403"/>
      <c r="AL682" s="380"/>
      <c r="AM682" s="380"/>
      <c r="AN682" s="380"/>
      <c r="AO682" s="380"/>
      <c r="AP682" s="380"/>
      <c r="AQ682" s="404"/>
      <c r="AR682" s="380"/>
      <c r="AS682" s="380"/>
      <c r="AT682" s="380"/>
      <c r="AU682" s="380"/>
      <c r="AV682" s="380"/>
      <c r="AW682" s="380"/>
      <c r="AX682" s="380"/>
      <c r="AY682" s="403"/>
      <c r="AZ682" s="380"/>
      <c r="BA682" s="380"/>
      <c r="BB682" s="380"/>
      <c r="BC682" s="380"/>
      <c r="BD682" s="380"/>
      <c r="BE682" s="404"/>
      <c r="BF682" s="380"/>
      <c r="BG682" s="380"/>
      <c r="BH682" s="380"/>
      <c r="BI682" s="380"/>
      <c r="BJ682" s="380"/>
      <c r="BK682" s="380"/>
      <c r="BL682" s="380"/>
      <c r="BM682" s="403"/>
      <c r="BS682" s="83"/>
      <c r="CA682" s="405"/>
      <c r="CG682" s="83"/>
      <c r="CO682" s="405"/>
      <c r="CU682" s="83"/>
      <c r="DC682" s="405"/>
      <c r="DI682" s="83"/>
      <c r="DQ682" s="405"/>
      <c r="DW682" s="83"/>
      <c r="EE682" s="405"/>
      <c r="EK682" s="83"/>
      <c r="ES682" s="405"/>
      <c r="EY682" s="83"/>
      <c r="FG682" s="405"/>
      <c r="FM682" s="83"/>
      <c r="FU682" s="405"/>
      <c r="GA682" s="83"/>
      <c r="GI682" s="405"/>
      <c r="GO682" s="83"/>
      <c r="GW682" s="405"/>
      <c r="HC682" s="83"/>
      <c r="HK682" s="405"/>
      <c r="HQ682" s="83"/>
      <c r="HY682" s="405"/>
      <c r="IE682" s="83"/>
      <c r="IM682" s="405"/>
      <c r="IS682" s="83"/>
      <c r="JA682" s="405"/>
      <c r="JG682" s="83"/>
      <c r="JO682" s="405"/>
      <c r="JU682" s="83"/>
      <c r="KC682" s="405"/>
      <c r="KI682" s="83"/>
      <c r="KQ682" s="405"/>
      <c r="KW682" s="83"/>
      <c r="LE682" s="405"/>
      <c r="LK682" s="83"/>
      <c r="LS682" s="405"/>
      <c r="LY682" s="83"/>
      <c r="MG682" s="405"/>
      <c r="MM682" s="83"/>
      <c r="MU682" s="405"/>
      <c r="NA682" s="83"/>
    </row>
    <row r="683">
      <c r="A683" s="380"/>
      <c r="B683" s="380"/>
      <c r="C683" s="380"/>
      <c r="D683" s="380"/>
      <c r="E683" s="380"/>
      <c r="F683" s="380"/>
      <c r="G683" s="380"/>
      <c r="H683" s="380"/>
      <c r="I683" s="403"/>
      <c r="J683" s="380"/>
      <c r="K683" s="380"/>
      <c r="L683" s="380"/>
      <c r="M683" s="380"/>
      <c r="N683" s="380"/>
      <c r="O683" s="404"/>
      <c r="P683" s="380"/>
      <c r="Q683" s="380"/>
      <c r="R683" s="380"/>
      <c r="S683" s="380"/>
      <c r="T683" s="380"/>
      <c r="U683" s="380"/>
      <c r="V683" s="380"/>
      <c r="W683" s="403"/>
      <c r="X683" s="380"/>
      <c r="Y683" s="380"/>
      <c r="Z683" s="380"/>
      <c r="AA683" s="380"/>
      <c r="AB683" s="380"/>
      <c r="AC683" s="404"/>
      <c r="AD683" s="380"/>
      <c r="AE683" s="380"/>
      <c r="AF683" s="380"/>
      <c r="AG683" s="380"/>
      <c r="AH683" s="380"/>
      <c r="AI683" s="380"/>
      <c r="AJ683" s="380"/>
      <c r="AK683" s="403"/>
      <c r="AL683" s="380"/>
      <c r="AM683" s="380"/>
      <c r="AN683" s="380"/>
      <c r="AO683" s="380"/>
      <c r="AP683" s="380"/>
      <c r="AQ683" s="404"/>
      <c r="AR683" s="380"/>
      <c r="AS683" s="380"/>
      <c r="AT683" s="380"/>
      <c r="AU683" s="380"/>
      <c r="AV683" s="380"/>
      <c r="AW683" s="380"/>
      <c r="AX683" s="380"/>
      <c r="AY683" s="403"/>
      <c r="AZ683" s="380"/>
      <c r="BA683" s="380"/>
      <c r="BB683" s="380"/>
      <c r="BC683" s="380"/>
      <c r="BD683" s="380"/>
      <c r="BE683" s="404"/>
      <c r="BF683" s="380"/>
      <c r="BG683" s="380"/>
      <c r="BH683" s="380"/>
      <c r="BI683" s="380"/>
      <c r="BJ683" s="380"/>
      <c r="BK683" s="380"/>
      <c r="BL683" s="380"/>
      <c r="BM683" s="403"/>
      <c r="BS683" s="83"/>
      <c r="CA683" s="405"/>
      <c r="CG683" s="83"/>
      <c r="CO683" s="405"/>
      <c r="CU683" s="83"/>
      <c r="DC683" s="405"/>
      <c r="DI683" s="83"/>
      <c r="DQ683" s="405"/>
      <c r="DW683" s="83"/>
      <c r="EE683" s="405"/>
      <c r="EK683" s="83"/>
      <c r="ES683" s="405"/>
      <c r="EY683" s="83"/>
      <c r="FG683" s="405"/>
      <c r="FM683" s="83"/>
      <c r="FU683" s="405"/>
      <c r="GA683" s="83"/>
      <c r="GI683" s="405"/>
      <c r="GO683" s="83"/>
      <c r="GW683" s="405"/>
      <c r="HC683" s="83"/>
      <c r="HK683" s="405"/>
      <c r="HQ683" s="83"/>
      <c r="HY683" s="405"/>
      <c r="IE683" s="83"/>
      <c r="IM683" s="405"/>
      <c r="IS683" s="83"/>
      <c r="JA683" s="405"/>
      <c r="JG683" s="83"/>
      <c r="JO683" s="405"/>
      <c r="JU683" s="83"/>
      <c r="KC683" s="405"/>
      <c r="KI683" s="83"/>
      <c r="KQ683" s="405"/>
      <c r="KW683" s="83"/>
      <c r="LE683" s="405"/>
      <c r="LK683" s="83"/>
      <c r="LS683" s="405"/>
      <c r="LY683" s="83"/>
      <c r="MG683" s="405"/>
      <c r="MM683" s="83"/>
      <c r="MU683" s="405"/>
      <c r="NA683" s="83"/>
    </row>
    <row r="684">
      <c r="A684" s="380"/>
      <c r="B684" s="380"/>
      <c r="C684" s="380"/>
      <c r="D684" s="380"/>
      <c r="E684" s="380"/>
      <c r="F684" s="380"/>
      <c r="G684" s="380"/>
      <c r="H684" s="380"/>
      <c r="I684" s="403"/>
      <c r="J684" s="380"/>
      <c r="K684" s="380"/>
      <c r="L684" s="380"/>
      <c r="M684" s="380"/>
      <c r="N684" s="380"/>
      <c r="O684" s="404"/>
      <c r="P684" s="380"/>
      <c r="Q684" s="380"/>
      <c r="R684" s="380"/>
      <c r="S684" s="380"/>
      <c r="T684" s="380"/>
      <c r="U684" s="380"/>
      <c r="V684" s="380"/>
      <c r="W684" s="403"/>
      <c r="X684" s="380"/>
      <c r="Y684" s="380"/>
      <c r="Z684" s="380"/>
      <c r="AA684" s="380"/>
      <c r="AB684" s="380"/>
      <c r="AC684" s="404"/>
      <c r="AD684" s="380"/>
      <c r="AE684" s="380"/>
      <c r="AF684" s="380"/>
      <c r="AG684" s="380"/>
      <c r="AH684" s="380"/>
      <c r="AI684" s="380"/>
      <c r="AJ684" s="380"/>
      <c r="AK684" s="403"/>
      <c r="AL684" s="380"/>
      <c r="AM684" s="380"/>
      <c r="AN684" s="380"/>
      <c r="AO684" s="380"/>
      <c r="AP684" s="380"/>
      <c r="AQ684" s="404"/>
      <c r="AR684" s="380"/>
      <c r="AS684" s="380"/>
      <c r="AT684" s="380"/>
      <c r="AU684" s="380"/>
      <c r="AV684" s="380"/>
      <c r="AW684" s="380"/>
      <c r="AX684" s="380"/>
      <c r="AY684" s="403"/>
      <c r="AZ684" s="380"/>
      <c r="BA684" s="380"/>
      <c r="BB684" s="380"/>
      <c r="BC684" s="380"/>
      <c r="BD684" s="380"/>
      <c r="BE684" s="404"/>
      <c r="BF684" s="380"/>
      <c r="BG684" s="380"/>
      <c r="BH684" s="380"/>
      <c r="BI684" s="380"/>
      <c r="BJ684" s="380"/>
      <c r="BK684" s="380"/>
      <c r="BL684" s="380"/>
      <c r="BM684" s="403"/>
      <c r="BS684" s="83"/>
      <c r="CA684" s="405"/>
      <c r="CG684" s="83"/>
      <c r="CO684" s="405"/>
      <c r="CU684" s="83"/>
      <c r="DC684" s="405"/>
      <c r="DI684" s="83"/>
      <c r="DQ684" s="405"/>
      <c r="DW684" s="83"/>
      <c r="EE684" s="405"/>
      <c r="EK684" s="83"/>
      <c r="ES684" s="405"/>
      <c r="EY684" s="83"/>
      <c r="FG684" s="405"/>
      <c r="FM684" s="83"/>
      <c r="FU684" s="405"/>
      <c r="GA684" s="83"/>
      <c r="GI684" s="405"/>
      <c r="GO684" s="83"/>
      <c r="GW684" s="405"/>
      <c r="HC684" s="83"/>
      <c r="HK684" s="405"/>
      <c r="HQ684" s="83"/>
      <c r="HY684" s="405"/>
      <c r="IE684" s="83"/>
      <c r="IM684" s="405"/>
      <c r="IS684" s="83"/>
      <c r="JA684" s="405"/>
      <c r="JG684" s="83"/>
      <c r="JO684" s="405"/>
      <c r="JU684" s="83"/>
      <c r="KC684" s="405"/>
      <c r="KI684" s="83"/>
      <c r="KQ684" s="405"/>
      <c r="KW684" s="83"/>
      <c r="LE684" s="405"/>
      <c r="LK684" s="83"/>
      <c r="LS684" s="405"/>
      <c r="LY684" s="83"/>
      <c r="MG684" s="405"/>
      <c r="MM684" s="83"/>
      <c r="MU684" s="405"/>
      <c r="NA684" s="83"/>
    </row>
    <row r="685">
      <c r="A685" s="380"/>
      <c r="B685" s="380"/>
      <c r="C685" s="380"/>
      <c r="D685" s="380"/>
      <c r="E685" s="380"/>
      <c r="F685" s="380"/>
      <c r="G685" s="380"/>
      <c r="H685" s="380"/>
      <c r="I685" s="403"/>
      <c r="J685" s="380"/>
      <c r="K685" s="380"/>
      <c r="L685" s="380"/>
      <c r="M685" s="380"/>
      <c r="N685" s="380"/>
      <c r="O685" s="404"/>
      <c r="P685" s="380"/>
      <c r="Q685" s="380"/>
      <c r="R685" s="380"/>
      <c r="S685" s="380"/>
      <c r="T685" s="380"/>
      <c r="U685" s="380"/>
      <c r="V685" s="380"/>
      <c r="W685" s="403"/>
      <c r="X685" s="380"/>
      <c r="Y685" s="380"/>
      <c r="Z685" s="380"/>
      <c r="AA685" s="380"/>
      <c r="AB685" s="380"/>
      <c r="AC685" s="404"/>
      <c r="AD685" s="380"/>
      <c r="AE685" s="380"/>
      <c r="AF685" s="380"/>
      <c r="AG685" s="380"/>
      <c r="AH685" s="380"/>
      <c r="AI685" s="380"/>
      <c r="AJ685" s="380"/>
      <c r="AK685" s="403"/>
      <c r="AL685" s="380"/>
      <c r="AM685" s="380"/>
      <c r="AN685" s="380"/>
      <c r="AO685" s="380"/>
      <c r="AP685" s="380"/>
      <c r="AQ685" s="404"/>
      <c r="AR685" s="380"/>
      <c r="AS685" s="380"/>
      <c r="AT685" s="380"/>
      <c r="AU685" s="380"/>
      <c r="AV685" s="380"/>
      <c r="AW685" s="380"/>
      <c r="AX685" s="380"/>
      <c r="AY685" s="403"/>
      <c r="AZ685" s="380"/>
      <c r="BA685" s="380"/>
      <c r="BB685" s="380"/>
      <c r="BC685" s="380"/>
      <c r="BD685" s="380"/>
      <c r="BE685" s="404"/>
      <c r="BF685" s="380"/>
      <c r="BG685" s="380"/>
      <c r="BH685" s="380"/>
      <c r="BI685" s="380"/>
      <c r="BJ685" s="380"/>
      <c r="BK685" s="380"/>
      <c r="BL685" s="380"/>
      <c r="BM685" s="403"/>
      <c r="BS685" s="83"/>
      <c r="CA685" s="405"/>
      <c r="CG685" s="83"/>
      <c r="CO685" s="405"/>
      <c r="CU685" s="83"/>
      <c r="DC685" s="405"/>
      <c r="DI685" s="83"/>
      <c r="DQ685" s="405"/>
      <c r="DW685" s="83"/>
      <c r="EE685" s="405"/>
      <c r="EK685" s="83"/>
      <c r="ES685" s="405"/>
      <c r="EY685" s="83"/>
      <c r="FG685" s="405"/>
      <c r="FM685" s="83"/>
      <c r="FU685" s="405"/>
      <c r="GA685" s="83"/>
      <c r="GI685" s="405"/>
      <c r="GO685" s="83"/>
      <c r="GW685" s="405"/>
      <c r="HC685" s="83"/>
      <c r="HK685" s="405"/>
      <c r="HQ685" s="83"/>
      <c r="HY685" s="405"/>
      <c r="IE685" s="83"/>
      <c r="IM685" s="405"/>
      <c r="IS685" s="83"/>
      <c r="JA685" s="405"/>
      <c r="JG685" s="83"/>
      <c r="JO685" s="405"/>
      <c r="JU685" s="83"/>
      <c r="KC685" s="405"/>
      <c r="KI685" s="83"/>
      <c r="KQ685" s="405"/>
      <c r="KW685" s="83"/>
      <c r="LE685" s="405"/>
      <c r="LK685" s="83"/>
      <c r="LS685" s="405"/>
      <c r="LY685" s="83"/>
      <c r="MG685" s="405"/>
      <c r="MM685" s="83"/>
      <c r="MU685" s="405"/>
      <c r="NA685" s="83"/>
    </row>
    <row r="686">
      <c r="A686" s="380"/>
      <c r="B686" s="380"/>
      <c r="C686" s="380"/>
      <c r="D686" s="380"/>
      <c r="E686" s="380"/>
      <c r="F686" s="380"/>
      <c r="G686" s="380"/>
      <c r="H686" s="380"/>
      <c r="I686" s="403"/>
      <c r="J686" s="380"/>
      <c r="K686" s="380"/>
      <c r="L686" s="380"/>
      <c r="M686" s="380"/>
      <c r="N686" s="380"/>
      <c r="O686" s="404"/>
      <c r="P686" s="380"/>
      <c r="Q686" s="380"/>
      <c r="R686" s="380"/>
      <c r="S686" s="380"/>
      <c r="T686" s="380"/>
      <c r="U686" s="380"/>
      <c r="V686" s="380"/>
      <c r="W686" s="403"/>
      <c r="X686" s="380"/>
      <c r="Y686" s="380"/>
      <c r="Z686" s="380"/>
      <c r="AA686" s="380"/>
      <c r="AB686" s="380"/>
      <c r="AC686" s="404"/>
      <c r="AD686" s="380"/>
      <c r="AE686" s="380"/>
      <c r="AF686" s="380"/>
      <c r="AG686" s="380"/>
      <c r="AH686" s="380"/>
      <c r="AI686" s="380"/>
      <c r="AJ686" s="380"/>
      <c r="AK686" s="403"/>
      <c r="AL686" s="380"/>
      <c r="AM686" s="380"/>
      <c r="AN686" s="380"/>
      <c r="AO686" s="380"/>
      <c r="AP686" s="380"/>
      <c r="AQ686" s="404"/>
      <c r="AR686" s="380"/>
      <c r="AS686" s="380"/>
      <c r="AT686" s="380"/>
      <c r="AU686" s="380"/>
      <c r="AV686" s="380"/>
      <c r="AW686" s="380"/>
      <c r="AX686" s="380"/>
      <c r="AY686" s="403"/>
      <c r="AZ686" s="380"/>
      <c r="BA686" s="380"/>
      <c r="BB686" s="380"/>
      <c r="BC686" s="380"/>
      <c r="BD686" s="380"/>
      <c r="BE686" s="404"/>
      <c r="BF686" s="380"/>
      <c r="BG686" s="380"/>
      <c r="BH686" s="380"/>
      <c r="BI686" s="380"/>
      <c r="BJ686" s="380"/>
      <c r="BK686" s="380"/>
      <c r="BL686" s="380"/>
      <c r="BM686" s="403"/>
      <c r="BS686" s="83"/>
      <c r="CA686" s="405"/>
      <c r="CG686" s="83"/>
      <c r="CO686" s="405"/>
      <c r="CU686" s="83"/>
      <c r="DC686" s="405"/>
      <c r="DI686" s="83"/>
      <c r="DQ686" s="405"/>
      <c r="DW686" s="83"/>
      <c r="EE686" s="405"/>
      <c r="EK686" s="83"/>
      <c r="ES686" s="405"/>
      <c r="EY686" s="83"/>
      <c r="FG686" s="405"/>
      <c r="FM686" s="83"/>
      <c r="FU686" s="405"/>
      <c r="GA686" s="83"/>
      <c r="GI686" s="405"/>
      <c r="GO686" s="83"/>
      <c r="GW686" s="405"/>
      <c r="HC686" s="83"/>
      <c r="HK686" s="405"/>
      <c r="HQ686" s="83"/>
      <c r="HY686" s="405"/>
      <c r="IE686" s="83"/>
      <c r="IM686" s="405"/>
      <c r="IS686" s="83"/>
      <c r="JA686" s="405"/>
      <c r="JG686" s="83"/>
      <c r="JO686" s="405"/>
      <c r="JU686" s="83"/>
      <c r="KC686" s="405"/>
      <c r="KI686" s="83"/>
      <c r="KQ686" s="405"/>
      <c r="KW686" s="83"/>
      <c r="LE686" s="405"/>
      <c r="LK686" s="83"/>
      <c r="LS686" s="405"/>
      <c r="LY686" s="83"/>
      <c r="MG686" s="405"/>
      <c r="MM686" s="83"/>
      <c r="MU686" s="405"/>
      <c r="NA686" s="83"/>
    </row>
    <row r="687">
      <c r="A687" s="380"/>
      <c r="B687" s="380"/>
      <c r="C687" s="380"/>
      <c r="D687" s="380"/>
      <c r="E687" s="380"/>
      <c r="F687" s="380"/>
      <c r="G687" s="380"/>
      <c r="H687" s="380"/>
      <c r="I687" s="403"/>
      <c r="J687" s="380"/>
      <c r="K687" s="380"/>
      <c r="L687" s="380"/>
      <c r="M687" s="380"/>
      <c r="N687" s="380"/>
      <c r="O687" s="404"/>
      <c r="P687" s="380"/>
      <c r="Q687" s="380"/>
      <c r="R687" s="380"/>
      <c r="S687" s="380"/>
      <c r="T687" s="380"/>
      <c r="U687" s="380"/>
      <c r="V687" s="380"/>
      <c r="W687" s="403"/>
      <c r="X687" s="380"/>
      <c r="Y687" s="380"/>
      <c r="Z687" s="380"/>
      <c r="AA687" s="380"/>
      <c r="AB687" s="380"/>
      <c r="AC687" s="404"/>
      <c r="AD687" s="380"/>
      <c r="AE687" s="380"/>
      <c r="AF687" s="380"/>
      <c r="AG687" s="380"/>
      <c r="AH687" s="380"/>
      <c r="AI687" s="380"/>
      <c r="AJ687" s="380"/>
      <c r="AK687" s="403"/>
      <c r="AL687" s="380"/>
      <c r="AM687" s="380"/>
      <c r="AN687" s="380"/>
      <c r="AO687" s="380"/>
      <c r="AP687" s="380"/>
      <c r="AQ687" s="404"/>
      <c r="AR687" s="380"/>
      <c r="AS687" s="380"/>
      <c r="AT687" s="380"/>
      <c r="AU687" s="380"/>
      <c r="AV687" s="380"/>
      <c r="AW687" s="380"/>
      <c r="AX687" s="380"/>
      <c r="AY687" s="403"/>
      <c r="AZ687" s="380"/>
      <c r="BA687" s="380"/>
      <c r="BB687" s="380"/>
      <c r="BC687" s="380"/>
      <c r="BD687" s="380"/>
      <c r="BE687" s="404"/>
      <c r="BF687" s="380"/>
      <c r="BG687" s="380"/>
      <c r="BH687" s="380"/>
      <c r="BI687" s="380"/>
      <c r="BJ687" s="380"/>
      <c r="BK687" s="380"/>
      <c r="BL687" s="380"/>
      <c r="BM687" s="403"/>
      <c r="BS687" s="83"/>
      <c r="CA687" s="405"/>
      <c r="CG687" s="83"/>
      <c r="CO687" s="405"/>
      <c r="CU687" s="83"/>
      <c r="DC687" s="405"/>
      <c r="DI687" s="83"/>
      <c r="DQ687" s="405"/>
      <c r="DW687" s="83"/>
      <c r="EE687" s="405"/>
      <c r="EK687" s="83"/>
      <c r="ES687" s="405"/>
      <c r="EY687" s="83"/>
      <c r="FG687" s="405"/>
      <c r="FM687" s="83"/>
      <c r="FU687" s="405"/>
      <c r="GA687" s="83"/>
      <c r="GI687" s="405"/>
      <c r="GO687" s="83"/>
      <c r="GW687" s="405"/>
      <c r="HC687" s="83"/>
      <c r="HK687" s="405"/>
      <c r="HQ687" s="83"/>
      <c r="HY687" s="405"/>
      <c r="IE687" s="83"/>
      <c r="IM687" s="405"/>
      <c r="IS687" s="83"/>
      <c r="JA687" s="405"/>
      <c r="JG687" s="83"/>
      <c r="JO687" s="405"/>
      <c r="JU687" s="83"/>
      <c r="KC687" s="405"/>
      <c r="KI687" s="83"/>
      <c r="KQ687" s="405"/>
      <c r="KW687" s="83"/>
      <c r="LE687" s="405"/>
      <c r="LK687" s="83"/>
      <c r="LS687" s="405"/>
      <c r="LY687" s="83"/>
      <c r="MG687" s="405"/>
      <c r="MM687" s="83"/>
      <c r="MU687" s="405"/>
      <c r="NA687" s="83"/>
    </row>
    <row r="688">
      <c r="A688" s="380"/>
      <c r="B688" s="380"/>
      <c r="C688" s="380"/>
      <c r="D688" s="380"/>
      <c r="E688" s="380"/>
      <c r="F688" s="380"/>
      <c r="G688" s="380"/>
      <c r="H688" s="380"/>
      <c r="I688" s="403"/>
      <c r="J688" s="380"/>
      <c r="K688" s="380"/>
      <c r="L688" s="380"/>
      <c r="M688" s="380"/>
      <c r="N688" s="380"/>
      <c r="O688" s="404"/>
      <c r="P688" s="380"/>
      <c r="Q688" s="380"/>
      <c r="R688" s="380"/>
      <c r="S688" s="380"/>
      <c r="T688" s="380"/>
      <c r="U688" s="380"/>
      <c r="V688" s="380"/>
      <c r="W688" s="403"/>
      <c r="X688" s="380"/>
      <c r="Y688" s="380"/>
      <c r="Z688" s="380"/>
      <c r="AA688" s="380"/>
      <c r="AB688" s="380"/>
      <c r="AC688" s="404"/>
      <c r="AD688" s="380"/>
      <c r="AE688" s="380"/>
      <c r="AF688" s="380"/>
      <c r="AG688" s="380"/>
      <c r="AH688" s="380"/>
      <c r="AI688" s="380"/>
      <c r="AJ688" s="380"/>
      <c r="AK688" s="403"/>
      <c r="AL688" s="380"/>
      <c r="AM688" s="380"/>
      <c r="AN688" s="380"/>
      <c r="AO688" s="380"/>
      <c r="AP688" s="380"/>
      <c r="AQ688" s="404"/>
      <c r="AR688" s="380"/>
      <c r="AS688" s="380"/>
      <c r="AT688" s="380"/>
      <c r="AU688" s="380"/>
      <c r="AV688" s="380"/>
      <c r="AW688" s="380"/>
      <c r="AX688" s="380"/>
      <c r="AY688" s="403"/>
      <c r="AZ688" s="380"/>
      <c r="BA688" s="380"/>
      <c r="BB688" s="380"/>
      <c r="BC688" s="380"/>
      <c r="BD688" s="380"/>
      <c r="BE688" s="404"/>
      <c r="BF688" s="380"/>
      <c r="BG688" s="380"/>
      <c r="BH688" s="380"/>
      <c r="BI688" s="380"/>
      <c r="BJ688" s="380"/>
      <c r="BK688" s="380"/>
      <c r="BL688" s="380"/>
      <c r="BM688" s="403"/>
      <c r="BS688" s="83"/>
      <c r="CA688" s="405"/>
      <c r="CG688" s="83"/>
      <c r="CO688" s="405"/>
      <c r="CU688" s="83"/>
      <c r="DC688" s="405"/>
      <c r="DI688" s="83"/>
      <c r="DQ688" s="405"/>
      <c r="DW688" s="83"/>
      <c r="EE688" s="405"/>
      <c r="EK688" s="83"/>
      <c r="ES688" s="405"/>
      <c r="EY688" s="83"/>
      <c r="FG688" s="405"/>
      <c r="FM688" s="83"/>
      <c r="FU688" s="405"/>
      <c r="GA688" s="83"/>
      <c r="GI688" s="405"/>
      <c r="GO688" s="83"/>
      <c r="GW688" s="405"/>
      <c r="HC688" s="83"/>
      <c r="HK688" s="405"/>
      <c r="HQ688" s="83"/>
      <c r="HY688" s="405"/>
      <c r="IE688" s="83"/>
      <c r="IM688" s="405"/>
      <c r="IS688" s="83"/>
      <c r="JA688" s="405"/>
      <c r="JG688" s="83"/>
      <c r="JO688" s="405"/>
      <c r="JU688" s="83"/>
      <c r="KC688" s="405"/>
      <c r="KI688" s="83"/>
      <c r="KQ688" s="405"/>
      <c r="KW688" s="83"/>
      <c r="LE688" s="405"/>
      <c r="LK688" s="83"/>
      <c r="LS688" s="405"/>
      <c r="LY688" s="83"/>
      <c r="MG688" s="405"/>
      <c r="MM688" s="83"/>
      <c r="MU688" s="405"/>
      <c r="NA688" s="83"/>
    </row>
    <row r="689">
      <c r="A689" s="380"/>
      <c r="B689" s="380"/>
      <c r="C689" s="380"/>
      <c r="D689" s="380"/>
      <c r="E689" s="380"/>
      <c r="F689" s="380"/>
      <c r="G689" s="380"/>
      <c r="H689" s="380"/>
      <c r="I689" s="403"/>
      <c r="J689" s="380"/>
      <c r="K689" s="380"/>
      <c r="L689" s="380"/>
      <c r="M689" s="380"/>
      <c r="N689" s="380"/>
      <c r="O689" s="404"/>
      <c r="P689" s="380"/>
      <c r="Q689" s="380"/>
      <c r="R689" s="380"/>
      <c r="S689" s="380"/>
      <c r="T689" s="380"/>
      <c r="U689" s="380"/>
      <c r="V689" s="380"/>
      <c r="W689" s="403"/>
      <c r="X689" s="380"/>
      <c r="Y689" s="380"/>
      <c r="Z689" s="380"/>
      <c r="AA689" s="380"/>
      <c r="AB689" s="380"/>
      <c r="AC689" s="404"/>
      <c r="AD689" s="380"/>
      <c r="AE689" s="380"/>
      <c r="AF689" s="380"/>
      <c r="AG689" s="380"/>
      <c r="AH689" s="380"/>
      <c r="AI689" s="380"/>
      <c r="AJ689" s="380"/>
      <c r="AK689" s="403"/>
      <c r="AL689" s="380"/>
      <c r="AM689" s="380"/>
      <c r="AN689" s="380"/>
      <c r="AO689" s="380"/>
      <c r="AP689" s="380"/>
      <c r="AQ689" s="404"/>
      <c r="AR689" s="380"/>
      <c r="AS689" s="380"/>
      <c r="AT689" s="380"/>
      <c r="AU689" s="380"/>
      <c r="AV689" s="380"/>
      <c r="AW689" s="380"/>
      <c r="AX689" s="380"/>
      <c r="AY689" s="403"/>
      <c r="AZ689" s="380"/>
      <c r="BA689" s="380"/>
      <c r="BB689" s="380"/>
      <c r="BC689" s="380"/>
      <c r="BD689" s="380"/>
      <c r="BE689" s="404"/>
      <c r="BF689" s="380"/>
      <c r="BG689" s="380"/>
      <c r="BH689" s="380"/>
      <c r="BI689" s="380"/>
      <c r="BJ689" s="380"/>
      <c r="BK689" s="380"/>
      <c r="BL689" s="380"/>
      <c r="BM689" s="403"/>
      <c r="BS689" s="83"/>
      <c r="CA689" s="405"/>
      <c r="CG689" s="83"/>
      <c r="CO689" s="405"/>
      <c r="CU689" s="83"/>
      <c r="DC689" s="405"/>
      <c r="DI689" s="83"/>
      <c r="DQ689" s="405"/>
      <c r="DW689" s="83"/>
      <c r="EE689" s="405"/>
      <c r="EK689" s="83"/>
      <c r="ES689" s="405"/>
      <c r="EY689" s="83"/>
      <c r="FG689" s="405"/>
      <c r="FM689" s="83"/>
      <c r="FU689" s="405"/>
      <c r="GA689" s="83"/>
      <c r="GI689" s="405"/>
      <c r="GO689" s="83"/>
      <c r="GW689" s="405"/>
      <c r="HC689" s="83"/>
      <c r="HK689" s="405"/>
      <c r="HQ689" s="83"/>
      <c r="HY689" s="405"/>
      <c r="IE689" s="83"/>
      <c r="IM689" s="405"/>
      <c r="IS689" s="83"/>
      <c r="JA689" s="405"/>
      <c r="JG689" s="83"/>
      <c r="JO689" s="405"/>
      <c r="JU689" s="83"/>
      <c r="KC689" s="405"/>
      <c r="KI689" s="83"/>
      <c r="KQ689" s="405"/>
      <c r="KW689" s="83"/>
      <c r="LE689" s="405"/>
      <c r="LK689" s="83"/>
      <c r="LS689" s="405"/>
      <c r="LY689" s="83"/>
      <c r="MG689" s="405"/>
      <c r="MM689" s="83"/>
      <c r="MU689" s="405"/>
      <c r="NA689" s="83"/>
    </row>
    <row r="690">
      <c r="A690" s="380"/>
      <c r="B690" s="380"/>
      <c r="C690" s="380"/>
      <c r="D690" s="380"/>
      <c r="E690" s="380"/>
      <c r="F690" s="380"/>
      <c r="G690" s="380"/>
      <c r="H690" s="380"/>
      <c r="I690" s="403"/>
      <c r="J690" s="380"/>
      <c r="K690" s="380"/>
      <c r="L690" s="380"/>
      <c r="M690" s="380"/>
      <c r="N690" s="380"/>
      <c r="O690" s="404"/>
      <c r="P690" s="380"/>
      <c r="Q690" s="380"/>
      <c r="R690" s="380"/>
      <c r="S690" s="380"/>
      <c r="T690" s="380"/>
      <c r="U690" s="380"/>
      <c r="V690" s="380"/>
      <c r="W690" s="403"/>
      <c r="X690" s="380"/>
      <c r="Y690" s="380"/>
      <c r="Z690" s="380"/>
      <c r="AA690" s="380"/>
      <c r="AB690" s="380"/>
      <c r="AC690" s="404"/>
      <c r="AD690" s="380"/>
      <c r="AE690" s="380"/>
      <c r="AF690" s="380"/>
      <c r="AG690" s="380"/>
      <c r="AH690" s="380"/>
      <c r="AI690" s="380"/>
      <c r="AJ690" s="380"/>
      <c r="AK690" s="403"/>
      <c r="AL690" s="380"/>
      <c r="AM690" s="380"/>
      <c r="AN690" s="380"/>
      <c r="AO690" s="380"/>
      <c r="AP690" s="380"/>
      <c r="AQ690" s="404"/>
      <c r="AR690" s="380"/>
      <c r="AS690" s="380"/>
      <c r="AT690" s="380"/>
      <c r="AU690" s="380"/>
      <c r="AV690" s="380"/>
      <c r="AW690" s="380"/>
      <c r="AX690" s="380"/>
      <c r="AY690" s="403"/>
      <c r="AZ690" s="380"/>
      <c r="BA690" s="380"/>
      <c r="BB690" s="380"/>
      <c r="BC690" s="380"/>
      <c r="BD690" s="380"/>
      <c r="BE690" s="404"/>
      <c r="BF690" s="380"/>
      <c r="BG690" s="380"/>
      <c r="BH690" s="380"/>
      <c r="BI690" s="380"/>
      <c r="BJ690" s="380"/>
      <c r="BK690" s="380"/>
      <c r="BL690" s="380"/>
      <c r="BM690" s="403"/>
      <c r="BS690" s="83"/>
      <c r="CA690" s="405"/>
      <c r="CG690" s="83"/>
      <c r="CO690" s="405"/>
      <c r="CU690" s="83"/>
      <c r="DC690" s="405"/>
      <c r="DI690" s="83"/>
      <c r="DQ690" s="405"/>
      <c r="DW690" s="83"/>
      <c r="EE690" s="405"/>
      <c r="EK690" s="83"/>
      <c r="ES690" s="405"/>
      <c r="EY690" s="83"/>
      <c r="FG690" s="405"/>
      <c r="FM690" s="83"/>
      <c r="FU690" s="405"/>
      <c r="GA690" s="83"/>
      <c r="GI690" s="405"/>
      <c r="GO690" s="83"/>
      <c r="GW690" s="405"/>
      <c r="HC690" s="83"/>
      <c r="HK690" s="405"/>
      <c r="HQ690" s="83"/>
      <c r="HY690" s="405"/>
      <c r="IE690" s="83"/>
      <c r="IM690" s="405"/>
      <c r="IS690" s="83"/>
      <c r="JA690" s="405"/>
      <c r="JG690" s="83"/>
      <c r="JO690" s="405"/>
      <c r="JU690" s="83"/>
      <c r="KC690" s="405"/>
      <c r="KI690" s="83"/>
      <c r="KQ690" s="405"/>
      <c r="KW690" s="83"/>
      <c r="LE690" s="405"/>
      <c r="LK690" s="83"/>
      <c r="LS690" s="405"/>
      <c r="LY690" s="83"/>
      <c r="MG690" s="405"/>
      <c r="MM690" s="83"/>
      <c r="MU690" s="405"/>
      <c r="NA690" s="83"/>
    </row>
    <row r="691">
      <c r="A691" s="380"/>
      <c r="B691" s="380"/>
      <c r="C691" s="380"/>
      <c r="D691" s="380"/>
      <c r="E691" s="380"/>
      <c r="F691" s="380"/>
      <c r="G691" s="380"/>
      <c r="H691" s="380"/>
      <c r="I691" s="403"/>
      <c r="J691" s="380"/>
      <c r="K691" s="380"/>
      <c r="L691" s="380"/>
      <c r="M691" s="380"/>
      <c r="N691" s="380"/>
      <c r="O691" s="404"/>
      <c r="P691" s="380"/>
      <c r="Q691" s="380"/>
      <c r="R691" s="380"/>
      <c r="S691" s="380"/>
      <c r="T691" s="380"/>
      <c r="U691" s="380"/>
      <c r="V691" s="380"/>
      <c r="W691" s="403"/>
      <c r="X691" s="380"/>
      <c r="Y691" s="380"/>
      <c r="Z691" s="380"/>
      <c r="AA691" s="380"/>
      <c r="AB691" s="380"/>
      <c r="AC691" s="404"/>
      <c r="AD691" s="380"/>
      <c r="AE691" s="380"/>
      <c r="AF691" s="380"/>
      <c r="AG691" s="380"/>
      <c r="AH691" s="380"/>
      <c r="AI691" s="380"/>
      <c r="AJ691" s="380"/>
      <c r="AK691" s="403"/>
      <c r="AL691" s="380"/>
      <c r="AM691" s="380"/>
      <c r="AN691" s="380"/>
      <c r="AO691" s="380"/>
      <c r="AP691" s="380"/>
      <c r="AQ691" s="404"/>
      <c r="AR691" s="380"/>
      <c r="AS691" s="380"/>
      <c r="AT691" s="380"/>
      <c r="AU691" s="380"/>
      <c r="AV691" s="380"/>
      <c r="AW691" s="380"/>
      <c r="AX691" s="380"/>
      <c r="AY691" s="403"/>
      <c r="AZ691" s="380"/>
      <c r="BA691" s="380"/>
      <c r="BB691" s="380"/>
      <c r="BC691" s="380"/>
      <c r="BD691" s="380"/>
      <c r="BE691" s="404"/>
      <c r="BF691" s="380"/>
      <c r="BG691" s="380"/>
      <c r="BH691" s="380"/>
      <c r="BI691" s="380"/>
      <c r="BJ691" s="380"/>
      <c r="BK691" s="380"/>
      <c r="BL691" s="380"/>
      <c r="BM691" s="403"/>
      <c r="BS691" s="83"/>
      <c r="CA691" s="405"/>
      <c r="CG691" s="83"/>
      <c r="CO691" s="405"/>
      <c r="CU691" s="83"/>
      <c r="DC691" s="405"/>
      <c r="DI691" s="83"/>
      <c r="DQ691" s="405"/>
      <c r="DW691" s="83"/>
      <c r="EE691" s="405"/>
      <c r="EK691" s="83"/>
      <c r="ES691" s="405"/>
      <c r="EY691" s="83"/>
      <c r="FG691" s="405"/>
      <c r="FM691" s="83"/>
      <c r="FU691" s="405"/>
      <c r="GA691" s="83"/>
      <c r="GI691" s="405"/>
      <c r="GO691" s="83"/>
      <c r="GW691" s="405"/>
      <c r="HC691" s="83"/>
      <c r="HK691" s="405"/>
      <c r="HQ691" s="83"/>
      <c r="HY691" s="405"/>
      <c r="IE691" s="83"/>
      <c r="IM691" s="405"/>
      <c r="IS691" s="83"/>
      <c r="JA691" s="405"/>
      <c r="JG691" s="83"/>
      <c r="JO691" s="405"/>
      <c r="JU691" s="83"/>
      <c r="KC691" s="405"/>
      <c r="KI691" s="83"/>
      <c r="KQ691" s="405"/>
      <c r="KW691" s="83"/>
      <c r="LE691" s="405"/>
      <c r="LK691" s="83"/>
      <c r="LS691" s="405"/>
      <c r="LY691" s="83"/>
      <c r="MG691" s="405"/>
      <c r="MM691" s="83"/>
      <c r="MU691" s="405"/>
      <c r="NA691" s="83"/>
    </row>
    <row r="692">
      <c r="A692" s="380"/>
      <c r="B692" s="380"/>
      <c r="C692" s="380"/>
      <c r="D692" s="380"/>
      <c r="E692" s="380"/>
      <c r="F692" s="380"/>
      <c r="G692" s="380"/>
      <c r="H692" s="380"/>
      <c r="I692" s="403"/>
      <c r="J692" s="380"/>
      <c r="K692" s="380"/>
      <c r="L692" s="380"/>
      <c r="M692" s="380"/>
      <c r="N692" s="380"/>
      <c r="O692" s="404"/>
      <c r="P692" s="380"/>
      <c r="Q692" s="380"/>
      <c r="R692" s="380"/>
      <c r="S692" s="380"/>
      <c r="T692" s="380"/>
      <c r="U692" s="380"/>
      <c r="V692" s="380"/>
      <c r="W692" s="403"/>
      <c r="X692" s="380"/>
      <c r="Y692" s="380"/>
      <c r="Z692" s="380"/>
      <c r="AA692" s="380"/>
      <c r="AB692" s="380"/>
      <c r="AC692" s="404"/>
      <c r="AD692" s="380"/>
      <c r="AE692" s="380"/>
      <c r="AF692" s="380"/>
      <c r="AG692" s="380"/>
      <c r="AH692" s="380"/>
      <c r="AI692" s="380"/>
      <c r="AJ692" s="380"/>
      <c r="AK692" s="403"/>
      <c r="AL692" s="380"/>
      <c r="AM692" s="380"/>
      <c r="AN692" s="380"/>
      <c r="AO692" s="380"/>
      <c r="AP692" s="380"/>
      <c r="AQ692" s="404"/>
      <c r="AR692" s="380"/>
      <c r="AS692" s="380"/>
      <c r="AT692" s="380"/>
      <c r="AU692" s="380"/>
      <c r="AV692" s="380"/>
      <c r="AW692" s="380"/>
      <c r="AX692" s="380"/>
      <c r="AY692" s="403"/>
      <c r="AZ692" s="380"/>
      <c r="BA692" s="380"/>
      <c r="BB692" s="380"/>
      <c r="BC692" s="380"/>
      <c r="BD692" s="380"/>
      <c r="BE692" s="404"/>
      <c r="BF692" s="380"/>
      <c r="BG692" s="380"/>
      <c r="BH692" s="380"/>
      <c r="BI692" s="380"/>
      <c r="BJ692" s="380"/>
      <c r="BK692" s="380"/>
      <c r="BL692" s="380"/>
      <c r="BM692" s="403"/>
      <c r="BS692" s="83"/>
      <c r="CA692" s="405"/>
      <c r="CG692" s="83"/>
      <c r="CO692" s="405"/>
      <c r="CU692" s="83"/>
      <c r="DC692" s="405"/>
      <c r="DI692" s="83"/>
      <c r="DQ692" s="405"/>
      <c r="DW692" s="83"/>
      <c r="EE692" s="405"/>
      <c r="EK692" s="83"/>
      <c r="ES692" s="405"/>
      <c r="EY692" s="83"/>
      <c r="FG692" s="405"/>
      <c r="FM692" s="83"/>
      <c r="FU692" s="405"/>
      <c r="GA692" s="83"/>
      <c r="GI692" s="405"/>
      <c r="GO692" s="83"/>
      <c r="GW692" s="405"/>
      <c r="HC692" s="83"/>
      <c r="HK692" s="405"/>
      <c r="HQ692" s="83"/>
      <c r="HY692" s="405"/>
      <c r="IE692" s="83"/>
      <c r="IM692" s="405"/>
      <c r="IS692" s="83"/>
      <c r="JA692" s="405"/>
      <c r="JG692" s="83"/>
      <c r="JO692" s="405"/>
      <c r="JU692" s="83"/>
      <c r="KC692" s="405"/>
      <c r="KI692" s="83"/>
      <c r="KQ692" s="405"/>
      <c r="KW692" s="83"/>
      <c r="LE692" s="405"/>
      <c r="LK692" s="83"/>
      <c r="LS692" s="405"/>
      <c r="LY692" s="83"/>
      <c r="MG692" s="405"/>
      <c r="MM692" s="83"/>
      <c r="MU692" s="405"/>
      <c r="NA692" s="83"/>
    </row>
    <row r="693">
      <c r="A693" s="380"/>
      <c r="B693" s="380"/>
      <c r="C693" s="380"/>
      <c r="D693" s="380"/>
      <c r="E693" s="380"/>
      <c r="F693" s="380"/>
      <c r="G693" s="380"/>
      <c r="H693" s="380"/>
      <c r="I693" s="403"/>
      <c r="J693" s="380"/>
      <c r="K693" s="380"/>
      <c r="L693" s="380"/>
      <c r="M693" s="380"/>
      <c r="N693" s="380"/>
      <c r="O693" s="404"/>
      <c r="P693" s="380"/>
      <c r="Q693" s="380"/>
      <c r="R693" s="380"/>
      <c r="S693" s="380"/>
      <c r="T693" s="380"/>
      <c r="U693" s="380"/>
      <c r="V693" s="380"/>
      <c r="W693" s="403"/>
      <c r="X693" s="380"/>
      <c r="Y693" s="380"/>
      <c r="Z693" s="380"/>
      <c r="AA693" s="380"/>
      <c r="AB693" s="380"/>
      <c r="AC693" s="404"/>
      <c r="AD693" s="380"/>
      <c r="AE693" s="380"/>
      <c r="AF693" s="380"/>
      <c r="AG693" s="380"/>
      <c r="AH693" s="380"/>
      <c r="AI693" s="380"/>
      <c r="AJ693" s="380"/>
      <c r="AK693" s="403"/>
      <c r="AL693" s="380"/>
      <c r="AM693" s="380"/>
      <c r="AN693" s="380"/>
      <c r="AO693" s="380"/>
      <c r="AP693" s="380"/>
      <c r="AQ693" s="404"/>
      <c r="AR693" s="380"/>
      <c r="AS693" s="380"/>
      <c r="AT693" s="380"/>
      <c r="AU693" s="380"/>
      <c r="AV693" s="380"/>
      <c r="AW693" s="380"/>
      <c r="AX693" s="380"/>
      <c r="AY693" s="403"/>
      <c r="AZ693" s="380"/>
      <c r="BA693" s="380"/>
      <c r="BB693" s="380"/>
      <c r="BC693" s="380"/>
      <c r="BD693" s="380"/>
      <c r="BE693" s="404"/>
      <c r="BF693" s="380"/>
      <c r="BG693" s="380"/>
      <c r="BH693" s="380"/>
      <c r="BI693" s="380"/>
      <c r="BJ693" s="380"/>
      <c r="BK693" s="380"/>
      <c r="BL693" s="380"/>
      <c r="BM693" s="403"/>
      <c r="BS693" s="83"/>
      <c r="CA693" s="405"/>
      <c r="CG693" s="83"/>
      <c r="CO693" s="405"/>
      <c r="CU693" s="83"/>
      <c r="DC693" s="405"/>
      <c r="DI693" s="83"/>
      <c r="DQ693" s="405"/>
      <c r="DW693" s="83"/>
      <c r="EE693" s="405"/>
      <c r="EK693" s="83"/>
      <c r="ES693" s="405"/>
      <c r="EY693" s="83"/>
      <c r="FG693" s="405"/>
      <c r="FM693" s="83"/>
      <c r="FU693" s="405"/>
      <c r="GA693" s="83"/>
      <c r="GI693" s="405"/>
      <c r="GO693" s="83"/>
      <c r="GW693" s="405"/>
      <c r="HC693" s="83"/>
      <c r="HK693" s="405"/>
      <c r="HQ693" s="83"/>
      <c r="HY693" s="405"/>
      <c r="IE693" s="83"/>
      <c r="IM693" s="405"/>
      <c r="IS693" s="83"/>
      <c r="JA693" s="405"/>
      <c r="JG693" s="83"/>
      <c r="JO693" s="405"/>
      <c r="JU693" s="83"/>
      <c r="KC693" s="405"/>
      <c r="KI693" s="83"/>
      <c r="KQ693" s="405"/>
      <c r="KW693" s="83"/>
      <c r="LE693" s="405"/>
      <c r="LK693" s="83"/>
      <c r="LS693" s="405"/>
      <c r="LY693" s="83"/>
      <c r="MG693" s="405"/>
      <c r="MM693" s="83"/>
      <c r="MU693" s="405"/>
      <c r="NA693" s="83"/>
    </row>
    <row r="694">
      <c r="A694" s="380"/>
      <c r="B694" s="380"/>
      <c r="C694" s="380"/>
      <c r="D694" s="380"/>
      <c r="E694" s="380"/>
      <c r="F694" s="380"/>
      <c r="G694" s="380"/>
      <c r="H694" s="380"/>
      <c r="I694" s="403"/>
      <c r="J694" s="380"/>
      <c r="K694" s="380"/>
      <c r="L694" s="380"/>
      <c r="M694" s="380"/>
      <c r="N694" s="380"/>
      <c r="O694" s="404"/>
      <c r="P694" s="380"/>
      <c r="Q694" s="380"/>
      <c r="R694" s="380"/>
      <c r="S694" s="380"/>
      <c r="T694" s="380"/>
      <c r="U694" s="380"/>
      <c r="V694" s="380"/>
      <c r="W694" s="403"/>
      <c r="X694" s="380"/>
      <c r="Y694" s="380"/>
      <c r="Z694" s="380"/>
      <c r="AA694" s="380"/>
      <c r="AB694" s="380"/>
      <c r="AC694" s="404"/>
      <c r="AD694" s="380"/>
      <c r="AE694" s="380"/>
      <c r="AF694" s="380"/>
      <c r="AG694" s="380"/>
      <c r="AH694" s="380"/>
      <c r="AI694" s="380"/>
      <c r="AJ694" s="380"/>
      <c r="AK694" s="403"/>
      <c r="AL694" s="380"/>
      <c r="AM694" s="380"/>
      <c r="AN694" s="380"/>
      <c r="AO694" s="380"/>
      <c r="AP694" s="380"/>
      <c r="AQ694" s="404"/>
      <c r="AR694" s="380"/>
      <c r="AS694" s="380"/>
      <c r="AT694" s="380"/>
      <c r="AU694" s="380"/>
      <c r="AV694" s="380"/>
      <c r="AW694" s="380"/>
      <c r="AX694" s="380"/>
      <c r="AY694" s="403"/>
      <c r="AZ694" s="380"/>
      <c r="BA694" s="380"/>
      <c r="BB694" s="380"/>
      <c r="BC694" s="380"/>
      <c r="BD694" s="380"/>
      <c r="BE694" s="404"/>
      <c r="BF694" s="380"/>
      <c r="BG694" s="380"/>
      <c r="BH694" s="380"/>
      <c r="BI694" s="380"/>
      <c r="BJ694" s="380"/>
      <c r="BK694" s="380"/>
      <c r="BL694" s="380"/>
      <c r="BM694" s="403"/>
      <c r="BS694" s="83"/>
      <c r="CA694" s="405"/>
      <c r="CG694" s="83"/>
      <c r="CO694" s="405"/>
      <c r="CU694" s="83"/>
      <c r="DC694" s="405"/>
      <c r="DI694" s="83"/>
      <c r="DQ694" s="405"/>
      <c r="DW694" s="83"/>
      <c r="EE694" s="405"/>
      <c r="EK694" s="83"/>
      <c r="ES694" s="405"/>
      <c r="EY694" s="83"/>
      <c r="FG694" s="405"/>
      <c r="FM694" s="83"/>
      <c r="FU694" s="405"/>
      <c r="GA694" s="83"/>
      <c r="GI694" s="405"/>
      <c r="GO694" s="83"/>
      <c r="GW694" s="405"/>
      <c r="HC694" s="83"/>
      <c r="HK694" s="405"/>
      <c r="HQ694" s="83"/>
      <c r="HY694" s="405"/>
      <c r="IE694" s="83"/>
      <c r="IM694" s="405"/>
      <c r="IS694" s="83"/>
      <c r="JA694" s="405"/>
      <c r="JG694" s="83"/>
      <c r="JO694" s="405"/>
      <c r="JU694" s="83"/>
      <c r="KC694" s="405"/>
      <c r="KI694" s="83"/>
      <c r="KQ694" s="405"/>
      <c r="KW694" s="83"/>
      <c r="LE694" s="405"/>
      <c r="LK694" s="83"/>
      <c r="LS694" s="405"/>
      <c r="LY694" s="83"/>
      <c r="MG694" s="405"/>
      <c r="MM694" s="83"/>
      <c r="MU694" s="405"/>
      <c r="NA694" s="83"/>
    </row>
    <row r="695">
      <c r="A695" s="380"/>
      <c r="B695" s="380"/>
      <c r="C695" s="380"/>
      <c r="D695" s="380"/>
      <c r="E695" s="380"/>
      <c r="F695" s="380"/>
      <c r="G695" s="380"/>
      <c r="H695" s="380"/>
      <c r="I695" s="403"/>
      <c r="J695" s="380"/>
      <c r="K695" s="380"/>
      <c r="L695" s="380"/>
      <c r="M695" s="380"/>
      <c r="N695" s="380"/>
      <c r="O695" s="404"/>
      <c r="P695" s="380"/>
      <c r="Q695" s="380"/>
      <c r="R695" s="380"/>
      <c r="S695" s="380"/>
      <c r="T695" s="380"/>
      <c r="U695" s="380"/>
      <c r="V695" s="380"/>
      <c r="W695" s="403"/>
      <c r="X695" s="380"/>
      <c r="Y695" s="380"/>
      <c r="Z695" s="380"/>
      <c r="AA695" s="380"/>
      <c r="AB695" s="380"/>
      <c r="AC695" s="404"/>
      <c r="AD695" s="380"/>
      <c r="AE695" s="380"/>
      <c r="AF695" s="380"/>
      <c r="AG695" s="380"/>
      <c r="AH695" s="380"/>
      <c r="AI695" s="380"/>
      <c r="AJ695" s="380"/>
      <c r="AK695" s="403"/>
      <c r="AL695" s="380"/>
      <c r="AM695" s="380"/>
      <c r="AN695" s="380"/>
      <c r="AO695" s="380"/>
      <c r="AP695" s="380"/>
      <c r="AQ695" s="404"/>
      <c r="AR695" s="380"/>
      <c r="AS695" s="380"/>
      <c r="AT695" s="380"/>
      <c r="AU695" s="380"/>
      <c r="AV695" s="380"/>
      <c r="AW695" s="380"/>
      <c r="AX695" s="380"/>
      <c r="AY695" s="403"/>
      <c r="AZ695" s="380"/>
      <c r="BA695" s="380"/>
      <c r="BB695" s="380"/>
      <c r="BC695" s="380"/>
      <c r="BD695" s="380"/>
      <c r="BE695" s="404"/>
      <c r="BF695" s="380"/>
      <c r="BG695" s="380"/>
      <c r="BH695" s="380"/>
      <c r="BI695" s="380"/>
      <c r="BJ695" s="380"/>
      <c r="BK695" s="380"/>
      <c r="BL695" s="380"/>
      <c r="BM695" s="403"/>
      <c r="BS695" s="83"/>
      <c r="CA695" s="405"/>
      <c r="CG695" s="83"/>
      <c r="CO695" s="405"/>
      <c r="CU695" s="83"/>
      <c r="DC695" s="405"/>
      <c r="DI695" s="83"/>
      <c r="DQ695" s="405"/>
      <c r="DW695" s="83"/>
      <c r="EE695" s="405"/>
      <c r="EK695" s="83"/>
      <c r="ES695" s="405"/>
      <c r="EY695" s="83"/>
      <c r="FG695" s="405"/>
      <c r="FM695" s="83"/>
      <c r="FU695" s="405"/>
      <c r="GA695" s="83"/>
      <c r="GI695" s="405"/>
      <c r="GO695" s="83"/>
      <c r="GW695" s="405"/>
      <c r="HC695" s="83"/>
      <c r="HK695" s="405"/>
      <c r="HQ695" s="83"/>
      <c r="HY695" s="405"/>
      <c r="IE695" s="83"/>
      <c r="IM695" s="405"/>
      <c r="IS695" s="83"/>
      <c r="JA695" s="405"/>
      <c r="JG695" s="83"/>
      <c r="JO695" s="405"/>
      <c r="JU695" s="83"/>
      <c r="KC695" s="405"/>
      <c r="KI695" s="83"/>
      <c r="KQ695" s="405"/>
      <c r="KW695" s="83"/>
      <c r="LE695" s="405"/>
      <c r="LK695" s="83"/>
      <c r="LS695" s="405"/>
      <c r="LY695" s="83"/>
      <c r="MG695" s="405"/>
      <c r="MM695" s="83"/>
      <c r="MU695" s="405"/>
      <c r="NA695" s="83"/>
    </row>
    <row r="696">
      <c r="A696" s="380"/>
      <c r="B696" s="380"/>
      <c r="C696" s="380"/>
      <c r="D696" s="380"/>
      <c r="E696" s="380"/>
      <c r="F696" s="380"/>
      <c r="G696" s="380"/>
      <c r="H696" s="380"/>
      <c r="I696" s="403"/>
      <c r="J696" s="380"/>
      <c r="K696" s="380"/>
      <c r="L696" s="380"/>
      <c r="M696" s="380"/>
      <c r="N696" s="380"/>
      <c r="O696" s="404"/>
      <c r="P696" s="380"/>
      <c r="Q696" s="380"/>
      <c r="R696" s="380"/>
      <c r="S696" s="380"/>
      <c r="T696" s="380"/>
      <c r="U696" s="380"/>
      <c r="V696" s="380"/>
      <c r="W696" s="403"/>
      <c r="X696" s="380"/>
      <c r="Y696" s="380"/>
      <c r="Z696" s="380"/>
      <c r="AA696" s="380"/>
      <c r="AB696" s="380"/>
      <c r="AC696" s="404"/>
      <c r="AD696" s="380"/>
      <c r="AE696" s="380"/>
      <c r="AF696" s="380"/>
      <c r="AG696" s="380"/>
      <c r="AH696" s="380"/>
      <c r="AI696" s="380"/>
      <c r="AJ696" s="380"/>
      <c r="AK696" s="403"/>
      <c r="AL696" s="380"/>
      <c r="AM696" s="380"/>
      <c r="AN696" s="380"/>
      <c r="AO696" s="380"/>
      <c r="AP696" s="380"/>
      <c r="AQ696" s="404"/>
      <c r="AR696" s="380"/>
      <c r="AS696" s="380"/>
      <c r="AT696" s="380"/>
      <c r="AU696" s="380"/>
      <c r="AV696" s="380"/>
      <c r="AW696" s="380"/>
      <c r="AX696" s="380"/>
      <c r="AY696" s="403"/>
      <c r="AZ696" s="380"/>
      <c r="BA696" s="380"/>
      <c r="BB696" s="380"/>
      <c r="BC696" s="380"/>
      <c r="BD696" s="380"/>
      <c r="BE696" s="404"/>
      <c r="BF696" s="380"/>
      <c r="BG696" s="380"/>
      <c r="BH696" s="380"/>
      <c r="BI696" s="380"/>
      <c r="BJ696" s="380"/>
      <c r="BK696" s="380"/>
      <c r="BL696" s="380"/>
      <c r="BM696" s="403"/>
      <c r="BS696" s="83"/>
      <c r="CA696" s="405"/>
      <c r="CG696" s="83"/>
      <c r="CO696" s="405"/>
      <c r="CU696" s="83"/>
      <c r="DC696" s="405"/>
      <c r="DI696" s="83"/>
      <c r="DQ696" s="405"/>
      <c r="DW696" s="83"/>
      <c r="EE696" s="405"/>
      <c r="EK696" s="83"/>
      <c r="ES696" s="405"/>
      <c r="EY696" s="83"/>
      <c r="FG696" s="405"/>
      <c r="FM696" s="83"/>
      <c r="FU696" s="405"/>
      <c r="GA696" s="83"/>
      <c r="GI696" s="405"/>
      <c r="GO696" s="83"/>
      <c r="GW696" s="405"/>
      <c r="HC696" s="83"/>
      <c r="HK696" s="405"/>
      <c r="HQ696" s="83"/>
      <c r="HY696" s="405"/>
      <c r="IE696" s="83"/>
      <c r="IM696" s="405"/>
      <c r="IS696" s="83"/>
      <c r="JA696" s="405"/>
      <c r="JG696" s="83"/>
      <c r="JO696" s="405"/>
      <c r="JU696" s="83"/>
      <c r="KC696" s="405"/>
      <c r="KI696" s="83"/>
      <c r="KQ696" s="405"/>
      <c r="KW696" s="83"/>
      <c r="LE696" s="405"/>
      <c r="LK696" s="83"/>
      <c r="LS696" s="405"/>
      <c r="LY696" s="83"/>
      <c r="MG696" s="405"/>
      <c r="MM696" s="83"/>
      <c r="MU696" s="405"/>
      <c r="NA696" s="83"/>
    </row>
    <row r="697">
      <c r="A697" s="380"/>
      <c r="B697" s="380"/>
      <c r="C697" s="380"/>
      <c r="D697" s="380"/>
      <c r="E697" s="380"/>
      <c r="F697" s="380"/>
      <c r="G697" s="380"/>
      <c r="H697" s="380"/>
      <c r="I697" s="403"/>
      <c r="J697" s="380"/>
      <c r="K697" s="380"/>
      <c r="L697" s="380"/>
      <c r="M697" s="380"/>
      <c r="N697" s="380"/>
      <c r="O697" s="404"/>
      <c r="P697" s="380"/>
      <c r="Q697" s="380"/>
      <c r="R697" s="380"/>
      <c r="S697" s="380"/>
      <c r="T697" s="380"/>
      <c r="U697" s="380"/>
      <c r="V697" s="380"/>
      <c r="W697" s="403"/>
      <c r="X697" s="380"/>
      <c r="Y697" s="380"/>
      <c r="Z697" s="380"/>
      <c r="AA697" s="380"/>
      <c r="AB697" s="380"/>
      <c r="AC697" s="404"/>
      <c r="AD697" s="380"/>
      <c r="AE697" s="380"/>
      <c r="AF697" s="380"/>
      <c r="AG697" s="380"/>
      <c r="AH697" s="380"/>
      <c r="AI697" s="380"/>
      <c r="AJ697" s="380"/>
      <c r="AK697" s="403"/>
      <c r="AL697" s="380"/>
      <c r="AM697" s="380"/>
      <c r="AN697" s="380"/>
      <c r="AO697" s="380"/>
      <c r="AP697" s="380"/>
      <c r="AQ697" s="404"/>
      <c r="AR697" s="380"/>
      <c r="AS697" s="380"/>
      <c r="AT697" s="380"/>
      <c r="AU697" s="380"/>
      <c r="AV697" s="380"/>
      <c r="AW697" s="380"/>
      <c r="AX697" s="380"/>
      <c r="AY697" s="403"/>
      <c r="AZ697" s="380"/>
      <c r="BA697" s="380"/>
      <c r="BB697" s="380"/>
      <c r="BC697" s="380"/>
      <c r="BD697" s="380"/>
      <c r="BE697" s="404"/>
      <c r="BF697" s="380"/>
      <c r="BG697" s="380"/>
      <c r="BH697" s="380"/>
      <c r="BI697" s="380"/>
      <c r="BJ697" s="380"/>
      <c r="BK697" s="380"/>
      <c r="BL697" s="380"/>
      <c r="BM697" s="403"/>
      <c r="BS697" s="83"/>
      <c r="CA697" s="405"/>
      <c r="CG697" s="83"/>
      <c r="CO697" s="405"/>
      <c r="CU697" s="83"/>
      <c r="DC697" s="405"/>
      <c r="DI697" s="83"/>
      <c r="DQ697" s="405"/>
      <c r="DW697" s="83"/>
      <c r="EE697" s="405"/>
      <c r="EK697" s="83"/>
      <c r="ES697" s="405"/>
      <c r="EY697" s="83"/>
      <c r="FG697" s="405"/>
      <c r="FM697" s="83"/>
      <c r="FU697" s="405"/>
      <c r="GA697" s="83"/>
      <c r="GI697" s="405"/>
      <c r="GO697" s="83"/>
      <c r="GW697" s="405"/>
      <c r="HC697" s="83"/>
      <c r="HK697" s="405"/>
      <c r="HQ697" s="83"/>
      <c r="HY697" s="405"/>
      <c r="IE697" s="83"/>
      <c r="IM697" s="405"/>
      <c r="IS697" s="83"/>
      <c r="JA697" s="405"/>
      <c r="JG697" s="83"/>
      <c r="JO697" s="405"/>
      <c r="JU697" s="83"/>
      <c r="KC697" s="405"/>
      <c r="KI697" s="83"/>
      <c r="KQ697" s="405"/>
      <c r="KW697" s="83"/>
      <c r="LE697" s="405"/>
      <c r="LK697" s="83"/>
      <c r="LS697" s="405"/>
      <c r="LY697" s="83"/>
      <c r="MG697" s="405"/>
      <c r="MM697" s="83"/>
      <c r="MU697" s="405"/>
      <c r="NA697" s="83"/>
    </row>
    <row r="698">
      <c r="A698" s="380"/>
      <c r="B698" s="380"/>
      <c r="C698" s="380"/>
      <c r="D698" s="380"/>
      <c r="E698" s="380"/>
      <c r="F698" s="380"/>
      <c r="G698" s="380"/>
      <c r="H698" s="380"/>
      <c r="I698" s="403"/>
      <c r="J698" s="380"/>
      <c r="K698" s="380"/>
      <c r="L698" s="380"/>
      <c r="M698" s="380"/>
      <c r="N698" s="380"/>
      <c r="O698" s="404"/>
      <c r="P698" s="380"/>
      <c r="Q698" s="380"/>
      <c r="R698" s="380"/>
      <c r="S698" s="380"/>
      <c r="T698" s="380"/>
      <c r="U698" s="380"/>
      <c r="V698" s="380"/>
      <c r="W698" s="403"/>
      <c r="X698" s="380"/>
      <c r="Y698" s="380"/>
      <c r="Z698" s="380"/>
      <c r="AA698" s="380"/>
      <c r="AB698" s="380"/>
      <c r="AC698" s="404"/>
      <c r="AD698" s="380"/>
      <c r="AE698" s="380"/>
      <c r="AF698" s="380"/>
      <c r="AG698" s="380"/>
      <c r="AH698" s="380"/>
      <c r="AI698" s="380"/>
      <c r="AJ698" s="380"/>
      <c r="AK698" s="403"/>
      <c r="AL698" s="380"/>
      <c r="AM698" s="380"/>
      <c r="AN698" s="380"/>
      <c r="AO698" s="380"/>
      <c r="AP698" s="380"/>
      <c r="AQ698" s="404"/>
      <c r="AR698" s="380"/>
      <c r="AS698" s="380"/>
      <c r="AT698" s="380"/>
      <c r="AU698" s="380"/>
      <c r="AV698" s="380"/>
      <c r="AW698" s="380"/>
      <c r="AX698" s="380"/>
      <c r="AY698" s="403"/>
      <c r="AZ698" s="380"/>
      <c r="BA698" s="380"/>
      <c r="BB698" s="380"/>
      <c r="BC698" s="380"/>
      <c r="BD698" s="380"/>
      <c r="BE698" s="404"/>
      <c r="BF698" s="380"/>
      <c r="BG698" s="380"/>
      <c r="BH698" s="380"/>
      <c r="BI698" s="380"/>
      <c r="BJ698" s="380"/>
      <c r="BK698" s="380"/>
      <c r="BL698" s="380"/>
      <c r="BM698" s="403"/>
      <c r="BS698" s="83"/>
      <c r="CA698" s="405"/>
      <c r="CG698" s="83"/>
      <c r="CO698" s="405"/>
      <c r="CU698" s="83"/>
      <c r="DC698" s="405"/>
      <c r="DI698" s="83"/>
      <c r="DQ698" s="405"/>
      <c r="DW698" s="83"/>
      <c r="EE698" s="405"/>
      <c r="EK698" s="83"/>
      <c r="ES698" s="405"/>
      <c r="EY698" s="83"/>
      <c r="FG698" s="405"/>
      <c r="FM698" s="83"/>
      <c r="FU698" s="405"/>
      <c r="GA698" s="83"/>
      <c r="GI698" s="405"/>
      <c r="GO698" s="83"/>
      <c r="GW698" s="405"/>
      <c r="HC698" s="83"/>
      <c r="HK698" s="405"/>
      <c r="HQ698" s="83"/>
      <c r="HY698" s="405"/>
      <c r="IE698" s="83"/>
      <c r="IM698" s="405"/>
      <c r="IS698" s="83"/>
      <c r="JA698" s="405"/>
      <c r="JG698" s="83"/>
      <c r="JO698" s="405"/>
      <c r="JU698" s="83"/>
      <c r="KC698" s="405"/>
      <c r="KI698" s="83"/>
      <c r="KQ698" s="405"/>
      <c r="KW698" s="83"/>
      <c r="LE698" s="405"/>
      <c r="LK698" s="83"/>
      <c r="LS698" s="405"/>
      <c r="LY698" s="83"/>
      <c r="MG698" s="405"/>
      <c r="MM698" s="83"/>
      <c r="MU698" s="405"/>
      <c r="NA698" s="83"/>
    </row>
    <row r="699">
      <c r="A699" s="380"/>
      <c r="B699" s="380"/>
      <c r="C699" s="380"/>
      <c r="D699" s="380"/>
      <c r="E699" s="380"/>
      <c r="F699" s="380"/>
      <c r="G699" s="380"/>
      <c r="H699" s="380"/>
      <c r="I699" s="403"/>
      <c r="J699" s="380"/>
      <c r="K699" s="380"/>
      <c r="L699" s="380"/>
      <c r="M699" s="380"/>
      <c r="N699" s="380"/>
      <c r="O699" s="404"/>
      <c r="P699" s="380"/>
      <c r="Q699" s="380"/>
      <c r="R699" s="380"/>
      <c r="S699" s="380"/>
      <c r="T699" s="380"/>
      <c r="U699" s="380"/>
      <c r="V699" s="380"/>
      <c r="W699" s="403"/>
      <c r="X699" s="380"/>
      <c r="Y699" s="380"/>
      <c r="Z699" s="380"/>
      <c r="AA699" s="380"/>
      <c r="AB699" s="380"/>
      <c r="AC699" s="404"/>
      <c r="AD699" s="380"/>
      <c r="AE699" s="380"/>
      <c r="AF699" s="380"/>
      <c r="AG699" s="380"/>
      <c r="AH699" s="380"/>
      <c r="AI699" s="380"/>
      <c r="AJ699" s="380"/>
      <c r="AK699" s="403"/>
      <c r="AL699" s="380"/>
      <c r="AM699" s="380"/>
      <c r="AN699" s="380"/>
      <c r="AO699" s="380"/>
      <c r="AP699" s="380"/>
      <c r="AQ699" s="404"/>
      <c r="AR699" s="380"/>
      <c r="AS699" s="380"/>
      <c r="AT699" s="380"/>
      <c r="AU699" s="380"/>
      <c r="AV699" s="380"/>
      <c r="AW699" s="380"/>
      <c r="AX699" s="380"/>
      <c r="AY699" s="403"/>
      <c r="AZ699" s="380"/>
      <c r="BA699" s="380"/>
      <c r="BB699" s="380"/>
      <c r="BC699" s="380"/>
      <c r="BD699" s="380"/>
      <c r="BE699" s="404"/>
      <c r="BF699" s="380"/>
      <c r="BG699" s="380"/>
      <c r="BH699" s="380"/>
      <c r="BI699" s="380"/>
      <c r="BJ699" s="380"/>
      <c r="BK699" s="380"/>
      <c r="BL699" s="380"/>
      <c r="BM699" s="403"/>
      <c r="BS699" s="83"/>
      <c r="CA699" s="405"/>
      <c r="CG699" s="83"/>
      <c r="CO699" s="405"/>
      <c r="CU699" s="83"/>
      <c r="DC699" s="405"/>
      <c r="DI699" s="83"/>
      <c r="DQ699" s="405"/>
      <c r="DW699" s="83"/>
      <c r="EE699" s="405"/>
      <c r="EK699" s="83"/>
      <c r="ES699" s="405"/>
      <c r="EY699" s="83"/>
      <c r="FG699" s="405"/>
      <c r="FM699" s="83"/>
      <c r="FU699" s="405"/>
      <c r="GA699" s="83"/>
      <c r="GI699" s="405"/>
      <c r="GO699" s="83"/>
      <c r="GW699" s="405"/>
      <c r="HC699" s="83"/>
      <c r="HK699" s="405"/>
      <c r="HQ699" s="83"/>
      <c r="HY699" s="405"/>
      <c r="IE699" s="83"/>
      <c r="IM699" s="405"/>
      <c r="IS699" s="83"/>
      <c r="JA699" s="405"/>
      <c r="JG699" s="83"/>
      <c r="JO699" s="405"/>
      <c r="JU699" s="83"/>
      <c r="KC699" s="405"/>
      <c r="KI699" s="83"/>
      <c r="KQ699" s="405"/>
      <c r="KW699" s="83"/>
      <c r="LE699" s="405"/>
      <c r="LK699" s="83"/>
      <c r="LS699" s="405"/>
      <c r="LY699" s="83"/>
      <c r="MG699" s="405"/>
      <c r="MM699" s="83"/>
      <c r="MU699" s="405"/>
      <c r="NA699" s="83"/>
    </row>
    <row r="700">
      <c r="A700" s="380"/>
      <c r="B700" s="380"/>
      <c r="C700" s="380"/>
      <c r="D700" s="380"/>
      <c r="E700" s="380"/>
      <c r="F700" s="380"/>
      <c r="G700" s="380"/>
      <c r="H700" s="380"/>
      <c r="I700" s="403"/>
      <c r="J700" s="380"/>
      <c r="K700" s="380"/>
      <c r="L700" s="380"/>
      <c r="M700" s="380"/>
      <c r="N700" s="380"/>
      <c r="O700" s="404"/>
      <c r="P700" s="380"/>
      <c r="Q700" s="380"/>
      <c r="R700" s="380"/>
      <c r="S700" s="380"/>
      <c r="T700" s="380"/>
      <c r="U700" s="380"/>
      <c r="V700" s="380"/>
      <c r="W700" s="403"/>
      <c r="X700" s="380"/>
      <c r="Y700" s="380"/>
      <c r="Z700" s="380"/>
      <c r="AA700" s="380"/>
      <c r="AB700" s="380"/>
      <c r="AC700" s="404"/>
      <c r="AD700" s="380"/>
      <c r="AE700" s="380"/>
      <c r="AF700" s="380"/>
      <c r="AG700" s="380"/>
      <c r="AH700" s="380"/>
      <c r="AI700" s="380"/>
      <c r="AJ700" s="380"/>
      <c r="AK700" s="403"/>
      <c r="AL700" s="380"/>
      <c r="AM700" s="380"/>
      <c r="AN700" s="380"/>
      <c r="AO700" s="380"/>
      <c r="AP700" s="380"/>
      <c r="AQ700" s="404"/>
      <c r="AR700" s="380"/>
      <c r="AS700" s="380"/>
      <c r="AT700" s="380"/>
      <c r="AU700" s="380"/>
      <c r="AV700" s="380"/>
      <c r="AW700" s="380"/>
      <c r="AX700" s="380"/>
      <c r="AY700" s="403"/>
      <c r="AZ700" s="380"/>
      <c r="BA700" s="380"/>
      <c r="BB700" s="380"/>
      <c r="BC700" s="380"/>
      <c r="BD700" s="380"/>
      <c r="BE700" s="404"/>
      <c r="BF700" s="380"/>
      <c r="BG700" s="380"/>
      <c r="BH700" s="380"/>
      <c r="BI700" s="380"/>
      <c r="BJ700" s="380"/>
      <c r="BK700" s="380"/>
      <c r="BL700" s="380"/>
      <c r="BM700" s="403"/>
      <c r="BS700" s="83"/>
      <c r="CA700" s="405"/>
      <c r="CG700" s="83"/>
      <c r="CO700" s="405"/>
      <c r="CU700" s="83"/>
      <c r="DC700" s="405"/>
      <c r="DI700" s="83"/>
      <c r="DQ700" s="405"/>
      <c r="DW700" s="83"/>
      <c r="EE700" s="405"/>
      <c r="EK700" s="83"/>
      <c r="ES700" s="405"/>
      <c r="EY700" s="83"/>
      <c r="FG700" s="405"/>
      <c r="FM700" s="83"/>
      <c r="FU700" s="405"/>
      <c r="GA700" s="83"/>
      <c r="GI700" s="405"/>
      <c r="GO700" s="83"/>
      <c r="GW700" s="405"/>
      <c r="HC700" s="83"/>
      <c r="HK700" s="405"/>
      <c r="HQ700" s="83"/>
      <c r="HY700" s="405"/>
      <c r="IE700" s="83"/>
      <c r="IM700" s="405"/>
      <c r="IS700" s="83"/>
      <c r="JA700" s="405"/>
      <c r="JG700" s="83"/>
      <c r="JO700" s="405"/>
      <c r="JU700" s="83"/>
      <c r="KC700" s="405"/>
      <c r="KI700" s="83"/>
      <c r="KQ700" s="405"/>
      <c r="KW700" s="83"/>
      <c r="LE700" s="405"/>
      <c r="LK700" s="83"/>
      <c r="LS700" s="405"/>
      <c r="LY700" s="83"/>
      <c r="MG700" s="405"/>
      <c r="MM700" s="83"/>
      <c r="MU700" s="405"/>
      <c r="NA700" s="83"/>
    </row>
    <row r="701">
      <c r="A701" s="380"/>
      <c r="B701" s="380"/>
      <c r="C701" s="380"/>
      <c r="D701" s="380"/>
      <c r="E701" s="380"/>
      <c r="F701" s="380"/>
      <c r="G701" s="380"/>
      <c r="H701" s="380"/>
      <c r="I701" s="403"/>
      <c r="J701" s="380"/>
      <c r="K701" s="380"/>
      <c r="L701" s="380"/>
      <c r="M701" s="380"/>
      <c r="N701" s="380"/>
      <c r="O701" s="404"/>
      <c r="P701" s="380"/>
      <c r="Q701" s="380"/>
      <c r="R701" s="380"/>
      <c r="S701" s="380"/>
      <c r="T701" s="380"/>
      <c r="U701" s="380"/>
      <c r="V701" s="380"/>
      <c r="W701" s="403"/>
      <c r="X701" s="380"/>
      <c r="Y701" s="380"/>
      <c r="Z701" s="380"/>
      <c r="AA701" s="380"/>
      <c r="AB701" s="380"/>
      <c r="AC701" s="404"/>
      <c r="AD701" s="380"/>
      <c r="AE701" s="380"/>
      <c r="AF701" s="380"/>
      <c r="AG701" s="380"/>
      <c r="AH701" s="380"/>
      <c r="AI701" s="380"/>
      <c r="AJ701" s="380"/>
      <c r="AK701" s="403"/>
      <c r="AL701" s="380"/>
      <c r="AM701" s="380"/>
      <c r="AN701" s="380"/>
      <c r="AO701" s="380"/>
      <c r="AP701" s="380"/>
      <c r="AQ701" s="404"/>
      <c r="AR701" s="380"/>
      <c r="AS701" s="380"/>
      <c r="AT701" s="380"/>
      <c r="AU701" s="380"/>
      <c r="AV701" s="380"/>
      <c r="AW701" s="380"/>
      <c r="AX701" s="380"/>
      <c r="AY701" s="403"/>
      <c r="AZ701" s="380"/>
      <c r="BA701" s="380"/>
      <c r="BB701" s="380"/>
      <c r="BC701" s="380"/>
      <c r="BD701" s="380"/>
      <c r="BE701" s="404"/>
      <c r="BF701" s="380"/>
      <c r="BG701" s="380"/>
      <c r="BH701" s="380"/>
      <c r="BI701" s="380"/>
      <c r="BJ701" s="380"/>
      <c r="BK701" s="380"/>
      <c r="BL701" s="380"/>
      <c r="BM701" s="403"/>
      <c r="BS701" s="83"/>
      <c r="CA701" s="405"/>
      <c r="CG701" s="83"/>
      <c r="CO701" s="405"/>
      <c r="CU701" s="83"/>
      <c r="DC701" s="405"/>
      <c r="DI701" s="83"/>
      <c r="DQ701" s="405"/>
      <c r="DW701" s="83"/>
      <c r="EE701" s="405"/>
      <c r="EK701" s="83"/>
      <c r="ES701" s="405"/>
      <c r="EY701" s="83"/>
      <c r="FG701" s="405"/>
      <c r="FM701" s="83"/>
      <c r="FU701" s="405"/>
      <c r="GA701" s="83"/>
      <c r="GI701" s="405"/>
      <c r="GO701" s="83"/>
      <c r="GW701" s="405"/>
      <c r="HC701" s="83"/>
      <c r="HK701" s="405"/>
      <c r="HQ701" s="83"/>
      <c r="HY701" s="405"/>
      <c r="IE701" s="83"/>
      <c r="IM701" s="405"/>
      <c r="IS701" s="83"/>
      <c r="JA701" s="405"/>
      <c r="JG701" s="83"/>
      <c r="JO701" s="405"/>
      <c r="JU701" s="83"/>
      <c r="KC701" s="405"/>
      <c r="KI701" s="83"/>
      <c r="KQ701" s="405"/>
      <c r="KW701" s="83"/>
      <c r="LE701" s="405"/>
      <c r="LK701" s="83"/>
      <c r="LS701" s="405"/>
      <c r="LY701" s="83"/>
      <c r="MG701" s="405"/>
      <c r="MM701" s="83"/>
      <c r="MU701" s="405"/>
      <c r="NA701" s="83"/>
    </row>
    <row r="702">
      <c r="A702" s="380"/>
      <c r="B702" s="380"/>
      <c r="C702" s="380"/>
      <c r="D702" s="380"/>
      <c r="E702" s="380"/>
      <c r="F702" s="380"/>
      <c r="G702" s="380"/>
      <c r="H702" s="380"/>
      <c r="I702" s="403"/>
      <c r="J702" s="380"/>
      <c r="K702" s="380"/>
      <c r="L702" s="380"/>
      <c r="M702" s="380"/>
      <c r="N702" s="380"/>
      <c r="O702" s="404"/>
      <c r="P702" s="380"/>
      <c r="Q702" s="380"/>
      <c r="R702" s="380"/>
      <c r="S702" s="380"/>
      <c r="T702" s="380"/>
      <c r="U702" s="380"/>
      <c r="V702" s="380"/>
      <c r="W702" s="403"/>
      <c r="X702" s="380"/>
      <c r="Y702" s="380"/>
      <c r="Z702" s="380"/>
      <c r="AA702" s="380"/>
      <c r="AB702" s="380"/>
      <c r="AC702" s="404"/>
      <c r="AD702" s="380"/>
      <c r="AE702" s="380"/>
      <c r="AF702" s="380"/>
      <c r="AG702" s="380"/>
      <c r="AH702" s="380"/>
      <c r="AI702" s="380"/>
      <c r="AJ702" s="380"/>
      <c r="AK702" s="403"/>
      <c r="AL702" s="380"/>
      <c r="AM702" s="380"/>
      <c r="AN702" s="380"/>
      <c r="AO702" s="380"/>
      <c r="AP702" s="380"/>
      <c r="AQ702" s="404"/>
      <c r="AR702" s="380"/>
      <c r="AS702" s="380"/>
      <c r="AT702" s="380"/>
      <c r="AU702" s="380"/>
      <c r="AV702" s="380"/>
      <c r="AW702" s="380"/>
      <c r="AX702" s="380"/>
      <c r="AY702" s="403"/>
      <c r="AZ702" s="380"/>
      <c r="BA702" s="380"/>
      <c r="BB702" s="380"/>
      <c r="BC702" s="380"/>
      <c r="BD702" s="380"/>
      <c r="BE702" s="404"/>
      <c r="BF702" s="380"/>
      <c r="BG702" s="380"/>
      <c r="BH702" s="380"/>
      <c r="BI702" s="380"/>
      <c r="BJ702" s="380"/>
      <c r="BK702" s="380"/>
      <c r="BL702" s="380"/>
      <c r="BM702" s="403"/>
      <c r="BS702" s="83"/>
      <c r="CA702" s="405"/>
      <c r="CG702" s="83"/>
      <c r="CO702" s="405"/>
      <c r="CU702" s="83"/>
      <c r="DC702" s="405"/>
      <c r="DI702" s="83"/>
      <c r="DQ702" s="405"/>
      <c r="DW702" s="83"/>
      <c r="EE702" s="405"/>
      <c r="EK702" s="83"/>
      <c r="ES702" s="405"/>
      <c r="EY702" s="83"/>
      <c r="FG702" s="405"/>
      <c r="FM702" s="83"/>
      <c r="FU702" s="405"/>
      <c r="GA702" s="83"/>
      <c r="GI702" s="405"/>
      <c r="GO702" s="83"/>
      <c r="GW702" s="405"/>
      <c r="HC702" s="83"/>
      <c r="HK702" s="405"/>
      <c r="HQ702" s="83"/>
      <c r="HY702" s="405"/>
      <c r="IE702" s="83"/>
      <c r="IM702" s="405"/>
      <c r="IS702" s="83"/>
      <c r="JA702" s="405"/>
      <c r="JG702" s="83"/>
      <c r="JO702" s="405"/>
      <c r="JU702" s="83"/>
      <c r="KC702" s="405"/>
      <c r="KI702" s="83"/>
      <c r="KQ702" s="405"/>
      <c r="KW702" s="83"/>
      <c r="LE702" s="405"/>
      <c r="LK702" s="83"/>
      <c r="LS702" s="405"/>
      <c r="LY702" s="83"/>
      <c r="MG702" s="405"/>
      <c r="MM702" s="83"/>
      <c r="MU702" s="405"/>
      <c r="NA702" s="83"/>
    </row>
    <row r="703">
      <c r="A703" s="380"/>
      <c r="B703" s="380"/>
      <c r="C703" s="380"/>
      <c r="D703" s="380"/>
      <c r="E703" s="380"/>
      <c r="F703" s="380"/>
      <c r="G703" s="380"/>
      <c r="H703" s="380"/>
      <c r="I703" s="403"/>
      <c r="J703" s="380"/>
      <c r="K703" s="380"/>
      <c r="L703" s="380"/>
      <c r="M703" s="380"/>
      <c r="N703" s="380"/>
      <c r="O703" s="404"/>
      <c r="P703" s="380"/>
      <c r="Q703" s="380"/>
      <c r="R703" s="380"/>
      <c r="S703" s="380"/>
      <c r="T703" s="380"/>
      <c r="U703" s="380"/>
      <c r="V703" s="380"/>
      <c r="W703" s="403"/>
      <c r="X703" s="380"/>
      <c r="Y703" s="380"/>
      <c r="Z703" s="380"/>
      <c r="AA703" s="380"/>
      <c r="AB703" s="380"/>
      <c r="AC703" s="404"/>
      <c r="AD703" s="380"/>
      <c r="AE703" s="380"/>
      <c r="AF703" s="380"/>
      <c r="AG703" s="380"/>
      <c r="AH703" s="380"/>
      <c r="AI703" s="380"/>
      <c r="AJ703" s="380"/>
      <c r="AK703" s="403"/>
      <c r="AL703" s="380"/>
      <c r="AM703" s="380"/>
      <c r="AN703" s="380"/>
      <c r="AO703" s="380"/>
      <c r="AP703" s="380"/>
      <c r="AQ703" s="404"/>
      <c r="AR703" s="380"/>
      <c r="AS703" s="380"/>
      <c r="AT703" s="380"/>
      <c r="AU703" s="380"/>
      <c r="AV703" s="380"/>
      <c r="AW703" s="380"/>
      <c r="AX703" s="380"/>
      <c r="AY703" s="403"/>
      <c r="AZ703" s="380"/>
      <c r="BA703" s="380"/>
      <c r="BB703" s="380"/>
      <c r="BC703" s="380"/>
      <c r="BD703" s="380"/>
      <c r="BE703" s="404"/>
      <c r="BF703" s="380"/>
      <c r="BG703" s="380"/>
      <c r="BH703" s="380"/>
      <c r="BI703" s="380"/>
      <c r="BJ703" s="380"/>
      <c r="BK703" s="380"/>
      <c r="BL703" s="380"/>
      <c r="BM703" s="403"/>
      <c r="BS703" s="83"/>
      <c r="CA703" s="405"/>
      <c r="CG703" s="83"/>
      <c r="CO703" s="405"/>
      <c r="CU703" s="83"/>
      <c r="DC703" s="405"/>
      <c r="DI703" s="83"/>
      <c r="DQ703" s="405"/>
      <c r="DW703" s="83"/>
      <c r="EE703" s="405"/>
      <c r="EK703" s="83"/>
      <c r="ES703" s="405"/>
      <c r="EY703" s="83"/>
      <c r="FG703" s="405"/>
      <c r="FM703" s="83"/>
      <c r="FU703" s="405"/>
      <c r="GA703" s="83"/>
      <c r="GI703" s="405"/>
      <c r="GO703" s="83"/>
      <c r="GW703" s="405"/>
      <c r="HC703" s="83"/>
      <c r="HK703" s="405"/>
      <c r="HQ703" s="83"/>
      <c r="HY703" s="405"/>
      <c r="IE703" s="83"/>
      <c r="IM703" s="405"/>
      <c r="IS703" s="83"/>
      <c r="JA703" s="405"/>
      <c r="JG703" s="83"/>
      <c r="JO703" s="405"/>
      <c r="JU703" s="83"/>
      <c r="KC703" s="405"/>
      <c r="KI703" s="83"/>
      <c r="KQ703" s="405"/>
      <c r="KW703" s="83"/>
      <c r="LE703" s="405"/>
      <c r="LK703" s="83"/>
      <c r="LS703" s="405"/>
      <c r="LY703" s="83"/>
      <c r="MG703" s="405"/>
      <c r="MM703" s="83"/>
      <c r="MU703" s="405"/>
      <c r="NA703" s="83"/>
    </row>
    <row r="704">
      <c r="A704" s="380"/>
      <c r="B704" s="380"/>
      <c r="C704" s="380"/>
      <c r="D704" s="380"/>
      <c r="E704" s="380"/>
      <c r="F704" s="380"/>
      <c r="G704" s="380"/>
      <c r="H704" s="380"/>
      <c r="I704" s="403"/>
      <c r="J704" s="380"/>
      <c r="K704" s="380"/>
      <c r="L704" s="380"/>
      <c r="M704" s="380"/>
      <c r="N704" s="380"/>
      <c r="O704" s="404"/>
      <c r="P704" s="380"/>
      <c r="Q704" s="380"/>
      <c r="R704" s="380"/>
      <c r="S704" s="380"/>
      <c r="T704" s="380"/>
      <c r="U704" s="380"/>
      <c r="V704" s="380"/>
      <c r="W704" s="403"/>
      <c r="X704" s="380"/>
      <c r="Y704" s="380"/>
      <c r="Z704" s="380"/>
      <c r="AA704" s="380"/>
      <c r="AB704" s="380"/>
      <c r="AC704" s="404"/>
      <c r="AD704" s="380"/>
      <c r="AE704" s="380"/>
      <c r="AF704" s="380"/>
      <c r="AG704" s="380"/>
      <c r="AH704" s="380"/>
      <c r="AI704" s="380"/>
      <c r="AJ704" s="380"/>
      <c r="AK704" s="403"/>
      <c r="AL704" s="380"/>
      <c r="AM704" s="380"/>
      <c r="AN704" s="380"/>
      <c r="AO704" s="380"/>
      <c r="AP704" s="380"/>
      <c r="AQ704" s="404"/>
      <c r="AR704" s="380"/>
      <c r="AS704" s="380"/>
      <c r="AT704" s="380"/>
      <c r="AU704" s="380"/>
      <c r="AV704" s="380"/>
      <c r="AW704" s="380"/>
      <c r="AX704" s="380"/>
      <c r="AY704" s="403"/>
      <c r="AZ704" s="380"/>
      <c r="BA704" s="380"/>
      <c r="BB704" s="380"/>
      <c r="BC704" s="380"/>
      <c r="BD704" s="380"/>
      <c r="BE704" s="404"/>
      <c r="BF704" s="380"/>
      <c r="BG704" s="380"/>
      <c r="BH704" s="380"/>
      <c r="BI704" s="380"/>
      <c r="BJ704" s="380"/>
      <c r="BK704" s="380"/>
      <c r="BL704" s="380"/>
      <c r="BM704" s="403"/>
      <c r="BS704" s="83"/>
      <c r="CA704" s="405"/>
      <c r="CG704" s="83"/>
      <c r="CO704" s="405"/>
      <c r="CU704" s="83"/>
      <c r="DC704" s="405"/>
      <c r="DI704" s="83"/>
      <c r="DQ704" s="405"/>
      <c r="DW704" s="83"/>
      <c r="EE704" s="405"/>
      <c r="EK704" s="83"/>
      <c r="ES704" s="405"/>
      <c r="EY704" s="83"/>
      <c r="FG704" s="405"/>
      <c r="FM704" s="83"/>
      <c r="FU704" s="405"/>
      <c r="GA704" s="83"/>
      <c r="GI704" s="405"/>
      <c r="GO704" s="83"/>
      <c r="GW704" s="405"/>
      <c r="HC704" s="83"/>
      <c r="HK704" s="405"/>
      <c r="HQ704" s="83"/>
      <c r="HY704" s="405"/>
      <c r="IE704" s="83"/>
      <c r="IM704" s="405"/>
      <c r="IS704" s="83"/>
      <c r="JA704" s="405"/>
      <c r="JG704" s="83"/>
      <c r="JO704" s="405"/>
      <c r="JU704" s="83"/>
      <c r="KC704" s="405"/>
      <c r="KI704" s="83"/>
      <c r="KQ704" s="405"/>
      <c r="KW704" s="83"/>
      <c r="LE704" s="405"/>
      <c r="LK704" s="83"/>
      <c r="LS704" s="405"/>
      <c r="LY704" s="83"/>
      <c r="MG704" s="405"/>
      <c r="MM704" s="83"/>
      <c r="MU704" s="405"/>
      <c r="NA704" s="83"/>
    </row>
    <row r="705">
      <c r="A705" s="380"/>
      <c r="B705" s="380"/>
      <c r="C705" s="380"/>
      <c r="D705" s="380"/>
      <c r="E705" s="380"/>
      <c r="F705" s="380"/>
      <c r="G705" s="380"/>
      <c r="H705" s="380"/>
      <c r="I705" s="403"/>
      <c r="J705" s="380"/>
      <c r="K705" s="380"/>
      <c r="L705" s="380"/>
      <c r="M705" s="380"/>
      <c r="N705" s="380"/>
      <c r="O705" s="404"/>
      <c r="P705" s="380"/>
      <c r="Q705" s="380"/>
      <c r="R705" s="380"/>
      <c r="S705" s="380"/>
      <c r="T705" s="380"/>
      <c r="U705" s="380"/>
      <c r="V705" s="380"/>
      <c r="W705" s="403"/>
      <c r="X705" s="380"/>
      <c r="Y705" s="380"/>
      <c r="Z705" s="380"/>
      <c r="AA705" s="380"/>
      <c r="AB705" s="380"/>
      <c r="AC705" s="404"/>
      <c r="AD705" s="380"/>
      <c r="AE705" s="380"/>
      <c r="AF705" s="380"/>
      <c r="AG705" s="380"/>
      <c r="AH705" s="380"/>
      <c r="AI705" s="380"/>
      <c r="AJ705" s="380"/>
      <c r="AK705" s="403"/>
      <c r="AL705" s="380"/>
      <c r="AM705" s="380"/>
      <c r="AN705" s="380"/>
      <c r="AO705" s="380"/>
      <c r="AP705" s="380"/>
      <c r="AQ705" s="404"/>
      <c r="AR705" s="380"/>
      <c r="AS705" s="380"/>
      <c r="AT705" s="380"/>
      <c r="AU705" s="380"/>
      <c r="AV705" s="380"/>
      <c r="AW705" s="380"/>
      <c r="AX705" s="380"/>
      <c r="AY705" s="403"/>
      <c r="AZ705" s="380"/>
      <c r="BA705" s="380"/>
      <c r="BB705" s="380"/>
      <c r="BC705" s="380"/>
      <c r="BD705" s="380"/>
      <c r="BE705" s="404"/>
      <c r="BF705" s="380"/>
      <c r="BG705" s="380"/>
      <c r="BH705" s="380"/>
      <c r="BI705" s="380"/>
      <c r="BJ705" s="380"/>
      <c r="BK705" s="380"/>
      <c r="BL705" s="380"/>
      <c r="BM705" s="403"/>
      <c r="BS705" s="83"/>
      <c r="CA705" s="405"/>
      <c r="CG705" s="83"/>
      <c r="CO705" s="405"/>
      <c r="CU705" s="83"/>
      <c r="DC705" s="405"/>
      <c r="DI705" s="83"/>
      <c r="DQ705" s="405"/>
      <c r="DW705" s="83"/>
      <c r="EE705" s="405"/>
      <c r="EK705" s="83"/>
      <c r="ES705" s="405"/>
      <c r="EY705" s="83"/>
      <c r="FG705" s="405"/>
      <c r="FM705" s="83"/>
      <c r="FU705" s="405"/>
      <c r="GA705" s="83"/>
      <c r="GI705" s="405"/>
      <c r="GO705" s="83"/>
      <c r="GW705" s="405"/>
      <c r="HC705" s="83"/>
      <c r="HK705" s="405"/>
      <c r="HQ705" s="83"/>
      <c r="HY705" s="405"/>
      <c r="IE705" s="83"/>
      <c r="IM705" s="405"/>
      <c r="IS705" s="83"/>
      <c r="JA705" s="405"/>
      <c r="JG705" s="83"/>
      <c r="JO705" s="405"/>
      <c r="JU705" s="83"/>
      <c r="KC705" s="405"/>
      <c r="KI705" s="83"/>
      <c r="KQ705" s="405"/>
      <c r="KW705" s="83"/>
      <c r="LE705" s="405"/>
      <c r="LK705" s="83"/>
      <c r="LS705" s="405"/>
      <c r="LY705" s="83"/>
      <c r="MG705" s="405"/>
      <c r="MM705" s="83"/>
      <c r="MU705" s="405"/>
      <c r="NA705" s="83"/>
    </row>
    <row r="706">
      <c r="A706" s="380"/>
      <c r="B706" s="380"/>
      <c r="C706" s="380"/>
      <c r="D706" s="380"/>
      <c r="E706" s="380"/>
      <c r="F706" s="380"/>
      <c r="G706" s="380"/>
      <c r="H706" s="380"/>
      <c r="I706" s="403"/>
      <c r="J706" s="380"/>
      <c r="K706" s="380"/>
      <c r="L706" s="380"/>
      <c r="M706" s="380"/>
      <c r="N706" s="380"/>
      <c r="O706" s="404"/>
      <c r="P706" s="380"/>
      <c r="Q706" s="380"/>
      <c r="R706" s="380"/>
      <c r="S706" s="380"/>
      <c r="T706" s="380"/>
      <c r="U706" s="380"/>
      <c r="V706" s="380"/>
      <c r="W706" s="403"/>
      <c r="X706" s="380"/>
      <c r="Y706" s="380"/>
      <c r="Z706" s="380"/>
      <c r="AA706" s="380"/>
      <c r="AB706" s="380"/>
      <c r="AC706" s="404"/>
      <c r="AD706" s="380"/>
      <c r="AE706" s="380"/>
      <c r="AF706" s="380"/>
      <c r="AG706" s="380"/>
      <c r="AH706" s="380"/>
      <c r="AI706" s="380"/>
      <c r="AJ706" s="380"/>
      <c r="AK706" s="403"/>
      <c r="AL706" s="380"/>
      <c r="AM706" s="380"/>
      <c r="AN706" s="380"/>
      <c r="AO706" s="380"/>
      <c r="AP706" s="380"/>
      <c r="AQ706" s="404"/>
      <c r="AR706" s="380"/>
      <c r="AS706" s="380"/>
      <c r="AT706" s="380"/>
      <c r="AU706" s="380"/>
      <c r="AV706" s="380"/>
      <c r="AW706" s="380"/>
      <c r="AX706" s="380"/>
      <c r="AY706" s="403"/>
      <c r="AZ706" s="380"/>
      <c r="BA706" s="380"/>
      <c r="BB706" s="380"/>
      <c r="BC706" s="380"/>
      <c r="BD706" s="380"/>
      <c r="BE706" s="404"/>
      <c r="BF706" s="380"/>
      <c r="BG706" s="380"/>
      <c r="BH706" s="380"/>
      <c r="BI706" s="380"/>
      <c r="BJ706" s="380"/>
      <c r="BK706" s="380"/>
      <c r="BL706" s="380"/>
      <c r="BM706" s="403"/>
      <c r="BS706" s="83"/>
      <c r="CA706" s="405"/>
      <c r="CG706" s="83"/>
      <c r="CO706" s="405"/>
      <c r="CU706" s="83"/>
      <c r="DC706" s="405"/>
      <c r="DI706" s="83"/>
      <c r="DQ706" s="405"/>
      <c r="DW706" s="83"/>
      <c r="EE706" s="405"/>
      <c r="EK706" s="83"/>
      <c r="ES706" s="405"/>
      <c r="EY706" s="83"/>
      <c r="FG706" s="405"/>
      <c r="FM706" s="83"/>
      <c r="FU706" s="405"/>
      <c r="GA706" s="83"/>
      <c r="GI706" s="405"/>
      <c r="GO706" s="83"/>
      <c r="GW706" s="405"/>
      <c r="HC706" s="83"/>
      <c r="HK706" s="405"/>
      <c r="HQ706" s="83"/>
      <c r="HY706" s="405"/>
      <c r="IE706" s="83"/>
      <c r="IM706" s="405"/>
      <c r="IS706" s="83"/>
      <c r="JA706" s="405"/>
      <c r="JG706" s="83"/>
      <c r="JO706" s="405"/>
      <c r="JU706" s="83"/>
      <c r="KC706" s="405"/>
      <c r="KI706" s="83"/>
      <c r="KQ706" s="405"/>
      <c r="KW706" s="83"/>
      <c r="LE706" s="405"/>
      <c r="LK706" s="83"/>
      <c r="LS706" s="405"/>
      <c r="LY706" s="83"/>
      <c r="MG706" s="405"/>
      <c r="MM706" s="83"/>
      <c r="MU706" s="405"/>
      <c r="NA706" s="83"/>
    </row>
    <row r="707">
      <c r="A707" s="380"/>
      <c r="B707" s="380"/>
      <c r="C707" s="380"/>
      <c r="D707" s="380"/>
      <c r="E707" s="380"/>
      <c r="F707" s="380"/>
      <c r="G707" s="380"/>
      <c r="H707" s="380"/>
      <c r="I707" s="403"/>
      <c r="J707" s="380"/>
      <c r="K707" s="380"/>
      <c r="L707" s="380"/>
      <c r="M707" s="380"/>
      <c r="N707" s="380"/>
      <c r="O707" s="404"/>
      <c r="P707" s="380"/>
      <c r="Q707" s="380"/>
      <c r="R707" s="380"/>
      <c r="S707" s="380"/>
      <c r="T707" s="380"/>
      <c r="U707" s="380"/>
      <c r="V707" s="380"/>
      <c r="W707" s="403"/>
      <c r="X707" s="380"/>
      <c r="Y707" s="380"/>
      <c r="Z707" s="380"/>
      <c r="AA707" s="380"/>
      <c r="AB707" s="380"/>
      <c r="AC707" s="404"/>
      <c r="AD707" s="380"/>
      <c r="AE707" s="380"/>
      <c r="AF707" s="380"/>
      <c r="AG707" s="380"/>
      <c r="AH707" s="380"/>
      <c r="AI707" s="380"/>
      <c r="AJ707" s="380"/>
      <c r="AK707" s="403"/>
      <c r="AL707" s="380"/>
      <c r="AM707" s="380"/>
      <c r="AN707" s="380"/>
      <c r="AO707" s="380"/>
      <c r="AP707" s="380"/>
      <c r="AQ707" s="404"/>
      <c r="AR707" s="380"/>
      <c r="AS707" s="380"/>
      <c r="AT707" s="380"/>
      <c r="AU707" s="380"/>
      <c r="AV707" s="380"/>
      <c r="AW707" s="380"/>
      <c r="AX707" s="380"/>
      <c r="AY707" s="403"/>
      <c r="AZ707" s="380"/>
      <c r="BA707" s="380"/>
      <c r="BB707" s="380"/>
      <c r="BC707" s="380"/>
      <c r="BD707" s="380"/>
      <c r="BE707" s="404"/>
      <c r="BF707" s="380"/>
      <c r="BG707" s="380"/>
      <c r="BH707" s="380"/>
      <c r="BI707" s="380"/>
      <c r="BJ707" s="380"/>
      <c r="BK707" s="380"/>
      <c r="BL707" s="380"/>
      <c r="BM707" s="403"/>
      <c r="BS707" s="83"/>
      <c r="CA707" s="405"/>
      <c r="CG707" s="83"/>
      <c r="CO707" s="405"/>
      <c r="CU707" s="83"/>
      <c r="DC707" s="405"/>
      <c r="DI707" s="83"/>
      <c r="DQ707" s="405"/>
      <c r="DW707" s="83"/>
      <c r="EE707" s="405"/>
      <c r="EK707" s="83"/>
      <c r="ES707" s="405"/>
      <c r="EY707" s="83"/>
      <c r="FG707" s="405"/>
      <c r="FM707" s="83"/>
      <c r="FU707" s="405"/>
      <c r="GA707" s="83"/>
      <c r="GI707" s="405"/>
      <c r="GO707" s="83"/>
      <c r="GW707" s="405"/>
      <c r="HC707" s="83"/>
      <c r="HK707" s="405"/>
      <c r="HQ707" s="83"/>
      <c r="HY707" s="405"/>
      <c r="IE707" s="83"/>
      <c r="IM707" s="405"/>
      <c r="IS707" s="83"/>
      <c r="JA707" s="405"/>
      <c r="JG707" s="83"/>
      <c r="JO707" s="405"/>
      <c r="JU707" s="83"/>
      <c r="KC707" s="405"/>
      <c r="KI707" s="83"/>
      <c r="KQ707" s="405"/>
      <c r="KW707" s="83"/>
      <c r="LE707" s="405"/>
      <c r="LK707" s="83"/>
      <c r="LS707" s="405"/>
      <c r="LY707" s="83"/>
      <c r="MG707" s="405"/>
      <c r="MM707" s="83"/>
      <c r="MU707" s="405"/>
      <c r="NA707" s="83"/>
    </row>
    <row r="708">
      <c r="A708" s="380"/>
      <c r="B708" s="380"/>
      <c r="C708" s="380"/>
      <c r="D708" s="380"/>
      <c r="E708" s="380"/>
      <c r="F708" s="380"/>
      <c r="G708" s="380"/>
      <c r="H708" s="380"/>
      <c r="I708" s="403"/>
      <c r="J708" s="380"/>
      <c r="K708" s="380"/>
      <c r="L708" s="380"/>
      <c r="M708" s="380"/>
      <c r="N708" s="380"/>
      <c r="O708" s="404"/>
      <c r="P708" s="380"/>
      <c r="Q708" s="380"/>
      <c r="R708" s="380"/>
      <c r="S708" s="380"/>
      <c r="T708" s="380"/>
      <c r="U708" s="380"/>
      <c r="V708" s="380"/>
      <c r="W708" s="403"/>
      <c r="X708" s="380"/>
      <c r="Y708" s="380"/>
      <c r="Z708" s="380"/>
      <c r="AA708" s="380"/>
      <c r="AB708" s="380"/>
      <c r="AC708" s="404"/>
      <c r="AD708" s="380"/>
      <c r="AE708" s="380"/>
      <c r="AF708" s="380"/>
      <c r="AG708" s="380"/>
      <c r="AH708" s="380"/>
      <c r="AI708" s="380"/>
      <c r="AJ708" s="380"/>
      <c r="AK708" s="403"/>
      <c r="AL708" s="380"/>
      <c r="AM708" s="380"/>
      <c r="AN708" s="380"/>
      <c r="AO708" s="380"/>
      <c r="AP708" s="380"/>
      <c r="AQ708" s="404"/>
      <c r="AR708" s="380"/>
      <c r="AS708" s="380"/>
      <c r="AT708" s="380"/>
      <c r="AU708" s="380"/>
      <c r="AV708" s="380"/>
      <c r="AW708" s="380"/>
      <c r="AX708" s="380"/>
      <c r="AY708" s="403"/>
      <c r="AZ708" s="380"/>
      <c r="BA708" s="380"/>
      <c r="BB708" s="380"/>
      <c r="BC708" s="380"/>
      <c r="BD708" s="380"/>
      <c r="BE708" s="404"/>
      <c r="BF708" s="380"/>
      <c r="BG708" s="380"/>
      <c r="BH708" s="380"/>
      <c r="BI708" s="380"/>
      <c r="BJ708" s="380"/>
      <c r="BK708" s="380"/>
      <c r="BL708" s="380"/>
      <c r="BM708" s="403"/>
      <c r="BS708" s="83"/>
      <c r="CA708" s="405"/>
      <c r="CG708" s="83"/>
      <c r="CO708" s="405"/>
      <c r="CU708" s="83"/>
      <c r="DC708" s="405"/>
      <c r="DI708" s="83"/>
      <c r="DQ708" s="405"/>
      <c r="DW708" s="83"/>
      <c r="EE708" s="405"/>
      <c r="EK708" s="83"/>
      <c r="ES708" s="405"/>
      <c r="EY708" s="83"/>
      <c r="FG708" s="405"/>
      <c r="FM708" s="83"/>
      <c r="FU708" s="405"/>
      <c r="GA708" s="83"/>
      <c r="GI708" s="405"/>
      <c r="GO708" s="83"/>
      <c r="GW708" s="405"/>
      <c r="HC708" s="83"/>
      <c r="HK708" s="405"/>
      <c r="HQ708" s="83"/>
      <c r="HY708" s="405"/>
      <c r="IE708" s="83"/>
      <c r="IM708" s="405"/>
      <c r="IS708" s="83"/>
      <c r="JA708" s="405"/>
      <c r="JG708" s="83"/>
      <c r="JO708" s="405"/>
      <c r="JU708" s="83"/>
      <c r="KC708" s="405"/>
      <c r="KI708" s="83"/>
      <c r="KQ708" s="405"/>
      <c r="KW708" s="83"/>
      <c r="LE708" s="405"/>
      <c r="LK708" s="83"/>
      <c r="LS708" s="405"/>
      <c r="LY708" s="83"/>
      <c r="MG708" s="405"/>
      <c r="MM708" s="83"/>
      <c r="MU708" s="405"/>
      <c r="NA708" s="83"/>
    </row>
    <row r="709">
      <c r="A709" s="380"/>
      <c r="B709" s="380"/>
      <c r="C709" s="380"/>
      <c r="D709" s="380"/>
      <c r="E709" s="380"/>
      <c r="F709" s="380"/>
      <c r="G709" s="380"/>
      <c r="H709" s="380"/>
      <c r="I709" s="403"/>
      <c r="J709" s="380"/>
      <c r="K709" s="380"/>
      <c r="L709" s="380"/>
      <c r="M709" s="380"/>
      <c r="N709" s="380"/>
      <c r="O709" s="404"/>
      <c r="P709" s="380"/>
      <c r="Q709" s="380"/>
      <c r="R709" s="380"/>
      <c r="S709" s="380"/>
      <c r="T709" s="380"/>
      <c r="U709" s="380"/>
      <c r="V709" s="380"/>
      <c r="W709" s="403"/>
      <c r="X709" s="380"/>
      <c r="Y709" s="380"/>
      <c r="Z709" s="380"/>
      <c r="AA709" s="380"/>
      <c r="AB709" s="380"/>
      <c r="AC709" s="404"/>
      <c r="AD709" s="380"/>
      <c r="AE709" s="380"/>
      <c r="AF709" s="380"/>
      <c r="AG709" s="380"/>
      <c r="AH709" s="380"/>
      <c r="AI709" s="380"/>
      <c r="AJ709" s="380"/>
      <c r="AK709" s="403"/>
      <c r="AL709" s="380"/>
      <c r="AM709" s="380"/>
      <c r="AN709" s="380"/>
      <c r="AO709" s="380"/>
      <c r="AP709" s="380"/>
      <c r="AQ709" s="404"/>
      <c r="AR709" s="380"/>
      <c r="AS709" s="380"/>
      <c r="AT709" s="380"/>
      <c r="AU709" s="380"/>
      <c r="AV709" s="380"/>
      <c r="AW709" s="380"/>
      <c r="AX709" s="380"/>
      <c r="AY709" s="403"/>
      <c r="AZ709" s="380"/>
      <c r="BA709" s="380"/>
      <c r="BB709" s="380"/>
      <c r="BC709" s="380"/>
      <c r="BD709" s="380"/>
      <c r="BE709" s="404"/>
      <c r="BF709" s="380"/>
      <c r="BG709" s="380"/>
      <c r="BH709" s="380"/>
      <c r="BI709" s="380"/>
      <c r="BJ709" s="380"/>
      <c r="BK709" s="380"/>
      <c r="BL709" s="380"/>
      <c r="BM709" s="403"/>
      <c r="BS709" s="83"/>
      <c r="CA709" s="405"/>
      <c r="CG709" s="83"/>
      <c r="CO709" s="405"/>
      <c r="CU709" s="83"/>
      <c r="DC709" s="405"/>
      <c r="DI709" s="83"/>
      <c r="DQ709" s="405"/>
      <c r="DW709" s="83"/>
      <c r="EE709" s="405"/>
      <c r="EK709" s="83"/>
      <c r="ES709" s="405"/>
      <c r="EY709" s="83"/>
      <c r="FG709" s="405"/>
      <c r="FM709" s="83"/>
      <c r="FU709" s="405"/>
      <c r="GA709" s="83"/>
      <c r="GI709" s="405"/>
      <c r="GO709" s="83"/>
      <c r="GW709" s="405"/>
      <c r="HC709" s="83"/>
      <c r="HK709" s="405"/>
      <c r="HQ709" s="83"/>
      <c r="HY709" s="405"/>
      <c r="IE709" s="83"/>
      <c r="IM709" s="405"/>
      <c r="IS709" s="83"/>
      <c r="JA709" s="405"/>
      <c r="JG709" s="83"/>
      <c r="JO709" s="405"/>
      <c r="JU709" s="83"/>
      <c r="KC709" s="405"/>
      <c r="KI709" s="83"/>
      <c r="KQ709" s="405"/>
      <c r="KW709" s="83"/>
      <c r="LE709" s="405"/>
      <c r="LK709" s="83"/>
      <c r="LS709" s="405"/>
      <c r="LY709" s="83"/>
      <c r="MG709" s="405"/>
      <c r="MM709" s="83"/>
      <c r="MU709" s="405"/>
      <c r="NA709" s="83"/>
    </row>
    <row r="710">
      <c r="A710" s="380"/>
      <c r="B710" s="380"/>
      <c r="C710" s="380"/>
      <c r="D710" s="380"/>
      <c r="E710" s="380"/>
      <c r="F710" s="380"/>
      <c r="G710" s="380"/>
      <c r="H710" s="380"/>
      <c r="I710" s="403"/>
      <c r="J710" s="380"/>
      <c r="K710" s="380"/>
      <c r="L710" s="380"/>
      <c r="M710" s="380"/>
      <c r="N710" s="380"/>
      <c r="O710" s="404"/>
      <c r="P710" s="380"/>
      <c r="Q710" s="380"/>
      <c r="R710" s="380"/>
      <c r="S710" s="380"/>
      <c r="T710" s="380"/>
      <c r="U710" s="380"/>
      <c r="V710" s="380"/>
      <c r="W710" s="403"/>
      <c r="X710" s="380"/>
      <c r="Y710" s="380"/>
      <c r="Z710" s="380"/>
      <c r="AA710" s="380"/>
      <c r="AB710" s="380"/>
      <c r="AC710" s="404"/>
      <c r="AD710" s="380"/>
      <c r="AE710" s="380"/>
      <c r="AF710" s="380"/>
      <c r="AG710" s="380"/>
      <c r="AH710" s="380"/>
      <c r="AI710" s="380"/>
      <c r="AJ710" s="380"/>
      <c r="AK710" s="403"/>
      <c r="AL710" s="380"/>
      <c r="AM710" s="380"/>
      <c r="AN710" s="380"/>
      <c r="AO710" s="380"/>
      <c r="AP710" s="380"/>
      <c r="AQ710" s="404"/>
      <c r="AR710" s="380"/>
      <c r="AS710" s="380"/>
      <c r="AT710" s="380"/>
      <c r="AU710" s="380"/>
      <c r="AV710" s="380"/>
      <c r="AW710" s="380"/>
      <c r="AX710" s="380"/>
      <c r="AY710" s="403"/>
      <c r="AZ710" s="380"/>
      <c r="BA710" s="380"/>
      <c r="BB710" s="380"/>
      <c r="BC710" s="380"/>
      <c r="BD710" s="380"/>
      <c r="BE710" s="404"/>
      <c r="BF710" s="380"/>
      <c r="BG710" s="380"/>
      <c r="BH710" s="380"/>
      <c r="BI710" s="380"/>
      <c r="BJ710" s="380"/>
      <c r="BK710" s="380"/>
      <c r="BL710" s="380"/>
      <c r="BM710" s="403"/>
      <c r="BS710" s="83"/>
      <c r="CA710" s="405"/>
      <c r="CG710" s="83"/>
      <c r="CO710" s="405"/>
      <c r="CU710" s="83"/>
      <c r="DC710" s="405"/>
      <c r="DI710" s="83"/>
      <c r="DQ710" s="405"/>
      <c r="DW710" s="83"/>
      <c r="EE710" s="405"/>
      <c r="EK710" s="83"/>
      <c r="ES710" s="405"/>
      <c r="EY710" s="83"/>
      <c r="FG710" s="405"/>
      <c r="FM710" s="83"/>
      <c r="FU710" s="405"/>
      <c r="GA710" s="83"/>
      <c r="GI710" s="405"/>
      <c r="GO710" s="83"/>
      <c r="GW710" s="405"/>
      <c r="HC710" s="83"/>
      <c r="HK710" s="405"/>
      <c r="HQ710" s="83"/>
      <c r="HY710" s="405"/>
      <c r="IE710" s="83"/>
      <c r="IM710" s="405"/>
      <c r="IS710" s="83"/>
      <c r="JA710" s="405"/>
      <c r="JG710" s="83"/>
      <c r="JO710" s="405"/>
      <c r="JU710" s="83"/>
      <c r="KC710" s="405"/>
      <c r="KI710" s="83"/>
      <c r="KQ710" s="405"/>
      <c r="KW710" s="83"/>
      <c r="LE710" s="405"/>
      <c r="LK710" s="83"/>
      <c r="LS710" s="405"/>
      <c r="LY710" s="83"/>
      <c r="MG710" s="405"/>
      <c r="MM710" s="83"/>
      <c r="MU710" s="405"/>
      <c r="NA710" s="83"/>
    </row>
    <row r="711">
      <c r="A711" s="380"/>
      <c r="B711" s="380"/>
      <c r="C711" s="380"/>
      <c r="D711" s="380"/>
      <c r="E711" s="380"/>
      <c r="F711" s="380"/>
      <c r="G711" s="380"/>
      <c r="H711" s="380"/>
      <c r="I711" s="403"/>
      <c r="J711" s="380"/>
      <c r="K711" s="380"/>
      <c r="L711" s="380"/>
      <c r="M711" s="380"/>
      <c r="N711" s="380"/>
      <c r="O711" s="404"/>
      <c r="P711" s="380"/>
      <c r="Q711" s="380"/>
      <c r="R711" s="380"/>
      <c r="S711" s="380"/>
      <c r="T711" s="380"/>
      <c r="U711" s="380"/>
      <c r="V711" s="380"/>
      <c r="W711" s="403"/>
      <c r="X711" s="380"/>
      <c r="Y711" s="380"/>
      <c r="Z711" s="380"/>
      <c r="AA711" s="380"/>
      <c r="AB711" s="380"/>
      <c r="AC711" s="404"/>
      <c r="AD711" s="380"/>
      <c r="AE711" s="380"/>
      <c r="AF711" s="380"/>
      <c r="AG711" s="380"/>
      <c r="AH711" s="380"/>
      <c r="AI711" s="380"/>
      <c r="AJ711" s="380"/>
      <c r="AK711" s="403"/>
      <c r="AL711" s="380"/>
      <c r="AM711" s="380"/>
      <c r="AN711" s="380"/>
      <c r="AO711" s="380"/>
      <c r="AP711" s="380"/>
      <c r="AQ711" s="404"/>
      <c r="AR711" s="380"/>
      <c r="AS711" s="380"/>
      <c r="AT711" s="380"/>
      <c r="AU711" s="380"/>
      <c r="AV711" s="380"/>
      <c r="AW711" s="380"/>
      <c r="AX711" s="380"/>
      <c r="AY711" s="403"/>
      <c r="AZ711" s="380"/>
      <c r="BA711" s="380"/>
      <c r="BB711" s="380"/>
      <c r="BC711" s="380"/>
      <c r="BD711" s="380"/>
      <c r="BE711" s="404"/>
      <c r="BF711" s="380"/>
      <c r="BG711" s="380"/>
      <c r="BH711" s="380"/>
      <c r="BI711" s="380"/>
      <c r="BJ711" s="380"/>
      <c r="BK711" s="380"/>
      <c r="BL711" s="380"/>
      <c r="BM711" s="403"/>
      <c r="BS711" s="83"/>
      <c r="CA711" s="405"/>
      <c r="CG711" s="83"/>
      <c r="CO711" s="405"/>
      <c r="CU711" s="83"/>
      <c r="DC711" s="405"/>
      <c r="DI711" s="83"/>
      <c r="DQ711" s="405"/>
      <c r="DW711" s="83"/>
      <c r="EE711" s="405"/>
      <c r="EK711" s="83"/>
      <c r="ES711" s="405"/>
      <c r="EY711" s="83"/>
      <c r="FG711" s="405"/>
      <c r="FM711" s="83"/>
      <c r="FU711" s="405"/>
      <c r="GA711" s="83"/>
      <c r="GI711" s="405"/>
      <c r="GO711" s="83"/>
      <c r="GW711" s="405"/>
      <c r="HC711" s="83"/>
      <c r="HK711" s="405"/>
      <c r="HQ711" s="83"/>
      <c r="HY711" s="405"/>
      <c r="IE711" s="83"/>
      <c r="IM711" s="405"/>
      <c r="IS711" s="83"/>
      <c r="JA711" s="405"/>
      <c r="JG711" s="83"/>
      <c r="JO711" s="405"/>
      <c r="JU711" s="83"/>
      <c r="KC711" s="405"/>
      <c r="KI711" s="83"/>
      <c r="KQ711" s="405"/>
      <c r="KW711" s="83"/>
      <c r="LE711" s="405"/>
      <c r="LK711" s="83"/>
      <c r="LS711" s="405"/>
      <c r="LY711" s="83"/>
      <c r="MG711" s="405"/>
      <c r="MM711" s="83"/>
      <c r="MU711" s="405"/>
      <c r="NA711" s="83"/>
    </row>
    <row r="712">
      <c r="A712" s="380"/>
      <c r="B712" s="380"/>
      <c r="C712" s="380"/>
      <c r="D712" s="380"/>
      <c r="E712" s="380"/>
      <c r="F712" s="380"/>
      <c r="G712" s="380"/>
      <c r="H712" s="380"/>
      <c r="I712" s="403"/>
      <c r="J712" s="380"/>
      <c r="K712" s="380"/>
      <c r="L712" s="380"/>
      <c r="M712" s="380"/>
      <c r="N712" s="380"/>
      <c r="O712" s="404"/>
      <c r="P712" s="380"/>
      <c r="Q712" s="380"/>
      <c r="R712" s="380"/>
      <c r="S712" s="380"/>
      <c r="T712" s="380"/>
      <c r="U712" s="380"/>
      <c r="V712" s="380"/>
      <c r="W712" s="403"/>
      <c r="X712" s="380"/>
      <c r="Y712" s="380"/>
      <c r="Z712" s="380"/>
      <c r="AA712" s="380"/>
      <c r="AB712" s="380"/>
      <c r="AC712" s="404"/>
      <c r="AD712" s="380"/>
      <c r="AE712" s="380"/>
      <c r="AF712" s="380"/>
      <c r="AG712" s="380"/>
      <c r="AH712" s="380"/>
      <c r="AI712" s="380"/>
      <c r="AJ712" s="380"/>
      <c r="AK712" s="403"/>
      <c r="AL712" s="380"/>
      <c r="AM712" s="380"/>
      <c r="AN712" s="380"/>
      <c r="AO712" s="380"/>
      <c r="AP712" s="380"/>
      <c r="AQ712" s="404"/>
      <c r="AR712" s="380"/>
      <c r="AS712" s="380"/>
      <c r="AT712" s="380"/>
      <c r="AU712" s="380"/>
      <c r="AV712" s="380"/>
      <c r="AW712" s="380"/>
      <c r="AX712" s="380"/>
      <c r="AY712" s="403"/>
      <c r="AZ712" s="380"/>
      <c r="BA712" s="380"/>
      <c r="BB712" s="380"/>
      <c r="BC712" s="380"/>
      <c r="BD712" s="380"/>
      <c r="BE712" s="404"/>
      <c r="BF712" s="380"/>
      <c r="BG712" s="380"/>
      <c r="BH712" s="380"/>
      <c r="BI712" s="380"/>
      <c r="BJ712" s="380"/>
      <c r="BK712" s="380"/>
      <c r="BL712" s="380"/>
      <c r="BM712" s="403"/>
      <c r="BS712" s="83"/>
      <c r="CA712" s="405"/>
      <c r="CG712" s="83"/>
      <c r="CO712" s="405"/>
      <c r="CU712" s="83"/>
      <c r="DC712" s="405"/>
      <c r="DI712" s="83"/>
      <c r="DQ712" s="405"/>
      <c r="DW712" s="83"/>
      <c r="EE712" s="405"/>
      <c r="EK712" s="83"/>
      <c r="ES712" s="405"/>
      <c r="EY712" s="83"/>
      <c r="FG712" s="405"/>
      <c r="FM712" s="83"/>
      <c r="FU712" s="405"/>
      <c r="GA712" s="83"/>
      <c r="GI712" s="405"/>
      <c r="GO712" s="83"/>
      <c r="GW712" s="405"/>
      <c r="HC712" s="83"/>
      <c r="HK712" s="405"/>
      <c r="HQ712" s="83"/>
      <c r="HY712" s="405"/>
      <c r="IE712" s="83"/>
      <c r="IM712" s="405"/>
      <c r="IS712" s="83"/>
      <c r="JA712" s="405"/>
      <c r="JG712" s="83"/>
      <c r="JO712" s="405"/>
      <c r="JU712" s="83"/>
      <c r="KC712" s="405"/>
      <c r="KI712" s="83"/>
      <c r="KQ712" s="405"/>
      <c r="KW712" s="83"/>
      <c r="LE712" s="405"/>
      <c r="LK712" s="83"/>
      <c r="LS712" s="405"/>
      <c r="LY712" s="83"/>
      <c r="MG712" s="405"/>
      <c r="MM712" s="83"/>
      <c r="MU712" s="405"/>
      <c r="NA712" s="83"/>
    </row>
    <row r="713">
      <c r="A713" s="380"/>
      <c r="B713" s="380"/>
      <c r="C713" s="380"/>
      <c r="D713" s="380"/>
      <c r="E713" s="380"/>
      <c r="F713" s="380"/>
      <c r="G713" s="380"/>
      <c r="H713" s="380"/>
      <c r="I713" s="403"/>
      <c r="J713" s="380"/>
      <c r="K713" s="380"/>
      <c r="L713" s="380"/>
      <c r="M713" s="380"/>
      <c r="N713" s="380"/>
      <c r="O713" s="404"/>
      <c r="P713" s="380"/>
      <c r="Q713" s="380"/>
      <c r="R713" s="380"/>
      <c r="S713" s="380"/>
      <c r="T713" s="380"/>
      <c r="U713" s="380"/>
      <c r="V713" s="380"/>
      <c r="W713" s="403"/>
      <c r="X713" s="380"/>
      <c r="Y713" s="380"/>
      <c r="Z713" s="380"/>
      <c r="AA713" s="380"/>
      <c r="AB713" s="380"/>
      <c r="AC713" s="404"/>
      <c r="AD713" s="380"/>
      <c r="AE713" s="380"/>
      <c r="AF713" s="380"/>
      <c r="AG713" s="380"/>
      <c r="AH713" s="380"/>
      <c r="AI713" s="380"/>
      <c r="AJ713" s="380"/>
      <c r="AK713" s="403"/>
      <c r="AL713" s="380"/>
      <c r="AM713" s="380"/>
      <c r="AN713" s="380"/>
      <c r="AO713" s="380"/>
      <c r="AP713" s="380"/>
      <c r="AQ713" s="404"/>
      <c r="AR713" s="380"/>
      <c r="AS713" s="380"/>
      <c r="AT713" s="380"/>
      <c r="AU713" s="380"/>
      <c r="AV713" s="380"/>
      <c r="AW713" s="380"/>
      <c r="AX713" s="380"/>
      <c r="AY713" s="403"/>
      <c r="AZ713" s="380"/>
      <c r="BA713" s="380"/>
      <c r="BB713" s="380"/>
      <c r="BC713" s="380"/>
      <c r="BD713" s="380"/>
      <c r="BE713" s="404"/>
      <c r="BF713" s="380"/>
      <c r="BG713" s="380"/>
      <c r="BH713" s="380"/>
      <c r="BI713" s="380"/>
      <c r="BJ713" s="380"/>
      <c r="BK713" s="380"/>
      <c r="BL713" s="380"/>
      <c r="BM713" s="403"/>
      <c r="BS713" s="83"/>
      <c r="CA713" s="405"/>
      <c r="CG713" s="83"/>
      <c r="CO713" s="405"/>
      <c r="CU713" s="83"/>
      <c r="DC713" s="405"/>
      <c r="DI713" s="83"/>
      <c r="DQ713" s="405"/>
      <c r="DW713" s="83"/>
      <c r="EE713" s="405"/>
      <c r="EK713" s="83"/>
      <c r="ES713" s="405"/>
      <c r="EY713" s="83"/>
      <c r="FG713" s="405"/>
      <c r="FM713" s="83"/>
      <c r="FU713" s="405"/>
      <c r="GA713" s="83"/>
      <c r="GI713" s="405"/>
      <c r="GO713" s="83"/>
      <c r="GW713" s="405"/>
      <c r="HC713" s="83"/>
      <c r="HK713" s="405"/>
      <c r="HQ713" s="83"/>
      <c r="HY713" s="405"/>
      <c r="IE713" s="83"/>
      <c r="IM713" s="405"/>
      <c r="IS713" s="83"/>
      <c r="JA713" s="405"/>
      <c r="JG713" s="83"/>
      <c r="JO713" s="405"/>
      <c r="JU713" s="83"/>
      <c r="KC713" s="405"/>
      <c r="KI713" s="83"/>
      <c r="KQ713" s="405"/>
      <c r="KW713" s="83"/>
      <c r="LE713" s="405"/>
      <c r="LK713" s="83"/>
      <c r="LS713" s="405"/>
      <c r="LY713" s="83"/>
      <c r="MG713" s="405"/>
      <c r="MM713" s="83"/>
      <c r="MU713" s="405"/>
      <c r="NA713" s="83"/>
    </row>
    <row r="714">
      <c r="A714" s="380"/>
      <c r="B714" s="380"/>
      <c r="C714" s="380"/>
      <c r="D714" s="380"/>
      <c r="E714" s="380"/>
      <c r="F714" s="380"/>
      <c r="G714" s="380"/>
      <c r="H714" s="380"/>
      <c r="I714" s="403"/>
      <c r="J714" s="380"/>
      <c r="K714" s="380"/>
      <c r="L714" s="380"/>
      <c r="M714" s="380"/>
      <c r="N714" s="380"/>
      <c r="O714" s="404"/>
      <c r="P714" s="380"/>
      <c r="Q714" s="380"/>
      <c r="R714" s="380"/>
      <c r="S714" s="380"/>
      <c r="T714" s="380"/>
      <c r="U714" s="380"/>
      <c r="V714" s="380"/>
      <c r="W714" s="403"/>
      <c r="X714" s="380"/>
      <c r="Y714" s="380"/>
      <c r="Z714" s="380"/>
      <c r="AA714" s="380"/>
      <c r="AB714" s="380"/>
      <c r="AC714" s="404"/>
      <c r="AD714" s="380"/>
      <c r="AE714" s="380"/>
      <c r="AF714" s="380"/>
      <c r="AG714" s="380"/>
      <c r="AH714" s="380"/>
      <c r="AI714" s="380"/>
      <c r="AJ714" s="380"/>
      <c r="AK714" s="403"/>
      <c r="AL714" s="380"/>
      <c r="AM714" s="380"/>
      <c r="AN714" s="380"/>
      <c r="AO714" s="380"/>
      <c r="AP714" s="380"/>
      <c r="AQ714" s="404"/>
      <c r="AR714" s="380"/>
      <c r="AS714" s="380"/>
      <c r="AT714" s="380"/>
      <c r="AU714" s="380"/>
      <c r="AV714" s="380"/>
      <c r="AW714" s="380"/>
      <c r="AX714" s="380"/>
      <c r="AY714" s="403"/>
      <c r="AZ714" s="380"/>
      <c r="BA714" s="380"/>
      <c r="BB714" s="380"/>
      <c r="BC714" s="380"/>
      <c r="BD714" s="380"/>
      <c r="BE714" s="404"/>
      <c r="BF714" s="380"/>
      <c r="BG714" s="380"/>
      <c r="BH714" s="380"/>
      <c r="BI714" s="380"/>
      <c r="BJ714" s="380"/>
      <c r="BK714" s="380"/>
      <c r="BL714" s="380"/>
      <c r="BM714" s="403"/>
      <c r="BS714" s="83"/>
      <c r="CA714" s="405"/>
      <c r="CG714" s="83"/>
      <c r="CO714" s="405"/>
      <c r="CU714" s="83"/>
      <c r="DC714" s="405"/>
      <c r="DI714" s="83"/>
      <c r="DQ714" s="405"/>
      <c r="DW714" s="83"/>
      <c r="EE714" s="405"/>
      <c r="EK714" s="83"/>
      <c r="ES714" s="405"/>
      <c r="EY714" s="83"/>
      <c r="FG714" s="405"/>
      <c r="FM714" s="83"/>
      <c r="FU714" s="405"/>
      <c r="GA714" s="83"/>
      <c r="GI714" s="405"/>
      <c r="GO714" s="83"/>
      <c r="GW714" s="405"/>
      <c r="HC714" s="83"/>
      <c r="HK714" s="405"/>
      <c r="HQ714" s="83"/>
      <c r="HY714" s="405"/>
      <c r="IE714" s="83"/>
      <c r="IM714" s="405"/>
      <c r="IS714" s="83"/>
      <c r="JA714" s="405"/>
      <c r="JG714" s="83"/>
      <c r="JO714" s="405"/>
      <c r="JU714" s="83"/>
      <c r="KC714" s="405"/>
      <c r="KI714" s="83"/>
      <c r="KQ714" s="405"/>
      <c r="KW714" s="83"/>
      <c r="LE714" s="405"/>
      <c r="LK714" s="83"/>
      <c r="LS714" s="405"/>
      <c r="LY714" s="83"/>
      <c r="MG714" s="405"/>
      <c r="MM714" s="83"/>
      <c r="MU714" s="405"/>
      <c r="NA714" s="83"/>
    </row>
    <row r="715">
      <c r="A715" s="380"/>
      <c r="B715" s="380"/>
      <c r="C715" s="380"/>
      <c r="D715" s="380"/>
      <c r="E715" s="380"/>
      <c r="F715" s="380"/>
      <c r="G715" s="380"/>
      <c r="H715" s="380"/>
      <c r="I715" s="403"/>
      <c r="J715" s="380"/>
      <c r="K715" s="380"/>
      <c r="L715" s="380"/>
      <c r="M715" s="380"/>
      <c r="N715" s="380"/>
      <c r="O715" s="404"/>
      <c r="P715" s="380"/>
      <c r="Q715" s="380"/>
      <c r="R715" s="380"/>
      <c r="S715" s="380"/>
      <c r="T715" s="380"/>
      <c r="U715" s="380"/>
      <c r="V715" s="380"/>
      <c r="W715" s="403"/>
      <c r="X715" s="380"/>
      <c r="Y715" s="380"/>
      <c r="Z715" s="380"/>
      <c r="AA715" s="380"/>
      <c r="AB715" s="380"/>
      <c r="AC715" s="404"/>
      <c r="AD715" s="380"/>
      <c r="AE715" s="380"/>
      <c r="AF715" s="380"/>
      <c r="AG715" s="380"/>
      <c r="AH715" s="380"/>
      <c r="AI715" s="380"/>
      <c r="AJ715" s="380"/>
      <c r="AK715" s="403"/>
      <c r="AL715" s="380"/>
      <c r="AM715" s="380"/>
      <c r="AN715" s="380"/>
      <c r="AO715" s="380"/>
      <c r="AP715" s="380"/>
      <c r="AQ715" s="404"/>
      <c r="AR715" s="380"/>
      <c r="AS715" s="380"/>
      <c r="AT715" s="380"/>
      <c r="AU715" s="380"/>
      <c r="AV715" s="380"/>
      <c r="AW715" s="380"/>
      <c r="AX715" s="380"/>
      <c r="AY715" s="403"/>
      <c r="AZ715" s="380"/>
      <c r="BA715" s="380"/>
      <c r="BB715" s="380"/>
      <c r="BC715" s="380"/>
      <c r="BD715" s="380"/>
      <c r="BE715" s="404"/>
      <c r="BF715" s="380"/>
      <c r="BG715" s="380"/>
      <c r="BH715" s="380"/>
      <c r="BI715" s="380"/>
      <c r="BJ715" s="380"/>
      <c r="BK715" s="380"/>
      <c r="BL715" s="380"/>
      <c r="BM715" s="403"/>
      <c r="BS715" s="83"/>
      <c r="CA715" s="405"/>
      <c r="CG715" s="83"/>
      <c r="CO715" s="405"/>
      <c r="CU715" s="83"/>
      <c r="DC715" s="405"/>
      <c r="DI715" s="83"/>
      <c r="DQ715" s="405"/>
      <c r="DW715" s="83"/>
      <c r="EE715" s="405"/>
      <c r="EK715" s="83"/>
      <c r="ES715" s="405"/>
      <c r="EY715" s="83"/>
      <c r="FG715" s="405"/>
      <c r="FM715" s="83"/>
      <c r="FU715" s="405"/>
      <c r="GA715" s="83"/>
      <c r="GI715" s="405"/>
      <c r="GO715" s="83"/>
      <c r="GW715" s="405"/>
      <c r="HC715" s="83"/>
      <c r="HK715" s="405"/>
      <c r="HQ715" s="83"/>
      <c r="HY715" s="405"/>
      <c r="IE715" s="83"/>
      <c r="IM715" s="405"/>
      <c r="IS715" s="83"/>
      <c r="JA715" s="405"/>
      <c r="JG715" s="83"/>
      <c r="JO715" s="405"/>
      <c r="JU715" s="83"/>
      <c r="KC715" s="405"/>
      <c r="KI715" s="83"/>
      <c r="KQ715" s="405"/>
      <c r="KW715" s="83"/>
      <c r="LE715" s="405"/>
      <c r="LK715" s="83"/>
      <c r="LS715" s="405"/>
      <c r="LY715" s="83"/>
      <c r="MG715" s="405"/>
      <c r="MM715" s="83"/>
      <c r="MU715" s="405"/>
      <c r="NA715" s="83"/>
    </row>
    <row r="716">
      <c r="A716" s="380"/>
      <c r="B716" s="380"/>
      <c r="C716" s="380"/>
      <c r="D716" s="380"/>
      <c r="E716" s="380"/>
      <c r="F716" s="380"/>
      <c r="G716" s="380"/>
      <c r="H716" s="380"/>
      <c r="I716" s="403"/>
      <c r="J716" s="380"/>
      <c r="K716" s="380"/>
      <c r="L716" s="380"/>
      <c r="M716" s="380"/>
      <c r="N716" s="380"/>
      <c r="O716" s="404"/>
      <c r="P716" s="380"/>
      <c r="Q716" s="380"/>
      <c r="R716" s="380"/>
      <c r="S716" s="380"/>
      <c r="T716" s="380"/>
      <c r="U716" s="380"/>
      <c r="V716" s="380"/>
      <c r="W716" s="403"/>
      <c r="X716" s="380"/>
      <c r="Y716" s="380"/>
      <c r="Z716" s="380"/>
      <c r="AA716" s="380"/>
      <c r="AB716" s="380"/>
      <c r="AC716" s="404"/>
      <c r="AD716" s="380"/>
      <c r="AE716" s="380"/>
      <c r="AF716" s="380"/>
      <c r="AG716" s="380"/>
      <c r="AH716" s="380"/>
      <c r="AI716" s="380"/>
      <c r="AJ716" s="380"/>
      <c r="AK716" s="403"/>
      <c r="AL716" s="380"/>
      <c r="AM716" s="380"/>
      <c r="AN716" s="380"/>
      <c r="AO716" s="380"/>
      <c r="AP716" s="380"/>
      <c r="AQ716" s="404"/>
      <c r="AR716" s="380"/>
      <c r="AS716" s="380"/>
      <c r="AT716" s="380"/>
      <c r="AU716" s="380"/>
      <c r="AV716" s="380"/>
      <c r="AW716" s="380"/>
      <c r="AX716" s="380"/>
      <c r="AY716" s="403"/>
      <c r="AZ716" s="380"/>
      <c r="BA716" s="380"/>
      <c r="BB716" s="380"/>
      <c r="BC716" s="380"/>
      <c r="BD716" s="380"/>
      <c r="BE716" s="404"/>
      <c r="BF716" s="380"/>
      <c r="BG716" s="380"/>
      <c r="BH716" s="380"/>
      <c r="BI716" s="380"/>
      <c r="BJ716" s="380"/>
      <c r="BK716" s="380"/>
      <c r="BL716" s="380"/>
      <c r="BM716" s="403"/>
      <c r="BS716" s="83"/>
      <c r="CA716" s="405"/>
      <c r="CG716" s="83"/>
      <c r="CO716" s="405"/>
      <c r="CU716" s="83"/>
      <c r="DC716" s="405"/>
      <c r="DI716" s="83"/>
      <c r="DQ716" s="405"/>
      <c r="DW716" s="83"/>
      <c r="EE716" s="405"/>
      <c r="EK716" s="83"/>
      <c r="ES716" s="405"/>
      <c r="EY716" s="83"/>
      <c r="FG716" s="405"/>
      <c r="FM716" s="83"/>
      <c r="FU716" s="405"/>
      <c r="GA716" s="83"/>
      <c r="GI716" s="405"/>
      <c r="GO716" s="83"/>
      <c r="GW716" s="405"/>
      <c r="HC716" s="83"/>
      <c r="HK716" s="405"/>
      <c r="HQ716" s="83"/>
      <c r="HY716" s="405"/>
      <c r="IE716" s="83"/>
      <c r="IM716" s="405"/>
      <c r="IS716" s="83"/>
      <c r="JA716" s="405"/>
      <c r="JG716" s="83"/>
      <c r="JO716" s="405"/>
      <c r="JU716" s="83"/>
      <c r="KC716" s="405"/>
      <c r="KI716" s="83"/>
      <c r="KQ716" s="405"/>
      <c r="KW716" s="83"/>
      <c r="LE716" s="405"/>
      <c r="LK716" s="83"/>
      <c r="LS716" s="405"/>
      <c r="LY716" s="83"/>
      <c r="MG716" s="405"/>
      <c r="MM716" s="83"/>
      <c r="MU716" s="405"/>
      <c r="NA716" s="83"/>
    </row>
    <row r="717">
      <c r="A717" s="380"/>
      <c r="B717" s="380"/>
      <c r="C717" s="380"/>
      <c r="D717" s="380"/>
      <c r="E717" s="380"/>
      <c r="F717" s="380"/>
      <c r="G717" s="380"/>
      <c r="H717" s="380"/>
      <c r="I717" s="403"/>
      <c r="J717" s="380"/>
      <c r="K717" s="380"/>
      <c r="L717" s="380"/>
      <c r="M717" s="380"/>
      <c r="N717" s="380"/>
      <c r="O717" s="404"/>
      <c r="P717" s="380"/>
      <c r="Q717" s="380"/>
      <c r="R717" s="380"/>
      <c r="S717" s="380"/>
      <c r="T717" s="380"/>
      <c r="U717" s="380"/>
      <c r="V717" s="380"/>
      <c r="W717" s="403"/>
      <c r="X717" s="380"/>
      <c r="Y717" s="380"/>
      <c r="Z717" s="380"/>
      <c r="AA717" s="380"/>
      <c r="AB717" s="380"/>
      <c r="AC717" s="404"/>
      <c r="AD717" s="380"/>
      <c r="AE717" s="380"/>
      <c r="AF717" s="380"/>
      <c r="AG717" s="380"/>
      <c r="AH717" s="380"/>
      <c r="AI717" s="380"/>
      <c r="AJ717" s="380"/>
      <c r="AK717" s="403"/>
      <c r="AL717" s="380"/>
      <c r="AM717" s="380"/>
      <c r="AN717" s="380"/>
      <c r="AO717" s="380"/>
      <c r="AP717" s="380"/>
      <c r="AQ717" s="404"/>
      <c r="AR717" s="380"/>
      <c r="AS717" s="380"/>
      <c r="AT717" s="380"/>
      <c r="AU717" s="380"/>
      <c r="AV717" s="380"/>
      <c r="AW717" s="380"/>
      <c r="AX717" s="380"/>
      <c r="AY717" s="403"/>
      <c r="AZ717" s="380"/>
      <c r="BA717" s="380"/>
      <c r="BB717" s="380"/>
      <c r="BC717" s="380"/>
      <c r="BD717" s="380"/>
      <c r="BE717" s="404"/>
      <c r="BF717" s="380"/>
      <c r="BG717" s="380"/>
      <c r="BH717" s="380"/>
      <c r="BI717" s="380"/>
      <c r="BJ717" s="380"/>
      <c r="BK717" s="380"/>
      <c r="BL717" s="380"/>
      <c r="BM717" s="403"/>
      <c r="BS717" s="83"/>
      <c r="CA717" s="405"/>
      <c r="CG717" s="83"/>
      <c r="CO717" s="405"/>
      <c r="CU717" s="83"/>
      <c r="DC717" s="405"/>
      <c r="DI717" s="83"/>
      <c r="DQ717" s="405"/>
      <c r="DW717" s="83"/>
      <c r="EE717" s="405"/>
      <c r="EK717" s="83"/>
      <c r="ES717" s="405"/>
      <c r="EY717" s="83"/>
      <c r="FG717" s="405"/>
      <c r="FM717" s="83"/>
      <c r="FU717" s="405"/>
      <c r="GA717" s="83"/>
      <c r="GI717" s="405"/>
      <c r="GO717" s="83"/>
      <c r="GW717" s="405"/>
      <c r="HC717" s="83"/>
      <c r="HK717" s="405"/>
      <c r="HQ717" s="83"/>
      <c r="HY717" s="405"/>
      <c r="IE717" s="83"/>
      <c r="IM717" s="405"/>
      <c r="IS717" s="83"/>
      <c r="JA717" s="405"/>
      <c r="JG717" s="83"/>
      <c r="JO717" s="405"/>
      <c r="JU717" s="83"/>
      <c r="KC717" s="405"/>
      <c r="KI717" s="83"/>
      <c r="KQ717" s="405"/>
      <c r="KW717" s="83"/>
      <c r="LE717" s="405"/>
      <c r="LK717" s="83"/>
      <c r="LS717" s="405"/>
      <c r="LY717" s="83"/>
      <c r="MG717" s="405"/>
      <c r="MM717" s="83"/>
      <c r="MU717" s="405"/>
      <c r="NA717" s="83"/>
    </row>
    <row r="718">
      <c r="A718" s="380"/>
      <c r="B718" s="380"/>
      <c r="C718" s="380"/>
      <c r="D718" s="380"/>
      <c r="E718" s="380"/>
      <c r="F718" s="380"/>
      <c r="G718" s="380"/>
      <c r="H718" s="380"/>
      <c r="I718" s="403"/>
      <c r="J718" s="380"/>
      <c r="K718" s="380"/>
      <c r="L718" s="380"/>
      <c r="M718" s="380"/>
      <c r="N718" s="380"/>
      <c r="O718" s="404"/>
      <c r="P718" s="380"/>
      <c r="Q718" s="380"/>
      <c r="R718" s="380"/>
      <c r="S718" s="380"/>
      <c r="T718" s="380"/>
      <c r="U718" s="380"/>
      <c r="V718" s="380"/>
      <c r="W718" s="403"/>
      <c r="X718" s="380"/>
      <c r="Y718" s="380"/>
      <c r="Z718" s="380"/>
      <c r="AA718" s="380"/>
      <c r="AB718" s="380"/>
      <c r="AC718" s="404"/>
      <c r="AD718" s="380"/>
      <c r="AE718" s="380"/>
      <c r="AF718" s="380"/>
      <c r="AG718" s="380"/>
      <c r="AH718" s="380"/>
      <c r="AI718" s="380"/>
      <c r="AJ718" s="380"/>
      <c r="AK718" s="403"/>
      <c r="AL718" s="380"/>
      <c r="AM718" s="380"/>
      <c r="AN718" s="380"/>
      <c r="AO718" s="380"/>
      <c r="AP718" s="380"/>
      <c r="AQ718" s="404"/>
      <c r="AR718" s="380"/>
      <c r="AS718" s="380"/>
      <c r="AT718" s="380"/>
      <c r="AU718" s="380"/>
      <c r="AV718" s="380"/>
      <c r="AW718" s="380"/>
      <c r="AX718" s="380"/>
      <c r="AY718" s="403"/>
      <c r="AZ718" s="380"/>
      <c r="BA718" s="380"/>
      <c r="BB718" s="380"/>
      <c r="BC718" s="380"/>
      <c r="BD718" s="380"/>
      <c r="BE718" s="404"/>
      <c r="BF718" s="380"/>
      <c r="BG718" s="380"/>
      <c r="BH718" s="380"/>
      <c r="BI718" s="380"/>
      <c r="BJ718" s="380"/>
      <c r="BK718" s="380"/>
      <c r="BL718" s="380"/>
      <c r="BM718" s="403"/>
      <c r="BS718" s="83"/>
      <c r="CA718" s="405"/>
      <c r="CG718" s="83"/>
      <c r="CO718" s="405"/>
      <c r="CU718" s="83"/>
      <c r="DC718" s="405"/>
      <c r="DI718" s="83"/>
      <c r="DQ718" s="405"/>
      <c r="DW718" s="83"/>
      <c r="EE718" s="405"/>
      <c r="EK718" s="83"/>
      <c r="ES718" s="405"/>
      <c r="EY718" s="83"/>
      <c r="FG718" s="405"/>
      <c r="FM718" s="83"/>
      <c r="FU718" s="405"/>
      <c r="GA718" s="83"/>
      <c r="GI718" s="405"/>
      <c r="GO718" s="83"/>
      <c r="GW718" s="405"/>
      <c r="HC718" s="83"/>
      <c r="HK718" s="405"/>
      <c r="HQ718" s="83"/>
      <c r="HY718" s="405"/>
      <c r="IE718" s="83"/>
      <c r="IM718" s="405"/>
      <c r="IS718" s="83"/>
      <c r="JA718" s="405"/>
      <c r="JG718" s="83"/>
      <c r="JO718" s="405"/>
      <c r="JU718" s="83"/>
      <c r="KC718" s="405"/>
      <c r="KI718" s="83"/>
      <c r="KQ718" s="405"/>
      <c r="KW718" s="83"/>
      <c r="LE718" s="405"/>
      <c r="LK718" s="83"/>
      <c r="LS718" s="405"/>
      <c r="LY718" s="83"/>
      <c r="MG718" s="405"/>
      <c r="MM718" s="83"/>
      <c r="MU718" s="405"/>
      <c r="NA718" s="83"/>
    </row>
    <row r="719">
      <c r="A719" s="380"/>
      <c r="B719" s="380"/>
      <c r="C719" s="380"/>
      <c r="D719" s="380"/>
      <c r="E719" s="380"/>
      <c r="F719" s="380"/>
      <c r="G719" s="380"/>
      <c r="H719" s="380"/>
      <c r="I719" s="403"/>
      <c r="J719" s="380"/>
      <c r="K719" s="380"/>
      <c r="L719" s="380"/>
      <c r="M719" s="380"/>
      <c r="N719" s="380"/>
      <c r="O719" s="404"/>
      <c r="P719" s="380"/>
      <c r="Q719" s="380"/>
      <c r="R719" s="380"/>
      <c r="S719" s="380"/>
      <c r="T719" s="380"/>
      <c r="U719" s="380"/>
      <c r="V719" s="380"/>
      <c r="W719" s="403"/>
      <c r="X719" s="380"/>
      <c r="Y719" s="380"/>
      <c r="Z719" s="380"/>
      <c r="AA719" s="380"/>
      <c r="AB719" s="380"/>
      <c r="AC719" s="404"/>
      <c r="AD719" s="380"/>
      <c r="AE719" s="380"/>
      <c r="AF719" s="380"/>
      <c r="AG719" s="380"/>
      <c r="AH719" s="380"/>
      <c r="AI719" s="380"/>
      <c r="AJ719" s="380"/>
      <c r="AK719" s="403"/>
      <c r="AL719" s="380"/>
      <c r="AM719" s="380"/>
      <c r="AN719" s="380"/>
      <c r="AO719" s="380"/>
      <c r="AP719" s="380"/>
      <c r="AQ719" s="404"/>
      <c r="AR719" s="380"/>
      <c r="AS719" s="380"/>
      <c r="AT719" s="380"/>
      <c r="AU719" s="380"/>
      <c r="AV719" s="380"/>
      <c r="AW719" s="380"/>
      <c r="AX719" s="380"/>
      <c r="AY719" s="403"/>
      <c r="AZ719" s="380"/>
      <c r="BA719" s="380"/>
      <c r="BB719" s="380"/>
      <c r="BC719" s="380"/>
      <c r="BD719" s="380"/>
      <c r="BE719" s="404"/>
      <c r="BF719" s="380"/>
      <c r="BG719" s="380"/>
      <c r="BH719" s="380"/>
      <c r="BI719" s="380"/>
      <c r="BJ719" s="380"/>
      <c r="BK719" s="380"/>
      <c r="BL719" s="380"/>
      <c r="BM719" s="403"/>
      <c r="BS719" s="83"/>
      <c r="CA719" s="405"/>
      <c r="CG719" s="83"/>
      <c r="CO719" s="405"/>
      <c r="CU719" s="83"/>
      <c r="DC719" s="405"/>
      <c r="DI719" s="83"/>
      <c r="DQ719" s="405"/>
      <c r="DW719" s="83"/>
      <c r="EE719" s="405"/>
      <c r="EK719" s="83"/>
      <c r="ES719" s="405"/>
      <c r="EY719" s="83"/>
      <c r="FG719" s="405"/>
      <c r="FM719" s="83"/>
      <c r="FU719" s="405"/>
      <c r="GA719" s="83"/>
      <c r="GI719" s="405"/>
      <c r="GO719" s="83"/>
      <c r="GW719" s="405"/>
      <c r="HC719" s="83"/>
      <c r="HK719" s="405"/>
      <c r="HQ719" s="83"/>
      <c r="HY719" s="405"/>
      <c r="IE719" s="83"/>
      <c r="IM719" s="405"/>
      <c r="IS719" s="83"/>
      <c r="JA719" s="405"/>
      <c r="JG719" s="83"/>
      <c r="JO719" s="405"/>
      <c r="JU719" s="83"/>
      <c r="KC719" s="405"/>
      <c r="KI719" s="83"/>
      <c r="KQ719" s="405"/>
      <c r="KW719" s="83"/>
      <c r="LE719" s="405"/>
      <c r="LK719" s="83"/>
      <c r="LS719" s="405"/>
      <c r="LY719" s="83"/>
      <c r="MG719" s="405"/>
      <c r="MM719" s="83"/>
      <c r="MU719" s="405"/>
      <c r="NA719" s="83"/>
    </row>
    <row r="720">
      <c r="A720" s="380"/>
      <c r="B720" s="380"/>
      <c r="C720" s="380"/>
      <c r="D720" s="380"/>
      <c r="E720" s="380"/>
      <c r="F720" s="380"/>
      <c r="G720" s="380"/>
      <c r="H720" s="380"/>
      <c r="I720" s="403"/>
      <c r="J720" s="380"/>
      <c r="K720" s="380"/>
      <c r="L720" s="380"/>
      <c r="M720" s="380"/>
      <c r="N720" s="380"/>
      <c r="O720" s="404"/>
      <c r="P720" s="380"/>
      <c r="Q720" s="380"/>
      <c r="R720" s="380"/>
      <c r="S720" s="380"/>
      <c r="T720" s="380"/>
      <c r="U720" s="380"/>
      <c r="V720" s="380"/>
      <c r="W720" s="403"/>
      <c r="X720" s="380"/>
      <c r="Y720" s="380"/>
      <c r="Z720" s="380"/>
      <c r="AA720" s="380"/>
      <c r="AB720" s="380"/>
      <c r="AC720" s="404"/>
      <c r="AD720" s="380"/>
      <c r="AE720" s="380"/>
      <c r="AF720" s="380"/>
      <c r="AG720" s="380"/>
      <c r="AH720" s="380"/>
      <c r="AI720" s="380"/>
      <c r="AJ720" s="380"/>
      <c r="AK720" s="403"/>
      <c r="AL720" s="380"/>
      <c r="AM720" s="380"/>
      <c r="AN720" s="380"/>
      <c r="AO720" s="380"/>
      <c r="AP720" s="380"/>
      <c r="AQ720" s="404"/>
      <c r="AR720" s="380"/>
      <c r="AS720" s="380"/>
      <c r="AT720" s="380"/>
      <c r="AU720" s="380"/>
      <c r="AV720" s="380"/>
      <c r="AW720" s="380"/>
      <c r="AX720" s="380"/>
      <c r="AY720" s="403"/>
      <c r="AZ720" s="380"/>
      <c r="BA720" s="380"/>
      <c r="BB720" s="380"/>
      <c r="BC720" s="380"/>
      <c r="BD720" s="380"/>
      <c r="BE720" s="404"/>
      <c r="BF720" s="380"/>
      <c r="BG720" s="380"/>
      <c r="BH720" s="380"/>
      <c r="BI720" s="380"/>
      <c r="BJ720" s="380"/>
      <c r="BK720" s="380"/>
      <c r="BL720" s="380"/>
      <c r="BM720" s="403"/>
      <c r="BS720" s="83"/>
      <c r="CA720" s="405"/>
      <c r="CG720" s="83"/>
      <c r="CO720" s="405"/>
      <c r="CU720" s="83"/>
      <c r="DC720" s="405"/>
      <c r="DI720" s="83"/>
      <c r="DQ720" s="405"/>
      <c r="DW720" s="83"/>
      <c r="EE720" s="405"/>
      <c r="EK720" s="83"/>
      <c r="ES720" s="405"/>
      <c r="EY720" s="83"/>
      <c r="FG720" s="405"/>
      <c r="FM720" s="83"/>
      <c r="FU720" s="405"/>
      <c r="GA720" s="83"/>
      <c r="GI720" s="405"/>
      <c r="GO720" s="83"/>
      <c r="GW720" s="405"/>
      <c r="HC720" s="83"/>
      <c r="HK720" s="405"/>
      <c r="HQ720" s="83"/>
      <c r="HY720" s="405"/>
      <c r="IE720" s="83"/>
      <c r="IM720" s="405"/>
      <c r="IS720" s="83"/>
      <c r="JA720" s="405"/>
      <c r="JG720" s="83"/>
      <c r="JO720" s="405"/>
      <c r="JU720" s="83"/>
      <c r="KC720" s="405"/>
      <c r="KI720" s="83"/>
      <c r="KQ720" s="405"/>
      <c r="KW720" s="83"/>
      <c r="LE720" s="405"/>
      <c r="LK720" s="83"/>
      <c r="LS720" s="405"/>
      <c r="LY720" s="83"/>
      <c r="MG720" s="405"/>
      <c r="MM720" s="83"/>
      <c r="MU720" s="405"/>
      <c r="NA720" s="83"/>
    </row>
    <row r="721">
      <c r="A721" s="380"/>
      <c r="B721" s="380"/>
      <c r="C721" s="380"/>
      <c r="D721" s="380"/>
      <c r="E721" s="380"/>
      <c r="F721" s="380"/>
      <c r="G721" s="380"/>
      <c r="H721" s="380"/>
      <c r="I721" s="403"/>
      <c r="J721" s="380"/>
      <c r="K721" s="380"/>
      <c r="L721" s="380"/>
      <c r="M721" s="380"/>
      <c r="N721" s="380"/>
      <c r="O721" s="404"/>
      <c r="P721" s="380"/>
      <c r="Q721" s="380"/>
      <c r="R721" s="380"/>
      <c r="S721" s="380"/>
      <c r="T721" s="380"/>
      <c r="U721" s="380"/>
      <c r="V721" s="380"/>
      <c r="W721" s="403"/>
      <c r="X721" s="380"/>
      <c r="Y721" s="380"/>
      <c r="Z721" s="380"/>
      <c r="AA721" s="380"/>
      <c r="AB721" s="380"/>
      <c r="AC721" s="404"/>
      <c r="AD721" s="380"/>
      <c r="AE721" s="380"/>
      <c r="AF721" s="380"/>
      <c r="AG721" s="380"/>
      <c r="AH721" s="380"/>
      <c r="AI721" s="380"/>
      <c r="AJ721" s="380"/>
      <c r="AK721" s="403"/>
      <c r="AL721" s="380"/>
      <c r="AM721" s="380"/>
      <c r="AN721" s="380"/>
      <c r="AO721" s="380"/>
      <c r="AP721" s="380"/>
      <c r="AQ721" s="404"/>
      <c r="AR721" s="380"/>
      <c r="AS721" s="380"/>
      <c r="AT721" s="380"/>
      <c r="AU721" s="380"/>
      <c r="AV721" s="380"/>
      <c r="AW721" s="380"/>
      <c r="AX721" s="380"/>
      <c r="AY721" s="403"/>
      <c r="AZ721" s="380"/>
      <c r="BA721" s="380"/>
      <c r="BB721" s="380"/>
      <c r="BC721" s="380"/>
      <c r="BD721" s="380"/>
      <c r="BE721" s="404"/>
      <c r="BF721" s="380"/>
      <c r="BG721" s="380"/>
      <c r="BH721" s="380"/>
      <c r="BI721" s="380"/>
      <c r="BJ721" s="380"/>
      <c r="BK721" s="380"/>
      <c r="BL721" s="380"/>
      <c r="BM721" s="403"/>
      <c r="BS721" s="83"/>
      <c r="CA721" s="405"/>
      <c r="CG721" s="83"/>
      <c r="CO721" s="405"/>
      <c r="CU721" s="83"/>
      <c r="DC721" s="405"/>
      <c r="DI721" s="83"/>
      <c r="DQ721" s="405"/>
      <c r="DW721" s="83"/>
      <c r="EE721" s="405"/>
      <c r="EK721" s="83"/>
      <c r="ES721" s="405"/>
      <c r="EY721" s="83"/>
      <c r="FG721" s="405"/>
      <c r="FM721" s="83"/>
      <c r="FU721" s="405"/>
      <c r="GA721" s="83"/>
      <c r="GI721" s="405"/>
      <c r="GO721" s="83"/>
      <c r="GW721" s="405"/>
      <c r="HC721" s="83"/>
      <c r="HK721" s="405"/>
      <c r="HQ721" s="83"/>
      <c r="HY721" s="405"/>
      <c r="IE721" s="83"/>
      <c r="IM721" s="405"/>
      <c r="IS721" s="83"/>
      <c r="JA721" s="405"/>
      <c r="JG721" s="83"/>
      <c r="JO721" s="405"/>
      <c r="JU721" s="83"/>
      <c r="KC721" s="405"/>
      <c r="KI721" s="83"/>
      <c r="KQ721" s="405"/>
      <c r="KW721" s="83"/>
      <c r="LE721" s="405"/>
      <c r="LK721" s="83"/>
      <c r="LS721" s="405"/>
      <c r="LY721" s="83"/>
      <c r="MG721" s="405"/>
      <c r="MM721" s="83"/>
      <c r="MU721" s="405"/>
      <c r="NA721" s="83"/>
    </row>
    <row r="722">
      <c r="A722" s="380"/>
      <c r="B722" s="380"/>
      <c r="C722" s="380"/>
      <c r="D722" s="380"/>
      <c r="E722" s="380"/>
      <c r="F722" s="380"/>
      <c r="G722" s="380"/>
      <c r="H722" s="380"/>
      <c r="I722" s="403"/>
      <c r="J722" s="380"/>
      <c r="K722" s="380"/>
      <c r="L722" s="380"/>
      <c r="M722" s="380"/>
      <c r="N722" s="380"/>
      <c r="O722" s="404"/>
      <c r="P722" s="380"/>
      <c r="Q722" s="380"/>
      <c r="R722" s="380"/>
      <c r="S722" s="380"/>
      <c r="T722" s="380"/>
      <c r="U722" s="380"/>
      <c r="V722" s="380"/>
      <c r="W722" s="403"/>
      <c r="X722" s="380"/>
      <c r="Y722" s="380"/>
      <c r="Z722" s="380"/>
      <c r="AA722" s="380"/>
      <c r="AB722" s="380"/>
      <c r="AC722" s="404"/>
      <c r="AD722" s="380"/>
      <c r="AE722" s="380"/>
      <c r="AF722" s="380"/>
      <c r="AG722" s="380"/>
      <c r="AH722" s="380"/>
      <c r="AI722" s="380"/>
      <c r="AJ722" s="380"/>
      <c r="AK722" s="403"/>
      <c r="AL722" s="380"/>
      <c r="AM722" s="380"/>
      <c r="AN722" s="380"/>
      <c r="AO722" s="380"/>
      <c r="AP722" s="380"/>
      <c r="AQ722" s="404"/>
      <c r="AR722" s="380"/>
      <c r="AS722" s="380"/>
      <c r="AT722" s="380"/>
      <c r="AU722" s="380"/>
      <c r="AV722" s="380"/>
      <c r="AW722" s="380"/>
      <c r="AX722" s="380"/>
      <c r="AY722" s="403"/>
      <c r="AZ722" s="380"/>
      <c r="BA722" s="380"/>
      <c r="BB722" s="380"/>
      <c r="BC722" s="380"/>
      <c r="BD722" s="380"/>
      <c r="BE722" s="404"/>
      <c r="BF722" s="380"/>
      <c r="BG722" s="380"/>
      <c r="BH722" s="380"/>
      <c r="BI722" s="380"/>
      <c r="BJ722" s="380"/>
      <c r="BK722" s="380"/>
      <c r="BL722" s="380"/>
      <c r="BM722" s="403"/>
      <c r="BS722" s="83"/>
      <c r="CA722" s="405"/>
      <c r="CG722" s="83"/>
      <c r="CO722" s="405"/>
      <c r="CU722" s="83"/>
      <c r="DC722" s="405"/>
      <c r="DI722" s="83"/>
      <c r="DQ722" s="405"/>
      <c r="DW722" s="83"/>
      <c r="EE722" s="405"/>
      <c r="EK722" s="83"/>
      <c r="ES722" s="405"/>
      <c r="EY722" s="83"/>
      <c r="FG722" s="405"/>
      <c r="FM722" s="83"/>
      <c r="FU722" s="405"/>
      <c r="GA722" s="83"/>
      <c r="GI722" s="405"/>
      <c r="GO722" s="83"/>
      <c r="GW722" s="405"/>
      <c r="HC722" s="83"/>
      <c r="HK722" s="405"/>
      <c r="HQ722" s="83"/>
      <c r="HY722" s="405"/>
      <c r="IE722" s="83"/>
      <c r="IM722" s="405"/>
      <c r="IS722" s="83"/>
      <c r="JA722" s="405"/>
      <c r="JG722" s="83"/>
      <c r="JO722" s="405"/>
      <c r="JU722" s="83"/>
      <c r="KC722" s="405"/>
      <c r="KI722" s="83"/>
      <c r="KQ722" s="405"/>
      <c r="KW722" s="83"/>
      <c r="LE722" s="405"/>
      <c r="LK722" s="83"/>
      <c r="LS722" s="405"/>
      <c r="LY722" s="83"/>
      <c r="MG722" s="405"/>
      <c r="MM722" s="83"/>
      <c r="MU722" s="405"/>
      <c r="NA722" s="83"/>
    </row>
    <row r="723">
      <c r="A723" s="380"/>
      <c r="B723" s="380"/>
      <c r="C723" s="380"/>
      <c r="D723" s="380"/>
      <c r="E723" s="380"/>
      <c r="F723" s="380"/>
      <c r="G723" s="380"/>
      <c r="H723" s="380"/>
      <c r="I723" s="403"/>
      <c r="J723" s="380"/>
      <c r="K723" s="380"/>
      <c r="L723" s="380"/>
      <c r="M723" s="380"/>
      <c r="N723" s="380"/>
      <c r="O723" s="404"/>
      <c r="P723" s="380"/>
      <c r="Q723" s="380"/>
      <c r="R723" s="380"/>
      <c r="S723" s="380"/>
      <c r="T723" s="380"/>
      <c r="U723" s="380"/>
      <c r="V723" s="380"/>
      <c r="W723" s="403"/>
      <c r="X723" s="380"/>
      <c r="Y723" s="380"/>
      <c r="Z723" s="380"/>
      <c r="AA723" s="380"/>
      <c r="AB723" s="380"/>
      <c r="AC723" s="404"/>
      <c r="AD723" s="380"/>
      <c r="AE723" s="380"/>
      <c r="AF723" s="380"/>
      <c r="AG723" s="380"/>
      <c r="AH723" s="380"/>
      <c r="AI723" s="380"/>
      <c r="AJ723" s="380"/>
      <c r="AK723" s="403"/>
      <c r="AL723" s="380"/>
      <c r="AM723" s="380"/>
      <c r="AN723" s="380"/>
      <c r="AO723" s="380"/>
      <c r="AP723" s="380"/>
      <c r="AQ723" s="404"/>
      <c r="AR723" s="380"/>
      <c r="AS723" s="380"/>
      <c r="AT723" s="380"/>
      <c r="AU723" s="380"/>
      <c r="AV723" s="380"/>
      <c r="AW723" s="380"/>
      <c r="AX723" s="380"/>
      <c r="AY723" s="403"/>
      <c r="AZ723" s="380"/>
      <c r="BA723" s="380"/>
      <c r="BB723" s="380"/>
      <c r="BC723" s="380"/>
      <c r="BD723" s="380"/>
      <c r="BE723" s="404"/>
      <c r="BF723" s="380"/>
      <c r="BG723" s="380"/>
      <c r="BH723" s="380"/>
      <c r="BI723" s="380"/>
      <c r="BJ723" s="380"/>
      <c r="BK723" s="380"/>
      <c r="BL723" s="380"/>
      <c r="BM723" s="403"/>
      <c r="BS723" s="83"/>
      <c r="CA723" s="405"/>
      <c r="CG723" s="83"/>
      <c r="CO723" s="405"/>
      <c r="CU723" s="83"/>
      <c r="DC723" s="405"/>
      <c r="DI723" s="83"/>
      <c r="DQ723" s="405"/>
      <c r="DW723" s="83"/>
      <c r="EE723" s="405"/>
      <c r="EK723" s="83"/>
      <c r="ES723" s="405"/>
      <c r="EY723" s="83"/>
      <c r="FG723" s="405"/>
      <c r="FM723" s="83"/>
      <c r="FU723" s="405"/>
      <c r="GA723" s="83"/>
      <c r="GI723" s="405"/>
      <c r="GO723" s="83"/>
      <c r="GW723" s="405"/>
      <c r="HC723" s="83"/>
      <c r="HK723" s="405"/>
      <c r="HQ723" s="83"/>
      <c r="HY723" s="405"/>
      <c r="IE723" s="83"/>
      <c r="IM723" s="405"/>
      <c r="IS723" s="83"/>
      <c r="JA723" s="405"/>
      <c r="JG723" s="83"/>
      <c r="JO723" s="405"/>
      <c r="JU723" s="83"/>
      <c r="KC723" s="405"/>
      <c r="KI723" s="83"/>
      <c r="KQ723" s="405"/>
      <c r="KW723" s="83"/>
      <c r="LE723" s="405"/>
      <c r="LK723" s="83"/>
      <c r="LS723" s="405"/>
      <c r="LY723" s="83"/>
      <c r="MG723" s="405"/>
      <c r="MM723" s="83"/>
      <c r="MU723" s="405"/>
      <c r="NA723" s="83"/>
    </row>
    <row r="724">
      <c r="A724" s="380"/>
      <c r="B724" s="380"/>
      <c r="C724" s="380"/>
      <c r="D724" s="380"/>
      <c r="E724" s="380"/>
      <c r="F724" s="380"/>
      <c r="G724" s="380"/>
      <c r="H724" s="380"/>
      <c r="I724" s="403"/>
      <c r="J724" s="380"/>
      <c r="K724" s="380"/>
      <c r="L724" s="380"/>
      <c r="M724" s="380"/>
      <c r="N724" s="380"/>
      <c r="O724" s="404"/>
      <c r="P724" s="380"/>
      <c r="Q724" s="380"/>
      <c r="R724" s="380"/>
      <c r="S724" s="380"/>
      <c r="T724" s="380"/>
      <c r="U724" s="380"/>
      <c r="V724" s="380"/>
      <c r="W724" s="403"/>
      <c r="X724" s="380"/>
      <c r="Y724" s="380"/>
      <c r="Z724" s="380"/>
      <c r="AA724" s="380"/>
      <c r="AB724" s="380"/>
      <c r="AC724" s="404"/>
      <c r="AD724" s="380"/>
      <c r="AE724" s="380"/>
      <c r="AF724" s="380"/>
      <c r="AG724" s="380"/>
      <c r="AH724" s="380"/>
      <c r="AI724" s="380"/>
      <c r="AJ724" s="380"/>
      <c r="AK724" s="403"/>
      <c r="AL724" s="380"/>
      <c r="AM724" s="380"/>
      <c r="AN724" s="380"/>
      <c r="AO724" s="380"/>
      <c r="AP724" s="380"/>
      <c r="AQ724" s="404"/>
      <c r="AR724" s="380"/>
      <c r="AS724" s="380"/>
      <c r="AT724" s="380"/>
      <c r="AU724" s="380"/>
      <c r="AV724" s="380"/>
      <c r="AW724" s="380"/>
      <c r="AX724" s="380"/>
      <c r="AY724" s="403"/>
      <c r="AZ724" s="380"/>
      <c r="BA724" s="380"/>
      <c r="BB724" s="380"/>
      <c r="BC724" s="380"/>
      <c r="BD724" s="380"/>
      <c r="BE724" s="404"/>
      <c r="BF724" s="380"/>
      <c r="BG724" s="380"/>
      <c r="BH724" s="380"/>
      <c r="BI724" s="380"/>
      <c r="BJ724" s="380"/>
      <c r="BK724" s="380"/>
      <c r="BL724" s="380"/>
      <c r="BM724" s="403"/>
      <c r="BS724" s="83"/>
      <c r="CA724" s="405"/>
      <c r="CG724" s="83"/>
      <c r="CO724" s="405"/>
      <c r="CU724" s="83"/>
      <c r="DC724" s="405"/>
      <c r="DI724" s="83"/>
      <c r="DQ724" s="405"/>
      <c r="DW724" s="83"/>
      <c r="EE724" s="405"/>
      <c r="EK724" s="83"/>
      <c r="ES724" s="405"/>
      <c r="EY724" s="83"/>
      <c r="FG724" s="405"/>
      <c r="FM724" s="83"/>
      <c r="FU724" s="405"/>
      <c r="GA724" s="83"/>
      <c r="GI724" s="405"/>
      <c r="GO724" s="83"/>
      <c r="GW724" s="405"/>
      <c r="HC724" s="83"/>
      <c r="HK724" s="405"/>
      <c r="HQ724" s="83"/>
      <c r="HY724" s="405"/>
      <c r="IE724" s="83"/>
      <c r="IM724" s="405"/>
      <c r="IS724" s="83"/>
      <c r="JA724" s="405"/>
      <c r="JG724" s="83"/>
      <c r="JO724" s="405"/>
      <c r="JU724" s="83"/>
      <c r="KC724" s="405"/>
      <c r="KI724" s="83"/>
      <c r="KQ724" s="405"/>
      <c r="KW724" s="83"/>
      <c r="LE724" s="405"/>
      <c r="LK724" s="83"/>
      <c r="LS724" s="405"/>
      <c r="LY724" s="83"/>
      <c r="MG724" s="405"/>
      <c r="MM724" s="83"/>
      <c r="MU724" s="405"/>
      <c r="NA724" s="83"/>
    </row>
    <row r="725">
      <c r="A725" s="380"/>
      <c r="B725" s="380"/>
      <c r="C725" s="380"/>
      <c r="D725" s="380"/>
      <c r="E725" s="380"/>
      <c r="F725" s="380"/>
      <c r="G725" s="380"/>
      <c r="H725" s="380"/>
      <c r="I725" s="403"/>
      <c r="J725" s="380"/>
      <c r="K725" s="380"/>
      <c r="L725" s="380"/>
      <c r="M725" s="380"/>
      <c r="N725" s="380"/>
      <c r="O725" s="404"/>
      <c r="P725" s="380"/>
      <c r="Q725" s="380"/>
      <c r="R725" s="380"/>
      <c r="S725" s="380"/>
      <c r="T725" s="380"/>
      <c r="U725" s="380"/>
      <c r="V725" s="380"/>
      <c r="W725" s="403"/>
      <c r="X725" s="380"/>
      <c r="Y725" s="380"/>
      <c r="Z725" s="380"/>
      <c r="AA725" s="380"/>
      <c r="AB725" s="380"/>
      <c r="AC725" s="404"/>
      <c r="AD725" s="380"/>
      <c r="AE725" s="380"/>
      <c r="AF725" s="380"/>
      <c r="AG725" s="380"/>
      <c r="AH725" s="380"/>
      <c r="AI725" s="380"/>
      <c r="AJ725" s="380"/>
      <c r="AK725" s="403"/>
      <c r="AL725" s="380"/>
      <c r="AM725" s="380"/>
      <c r="AN725" s="380"/>
      <c r="AO725" s="380"/>
      <c r="AP725" s="380"/>
      <c r="AQ725" s="404"/>
      <c r="AR725" s="380"/>
      <c r="AS725" s="380"/>
      <c r="AT725" s="380"/>
      <c r="AU725" s="380"/>
      <c r="AV725" s="380"/>
      <c r="AW725" s="380"/>
      <c r="AX725" s="380"/>
      <c r="AY725" s="403"/>
      <c r="AZ725" s="380"/>
      <c r="BA725" s="380"/>
      <c r="BB725" s="380"/>
      <c r="BC725" s="380"/>
      <c r="BD725" s="380"/>
      <c r="BE725" s="404"/>
      <c r="BF725" s="380"/>
      <c r="BG725" s="380"/>
      <c r="BH725" s="380"/>
      <c r="BI725" s="380"/>
      <c r="BJ725" s="380"/>
      <c r="BK725" s="380"/>
      <c r="BL725" s="380"/>
      <c r="BM725" s="403"/>
      <c r="BS725" s="83"/>
      <c r="CA725" s="405"/>
      <c r="CG725" s="83"/>
      <c r="CO725" s="405"/>
      <c r="CU725" s="83"/>
      <c r="DC725" s="405"/>
      <c r="DI725" s="83"/>
      <c r="DQ725" s="405"/>
      <c r="DW725" s="83"/>
      <c r="EE725" s="405"/>
      <c r="EK725" s="83"/>
      <c r="ES725" s="405"/>
      <c r="EY725" s="83"/>
      <c r="FG725" s="405"/>
      <c r="FM725" s="83"/>
      <c r="FU725" s="405"/>
      <c r="GA725" s="83"/>
      <c r="GI725" s="405"/>
      <c r="GO725" s="83"/>
      <c r="GW725" s="405"/>
      <c r="HC725" s="83"/>
      <c r="HK725" s="405"/>
      <c r="HQ725" s="83"/>
      <c r="HY725" s="405"/>
      <c r="IE725" s="83"/>
      <c r="IM725" s="405"/>
      <c r="IS725" s="83"/>
      <c r="JA725" s="405"/>
      <c r="JG725" s="83"/>
      <c r="JO725" s="405"/>
      <c r="JU725" s="83"/>
      <c r="KC725" s="405"/>
      <c r="KI725" s="83"/>
      <c r="KQ725" s="405"/>
      <c r="KW725" s="83"/>
      <c r="LE725" s="405"/>
      <c r="LK725" s="83"/>
      <c r="LS725" s="405"/>
      <c r="LY725" s="83"/>
      <c r="MG725" s="405"/>
      <c r="MM725" s="83"/>
      <c r="MU725" s="405"/>
      <c r="NA725" s="83"/>
    </row>
    <row r="726">
      <c r="A726" s="380"/>
      <c r="B726" s="380"/>
      <c r="C726" s="380"/>
      <c r="D726" s="380"/>
      <c r="E726" s="380"/>
      <c r="F726" s="380"/>
      <c r="G726" s="380"/>
      <c r="H726" s="380"/>
      <c r="I726" s="403"/>
      <c r="J726" s="380"/>
      <c r="K726" s="380"/>
      <c r="L726" s="380"/>
      <c r="M726" s="380"/>
      <c r="N726" s="380"/>
      <c r="O726" s="404"/>
      <c r="P726" s="380"/>
      <c r="Q726" s="380"/>
      <c r="R726" s="380"/>
      <c r="S726" s="380"/>
      <c r="T726" s="380"/>
      <c r="U726" s="380"/>
      <c r="V726" s="380"/>
      <c r="W726" s="403"/>
      <c r="X726" s="380"/>
      <c r="Y726" s="380"/>
      <c r="Z726" s="380"/>
      <c r="AA726" s="380"/>
      <c r="AB726" s="380"/>
      <c r="AC726" s="404"/>
      <c r="AD726" s="380"/>
      <c r="AE726" s="380"/>
      <c r="AF726" s="380"/>
      <c r="AG726" s="380"/>
      <c r="AH726" s="380"/>
      <c r="AI726" s="380"/>
      <c r="AJ726" s="380"/>
      <c r="AK726" s="403"/>
      <c r="AL726" s="380"/>
      <c r="AM726" s="380"/>
      <c r="AN726" s="380"/>
      <c r="AO726" s="380"/>
      <c r="AP726" s="380"/>
      <c r="AQ726" s="404"/>
      <c r="AR726" s="380"/>
      <c r="AS726" s="380"/>
      <c r="AT726" s="380"/>
      <c r="AU726" s="380"/>
      <c r="AV726" s="380"/>
      <c r="AW726" s="380"/>
      <c r="AX726" s="380"/>
      <c r="AY726" s="403"/>
      <c r="AZ726" s="380"/>
      <c r="BA726" s="380"/>
      <c r="BB726" s="380"/>
      <c r="BC726" s="380"/>
      <c r="BD726" s="380"/>
      <c r="BE726" s="404"/>
      <c r="BF726" s="380"/>
      <c r="BG726" s="380"/>
      <c r="BH726" s="380"/>
      <c r="BI726" s="380"/>
      <c r="BJ726" s="380"/>
      <c r="BK726" s="380"/>
      <c r="BL726" s="380"/>
      <c r="BM726" s="403"/>
      <c r="BS726" s="83"/>
      <c r="CA726" s="405"/>
      <c r="CG726" s="83"/>
      <c r="CO726" s="405"/>
      <c r="CU726" s="83"/>
      <c r="DC726" s="405"/>
      <c r="DI726" s="83"/>
      <c r="DQ726" s="405"/>
      <c r="DW726" s="83"/>
      <c r="EE726" s="405"/>
      <c r="EK726" s="83"/>
      <c r="ES726" s="405"/>
      <c r="EY726" s="83"/>
      <c r="FG726" s="405"/>
      <c r="FM726" s="83"/>
      <c r="FU726" s="405"/>
      <c r="GA726" s="83"/>
      <c r="GI726" s="405"/>
      <c r="GO726" s="83"/>
      <c r="GW726" s="405"/>
      <c r="HC726" s="83"/>
      <c r="HK726" s="405"/>
      <c r="HQ726" s="83"/>
      <c r="HY726" s="405"/>
      <c r="IE726" s="83"/>
      <c r="IM726" s="405"/>
      <c r="IS726" s="83"/>
      <c r="JA726" s="405"/>
      <c r="JG726" s="83"/>
      <c r="JO726" s="405"/>
      <c r="JU726" s="83"/>
      <c r="KC726" s="405"/>
      <c r="KI726" s="83"/>
      <c r="KQ726" s="405"/>
      <c r="KW726" s="83"/>
      <c r="LE726" s="405"/>
      <c r="LK726" s="83"/>
      <c r="LS726" s="405"/>
      <c r="LY726" s="83"/>
      <c r="MG726" s="405"/>
      <c r="MM726" s="83"/>
      <c r="MU726" s="405"/>
      <c r="NA726" s="83"/>
    </row>
    <row r="727">
      <c r="A727" s="380"/>
      <c r="B727" s="380"/>
      <c r="C727" s="380"/>
      <c r="D727" s="380"/>
      <c r="E727" s="380"/>
      <c r="F727" s="380"/>
      <c r="G727" s="380"/>
      <c r="H727" s="380"/>
      <c r="I727" s="403"/>
      <c r="J727" s="380"/>
      <c r="K727" s="380"/>
      <c r="L727" s="380"/>
      <c r="M727" s="380"/>
      <c r="N727" s="380"/>
      <c r="O727" s="404"/>
      <c r="P727" s="380"/>
      <c r="Q727" s="380"/>
      <c r="R727" s="380"/>
      <c r="S727" s="380"/>
      <c r="T727" s="380"/>
      <c r="U727" s="380"/>
      <c r="V727" s="380"/>
      <c r="W727" s="403"/>
      <c r="X727" s="380"/>
      <c r="Y727" s="380"/>
      <c r="Z727" s="380"/>
      <c r="AA727" s="380"/>
      <c r="AB727" s="380"/>
      <c r="AC727" s="404"/>
      <c r="AD727" s="380"/>
      <c r="AE727" s="380"/>
      <c r="AF727" s="380"/>
      <c r="AG727" s="380"/>
      <c r="AH727" s="380"/>
      <c r="AI727" s="380"/>
      <c r="AJ727" s="380"/>
      <c r="AK727" s="403"/>
      <c r="AL727" s="380"/>
      <c r="AM727" s="380"/>
      <c r="AN727" s="380"/>
      <c r="AO727" s="380"/>
      <c r="AP727" s="380"/>
      <c r="AQ727" s="404"/>
      <c r="AR727" s="380"/>
      <c r="AS727" s="380"/>
      <c r="AT727" s="380"/>
      <c r="AU727" s="380"/>
      <c r="AV727" s="380"/>
      <c r="AW727" s="380"/>
      <c r="AX727" s="380"/>
      <c r="AY727" s="403"/>
      <c r="AZ727" s="380"/>
      <c r="BA727" s="380"/>
      <c r="BB727" s="380"/>
      <c r="BC727" s="380"/>
      <c r="BD727" s="380"/>
      <c r="BE727" s="404"/>
      <c r="BF727" s="380"/>
      <c r="BG727" s="380"/>
      <c r="BH727" s="380"/>
      <c r="BI727" s="380"/>
      <c r="BJ727" s="380"/>
      <c r="BK727" s="380"/>
      <c r="BL727" s="380"/>
      <c r="BM727" s="403"/>
      <c r="BS727" s="83"/>
      <c r="CA727" s="405"/>
      <c r="CG727" s="83"/>
      <c r="CO727" s="405"/>
      <c r="CU727" s="83"/>
      <c r="DC727" s="405"/>
      <c r="DI727" s="83"/>
      <c r="DQ727" s="405"/>
      <c r="DW727" s="83"/>
      <c r="EE727" s="405"/>
      <c r="EK727" s="83"/>
      <c r="ES727" s="405"/>
      <c r="EY727" s="83"/>
      <c r="FG727" s="405"/>
      <c r="FM727" s="83"/>
      <c r="FU727" s="405"/>
      <c r="GA727" s="83"/>
      <c r="GI727" s="405"/>
      <c r="GO727" s="83"/>
      <c r="GW727" s="405"/>
      <c r="HC727" s="83"/>
      <c r="HK727" s="405"/>
      <c r="HQ727" s="83"/>
      <c r="HY727" s="405"/>
      <c r="IE727" s="83"/>
      <c r="IM727" s="405"/>
      <c r="IS727" s="83"/>
      <c r="JA727" s="405"/>
      <c r="JG727" s="83"/>
      <c r="JO727" s="405"/>
      <c r="JU727" s="83"/>
      <c r="KC727" s="405"/>
      <c r="KI727" s="83"/>
      <c r="KQ727" s="405"/>
      <c r="KW727" s="83"/>
      <c r="LE727" s="405"/>
      <c r="LK727" s="83"/>
      <c r="LS727" s="405"/>
      <c r="LY727" s="83"/>
      <c r="MG727" s="405"/>
      <c r="MM727" s="83"/>
      <c r="MU727" s="405"/>
      <c r="NA727" s="83"/>
    </row>
    <row r="728">
      <c r="A728" s="380"/>
      <c r="B728" s="380"/>
      <c r="C728" s="380"/>
      <c r="D728" s="380"/>
      <c r="E728" s="380"/>
      <c r="F728" s="380"/>
      <c r="G728" s="380"/>
      <c r="H728" s="380"/>
      <c r="I728" s="403"/>
      <c r="J728" s="380"/>
      <c r="K728" s="380"/>
      <c r="L728" s="380"/>
      <c r="M728" s="380"/>
      <c r="N728" s="380"/>
      <c r="O728" s="404"/>
      <c r="P728" s="380"/>
      <c r="Q728" s="380"/>
      <c r="R728" s="380"/>
      <c r="S728" s="380"/>
      <c r="T728" s="380"/>
      <c r="U728" s="380"/>
      <c r="V728" s="380"/>
      <c r="W728" s="403"/>
      <c r="X728" s="380"/>
      <c r="Y728" s="380"/>
      <c r="Z728" s="380"/>
      <c r="AA728" s="380"/>
      <c r="AB728" s="380"/>
      <c r="AC728" s="404"/>
      <c r="AD728" s="380"/>
      <c r="AE728" s="380"/>
      <c r="AF728" s="380"/>
      <c r="AG728" s="380"/>
      <c r="AH728" s="380"/>
      <c r="AI728" s="380"/>
      <c r="AJ728" s="380"/>
      <c r="AK728" s="403"/>
      <c r="AL728" s="380"/>
      <c r="AM728" s="380"/>
      <c r="AN728" s="380"/>
      <c r="AO728" s="380"/>
      <c r="AP728" s="380"/>
      <c r="AQ728" s="404"/>
      <c r="AR728" s="380"/>
      <c r="AS728" s="380"/>
      <c r="AT728" s="380"/>
      <c r="AU728" s="380"/>
      <c r="AV728" s="380"/>
      <c r="AW728" s="380"/>
      <c r="AX728" s="380"/>
      <c r="AY728" s="403"/>
      <c r="AZ728" s="380"/>
      <c r="BA728" s="380"/>
      <c r="BB728" s="380"/>
      <c r="BC728" s="380"/>
      <c r="BD728" s="380"/>
      <c r="BE728" s="404"/>
      <c r="BF728" s="380"/>
      <c r="BG728" s="380"/>
      <c r="BH728" s="380"/>
      <c r="BI728" s="380"/>
      <c r="BJ728" s="380"/>
      <c r="BK728" s="380"/>
      <c r="BL728" s="380"/>
      <c r="BM728" s="403"/>
      <c r="BS728" s="83"/>
      <c r="CA728" s="405"/>
      <c r="CG728" s="83"/>
      <c r="CO728" s="405"/>
      <c r="CU728" s="83"/>
      <c r="DC728" s="405"/>
      <c r="DI728" s="83"/>
      <c r="DQ728" s="405"/>
      <c r="DW728" s="83"/>
      <c r="EE728" s="405"/>
      <c r="EK728" s="83"/>
      <c r="ES728" s="405"/>
      <c r="EY728" s="83"/>
      <c r="FG728" s="405"/>
      <c r="FM728" s="83"/>
      <c r="FU728" s="405"/>
      <c r="GA728" s="83"/>
      <c r="GI728" s="405"/>
      <c r="GO728" s="83"/>
      <c r="GW728" s="405"/>
      <c r="HC728" s="83"/>
      <c r="HK728" s="405"/>
      <c r="HQ728" s="83"/>
      <c r="HY728" s="405"/>
      <c r="IE728" s="83"/>
      <c r="IM728" s="405"/>
      <c r="IS728" s="83"/>
      <c r="JA728" s="405"/>
      <c r="JG728" s="83"/>
      <c r="JO728" s="405"/>
      <c r="JU728" s="83"/>
      <c r="KC728" s="405"/>
      <c r="KI728" s="83"/>
      <c r="KQ728" s="405"/>
      <c r="KW728" s="83"/>
      <c r="LE728" s="405"/>
      <c r="LK728" s="83"/>
      <c r="LS728" s="405"/>
      <c r="LY728" s="83"/>
      <c r="MG728" s="405"/>
      <c r="MM728" s="83"/>
      <c r="MU728" s="405"/>
      <c r="NA728" s="83"/>
    </row>
    <row r="729">
      <c r="A729" s="380"/>
      <c r="B729" s="380"/>
      <c r="C729" s="380"/>
      <c r="D729" s="380"/>
      <c r="E729" s="380"/>
      <c r="F729" s="380"/>
      <c r="G729" s="380"/>
      <c r="H729" s="380"/>
      <c r="I729" s="403"/>
      <c r="J729" s="380"/>
      <c r="K729" s="380"/>
      <c r="L729" s="380"/>
      <c r="M729" s="380"/>
      <c r="N729" s="380"/>
      <c r="O729" s="404"/>
      <c r="P729" s="380"/>
      <c r="Q729" s="380"/>
      <c r="R729" s="380"/>
      <c r="S729" s="380"/>
      <c r="T729" s="380"/>
      <c r="U729" s="380"/>
      <c r="V729" s="380"/>
      <c r="W729" s="403"/>
      <c r="X729" s="380"/>
      <c r="Y729" s="380"/>
      <c r="Z729" s="380"/>
      <c r="AA729" s="380"/>
      <c r="AB729" s="380"/>
      <c r="AC729" s="404"/>
      <c r="AD729" s="380"/>
      <c r="AE729" s="380"/>
      <c r="AF729" s="380"/>
      <c r="AG729" s="380"/>
      <c r="AH729" s="380"/>
      <c r="AI729" s="380"/>
      <c r="AJ729" s="380"/>
      <c r="AK729" s="403"/>
      <c r="AL729" s="380"/>
      <c r="AM729" s="380"/>
      <c r="AN729" s="380"/>
      <c r="AO729" s="380"/>
      <c r="AP729" s="380"/>
      <c r="AQ729" s="404"/>
      <c r="AR729" s="380"/>
      <c r="AS729" s="380"/>
      <c r="AT729" s="380"/>
      <c r="AU729" s="380"/>
      <c r="AV729" s="380"/>
      <c r="AW729" s="380"/>
      <c r="AX729" s="380"/>
      <c r="AY729" s="403"/>
      <c r="AZ729" s="380"/>
      <c r="BA729" s="380"/>
      <c r="BB729" s="380"/>
      <c r="BC729" s="380"/>
      <c r="BD729" s="380"/>
      <c r="BE729" s="404"/>
      <c r="BF729" s="380"/>
      <c r="BG729" s="380"/>
      <c r="BH729" s="380"/>
      <c r="BI729" s="380"/>
      <c r="BJ729" s="380"/>
      <c r="BK729" s="380"/>
      <c r="BL729" s="380"/>
      <c r="BM729" s="403"/>
      <c r="BS729" s="83"/>
      <c r="CA729" s="405"/>
      <c r="CG729" s="83"/>
      <c r="CO729" s="405"/>
      <c r="CU729" s="83"/>
      <c r="DC729" s="405"/>
      <c r="DI729" s="83"/>
      <c r="DQ729" s="405"/>
      <c r="DW729" s="83"/>
      <c r="EE729" s="405"/>
      <c r="EK729" s="83"/>
      <c r="ES729" s="405"/>
      <c r="EY729" s="83"/>
      <c r="FG729" s="405"/>
      <c r="FM729" s="83"/>
      <c r="FU729" s="405"/>
      <c r="GA729" s="83"/>
      <c r="GI729" s="405"/>
      <c r="GO729" s="83"/>
      <c r="GW729" s="405"/>
      <c r="HC729" s="83"/>
      <c r="HK729" s="405"/>
      <c r="HQ729" s="83"/>
      <c r="HY729" s="405"/>
      <c r="IE729" s="83"/>
      <c r="IM729" s="405"/>
      <c r="IS729" s="83"/>
      <c r="JA729" s="405"/>
      <c r="JG729" s="83"/>
      <c r="JO729" s="405"/>
      <c r="JU729" s="83"/>
      <c r="KC729" s="405"/>
      <c r="KI729" s="83"/>
      <c r="KQ729" s="405"/>
      <c r="KW729" s="83"/>
      <c r="LE729" s="405"/>
      <c r="LK729" s="83"/>
      <c r="LS729" s="405"/>
      <c r="LY729" s="83"/>
      <c r="MG729" s="405"/>
      <c r="MM729" s="83"/>
      <c r="MU729" s="405"/>
      <c r="NA729" s="83"/>
    </row>
    <row r="730">
      <c r="A730" s="380"/>
      <c r="B730" s="380"/>
      <c r="C730" s="380"/>
      <c r="D730" s="380"/>
      <c r="E730" s="380"/>
      <c r="F730" s="380"/>
      <c r="G730" s="380"/>
      <c r="H730" s="380"/>
      <c r="I730" s="403"/>
      <c r="J730" s="380"/>
      <c r="K730" s="380"/>
      <c r="L730" s="380"/>
      <c r="M730" s="380"/>
      <c r="N730" s="380"/>
      <c r="O730" s="404"/>
      <c r="P730" s="380"/>
      <c r="Q730" s="380"/>
      <c r="R730" s="380"/>
      <c r="S730" s="380"/>
      <c r="T730" s="380"/>
      <c r="U730" s="380"/>
      <c r="V730" s="380"/>
      <c r="W730" s="403"/>
      <c r="X730" s="380"/>
      <c r="Y730" s="380"/>
      <c r="Z730" s="380"/>
      <c r="AA730" s="380"/>
      <c r="AB730" s="380"/>
      <c r="AC730" s="404"/>
      <c r="AD730" s="380"/>
      <c r="AE730" s="380"/>
      <c r="AF730" s="380"/>
      <c r="AG730" s="380"/>
      <c r="AH730" s="380"/>
      <c r="AI730" s="380"/>
      <c r="AJ730" s="380"/>
      <c r="AK730" s="403"/>
      <c r="AL730" s="380"/>
      <c r="AM730" s="380"/>
      <c r="AN730" s="380"/>
      <c r="AO730" s="380"/>
      <c r="AP730" s="380"/>
      <c r="AQ730" s="404"/>
      <c r="AR730" s="380"/>
      <c r="AS730" s="380"/>
      <c r="AT730" s="380"/>
      <c r="AU730" s="380"/>
      <c r="AV730" s="380"/>
      <c r="AW730" s="380"/>
      <c r="AX730" s="380"/>
      <c r="AY730" s="403"/>
      <c r="AZ730" s="380"/>
      <c r="BA730" s="380"/>
      <c r="BB730" s="380"/>
      <c r="BC730" s="380"/>
      <c r="BD730" s="380"/>
      <c r="BE730" s="404"/>
      <c r="BF730" s="380"/>
      <c r="BG730" s="380"/>
      <c r="BH730" s="380"/>
      <c r="BI730" s="380"/>
      <c r="BJ730" s="380"/>
      <c r="BK730" s="380"/>
      <c r="BL730" s="380"/>
      <c r="BM730" s="403"/>
      <c r="BS730" s="83"/>
      <c r="CA730" s="405"/>
      <c r="CG730" s="83"/>
      <c r="CO730" s="405"/>
      <c r="CU730" s="83"/>
      <c r="DC730" s="405"/>
      <c r="DI730" s="83"/>
      <c r="DQ730" s="405"/>
      <c r="DW730" s="83"/>
      <c r="EE730" s="405"/>
      <c r="EK730" s="83"/>
      <c r="ES730" s="405"/>
      <c r="EY730" s="83"/>
      <c r="FG730" s="405"/>
      <c r="FM730" s="83"/>
      <c r="FU730" s="405"/>
      <c r="GA730" s="83"/>
      <c r="GI730" s="405"/>
      <c r="GO730" s="83"/>
      <c r="GW730" s="405"/>
      <c r="HC730" s="83"/>
      <c r="HK730" s="405"/>
      <c r="HQ730" s="83"/>
      <c r="HY730" s="405"/>
      <c r="IE730" s="83"/>
      <c r="IM730" s="405"/>
      <c r="IS730" s="83"/>
      <c r="JA730" s="405"/>
      <c r="JG730" s="83"/>
      <c r="JO730" s="405"/>
      <c r="JU730" s="83"/>
      <c r="KC730" s="405"/>
      <c r="KI730" s="83"/>
      <c r="KQ730" s="405"/>
      <c r="KW730" s="83"/>
      <c r="LE730" s="405"/>
      <c r="LK730" s="83"/>
      <c r="LS730" s="405"/>
      <c r="LY730" s="83"/>
      <c r="MG730" s="405"/>
      <c r="MM730" s="83"/>
      <c r="MU730" s="405"/>
      <c r="NA730" s="83"/>
    </row>
    <row r="731">
      <c r="A731" s="380"/>
      <c r="B731" s="380"/>
      <c r="C731" s="380"/>
      <c r="D731" s="380"/>
      <c r="E731" s="380"/>
      <c r="F731" s="380"/>
      <c r="G731" s="380"/>
      <c r="H731" s="380"/>
      <c r="I731" s="403"/>
      <c r="J731" s="380"/>
      <c r="K731" s="380"/>
      <c r="L731" s="380"/>
      <c r="M731" s="380"/>
      <c r="N731" s="380"/>
      <c r="O731" s="404"/>
      <c r="P731" s="380"/>
      <c r="Q731" s="380"/>
      <c r="R731" s="380"/>
      <c r="S731" s="380"/>
      <c r="T731" s="380"/>
      <c r="U731" s="380"/>
      <c r="V731" s="380"/>
      <c r="W731" s="403"/>
      <c r="X731" s="380"/>
      <c r="Y731" s="380"/>
      <c r="Z731" s="380"/>
      <c r="AA731" s="380"/>
      <c r="AB731" s="380"/>
      <c r="AC731" s="404"/>
      <c r="AD731" s="380"/>
      <c r="AE731" s="380"/>
      <c r="AF731" s="380"/>
      <c r="AG731" s="380"/>
      <c r="AH731" s="380"/>
      <c r="AI731" s="380"/>
      <c r="AJ731" s="380"/>
      <c r="AK731" s="403"/>
      <c r="AL731" s="380"/>
      <c r="AM731" s="380"/>
      <c r="AN731" s="380"/>
      <c r="AO731" s="380"/>
      <c r="AP731" s="380"/>
      <c r="AQ731" s="404"/>
      <c r="AR731" s="380"/>
      <c r="AS731" s="380"/>
      <c r="AT731" s="380"/>
      <c r="AU731" s="380"/>
      <c r="AV731" s="380"/>
      <c r="AW731" s="380"/>
      <c r="AX731" s="380"/>
      <c r="AY731" s="403"/>
      <c r="AZ731" s="380"/>
      <c r="BA731" s="380"/>
      <c r="BB731" s="380"/>
      <c r="BC731" s="380"/>
      <c r="BD731" s="380"/>
      <c r="BE731" s="404"/>
      <c r="BF731" s="380"/>
      <c r="BG731" s="380"/>
      <c r="BH731" s="380"/>
      <c r="BI731" s="380"/>
      <c r="BJ731" s="380"/>
      <c r="BK731" s="380"/>
      <c r="BL731" s="380"/>
      <c r="BM731" s="403"/>
      <c r="BS731" s="83"/>
      <c r="CA731" s="405"/>
      <c r="CG731" s="83"/>
      <c r="CO731" s="405"/>
      <c r="CU731" s="83"/>
      <c r="DC731" s="405"/>
      <c r="DI731" s="83"/>
      <c r="DQ731" s="405"/>
      <c r="DW731" s="83"/>
      <c r="EE731" s="405"/>
      <c r="EK731" s="83"/>
      <c r="ES731" s="405"/>
      <c r="EY731" s="83"/>
      <c r="FG731" s="405"/>
      <c r="FM731" s="83"/>
      <c r="FU731" s="405"/>
      <c r="GA731" s="83"/>
      <c r="GI731" s="405"/>
      <c r="GO731" s="83"/>
      <c r="GW731" s="405"/>
      <c r="HC731" s="83"/>
      <c r="HK731" s="405"/>
      <c r="HQ731" s="83"/>
      <c r="HY731" s="405"/>
      <c r="IE731" s="83"/>
      <c r="IM731" s="405"/>
      <c r="IS731" s="83"/>
      <c r="JA731" s="405"/>
      <c r="JG731" s="83"/>
      <c r="JO731" s="405"/>
      <c r="JU731" s="83"/>
      <c r="KC731" s="405"/>
      <c r="KI731" s="83"/>
      <c r="KQ731" s="405"/>
      <c r="KW731" s="83"/>
      <c r="LE731" s="405"/>
      <c r="LK731" s="83"/>
      <c r="LS731" s="405"/>
      <c r="LY731" s="83"/>
      <c r="MG731" s="405"/>
      <c r="MM731" s="83"/>
      <c r="MU731" s="405"/>
      <c r="NA731" s="83"/>
    </row>
    <row r="732">
      <c r="A732" s="380"/>
      <c r="B732" s="380"/>
      <c r="C732" s="380"/>
      <c r="D732" s="380"/>
      <c r="E732" s="380"/>
      <c r="F732" s="380"/>
      <c r="G732" s="380"/>
      <c r="H732" s="380"/>
      <c r="I732" s="403"/>
      <c r="J732" s="380"/>
      <c r="K732" s="380"/>
      <c r="L732" s="380"/>
      <c r="M732" s="380"/>
      <c r="N732" s="380"/>
      <c r="O732" s="404"/>
      <c r="P732" s="380"/>
      <c r="Q732" s="380"/>
      <c r="R732" s="380"/>
      <c r="S732" s="380"/>
      <c r="T732" s="380"/>
      <c r="U732" s="380"/>
      <c r="V732" s="380"/>
      <c r="W732" s="403"/>
      <c r="X732" s="380"/>
      <c r="Y732" s="380"/>
      <c r="Z732" s="380"/>
      <c r="AA732" s="380"/>
      <c r="AB732" s="380"/>
      <c r="AC732" s="404"/>
      <c r="AD732" s="380"/>
      <c r="AE732" s="380"/>
      <c r="AF732" s="380"/>
      <c r="AG732" s="380"/>
      <c r="AH732" s="380"/>
      <c r="AI732" s="380"/>
      <c r="AJ732" s="380"/>
      <c r="AK732" s="403"/>
      <c r="AL732" s="380"/>
      <c r="AM732" s="380"/>
      <c r="AN732" s="380"/>
      <c r="AO732" s="380"/>
      <c r="AP732" s="380"/>
      <c r="AQ732" s="404"/>
      <c r="AR732" s="380"/>
      <c r="AS732" s="380"/>
      <c r="AT732" s="380"/>
      <c r="AU732" s="380"/>
      <c r="AV732" s="380"/>
      <c r="AW732" s="380"/>
      <c r="AX732" s="380"/>
      <c r="AY732" s="403"/>
      <c r="AZ732" s="380"/>
      <c r="BA732" s="380"/>
      <c r="BB732" s="380"/>
      <c r="BC732" s="380"/>
      <c r="BD732" s="380"/>
      <c r="BE732" s="404"/>
      <c r="BF732" s="380"/>
      <c r="BG732" s="380"/>
      <c r="BH732" s="380"/>
      <c r="BI732" s="380"/>
      <c r="BJ732" s="380"/>
      <c r="BK732" s="380"/>
      <c r="BL732" s="380"/>
      <c r="BM732" s="403"/>
      <c r="BS732" s="83"/>
      <c r="CA732" s="405"/>
      <c r="CG732" s="83"/>
      <c r="CO732" s="405"/>
      <c r="CU732" s="83"/>
      <c r="DC732" s="405"/>
      <c r="DI732" s="83"/>
      <c r="DQ732" s="405"/>
      <c r="DW732" s="83"/>
      <c r="EE732" s="405"/>
      <c r="EK732" s="83"/>
      <c r="ES732" s="405"/>
      <c r="EY732" s="83"/>
      <c r="FG732" s="405"/>
      <c r="FM732" s="83"/>
      <c r="FU732" s="405"/>
      <c r="GA732" s="83"/>
      <c r="GI732" s="405"/>
      <c r="GO732" s="83"/>
      <c r="GW732" s="405"/>
      <c r="HC732" s="83"/>
      <c r="HK732" s="405"/>
      <c r="HQ732" s="83"/>
      <c r="HY732" s="405"/>
      <c r="IE732" s="83"/>
      <c r="IM732" s="405"/>
      <c r="IS732" s="83"/>
      <c r="JA732" s="405"/>
      <c r="JG732" s="83"/>
      <c r="JO732" s="405"/>
      <c r="JU732" s="83"/>
      <c r="KC732" s="405"/>
      <c r="KI732" s="83"/>
      <c r="KQ732" s="405"/>
      <c r="KW732" s="83"/>
      <c r="LE732" s="405"/>
      <c r="LK732" s="83"/>
      <c r="LS732" s="405"/>
      <c r="LY732" s="83"/>
      <c r="MG732" s="405"/>
      <c r="MM732" s="83"/>
      <c r="MU732" s="405"/>
      <c r="NA732" s="83"/>
    </row>
    <row r="733">
      <c r="A733" s="380"/>
      <c r="B733" s="380"/>
      <c r="C733" s="380"/>
      <c r="D733" s="380"/>
      <c r="E733" s="380"/>
      <c r="F733" s="380"/>
      <c r="G733" s="380"/>
      <c r="H733" s="380"/>
      <c r="I733" s="403"/>
      <c r="J733" s="380"/>
      <c r="K733" s="380"/>
      <c r="L733" s="380"/>
      <c r="M733" s="380"/>
      <c r="N733" s="380"/>
      <c r="O733" s="404"/>
      <c r="P733" s="380"/>
      <c r="Q733" s="380"/>
      <c r="R733" s="380"/>
      <c r="S733" s="380"/>
      <c r="T733" s="380"/>
      <c r="U733" s="380"/>
      <c r="V733" s="380"/>
      <c r="W733" s="403"/>
      <c r="X733" s="380"/>
      <c r="Y733" s="380"/>
      <c r="Z733" s="380"/>
      <c r="AA733" s="380"/>
      <c r="AB733" s="380"/>
      <c r="AC733" s="404"/>
      <c r="AD733" s="380"/>
      <c r="AE733" s="380"/>
      <c r="AF733" s="380"/>
      <c r="AG733" s="380"/>
      <c r="AH733" s="380"/>
      <c r="AI733" s="380"/>
      <c r="AJ733" s="380"/>
      <c r="AK733" s="403"/>
      <c r="AL733" s="380"/>
      <c r="AM733" s="380"/>
      <c r="AN733" s="380"/>
      <c r="AO733" s="380"/>
      <c r="AP733" s="380"/>
      <c r="AQ733" s="404"/>
      <c r="AR733" s="380"/>
      <c r="AS733" s="380"/>
      <c r="AT733" s="380"/>
      <c r="AU733" s="380"/>
      <c r="AV733" s="380"/>
      <c r="AW733" s="380"/>
      <c r="AX733" s="380"/>
      <c r="AY733" s="403"/>
      <c r="AZ733" s="380"/>
      <c r="BA733" s="380"/>
      <c r="BB733" s="380"/>
      <c r="BC733" s="380"/>
      <c r="BD733" s="380"/>
      <c r="BE733" s="404"/>
      <c r="BF733" s="380"/>
      <c r="BG733" s="380"/>
      <c r="BH733" s="380"/>
      <c r="BI733" s="380"/>
      <c r="BJ733" s="380"/>
      <c r="BK733" s="380"/>
      <c r="BL733" s="380"/>
      <c r="BM733" s="403"/>
      <c r="BS733" s="83"/>
      <c r="CA733" s="405"/>
      <c r="CG733" s="83"/>
      <c r="CO733" s="405"/>
      <c r="CU733" s="83"/>
      <c r="DC733" s="405"/>
      <c r="DI733" s="83"/>
      <c r="DQ733" s="405"/>
      <c r="DW733" s="83"/>
      <c r="EE733" s="405"/>
      <c r="EK733" s="83"/>
      <c r="ES733" s="405"/>
      <c r="EY733" s="83"/>
      <c r="FG733" s="405"/>
      <c r="FM733" s="83"/>
      <c r="FU733" s="405"/>
      <c r="GA733" s="83"/>
      <c r="GI733" s="405"/>
      <c r="GO733" s="83"/>
      <c r="GW733" s="405"/>
      <c r="HC733" s="83"/>
      <c r="HK733" s="405"/>
      <c r="HQ733" s="83"/>
      <c r="HY733" s="405"/>
      <c r="IE733" s="83"/>
      <c r="IM733" s="405"/>
      <c r="IS733" s="83"/>
      <c r="JA733" s="405"/>
      <c r="JG733" s="83"/>
      <c r="JO733" s="405"/>
      <c r="JU733" s="83"/>
      <c r="KC733" s="405"/>
      <c r="KI733" s="83"/>
      <c r="KQ733" s="405"/>
      <c r="KW733" s="83"/>
      <c r="LE733" s="405"/>
      <c r="LK733" s="83"/>
      <c r="LS733" s="405"/>
      <c r="LY733" s="83"/>
      <c r="MG733" s="405"/>
      <c r="MM733" s="83"/>
      <c r="MU733" s="405"/>
      <c r="NA733" s="83"/>
    </row>
    <row r="734">
      <c r="A734" s="380"/>
      <c r="B734" s="380"/>
      <c r="C734" s="380"/>
      <c r="D734" s="380"/>
      <c r="E734" s="380"/>
      <c r="F734" s="380"/>
      <c r="G734" s="380"/>
      <c r="H734" s="380"/>
      <c r="I734" s="403"/>
      <c r="J734" s="380"/>
      <c r="K734" s="380"/>
      <c r="L734" s="380"/>
      <c r="M734" s="380"/>
      <c r="N734" s="380"/>
      <c r="O734" s="404"/>
      <c r="P734" s="380"/>
      <c r="Q734" s="380"/>
      <c r="R734" s="380"/>
      <c r="S734" s="380"/>
      <c r="T734" s="380"/>
      <c r="U734" s="380"/>
      <c r="V734" s="380"/>
      <c r="W734" s="403"/>
      <c r="X734" s="380"/>
      <c r="Y734" s="380"/>
      <c r="Z734" s="380"/>
      <c r="AA734" s="380"/>
      <c r="AB734" s="380"/>
      <c r="AC734" s="404"/>
      <c r="AD734" s="380"/>
      <c r="AE734" s="380"/>
      <c r="AF734" s="380"/>
      <c r="AG734" s="380"/>
      <c r="AH734" s="380"/>
      <c r="AI734" s="380"/>
      <c r="AJ734" s="380"/>
      <c r="AK734" s="403"/>
      <c r="AL734" s="380"/>
      <c r="AM734" s="380"/>
      <c r="AN734" s="380"/>
      <c r="AO734" s="380"/>
      <c r="AP734" s="380"/>
      <c r="AQ734" s="404"/>
      <c r="AR734" s="380"/>
      <c r="AS734" s="380"/>
      <c r="AT734" s="380"/>
      <c r="AU734" s="380"/>
      <c r="AV734" s="380"/>
      <c r="AW734" s="380"/>
      <c r="AX734" s="380"/>
      <c r="AY734" s="403"/>
      <c r="AZ734" s="380"/>
      <c r="BA734" s="380"/>
      <c r="BB734" s="380"/>
      <c r="BC734" s="380"/>
      <c r="BD734" s="380"/>
      <c r="BE734" s="404"/>
      <c r="BF734" s="380"/>
      <c r="BG734" s="380"/>
      <c r="BH734" s="380"/>
      <c r="BI734" s="380"/>
      <c r="BJ734" s="380"/>
      <c r="BK734" s="380"/>
      <c r="BL734" s="380"/>
      <c r="BM734" s="403"/>
      <c r="BS734" s="83"/>
      <c r="CA734" s="405"/>
      <c r="CG734" s="83"/>
      <c r="CO734" s="405"/>
      <c r="CU734" s="83"/>
      <c r="DC734" s="405"/>
      <c r="DI734" s="83"/>
      <c r="DQ734" s="405"/>
      <c r="DW734" s="83"/>
      <c r="EE734" s="405"/>
      <c r="EK734" s="83"/>
      <c r="ES734" s="405"/>
      <c r="EY734" s="83"/>
      <c r="FG734" s="405"/>
      <c r="FM734" s="83"/>
      <c r="FU734" s="405"/>
      <c r="GA734" s="83"/>
      <c r="GI734" s="405"/>
      <c r="GO734" s="83"/>
      <c r="GW734" s="405"/>
      <c r="HC734" s="83"/>
      <c r="HK734" s="405"/>
      <c r="HQ734" s="83"/>
      <c r="HY734" s="405"/>
      <c r="IE734" s="83"/>
      <c r="IM734" s="405"/>
      <c r="IS734" s="83"/>
      <c r="JA734" s="405"/>
      <c r="JG734" s="83"/>
      <c r="JO734" s="405"/>
      <c r="JU734" s="83"/>
      <c r="KC734" s="405"/>
      <c r="KI734" s="83"/>
      <c r="KQ734" s="405"/>
      <c r="KW734" s="83"/>
      <c r="LE734" s="405"/>
      <c r="LK734" s="83"/>
      <c r="LS734" s="405"/>
      <c r="LY734" s="83"/>
      <c r="MG734" s="405"/>
      <c r="MM734" s="83"/>
      <c r="MU734" s="405"/>
      <c r="NA734" s="83"/>
    </row>
    <row r="735">
      <c r="A735" s="380"/>
      <c r="B735" s="380"/>
      <c r="C735" s="380"/>
      <c r="D735" s="380"/>
      <c r="E735" s="380"/>
      <c r="F735" s="380"/>
      <c r="G735" s="380"/>
      <c r="H735" s="380"/>
      <c r="I735" s="403"/>
      <c r="J735" s="380"/>
      <c r="K735" s="380"/>
      <c r="L735" s="380"/>
      <c r="M735" s="380"/>
      <c r="N735" s="380"/>
      <c r="O735" s="404"/>
      <c r="P735" s="380"/>
      <c r="Q735" s="380"/>
      <c r="R735" s="380"/>
      <c r="S735" s="380"/>
      <c r="T735" s="380"/>
      <c r="U735" s="380"/>
      <c r="V735" s="380"/>
      <c r="W735" s="403"/>
      <c r="X735" s="380"/>
      <c r="Y735" s="380"/>
      <c r="Z735" s="380"/>
      <c r="AA735" s="380"/>
      <c r="AB735" s="380"/>
      <c r="AC735" s="404"/>
      <c r="AD735" s="380"/>
      <c r="AE735" s="380"/>
      <c r="AF735" s="380"/>
      <c r="AG735" s="380"/>
      <c r="AH735" s="380"/>
      <c r="AI735" s="380"/>
      <c r="AJ735" s="380"/>
      <c r="AK735" s="403"/>
      <c r="AL735" s="380"/>
      <c r="AM735" s="380"/>
      <c r="AN735" s="380"/>
      <c r="AO735" s="380"/>
      <c r="AP735" s="380"/>
      <c r="AQ735" s="404"/>
      <c r="AR735" s="380"/>
      <c r="AS735" s="380"/>
      <c r="AT735" s="380"/>
      <c r="AU735" s="380"/>
      <c r="AV735" s="380"/>
      <c r="AW735" s="380"/>
      <c r="AX735" s="380"/>
      <c r="AY735" s="403"/>
      <c r="AZ735" s="380"/>
      <c r="BA735" s="380"/>
      <c r="BB735" s="380"/>
      <c r="BC735" s="380"/>
      <c r="BD735" s="380"/>
      <c r="BE735" s="404"/>
      <c r="BF735" s="380"/>
      <c r="BG735" s="380"/>
      <c r="BH735" s="380"/>
      <c r="BI735" s="380"/>
      <c r="BJ735" s="380"/>
      <c r="BK735" s="380"/>
      <c r="BL735" s="380"/>
      <c r="BM735" s="403"/>
      <c r="BS735" s="83"/>
      <c r="CA735" s="405"/>
      <c r="CG735" s="83"/>
      <c r="CO735" s="405"/>
      <c r="CU735" s="83"/>
      <c r="DC735" s="405"/>
      <c r="DI735" s="83"/>
      <c r="DQ735" s="405"/>
      <c r="DW735" s="83"/>
      <c r="EE735" s="405"/>
      <c r="EK735" s="83"/>
      <c r="ES735" s="405"/>
      <c r="EY735" s="83"/>
      <c r="FG735" s="405"/>
      <c r="FM735" s="83"/>
      <c r="FU735" s="405"/>
      <c r="GA735" s="83"/>
      <c r="GI735" s="405"/>
      <c r="GO735" s="83"/>
      <c r="GW735" s="405"/>
      <c r="HC735" s="83"/>
      <c r="HK735" s="405"/>
      <c r="HQ735" s="83"/>
      <c r="HY735" s="405"/>
      <c r="IE735" s="83"/>
      <c r="IM735" s="405"/>
      <c r="IS735" s="83"/>
      <c r="JA735" s="405"/>
      <c r="JG735" s="83"/>
      <c r="JO735" s="405"/>
      <c r="JU735" s="83"/>
      <c r="KC735" s="405"/>
      <c r="KI735" s="83"/>
      <c r="KQ735" s="405"/>
      <c r="KW735" s="83"/>
      <c r="LE735" s="405"/>
      <c r="LK735" s="83"/>
      <c r="LS735" s="405"/>
      <c r="LY735" s="83"/>
      <c r="MG735" s="405"/>
      <c r="MM735" s="83"/>
      <c r="MU735" s="405"/>
      <c r="NA735" s="83"/>
    </row>
    <row r="736">
      <c r="A736" s="380"/>
      <c r="B736" s="380"/>
      <c r="C736" s="380"/>
      <c r="D736" s="380"/>
      <c r="E736" s="380"/>
      <c r="F736" s="380"/>
      <c r="G736" s="380"/>
      <c r="H736" s="380"/>
      <c r="I736" s="403"/>
      <c r="J736" s="380"/>
      <c r="K736" s="380"/>
      <c r="L736" s="380"/>
      <c r="M736" s="380"/>
      <c r="N736" s="380"/>
      <c r="O736" s="404"/>
      <c r="P736" s="380"/>
      <c r="Q736" s="380"/>
      <c r="R736" s="380"/>
      <c r="S736" s="380"/>
      <c r="T736" s="380"/>
      <c r="U736" s="380"/>
      <c r="V736" s="380"/>
      <c r="W736" s="403"/>
      <c r="X736" s="380"/>
      <c r="Y736" s="380"/>
      <c r="Z736" s="380"/>
      <c r="AA736" s="380"/>
      <c r="AB736" s="380"/>
      <c r="AC736" s="404"/>
      <c r="AD736" s="380"/>
      <c r="AE736" s="380"/>
      <c r="AF736" s="380"/>
      <c r="AG736" s="380"/>
      <c r="AH736" s="380"/>
      <c r="AI736" s="380"/>
      <c r="AJ736" s="380"/>
      <c r="AK736" s="403"/>
      <c r="AL736" s="380"/>
      <c r="AM736" s="380"/>
      <c r="AN736" s="380"/>
      <c r="AO736" s="380"/>
      <c r="AP736" s="380"/>
      <c r="AQ736" s="404"/>
      <c r="AR736" s="380"/>
      <c r="AS736" s="380"/>
      <c r="AT736" s="380"/>
      <c r="AU736" s="380"/>
      <c r="AV736" s="380"/>
      <c r="AW736" s="380"/>
      <c r="AX736" s="380"/>
      <c r="AY736" s="403"/>
      <c r="AZ736" s="380"/>
      <c r="BA736" s="380"/>
      <c r="BB736" s="380"/>
      <c r="BC736" s="380"/>
      <c r="BD736" s="380"/>
      <c r="BE736" s="404"/>
      <c r="BF736" s="380"/>
      <c r="BG736" s="380"/>
      <c r="BH736" s="380"/>
      <c r="BI736" s="380"/>
      <c r="BJ736" s="380"/>
      <c r="BK736" s="380"/>
      <c r="BL736" s="380"/>
      <c r="BM736" s="403"/>
      <c r="BS736" s="83"/>
      <c r="CA736" s="405"/>
      <c r="CG736" s="83"/>
      <c r="CO736" s="405"/>
      <c r="CU736" s="83"/>
      <c r="DC736" s="405"/>
      <c r="DI736" s="83"/>
      <c r="DQ736" s="405"/>
      <c r="DW736" s="83"/>
      <c r="EE736" s="405"/>
      <c r="EK736" s="83"/>
      <c r="ES736" s="405"/>
      <c r="EY736" s="83"/>
      <c r="FG736" s="405"/>
      <c r="FM736" s="83"/>
      <c r="FU736" s="405"/>
      <c r="GA736" s="83"/>
      <c r="GI736" s="405"/>
      <c r="GO736" s="83"/>
      <c r="GW736" s="405"/>
      <c r="HC736" s="83"/>
      <c r="HK736" s="405"/>
      <c r="HQ736" s="83"/>
      <c r="HY736" s="405"/>
      <c r="IE736" s="83"/>
      <c r="IM736" s="405"/>
      <c r="IS736" s="83"/>
      <c r="JA736" s="405"/>
      <c r="JG736" s="83"/>
      <c r="JO736" s="405"/>
      <c r="JU736" s="83"/>
      <c r="KC736" s="405"/>
      <c r="KI736" s="83"/>
      <c r="KQ736" s="405"/>
      <c r="KW736" s="83"/>
      <c r="LE736" s="405"/>
      <c r="LK736" s="83"/>
      <c r="LS736" s="405"/>
      <c r="LY736" s="83"/>
      <c r="MG736" s="405"/>
      <c r="MM736" s="83"/>
      <c r="MU736" s="405"/>
      <c r="NA736" s="83"/>
    </row>
    <row r="737">
      <c r="A737" s="380"/>
      <c r="B737" s="380"/>
      <c r="C737" s="380"/>
      <c r="D737" s="380"/>
      <c r="E737" s="380"/>
      <c r="F737" s="380"/>
      <c r="G737" s="380"/>
      <c r="H737" s="380"/>
      <c r="I737" s="403"/>
      <c r="J737" s="380"/>
      <c r="K737" s="380"/>
      <c r="L737" s="380"/>
      <c r="M737" s="380"/>
      <c r="N737" s="380"/>
      <c r="O737" s="404"/>
      <c r="P737" s="380"/>
      <c r="Q737" s="380"/>
      <c r="R737" s="380"/>
      <c r="S737" s="380"/>
      <c r="T737" s="380"/>
      <c r="U737" s="380"/>
      <c r="V737" s="380"/>
      <c r="W737" s="403"/>
      <c r="X737" s="380"/>
      <c r="Y737" s="380"/>
      <c r="Z737" s="380"/>
      <c r="AA737" s="380"/>
      <c r="AB737" s="380"/>
      <c r="AC737" s="404"/>
      <c r="AD737" s="380"/>
      <c r="AE737" s="380"/>
      <c r="AF737" s="380"/>
      <c r="AG737" s="380"/>
      <c r="AH737" s="380"/>
      <c r="AI737" s="380"/>
      <c r="AJ737" s="380"/>
      <c r="AK737" s="403"/>
      <c r="AL737" s="380"/>
      <c r="AM737" s="380"/>
      <c r="AN737" s="380"/>
      <c r="AO737" s="380"/>
      <c r="AP737" s="380"/>
      <c r="AQ737" s="404"/>
      <c r="AR737" s="380"/>
      <c r="AS737" s="380"/>
      <c r="AT737" s="380"/>
      <c r="AU737" s="380"/>
      <c r="AV737" s="380"/>
      <c r="AW737" s="380"/>
      <c r="AX737" s="380"/>
      <c r="AY737" s="403"/>
      <c r="AZ737" s="380"/>
      <c r="BA737" s="380"/>
      <c r="BB737" s="380"/>
      <c r="BC737" s="380"/>
      <c r="BD737" s="380"/>
      <c r="BE737" s="404"/>
      <c r="BF737" s="380"/>
      <c r="BG737" s="380"/>
      <c r="BH737" s="380"/>
      <c r="BI737" s="380"/>
      <c r="BJ737" s="380"/>
      <c r="BK737" s="380"/>
      <c r="BL737" s="380"/>
      <c r="BM737" s="403"/>
      <c r="BS737" s="83"/>
      <c r="CA737" s="405"/>
      <c r="CG737" s="83"/>
      <c r="CO737" s="405"/>
      <c r="CU737" s="83"/>
      <c r="DC737" s="405"/>
      <c r="DI737" s="83"/>
      <c r="DQ737" s="405"/>
      <c r="DW737" s="83"/>
      <c r="EE737" s="405"/>
      <c r="EK737" s="83"/>
      <c r="ES737" s="405"/>
      <c r="EY737" s="83"/>
      <c r="FG737" s="405"/>
      <c r="FM737" s="83"/>
      <c r="FU737" s="405"/>
      <c r="GA737" s="83"/>
      <c r="GI737" s="405"/>
      <c r="GO737" s="83"/>
      <c r="GW737" s="405"/>
      <c r="HC737" s="83"/>
      <c r="HK737" s="405"/>
      <c r="HQ737" s="83"/>
      <c r="HY737" s="405"/>
      <c r="IE737" s="83"/>
      <c r="IM737" s="405"/>
      <c r="IS737" s="83"/>
      <c r="JA737" s="405"/>
      <c r="JG737" s="83"/>
      <c r="JO737" s="405"/>
      <c r="JU737" s="83"/>
      <c r="KC737" s="405"/>
      <c r="KI737" s="83"/>
      <c r="KQ737" s="405"/>
      <c r="KW737" s="83"/>
      <c r="LE737" s="405"/>
      <c r="LK737" s="83"/>
      <c r="LS737" s="405"/>
      <c r="LY737" s="83"/>
      <c r="MG737" s="405"/>
      <c r="MM737" s="83"/>
      <c r="MU737" s="405"/>
      <c r="NA737" s="83"/>
    </row>
    <row r="738">
      <c r="A738" s="380"/>
      <c r="B738" s="380"/>
      <c r="C738" s="380"/>
      <c r="D738" s="380"/>
      <c r="E738" s="380"/>
      <c r="F738" s="380"/>
      <c r="G738" s="380"/>
      <c r="H738" s="380"/>
      <c r="I738" s="403"/>
      <c r="J738" s="380"/>
      <c r="K738" s="380"/>
      <c r="L738" s="380"/>
      <c r="M738" s="380"/>
      <c r="N738" s="380"/>
      <c r="O738" s="404"/>
      <c r="P738" s="380"/>
      <c r="Q738" s="380"/>
      <c r="R738" s="380"/>
      <c r="S738" s="380"/>
      <c r="T738" s="380"/>
      <c r="U738" s="380"/>
      <c r="V738" s="380"/>
      <c r="W738" s="403"/>
      <c r="X738" s="380"/>
      <c r="Y738" s="380"/>
      <c r="Z738" s="380"/>
      <c r="AA738" s="380"/>
      <c r="AB738" s="380"/>
      <c r="AC738" s="404"/>
      <c r="AD738" s="380"/>
      <c r="AE738" s="380"/>
      <c r="AF738" s="380"/>
      <c r="AG738" s="380"/>
      <c r="AH738" s="380"/>
      <c r="AI738" s="380"/>
      <c r="AJ738" s="380"/>
      <c r="AK738" s="403"/>
      <c r="AL738" s="380"/>
      <c r="AM738" s="380"/>
      <c r="AN738" s="380"/>
      <c r="AO738" s="380"/>
      <c r="AP738" s="380"/>
      <c r="AQ738" s="404"/>
      <c r="AR738" s="380"/>
      <c r="AS738" s="380"/>
      <c r="AT738" s="380"/>
      <c r="AU738" s="380"/>
      <c r="AV738" s="380"/>
      <c r="AW738" s="380"/>
      <c r="AX738" s="380"/>
      <c r="AY738" s="403"/>
      <c r="AZ738" s="380"/>
      <c r="BA738" s="380"/>
      <c r="BB738" s="380"/>
      <c r="BC738" s="380"/>
      <c r="BD738" s="380"/>
      <c r="BE738" s="404"/>
      <c r="BF738" s="380"/>
      <c r="BG738" s="380"/>
      <c r="BH738" s="380"/>
      <c r="BI738" s="380"/>
      <c r="BJ738" s="380"/>
      <c r="BK738" s="380"/>
      <c r="BL738" s="380"/>
      <c r="BM738" s="403"/>
      <c r="BS738" s="83"/>
      <c r="CA738" s="405"/>
      <c r="CG738" s="83"/>
      <c r="CO738" s="405"/>
      <c r="CU738" s="83"/>
      <c r="DC738" s="405"/>
      <c r="DI738" s="83"/>
      <c r="DQ738" s="405"/>
      <c r="DW738" s="83"/>
      <c r="EE738" s="405"/>
      <c r="EK738" s="83"/>
      <c r="ES738" s="405"/>
      <c r="EY738" s="83"/>
      <c r="FG738" s="405"/>
      <c r="FM738" s="83"/>
      <c r="FU738" s="405"/>
      <c r="GA738" s="83"/>
      <c r="GI738" s="405"/>
      <c r="GO738" s="83"/>
      <c r="GW738" s="405"/>
      <c r="HC738" s="83"/>
      <c r="HK738" s="405"/>
      <c r="HQ738" s="83"/>
      <c r="HY738" s="405"/>
      <c r="IE738" s="83"/>
      <c r="IM738" s="405"/>
      <c r="IS738" s="83"/>
      <c r="JA738" s="405"/>
      <c r="JG738" s="83"/>
      <c r="JO738" s="405"/>
      <c r="JU738" s="83"/>
      <c r="KC738" s="405"/>
      <c r="KI738" s="83"/>
      <c r="KQ738" s="405"/>
      <c r="KW738" s="83"/>
      <c r="LE738" s="405"/>
      <c r="LK738" s="83"/>
      <c r="LS738" s="405"/>
      <c r="LY738" s="83"/>
      <c r="MG738" s="405"/>
      <c r="MM738" s="83"/>
      <c r="MU738" s="405"/>
      <c r="NA738" s="83"/>
    </row>
    <row r="739">
      <c r="A739" s="380"/>
      <c r="B739" s="380"/>
      <c r="C739" s="380"/>
      <c r="D739" s="380"/>
      <c r="E739" s="380"/>
      <c r="F739" s="380"/>
      <c r="G739" s="380"/>
      <c r="H739" s="380"/>
      <c r="I739" s="403"/>
      <c r="J739" s="380"/>
      <c r="K739" s="380"/>
      <c r="L739" s="380"/>
      <c r="M739" s="380"/>
      <c r="N739" s="380"/>
      <c r="O739" s="404"/>
      <c r="P739" s="380"/>
      <c r="Q739" s="380"/>
      <c r="R739" s="380"/>
      <c r="S739" s="380"/>
      <c r="T739" s="380"/>
      <c r="U739" s="380"/>
      <c r="V739" s="380"/>
      <c r="W739" s="403"/>
      <c r="X739" s="380"/>
      <c r="Y739" s="380"/>
      <c r="Z739" s="380"/>
      <c r="AA739" s="380"/>
      <c r="AB739" s="380"/>
      <c r="AC739" s="404"/>
      <c r="AD739" s="380"/>
      <c r="AE739" s="380"/>
      <c r="AF739" s="380"/>
      <c r="AG739" s="380"/>
      <c r="AH739" s="380"/>
      <c r="AI739" s="380"/>
      <c r="AJ739" s="380"/>
      <c r="AK739" s="403"/>
      <c r="AL739" s="380"/>
      <c r="AM739" s="380"/>
      <c r="AN739" s="380"/>
      <c r="AO739" s="380"/>
      <c r="AP739" s="380"/>
      <c r="AQ739" s="404"/>
      <c r="AR739" s="380"/>
      <c r="AS739" s="380"/>
      <c r="AT739" s="380"/>
      <c r="AU739" s="380"/>
      <c r="AV739" s="380"/>
      <c r="AW739" s="380"/>
      <c r="AX739" s="380"/>
      <c r="AY739" s="403"/>
      <c r="AZ739" s="380"/>
      <c r="BA739" s="380"/>
      <c r="BB739" s="380"/>
      <c r="BC739" s="380"/>
      <c r="BD739" s="380"/>
      <c r="BE739" s="404"/>
      <c r="BF739" s="380"/>
      <c r="BG739" s="380"/>
      <c r="BH739" s="380"/>
      <c r="BI739" s="380"/>
      <c r="BJ739" s="380"/>
      <c r="BK739" s="380"/>
      <c r="BL739" s="380"/>
      <c r="BM739" s="403"/>
      <c r="BS739" s="83"/>
      <c r="CA739" s="405"/>
      <c r="CG739" s="83"/>
      <c r="CO739" s="405"/>
      <c r="CU739" s="83"/>
      <c r="DC739" s="405"/>
      <c r="DI739" s="83"/>
      <c r="DQ739" s="405"/>
      <c r="DW739" s="83"/>
      <c r="EE739" s="405"/>
      <c r="EK739" s="83"/>
      <c r="ES739" s="405"/>
      <c r="EY739" s="83"/>
      <c r="FG739" s="405"/>
      <c r="FM739" s="83"/>
      <c r="FU739" s="405"/>
      <c r="GA739" s="83"/>
      <c r="GI739" s="405"/>
      <c r="GO739" s="83"/>
      <c r="GW739" s="405"/>
      <c r="HC739" s="83"/>
      <c r="HK739" s="405"/>
      <c r="HQ739" s="83"/>
      <c r="HY739" s="405"/>
      <c r="IE739" s="83"/>
      <c r="IM739" s="405"/>
      <c r="IS739" s="83"/>
      <c r="JA739" s="405"/>
      <c r="JG739" s="83"/>
      <c r="JO739" s="405"/>
      <c r="JU739" s="83"/>
      <c r="KC739" s="405"/>
      <c r="KI739" s="83"/>
      <c r="KQ739" s="405"/>
      <c r="KW739" s="83"/>
      <c r="LE739" s="405"/>
      <c r="LK739" s="83"/>
      <c r="LS739" s="405"/>
      <c r="LY739" s="83"/>
      <c r="MG739" s="405"/>
      <c r="MM739" s="83"/>
      <c r="MU739" s="405"/>
      <c r="NA739" s="83"/>
    </row>
    <row r="740">
      <c r="A740" s="380"/>
      <c r="B740" s="380"/>
      <c r="C740" s="380"/>
      <c r="D740" s="380"/>
      <c r="E740" s="380"/>
      <c r="F740" s="380"/>
      <c r="G740" s="380"/>
      <c r="H740" s="380"/>
      <c r="I740" s="403"/>
      <c r="J740" s="380"/>
      <c r="K740" s="380"/>
      <c r="L740" s="380"/>
      <c r="M740" s="380"/>
      <c r="N740" s="380"/>
      <c r="O740" s="404"/>
      <c r="P740" s="380"/>
      <c r="Q740" s="380"/>
      <c r="R740" s="380"/>
      <c r="S740" s="380"/>
      <c r="T740" s="380"/>
      <c r="U740" s="380"/>
      <c r="V740" s="380"/>
      <c r="W740" s="403"/>
      <c r="X740" s="380"/>
      <c r="Y740" s="380"/>
      <c r="Z740" s="380"/>
      <c r="AA740" s="380"/>
      <c r="AB740" s="380"/>
      <c r="AC740" s="404"/>
      <c r="AD740" s="380"/>
      <c r="AE740" s="380"/>
      <c r="AF740" s="380"/>
      <c r="AG740" s="380"/>
      <c r="AH740" s="380"/>
      <c r="AI740" s="380"/>
      <c r="AJ740" s="380"/>
      <c r="AK740" s="403"/>
      <c r="AL740" s="380"/>
      <c r="AM740" s="380"/>
      <c r="AN740" s="380"/>
      <c r="AO740" s="380"/>
      <c r="AP740" s="380"/>
      <c r="AQ740" s="404"/>
      <c r="AR740" s="380"/>
      <c r="AS740" s="380"/>
      <c r="AT740" s="380"/>
      <c r="AU740" s="380"/>
      <c r="AV740" s="380"/>
      <c r="AW740" s="380"/>
      <c r="AX740" s="380"/>
      <c r="AY740" s="403"/>
      <c r="AZ740" s="380"/>
      <c r="BA740" s="380"/>
      <c r="BB740" s="380"/>
      <c r="BC740" s="380"/>
      <c r="BD740" s="380"/>
      <c r="BE740" s="404"/>
      <c r="BF740" s="380"/>
      <c r="BG740" s="380"/>
      <c r="BH740" s="380"/>
      <c r="BI740" s="380"/>
      <c r="BJ740" s="380"/>
      <c r="BK740" s="380"/>
      <c r="BL740" s="380"/>
      <c r="BM740" s="403"/>
      <c r="BS740" s="83"/>
      <c r="CA740" s="405"/>
      <c r="CG740" s="83"/>
      <c r="CO740" s="405"/>
      <c r="CU740" s="83"/>
      <c r="DC740" s="405"/>
      <c r="DI740" s="83"/>
      <c r="DQ740" s="405"/>
      <c r="DW740" s="83"/>
      <c r="EE740" s="405"/>
      <c r="EK740" s="83"/>
      <c r="ES740" s="405"/>
      <c r="EY740" s="83"/>
      <c r="FG740" s="405"/>
      <c r="FM740" s="83"/>
      <c r="FU740" s="405"/>
      <c r="GA740" s="83"/>
      <c r="GI740" s="405"/>
      <c r="GO740" s="83"/>
      <c r="GW740" s="405"/>
      <c r="HC740" s="83"/>
      <c r="HK740" s="405"/>
      <c r="HQ740" s="83"/>
      <c r="HY740" s="405"/>
      <c r="IE740" s="83"/>
      <c r="IM740" s="405"/>
      <c r="IS740" s="83"/>
      <c r="JA740" s="405"/>
      <c r="JG740" s="83"/>
      <c r="JO740" s="405"/>
      <c r="JU740" s="83"/>
      <c r="KC740" s="405"/>
      <c r="KI740" s="83"/>
      <c r="KQ740" s="405"/>
      <c r="KW740" s="83"/>
      <c r="LE740" s="405"/>
      <c r="LK740" s="83"/>
      <c r="LS740" s="405"/>
      <c r="LY740" s="83"/>
      <c r="MG740" s="405"/>
      <c r="MM740" s="83"/>
      <c r="MU740" s="405"/>
      <c r="NA740" s="83"/>
    </row>
    <row r="741">
      <c r="A741" s="380"/>
      <c r="B741" s="380"/>
      <c r="C741" s="380"/>
      <c r="D741" s="380"/>
      <c r="E741" s="380"/>
      <c r="F741" s="380"/>
      <c r="G741" s="380"/>
      <c r="H741" s="380"/>
      <c r="I741" s="403"/>
      <c r="J741" s="380"/>
      <c r="K741" s="380"/>
      <c r="L741" s="380"/>
      <c r="M741" s="380"/>
      <c r="N741" s="380"/>
      <c r="O741" s="404"/>
      <c r="P741" s="380"/>
      <c r="Q741" s="380"/>
      <c r="R741" s="380"/>
      <c r="S741" s="380"/>
      <c r="T741" s="380"/>
      <c r="U741" s="380"/>
      <c r="V741" s="380"/>
      <c r="W741" s="403"/>
      <c r="X741" s="380"/>
      <c r="Y741" s="380"/>
      <c r="Z741" s="380"/>
      <c r="AA741" s="380"/>
      <c r="AB741" s="380"/>
      <c r="AC741" s="404"/>
      <c r="AD741" s="380"/>
      <c r="AE741" s="380"/>
      <c r="AF741" s="380"/>
      <c r="AG741" s="380"/>
      <c r="AH741" s="380"/>
      <c r="AI741" s="380"/>
      <c r="AJ741" s="380"/>
      <c r="AK741" s="403"/>
      <c r="AL741" s="380"/>
      <c r="AM741" s="380"/>
      <c r="AN741" s="380"/>
      <c r="AO741" s="380"/>
      <c r="AP741" s="380"/>
      <c r="AQ741" s="404"/>
      <c r="AR741" s="380"/>
      <c r="AS741" s="380"/>
      <c r="AT741" s="380"/>
      <c r="AU741" s="380"/>
      <c r="AV741" s="380"/>
      <c r="AW741" s="380"/>
      <c r="AX741" s="380"/>
      <c r="AY741" s="403"/>
      <c r="AZ741" s="380"/>
      <c r="BA741" s="380"/>
      <c r="BB741" s="380"/>
      <c r="BC741" s="380"/>
      <c r="BD741" s="380"/>
      <c r="BE741" s="404"/>
      <c r="BF741" s="380"/>
      <c r="BG741" s="380"/>
      <c r="BH741" s="380"/>
      <c r="BI741" s="380"/>
      <c r="BJ741" s="380"/>
      <c r="BK741" s="380"/>
      <c r="BL741" s="380"/>
      <c r="BM741" s="403"/>
      <c r="BS741" s="83"/>
      <c r="CA741" s="405"/>
      <c r="CG741" s="83"/>
      <c r="CO741" s="405"/>
      <c r="CU741" s="83"/>
      <c r="DC741" s="405"/>
      <c r="DI741" s="83"/>
      <c r="DQ741" s="405"/>
      <c r="DW741" s="83"/>
      <c r="EE741" s="405"/>
      <c r="EK741" s="83"/>
      <c r="ES741" s="405"/>
      <c r="EY741" s="83"/>
      <c r="FG741" s="405"/>
      <c r="FM741" s="83"/>
      <c r="FU741" s="405"/>
      <c r="GA741" s="83"/>
      <c r="GI741" s="405"/>
      <c r="GO741" s="83"/>
      <c r="GW741" s="405"/>
      <c r="HC741" s="83"/>
      <c r="HK741" s="405"/>
      <c r="HQ741" s="83"/>
      <c r="HY741" s="405"/>
      <c r="IE741" s="83"/>
      <c r="IM741" s="405"/>
      <c r="IS741" s="83"/>
      <c r="JA741" s="405"/>
      <c r="JG741" s="83"/>
      <c r="JO741" s="405"/>
      <c r="JU741" s="83"/>
      <c r="KC741" s="405"/>
      <c r="KI741" s="83"/>
      <c r="KQ741" s="405"/>
      <c r="KW741" s="83"/>
      <c r="LE741" s="405"/>
      <c r="LK741" s="83"/>
      <c r="LS741" s="405"/>
      <c r="LY741" s="83"/>
      <c r="MG741" s="405"/>
      <c r="MM741" s="83"/>
      <c r="MU741" s="405"/>
      <c r="NA741" s="83"/>
    </row>
    <row r="742">
      <c r="A742" s="380"/>
      <c r="B742" s="380"/>
      <c r="C742" s="380"/>
      <c r="D742" s="380"/>
      <c r="E742" s="380"/>
      <c r="F742" s="380"/>
      <c r="G742" s="380"/>
      <c r="H742" s="380"/>
      <c r="I742" s="403"/>
      <c r="J742" s="380"/>
      <c r="K742" s="380"/>
      <c r="L742" s="380"/>
      <c r="M742" s="380"/>
      <c r="N742" s="380"/>
      <c r="O742" s="404"/>
      <c r="P742" s="380"/>
      <c r="Q742" s="380"/>
      <c r="R742" s="380"/>
      <c r="S742" s="380"/>
      <c r="T742" s="380"/>
      <c r="U742" s="380"/>
      <c r="V742" s="380"/>
      <c r="W742" s="403"/>
      <c r="X742" s="380"/>
      <c r="Y742" s="380"/>
      <c r="Z742" s="380"/>
      <c r="AA742" s="380"/>
      <c r="AB742" s="380"/>
      <c r="AC742" s="404"/>
      <c r="AD742" s="380"/>
      <c r="AE742" s="380"/>
      <c r="AF742" s="380"/>
      <c r="AG742" s="380"/>
      <c r="AH742" s="380"/>
      <c r="AI742" s="380"/>
      <c r="AJ742" s="380"/>
      <c r="AK742" s="403"/>
      <c r="AL742" s="380"/>
      <c r="AM742" s="380"/>
      <c r="AN742" s="380"/>
      <c r="AO742" s="380"/>
      <c r="AP742" s="380"/>
      <c r="AQ742" s="404"/>
      <c r="AR742" s="380"/>
      <c r="AS742" s="380"/>
      <c r="AT742" s="380"/>
      <c r="AU742" s="380"/>
      <c r="AV742" s="380"/>
      <c r="AW742" s="380"/>
      <c r="AX742" s="380"/>
      <c r="AY742" s="403"/>
      <c r="AZ742" s="380"/>
      <c r="BA742" s="380"/>
      <c r="BB742" s="380"/>
      <c r="BC742" s="380"/>
      <c r="BD742" s="380"/>
      <c r="BE742" s="404"/>
      <c r="BF742" s="380"/>
      <c r="BG742" s="380"/>
      <c r="BH742" s="380"/>
      <c r="BI742" s="380"/>
      <c r="BJ742" s="380"/>
      <c r="BK742" s="380"/>
      <c r="BL742" s="380"/>
      <c r="BM742" s="403"/>
      <c r="BS742" s="83"/>
      <c r="CA742" s="405"/>
      <c r="CG742" s="83"/>
      <c r="CO742" s="405"/>
      <c r="CU742" s="83"/>
      <c r="DC742" s="405"/>
      <c r="DI742" s="83"/>
      <c r="DQ742" s="405"/>
      <c r="DW742" s="83"/>
      <c r="EE742" s="405"/>
      <c r="EK742" s="83"/>
      <c r="ES742" s="405"/>
      <c r="EY742" s="83"/>
      <c r="FG742" s="405"/>
      <c r="FM742" s="83"/>
      <c r="FU742" s="405"/>
      <c r="GA742" s="83"/>
      <c r="GI742" s="405"/>
      <c r="GO742" s="83"/>
      <c r="GW742" s="405"/>
      <c r="HC742" s="83"/>
      <c r="HK742" s="405"/>
      <c r="HQ742" s="83"/>
      <c r="HY742" s="405"/>
      <c r="IE742" s="83"/>
      <c r="IM742" s="405"/>
      <c r="IS742" s="83"/>
      <c r="JA742" s="405"/>
      <c r="JG742" s="83"/>
      <c r="JO742" s="405"/>
      <c r="JU742" s="83"/>
      <c r="KC742" s="405"/>
      <c r="KI742" s="83"/>
      <c r="KQ742" s="405"/>
      <c r="KW742" s="83"/>
      <c r="LE742" s="405"/>
      <c r="LK742" s="83"/>
      <c r="LS742" s="405"/>
      <c r="LY742" s="83"/>
      <c r="MG742" s="405"/>
      <c r="MM742" s="83"/>
      <c r="MU742" s="405"/>
      <c r="NA742" s="83"/>
    </row>
    <row r="743">
      <c r="A743" s="380"/>
      <c r="B743" s="380"/>
      <c r="C743" s="380"/>
      <c r="D743" s="380"/>
      <c r="E743" s="380"/>
      <c r="F743" s="380"/>
      <c r="G743" s="380"/>
      <c r="H743" s="380"/>
      <c r="I743" s="403"/>
      <c r="J743" s="380"/>
      <c r="K743" s="380"/>
      <c r="L743" s="380"/>
      <c r="M743" s="380"/>
      <c r="N743" s="380"/>
      <c r="O743" s="404"/>
      <c r="P743" s="380"/>
      <c r="Q743" s="380"/>
      <c r="R743" s="380"/>
      <c r="S743" s="380"/>
      <c r="T743" s="380"/>
      <c r="U743" s="380"/>
      <c r="V743" s="380"/>
      <c r="W743" s="403"/>
      <c r="X743" s="380"/>
      <c r="Y743" s="380"/>
      <c r="Z743" s="380"/>
      <c r="AA743" s="380"/>
      <c r="AB743" s="380"/>
      <c r="AC743" s="404"/>
      <c r="AD743" s="380"/>
      <c r="AE743" s="380"/>
      <c r="AF743" s="380"/>
      <c r="AG743" s="380"/>
      <c r="AH743" s="380"/>
      <c r="AI743" s="380"/>
      <c r="AJ743" s="380"/>
      <c r="AK743" s="403"/>
      <c r="AL743" s="380"/>
      <c r="AM743" s="380"/>
      <c r="AN743" s="380"/>
      <c r="AO743" s="380"/>
      <c r="AP743" s="380"/>
      <c r="AQ743" s="404"/>
      <c r="AR743" s="380"/>
      <c r="AS743" s="380"/>
      <c r="AT743" s="380"/>
      <c r="AU743" s="380"/>
      <c r="AV743" s="380"/>
      <c r="AW743" s="380"/>
      <c r="AX743" s="380"/>
      <c r="AY743" s="403"/>
      <c r="AZ743" s="380"/>
      <c r="BA743" s="380"/>
      <c r="BB743" s="380"/>
      <c r="BC743" s="380"/>
      <c r="BD743" s="380"/>
      <c r="BE743" s="404"/>
      <c r="BF743" s="380"/>
      <c r="BG743" s="380"/>
      <c r="BH743" s="380"/>
      <c r="BI743" s="380"/>
      <c r="BJ743" s="380"/>
      <c r="BK743" s="380"/>
      <c r="BL743" s="380"/>
      <c r="BM743" s="403"/>
      <c r="BS743" s="83"/>
      <c r="CA743" s="405"/>
      <c r="CG743" s="83"/>
      <c r="CO743" s="405"/>
      <c r="CU743" s="83"/>
      <c r="DC743" s="405"/>
      <c r="DI743" s="83"/>
      <c r="DQ743" s="405"/>
      <c r="DW743" s="83"/>
      <c r="EE743" s="405"/>
      <c r="EK743" s="83"/>
      <c r="ES743" s="405"/>
      <c r="EY743" s="83"/>
      <c r="FG743" s="405"/>
      <c r="FM743" s="83"/>
      <c r="FU743" s="405"/>
      <c r="GA743" s="83"/>
      <c r="GI743" s="405"/>
      <c r="GO743" s="83"/>
      <c r="GW743" s="405"/>
      <c r="HC743" s="83"/>
      <c r="HK743" s="405"/>
      <c r="HQ743" s="83"/>
      <c r="HY743" s="405"/>
      <c r="IE743" s="83"/>
      <c r="IM743" s="405"/>
      <c r="IS743" s="83"/>
      <c r="JA743" s="405"/>
      <c r="JG743" s="83"/>
      <c r="JO743" s="405"/>
      <c r="JU743" s="83"/>
      <c r="KC743" s="405"/>
      <c r="KI743" s="83"/>
      <c r="KQ743" s="405"/>
      <c r="KW743" s="83"/>
      <c r="LE743" s="405"/>
      <c r="LK743" s="83"/>
      <c r="LS743" s="405"/>
      <c r="LY743" s="83"/>
      <c r="MG743" s="405"/>
      <c r="MM743" s="83"/>
      <c r="MU743" s="405"/>
      <c r="NA743" s="83"/>
    </row>
    <row r="744">
      <c r="A744" s="380"/>
      <c r="B744" s="380"/>
      <c r="C744" s="380"/>
      <c r="D744" s="380"/>
      <c r="E744" s="380"/>
      <c r="F744" s="380"/>
      <c r="G744" s="380"/>
      <c r="H744" s="380"/>
      <c r="I744" s="403"/>
      <c r="J744" s="380"/>
      <c r="K744" s="380"/>
      <c r="L744" s="380"/>
      <c r="M744" s="380"/>
      <c r="N744" s="380"/>
      <c r="O744" s="404"/>
      <c r="P744" s="380"/>
      <c r="Q744" s="380"/>
      <c r="R744" s="380"/>
      <c r="S744" s="380"/>
      <c r="T744" s="380"/>
      <c r="U744" s="380"/>
      <c r="V744" s="380"/>
      <c r="W744" s="403"/>
      <c r="X744" s="380"/>
      <c r="Y744" s="380"/>
      <c r="Z744" s="380"/>
      <c r="AA744" s="380"/>
      <c r="AB744" s="380"/>
      <c r="AC744" s="404"/>
      <c r="AD744" s="380"/>
      <c r="AE744" s="380"/>
      <c r="AF744" s="380"/>
      <c r="AG744" s="380"/>
      <c r="AH744" s="380"/>
      <c r="AI744" s="380"/>
      <c r="AJ744" s="380"/>
      <c r="AK744" s="403"/>
      <c r="AL744" s="380"/>
      <c r="AM744" s="380"/>
      <c r="AN744" s="380"/>
      <c r="AO744" s="380"/>
      <c r="AP744" s="380"/>
      <c r="AQ744" s="404"/>
      <c r="AR744" s="380"/>
      <c r="AS744" s="380"/>
      <c r="AT744" s="380"/>
      <c r="AU744" s="380"/>
      <c r="AV744" s="380"/>
      <c r="AW744" s="380"/>
      <c r="AX744" s="380"/>
      <c r="AY744" s="403"/>
      <c r="AZ744" s="380"/>
      <c r="BA744" s="380"/>
      <c r="BB744" s="380"/>
      <c r="BC744" s="380"/>
      <c r="BD744" s="380"/>
      <c r="BE744" s="404"/>
      <c r="BF744" s="380"/>
      <c r="BG744" s="380"/>
      <c r="BH744" s="380"/>
      <c r="BI744" s="380"/>
      <c r="BJ744" s="380"/>
      <c r="BK744" s="380"/>
      <c r="BL744" s="380"/>
      <c r="BM744" s="403"/>
      <c r="BS744" s="83"/>
      <c r="CA744" s="405"/>
      <c r="CG744" s="83"/>
      <c r="CO744" s="405"/>
      <c r="CU744" s="83"/>
      <c r="DC744" s="405"/>
      <c r="DI744" s="83"/>
      <c r="DQ744" s="405"/>
      <c r="DW744" s="83"/>
      <c r="EE744" s="405"/>
      <c r="EK744" s="83"/>
      <c r="ES744" s="405"/>
      <c r="EY744" s="83"/>
      <c r="FG744" s="405"/>
      <c r="FM744" s="83"/>
      <c r="FU744" s="405"/>
      <c r="GA744" s="83"/>
      <c r="GI744" s="405"/>
      <c r="GO744" s="83"/>
      <c r="GW744" s="405"/>
      <c r="HC744" s="83"/>
      <c r="HK744" s="405"/>
      <c r="HQ744" s="83"/>
      <c r="HY744" s="405"/>
      <c r="IE744" s="83"/>
      <c r="IM744" s="405"/>
      <c r="IS744" s="83"/>
      <c r="JA744" s="405"/>
      <c r="JG744" s="83"/>
      <c r="JO744" s="405"/>
      <c r="JU744" s="83"/>
      <c r="KC744" s="405"/>
      <c r="KI744" s="83"/>
      <c r="KQ744" s="405"/>
      <c r="KW744" s="83"/>
      <c r="LE744" s="405"/>
      <c r="LK744" s="83"/>
      <c r="LS744" s="405"/>
      <c r="LY744" s="83"/>
      <c r="MG744" s="405"/>
      <c r="MM744" s="83"/>
      <c r="MU744" s="405"/>
      <c r="NA744" s="83"/>
    </row>
    <row r="745">
      <c r="A745" s="380"/>
      <c r="B745" s="380"/>
      <c r="C745" s="380"/>
      <c r="D745" s="380"/>
      <c r="E745" s="380"/>
      <c r="F745" s="380"/>
      <c r="G745" s="380"/>
      <c r="H745" s="380"/>
      <c r="I745" s="403"/>
      <c r="J745" s="380"/>
      <c r="K745" s="380"/>
      <c r="L745" s="380"/>
      <c r="M745" s="380"/>
      <c r="N745" s="380"/>
      <c r="O745" s="404"/>
      <c r="P745" s="380"/>
      <c r="Q745" s="380"/>
      <c r="R745" s="380"/>
      <c r="S745" s="380"/>
      <c r="T745" s="380"/>
      <c r="U745" s="380"/>
      <c r="V745" s="380"/>
      <c r="W745" s="403"/>
      <c r="X745" s="380"/>
      <c r="Y745" s="380"/>
      <c r="Z745" s="380"/>
      <c r="AA745" s="380"/>
      <c r="AB745" s="380"/>
      <c r="AC745" s="404"/>
      <c r="AD745" s="380"/>
      <c r="AE745" s="380"/>
      <c r="AF745" s="380"/>
      <c r="AG745" s="380"/>
      <c r="AH745" s="380"/>
      <c r="AI745" s="380"/>
      <c r="AJ745" s="380"/>
      <c r="AK745" s="403"/>
      <c r="AL745" s="380"/>
      <c r="AM745" s="380"/>
      <c r="AN745" s="380"/>
      <c r="AO745" s="380"/>
      <c r="AP745" s="380"/>
      <c r="AQ745" s="404"/>
      <c r="AR745" s="380"/>
      <c r="AS745" s="380"/>
      <c r="AT745" s="380"/>
      <c r="AU745" s="380"/>
      <c r="AV745" s="380"/>
      <c r="AW745" s="380"/>
      <c r="AX745" s="380"/>
      <c r="AY745" s="403"/>
      <c r="AZ745" s="380"/>
      <c r="BA745" s="380"/>
      <c r="BB745" s="380"/>
      <c r="BC745" s="380"/>
      <c r="BD745" s="380"/>
      <c r="BE745" s="404"/>
      <c r="BF745" s="380"/>
      <c r="BG745" s="380"/>
      <c r="BH745" s="380"/>
      <c r="BI745" s="380"/>
      <c r="BJ745" s="380"/>
      <c r="BK745" s="380"/>
      <c r="BL745" s="380"/>
      <c r="BM745" s="403"/>
      <c r="BS745" s="83"/>
      <c r="CA745" s="405"/>
      <c r="CG745" s="83"/>
      <c r="CO745" s="405"/>
      <c r="CU745" s="83"/>
      <c r="DC745" s="405"/>
      <c r="DI745" s="83"/>
      <c r="DQ745" s="405"/>
      <c r="DW745" s="83"/>
      <c r="EE745" s="405"/>
      <c r="EK745" s="83"/>
      <c r="ES745" s="405"/>
      <c r="EY745" s="83"/>
      <c r="FG745" s="405"/>
      <c r="FM745" s="83"/>
      <c r="FU745" s="405"/>
      <c r="GA745" s="83"/>
      <c r="GI745" s="405"/>
      <c r="GO745" s="83"/>
      <c r="GW745" s="405"/>
      <c r="HC745" s="83"/>
      <c r="HK745" s="405"/>
      <c r="HQ745" s="83"/>
      <c r="HY745" s="405"/>
      <c r="IE745" s="83"/>
      <c r="IM745" s="405"/>
      <c r="IS745" s="83"/>
      <c r="JA745" s="405"/>
      <c r="JG745" s="83"/>
      <c r="JO745" s="405"/>
      <c r="JU745" s="83"/>
      <c r="KC745" s="405"/>
      <c r="KI745" s="83"/>
      <c r="KQ745" s="405"/>
      <c r="KW745" s="83"/>
      <c r="LE745" s="405"/>
      <c r="LK745" s="83"/>
      <c r="LS745" s="405"/>
      <c r="LY745" s="83"/>
      <c r="MG745" s="405"/>
      <c r="MM745" s="83"/>
      <c r="MU745" s="405"/>
      <c r="NA745" s="83"/>
    </row>
    <row r="746">
      <c r="A746" s="380"/>
      <c r="B746" s="380"/>
      <c r="C746" s="380"/>
      <c r="D746" s="380"/>
      <c r="E746" s="380"/>
      <c r="F746" s="380"/>
      <c r="G746" s="380"/>
      <c r="H746" s="380"/>
      <c r="I746" s="403"/>
      <c r="J746" s="380"/>
      <c r="K746" s="380"/>
      <c r="L746" s="380"/>
      <c r="M746" s="380"/>
      <c r="N746" s="380"/>
      <c r="O746" s="404"/>
      <c r="P746" s="380"/>
      <c r="Q746" s="380"/>
      <c r="R746" s="380"/>
      <c r="S746" s="380"/>
      <c r="T746" s="380"/>
      <c r="U746" s="380"/>
      <c r="V746" s="380"/>
      <c r="W746" s="403"/>
      <c r="X746" s="380"/>
      <c r="Y746" s="380"/>
      <c r="Z746" s="380"/>
      <c r="AA746" s="380"/>
      <c r="AB746" s="380"/>
      <c r="AC746" s="404"/>
      <c r="AD746" s="380"/>
      <c r="AE746" s="380"/>
      <c r="AF746" s="380"/>
      <c r="AG746" s="380"/>
      <c r="AH746" s="380"/>
      <c r="AI746" s="380"/>
      <c r="AJ746" s="380"/>
      <c r="AK746" s="403"/>
      <c r="AL746" s="380"/>
      <c r="AM746" s="380"/>
      <c r="AN746" s="380"/>
      <c r="AO746" s="380"/>
      <c r="AP746" s="380"/>
      <c r="AQ746" s="404"/>
      <c r="AR746" s="380"/>
      <c r="AS746" s="380"/>
      <c r="AT746" s="380"/>
      <c r="AU746" s="380"/>
      <c r="AV746" s="380"/>
      <c r="AW746" s="380"/>
      <c r="AX746" s="380"/>
      <c r="AY746" s="403"/>
      <c r="AZ746" s="380"/>
      <c r="BA746" s="380"/>
      <c r="BB746" s="380"/>
      <c r="BC746" s="380"/>
      <c r="BD746" s="380"/>
      <c r="BE746" s="404"/>
      <c r="BF746" s="380"/>
      <c r="BG746" s="380"/>
      <c r="BH746" s="380"/>
      <c r="BI746" s="380"/>
      <c r="BJ746" s="380"/>
      <c r="BK746" s="380"/>
      <c r="BL746" s="380"/>
      <c r="BM746" s="403"/>
      <c r="BS746" s="83"/>
      <c r="CA746" s="405"/>
      <c r="CG746" s="83"/>
      <c r="CO746" s="405"/>
      <c r="CU746" s="83"/>
      <c r="DC746" s="405"/>
      <c r="DI746" s="83"/>
      <c r="DQ746" s="405"/>
      <c r="DW746" s="83"/>
      <c r="EE746" s="405"/>
      <c r="EK746" s="83"/>
      <c r="ES746" s="405"/>
      <c r="EY746" s="83"/>
      <c r="FG746" s="405"/>
      <c r="FM746" s="83"/>
      <c r="FU746" s="405"/>
      <c r="GA746" s="83"/>
      <c r="GI746" s="405"/>
      <c r="GO746" s="83"/>
      <c r="GW746" s="405"/>
      <c r="HC746" s="83"/>
      <c r="HK746" s="405"/>
      <c r="HQ746" s="83"/>
      <c r="HY746" s="405"/>
      <c r="IE746" s="83"/>
      <c r="IM746" s="405"/>
      <c r="IS746" s="83"/>
      <c r="JA746" s="405"/>
      <c r="JG746" s="83"/>
      <c r="JO746" s="405"/>
      <c r="JU746" s="83"/>
      <c r="KC746" s="405"/>
      <c r="KI746" s="83"/>
      <c r="KQ746" s="405"/>
      <c r="KW746" s="83"/>
      <c r="LE746" s="405"/>
      <c r="LK746" s="83"/>
      <c r="LS746" s="405"/>
      <c r="LY746" s="83"/>
      <c r="MG746" s="405"/>
      <c r="MM746" s="83"/>
      <c r="MU746" s="405"/>
      <c r="NA746" s="83"/>
    </row>
    <row r="747">
      <c r="A747" s="380"/>
      <c r="B747" s="380"/>
      <c r="C747" s="380"/>
      <c r="D747" s="380"/>
      <c r="E747" s="380"/>
      <c r="F747" s="380"/>
      <c r="G747" s="380"/>
      <c r="H747" s="380"/>
      <c r="I747" s="403"/>
      <c r="J747" s="380"/>
      <c r="K747" s="380"/>
      <c r="L747" s="380"/>
      <c r="M747" s="380"/>
      <c r="N747" s="380"/>
      <c r="O747" s="404"/>
      <c r="P747" s="380"/>
      <c r="Q747" s="380"/>
      <c r="R747" s="380"/>
      <c r="S747" s="380"/>
      <c r="T747" s="380"/>
      <c r="U747" s="380"/>
      <c r="V747" s="380"/>
      <c r="W747" s="403"/>
      <c r="X747" s="380"/>
      <c r="Y747" s="380"/>
      <c r="Z747" s="380"/>
      <c r="AA747" s="380"/>
      <c r="AB747" s="380"/>
      <c r="AC747" s="404"/>
      <c r="AD747" s="380"/>
      <c r="AE747" s="380"/>
      <c r="AF747" s="380"/>
      <c r="AG747" s="380"/>
      <c r="AH747" s="380"/>
      <c r="AI747" s="380"/>
      <c r="AJ747" s="380"/>
      <c r="AK747" s="403"/>
      <c r="AL747" s="380"/>
      <c r="AM747" s="380"/>
      <c r="AN747" s="380"/>
      <c r="AO747" s="380"/>
      <c r="AP747" s="380"/>
      <c r="AQ747" s="404"/>
      <c r="AR747" s="380"/>
      <c r="AS747" s="380"/>
      <c r="AT747" s="380"/>
      <c r="AU747" s="380"/>
      <c r="AV747" s="380"/>
      <c r="AW747" s="380"/>
      <c r="AX747" s="380"/>
      <c r="AY747" s="403"/>
      <c r="AZ747" s="380"/>
      <c r="BA747" s="380"/>
      <c r="BB747" s="380"/>
      <c r="BC747" s="380"/>
      <c r="BD747" s="380"/>
      <c r="BE747" s="404"/>
      <c r="BF747" s="380"/>
      <c r="BG747" s="380"/>
      <c r="BH747" s="380"/>
      <c r="BI747" s="380"/>
      <c r="BJ747" s="380"/>
      <c r="BK747" s="380"/>
      <c r="BL747" s="380"/>
      <c r="BM747" s="403"/>
      <c r="BS747" s="83"/>
      <c r="CA747" s="405"/>
      <c r="CG747" s="83"/>
      <c r="CO747" s="405"/>
      <c r="CU747" s="83"/>
      <c r="DC747" s="405"/>
      <c r="DI747" s="83"/>
      <c r="DQ747" s="405"/>
      <c r="DW747" s="83"/>
      <c r="EE747" s="405"/>
      <c r="EK747" s="83"/>
      <c r="ES747" s="405"/>
      <c r="EY747" s="83"/>
      <c r="FG747" s="405"/>
      <c r="FM747" s="83"/>
      <c r="FU747" s="405"/>
      <c r="GA747" s="83"/>
      <c r="GI747" s="405"/>
      <c r="GO747" s="83"/>
      <c r="GW747" s="405"/>
      <c r="HC747" s="83"/>
      <c r="HK747" s="405"/>
      <c r="HQ747" s="83"/>
      <c r="HY747" s="405"/>
      <c r="IE747" s="83"/>
      <c r="IM747" s="405"/>
      <c r="IS747" s="83"/>
      <c r="JA747" s="405"/>
      <c r="JG747" s="83"/>
      <c r="JO747" s="405"/>
      <c r="JU747" s="83"/>
      <c r="KC747" s="405"/>
      <c r="KI747" s="83"/>
      <c r="KQ747" s="405"/>
      <c r="KW747" s="83"/>
      <c r="LE747" s="405"/>
      <c r="LK747" s="83"/>
      <c r="LS747" s="405"/>
      <c r="LY747" s="83"/>
      <c r="MG747" s="405"/>
      <c r="MM747" s="83"/>
      <c r="MU747" s="405"/>
      <c r="NA747" s="83"/>
    </row>
    <row r="748">
      <c r="A748" s="380"/>
      <c r="B748" s="380"/>
      <c r="C748" s="380"/>
      <c r="D748" s="380"/>
      <c r="E748" s="380"/>
      <c r="F748" s="380"/>
      <c r="G748" s="380"/>
      <c r="H748" s="380"/>
      <c r="I748" s="403"/>
      <c r="J748" s="380"/>
      <c r="K748" s="380"/>
      <c r="L748" s="380"/>
      <c r="M748" s="380"/>
      <c r="N748" s="380"/>
      <c r="O748" s="404"/>
      <c r="P748" s="380"/>
      <c r="Q748" s="380"/>
      <c r="R748" s="380"/>
      <c r="S748" s="380"/>
      <c r="T748" s="380"/>
      <c r="U748" s="380"/>
      <c r="V748" s="380"/>
      <c r="W748" s="403"/>
      <c r="X748" s="380"/>
      <c r="Y748" s="380"/>
      <c r="Z748" s="380"/>
      <c r="AA748" s="380"/>
      <c r="AB748" s="380"/>
      <c r="AC748" s="404"/>
      <c r="AD748" s="380"/>
      <c r="AE748" s="380"/>
      <c r="AF748" s="380"/>
      <c r="AG748" s="380"/>
      <c r="AH748" s="380"/>
      <c r="AI748" s="380"/>
      <c r="AJ748" s="380"/>
      <c r="AK748" s="403"/>
      <c r="AL748" s="380"/>
      <c r="AM748" s="380"/>
      <c r="AN748" s="380"/>
      <c r="AO748" s="380"/>
      <c r="AP748" s="380"/>
      <c r="AQ748" s="404"/>
      <c r="AR748" s="380"/>
      <c r="AS748" s="380"/>
      <c r="AT748" s="380"/>
      <c r="AU748" s="380"/>
      <c r="AV748" s="380"/>
      <c r="AW748" s="380"/>
      <c r="AX748" s="380"/>
      <c r="AY748" s="403"/>
      <c r="AZ748" s="380"/>
      <c r="BA748" s="380"/>
      <c r="BB748" s="380"/>
      <c r="BC748" s="380"/>
      <c r="BD748" s="380"/>
      <c r="BE748" s="404"/>
      <c r="BF748" s="380"/>
      <c r="BG748" s="380"/>
      <c r="BH748" s="380"/>
      <c r="BI748" s="380"/>
      <c r="BJ748" s="380"/>
      <c r="BK748" s="380"/>
      <c r="BL748" s="380"/>
      <c r="BM748" s="403"/>
      <c r="BS748" s="83"/>
      <c r="CA748" s="405"/>
      <c r="CG748" s="83"/>
      <c r="CO748" s="405"/>
      <c r="CU748" s="83"/>
      <c r="DC748" s="405"/>
      <c r="DI748" s="83"/>
      <c r="DQ748" s="405"/>
      <c r="DW748" s="83"/>
      <c r="EE748" s="405"/>
      <c r="EK748" s="83"/>
      <c r="ES748" s="405"/>
      <c r="EY748" s="83"/>
      <c r="FG748" s="405"/>
      <c r="FM748" s="83"/>
      <c r="FU748" s="405"/>
      <c r="GA748" s="83"/>
      <c r="GI748" s="405"/>
      <c r="GO748" s="83"/>
      <c r="GW748" s="405"/>
      <c r="HC748" s="83"/>
      <c r="HK748" s="405"/>
      <c r="HQ748" s="83"/>
      <c r="HY748" s="405"/>
      <c r="IE748" s="83"/>
      <c r="IM748" s="405"/>
      <c r="IS748" s="83"/>
      <c r="JA748" s="405"/>
      <c r="JG748" s="83"/>
      <c r="JO748" s="405"/>
      <c r="JU748" s="83"/>
      <c r="KC748" s="405"/>
      <c r="KI748" s="83"/>
      <c r="KQ748" s="405"/>
      <c r="KW748" s="83"/>
      <c r="LE748" s="405"/>
      <c r="LK748" s="83"/>
      <c r="LS748" s="405"/>
      <c r="LY748" s="83"/>
      <c r="MG748" s="405"/>
      <c r="MM748" s="83"/>
      <c r="MU748" s="405"/>
      <c r="NA748" s="83"/>
    </row>
    <row r="749">
      <c r="A749" s="380"/>
      <c r="B749" s="380"/>
      <c r="C749" s="380"/>
      <c r="D749" s="380"/>
      <c r="E749" s="380"/>
      <c r="F749" s="380"/>
      <c r="G749" s="380"/>
      <c r="H749" s="380"/>
      <c r="I749" s="403"/>
      <c r="J749" s="380"/>
      <c r="K749" s="380"/>
      <c r="L749" s="380"/>
      <c r="M749" s="380"/>
      <c r="N749" s="380"/>
      <c r="O749" s="404"/>
      <c r="P749" s="380"/>
      <c r="Q749" s="380"/>
      <c r="R749" s="380"/>
      <c r="S749" s="380"/>
      <c r="T749" s="380"/>
      <c r="U749" s="380"/>
      <c r="V749" s="380"/>
      <c r="W749" s="403"/>
      <c r="X749" s="380"/>
      <c r="Y749" s="380"/>
      <c r="Z749" s="380"/>
      <c r="AA749" s="380"/>
      <c r="AB749" s="380"/>
      <c r="AC749" s="404"/>
      <c r="AD749" s="380"/>
      <c r="AE749" s="380"/>
      <c r="AF749" s="380"/>
      <c r="AG749" s="380"/>
      <c r="AH749" s="380"/>
      <c r="AI749" s="380"/>
      <c r="AJ749" s="380"/>
      <c r="AK749" s="403"/>
      <c r="AL749" s="380"/>
      <c r="AM749" s="380"/>
      <c r="AN749" s="380"/>
      <c r="AO749" s="380"/>
      <c r="AP749" s="380"/>
      <c r="AQ749" s="404"/>
      <c r="AR749" s="380"/>
      <c r="AS749" s="380"/>
      <c r="AT749" s="380"/>
      <c r="AU749" s="380"/>
      <c r="AV749" s="380"/>
      <c r="AW749" s="380"/>
      <c r="AX749" s="380"/>
      <c r="AY749" s="403"/>
      <c r="AZ749" s="380"/>
      <c r="BA749" s="380"/>
      <c r="BB749" s="380"/>
      <c r="BC749" s="380"/>
      <c r="BD749" s="380"/>
      <c r="BE749" s="404"/>
      <c r="BF749" s="380"/>
      <c r="BG749" s="380"/>
      <c r="BH749" s="380"/>
      <c r="BI749" s="380"/>
      <c r="BJ749" s="380"/>
      <c r="BK749" s="380"/>
      <c r="BL749" s="380"/>
      <c r="BM749" s="403"/>
      <c r="BS749" s="83"/>
      <c r="CA749" s="405"/>
      <c r="CG749" s="83"/>
      <c r="CO749" s="405"/>
      <c r="CU749" s="83"/>
      <c r="DC749" s="405"/>
      <c r="DI749" s="83"/>
      <c r="DQ749" s="405"/>
      <c r="DW749" s="83"/>
      <c r="EE749" s="405"/>
      <c r="EK749" s="83"/>
      <c r="ES749" s="405"/>
      <c r="EY749" s="83"/>
      <c r="FG749" s="405"/>
      <c r="FM749" s="83"/>
      <c r="FU749" s="405"/>
      <c r="GA749" s="83"/>
      <c r="GI749" s="405"/>
      <c r="GO749" s="83"/>
      <c r="GW749" s="405"/>
      <c r="HC749" s="83"/>
      <c r="HK749" s="405"/>
      <c r="HQ749" s="83"/>
      <c r="HY749" s="405"/>
      <c r="IE749" s="83"/>
      <c r="IM749" s="405"/>
      <c r="IS749" s="83"/>
      <c r="JA749" s="405"/>
      <c r="JG749" s="83"/>
      <c r="JO749" s="405"/>
      <c r="JU749" s="83"/>
      <c r="KC749" s="405"/>
      <c r="KI749" s="83"/>
      <c r="KQ749" s="405"/>
      <c r="KW749" s="83"/>
      <c r="LE749" s="405"/>
      <c r="LK749" s="83"/>
      <c r="LS749" s="405"/>
      <c r="LY749" s="83"/>
      <c r="MG749" s="405"/>
      <c r="MM749" s="83"/>
      <c r="MU749" s="405"/>
      <c r="NA749" s="83"/>
    </row>
    <row r="750">
      <c r="A750" s="380"/>
      <c r="B750" s="380"/>
      <c r="C750" s="380"/>
      <c r="D750" s="380"/>
      <c r="E750" s="380"/>
      <c r="F750" s="380"/>
      <c r="G750" s="380"/>
      <c r="H750" s="380"/>
      <c r="I750" s="403"/>
      <c r="J750" s="380"/>
      <c r="K750" s="380"/>
      <c r="L750" s="380"/>
      <c r="M750" s="380"/>
      <c r="N750" s="380"/>
      <c r="O750" s="404"/>
      <c r="P750" s="380"/>
      <c r="Q750" s="380"/>
      <c r="R750" s="380"/>
      <c r="S750" s="380"/>
      <c r="T750" s="380"/>
      <c r="U750" s="380"/>
      <c r="V750" s="380"/>
      <c r="W750" s="403"/>
      <c r="X750" s="380"/>
      <c r="Y750" s="380"/>
      <c r="Z750" s="380"/>
      <c r="AA750" s="380"/>
      <c r="AB750" s="380"/>
      <c r="AC750" s="404"/>
      <c r="AD750" s="380"/>
      <c r="AE750" s="380"/>
      <c r="AF750" s="380"/>
      <c r="AG750" s="380"/>
      <c r="AH750" s="380"/>
      <c r="AI750" s="380"/>
      <c r="AJ750" s="380"/>
      <c r="AK750" s="403"/>
      <c r="AL750" s="380"/>
      <c r="AM750" s="380"/>
      <c r="AN750" s="380"/>
      <c r="AO750" s="380"/>
      <c r="AP750" s="380"/>
      <c r="AQ750" s="404"/>
      <c r="AR750" s="380"/>
      <c r="AS750" s="380"/>
      <c r="AT750" s="380"/>
      <c r="AU750" s="380"/>
      <c r="AV750" s="380"/>
      <c r="AW750" s="380"/>
      <c r="AX750" s="380"/>
      <c r="AY750" s="403"/>
      <c r="AZ750" s="380"/>
      <c r="BA750" s="380"/>
      <c r="BB750" s="380"/>
      <c r="BC750" s="380"/>
      <c r="BD750" s="380"/>
      <c r="BE750" s="404"/>
      <c r="BF750" s="380"/>
      <c r="BG750" s="380"/>
      <c r="BH750" s="380"/>
      <c r="BI750" s="380"/>
      <c r="BJ750" s="380"/>
      <c r="BK750" s="380"/>
      <c r="BL750" s="380"/>
      <c r="BM750" s="403"/>
      <c r="BS750" s="83"/>
      <c r="CA750" s="405"/>
      <c r="CG750" s="83"/>
      <c r="CO750" s="405"/>
      <c r="CU750" s="83"/>
      <c r="DC750" s="405"/>
      <c r="DI750" s="83"/>
      <c r="DQ750" s="405"/>
      <c r="DW750" s="83"/>
      <c r="EE750" s="405"/>
      <c r="EK750" s="83"/>
      <c r="ES750" s="405"/>
      <c r="EY750" s="83"/>
      <c r="FG750" s="405"/>
      <c r="FM750" s="83"/>
      <c r="FU750" s="405"/>
      <c r="GA750" s="83"/>
      <c r="GI750" s="405"/>
      <c r="GO750" s="83"/>
      <c r="GW750" s="405"/>
      <c r="HC750" s="83"/>
      <c r="HK750" s="405"/>
      <c r="HQ750" s="83"/>
      <c r="HY750" s="405"/>
      <c r="IE750" s="83"/>
      <c r="IM750" s="405"/>
      <c r="IS750" s="83"/>
      <c r="JA750" s="405"/>
      <c r="JG750" s="83"/>
      <c r="JO750" s="405"/>
      <c r="JU750" s="83"/>
      <c r="KC750" s="405"/>
      <c r="KI750" s="83"/>
      <c r="KQ750" s="405"/>
      <c r="KW750" s="83"/>
      <c r="LE750" s="405"/>
      <c r="LK750" s="83"/>
      <c r="LS750" s="405"/>
      <c r="LY750" s="83"/>
      <c r="MG750" s="405"/>
      <c r="MM750" s="83"/>
      <c r="MU750" s="405"/>
      <c r="NA750" s="83"/>
    </row>
    <row r="751">
      <c r="A751" s="380"/>
      <c r="B751" s="380"/>
      <c r="C751" s="380"/>
      <c r="D751" s="380"/>
      <c r="E751" s="380"/>
      <c r="F751" s="380"/>
      <c r="G751" s="380"/>
      <c r="H751" s="380"/>
      <c r="I751" s="403"/>
      <c r="J751" s="380"/>
      <c r="K751" s="380"/>
      <c r="L751" s="380"/>
      <c r="M751" s="380"/>
      <c r="N751" s="380"/>
      <c r="O751" s="404"/>
      <c r="P751" s="380"/>
      <c r="Q751" s="380"/>
      <c r="R751" s="380"/>
      <c r="S751" s="380"/>
      <c r="T751" s="380"/>
      <c r="U751" s="380"/>
      <c r="V751" s="380"/>
      <c r="W751" s="403"/>
      <c r="X751" s="380"/>
      <c r="Y751" s="380"/>
      <c r="Z751" s="380"/>
      <c r="AA751" s="380"/>
      <c r="AB751" s="380"/>
      <c r="AC751" s="404"/>
      <c r="AD751" s="380"/>
      <c r="AE751" s="380"/>
      <c r="AF751" s="380"/>
      <c r="AG751" s="380"/>
      <c r="AH751" s="380"/>
      <c r="AI751" s="380"/>
      <c r="AJ751" s="380"/>
      <c r="AK751" s="403"/>
      <c r="AL751" s="380"/>
      <c r="AM751" s="380"/>
      <c r="AN751" s="380"/>
      <c r="AO751" s="380"/>
      <c r="AP751" s="380"/>
      <c r="AQ751" s="404"/>
      <c r="AR751" s="380"/>
      <c r="AS751" s="380"/>
      <c r="AT751" s="380"/>
      <c r="AU751" s="380"/>
      <c r="AV751" s="380"/>
      <c r="AW751" s="380"/>
      <c r="AX751" s="380"/>
      <c r="AY751" s="403"/>
      <c r="AZ751" s="380"/>
      <c r="BA751" s="380"/>
      <c r="BB751" s="380"/>
      <c r="BC751" s="380"/>
      <c r="BD751" s="380"/>
      <c r="BE751" s="404"/>
      <c r="BF751" s="380"/>
      <c r="BG751" s="380"/>
      <c r="BH751" s="380"/>
      <c r="BI751" s="380"/>
      <c r="BJ751" s="380"/>
      <c r="BK751" s="380"/>
      <c r="BL751" s="380"/>
      <c r="BM751" s="403"/>
      <c r="BS751" s="83"/>
      <c r="CA751" s="405"/>
      <c r="CG751" s="83"/>
      <c r="CO751" s="405"/>
      <c r="CU751" s="83"/>
      <c r="DC751" s="405"/>
      <c r="DI751" s="83"/>
      <c r="DQ751" s="405"/>
      <c r="DW751" s="83"/>
      <c r="EE751" s="405"/>
      <c r="EK751" s="83"/>
      <c r="ES751" s="405"/>
      <c r="EY751" s="83"/>
      <c r="FG751" s="405"/>
      <c r="FM751" s="83"/>
      <c r="FU751" s="405"/>
      <c r="GA751" s="83"/>
      <c r="GI751" s="405"/>
      <c r="GO751" s="83"/>
      <c r="GW751" s="405"/>
      <c r="HC751" s="83"/>
      <c r="HK751" s="405"/>
      <c r="HQ751" s="83"/>
      <c r="HY751" s="405"/>
      <c r="IE751" s="83"/>
      <c r="IM751" s="405"/>
      <c r="IS751" s="83"/>
      <c r="JA751" s="405"/>
      <c r="JG751" s="83"/>
      <c r="JO751" s="405"/>
      <c r="JU751" s="83"/>
      <c r="KC751" s="405"/>
      <c r="KI751" s="83"/>
      <c r="KQ751" s="405"/>
      <c r="KW751" s="83"/>
      <c r="LE751" s="405"/>
      <c r="LK751" s="83"/>
      <c r="LS751" s="405"/>
      <c r="LY751" s="83"/>
      <c r="MG751" s="405"/>
      <c r="MM751" s="83"/>
      <c r="MU751" s="405"/>
      <c r="NA751" s="83"/>
    </row>
    <row r="752">
      <c r="A752" s="380"/>
      <c r="B752" s="380"/>
      <c r="C752" s="380"/>
      <c r="D752" s="380"/>
      <c r="E752" s="380"/>
      <c r="F752" s="380"/>
      <c r="G752" s="380"/>
      <c r="H752" s="380"/>
      <c r="I752" s="403"/>
      <c r="J752" s="380"/>
      <c r="K752" s="380"/>
      <c r="L752" s="380"/>
      <c r="M752" s="380"/>
      <c r="N752" s="380"/>
      <c r="O752" s="404"/>
      <c r="P752" s="380"/>
      <c r="Q752" s="380"/>
      <c r="R752" s="380"/>
      <c r="S752" s="380"/>
      <c r="T752" s="380"/>
      <c r="U752" s="380"/>
      <c r="V752" s="380"/>
      <c r="W752" s="403"/>
      <c r="X752" s="380"/>
      <c r="Y752" s="380"/>
      <c r="Z752" s="380"/>
      <c r="AA752" s="380"/>
      <c r="AB752" s="380"/>
      <c r="AC752" s="404"/>
      <c r="AD752" s="380"/>
      <c r="AE752" s="380"/>
      <c r="AF752" s="380"/>
      <c r="AG752" s="380"/>
      <c r="AH752" s="380"/>
      <c r="AI752" s="380"/>
      <c r="AJ752" s="380"/>
      <c r="AK752" s="403"/>
      <c r="AL752" s="380"/>
      <c r="AM752" s="380"/>
      <c r="AN752" s="380"/>
      <c r="AO752" s="380"/>
      <c r="AP752" s="380"/>
      <c r="AQ752" s="404"/>
      <c r="AR752" s="380"/>
      <c r="AS752" s="380"/>
      <c r="AT752" s="380"/>
      <c r="AU752" s="380"/>
      <c r="AV752" s="380"/>
      <c r="AW752" s="380"/>
      <c r="AX752" s="380"/>
      <c r="AY752" s="403"/>
      <c r="AZ752" s="380"/>
      <c r="BA752" s="380"/>
      <c r="BB752" s="380"/>
      <c r="BC752" s="380"/>
      <c r="BD752" s="380"/>
      <c r="BE752" s="404"/>
      <c r="BF752" s="380"/>
      <c r="BG752" s="380"/>
      <c r="BH752" s="380"/>
      <c r="BI752" s="380"/>
      <c r="BJ752" s="380"/>
      <c r="BK752" s="380"/>
      <c r="BL752" s="380"/>
      <c r="BM752" s="403"/>
      <c r="BS752" s="83"/>
      <c r="CA752" s="405"/>
      <c r="CG752" s="83"/>
      <c r="CO752" s="405"/>
      <c r="CU752" s="83"/>
      <c r="DC752" s="405"/>
      <c r="DI752" s="83"/>
      <c r="DQ752" s="405"/>
      <c r="DW752" s="83"/>
      <c r="EE752" s="405"/>
      <c r="EK752" s="83"/>
      <c r="ES752" s="405"/>
      <c r="EY752" s="83"/>
      <c r="FG752" s="405"/>
      <c r="FM752" s="83"/>
      <c r="FU752" s="405"/>
      <c r="GA752" s="83"/>
      <c r="GI752" s="405"/>
      <c r="GO752" s="83"/>
      <c r="GW752" s="405"/>
      <c r="HC752" s="83"/>
      <c r="HK752" s="405"/>
      <c r="HQ752" s="83"/>
      <c r="HY752" s="405"/>
      <c r="IE752" s="83"/>
      <c r="IM752" s="405"/>
      <c r="IS752" s="83"/>
      <c r="JA752" s="405"/>
      <c r="JG752" s="83"/>
      <c r="JO752" s="405"/>
      <c r="JU752" s="83"/>
      <c r="KC752" s="405"/>
      <c r="KI752" s="83"/>
      <c r="KQ752" s="405"/>
      <c r="KW752" s="83"/>
      <c r="LE752" s="405"/>
      <c r="LK752" s="83"/>
      <c r="LS752" s="405"/>
      <c r="LY752" s="83"/>
      <c r="MG752" s="405"/>
      <c r="MM752" s="83"/>
      <c r="MU752" s="405"/>
      <c r="NA752" s="83"/>
    </row>
    <row r="753">
      <c r="A753" s="380"/>
      <c r="B753" s="380"/>
      <c r="C753" s="380"/>
      <c r="D753" s="380"/>
      <c r="E753" s="380"/>
      <c r="F753" s="380"/>
      <c r="G753" s="380"/>
      <c r="H753" s="380"/>
      <c r="I753" s="403"/>
      <c r="J753" s="380"/>
      <c r="K753" s="380"/>
      <c r="L753" s="380"/>
      <c r="M753" s="380"/>
      <c r="N753" s="380"/>
      <c r="O753" s="404"/>
      <c r="P753" s="380"/>
      <c r="Q753" s="380"/>
      <c r="R753" s="380"/>
      <c r="S753" s="380"/>
      <c r="T753" s="380"/>
      <c r="U753" s="380"/>
      <c r="V753" s="380"/>
      <c r="W753" s="403"/>
      <c r="X753" s="380"/>
      <c r="Y753" s="380"/>
      <c r="Z753" s="380"/>
      <c r="AA753" s="380"/>
      <c r="AB753" s="380"/>
      <c r="AC753" s="404"/>
      <c r="AD753" s="380"/>
      <c r="AE753" s="380"/>
      <c r="AF753" s="380"/>
      <c r="AG753" s="380"/>
      <c r="AH753" s="380"/>
      <c r="AI753" s="380"/>
      <c r="AJ753" s="380"/>
      <c r="AK753" s="403"/>
      <c r="AL753" s="380"/>
      <c r="AM753" s="380"/>
      <c r="AN753" s="380"/>
      <c r="AO753" s="380"/>
      <c r="AP753" s="380"/>
      <c r="AQ753" s="404"/>
      <c r="AR753" s="380"/>
      <c r="AS753" s="380"/>
      <c r="AT753" s="380"/>
      <c r="AU753" s="380"/>
      <c r="AV753" s="380"/>
      <c r="AW753" s="380"/>
      <c r="AX753" s="380"/>
      <c r="AY753" s="403"/>
      <c r="AZ753" s="380"/>
      <c r="BA753" s="380"/>
      <c r="BB753" s="380"/>
      <c r="BC753" s="380"/>
      <c r="BD753" s="380"/>
      <c r="BE753" s="404"/>
      <c r="BF753" s="380"/>
      <c r="BG753" s="380"/>
      <c r="BH753" s="380"/>
      <c r="BI753" s="380"/>
      <c r="BJ753" s="380"/>
      <c r="BK753" s="380"/>
      <c r="BL753" s="380"/>
      <c r="BM753" s="403"/>
      <c r="BS753" s="83"/>
      <c r="CA753" s="405"/>
      <c r="CG753" s="83"/>
      <c r="CO753" s="405"/>
      <c r="CU753" s="83"/>
      <c r="DC753" s="405"/>
      <c r="DI753" s="83"/>
      <c r="DQ753" s="405"/>
      <c r="DW753" s="83"/>
      <c r="EE753" s="405"/>
      <c r="EK753" s="83"/>
      <c r="ES753" s="405"/>
      <c r="EY753" s="83"/>
      <c r="FG753" s="405"/>
      <c r="FM753" s="83"/>
      <c r="FU753" s="405"/>
      <c r="GA753" s="83"/>
      <c r="GI753" s="405"/>
      <c r="GO753" s="83"/>
      <c r="GW753" s="405"/>
      <c r="HC753" s="83"/>
      <c r="HK753" s="405"/>
      <c r="HQ753" s="83"/>
      <c r="HY753" s="405"/>
      <c r="IE753" s="83"/>
      <c r="IM753" s="405"/>
      <c r="IS753" s="83"/>
      <c r="JA753" s="405"/>
      <c r="JG753" s="83"/>
      <c r="JO753" s="405"/>
      <c r="JU753" s="83"/>
      <c r="KC753" s="405"/>
      <c r="KI753" s="83"/>
      <c r="KQ753" s="405"/>
      <c r="KW753" s="83"/>
      <c r="LE753" s="405"/>
      <c r="LK753" s="83"/>
      <c r="LS753" s="405"/>
      <c r="LY753" s="83"/>
      <c r="MG753" s="405"/>
      <c r="MM753" s="83"/>
      <c r="MU753" s="405"/>
      <c r="NA753" s="83"/>
    </row>
    <row r="754">
      <c r="A754" s="380"/>
      <c r="B754" s="380"/>
      <c r="C754" s="380"/>
      <c r="D754" s="380"/>
      <c r="E754" s="380"/>
      <c r="F754" s="380"/>
      <c r="G754" s="380"/>
      <c r="H754" s="380"/>
      <c r="I754" s="403"/>
      <c r="J754" s="380"/>
      <c r="K754" s="380"/>
      <c r="L754" s="380"/>
      <c r="M754" s="380"/>
      <c r="N754" s="380"/>
      <c r="O754" s="404"/>
      <c r="P754" s="380"/>
      <c r="Q754" s="380"/>
      <c r="R754" s="380"/>
      <c r="S754" s="380"/>
      <c r="T754" s="380"/>
      <c r="U754" s="380"/>
      <c r="V754" s="380"/>
      <c r="W754" s="403"/>
      <c r="X754" s="380"/>
      <c r="Y754" s="380"/>
      <c r="Z754" s="380"/>
      <c r="AA754" s="380"/>
      <c r="AB754" s="380"/>
      <c r="AC754" s="404"/>
      <c r="AD754" s="380"/>
      <c r="AE754" s="380"/>
      <c r="AF754" s="380"/>
      <c r="AG754" s="380"/>
      <c r="AH754" s="380"/>
      <c r="AI754" s="380"/>
      <c r="AJ754" s="380"/>
      <c r="AK754" s="403"/>
      <c r="AL754" s="380"/>
      <c r="AM754" s="380"/>
      <c r="AN754" s="380"/>
      <c r="AO754" s="380"/>
      <c r="AP754" s="380"/>
      <c r="AQ754" s="404"/>
      <c r="AR754" s="380"/>
      <c r="AS754" s="380"/>
      <c r="AT754" s="380"/>
      <c r="AU754" s="380"/>
      <c r="AV754" s="380"/>
      <c r="AW754" s="380"/>
      <c r="AX754" s="380"/>
      <c r="AY754" s="403"/>
      <c r="AZ754" s="380"/>
      <c r="BA754" s="380"/>
      <c r="BB754" s="380"/>
      <c r="BC754" s="380"/>
      <c r="BD754" s="380"/>
      <c r="BE754" s="404"/>
      <c r="BF754" s="380"/>
      <c r="BG754" s="380"/>
      <c r="BH754" s="380"/>
      <c r="BI754" s="380"/>
      <c r="BJ754" s="380"/>
      <c r="BK754" s="380"/>
      <c r="BL754" s="380"/>
      <c r="BM754" s="403"/>
      <c r="BS754" s="83"/>
      <c r="CA754" s="405"/>
      <c r="CG754" s="83"/>
      <c r="CO754" s="405"/>
      <c r="CU754" s="83"/>
      <c r="DC754" s="405"/>
      <c r="DI754" s="83"/>
      <c r="DQ754" s="405"/>
      <c r="DW754" s="83"/>
      <c r="EE754" s="405"/>
      <c r="EK754" s="83"/>
      <c r="ES754" s="405"/>
      <c r="EY754" s="83"/>
      <c r="FG754" s="405"/>
      <c r="FM754" s="83"/>
      <c r="FU754" s="405"/>
      <c r="GA754" s="83"/>
      <c r="GI754" s="405"/>
      <c r="GO754" s="83"/>
      <c r="GW754" s="405"/>
      <c r="HC754" s="83"/>
      <c r="HK754" s="405"/>
      <c r="HQ754" s="83"/>
      <c r="HY754" s="405"/>
      <c r="IE754" s="83"/>
      <c r="IM754" s="405"/>
      <c r="IS754" s="83"/>
      <c r="JA754" s="405"/>
      <c r="JG754" s="83"/>
      <c r="JO754" s="405"/>
      <c r="JU754" s="83"/>
      <c r="KC754" s="405"/>
      <c r="KI754" s="83"/>
      <c r="KQ754" s="405"/>
      <c r="KW754" s="83"/>
      <c r="LE754" s="405"/>
      <c r="LK754" s="83"/>
      <c r="LS754" s="405"/>
      <c r="LY754" s="83"/>
      <c r="MG754" s="405"/>
      <c r="MM754" s="83"/>
      <c r="MU754" s="405"/>
      <c r="NA754" s="83"/>
    </row>
    <row r="755">
      <c r="A755" s="380"/>
      <c r="B755" s="380"/>
      <c r="C755" s="380"/>
      <c r="D755" s="380"/>
      <c r="E755" s="380"/>
      <c r="F755" s="380"/>
      <c r="G755" s="380"/>
      <c r="H755" s="380"/>
      <c r="I755" s="403"/>
      <c r="J755" s="380"/>
      <c r="K755" s="380"/>
      <c r="L755" s="380"/>
      <c r="M755" s="380"/>
      <c r="N755" s="380"/>
      <c r="O755" s="404"/>
      <c r="P755" s="380"/>
      <c r="Q755" s="380"/>
      <c r="R755" s="380"/>
      <c r="S755" s="380"/>
      <c r="T755" s="380"/>
      <c r="U755" s="380"/>
      <c r="V755" s="380"/>
      <c r="W755" s="403"/>
      <c r="X755" s="380"/>
      <c r="Y755" s="380"/>
      <c r="Z755" s="380"/>
      <c r="AA755" s="380"/>
      <c r="AB755" s="380"/>
      <c r="AC755" s="404"/>
      <c r="AD755" s="380"/>
      <c r="AE755" s="380"/>
      <c r="AF755" s="380"/>
      <c r="AG755" s="380"/>
      <c r="AH755" s="380"/>
      <c r="AI755" s="380"/>
      <c r="AJ755" s="380"/>
      <c r="AK755" s="403"/>
      <c r="AL755" s="380"/>
      <c r="AM755" s="380"/>
      <c r="AN755" s="380"/>
      <c r="AO755" s="380"/>
      <c r="AP755" s="380"/>
      <c r="AQ755" s="404"/>
      <c r="AR755" s="380"/>
      <c r="AS755" s="380"/>
      <c r="AT755" s="380"/>
      <c r="AU755" s="380"/>
      <c r="AV755" s="380"/>
      <c r="AW755" s="380"/>
      <c r="AX755" s="380"/>
      <c r="AY755" s="403"/>
      <c r="AZ755" s="380"/>
      <c r="BA755" s="380"/>
      <c r="BB755" s="380"/>
      <c r="BC755" s="380"/>
      <c r="BD755" s="380"/>
      <c r="BE755" s="404"/>
      <c r="BF755" s="380"/>
      <c r="BG755" s="380"/>
      <c r="BH755" s="380"/>
      <c r="BI755" s="380"/>
      <c r="BJ755" s="380"/>
      <c r="BK755" s="380"/>
      <c r="BL755" s="380"/>
      <c r="BM755" s="403"/>
      <c r="BS755" s="83"/>
      <c r="CA755" s="405"/>
      <c r="CG755" s="83"/>
      <c r="CO755" s="405"/>
      <c r="CU755" s="83"/>
      <c r="DC755" s="405"/>
      <c r="DI755" s="83"/>
      <c r="DQ755" s="405"/>
      <c r="DW755" s="83"/>
      <c r="EE755" s="405"/>
      <c r="EK755" s="83"/>
      <c r="ES755" s="405"/>
      <c r="EY755" s="83"/>
      <c r="FG755" s="405"/>
      <c r="FM755" s="83"/>
      <c r="FU755" s="405"/>
      <c r="GA755" s="83"/>
      <c r="GI755" s="405"/>
      <c r="GO755" s="83"/>
      <c r="GW755" s="405"/>
      <c r="HC755" s="83"/>
      <c r="HK755" s="405"/>
      <c r="HQ755" s="83"/>
      <c r="HY755" s="405"/>
      <c r="IE755" s="83"/>
      <c r="IM755" s="405"/>
      <c r="IS755" s="83"/>
      <c r="JA755" s="405"/>
      <c r="JG755" s="83"/>
      <c r="JO755" s="405"/>
      <c r="JU755" s="83"/>
      <c r="KC755" s="405"/>
      <c r="KI755" s="83"/>
      <c r="KQ755" s="405"/>
      <c r="KW755" s="83"/>
      <c r="LE755" s="405"/>
      <c r="LK755" s="83"/>
      <c r="LS755" s="405"/>
      <c r="LY755" s="83"/>
      <c r="MG755" s="405"/>
      <c r="MM755" s="83"/>
      <c r="MU755" s="405"/>
      <c r="NA755" s="83"/>
    </row>
    <row r="756">
      <c r="A756" s="380"/>
      <c r="B756" s="380"/>
      <c r="C756" s="380"/>
      <c r="D756" s="380"/>
      <c r="E756" s="380"/>
      <c r="F756" s="380"/>
      <c r="G756" s="380"/>
      <c r="H756" s="380"/>
      <c r="I756" s="403"/>
      <c r="J756" s="380"/>
      <c r="K756" s="380"/>
      <c r="L756" s="380"/>
      <c r="M756" s="380"/>
      <c r="N756" s="380"/>
      <c r="O756" s="404"/>
      <c r="P756" s="380"/>
      <c r="Q756" s="380"/>
      <c r="R756" s="380"/>
      <c r="S756" s="380"/>
      <c r="T756" s="380"/>
      <c r="U756" s="380"/>
      <c r="V756" s="380"/>
      <c r="W756" s="403"/>
      <c r="X756" s="380"/>
      <c r="Y756" s="380"/>
      <c r="Z756" s="380"/>
      <c r="AA756" s="380"/>
      <c r="AB756" s="380"/>
      <c r="AC756" s="404"/>
      <c r="AD756" s="380"/>
      <c r="AE756" s="380"/>
      <c r="AF756" s="380"/>
      <c r="AG756" s="380"/>
      <c r="AH756" s="380"/>
      <c r="AI756" s="380"/>
      <c r="AJ756" s="380"/>
      <c r="AK756" s="403"/>
      <c r="AL756" s="380"/>
      <c r="AM756" s="380"/>
      <c r="AN756" s="380"/>
      <c r="AO756" s="380"/>
      <c r="AP756" s="380"/>
      <c r="AQ756" s="404"/>
      <c r="AR756" s="380"/>
      <c r="AS756" s="380"/>
      <c r="AT756" s="380"/>
      <c r="AU756" s="380"/>
      <c r="AV756" s="380"/>
      <c r="AW756" s="380"/>
      <c r="AX756" s="380"/>
      <c r="AY756" s="403"/>
      <c r="AZ756" s="380"/>
      <c r="BA756" s="380"/>
      <c r="BB756" s="380"/>
      <c r="BC756" s="380"/>
      <c r="BD756" s="380"/>
      <c r="BE756" s="404"/>
      <c r="BF756" s="380"/>
      <c r="BG756" s="380"/>
      <c r="BH756" s="380"/>
      <c r="BI756" s="380"/>
      <c r="BJ756" s="380"/>
      <c r="BK756" s="380"/>
      <c r="BL756" s="380"/>
      <c r="BM756" s="403"/>
      <c r="BS756" s="83"/>
      <c r="CA756" s="405"/>
      <c r="CG756" s="83"/>
      <c r="CO756" s="405"/>
      <c r="CU756" s="83"/>
      <c r="DC756" s="405"/>
      <c r="DI756" s="83"/>
      <c r="DQ756" s="405"/>
      <c r="DW756" s="83"/>
      <c r="EE756" s="405"/>
      <c r="EK756" s="83"/>
      <c r="ES756" s="405"/>
      <c r="EY756" s="83"/>
      <c r="FG756" s="405"/>
      <c r="FM756" s="83"/>
      <c r="FU756" s="405"/>
      <c r="GA756" s="83"/>
      <c r="GI756" s="405"/>
      <c r="GO756" s="83"/>
      <c r="GW756" s="405"/>
      <c r="HC756" s="83"/>
      <c r="HK756" s="405"/>
      <c r="HQ756" s="83"/>
      <c r="HY756" s="405"/>
      <c r="IE756" s="83"/>
      <c r="IM756" s="405"/>
      <c r="IS756" s="83"/>
      <c r="JA756" s="405"/>
      <c r="JG756" s="83"/>
      <c r="JO756" s="405"/>
      <c r="JU756" s="83"/>
      <c r="KC756" s="405"/>
      <c r="KI756" s="83"/>
      <c r="KQ756" s="405"/>
      <c r="KW756" s="83"/>
      <c r="LE756" s="405"/>
      <c r="LK756" s="83"/>
      <c r="LS756" s="405"/>
      <c r="LY756" s="83"/>
      <c r="MG756" s="405"/>
      <c r="MM756" s="83"/>
      <c r="MU756" s="405"/>
      <c r="NA756" s="83"/>
    </row>
    <row r="757">
      <c r="A757" s="380"/>
      <c r="B757" s="380"/>
      <c r="C757" s="380"/>
      <c r="D757" s="380"/>
      <c r="E757" s="380"/>
      <c r="F757" s="380"/>
      <c r="G757" s="380"/>
      <c r="H757" s="380"/>
      <c r="I757" s="403"/>
      <c r="J757" s="380"/>
      <c r="K757" s="380"/>
      <c r="L757" s="380"/>
      <c r="M757" s="380"/>
      <c r="N757" s="380"/>
      <c r="O757" s="404"/>
      <c r="P757" s="380"/>
      <c r="Q757" s="380"/>
      <c r="R757" s="380"/>
      <c r="S757" s="380"/>
      <c r="T757" s="380"/>
      <c r="U757" s="380"/>
      <c r="V757" s="380"/>
      <c r="W757" s="403"/>
      <c r="X757" s="380"/>
      <c r="Y757" s="380"/>
      <c r="Z757" s="380"/>
      <c r="AA757" s="380"/>
      <c r="AB757" s="380"/>
      <c r="AC757" s="404"/>
      <c r="AD757" s="380"/>
      <c r="AE757" s="380"/>
      <c r="AF757" s="380"/>
      <c r="AG757" s="380"/>
      <c r="AH757" s="380"/>
      <c r="AI757" s="380"/>
      <c r="AJ757" s="380"/>
      <c r="AK757" s="403"/>
      <c r="AL757" s="380"/>
      <c r="AM757" s="380"/>
      <c r="AN757" s="380"/>
      <c r="AO757" s="380"/>
      <c r="AP757" s="380"/>
      <c r="AQ757" s="404"/>
      <c r="AR757" s="380"/>
      <c r="AS757" s="380"/>
      <c r="AT757" s="380"/>
      <c r="AU757" s="380"/>
      <c r="AV757" s="380"/>
      <c r="AW757" s="380"/>
      <c r="AX757" s="380"/>
      <c r="AY757" s="403"/>
      <c r="AZ757" s="380"/>
      <c r="BA757" s="380"/>
      <c r="BB757" s="380"/>
      <c r="BC757" s="380"/>
      <c r="BD757" s="380"/>
      <c r="BE757" s="404"/>
      <c r="BF757" s="380"/>
      <c r="BG757" s="380"/>
      <c r="BH757" s="380"/>
      <c r="BI757" s="380"/>
      <c r="BJ757" s="380"/>
      <c r="BK757" s="380"/>
      <c r="BL757" s="380"/>
      <c r="BM757" s="403"/>
      <c r="BS757" s="83"/>
      <c r="CA757" s="405"/>
      <c r="CG757" s="83"/>
      <c r="CO757" s="405"/>
      <c r="CU757" s="83"/>
      <c r="DC757" s="405"/>
      <c r="DI757" s="83"/>
      <c r="DQ757" s="405"/>
      <c r="DW757" s="83"/>
      <c r="EE757" s="405"/>
      <c r="EK757" s="83"/>
      <c r="ES757" s="405"/>
      <c r="EY757" s="83"/>
      <c r="FG757" s="405"/>
      <c r="FM757" s="83"/>
      <c r="FU757" s="405"/>
      <c r="GA757" s="83"/>
      <c r="GI757" s="405"/>
      <c r="GO757" s="83"/>
      <c r="GW757" s="405"/>
      <c r="HC757" s="83"/>
      <c r="HK757" s="405"/>
      <c r="HQ757" s="83"/>
      <c r="HY757" s="405"/>
      <c r="IE757" s="83"/>
      <c r="IM757" s="405"/>
      <c r="IS757" s="83"/>
      <c r="JA757" s="405"/>
      <c r="JG757" s="83"/>
      <c r="JO757" s="405"/>
      <c r="JU757" s="83"/>
      <c r="KC757" s="405"/>
      <c r="KI757" s="83"/>
      <c r="KQ757" s="405"/>
      <c r="KW757" s="83"/>
      <c r="LE757" s="405"/>
      <c r="LK757" s="83"/>
      <c r="LS757" s="405"/>
      <c r="LY757" s="83"/>
      <c r="MG757" s="405"/>
      <c r="MM757" s="83"/>
      <c r="MU757" s="405"/>
      <c r="NA757" s="83"/>
    </row>
    <row r="758">
      <c r="A758" s="380"/>
      <c r="B758" s="380"/>
      <c r="C758" s="380"/>
      <c r="D758" s="380"/>
      <c r="E758" s="380"/>
      <c r="F758" s="380"/>
      <c r="G758" s="380"/>
      <c r="H758" s="380"/>
      <c r="I758" s="403"/>
      <c r="J758" s="380"/>
      <c r="K758" s="380"/>
      <c r="L758" s="380"/>
      <c r="M758" s="380"/>
      <c r="N758" s="380"/>
      <c r="O758" s="404"/>
      <c r="P758" s="380"/>
      <c r="Q758" s="380"/>
      <c r="R758" s="380"/>
      <c r="S758" s="380"/>
      <c r="T758" s="380"/>
      <c r="U758" s="380"/>
      <c r="V758" s="380"/>
      <c r="W758" s="403"/>
      <c r="X758" s="380"/>
      <c r="Y758" s="380"/>
      <c r="Z758" s="380"/>
      <c r="AA758" s="380"/>
      <c r="AB758" s="380"/>
      <c r="AC758" s="404"/>
      <c r="AD758" s="380"/>
      <c r="AE758" s="380"/>
      <c r="AF758" s="380"/>
      <c r="AG758" s="380"/>
      <c r="AH758" s="380"/>
      <c r="AI758" s="380"/>
      <c r="AJ758" s="380"/>
      <c r="AK758" s="403"/>
      <c r="AL758" s="380"/>
      <c r="AM758" s="380"/>
      <c r="AN758" s="380"/>
      <c r="AO758" s="380"/>
      <c r="AP758" s="380"/>
      <c r="AQ758" s="404"/>
      <c r="AR758" s="380"/>
      <c r="AS758" s="380"/>
      <c r="AT758" s="380"/>
      <c r="AU758" s="380"/>
      <c r="AV758" s="380"/>
      <c r="AW758" s="380"/>
      <c r="AX758" s="380"/>
      <c r="AY758" s="403"/>
      <c r="AZ758" s="380"/>
      <c r="BA758" s="380"/>
      <c r="BB758" s="380"/>
      <c r="BC758" s="380"/>
      <c r="BD758" s="380"/>
      <c r="BE758" s="404"/>
      <c r="BF758" s="380"/>
      <c r="BG758" s="380"/>
      <c r="BH758" s="380"/>
      <c r="BI758" s="380"/>
      <c r="BJ758" s="380"/>
      <c r="BK758" s="380"/>
      <c r="BL758" s="380"/>
      <c r="BM758" s="403"/>
      <c r="BS758" s="83"/>
      <c r="CA758" s="405"/>
      <c r="CG758" s="83"/>
      <c r="CO758" s="405"/>
      <c r="CU758" s="83"/>
      <c r="DC758" s="405"/>
      <c r="DI758" s="83"/>
      <c r="DQ758" s="405"/>
      <c r="DW758" s="83"/>
      <c r="EE758" s="405"/>
      <c r="EK758" s="83"/>
      <c r="ES758" s="405"/>
      <c r="EY758" s="83"/>
      <c r="FG758" s="405"/>
      <c r="FM758" s="83"/>
      <c r="FU758" s="405"/>
      <c r="GA758" s="83"/>
      <c r="GI758" s="405"/>
      <c r="GO758" s="83"/>
      <c r="GW758" s="405"/>
      <c r="HC758" s="83"/>
      <c r="HK758" s="405"/>
      <c r="HQ758" s="83"/>
      <c r="HY758" s="405"/>
      <c r="IE758" s="83"/>
      <c r="IM758" s="405"/>
      <c r="IS758" s="83"/>
      <c r="JA758" s="405"/>
      <c r="JG758" s="83"/>
      <c r="JO758" s="405"/>
      <c r="JU758" s="83"/>
      <c r="KC758" s="405"/>
      <c r="KI758" s="83"/>
      <c r="KQ758" s="405"/>
      <c r="KW758" s="83"/>
      <c r="LE758" s="405"/>
      <c r="LK758" s="83"/>
      <c r="LS758" s="405"/>
      <c r="LY758" s="83"/>
      <c r="MG758" s="405"/>
      <c r="MM758" s="83"/>
      <c r="MU758" s="405"/>
      <c r="NA758" s="83"/>
    </row>
    <row r="759">
      <c r="A759" s="380"/>
      <c r="B759" s="380"/>
      <c r="C759" s="380"/>
      <c r="D759" s="380"/>
      <c r="E759" s="380"/>
      <c r="F759" s="380"/>
      <c r="G759" s="380"/>
      <c r="H759" s="380"/>
      <c r="I759" s="403"/>
      <c r="J759" s="380"/>
      <c r="K759" s="380"/>
      <c r="L759" s="380"/>
      <c r="M759" s="380"/>
      <c r="N759" s="380"/>
      <c r="O759" s="404"/>
      <c r="P759" s="380"/>
      <c r="Q759" s="380"/>
      <c r="R759" s="380"/>
      <c r="S759" s="380"/>
      <c r="T759" s="380"/>
      <c r="U759" s="380"/>
      <c r="V759" s="380"/>
      <c r="W759" s="403"/>
      <c r="X759" s="380"/>
      <c r="Y759" s="380"/>
      <c r="Z759" s="380"/>
      <c r="AA759" s="380"/>
      <c r="AB759" s="380"/>
      <c r="AC759" s="404"/>
      <c r="AD759" s="380"/>
      <c r="AE759" s="380"/>
      <c r="AF759" s="380"/>
      <c r="AG759" s="380"/>
      <c r="AH759" s="380"/>
      <c r="AI759" s="380"/>
      <c r="AJ759" s="380"/>
      <c r="AK759" s="403"/>
      <c r="AL759" s="380"/>
      <c r="AM759" s="380"/>
      <c r="AN759" s="380"/>
      <c r="AO759" s="380"/>
      <c r="AP759" s="380"/>
      <c r="AQ759" s="404"/>
      <c r="AR759" s="380"/>
      <c r="AS759" s="380"/>
      <c r="AT759" s="380"/>
      <c r="AU759" s="380"/>
      <c r="AV759" s="380"/>
      <c r="AW759" s="380"/>
      <c r="AX759" s="380"/>
      <c r="AY759" s="403"/>
      <c r="AZ759" s="380"/>
      <c r="BA759" s="380"/>
      <c r="BB759" s="380"/>
      <c r="BC759" s="380"/>
      <c r="BD759" s="380"/>
      <c r="BE759" s="404"/>
      <c r="BF759" s="380"/>
      <c r="BG759" s="380"/>
      <c r="BH759" s="380"/>
      <c r="BI759" s="380"/>
      <c r="BJ759" s="380"/>
      <c r="BK759" s="380"/>
      <c r="BL759" s="380"/>
      <c r="BM759" s="403"/>
      <c r="BS759" s="83"/>
      <c r="CA759" s="405"/>
      <c r="CG759" s="83"/>
      <c r="CO759" s="405"/>
      <c r="CU759" s="83"/>
      <c r="DC759" s="405"/>
      <c r="DI759" s="83"/>
      <c r="DQ759" s="405"/>
      <c r="DW759" s="83"/>
      <c r="EE759" s="405"/>
      <c r="EK759" s="83"/>
      <c r="ES759" s="405"/>
      <c r="EY759" s="83"/>
      <c r="FG759" s="405"/>
      <c r="FM759" s="83"/>
      <c r="FU759" s="405"/>
      <c r="GA759" s="83"/>
      <c r="GI759" s="405"/>
      <c r="GO759" s="83"/>
      <c r="GW759" s="405"/>
      <c r="HC759" s="83"/>
      <c r="HK759" s="405"/>
      <c r="HQ759" s="83"/>
      <c r="HY759" s="405"/>
      <c r="IE759" s="83"/>
      <c r="IM759" s="405"/>
      <c r="IS759" s="83"/>
      <c r="JA759" s="405"/>
      <c r="JG759" s="83"/>
      <c r="JO759" s="405"/>
      <c r="JU759" s="83"/>
      <c r="KC759" s="405"/>
      <c r="KI759" s="83"/>
      <c r="KQ759" s="405"/>
      <c r="KW759" s="83"/>
      <c r="LE759" s="405"/>
      <c r="LK759" s="83"/>
      <c r="LS759" s="405"/>
      <c r="LY759" s="83"/>
      <c r="MG759" s="405"/>
      <c r="MM759" s="83"/>
      <c r="MU759" s="405"/>
      <c r="NA759" s="83"/>
    </row>
    <row r="760">
      <c r="A760" s="380"/>
      <c r="B760" s="380"/>
      <c r="C760" s="380"/>
      <c r="D760" s="380"/>
      <c r="E760" s="380"/>
      <c r="F760" s="380"/>
      <c r="G760" s="380"/>
      <c r="H760" s="380"/>
      <c r="I760" s="403"/>
      <c r="J760" s="380"/>
      <c r="K760" s="380"/>
      <c r="L760" s="380"/>
      <c r="M760" s="380"/>
      <c r="N760" s="380"/>
      <c r="O760" s="404"/>
      <c r="P760" s="380"/>
      <c r="Q760" s="380"/>
      <c r="R760" s="380"/>
      <c r="S760" s="380"/>
      <c r="T760" s="380"/>
      <c r="U760" s="380"/>
      <c r="V760" s="380"/>
      <c r="W760" s="403"/>
      <c r="X760" s="380"/>
      <c r="Y760" s="380"/>
      <c r="Z760" s="380"/>
      <c r="AA760" s="380"/>
      <c r="AB760" s="380"/>
      <c r="AC760" s="404"/>
      <c r="AD760" s="380"/>
      <c r="AE760" s="380"/>
      <c r="AF760" s="380"/>
      <c r="AG760" s="380"/>
      <c r="AH760" s="380"/>
      <c r="AI760" s="380"/>
      <c r="AJ760" s="380"/>
      <c r="AK760" s="403"/>
      <c r="AL760" s="380"/>
      <c r="AM760" s="380"/>
      <c r="AN760" s="380"/>
      <c r="AO760" s="380"/>
      <c r="AP760" s="380"/>
      <c r="AQ760" s="404"/>
      <c r="AR760" s="380"/>
      <c r="AS760" s="380"/>
      <c r="AT760" s="380"/>
      <c r="AU760" s="380"/>
      <c r="AV760" s="380"/>
      <c r="AW760" s="380"/>
      <c r="AX760" s="380"/>
      <c r="AY760" s="403"/>
      <c r="AZ760" s="380"/>
      <c r="BA760" s="380"/>
      <c r="BB760" s="380"/>
      <c r="BC760" s="380"/>
      <c r="BD760" s="380"/>
      <c r="BE760" s="404"/>
      <c r="BF760" s="380"/>
      <c r="BG760" s="380"/>
      <c r="BH760" s="380"/>
      <c r="BI760" s="380"/>
      <c r="BJ760" s="380"/>
      <c r="BK760" s="380"/>
      <c r="BL760" s="380"/>
      <c r="BM760" s="403"/>
      <c r="BS760" s="83"/>
      <c r="CA760" s="405"/>
      <c r="CG760" s="83"/>
      <c r="CO760" s="405"/>
      <c r="CU760" s="83"/>
      <c r="DC760" s="405"/>
      <c r="DI760" s="83"/>
      <c r="DQ760" s="405"/>
      <c r="DW760" s="83"/>
      <c r="EE760" s="405"/>
      <c r="EK760" s="83"/>
      <c r="ES760" s="405"/>
      <c r="EY760" s="83"/>
      <c r="FG760" s="405"/>
      <c r="FM760" s="83"/>
      <c r="FU760" s="405"/>
      <c r="GA760" s="83"/>
      <c r="GI760" s="405"/>
      <c r="GO760" s="83"/>
      <c r="GW760" s="405"/>
      <c r="HC760" s="83"/>
      <c r="HK760" s="405"/>
      <c r="HQ760" s="83"/>
      <c r="HY760" s="405"/>
      <c r="IE760" s="83"/>
      <c r="IM760" s="405"/>
      <c r="IS760" s="83"/>
      <c r="JA760" s="405"/>
      <c r="JG760" s="83"/>
      <c r="JO760" s="405"/>
      <c r="JU760" s="83"/>
      <c r="KC760" s="405"/>
      <c r="KI760" s="83"/>
      <c r="KQ760" s="405"/>
      <c r="KW760" s="83"/>
      <c r="LE760" s="405"/>
      <c r="LK760" s="83"/>
      <c r="LS760" s="405"/>
      <c r="LY760" s="83"/>
      <c r="MG760" s="405"/>
      <c r="MM760" s="83"/>
      <c r="MU760" s="405"/>
      <c r="NA760" s="83"/>
    </row>
    <row r="761">
      <c r="A761" s="380"/>
      <c r="B761" s="380"/>
      <c r="C761" s="380"/>
      <c r="D761" s="380"/>
      <c r="E761" s="380"/>
      <c r="F761" s="380"/>
      <c r="G761" s="380"/>
      <c r="H761" s="380"/>
      <c r="I761" s="403"/>
      <c r="J761" s="380"/>
      <c r="K761" s="380"/>
      <c r="L761" s="380"/>
      <c r="M761" s="380"/>
      <c r="N761" s="380"/>
      <c r="O761" s="404"/>
      <c r="P761" s="380"/>
      <c r="Q761" s="380"/>
      <c r="R761" s="380"/>
      <c r="S761" s="380"/>
      <c r="T761" s="380"/>
      <c r="U761" s="380"/>
      <c r="V761" s="380"/>
      <c r="W761" s="403"/>
      <c r="X761" s="380"/>
      <c r="Y761" s="380"/>
      <c r="Z761" s="380"/>
      <c r="AA761" s="380"/>
      <c r="AB761" s="380"/>
      <c r="AC761" s="404"/>
      <c r="AD761" s="380"/>
      <c r="AE761" s="380"/>
      <c r="AF761" s="380"/>
      <c r="AG761" s="380"/>
      <c r="AH761" s="380"/>
      <c r="AI761" s="380"/>
      <c r="AJ761" s="380"/>
      <c r="AK761" s="403"/>
      <c r="AL761" s="380"/>
      <c r="AM761" s="380"/>
      <c r="AN761" s="380"/>
      <c r="AO761" s="380"/>
      <c r="AP761" s="380"/>
      <c r="AQ761" s="404"/>
      <c r="AR761" s="380"/>
      <c r="AS761" s="380"/>
      <c r="AT761" s="380"/>
      <c r="AU761" s="380"/>
      <c r="AV761" s="380"/>
      <c r="AW761" s="380"/>
      <c r="AX761" s="380"/>
      <c r="AY761" s="403"/>
      <c r="AZ761" s="380"/>
      <c r="BA761" s="380"/>
      <c r="BB761" s="380"/>
      <c r="BC761" s="380"/>
      <c r="BD761" s="380"/>
      <c r="BE761" s="404"/>
      <c r="BF761" s="380"/>
      <c r="BG761" s="380"/>
      <c r="BH761" s="380"/>
      <c r="BI761" s="380"/>
      <c r="BJ761" s="380"/>
      <c r="BK761" s="380"/>
      <c r="BL761" s="380"/>
      <c r="BM761" s="403"/>
      <c r="BS761" s="83"/>
      <c r="CA761" s="405"/>
      <c r="CG761" s="83"/>
      <c r="CO761" s="405"/>
      <c r="CU761" s="83"/>
      <c r="DC761" s="405"/>
      <c r="DI761" s="83"/>
      <c r="DQ761" s="405"/>
      <c r="DW761" s="83"/>
      <c r="EE761" s="405"/>
      <c r="EK761" s="83"/>
      <c r="ES761" s="405"/>
      <c r="EY761" s="83"/>
      <c r="FG761" s="405"/>
      <c r="FM761" s="83"/>
      <c r="FU761" s="405"/>
      <c r="GA761" s="83"/>
      <c r="GI761" s="405"/>
      <c r="GO761" s="83"/>
      <c r="GW761" s="405"/>
      <c r="HC761" s="83"/>
      <c r="HK761" s="405"/>
      <c r="HQ761" s="83"/>
      <c r="HY761" s="405"/>
      <c r="IE761" s="83"/>
      <c r="IM761" s="405"/>
      <c r="IS761" s="83"/>
      <c r="JA761" s="405"/>
      <c r="JG761" s="83"/>
      <c r="JO761" s="405"/>
      <c r="JU761" s="83"/>
      <c r="KC761" s="405"/>
      <c r="KI761" s="83"/>
      <c r="KQ761" s="405"/>
      <c r="KW761" s="83"/>
      <c r="LE761" s="405"/>
      <c r="LK761" s="83"/>
      <c r="LS761" s="405"/>
      <c r="LY761" s="83"/>
      <c r="MG761" s="405"/>
      <c r="MM761" s="83"/>
      <c r="MU761" s="405"/>
      <c r="NA761" s="83"/>
    </row>
    <row r="762">
      <c r="A762" s="380"/>
      <c r="B762" s="380"/>
      <c r="C762" s="380"/>
      <c r="D762" s="380"/>
      <c r="E762" s="380"/>
      <c r="F762" s="380"/>
      <c r="G762" s="380"/>
      <c r="H762" s="380"/>
      <c r="I762" s="403"/>
      <c r="J762" s="380"/>
      <c r="K762" s="380"/>
      <c r="L762" s="380"/>
      <c r="M762" s="380"/>
      <c r="N762" s="380"/>
      <c r="O762" s="404"/>
      <c r="P762" s="380"/>
      <c r="Q762" s="380"/>
      <c r="R762" s="380"/>
      <c r="S762" s="380"/>
      <c r="T762" s="380"/>
      <c r="U762" s="380"/>
      <c r="V762" s="380"/>
      <c r="W762" s="403"/>
      <c r="X762" s="380"/>
      <c r="Y762" s="380"/>
      <c r="Z762" s="380"/>
      <c r="AA762" s="380"/>
      <c r="AB762" s="380"/>
      <c r="AC762" s="404"/>
      <c r="AD762" s="380"/>
      <c r="AE762" s="380"/>
      <c r="AF762" s="380"/>
      <c r="AG762" s="380"/>
      <c r="AH762" s="380"/>
      <c r="AI762" s="380"/>
      <c r="AJ762" s="380"/>
      <c r="AK762" s="403"/>
      <c r="AL762" s="380"/>
      <c r="AM762" s="380"/>
      <c r="AN762" s="380"/>
      <c r="AO762" s="380"/>
      <c r="AP762" s="380"/>
      <c r="AQ762" s="404"/>
      <c r="AR762" s="380"/>
      <c r="AS762" s="380"/>
      <c r="AT762" s="380"/>
      <c r="AU762" s="380"/>
      <c r="AV762" s="380"/>
      <c r="AW762" s="380"/>
      <c r="AX762" s="380"/>
      <c r="AY762" s="403"/>
      <c r="AZ762" s="380"/>
      <c r="BA762" s="380"/>
      <c r="BB762" s="380"/>
      <c r="BC762" s="380"/>
      <c r="BD762" s="380"/>
      <c r="BE762" s="404"/>
      <c r="BF762" s="380"/>
      <c r="BG762" s="380"/>
      <c r="BH762" s="380"/>
      <c r="BI762" s="380"/>
      <c r="BJ762" s="380"/>
      <c r="BK762" s="380"/>
      <c r="BL762" s="380"/>
      <c r="BM762" s="403"/>
      <c r="BS762" s="83"/>
      <c r="CA762" s="405"/>
      <c r="CG762" s="83"/>
      <c r="CO762" s="405"/>
      <c r="CU762" s="83"/>
      <c r="DC762" s="405"/>
      <c r="DI762" s="83"/>
      <c r="DQ762" s="405"/>
      <c r="DW762" s="83"/>
      <c r="EE762" s="405"/>
      <c r="EK762" s="83"/>
      <c r="ES762" s="405"/>
      <c r="EY762" s="83"/>
      <c r="FG762" s="405"/>
      <c r="FM762" s="83"/>
      <c r="FU762" s="405"/>
      <c r="GA762" s="83"/>
      <c r="GI762" s="405"/>
      <c r="GO762" s="83"/>
      <c r="GW762" s="405"/>
      <c r="HC762" s="83"/>
      <c r="HK762" s="405"/>
      <c r="HQ762" s="83"/>
      <c r="HY762" s="405"/>
      <c r="IE762" s="83"/>
      <c r="IM762" s="405"/>
      <c r="IS762" s="83"/>
      <c r="JA762" s="405"/>
      <c r="JG762" s="83"/>
      <c r="JO762" s="405"/>
      <c r="JU762" s="83"/>
      <c r="KC762" s="405"/>
      <c r="KI762" s="83"/>
      <c r="KQ762" s="405"/>
      <c r="KW762" s="83"/>
      <c r="LE762" s="405"/>
      <c r="LK762" s="83"/>
      <c r="LS762" s="405"/>
      <c r="LY762" s="83"/>
      <c r="MG762" s="405"/>
      <c r="MM762" s="83"/>
      <c r="MU762" s="405"/>
      <c r="NA762" s="83"/>
    </row>
    <row r="763">
      <c r="A763" s="380"/>
      <c r="B763" s="380"/>
      <c r="C763" s="380"/>
      <c r="D763" s="380"/>
      <c r="E763" s="380"/>
      <c r="F763" s="380"/>
      <c r="G763" s="380"/>
      <c r="H763" s="380"/>
      <c r="I763" s="403"/>
      <c r="J763" s="380"/>
      <c r="K763" s="380"/>
      <c r="L763" s="380"/>
      <c r="M763" s="380"/>
      <c r="N763" s="380"/>
      <c r="O763" s="404"/>
      <c r="P763" s="380"/>
      <c r="Q763" s="380"/>
      <c r="R763" s="380"/>
      <c r="S763" s="380"/>
      <c r="T763" s="380"/>
      <c r="U763" s="380"/>
      <c r="V763" s="380"/>
      <c r="W763" s="403"/>
      <c r="X763" s="380"/>
      <c r="Y763" s="380"/>
      <c r="Z763" s="380"/>
      <c r="AA763" s="380"/>
      <c r="AB763" s="380"/>
      <c r="AC763" s="404"/>
      <c r="AD763" s="380"/>
      <c r="AE763" s="380"/>
      <c r="AF763" s="380"/>
      <c r="AG763" s="380"/>
      <c r="AH763" s="380"/>
      <c r="AI763" s="380"/>
      <c r="AJ763" s="380"/>
      <c r="AK763" s="403"/>
      <c r="AL763" s="380"/>
      <c r="AM763" s="380"/>
      <c r="AN763" s="380"/>
      <c r="AO763" s="380"/>
      <c r="AP763" s="380"/>
      <c r="AQ763" s="404"/>
      <c r="AR763" s="380"/>
      <c r="AS763" s="380"/>
      <c r="AT763" s="380"/>
      <c r="AU763" s="380"/>
      <c r="AV763" s="380"/>
      <c r="AW763" s="380"/>
      <c r="AX763" s="380"/>
      <c r="AY763" s="403"/>
      <c r="AZ763" s="380"/>
      <c r="BA763" s="380"/>
      <c r="BB763" s="380"/>
      <c r="BC763" s="380"/>
      <c r="BD763" s="380"/>
      <c r="BE763" s="404"/>
      <c r="BF763" s="380"/>
      <c r="BG763" s="380"/>
      <c r="BH763" s="380"/>
      <c r="BI763" s="380"/>
      <c r="BJ763" s="380"/>
      <c r="BK763" s="380"/>
      <c r="BL763" s="380"/>
      <c r="BM763" s="403"/>
      <c r="BS763" s="83"/>
      <c r="CA763" s="405"/>
      <c r="CG763" s="83"/>
      <c r="CO763" s="405"/>
      <c r="CU763" s="83"/>
      <c r="DC763" s="405"/>
      <c r="DI763" s="83"/>
      <c r="DQ763" s="405"/>
      <c r="DW763" s="83"/>
      <c r="EE763" s="405"/>
      <c r="EK763" s="83"/>
      <c r="ES763" s="405"/>
      <c r="EY763" s="83"/>
      <c r="FG763" s="405"/>
      <c r="FM763" s="83"/>
      <c r="FU763" s="405"/>
      <c r="GA763" s="83"/>
      <c r="GI763" s="405"/>
      <c r="GO763" s="83"/>
      <c r="GW763" s="405"/>
      <c r="HC763" s="83"/>
      <c r="HK763" s="405"/>
      <c r="HQ763" s="83"/>
      <c r="HY763" s="405"/>
      <c r="IE763" s="83"/>
      <c r="IM763" s="405"/>
      <c r="IS763" s="83"/>
      <c r="JA763" s="405"/>
      <c r="JG763" s="83"/>
      <c r="JO763" s="405"/>
      <c r="JU763" s="83"/>
      <c r="KC763" s="405"/>
      <c r="KI763" s="83"/>
      <c r="KQ763" s="405"/>
      <c r="KW763" s="83"/>
      <c r="LE763" s="405"/>
      <c r="LK763" s="83"/>
      <c r="LS763" s="405"/>
      <c r="LY763" s="83"/>
      <c r="MG763" s="405"/>
      <c r="MM763" s="83"/>
      <c r="MU763" s="405"/>
      <c r="NA763" s="83"/>
    </row>
    <row r="764">
      <c r="A764" s="380"/>
      <c r="B764" s="380"/>
      <c r="C764" s="380"/>
      <c r="D764" s="380"/>
      <c r="E764" s="380"/>
      <c r="F764" s="380"/>
      <c r="G764" s="380"/>
      <c r="H764" s="380"/>
      <c r="I764" s="403"/>
      <c r="J764" s="380"/>
      <c r="K764" s="380"/>
      <c r="L764" s="380"/>
      <c r="M764" s="380"/>
      <c r="N764" s="380"/>
      <c r="O764" s="404"/>
      <c r="P764" s="380"/>
      <c r="Q764" s="380"/>
      <c r="R764" s="380"/>
      <c r="S764" s="380"/>
      <c r="T764" s="380"/>
      <c r="U764" s="380"/>
      <c r="V764" s="380"/>
      <c r="W764" s="403"/>
      <c r="X764" s="380"/>
      <c r="Y764" s="380"/>
      <c r="Z764" s="380"/>
      <c r="AA764" s="380"/>
      <c r="AB764" s="380"/>
      <c r="AC764" s="404"/>
      <c r="AD764" s="380"/>
      <c r="AE764" s="380"/>
      <c r="AF764" s="380"/>
      <c r="AG764" s="380"/>
      <c r="AH764" s="380"/>
      <c r="AI764" s="380"/>
      <c r="AJ764" s="380"/>
      <c r="AK764" s="403"/>
      <c r="AL764" s="380"/>
      <c r="AM764" s="380"/>
      <c r="AN764" s="380"/>
      <c r="AO764" s="380"/>
      <c r="AP764" s="380"/>
      <c r="AQ764" s="404"/>
      <c r="AR764" s="380"/>
      <c r="AS764" s="380"/>
      <c r="AT764" s="380"/>
      <c r="AU764" s="380"/>
      <c r="AV764" s="380"/>
      <c r="AW764" s="380"/>
      <c r="AX764" s="380"/>
      <c r="AY764" s="403"/>
      <c r="AZ764" s="380"/>
      <c r="BA764" s="380"/>
      <c r="BB764" s="380"/>
      <c r="BC764" s="380"/>
      <c r="BD764" s="380"/>
      <c r="BE764" s="404"/>
      <c r="BF764" s="380"/>
      <c r="BG764" s="380"/>
      <c r="BH764" s="380"/>
      <c r="BI764" s="380"/>
      <c r="BJ764" s="380"/>
      <c r="BK764" s="380"/>
      <c r="BL764" s="380"/>
      <c r="BM764" s="403"/>
      <c r="BS764" s="83"/>
      <c r="CA764" s="405"/>
      <c r="CG764" s="83"/>
      <c r="CO764" s="405"/>
      <c r="CU764" s="83"/>
      <c r="DC764" s="405"/>
      <c r="DI764" s="83"/>
      <c r="DQ764" s="405"/>
      <c r="DW764" s="83"/>
      <c r="EE764" s="405"/>
      <c r="EK764" s="83"/>
      <c r="ES764" s="405"/>
      <c r="EY764" s="83"/>
      <c r="FG764" s="405"/>
      <c r="FM764" s="83"/>
      <c r="FU764" s="405"/>
      <c r="GA764" s="83"/>
      <c r="GI764" s="405"/>
      <c r="GO764" s="83"/>
      <c r="GW764" s="405"/>
      <c r="HC764" s="83"/>
      <c r="HK764" s="405"/>
      <c r="HQ764" s="83"/>
      <c r="HY764" s="405"/>
      <c r="IE764" s="83"/>
      <c r="IM764" s="405"/>
      <c r="IS764" s="83"/>
      <c r="JA764" s="405"/>
      <c r="JG764" s="83"/>
      <c r="JO764" s="405"/>
      <c r="JU764" s="83"/>
      <c r="KC764" s="405"/>
      <c r="KI764" s="83"/>
      <c r="KQ764" s="405"/>
      <c r="KW764" s="83"/>
      <c r="LE764" s="405"/>
      <c r="LK764" s="83"/>
      <c r="LS764" s="405"/>
      <c r="LY764" s="83"/>
      <c r="MG764" s="405"/>
      <c r="MM764" s="83"/>
      <c r="MU764" s="405"/>
      <c r="NA764" s="83"/>
    </row>
    <row r="765">
      <c r="A765" s="380"/>
      <c r="B765" s="380"/>
      <c r="C765" s="380"/>
      <c r="D765" s="380"/>
      <c r="E765" s="380"/>
      <c r="F765" s="380"/>
      <c r="G765" s="380"/>
      <c r="H765" s="380"/>
      <c r="I765" s="403"/>
      <c r="J765" s="380"/>
      <c r="K765" s="380"/>
      <c r="L765" s="380"/>
      <c r="M765" s="380"/>
      <c r="N765" s="380"/>
      <c r="O765" s="404"/>
      <c r="P765" s="380"/>
      <c r="Q765" s="380"/>
      <c r="R765" s="380"/>
      <c r="S765" s="380"/>
      <c r="T765" s="380"/>
      <c r="U765" s="380"/>
      <c r="V765" s="380"/>
      <c r="W765" s="403"/>
      <c r="X765" s="380"/>
      <c r="Y765" s="380"/>
      <c r="Z765" s="380"/>
      <c r="AA765" s="380"/>
      <c r="AB765" s="380"/>
      <c r="AC765" s="404"/>
      <c r="AD765" s="380"/>
      <c r="AE765" s="380"/>
      <c r="AF765" s="380"/>
      <c r="AG765" s="380"/>
      <c r="AH765" s="380"/>
      <c r="AI765" s="380"/>
      <c r="AJ765" s="380"/>
      <c r="AK765" s="403"/>
      <c r="AL765" s="380"/>
      <c r="AM765" s="380"/>
      <c r="AN765" s="380"/>
      <c r="AO765" s="380"/>
      <c r="AP765" s="380"/>
      <c r="AQ765" s="404"/>
      <c r="AR765" s="380"/>
      <c r="AS765" s="380"/>
      <c r="AT765" s="380"/>
      <c r="AU765" s="380"/>
      <c r="AV765" s="380"/>
      <c r="AW765" s="380"/>
      <c r="AX765" s="380"/>
      <c r="AY765" s="403"/>
      <c r="AZ765" s="380"/>
      <c r="BA765" s="380"/>
      <c r="BB765" s="380"/>
      <c r="BC765" s="380"/>
      <c r="BD765" s="380"/>
      <c r="BE765" s="404"/>
      <c r="BF765" s="380"/>
      <c r="BG765" s="380"/>
      <c r="BH765" s="380"/>
      <c r="BI765" s="380"/>
      <c r="BJ765" s="380"/>
      <c r="BK765" s="380"/>
      <c r="BL765" s="380"/>
      <c r="BM765" s="403"/>
      <c r="BS765" s="83"/>
      <c r="CA765" s="405"/>
      <c r="CG765" s="83"/>
      <c r="CO765" s="405"/>
      <c r="CU765" s="83"/>
      <c r="DC765" s="405"/>
      <c r="DI765" s="83"/>
      <c r="DQ765" s="405"/>
      <c r="DW765" s="83"/>
      <c r="EE765" s="405"/>
      <c r="EK765" s="83"/>
      <c r="ES765" s="405"/>
      <c r="EY765" s="83"/>
      <c r="FG765" s="405"/>
      <c r="FM765" s="83"/>
      <c r="FU765" s="405"/>
      <c r="GA765" s="83"/>
      <c r="GI765" s="405"/>
      <c r="GO765" s="83"/>
      <c r="GW765" s="405"/>
      <c r="HC765" s="83"/>
      <c r="HK765" s="405"/>
      <c r="HQ765" s="83"/>
      <c r="HY765" s="405"/>
      <c r="IE765" s="83"/>
      <c r="IM765" s="405"/>
      <c r="IS765" s="83"/>
      <c r="JA765" s="405"/>
      <c r="JG765" s="83"/>
      <c r="JO765" s="405"/>
      <c r="JU765" s="83"/>
      <c r="KC765" s="405"/>
      <c r="KI765" s="83"/>
      <c r="KQ765" s="405"/>
      <c r="KW765" s="83"/>
      <c r="LE765" s="405"/>
      <c r="LK765" s="83"/>
      <c r="LS765" s="405"/>
      <c r="LY765" s="83"/>
      <c r="MG765" s="405"/>
      <c r="MM765" s="83"/>
      <c r="MU765" s="405"/>
      <c r="NA765" s="83"/>
    </row>
    <row r="766">
      <c r="A766" s="380"/>
      <c r="B766" s="380"/>
      <c r="C766" s="380"/>
      <c r="D766" s="380"/>
      <c r="E766" s="380"/>
      <c r="F766" s="380"/>
      <c r="G766" s="380"/>
      <c r="H766" s="380"/>
      <c r="I766" s="403"/>
      <c r="J766" s="380"/>
      <c r="K766" s="380"/>
      <c r="L766" s="380"/>
      <c r="M766" s="380"/>
      <c r="N766" s="380"/>
      <c r="O766" s="404"/>
      <c r="P766" s="380"/>
      <c r="Q766" s="380"/>
      <c r="R766" s="380"/>
      <c r="S766" s="380"/>
      <c r="T766" s="380"/>
      <c r="U766" s="380"/>
      <c r="V766" s="380"/>
      <c r="W766" s="403"/>
      <c r="X766" s="380"/>
      <c r="Y766" s="380"/>
      <c r="Z766" s="380"/>
      <c r="AA766" s="380"/>
      <c r="AB766" s="380"/>
      <c r="AC766" s="404"/>
      <c r="AD766" s="380"/>
      <c r="AE766" s="380"/>
      <c r="AF766" s="380"/>
      <c r="AG766" s="380"/>
      <c r="AH766" s="380"/>
      <c r="AI766" s="380"/>
      <c r="AJ766" s="380"/>
      <c r="AK766" s="403"/>
      <c r="AL766" s="380"/>
      <c r="AM766" s="380"/>
      <c r="AN766" s="380"/>
      <c r="AO766" s="380"/>
      <c r="AP766" s="380"/>
      <c r="AQ766" s="404"/>
      <c r="AR766" s="380"/>
      <c r="AS766" s="380"/>
      <c r="AT766" s="380"/>
      <c r="AU766" s="380"/>
      <c r="AV766" s="380"/>
      <c r="AW766" s="380"/>
      <c r="AX766" s="380"/>
      <c r="AY766" s="403"/>
      <c r="AZ766" s="380"/>
      <c r="BA766" s="380"/>
      <c r="BB766" s="380"/>
      <c r="BC766" s="380"/>
      <c r="BD766" s="380"/>
      <c r="BE766" s="404"/>
      <c r="BF766" s="380"/>
      <c r="BG766" s="380"/>
      <c r="BH766" s="380"/>
      <c r="BI766" s="380"/>
      <c r="BJ766" s="380"/>
      <c r="BK766" s="380"/>
      <c r="BL766" s="380"/>
      <c r="BM766" s="403"/>
      <c r="BS766" s="83"/>
      <c r="CA766" s="405"/>
      <c r="CG766" s="83"/>
      <c r="CO766" s="405"/>
      <c r="CU766" s="83"/>
      <c r="DC766" s="405"/>
      <c r="DI766" s="83"/>
      <c r="DQ766" s="405"/>
      <c r="DW766" s="83"/>
      <c r="EE766" s="405"/>
      <c r="EK766" s="83"/>
      <c r="ES766" s="405"/>
      <c r="EY766" s="83"/>
      <c r="FG766" s="405"/>
      <c r="FM766" s="83"/>
      <c r="FU766" s="405"/>
      <c r="GA766" s="83"/>
      <c r="GI766" s="405"/>
      <c r="GO766" s="83"/>
      <c r="GW766" s="405"/>
      <c r="HC766" s="83"/>
      <c r="HK766" s="405"/>
      <c r="HQ766" s="83"/>
      <c r="HY766" s="405"/>
      <c r="IE766" s="83"/>
      <c r="IM766" s="405"/>
      <c r="IS766" s="83"/>
      <c r="JA766" s="405"/>
      <c r="JG766" s="83"/>
      <c r="JO766" s="405"/>
      <c r="JU766" s="83"/>
      <c r="KC766" s="405"/>
      <c r="KI766" s="83"/>
      <c r="KQ766" s="405"/>
      <c r="KW766" s="83"/>
      <c r="LE766" s="405"/>
      <c r="LK766" s="83"/>
      <c r="LS766" s="405"/>
      <c r="LY766" s="83"/>
      <c r="MG766" s="405"/>
      <c r="MM766" s="83"/>
      <c r="MU766" s="405"/>
      <c r="NA766" s="83"/>
    </row>
    <row r="767">
      <c r="A767" s="380"/>
      <c r="B767" s="380"/>
      <c r="C767" s="380"/>
      <c r="D767" s="380"/>
      <c r="E767" s="380"/>
      <c r="F767" s="380"/>
      <c r="G767" s="380"/>
      <c r="H767" s="380"/>
      <c r="I767" s="403"/>
      <c r="J767" s="380"/>
      <c r="K767" s="380"/>
      <c r="L767" s="380"/>
      <c r="M767" s="380"/>
      <c r="N767" s="380"/>
      <c r="O767" s="404"/>
      <c r="P767" s="380"/>
      <c r="Q767" s="380"/>
      <c r="R767" s="380"/>
      <c r="S767" s="380"/>
      <c r="T767" s="380"/>
      <c r="U767" s="380"/>
      <c r="V767" s="380"/>
      <c r="W767" s="403"/>
      <c r="X767" s="380"/>
      <c r="Y767" s="380"/>
      <c r="Z767" s="380"/>
      <c r="AA767" s="380"/>
      <c r="AB767" s="380"/>
      <c r="AC767" s="404"/>
      <c r="AD767" s="380"/>
      <c r="AE767" s="380"/>
      <c r="AF767" s="380"/>
      <c r="AG767" s="380"/>
      <c r="AH767" s="380"/>
      <c r="AI767" s="380"/>
      <c r="AJ767" s="380"/>
      <c r="AK767" s="403"/>
      <c r="AL767" s="380"/>
      <c r="AM767" s="380"/>
      <c r="AN767" s="380"/>
      <c r="AO767" s="380"/>
      <c r="AP767" s="380"/>
      <c r="AQ767" s="404"/>
      <c r="AR767" s="380"/>
      <c r="AS767" s="380"/>
      <c r="AT767" s="380"/>
      <c r="AU767" s="380"/>
      <c r="AV767" s="380"/>
      <c r="AW767" s="380"/>
      <c r="AX767" s="380"/>
      <c r="AY767" s="403"/>
      <c r="AZ767" s="380"/>
      <c r="BA767" s="380"/>
      <c r="BB767" s="380"/>
      <c r="BC767" s="380"/>
      <c r="BD767" s="380"/>
      <c r="BE767" s="404"/>
      <c r="BF767" s="380"/>
      <c r="BG767" s="380"/>
      <c r="BH767" s="380"/>
      <c r="BI767" s="380"/>
      <c r="BJ767" s="380"/>
      <c r="BK767" s="380"/>
      <c r="BL767" s="380"/>
      <c r="BM767" s="403"/>
      <c r="BS767" s="83"/>
      <c r="CA767" s="405"/>
      <c r="CG767" s="83"/>
      <c r="CO767" s="405"/>
      <c r="CU767" s="83"/>
      <c r="DC767" s="405"/>
      <c r="DI767" s="83"/>
      <c r="DQ767" s="405"/>
      <c r="DW767" s="83"/>
      <c r="EE767" s="405"/>
      <c r="EK767" s="83"/>
      <c r="ES767" s="405"/>
      <c r="EY767" s="83"/>
      <c r="FG767" s="405"/>
      <c r="FM767" s="83"/>
      <c r="FU767" s="405"/>
      <c r="GA767" s="83"/>
      <c r="GI767" s="405"/>
      <c r="GO767" s="83"/>
      <c r="GW767" s="405"/>
      <c r="HC767" s="83"/>
      <c r="HK767" s="405"/>
      <c r="HQ767" s="83"/>
      <c r="HY767" s="405"/>
      <c r="IE767" s="83"/>
      <c r="IM767" s="405"/>
      <c r="IS767" s="83"/>
      <c r="JA767" s="405"/>
      <c r="JG767" s="83"/>
      <c r="JO767" s="405"/>
      <c r="JU767" s="83"/>
      <c r="KC767" s="405"/>
      <c r="KI767" s="83"/>
      <c r="KQ767" s="405"/>
      <c r="KW767" s="83"/>
      <c r="LE767" s="405"/>
      <c r="LK767" s="83"/>
      <c r="LS767" s="405"/>
      <c r="LY767" s="83"/>
      <c r="MG767" s="405"/>
      <c r="MM767" s="83"/>
      <c r="MU767" s="405"/>
      <c r="NA767" s="83"/>
    </row>
    <row r="768">
      <c r="A768" s="380"/>
      <c r="B768" s="380"/>
      <c r="C768" s="380"/>
      <c r="D768" s="380"/>
      <c r="E768" s="380"/>
      <c r="F768" s="380"/>
      <c r="G768" s="380"/>
      <c r="H768" s="380"/>
      <c r="I768" s="403"/>
      <c r="J768" s="380"/>
      <c r="K768" s="380"/>
      <c r="L768" s="380"/>
      <c r="M768" s="380"/>
      <c r="N768" s="380"/>
      <c r="O768" s="404"/>
      <c r="P768" s="380"/>
      <c r="Q768" s="380"/>
      <c r="R768" s="380"/>
      <c r="S768" s="380"/>
      <c r="T768" s="380"/>
      <c r="U768" s="380"/>
      <c r="V768" s="380"/>
      <c r="W768" s="403"/>
      <c r="X768" s="380"/>
      <c r="Y768" s="380"/>
      <c r="Z768" s="380"/>
      <c r="AA768" s="380"/>
      <c r="AB768" s="380"/>
      <c r="AC768" s="404"/>
      <c r="AD768" s="380"/>
      <c r="AE768" s="380"/>
      <c r="AF768" s="380"/>
      <c r="AG768" s="380"/>
      <c r="AH768" s="380"/>
      <c r="AI768" s="380"/>
      <c r="AJ768" s="380"/>
      <c r="AK768" s="403"/>
      <c r="AL768" s="380"/>
      <c r="AM768" s="380"/>
      <c r="AN768" s="380"/>
      <c r="AO768" s="380"/>
      <c r="AP768" s="380"/>
      <c r="AQ768" s="404"/>
      <c r="AR768" s="380"/>
      <c r="AS768" s="380"/>
      <c r="AT768" s="380"/>
      <c r="AU768" s="380"/>
      <c r="AV768" s="380"/>
      <c r="AW768" s="380"/>
      <c r="AX768" s="380"/>
      <c r="AY768" s="403"/>
      <c r="AZ768" s="380"/>
      <c r="BA768" s="380"/>
      <c r="BB768" s="380"/>
      <c r="BC768" s="380"/>
      <c r="BD768" s="380"/>
      <c r="BE768" s="404"/>
      <c r="BF768" s="380"/>
      <c r="BG768" s="380"/>
      <c r="BH768" s="380"/>
      <c r="BI768" s="380"/>
      <c r="BJ768" s="380"/>
      <c r="BK768" s="380"/>
      <c r="BL768" s="380"/>
      <c r="BM768" s="403"/>
      <c r="BS768" s="83"/>
      <c r="CA768" s="405"/>
      <c r="CG768" s="83"/>
      <c r="CO768" s="405"/>
      <c r="CU768" s="83"/>
      <c r="DC768" s="405"/>
      <c r="DI768" s="83"/>
      <c r="DQ768" s="405"/>
      <c r="DW768" s="83"/>
      <c r="EE768" s="405"/>
      <c r="EK768" s="83"/>
      <c r="ES768" s="405"/>
      <c r="EY768" s="83"/>
      <c r="FG768" s="405"/>
      <c r="FM768" s="83"/>
      <c r="FU768" s="405"/>
      <c r="GA768" s="83"/>
      <c r="GI768" s="405"/>
      <c r="GO768" s="83"/>
      <c r="GW768" s="405"/>
      <c r="HC768" s="83"/>
      <c r="HK768" s="405"/>
      <c r="HQ768" s="83"/>
      <c r="HY768" s="405"/>
      <c r="IE768" s="83"/>
      <c r="IM768" s="405"/>
      <c r="IS768" s="83"/>
      <c r="JA768" s="405"/>
      <c r="JG768" s="83"/>
      <c r="JO768" s="405"/>
      <c r="JU768" s="83"/>
      <c r="KC768" s="405"/>
      <c r="KI768" s="83"/>
      <c r="KQ768" s="405"/>
      <c r="KW768" s="83"/>
      <c r="LE768" s="405"/>
      <c r="LK768" s="83"/>
      <c r="LS768" s="405"/>
      <c r="LY768" s="83"/>
      <c r="MG768" s="405"/>
      <c r="MM768" s="83"/>
      <c r="MU768" s="405"/>
      <c r="NA768" s="83"/>
    </row>
    <row r="769">
      <c r="A769" s="380"/>
      <c r="B769" s="380"/>
      <c r="C769" s="380"/>
      <c r="D769" s="380"/>
      <c r="E769" s="380"/>
      <c r="F769" s="380"/>
      <c r="G769" s="380"/>
      <c r="H769" s="380"/>
      <c r="I769" s="403"/>
      <c r="J769" s="380"/>
      <c r="K769" s="380"/>
      <c r="L769" s="380"/>
      <c r="M769" s="380"/>
      <c r="N769" s="380"/>
      <c r="O769" s="404"/>
      <c r="P769" s="380"/>
      <c r="Q769" s="380"/>
      <c r="R769" s="380"/>
      <c r="S769" s="380"/>
      <c r="T769" s="380"/>
      <c r="U769" s="380"/>
      <c r="V769" s="380"/>
      <c r="W769" s="403"/>
      <c r="X769" s="380"/>
      <c r="Y769" s="380"/>
      <c r="Z769" s="380"/>
      <c r="AA769" s="380"/>
      <c r="AB769" s="380"/>
      <c r="AC769" s="404"/>
      <c r="AD769" s="380"/>
      <c r="AE769" s="380"/>
      <c r="AF769" s="380"/>
      <c r="AG769" s="380"/>
      <c r="AH769" s="380"/>
      <c r="AI769" s="380"/>
      <c r="AJ769" s="380"/>
      <c r="AK769" s="403"/>
      <c r="AL769" s="380"/>
      <c r="AM769" s="380"/>
      <c r="AN769" s="380"/>
      <c r="AO769" s="380"/>
      <c r="AP769" s="380"/>
      <c r="AQ769" s="404"/>
      <c r="AR769" s="380"/>
      <c r="AS769" s="380"/>
      <c r="AT769" s="380"/>
      <c r="AU769" s="380"/>
      <c r="AV769" s="380"/>
      <c r="AW769" s="380"/>
      <c r="AX769" s="380"/>
      <c r="AY769" s="403"/>
      <c r="AZ769" s="380"/>
      <c r="BA769" s="380"/>
      <c r="BB769" s="380"/>
      <c r="BC769" s="380"/>
      <c r="BD769" s="380"/>
      <c r="BE769" s="404"/>
      <c r="BF769" s="380"/>
      <c r="BG769" s="380"/>
      <c r="BH769" s="380"/>
      <c r="BI769" s="380"/>
      <c r="BJ769" s="380"/>
      <c r="BK769" s="380"/>
      <c r="BL769" s="380"/>
      <c r="BM769" s="403"/>
      <c r="BS769" s="83"/>
      <c r="CA769" s="405"/>
      <c r="CG769" s="83"/>
      <c r="CO769" s="405"/>
      <c r="CU769" s="83"/>
      <c r="DC769" s="405"/>
      <c r="DI769" s="83"/>
      <c r="DQ769" s="405"/>
      <c r="DW769" s="83"/>
      <c r="EE769" s="405"/>
      <c r="EK769" s="83"/>
      <c r="ES769" s="405"/>
      <c r="EY769" s="83"/>
      <c r="FG769" s="405"/>
      <c r="FM769" s="83"/>
      <c r="FU769" s="405"/>
      <c r="GA769" s="83"/>
      <c r="GI769" s="405"/>
      <c r="GO769" s="83"/>
      <c r="GW769" s="405"/>
      <c r="HC769" s="83"/>
      <c r="HK769" s="405"/>
      <c r="HQ769" s="83"/>
      <c r="HY769" s="405"/>
      <c r="IE769" s="83"/>
      <c r="IM769" s="405"/>
      <c r="IS769" s="83"/>
      <c r="JA769" s="405"/>
      <c r="JG769" s="83"/>
      <c r="JO769" s="405"/>
      <c r="JU769" s="83"/>
      <c r="KC769" s="405"/>
      <c r="KI769" s="83"/>
      <c r="KQ769" s="405"/>
      <c r="KW769" s="83"/>
      <c r="LE769" s="405"/>
      <c r="LK769" s="83"/>
      <c r="LS769" s="405"/>
      <c r="LY769" s="83"/>
      <c r="MG769" s="405"/>
      <c r="MM769" s="83"/>
      <c r="MU769" s="405"/>
      <c r="NA769" s="83"/>
    </row>
    <row r="770">
      <c r="A770" s="380"/>
      <c r="B770" s="380"/>
      <c r="C770" s="380"/>
      <c r="D770" s="380"/>
      <c r="E770" s="380"/>
      <c r="F770" s="380"/>
      <c r="G770" s="380"/>
      <c r="H770" s="380"/>
      <c r="I770" s="403"/>
      <c r="J770" s="380"/>
      <c r="K770" s="380"/>
      <c r="L770" s="380"/>
      <c r="M770" s="380"/>
      <c r="N770" s="380"/>
      <c r="O770" s="404"/>
      <c r="P770" s="380"/>
      <c r="Q770" s="380"/>
      <c r="R770" s="380"/>
      <c r="S770" s="380"/>
      <c r="T770" s="380"/>
      <c r="U770" s="380"/>
      <c r="V770" s="380"/>
      <c r="W770" s="403"/>
      <c r="X770" s="380"/>
      <c r="Y770" s="380"/>
      <c r="Z770" s="380"/>
      <c r="AA770" s="380"/>
      <c r="AB770" s="380"/>
      <c r="AC770" s="404"/>
      <c r="AD770" s="380"/>
      <c r="AE770" s="380"/>
      <c r="AF770" s="380"/>
      <c r="AG770" s="380"/>
      <c r="AH770" s="380"/>
      <c r="AI770" s="380"/>
      <c r="AJ770" s="380"/>
      <c r="AK770" s="403"/>
      <c r="AL770" s="380"/>
      <c r="AM770" s="380"/>
      <c r="AN770" s="380"/>
      <c r="AO770" s="380"/>
      <c r="AP770" s="380"/>
      <c r="AQ770" s="404"/>
      <c r="AR770" s="380"/>
      <c r="AS770" s="380"/>
      <c r="AT770" s="380"/>
      <c r="AU770" s="380"/>
      <c r="AV770" s="380"/>
      <c r="AW770" s="380"/>
      <c r="AX770" s="380"/>
      <c r="AY770" s="403"/>
      <c r="AZ770" s="380"/>
      <c r="BA770" s="380"/>
      <c r="BB770" s="380"/>
      <c r="BC770" s="380"/>
      <c r="BD770" s="380"/>
      <c r="BE770" s="404"/>
      <c r="BF770" s="380"/>
      <c r="BG770" s="380"/>
      <c r="BH770" s="380"/>
      <c r="BI770" s="380"/>
      <c r="BJ770" s="380"/>
      <c r="BK770" s="380"/>
      <c r="BL770" s="380"/>
      <c r="BM770" s="403"/>
      <c r="BS770" s="83"/>
      <c r="CA770" s="405"/>
      <c r="CG770" s="83"/>
      <c r="CO770" s="405"/>
      <c r="CU770" s="83"/>
      <c r="DC770" s="405"/>
      <c r="DI770" s="83"/>
      <c r="DQ770" s="405"/>
      <c r="DW770" s="83"/>
      <c r="EE770" s="405"/>
      <c r="EK770" s="83"/>
      <c r="ES770" s="405"/>
      <c r="EY770" s="83"/>
      <c r="FG770" s="405"/>
      <c r="FM770" s="83"/>
      <c r="FU770" s="405"/>
      <c r="GA770" s="83"/>
      <c r="GI770" s="405"/>
      <c r="GO770" s="83"/>
      <c r="GW770" s="405"/>
      <c r="HC770" s="83"/>
      <c r="HK770" s="405"/>
      <c r="HQ770" s="83"/>
      <c r="HY770" s="405"/>
      <c r="IE770" s="83"/>
      <c r="IM770" s="405"/>
      <c r="IS770" s="83"/>
      <c r="JA770" s="405"/>
      <c r="JG770" s="83"/>
      <c r="JO770" s="405"/>
      <c r="JU770" s="83"/>
      <c r="KC770" s="405"/>
      <c r="KI770" s="83"/>
      <c r="KQ770" s="405"/>
      <c r="KW770" s="83"/>
      <c r="LE770" s="405"/>
      <c r="LK770" s="83"/>
      <c r="LS770" s="405"/>
      <c r="LY770" s="83"/>
      <c r="MG770" s="405"/>
      <c r="MM770" s="83"/>
      <c r="MU770" s="405"/>
      <c r="NA770" s="83"/>
    </row>
    <row r="771">
      <c r="A771" s="380"/>
      <c r="B771" s="380"/>
      <c r="C771" s="380"/>
      <c r="D771" s="380"/>
      <c r="E771" s="380"/>
      <c r="F771" s="380"/>
      <c r="G771" s="380"/>
      <c r="H771" s="380"/>
      <c r="I771" s="403"/>
      <c r="J771" s="380"/>
      <c r="K771" s="380"/>
      <c r="L771" s="380"/>
      <c r="M771" s="380"/>
      <c r="N771" s="380"/>
      <c r="O771" s="404"/>
      <c r="P771" s="380"/>
      <c r="Q771" s="380"/>
      <c r="R771" s="380"/>
      <c r="S771" s="380"/>
      <c r="T771" s="380"/>
      <c r="U771" s="380"/>
      <c r="V771" s="380"/>
      <c r="W771" s="403"/>
      <c r="X771" s="380"/>
      <c r="Y771" s="380"/>
      <c r="Z771" s="380"/>
      <c r="AA771" s="380"/>
      <c r="AB771" s="380"/>
      <c r="AC771" s="404"/>
      <c r="AD771" s="380"/>
      <c r="AE771" s="380"/>
      <c r="AF771" s="380"/>
      <c r="AG771" s="380"/>
      <c r="AH771" s="380"/>
      <c r="AI771" s="380"/>
      <c r="AJ771" s="380"/>
      <c r="AK771" s="403"/>
      <c r="AL771" s="380"/>
      <c r="AM771" s="380"/>
      <c r="AN771" s="380"/>
      <c r="AO771" s="380"/>
      <c r="AP771" s="380"/>
      <c r="AQ771" s="404"/>
      <c r="AR771" s="380"/>
      <c r="AS771" s="380"/>
      <c r="AT771" s="380"/>
      <c r="AU771" s="380"/>
      <c r="AV771" s="380"/>
      <c r="AW771" s="380"/>
      <c r="AX771" s="380"/>
      <c r="AY771" s="403"/>
      <c r="AZ771" s="380"/>
      <c r="BA771" s="380"/>
      <c r="BB771" s="380"/>
      <c r="BC771" s="380"/>
      <c r="BD771" s="380"/>
      <c r="BE771" s="404"/>
      <c r="BF771" s="380"/>
      <c r="BG771" s="380"/>
      <c r="BH771" s="380"/>
      <c r="BI771" s="380"/>
      <c r="BJ771" s="380"/>
      <c r="BK771" s="380"/>
      <c r="BL771" s="380"/>
      <c r="BM771" s="403"/>
      <c r="BS771" s="83"/>
      <c r="CA771" s="405"/>
      <c r="CG771" s="83"/>
      <c r="CO771" s="405"/>
      <c r="CU771" s="83"/>
      <c r="DC771" s="405"/>
      <c r="DI771" s="83"/>
      <c r="DQ771" s="405"/>
      <c r="DW771" s="83"/>
      <c r="EE771" s="405"/>
      <c r="EK771" s="83"/>
      <c r="ES771" s="405"/>
      <c r="EY771" s="83"/>
      <c r="FG771" s="405"/>
      <c r="FM771" s="83"/>
      <c r="FU771" s="405"/>
      <c r="GA771" s="83"/>
      <c r="GI771" s="405"/>
      <c r="GO771" s="83"/>
      <c r="GW771" s="405"/>
      <c r="HC771" s="83"/>
      <c r="HK771" s="405"/>
      <c r="HQ771" s="83"/>
      <c r="HY771" s="405"/>
      <c r="IE771" s="83"/>
      <c r="IM771" s="405"/>
      <c r="IS771" s="83"/>
      <c r="JA771" s="405"/>
      <c r="JG771" s="83"/>
      <c r="JO771" s="405"/>
      <c r="JU771" s="83"/>
      <c r="KC771" s="405"/>
      <c r="KI771" s="83"/>
      <c r="KQ771" s="405"/>
      <c r="KW771" s="83"/>
      <c r="LE771" s="405"/>
      <c r="LK771" s="83"/>
      <c r="LS771" s="405"/>
      <c r="LY771" s="83"/>
      <c r="MG771" s="405"/>
      <c r="MM771" s="83"/>
      <c r="MU771" s="405"/>
      <c r="NA771" s="83"/>
    </row>
    <row r="772">
      <c r="A772" s="380"/>
      <c r="B772" s="380"/>
      <c r="C772" s="380"/>
      <c r="D772" s="380"/>
      <c r="E772" s="380"/>
      <c r="F772" s="380"/>
      <c r="G772" s="380"/>
      <c r="H772" s="380"/>
      <c r="I772" s="403"/>
      <c r="J772" s="380"/>
      <c r="K772" s="380"/>
      <c r="L772" s="380"/>
      <c r="M772" s="380"/>
      <c r="N772" s="380"/>
      <c r="O772" s="404"/>
      <c r="P772" s="380"/>
      <c r="Q772" s="380"/>
      <c r="R772" s="380"/>
      <c r="S772" s="380"/>
      <c r="T772" s="380"/>
      <c r="U772" s="380"/>
      <c r="V772" s="380"/>
      <c r="W772" s="403"/>
      <c r="X772" s="380"/>
      <c r="Y772" s="380"/>
      <c r="Z772" s="380"/>
      <c r="AA772" s="380"/>
      <c r="AB772" s="380"/>
      <c r="AC772" s="404"/>
      <c r="AD772" s="380"/>
      <c r="AE772" s="380"/>
      <c r="AF772" s="380"/>
      <c r="AG772" s="380"/>
      <c r="AH772" s="380"/>
      <c r="AI772" s="380"/>
      <c r="AJ772" s="380"/>
      <c r="AK772" s="403"/>
      <c r="AL772" s="380"/>
      <c r="AM772" s="380"/>
      <c r="AN772" s="380"/>
      <c r="AO772" s="380"/>
      <c r="AP772" s="380"/>
      <c r="AQ772" s="404"/>
      <c r="AR772" s="380"/>
      <c r="AS772" s="380"/>
      <c r="AT772" s="380"/>
      <c r="AU772" s="380"/>
      <c r="AV772" s="380"/>
      <c r="AW772" s="380"/>
      <c r="AX772" s="380"/>
      <c r="AY772" s="403"/>
      <c r="AZ772" s="380"/>
      <c r="BA772" s="380"/>
      <c r="BB772" s="380"/>
      <c r="BC772" s="380"/>
      <c r="BD772" s="380"/>
      <c r="BE772" s="404"/>
      <c r="BF772" s="380"/>
      <c r="BG772" s="380"/>
      <c r="BH772" s="380"/>
      <c r="BI772" s="380"/>
      <c r="BJ772" s="380"/>
      <c r="BK772" s="380"/>
      <c r="BL772" s="380"/>
      <c r="BM772" s="403"/>
      <c r="BS772" s="83"/>
      <c r="CA772" s="405"/>
      <c r="CG772" s="83"/>
      <c r="CO772" s="405"/>
      <c r="CU772" s="83"/>
      <c r="DC772" s="405"/>
      <c r="DI772" s="83"/>
      <c r="DQ772" s="405"/>
      <c r="DW772" s="83"/>
      <c r="EE772" s="405"/>
      <c r="EK772" s="83"/>
      <c r="ES772" s="405"/>
      <c r="EY772" s="83"/>
      <c r="FG772" s="405"/>
      <c r="FM772" s="83"/>
      <c r="FU772" s="405"/>
      <c r="GA772" s="83"/>
      <c r="GI772" s="405"/>
      <c r="GO772" s="83"/>
      <c r="GW772" s="405"/>
      <c r="HC772" s="83"/>
      <c r="HK772" s="405"/>
      <c r="HQ772" s="83"/>
      <c r="HY772" s="405"/>
      <c r="IE772" s="83"/>
      <c r="IM772" s="405"/>
      <c r="IS772" s="83"/>
      <c r="JA772" s="405"/>
      <c r="JG772" s="83"/>
      <c r="JO772" s="405"/>
      <c r="JU772" s="83"/>
      <c r="KC772" s="405"/>
      <c r="KI772" s="83"/>
      <c r="KQ772" s="405"/>
      <c r="KW772" s="83"/>
      <c r="LE772" s="405"/>
      <c r="LK772" s="83"/>
      <c r="LS772" s="405"/>
      <c r="LY772" s="83"/>
      <c r="MG772" s="405"/>
      <c r="MM772" s="83"/>
      <c r="MU772" s="405"/>
      <c r="NA772" s="83"/>
    </row>
    <row r="773">
      <c r="A773" s="380"/>
      <c r="B773" s="380"/>
      <c r="C773" s="380"/>
      <c r="D773" s="380"/>
      <c r="E773" s="380"/>
      <c r="F773" s="380"/>
      <c r="G773" s="380"/>
      <c r="H773" s="380"/>
      <c r="I773" s="403"/>
      <c r="J773" s="380"/>
      <c r="K773" s="380"/>
      <c r="L773" s="380"/>
      <c r="M773" s="380"/>
      <c r="N773" s="380"/>
      <c r="O773" s="404"/>
      <c r="P773" s="380"/>
      <c r="Q773" s="380"/>
      <c r="R773" s="380"/>
      <c r="S773" s="380"/>
      <c r="T773" s="380"/>
      <c r="U773" s="380"/>
      <c r="V773" s="380"/>
      <c r="W773" s="403"/>
      <c r="X773" s="380"/>
      <c r="Y773" s="380"/>
      <c r="Z773" s="380"/>
      <c r="AA773" s="380"/>
      <c r="AB773" s="380"/>
      <c r="AC773" s="404"/>
      <c r="AD773" s="380"/>
      <c r="AE773" s="380"/>
      <c r="AF773" s="380"/>
      <c r="AG773" s="380"/>
      <c r="AH773" s="380"/>
      <c r="AI773" s="380"/>
      <c r="AJ773" s="380"/>
      <c r="AK773" s="403"/>
      <c r="AL773" s="380"/>
      <c r="AM773" s="380"/>
      <c r="AN773" s="380"/>
      <c r="AO773" s="380"/>
      <c r="AP773" s="380"/>
      <c r="AQ773" s="404"/>
      <c r="AR773" s="380"/>
      <c r="AS773" s="380"/>
      <c r="AT773" s="380"/>
      <c r="AU773" s="380"/>
      <c r="AV773" s="380"/>
      <c r="AW773" s="380"/>
      <c r="AX773" s="380"/>
      <c r="AY773" s="403"/>
      <c r="AZ773" s="380"/>
      <c r="BA773" s="380"/>
      <c r="BB773" s="380"/>
      <c r="BC773" s="380"/>
      <c r="BD773" s="380"/>
      <c r="BE773" s="404"/>
      <c r="BF773" s="380"/>
      <c r="BG773" s="380"/>
      <c r="BH773" s="380"/>
      <c r="BI773" s="380"/>
      <c r="BJ773" s="380"/>
      <c r="BK773" s="380"/>
      <c r="BL773" s="380"/>
      <c r="BM773" s="403"/>
      <c r="BS773" s="83"/>
      <c r="CA773" s="405"/>
      <c r="CG773" s="83"/>
      <c r="CO773" s="405"/>
      <c r="CU773" s="83"/>
      <c r="DC773" s="405"/>
      <c r="DI773" s="83"/>
      <c r="DQ773" s="405"/>
      <c r="DW773" s="83"/>
      <c r="EE773" s="405"/>
      <c r="EK773" s="83"/>
      <c r="ES773" s="405"/>
      <c r="EY773" s="83"/>
      <c r="FG773" s="405"/>
      <c r="FM773" s="83"/>
      <c r="FU773" s="405"/>
      <c r="GA773" s="83"/>
      <c r="GI773" s="405"/>
      <c r="GO773" s="83"/>
      <c r="GW773" s="405"/>
      <c r="HC773" s="83"/>
      <c r="HK773" s="405"/>
      <c r="HQ773" s="83"/>
      <c r="HY773" s="405"/>
      <c r="IE773" s="83"/>
      <c r="IM773" s="405"/>
      <c r="IS773" s="83"/>
      <c r="JA773" s="405"/>
      <c r="JG773" s="83"/>
      <c r="JO773" s="405"/>
      <c r="JU773" s="83"/>
      <c r="KC773" s="405"/>
      <c r="KI773" s="83"/>
      <c r="KQ773" s="405"/>
      <c r="KW773" s="83"/>
      <c r="LE773" s="405"/>
      <c r="LK773" s="83"/>
      <c r="LS773" s="405"/>
      <c r="LY773" s="83"/>
      <c r="MG773" s="405"/>
      <c r="MM773" s="83"/>
      <c r="MU773" s="405"/>
      <c r="NA773" s="83"/>
    </row>
    <row r="774">
      <c r="A774" s="380"/>
      <c r="B774" s="380"/>
      <c r="C774" s="380"/>
      <c r="D774" s="380"/>
      <c r="E774" s="380"/>
      <c r="F774" s="380"/>
      <c r="G774" s="380"/>
      <c r="H774" s="380"/>
      <c r="I774" s="403"/>
      <c r="J774" s="380"/>
      <c r="K774" s="380"/>
      <c r="L774" s="380"/>
      <c r="M774" s="380"/>
      <c r="N774" s="380"/>
      <c r="O774" s="404"/>
      <c r="P774" s="380"/>
      <c r="Q774" s="380"/>
      <c r="R774" s="380"/>
      <c r="S774" s="380"/>
      <c r="T774" s="380"/>
      <c r="U774" s="380"/>
      <c r="V774" s="380"/>
      <c r="W774" s="403"/>
      <c r="X774" s="380"/>
      <c r="Y774" s="380"/>
      <c r="Z774" s="380"/>
      <c r="AA774" s="380"/>
      <c r="AB774" s="380"/>
      <c r="AC774" s="404"/>
      <c r="AD774" s="380"/>
      <c r="AE774" s="380"/>
      <c r="AF774" s="380"/>
      <c r="AG774" s="380"/>
      <c r="AH774" s="380"/>
      <c r="AI774" s="380"/>
      <c r="AJ774" s="380"/>
      <c r="AK774" s="403"/>
      <c r="AL774" s="380"/>
      <c r="AM774" s="380"/>
      <c r="AN774" s="380"/>
      <c r="AO774" s="380"/>
      <c r="AP774" s="380"/>
      <c r="AQ774" s="404"/>
      <c r="AR774" s="380"/>
      <c r="AS774" s="380"/>
      <c r="AT774" s="380"/>
      <c r="AU774" s="380"/>
      <c r="AV774" s="380"/>
      <c r="AW774" s="380"/>
      <c r="AX774" s="380"/>
      <c r="AY774" s="403"/>
      <c r="AZ774" s="380"/>
      <c r="BA774" s="380"/>
      <c r="BB774" s="380"/>
      <c r="BC774" s="380"/>
      <c r="BD774" s="380"/>
      <c r="BE774" s="404"/>
      <c r="BF774" s="380"/>
      <c r="BG774" s="380"/>
      <c r="BH774" s="380"/>
      <c r="BI774" s="380"/>
      <c r="BJ774" s="380"/>
      <c r="BK774" s="380"/>
      <c r="BL774" s="380"/>
      <c r="BM774" s="403"/>
      <c r="BS774" s="83"/>
      <c r="CA774" s="405"/>
      <c r="CG774" s="83"/>
      <c r="CO774" s="405"/>
      <c r="CU774" s="83"/>
      <c r="DC774" s="405"/>
      <c r="DI774" s="83"/>
      <c r="DQ774" s="405"/>
      <c r="DW774" s="83"/>
      <c r="EE774" s="405"/>
      <c r="EK774" s="83"/>
      <c r="ES774" s="405"/>
      <c r="EY774" s="83"/>
      <c r="FG774" s="405"/>
      <c r="FM774" s="83"/>
      <c r="FU774" s="405"/>
      <c r="GA774" s="83"/>
      <c r="GI774" s="405"/>
      <c r="GO774" s="83"/>
      <c r="GW774" s="405"/>
      <c r="HC774" s="83"/>
      <c r="HK774" s="405"/>
      <c r="HQ774" s="83"/>
      <c r="HY774" s="405"/>
      <c r="IE774" s="83"/>
      <c r="IM774" s="405"/>
      <c r="IS774" s="83"/>
      <c r="JA774" s="405"/>
      <c r="JG774" s="83"/>
      <c r="JO774" s="405"/>
      <c r="JU774" s="83"/>
      <c r="KC774" s="405"/>
      <c r="KI774" s="83"/>
      <c r="KQ774" s="405"/>
      <c r="KW774" s="83"/>
      <c r="LE774" s="405"/>
      <c r="LK774" s="83"/>
      <c r="LS774" s="405"/>
      <c r="LY774" s="83"/>
      <c r="MG774" s="405"/>
      <c r="MM774" s="83"/>
      <c r="MU774" s="405"/>
      <c r="NA774" s="83"/>
    </row>
    <row r="775">
      <c r="A775" s="380"/>
      <c r="B775" s="380"/>
      <c r="C775" s="380"/>
      <c r="D775" s="380"/>
      <c r="E775" s="380"/>
      <c r="F775" s="380"/>
      <c r="G775" s="380"/>
      <c r="H775" s="380"/>
      <c r="I775" s="403"/>
      <c r="J775" s="380"/>
      <c r="K775" s="380"/>
      <c r="L775" s="380"/>
      <c r="M775" s="380"/>
      <c r="N775" s="380"/>
      <c r="O775" s="404"/>
      <c r="P775" s="380"/>
      <c r="Q775" s="380"/>
      <c r="R775" s="380"/>
      <c r="S775" s="380"/>
      <c r="T775" s="380"/>
      <c r="U775" s="380"/>
      <c r="V775" s="380"/>
      <c r="W775" s="403"/>
      <c r="X775" s="380"/>
      <c r="Y775" s="380"/>
      <c r="Z775" s="380"/>
      <c r="AA775" s="380"/>
      <c r="AB775" s="380"/>
      <c r="AC775" s="404"/>
      <c r="AD775" s="380"/>
      <c r="AE775" s="380"/>
      <c r="AF775" s="380"/>
      <c r="AG775" s="380"/>
      <c r="AH775" s="380"/>
      <c r="AI775" s="380"/>
      <c r="AJ775" s="380"/>
      <c r="AK775" s="403"/>
      <c r="AL775" s="380"/>
      <c r="AM775" s="380"/>
      <c r="AN775" s="380"/>
      <c r="AO775" s="380"/>
      <c r="AP775" s="380"/>
      <c r="AQ775" s="404"/>
      <c r="AR775" s="380"/>
      <c r="AS775" s="380"/>
      <c r="AT775" s="380"/>
      <c r="AU775" s="380"/>
      <c r="AV775" s="380"/>
      <c r="AW775" s="380"/>
      <c r="AX775" s="380"/>
      <c r="AY775" s="403"/>
      <c r="AZ775" s="380"/>
      <c r="BA775" s="380"/>
      <c r="BB775" s="380"/>
      <c r="BC775" s="380"/>
      <c r="BD775" s="380"/>
      <c r="BE775" s="404"/>
      <c r="BF775" s="380"/>
      <c r="BG775" s="380"/>
      <c r="BH775" s="380"/>
      <c r="BI775" s="380"/>
      <c r="BJ775" s="380"/>
      <c r="BK775" s="380"/>
      <c r="BL775" s="380"/>
      <c r="BM775" s="403"/>
      <c r="BS775" s="83"/>
      <c r="CA775" s="405"/>
      <c r="CG775" s="83"/>
      <c r="CO775" s="405"/>
      <c r="CU775" s="83"/>
      <c r="DC775" s="405"/>
      <c r="DI775" s="83"/>
      <c r="DQ775" s="405"/>
      <c r="DW775" s="83"/>
      <c r="EE775" s="405"/>
      <c r="EK775" s="83"/>
      <c r="ES775" s="405"/>
      <c r="EY775" s="83"/>
      <c r="FG775" s="405"/>
      <c r="FM775" s="83"/>
      <c r="FU775" s="405"/>
      <c r="GA775" s="83"/>
      <c r="GI775" s="405"/>
      <c r="GO775" s="83"/>
      <c r="GW775" s="405"/>
      <c r="HC775" s="83"/>
      <c r="HK775" s="405"/>
      <c r="HQ775" s="83"/>
      <c r="HY775" s="405"/>
      <c r="IE775" s="83"/>
      <c r="IM775" s="405"/>
      <c r="IS775" s="83"/>
      <c r="JA775" s="405"/>
      <c r="JG775" s="83"/>
      <c r="JO775" s="405"/>
      <c r="JU775" s="83"/>
      <c r="KC775" s="405"/>
      <c r="KI775" s="83"/>
      <c r="KQ775" s="405"/>
      <c r="KW775" s="83"/>
      <c r="LE775" s="405"/>
      <c r="LK775" s="83"/>
      <c r="LS775" s="405"/>
      <c r="LY775" s="83"/>
      <c r="MG775" s="405"/>
      <c r="MM775" s="83"/>
      <c r="MU775" s="405"/>
      <c r="NA775" s="83"/>
    </row>
    <row r="776">
      <c r="A776" s="380"/>
      <c r="B776" s="380"/>
      <c r="C776" s="380"/>
      <c r="D776" s="380"/>
      <c r="E776" s="380"/>
      <c r="F776" s="380"/>
      <c r="G776" s="380"/>
      <c r="H776" s="380"/>
      <c r="I776" s="403"/>
      <c r="J776" s="380"/>
      <c r="K776" s="380"/>
      <c r="L776" s="380"/>
      <c r="M776" s="380"/>
      <c r="N776" s="380"/>
      <c r="O776" s="404"/>
      <c r="P776" s="380"/>
      <c r="Q776" s="380"/>
      <c r="R776" s="380"/>
      <c r="S776" s="380"/>
      <c r="T776" s="380"/>
      <c r="U776" s="380"/>
      <c r="V776" s="380"/>
      <c r="W776" s="403"/>
      <c r="X776" s="380"/>
      <c r="Y776" s="380"/>
      <c r="Z776" s="380"/>
      <c r="AA776" s="380"/>
      <c r="AB776" s="380"/>
      <c r="AC776" s="404"/>
      <c r="AD776" s="380"/>
      <c r="AE776" s="380"/>
      <c r="AF776" s="380"/>
      <c r="AG776" s="380"/>
      <c r="AH776" s="380"/>
      <c r="AI776" s="380"/>
      <c r="AJ776" s="380"/>
      <c r="AK776" s="403"/>
      <c r="AL776" s="380"/>
      <c r="AM776" s="380"/>
      <c r="AN776" s="380"/>
      <c r="AO776" s="380"/>
      <c r="AP776" s="380"/>
      <c r="AQ776" s="404"/>
      <c r="AR776" s="380"/>
      <c r="AS776" s="380"/>
      <c r="AT776" s="380"/>
      <c r="AU776" s="380"/>
      <c r="AV776" s="380"/>
      <c r="AW776" s="380"/>
      <c r="AX776" s="380"/>
      <c r="AY776" s="403"/>
      <c r="AZ776" s="380"/>
      <c r="BA776" s="380"/>
      <c r="BB776" s="380"/>
      <c r="BC776" s="380"/>
      <c r="BD776" s="380"/>
      <c r="BE776" s="404"/>
      <c r="BF776" s="380"/>
      <c r="BG776" s="380"/>
      <c r="BH776" s="380"/>
      <c r="BI776" s="380"/>
      <c r="BJ776" s="380"/>
      <c r="BK776" s="380"/>
      <c r="BL776" s="380"/>
      <c r="BM776" s="403"/>
      <c r="BS776" s="83"/>
      <c r="CA776" s="405"/>
      <c r="CG776" s="83"/>
      <c r="CO776" s="405"/>
      <c r="CU776" s="83"/>
      <c r="DC776" s="405"/>
      <c r="DI776" s="83"/>
      <c r="DQ776" s="405"/>
      <c r="DW776" s="83"/>
      <c r="EE776" s="405"/>
      <c r="EK776" s="83"/>
      <c r="ES776" s="405"/>
      <c r="EY776" s="83"/>
      <c r="FG776" s="405"/>
      <c r="FM776" s="83"/>
      <c r="FU776" s="405"/>
      <c r="GA776" s="83"/>
      <c r="GI776" s="405"/>
      <c r="GO776" s="83"/>
      <c r="GW776" s="405"/>
      <c r="HC776" s="83"/>
      <c r="HK776" s="405"/>
      <c r="HQ776" s="83"/>
      <c r="HY776" s="405"/>
      <c r="IE776" s="83"/>
      <c r="IM776" s="405"/>
      <c r="IS776" s="83"/>
      <c r="JA776" s="405"/>
      <c r="JG776" s="83"/>
      <c r="JO776" s="405"/>
      <c r="JU776" s="83"/>
      <c r="KC776" s="405"/>
      <c r="KI776" s="83"/>
      <c r="KQ776" s="405"/>
      <c r="KW776" s="83"/>
      <c r="LE776" s="405"/>
      <c r="LK776" s="83"/>
      <c r="LS776" s="405"/>
      <c r="LY776" s="83"/>
      <c r="MG776" s="405"/>
      <c r="MM776" s="83"/>
      <c r="MU776" s="405"/>
      <c r="NA776" s="83"/>
    </row>
    <row r="777">
      <c r="A777" s="380"/>
      <c r="B777" s="380"/>
      <c r="C777" s="380"/>
      <c r="D777" s="380"/>
      <c r="E777" s="380"/>
      <c r="F777" s="380"/>
      <c r="G777" s="380"/>
      <c r="H777" s="380"/>
      <c r="I777" s="403"/>
      <c r="J777" s="380"/>
      <c r="K777" s="380"/>
      <c r="L777" s="380"/>
      <c r="M777" s="380"/>
      <c r="N777" s="380"/>
      <c r="O777" s="404"/>
      <c r="P777" s="380"/>
      <c r="Q777" s="380"/>
      <c r="R777" s="380"/>
      <c r="S777" s="380"/>
      <c r="T777" s="380"/>
      <c r="U777" s="380"/>
      <c r="V777" s="380"/>
      <c r="W777" s="403"/>
      <c r="X777" s="380"/>
      <c r="Y777" s="380"/>
      <c r="Z777" s="380"/>
      <c r="AA777" s="380"/>
      <c r="AB777" s="380"/>
      <c r="AC777" s="404"/>
      <c r="AD777" s="380"/>
      <c r="AE777" s="380"/>
      <c r="AF777" s="380"/>
      <c r="AG777" s="380"/>
      <c r="AH777" s="380"/>
      <c r="AI777" s="380"/>
      <c r="AJ777" s="380"/>
      <c r="AK777" s="403"/>
      <c r="AL777" s="380"/>
      <c r="AM777" s="380"/>
      <c r="AN777" s="380"/>
      <c r="AO777" s="380"/>
      <c r="AP777" s="380"/>
      <c r="AQ777" s="404"/>
      <c r="AR777" s="380"/>
      <c r="AS777" s="380"/>
      <c r="AT777" s="380"/>
      <c r="AU777" s="380"/>
      <c r="AV777" s="380"/>
      <c r="AW777" s="380"/>
      <c r="AX777" s="380"/>
      <c r="AY777" s="403"/>
      <c r="AZ777" s="380"/>
      <c r="BA777" s="380"/>
      <c r="BB777" s="380"/>
      <c r="BC777" s="380"/>
      <c r="BD777" s="380"/>
      <c r="BE777" s="404"/>
      <c r="BF777" s="380"/>
      <c r="BG777" s="380"/>
      <c r="BH777" s="380"/>
      <c r="BI777" s="380"/>
      <c r="BJ777" s="380"/>
      <c r="BK777" s="380"/>
      <c r="BL777" s="380"/>
      <c r="BM777" s="403"/>
      <c r="BS777" s="83"/>
      <c r="CA777" s="405"/>
      <c r="CG777" s="83"/>
      <c r="CO777" s="405"/>
      <c r="CU777" s="83"/>
      <c r="DC777" s="405"/>
      <c r="DI777" s="83"/>
      <c r="DQ777" s="405"/>
      <c r="DW777" s="83"/>
      <c r="EE777" s="405"/>
      <c r="EK777" s="83"/>
      <c r="ES777" s="405"/>
      <c r="EY777" s="83"/>
      <c r="FG777" s="405"/>
      <c r="FM777" s="83"/>
      <c r="FU777" s="405"/>
      <c r="GA777" s="83"/>
      <c r="GI777" s="405"/>
      <c r="GO777" s="83"/>
      <c r="GW777" s="405"/>
      <c r="HC777" s="83"/>
      <c r="HK777" s="405"/>
      <c r="HQ777" s="83"/>
      <c r="HY777" s="405"/>
      <c r="IE777" s="83"/>
      <c r="IM777" s="405"/>
      <c r="IS777" s="83"/>
      <c r="JA777" s="405"/>
      <c r="JG777" s="83"/>
      <c r="JO777" s="405"/>
      <c r="JU777" s="83"/>
      <c r="KC777" s="405"/>
      <c r="KI777" s="83"/>
      <c r="KQ777" s="405"/>
      <c r="KW777" s="83"/>
      <c r="LE777" s="405"/>
      <c r="LK777" s="83"/>
      <c r="LS777" s="405"/>
      <c r="LY777" s="83"/>
      <c r="MG777" s="405"/>
      <c r="MM777" s="83"/>
      <c r="MU777" s="405"/>
      <c r="NA777" s="83"/>
    </row>
    <row r="778">
      <c r="A778" s="380"/>
      <c r="B778" s="380"/>
      <c r="C778" s="380"/>
      <c r="D778" s="380"/>
      <c r="E778" s="380"/>
      <c r="F778" s="380"/>
      <c r="G778" s="380"/>
      <c r="H778" s="380"/>
      <c r="I778" s="403"/>
      <c r="J778" s="380"/>
      <c r="K778" s="380"/>
      <c r="L778" s="380"/>
      <c r="M778" s="380"/>
      <c r="N778" s="380"/>
      <c r="O778" s="404"/>
      <c r="P778" s="380"/>
      <c r="Q778" s="380"/>
      <c r="R778" s="380"/>
      <c r="S778" s="380"/>
      <c r="T778" s="380"/>
      <c r="U778" s="380"/>
      <c r="V778" s="380"/>
      <c r="W778" s="403"/>
      <c r="X778" s="380"/>
      <c r="Y778" s="380"/>
      <c r="Z778" s="380"/>
      <c r="AA778" s="380"/>
      <c r="AB778" s="380"/>
      <c r="AC778" s="404"/>
      <c r="AD778" s="380"/>
      <c r="AE778" s="380"/>
      <c r="AF778" s="380"/>
      <c r="AG778" s="380"/>
      <c r="AH778" s="380"/>
      <c r="AI778" s="380"/>
      <c r="AJ778" s="380"/>
      <c r="AK778" s="403"/>
      <c r="AL778" s="380"/>
      <c r="AM778" s="380"/>
      <c r="AN778" s="380"/>
      <c r="AO778" s="380"/>
      <c r="AP778" s="380"/>
      <c r="AQ778" s="404"/>
      <c r="AR778" s="380"/>
      <c r="AS778" s="380"/>
      <c r="AT778" s="380"/>
      <c r="AU778" s="380"/>
      <c r="AV778" s="380"/>
      <c r="AW778" s="380"/>
      <c r="AX778" s="380"/>
      <c r="AY778" s="403"/>
      <c r="AZ778" s="380"/>
      <c r="BA778" s="380"/>
      <c r="BB778" s="380"/>
      <c r="BC778" s="380"/>
      <c r="BD778" s="380"/>
      <c r="BE778" s="404"/>
      <c r="BF778" s="380"/>
      <c r="BG778" s="380"/>
      <c r="BH778" s="380"/>
      <c r="BI778" s="380"/>
      <c r="BJ778" s="380"/>
      <c r="BK778" s="380"/>
      <c r="BL778" s="380"/>
      <c r="BM778" s="403"/>
      <c r="BS778" s="83"/>
      <c r="CA778" s="405"/>
      <c r="CG778" s="83"/>
      <c r="CO778" s="405"/>
      <c r="CU778" s="83"/>
      <c r="DC778" s="405"/>
      <c r="DI778" s="83"/>
      <c r="DQ778" s="405"/>
      <c r="DW778" s="83"/>
      <c r="EE778" s="405"/>
      <c r="EK778" s="83"/>
      <c r="ES778" s="405"/>
      <c r="EY778" s="83"/>
      <c r="FG778" s="405"/>
      <c r="FM778" s="83"/>
      <c r="FU778" s="405"/>
      <c r="GA778" s="83"/>
      <c r="GI778" s="405"/>
      <c r="GO778" s="83"/>
      <c r="GW778" s="405"/>
      <c r="HC778" s="83"/>
      <c r="HK778" s="405"/>
      <c r="HQ778" s="83"/>
      <c r="HY778" s="405"/>
      <c r="IE778" s="83"/>
      <c r="IM778" s="405"/>
      <c r="IS778" s="83"/>
      <c r="JA778" s="405"/>
      <c r="JG778" s="83"/>
      <c r="JO778" s="405"/>
      <c r="JU778" s="83"/>
      <c r="KC778" s="405"/>
      <c r="KI778" s="83"/>
      <c r="KQ778" s="405"/>
      <c r="KW778" s="83"/>
      <c r="LE778" s="405"/>
      <c r="LK778" s="83"/>
      <c r="LS778" s="405"/>
      <c r="LY778" s="83"/>
      <c r="MG778" s="405"/>
      <c r="MM778" s="83"/>
      <c r="MU778" s="405"/>
      <c r="NA778" s="83"/>
    </row>
    <row r="779">
      <c r="A779" s="380"/>
      <c r="B779" s="380"/>
      <c r="C779" s="380"/>
      <c r="D779" s="380"/>
      <c r="E779" s="380"/>
      <c r="F779" s="380"/>
      <c r="G779" s="380"/>
      <c r="H779" s="380"/>
      <c r="I779" s="403"/>
      <c r="J779" s="380"/>
      <c r="K779" s="380"/>
      <c r="L779" s="380"/>
      <c r="M779" s="380"/>
      <c r="N779" s="380"/>
      <c r="O779" s="404"/>
      <c r="P779" s="380"/>
      <c r="Q779" s="380"/>
      <c r="R779" s="380"/>
      <c r="S779" s="380"/>
      <c r="T779" s="380"/>
      <c r="U779" s="380"/>
      <c r="V779" s="380"/>
      <c r="W779" s="403"/>
      <c r="X779" s="380"/>
      <c r="Y779" s="380"/>
      <c r="Z779" s="380"/>
      <c r="AA779" s="380"/>
      <c r="AB779" s="380"/>
      <c r="AC779" s="404"/>
      <c r="AD779" s="380"/>
      <c r="AE779" s="380"/>
      <c r="AF779" s="380"/>
      <c r="AG779" s="380"/>
      <c r="AH779" s="380"/>
      <c r="AI779" s="380"/>
      <c r="AJ779" s="380"/>
      <c r="AK779" s="403"/>
      <c r="AL779" s="380"/>
      <c r="AM779" s="380"/>
      <c r="AN779" s="380"/>
      <c r="AO779" s="380"/>
      <c r="AP779" s="380"/>
      <c r="AQ779" s="404"/>
      <c r="AR779" s="380"/>
      <c r="AS779" s="380"/>
      <c r="AT779" s="380"/>
      <c r="AU779" s="380"/>
      <c r="AV779" s="380"/>
      <c r="AW779" s="380"/>
      <c r="AX779" s="380"/>
      <c r="AY779" s="403"/>
      <c r="AZ779" s="380"/>
      <c r="BA779" s="380"/>
      <c r="BB779" s="380"/>
      <c r="BC779" s="380"/>
      <c r="BD779" s="380"/>
      <c r="BE779" s="404"/>
      <c r="BF779" s="380"/>
      <c r="BG779" s="380"/>
      <c r="BH779" s="380"/>
      <c r="BI779" s="380"/>
      <c r="BJ779" s="380"/>
      <c r="BK779" s="380"/>
      <c r="BL779" s="380"/>
      <c r="BM779" s="403"/>
      <c r="BS779" s="83"/>
      <c r="CA779" s="405"/>
      <c r="CG779" s="83"/>
      <c r="CO779" s="405"/>
      <c r="CU779" s="83"/>
      <c r="DC779" s="405"/>
      <c r="DI779" s="83"/>
      <c r="DQ779" s="405"/>
      <c r="DW779" s="83"/>
      <c r="EE779" s="405"/>
      <c r="EK779" s="83"/>
      <c r="ES779" s="405"/>
      <c r="EY779" s="83"/>
      <c r="FG779" s="405"/>
      <c r="FM779" s="83"/>
      <c r="FU779" s="405"/>
      <c r="GA779" s="83"/>
      <c r="GI779" s="405"/>
      <c r="GO779" s="83"/>
      <c r="GW779" s="405"/>
      <c r="HC779" s="83"/>
      <c r="HK779" s="405"/>
      <c r="HQ779" s="83"/>
      <c r="HY779" s="405"/>
      <c r="IE779" s="83"/>
      <c r="IM779" s="405"/>
      <c r="IS779" s="83"/>
      <c r="JA779" s="405"/>
      <c r="JG779" s="83"/>
      <c r="JO779" s="405"/>
      <c r="JU779" s="83"/>
      <c r="KC779" s="405"/>
      <c r="KI779" s="83"/>
      <c r="KQ779" s="405"/>
      <c r="KW779" s="83"/>
      <c r="LE779" s="405"/>
      <c r="LK779" s="83"/>
      <c r="LS779" s="405"/>
      <c r="LY779" s="83"/>
      <c r="MG779" s="405"/>
      <c r="MM779" s="83"/>
      <c r="MU779" s="405"/>
      <c r="NA779" s="83"/>
    </row>
    <row r="780">
      <c r="A780" s="380"/>
      <c r="B780" s="380"/>
      <c r="C780" s="380"/>
      <c r="D780" s="380"/>
      <c r="E780" s="380"/>
      <c r="F780" s="380"/>
      <c r="G780" s="380"/>
      <c r="H780" s="380"/>
      <c r="I780" s="403"/>
      <c r="J780" s="380"/>
      <c r="K780" s="380"/>
      <c r="L780" s="380"/>
      <c r="M780" s="380"/>
      <c r="N780" s="380"/>
      <c r="O780" s="404"/>
      <c r="P780" s="380"/>
      <c r="Q780" s="380"/>
      <c r="R780" s="380"/>
      <c r="S780" s="380"/>
      <c r="T780" s="380"/>
      <c r="U780" s="380"/>
      <c r="V780" s="380"/>
      <c r="W780" s="403"/>
      <c r="X780" s="380"/>
      <c r="Y780" s="380"/>
      <c r="Z780" s="380"/>
      <c r="AA780" s="380"/>
      <c r="AB780" s="380"/>
      <c r="AC780" s="404"/>
      <c r="AD780" s="380"/>
      <c r="AE780" s="380"/>
      <c r="AF780" s="380"/>
      <c r="AG780" s="380"/>
      <c r="AH780" s="380"/>
      <c r="AI780" s="380"/>
      <c r="AJ780" s="380"/>
      <c r="AK780" s="403"/>
      <c r="AL780" s="380"/>
      <c r="AM780" s="380"/>
      <c r="AN780" s="380"/>
      <c r="AO780" s="380"/>
      <c r="AP780" s="380"/>
      <c r="AQ780" s="404"/>
      <c r="AR780" s="380"/>
      <c r="AS780" s="380"/>
      <c r="AT780" s="380"/>
      <c r="AU780" s="380"/>
      <c r="AV780" s="380"/>
      <c r="AW780" s="380"/>
      <c r="AX780" s="380"/>
      <c r="AY780" s="403"/>
      <c r="AZ780" s="380"/>
      <c r="BA780" s="380"/>
      <c r="BB780" s="380"/>
      <c r="BC780" s="380"/>
      <c r="BD780" s="380"/>
      <c r="BE780" s="404"/>
      <c r="BF780" s="380"/>
      <c r="BG780" s="380"/>
      <c r="BH780" s="380"/>
      <c r="BI780" s="380"/>
      <c r="BJ780" s="380"/>
      <c r="BK780" s="380"/>
      <c r="BL780" s="380"/>
      <c r="BM780" s="403"/>
      <c r="BS780" s="83"/>
      <c r="CA780" s="405"/>
      <c r="CG780" s="83"/>
      <c r="CO780" s="405"/>
      <c r="CU780" s="83"/>
      <c r="DC780" s="405"/>
      <c r="DI780" s="83"/>
      <c r="DQ780" s="405"/>
      <c r="DW780" s="83"/>
      <c r="EE780" s="405"/>
      <c r="EK780" s="83"/>
      <c r="ES780" s="405"/>
      <c r="EY780" s="83"/>
      <c r="FG780" s="405"/>
      <c r="FM780" s="83"/>
      <c r="FU780" s="405"/>
      <c r="GA780" s="83"/>
      <c r="GI780" s="405"/>
      <c r="GO780" s="83"/>
      <c r="GW780" s="405"/>
      <c r="HC780" s="83"/>
      <c r="HK780" s="405"/>
      <c r="HQ780" s="83"/>
      <c r="HY780" s="405"/>
      <c r="IE780" s="83"/>
      <c r="IM780" s="405"/>
      <c r="IS780" s="83"/>
      <c r="JA780" s="405"/>
      <c r="JG780" s="83"/>
      <c r="JO780" s="405"/>
      <c r="JU780" s="83"/>
      <c r="KC780" s="405"/>
      <c r="KI780" s="83"/>
      <c r="KQ780" s="405"/>
      <c r="KW780" s="83"/>
      <c r="LE780" s="405"/>
      <c r="LK780" s="83"/>
      <c r="LS780" s="405"/>
      <c r="LY780" s="83"/>
      <c r="MG780" s="405"/>
      <c r="MM780" s="83"/>
      <c r="MU780" s="405"/>
      <c r="NA780" s="83"/>
    </row>
    <row r="781">
      <c r="A781" s="380"/>
      <c r="B781" s="380"/>
      <c r="C781" s="380"/>
      <c r="D781" s="380"/>
      <c r="E781" s="380"/>
      <c r="F781" s="380"/>
      <c r="G781" s="380"/>
      <c r="H781" s="380"/>
      <c r="I781" s="403"/>
      <c r="J781" s="380"/>
      <c r="K781" s="380"/>
      <c r="L781" s="380"/>
      <c r="M781" s="380"/>
      <c r="N781" s="380"/>
      <c r="O781" s="404"/>
      <c r="P781" s="380"/>
      <c r="Q781" s="380"/>
      <c r="R781" s="380"/>
      <c r="S781" s="380"/>
      <c r="T781" s="380"/>
      <c r="U781" s="380"/>
      <c r="V781" s="380"/>
      <c r="W781" s="403"/>
      <c r="X781" s="380"/>
      <c r="Y781" s="380"/>
      <c r="Z781" s="380"/>
      <c r="AA781" s="380"/>
      <c r="AB781" s="380"/>
      <c r="AC781" s="404"/>
      <c r="AD781" s="380"/>
      <c r="AE781" s="380"/>
      <c r="AF781" s="380"/>
      <c r="AG781" s="380"/>
      <c r="AH781" s="380"/>
      <c r="AI781" s="380"/>
      <c r="AJ781" s="380"/>
      <c r="AK781" s="403"/>
      <c r="AL781" s="380"/>
      <c r="AM781" s="380"/>
      <c r="AN781" s="380"/>
      <c r="AO781" s="380"/>
      <c r="AP781" s="380"/>
      <c r="AQ781" s="404"/>
      <c r="AR781" s="380"/>
      <c r="AS781" s="380"/>
      <c r="AT781" s="380"/>
      <c r="AU781" s="380"/>
      <c r="AV781" s="380"/>
      <c r="AW781" s="380"/>
      <c r="AX781" s="380"/>
      <c r="AY781" s="403"/>
      <c r="AZ781" s="380"/>
      <c r="BA781" s="380"/>
      <c r="BB781" s="380"/>
      <c r="BC781" s="380"/>
      <c r="BD781" s="380"/>
      <c r="BE781" s="404"/>
      <c r="BF781" s="380"/>
      <c r="BG781" s="380"/>
      <c r="BH781" s="380"/>
      <c r="BI781" s="380"/>
      <c r="BJ781" s="380"/>
      <c r="BK781" s="380"/>
      <c r="BL781" s="380"/>
      <c r="BM781" s="403"/>
      <c r="BS781" s="83"/>
      <c r="CA781" s="405"/>
      <c r="CG781" s="83"/>
      <c r="CO781" s="405"/>
      <c r="CU781" s="83"/>
      <c r="DC781" s="405"/>
      <c r="DI781" s="83"/>
      <c r="DQ781" s="405"/>
      <c r="DW781" s="83"/>
      <c r="EE781" s="405"/>
      <c r="EK781" s="83"/>
      <c r="ES781" s="405"/>
      <c r="EY781" s="83"/>
      <c r="FG781" s="405"/>
      <c r="FM781" s="83"/>
      <c r="FU781" s="405"/>
      <c r="GA781" s="83"/>
      <c r="GI781" s="405"/>
      <c r="GO781" s="83"/>
      <c r="GW781" s="405"/>
      <c r="HC781" s="83"/>
      <c r="HK781" s="405"/>
      <c r="HQ781" s="83"/>
      <c r="HY781" s="405"/>
      <c r="IE781" s="83"/>
      <c r="IM781" s="405"/>
      <c r="IS781" s="83"/>
      <c r="JA781" s="405"/>
      <c r="JG781" s="83"/>
      <c r="JO781" s="405"/>
      <c r="JU781" s="83"/>
      <c r="KC781" s="405"/>
      <c r="KI781" s="83"/>
      <c r="KQ781" s="405"/>
      <c r="KW781" s="83"/>
      <c r="LE781" s="405"/>
      <c r="LK781" s="83"/>
      <c r="LS781" s="405"/>
      <c r="LY781" s="83"/>
      <c r="MG781" s="405"/>
      <c r="MM781" s="83"/>
      <c r="MU781" s="405"/>
      <c r="NA781" s="83"/>
    </row>
    <row r="782">
      <c r="A782" s="380"/>
      <c r="B782" s="380"/>
      <c r="C782" s="380"/>
      <c r="D782" s="380"/>
      <c r="E782" s="380"/>
      <c r="F782" s="380"/>
      <c r="G782" s="380"/>
      <c r="H782" s="380"/>
      <c r="I782" s="403"/>
      <c r="J782" s="380"/>
      <c r="K782" s="380"/>
      <c r="L782" s="380"/>
      <c r="M782" s="380"/>
      <c r="N782" s="380"/>
      <c r="O782" s="404"/>
      <c r="P782" s="380"/>
      <c r="Q782" s="380"/>
      <c r="R782" s="380"/>
      <c r="S782" s="380"/>
      <c r="T782" s="380"/>
      <c r="U782" s="380"/>
      <c r="V782" s="380"/>
      <c r="W782" s="403"/>
      <c r="X782" s="380"/>
      <c r="Y782" s="380"/>
      <c r="Z782" s="380"/>
      <c r="AA782" s="380"/>
      <c r="AB782" s="380"/>
      <c r="AC782" s="404"/>
      <c r="AD782" s="380"/>
      <c r="AE782" s="380"/>
      <c r="AF782" s="380"/>
      <c r="AG782" s="380"/>
      <c r="AH782" s="380"/>
      <c r="AI782" s="380"/>
      <c r="AJ782" s="380"/>
      <c r="AK782" s="403"/>
      <c r="AL782" s="380"/>
      <c r="AM782" s="380"/>
      <c r="AN782" s="380"/>
      <c r="AO782" s="380"/>
      <c r="AP782" s="380"/>
      <c r="AQ782" s="404"/>
      <c r="AR782" s="380"/>
      <c r="AS782" s="380"/>
      <c r="AT782" s="380"/>
      <c r="AU782" s="380"/>
      <c r="AV782" s="380"/>
      <c r="AW782" s="380"/>
      <c r="AX782" s="380"/>
      <c r="AY782" s="403"/>
      <c r="AZ782" s="380"/>
      <c r="BA782" s="380"/>
      <c r="BB782" s="380"/>
      <c r="BC782" s="380"/>
      <c r="BD782" s="380"/>
      <c r="BE782" s="404"/>
      <c r="BF782" s="380"/>
      <c r="BG782" s="380"/>
      <c r="BH782" s="380"/>
      <c r="BI782" s="380"/>
      <c r="BJ782" s="380"/>
      <c r="BK782" s="380"/>
      <c r="BL782" s="380"/>
      <c r="BM782" s="403"/>
      <c r="BS782" s="83"/>
      <c r="CA782" s="405"/>
      <c r="CG782" s="83"/>
      <c r="CO782" s="405"/>
      <c r="CU782" s="83"/>
      <c r="DC782" s="405"/>
      <c r="DI782" s="83"/>
      <c r="DQ782" s="405"/>
      <c r="DW782" s="83"/>
      <c r="EE782" s="405"/>
      <c r="EK782" s="83"/>
      <c r="ES782" s="405"/>
      <c r="EY782" s="83"/>
      <c r="FG782" s="405"/>
      <c r="FM782" s="83"/>
      <c r="FU782" s="405"/>
      <c r="GA782" s="83"/>
      <c r="GI782" s="405"/>
      <c r="GO782" s="83"/>
      <c r="GW782" s="405"/>
      <c r="HC782" s="83"/>
      <c r="HK782" s="405"/>
      <c r="HQ782" s="83"/>
      <c r="HY782" s="405"/>
      <c r="IE782" s="83"/>
      <c r="IM782" s="405"/>
      <c r="IS782" s="83"/>
      <c r="JA782" s="405"/>
      <c r="JG782" s="83"/>
      <c r="JO782" s="405"/>
      <c r="JU782" s="83"/>
      <c r="KC782" s="405"/>
      <c r="KI782" s="83"/>
      <c r="KQ782" s="405"/>
      <c r="KW782" s="83"/>
      <c r="LE782" s="405"/>
      <c r="LK782" s="83"/>
      <c r="LS782" s="405"/>
      <c r="LY782" s="83"/>
      <c r="MG782" s="405"/>
      <c r="MM782" s="83"/>
      <c r="MU782" s="405"/>
      <c r="NA782" s="83"/>
    </row>
    <row r="783">
      <c r="A783" s="380"/>
      <c r="B783" s="380"/>
      <c r="C783" s="380"/>
      <c r="D783" s="380"/>
      <c r="E783" s="380"/>
      <c r="F783" s="380"/>
      <c r="G783" s="380"/>
      <c r="H783" s="380"/>
      <c r="I783" s="403"/>
      <c r="J783" s="380"/>
      <c r="K783" s="380"/>
      <c r="L783" s="380"/>
      <c r="M783" s="380"/>
      <c r="N783" s="380"/>
      <c r="O783" s="404"/>
      <c r="P783" s="380"/>
      <c r="Q783" s="380"/>
      <c r="R783" s="380"/>
      <c r="S783" s="380"/>
      <c r="T783" s="380"/>
      <c r="U783" s="380"/>
      <c r="V783" s="380"/>
      <c r="W783" s="403"/>
      <c r="X783" s="380"/>
      <c r="Y783" s="380"/>
      <c r="Z783" s="380"/>
      <c r="AA783" s="380"/>
      <c r="AB783" s="380"/>
      <c r="AC783" s="404"/>
      <c r="AD783" s="380"/>
      <c r="AE783" s="380"/>
      <c r="AF783" s="380"/>
      <c r="AG783" s="380"/>
      <c r="AH783" s="380"/>
      <c r="AI783" s="380"/>
      <c r="AJ783" s="380"/>
      <c r="AK783" s="403"/>
      <c r="AL783" s="380"/>
      <c r="AM783" s="380"/>
      <c r="AN783" s="380"/>
      <c r="AO783" s="380"/>
      <c r="AP783" s="380"/>
      <c r="AQ783" s="404"/>
      <c r="AR783" s="380"/>
      <c r="AS783" s="380"/>
      <c r="AT783" s="380"/>
      <c r="AU783" s="380"/>
      <c r="AV783" s="380"/>
      <c r="AW783" s="380"/>
      <c r="AX783" s="380"/>
      <c r="AY783" s="403"/>
      <c r="AZ783" s="380"/>
      <c r="BA783" s="380"/>
      <c r="BB783" s="380"/>
      <c r="BC783" s="380"/>
      <c r="BD783" s="380"/>
      <c r="BE783" s="404"/>
      <c r="BF783" s="380"/>
      <c r="BG783" s="380"/>
      <c r="BH783" s="380"/>
      <c r="BI783" s="380"/>
      <c r="BJ783" s="380"/>
      <c r="BK783" s="380"/>
      <c r="BL783" s="380"/>
      <c r="BM783" s="403"/>
      <c r="BS783" s="83"/>
      <c r="CA783" s="405"/>
      <c r="CG783" s="83"/>
      <c r="CO783" s="405"/>
      <c r="CU783" s="83"/>
      <c r="DC783" s="405"/>
      <c r="DI783" s="83"/>
      <c r="DQ783" s="405"/>
      <c r="DW783" s="83"/>
      <c r="EE783" s="405"/>
      <c r="EK783" s="83"/>
      <c r="ES783" s="405"/>
      <c r="EY783" s="83"/>
      <c r="FG783" s="405"/>
      <c r="FM783" s="83"/>
      <c r="FU783" s="405"/>
      <c r="GA783" s="83"/>
      <c r="GI783" s="405"/>
      <c r="GO783" s="83"/>
      <c r="GW783" s="405"/>
      <c r="HC783" s="83"/>
      <c r="HK783" s="405"/>
      <c r="HQ783" s="83"/>
      <c r="HY783" s="405"/>
      <c r="IE783" s="83"/>
      <c r="IM783" s="405"/>
      <c r="IS783" s="83"/>
      <c r="JA783" s="405"/>
      <c r="JG783" s="83"/>
      <c r="JO783" s="405"/>
      <c r="JU783" s="83"/>
      <c r="KC783" s="405"/>
      <c r="KI783" s="83"/>
      <c r="KQ783" s="405"/>
      <c r="KW783" s="83"/>
      <c r="LE783" s="405"/>
      <c r="LK783" s="83"/>
      <c r="LS783" s="405"/>
      <c r="LY783" s="83"/>
      <c r="MG783" s="405"/>
      <c r="MM783" s="83"/>
      <c r="MU783" s="405"/>
      <c r="NA783" s="83"/>
    </row>
    <row r="784">
      <c r="A784" s="380"/>
      <c r="B784" s="380"/>
      <c r="C784" s="380"/>
      <c r="D784" s="380"/>
      <c r="E784" s="380"/>
      <c r="F784" s="380"/>
      <c r="G784" s="380"/>
      <c r="H784" s="380"/>
      <c r="I784" s="403"/>
      <c r="J784" s="380"/>
      <c r="K784" s="380"/>
      <c r="L784" s="380"/>
      <c r="M784" s="380"/>
      <c r="N784" s="380"/>
      <c r="O784" s="404"/>
      <c r="P784" s="380"/>
      <c r="Q784" s="380"/>
      <c r="R784" s="380"/>
      <c r="S784" s="380"/>
      <c r="T784" s="380"/>
      <c r="U784" s="380"/>
      <c r="V784" s="380"/>
      <c r="W784" s="403"/>
      <c r="X784" s="380"/>
      <c r="Y784" s="380"/>
      <c r="Z784" s="380"/>
      <c r="AA784" s="380"/>
      <c r="AB784" s="380"/>
      <c r="AC784" s="404"/>
      <c r="AD784" s="380"/>
      <c r="AE784" s="380"/>
      <c r="AF784" s="380"/>
      <c r="AG784" s="380"/>
      <c r="AH784" s="380"/>
      <c r="AI784" s="380"/>
      <c r="AJ784" s="380"/>
      <c r="AK784" s="403"/>
      <c r="AL784" s="380"/>
      <c r="AM784" s="380"/>
      <c r="AN784" s="380"/>
      <c r="AO784" s="380"/>
      <c r="AP784" s="380"/>
      <c r="AQ784" s="404"/>
      <c r="AR784" s="380"/>
      <c r="AS784" s="380"/>
      <c r="AT784" s="380"/>
      <c r="AU784" s="380"/>
      <c r="AV784" s="380"/>
      <c r="AW784" s="380"/>
      <c r="AX784" s="380"/>
      <c r="AY784" s="403"/>
      <c r="AZ784" s="380"/>
      <c r="BA784" s="380"/>
      <c r="BB784" s="380"/>
      <c r="BC784" s="380"/>
      <c r="BD784" s="380"/>
      <c r="BE784" s="404"/>
      <c r="BF784" s="380"/>
      <c r="BG784" s="380"/>
      <c r="BH784" s="380"/>
      <c r="BI784" s="380"/>
      <c r="BJ784" s="380"/>
      <c r="BK784" s="380"/>
      <c r="BL784" s="380"/>
      <c r="BM784" s="403"/>
      <c r="BS784" s="83"/>
      <c r="CA784" s="405"/>
      <c r="CG784" s="83"/>
      <c r="CO784" s="405"/>
      <c r="CU784" s="83"/>
      <c r="DC784" s="405"/>
      <c r="DI784" s="83"/>
      <c r="DQ784" s="405"/>
      <c r="DW784" s="83"/>
      <c r="EE784" s="405"/>
      <c r="EK784" s="83"/>
      <c r="ES784" s="405"/>
      <c r="EY784" s="83"/>
      <c r="FG784" s="405"/>
      <c r="FM784" s="83"/>
      <c r="FU784" s="405"/>
      <c r="GA784" s="83"/>
      <c r="GI784" s="405"/>
      <c r="GO784" s="83"/>
      <c r="GW784" s="405"/>
      <c r="HC784" s="83"/>
      <c r="HK784" s="405"/>
      <c r="HQ784" s="83"/>
      <c r="HY784" s="405"/>
      <c r="IE784" s="83"/>
      <c r="IM784" s="405"/>
      <c r="IS784" s="83"/>
      <c r="JA784" s="405"/>
      <c r="JG784" s="83"/>
      <c r="JO784" s="405"/>
      <c r="JU784" s="83"/>
      <c r="KC784" s="405"/>
      <c r="KI784" s="83"/>
      <c r="KQ784" s="405"/>
      <c r="KW784" s="83"/>
      <c r="LE784" s="405"/>
      <c r="LK784" s="83"/>
      <c r="LS784" s="405"/>
      <c r="LY784" s="83"/>
      <c r="MG784" s="405"/>
      <c r="MM784" s="83"/>
      <c r="MU784" s="405"/>
      <c r="NA784" s="83"/>
    </row>
    <row r="785">
      <c r="A785" s="380"/>
      <c r="B785" s="380"/>
      <c r="C785" s="380"/>
      <c r="D785" s="380"/>
      <c r="E785" s="380"/>
      <c r="F785" s="380"/>
      <c r="G785" s="380"/>
      <c r="H785" s="380"/>
      <c r="I785" s="403"/>
      <c r="J785" s="380"/>
      <c r="K785" s="380"/>
      <c r="L785" s="380"/>
      <c r="M785" s="380"/>
      <c r="N785" s="380"/>
      <c r="O785" s="404"/>
      <c r="P785" s="380"/>
      <c r="Q785" s="380"/>
      <c r="R785" s="380"/>
      <c r="S785" s="380"/>
      <c r="T785" s="380"/>
      <c r="U785" s="380"/>
      <c r="V785" s="380"/>
      <c r="W785" s="403"/>
      <c r="X785" s="380"/>
      <c r="Y785" s="380"/>
      <c r="Z785" s="380"/>
      <c r="AA785" s="380"/>
      <c r="AB785" s="380"/>
      <c r="AC785" s="404"/>
      <c r="AD785" s="380"/>
      <c r="AE785" s="380"/>
      <c r="AF785" s="380"/>
      <c r="AG785" s="380"/>
      <c r="AH785" s="380"/>
      <c r="AI785" s="380"/>
      <c r="AJ785" s="380"/>
      <c r="AK785" s="403"/>
      <c r="AL785" s="380"/>
      <c r="AM785" s="380"/>
      <c r="AN785" s="380"/>
      <c r="AO785" s="380"/>
      <c r="AP785" s="380"/>
      <c r="AQ785" s="404"/>
      <c r="AR785" s="380"/>
      <c r="AS785" s="380"/>
      <c r="AT785" s="380"/>
      <c r="AU785" s="380"/>
      <c r="AV785" s="380"/>
      <c r="AW785" s="380"/>
      <c r="AX785" s="380"/>
      <c r="AY785" s="403"/>
      <c r="AZ785" s="380"/>
      <c r="BA785" s="380"/>
      <c r="BB785" s="380"/>
      <c r="BC785" s="380"/>
      <c r="BD785" s="380"/>
      <c r="BE785" s="404"/>
      <c r="BF785" s="380"/>
      <c r="BG785" s="380"/>
      <c r="BH785" s="380"/>
      <c r="BI785" s="380"/>
      <c r="BJ785" s="380"/>
      <c r="BK785" s="380"/>
      <c r="BL785" s="380"/>
      <c r="BM785" s="403"/>
      <c r="BS785" s="83"/>
      <c r="CA785" s="405"/>
      <c r="CG785" s="83"/>
      <c r="CO785" s="405"/>
      <c r="CU785" s="83"/>
      <c r="DC785" s="405"/>
      <c r="DI785" s="83"/>
      <c r="DQ785" s="405"/>
      <c r="DW785" s="83"/>
      <c r="EE785" s="405"/>
      <c r="EK785" s="83"/>
      <c r="ES785" s="405"/>
      <c r="EY785" s="83"/>
      <c r="FG785" s="405"/>
      <c r="FM785" s="83"/>
      <c r="FU785" s="405"/>
      <c r="GA785" s="83"/>
      <c r="GI785" s="405"/>
      <c r="GO785" s="83"/>
      <c r="GW785" s="405"/>
      <c r="HC785" s="83"/>
      <c r="HK785" s="405"/>
      <c r="HQ785" s="83"/>
      <c r="HY785" s="405"/>
      <c r="IE785" s="83"/>
      <c r="IM785" s="405"/>
      <c r="IS785" s="83"/>
      <c r="JA785" s="405"/>
      <c r="JG785" s="83"/>
      <c r="JO785" s="405"/>
      <c r="JU785" s="83"/>
      <c r="KC785" s="405"/>
      <c r="KI785" s="83"/>
      <c r="KQ785" s="405"/>
      <c r="KW785" s="83"/>
      <c r="LE785" s="405"/>
      <c r="LK785" s="83"/>
      <c r="LS785" s="405"/>
      <c r="LY785" s="83"/>
      <c r="MG785" s="405"/>
      <c r="MM785" s="83"/>
      <c r="MU785" s="405"/>
      <c r="NA785" s="83"/>
    </row>
    <row r="786">
      <c r="A786" s="380"/>
      <c r="B786" s="380"/>
      <c r="C786" s="380"/>
      <c r="D786" s="380"/>
      <c r="E786" s="380"/>
      <c r="F786" s="380"/>
      <c r="G786" s="380"/>
      <c r="H786" s="380"/>
      <c r="I786" s="403"/>
      <c r="J786" s="380"/>
      <c r="K786" s="380"/>
      <c r="L786" s="380"/>
      <c r="M786" s="380"/>
      <c r="N786" s="380"/>
      <c r="O786" s="404"/>
      <c r="P786" s="380"/>
      <c r="Q786" s="380"/>
      <c r="R786" s="380"/>
      <c r="S786" s="380"/>
      <c r="T786" s="380"/>
      <c r="U786" s="380"/>
      <c r="V786" s="380"/>
      <c r="W786" s="403"/>
      <c r="X786" s="380"/>
      <c r="Y786" s="380"/>
      <c r="Z786" s="380"/>
      <c r="AA786" s="380"/>
      <c r="AB786" s="380"/>
      <c r="AC786" s="404"/>
      <c r="AD786" s="380"/>
      <c r="AE786" s="380"/>
      <c r="AF786" s="380"/>
      <c r="AG786" s="380"/>
      <c r="AH786" s="380"/>
      <c r="AI786" s="380"/>
      <c r="AJ786" s="380"/>
      <c r="AK786" s="403"/>
      <c r="AL786" s="380"/>
      <c r="AM786" s="380"/>
      <c r="AN786" s="380"/>
      <c r="AO786" s="380"/>
      <c r="AP786" s="380"/>
      <c r="AQ786" s="404"/>
      <c r="AR786" s="380"/>
      <c r="AS786" s="380"/>
      <c r="AT786" s="380"/>
      <c r="AU786" s="380"/>
      <c r="AV786" s="380"/>
      <c r="AW786" s="380"/>
      <c r="AX786" s="380"/>
      <c r="AY786" s="403"/>
      <c r="AZ786" s="380"/>
      <c r="BA786" s="380"/>
      <c r="BB786" s="380"/>
      <c r="BC786" s="380"/>
      <c r="BD786" s="380"/>
      <c r="BE786" s="404"/>
      <c r="BF786" s="380"/>
      <c r="BG786" s="380"/>
      <c r="BH786" s="380"/>
      <c r="BI786" s="380"/>
      <c r="BJ786" s="380"/>
      <c r="BK786" s="380"/>
      <c r="BL786" s="380"/>
      <c r="BM786" s="403"/>
      <c r="BS786" s="83"/>
      <c r="CA786" s="405"/>
      <c r="CG786" s="83"/>
      <c r="CO786" s="405"/>
      <c r="CU786" s="83"/>
      <c r="DC786" s="405"/>
      <c r="DI786" s="83"/>
      <c r="DQ786" s="405"/>
      <c r="DW786" s="83"/>
      <c r="EE786" s="405"/>
      <c r="EK786" s="83"/>
      <c r="ES786" s="405"/>
      <c r="EY786" s="83"/>
      <c r="FG786" s="405"/>
      <c r="FM786" s="83"/>
      <c r="FU786" s="405"/>
      <c r="GA786" s="83"/>
      <c r="GI786" s="405"/>
      <c r="GO786" s="83"/>
      <c r="GW786" s="405"/>
      <c r="HC786" s="83"/>
      <c r="HK786" s="405"/>
      <c r="HQ786" s="83"/>
      <c r="HY786" s="405"/>
      <c r="IE786" s="83"/>
      <c r="IM786" s="405"/>
      <c r="IS786" s="83"/>
      <c r="JA786" s="405"/>
      <c r="JG786" s="83"/>
      <c r="JO786" s="405"/>
      <c r="JU786" s="83"/>
      <c r="KC786" s="405"/>
      <c r="KI786" s="83"/>
      <c r="KQ786" s="405"/>
      <c r="KW786" s="83"/>
      <c r="LE786" s="405"/>
      <c r="LK786" s="83"/>
      <c r="LS786" s="405"/>
      <c r="LY786" s="83"/>
      <c r="MG786" s="405"/>
      <c r="MM786" s="83"/>
      <c r="MU786" s="405"/>
      <c r="NA786" s="83"/>
    </row>
    <row r="787">
      <c r="A787" s="380"/>
      <c r="B787" s="380"/>
      <c r="C787" s="380"/>
      <c r="D787" s="380"/>
      <c r="E787" s="380"/>
      <c r="F787" s="380"/>
      <c r="G787" s="380"/>
      <c r="H787" s="380"/>
      <c r="I787" s="403"/>
      <c r="J787" s="380"/>
      <c r="K787" s="380"/>
      <c r="L787" s="380"/>
      <c r="M787" s="380"/>
      <c r="N787" s="380"/>
      <c r="O787" s="404"/>
      <c r="P787" s="380"/>
      <c r="Q787" s="380"/>
      <c r="R787" s="380"/>
      <c r="S787" s="380"/>
      <c r="T787" s="380"/>
      <c r="U787" s="380"/>
      <c r="V787" s="380"/>
      <c r="W787" s="403"/>
      <c r="X787" s="380"/>
      <c r="Y787" s="380"/>
      <c r="Z787" s="380"/>
      <c r="AA787" s="380"/>
      <c r="AB787" s="380"/>
      <c r="AC787" s="404"/>
      <c r="AD787" s="380"/>
      <c r="AE787" s="380"/>
      <c r="AF787" s="380"/>
      <c r="AG787" s="380"/>
      <c r="AH787" s="380"/>
      <c r="AI787" s="380"/>
      <c r="AJ787" s="380"/>
      <c r="AK787" s="403"/>
      <c r="AL787" s="380"/>
      <c r="AM787" s="380"/>
      <c r="AN787" s="380"/>
      <c r="AO787" s="380"/>
      <c r="AP787" s="380"/>
      <c r="AQ787" s="404"/>
      <c r="AR787" s="380"/>
      <c r="AS787" s="380"/>
      <c r="AT787" s="380"/>
      <c r="AU787" s="380"/>
      <c r="AV787" s="380"/>
      <c r="AW787" s="380"/>
      <c r="AX787" s="380"/>
      <c r="AY787" s="403"/>
      <c r="AZ787" s="380"/>
      <c r="BA787" s="380"/>
      <c r="BB787" s="380"/>
      <c r="BC787" s="380"/>
      <c r="BD787" s="380"/>
      <c r="BE787" s="404"/>
      <c r="BF787" s="380"/>
      <c r="BG787" s="380"/>
      <c r="BH787" s="380"/>
      <c r="BI787" s="380"/>
      <c r="BJ787" s="380"/>
      <c r="BK787" s="380"/>
      <c r="BL787" s="380"/>
      <c r="BM787" s="403"/>
      <c r="BS787" s="83"/>
      <c r="CA787" s="405"/>
      <c r="CG787" s="83"/>
      <c r="CO787" s="405"/>
      <c r="CU787" s="83"/>
      <c r="DC787" s="405"/>
      <c r="DI787" s="83"/>
      <c r="DQ787" s="405"/>
      <c r="DW787" s="83"/>
      <c r="EE787" s="405"/>
      <c r="EK787" s="83"/>
      <c r="ES787" s="405"/>
      <c r="EY787" s="83"/>
      <c r="FG787" s="405"/>
      <c r="FM787" s="83"/>
      <c r="FU787" s="405"/>
      <c r="GA787" s="83"/>
      <c r="GI787" s="405"/>
      <c r="GO787" s="83"/>
      <c r="GW787" s="405"/>
      <c r="HC787" s="83"/>
      <c r="HK787" s="405"/>
      <c r="HQ787" s="83"/>
      <c r="HY787" s="405"/>
      <c r="IE787" s="83"/>
      <c r="IM787" s="405"/>
      <c r="IS787" s="83"/>
      <c r="JA787" s="405"/>
      <c r="JG787" s="83"/>
      <c r="JO787" s="405"/>
      <c r="JU787" s="83"/>
      <c r="KC787" s="405"/>
      <c r="KI787" s="83"/>
      <c r="KQ787" s="405"/>
      <c r="KW787" s="83"/>
      <c r="LE787" s="405"/>
      <c r="LK787" s="83"/>
      <c r="LS787" s="405"/>
      <c r="LY787" s="83"/>
      <c r="MG787" s="405"/>
      <c r="MM787" s="83"/>
      <c r="MU787" s="405"/>
      <c r="NA787" s="83"/>
    </row>
    <row r="788">
      <c r="A788" s="380"/>
      <c r="B788" s="380"/>
      <c r="C788" s="380"/>
      <c r="D788" s="380"/>
      <c r="E788" s="380"/>
      <c r="F788" s="380"/>
      <c r="G788" s="380"/>
      <c r="H788" s="380"/>
      <c r="I788" s="403"/>
      <c r="J788" s="380"/>
      <c r="K788" s="380"/>
      <c r="L788" s="380"/>
      <c r="M788" s="380"/>
      <c r="N788" s="380"/>
      <c r="O788" s="404"/>
      <c r="P788" s="380"/>
      <c r="Q788" s="380"/>
      <c r="R788" s="380"/>
      <c r="S788" s="380"/>
      <c r="T788" s="380"/>
      <c r="U788" s="380"/>
      <c r="V788" s="380"/>
      <c r="W788" s="403"/>
      <c r="X788" s="380"/>
      <c r="Y788" s="380"/>
      <c r="Z788" s="380"/>
      <c r="AA788" s="380"/>
      <c r="AB788" s="380"/>
      <c r="AC788" s="404"/>
      <c r="AD788" s="380"/>
      <c r="AE788" s="380"/>
      <c r="AF788" s="380"/>
      <c r="AG788" s="380"/>
      <c r="AH788" s="380"/>
      <c r="AI788" s="380"/>
      <c r="AJ788" s="380"/>
      <c r="AK788" s="403"/>
      <c r="AL788" s="380"/>
      <c r="AM788" s="380"/>
      <c r="AN788" s="380"/>
      <c r="AO788" s="380"/>
      <c r="AP788" s="380"/>
      <c r="AQ788" s="404"/>
      <c r="AR788" s="380"/>
      <c r="AS788" s="380"/>
      <c r="AT788" s="380"/>
      <c r="AU788" s="380"/>
      <c r="AV788" s="380"/>
      <c r="AW788" s="380"/>
      <c r="AX788" s="380"/>
      <c r="AY788" s="403"/>
      <c r="AZ788" s="380"/>
      <c r="BA788" s="380"/>
      <c r="BB788" s="380"/>
      <c r="BC788" s="380"/>
      <c r="BD788" s="380"/>
      <c r="BE788" s="404"/>
      <c r="BF788" s="380"/>
      <c r="BG788" s="380"/>
      <c r="BH788" s="380"/>
      <c r="BI788" s="380"/>
      <c r="BJ788" s="380"/>
      <c r="BK788" s="380"/>
      <c r="BL788" s="380"/>
      <c r="BM788" s="403"/>
      <c r="BS788" s="83"/>
      <c r="CA788" s="405"/>
      <c r="CG788" s="83"/>
      <c r="CO788" s="405"/>
      <c r="CU788" s="83"/>
      <c r="DC788" s="405"/>
      <c r="DI788" s="83"/>
      <c r="DQ788" s="405"/>
      <c r="DW788" s="83"/>
      <c r="EE788" s="405"/>
      <c r="EK788" s="83"/>
      <c r="ES788" s="405"/>
      <c r="EY788" s="83"/>
      <c r="FG788" s="405"/>
      <c r="FM788" s="83"/>
      <c r="FU788" s="405"/>
      <c r="GA788" s="83"/>
      <c r="GI788" s="405"/>
      <c r="GO788" s="83"/>
      <c r="GW788" s="405"/>
      <c r="HC788" s="83"/>
      <c r="HK788" s="405"/>
      <c r="HQ788" s="83"/>
      <c r="HY788" s="405"/>
      <c r="IE788" s="83"/>
      <c r="IM788" s="405"/>
      <c r="IS788" s="83"/>
      <c r="JA788" s="405"/>
      <c r="JG788" s="83"/>
      <c r="JO788" s="405"/>
      <c r="JU788" s="83"/>
      <c r="KC788" s="405"/>
      <c r="KI788" s="83"/>
      <c r="KQ788" s="405"/>
      <c r="KW788" s="83"/>
      <c r="LE788" s="405"/>
      <c r="LK788" s="83"/>
      <c r="LS788" s="405"/>
      <c r="LY788" s="83"/>
      <c r="MG788" s="405"/>
      <c r="MM788" s="83"/>
      <c r="MU788" s="405"/>
      <c r="NA788" s="83"/>
    </row>
    <row r="789">
      <c r="A789" s="380"/>
      <c r="B789" s="380"/>
      <c r="C789" s="380"/>
      <c r="D789" s="380"/>
      <c r="E789" s="380"/>
      <c r="F789" s="380"/>
      <c r="G789" s="380"/>
      <c r="H789" s="380"/>
      <c r="I789" s="403"/>
      <c r="J789" s="380"/>
      <c r="K789" s="380"/>
      <c r="L789" s="380"/>
      <c r="M789" s="380"/>
      <c r="N789" s="380"/>
      <c r="O789" s="404"/>
      <c r="P789" s="380"/>
      <c r="Q789" s="380"/>
      <c r="R789" s="380"/>
      <c r="S789" s="380"/>
      <c r="T789" s="380"/>
      <c r="U789" s="380"/>
      <c r="V789" s="380"/>
      <c r="W789" s="403"/>
      <c r="X789" s="380"/>
      <c r="Y789" s="380"/>
      <c r="Z789" s="380"/>
      <c r="AA789" s="380"/>
      <c r="AB789" s="380"/>
      <c r="AC789" s="404"/>
      <c r="AD789" s="380"/>
      <c r="AE789" s="380"/>
      <c r="AF789" s="380"/>
      <c r="AG789" s="380"/>
      <c r="AH789" s="380"/>
      <c r="AI789" s="380"/>
      <c r="AJ789" s="380"/>
      <c r="AK789" s="403"/>
      <c r="AL789" s="380"/>
      <c r="AM789" s="380"/>
      <c r="AN789" s="380"/>
      <c r="AO789" s="380"/>
      <c r="AP789" s="380"/>
      <c r="AQ789" s="404"/>
      <c r="AR789" s="380"/>
      <c r="AS789" s="380"/>
      <c r="AT789" s="380"/>
      <c r="AU789" s="380"/>
      <c r="AV789" s="380"/>
      <c r="AW789" s="380"/>
      <c r="AX789" s="380"/>
      <c r="AY789" s="403"/>
      <c r="AZ789" s="380"/>
      <c r="BA789" s="380"/>
      <c r="BB789" s="380"/>
      <c r="BC789" s="380"/>
      <c r="BD789" s="380"/>
      <c r="BE789" s="404"/>
      <c r="BF789" s="380"/>
      <c r="BG789" s="380"/>
      <c r="BH789" s="380"/>
      <c r="BI789" s="380"/>
      <c r="BJ789" s="380"/>
      <c r="BK789" s="380"/>
      <c r="BL789" s="380"/>
      <c r="BM789" s="403"/>
      <c r="BS789" s="83"/>
      <c r="CA789" s="405"/>
      <c r="CG789" s="83"/>
      <c r="CO789" s="405"/>
      <c r="CU789" s="83"/>
      <c r="DC789" s="405"/>
      <c r="DI789" s="83"/>
      <c r="DQ789" s="405"/>
      <c r="DW789" s="83"/>
      <c r="EE789" s="405"/>
      <c r="EK789" s="83"/>
      <c r="ES789" s="405"/>
      <c r="EY789" s="83"/>
      <c r="FG789" s="405"/>
      <c r="FM789" s="83"/>
      <c r="FU789" s="405"/>
      <c r="GA789" s="83"/>
      <c r="GI789" s="405"/>
      <c r="GO789" s="83"/>
      <c r="GW789" s="405"/>
      <c r="HC789" s="83"/>
      <c r="HK789" s="405"/>
      <c r="HQ789" s="83"/>
      <c r="HY789" s="405"/>
      <c r="IE789" s="83"/>
      <c r="IM789" s="405"/>
      <c r="IS789" s="83"/>
      <c r="JA789" s="405"/>
      <c r="JG789" s="83"/>
      <c r="JO789" s="405"/>
      <c r="JU789" s="83"/>
      <c r="KC789" s="405"/>
      <c r="KI789" s="83"/>
      <c r="KQ789" s="405"/>
      <c r="KW789" s="83"/>
      <c r="LE789" s="405"/>
      <c r="LK789" s="83"/>
      <c r="LS789" s="405"/>
      <c r="LY789" s="83"/>
      <c r="MG789" s="405"/>
      <c r="MM789" s="83"/>
      <c r="MU789" s="405"/>
      <c r="NA789" s="83"/>
    </row>
    <row r="790">
      <c r="A790" s="380"/>
      <c r="B790" s="380"/>
      <c r="C790" s="380"/>
      <c r="D790" s="380"/>
      <c r="E790" s="380"/>
      <c r="F790" s="380"/>
      <c r="G790" s="380"/>
      <c r="H790" s="380"/>
      <c r="I790" s="403"/>
      <c r="J790" s="380"/>
      <c r="K790" s="380"/>
      <c r="L790" s="380"/>
      <c r="M790" s="380"/>
      <c r="N790" s="380"/>
      <c r="O790" s="404"/>
      <c r="P790" s="380"/>
      <c r="Q790" s="380"/>
      <c r="R790" s="380"/>
      <c r="S790" s="380"/>
      <c r="T790" s="380"/>
      <c r="U790" s="380"/>
      <c r="V790" s="380"/>
      <c r="W790" s="403"/>
      <c r="X790" s="380"/>
      <c r="Y790" s="380"/>
      <c r="Z790" s="380"/>
      <c r="AA790" s="380"/>
      <c r="AB790" s="380"/>
      <c r="AC790" s="404"/>
      <c r="AD790" s="380"/>
      <c r="AE790" s="380"/>
      <c r="AF790" s="380"/>
      <c r="AG790" s="380"/>
      <c r="AH790" s="380"/>
      <c r="AI790" s="380"/>
      <c r="AJ790" s="380"/>
      <c r="AK790" s="403"/>
      <c r="AL790" s="380"/>
      <c r="AM790" s="380"/>
      <c r="AN790" s="380"/>
      <c r="AO790" s="380"/>
      <c r="AP790" s="380"/>
      <c r="AQ790" s="404"/>
      <c r="AR790" s="380"/>
      <c r="AS790" s="380"/>
      <c r="AT790" s="380"/>
      <c r="AU790" s="380"/>
      <c r="AV790" s="380"/>
      <c r="AW790" s="380"/>
      <c r="AX790" s="380"/>
      <c r="AY790" s="403"/>
      <c r="AZ790" s="380"/>
      <c r="BA790" s="380"/>
      <c r="BB790" s="380"/>
      <c r="BC790" s="380"/>
      <c r="BD790" s="380"/>
      <c r="BE790" s="404"/>
      <c r="BF790" s="380"/>
      <c r="BG790" s="380"/>
      <c r="BH790" s="380"/>
      <c r="BI790" s="380"/>
      <c r="BJ790" s="380"/>
      <c r="BK790" s="380"/>
      <c r="BL790" s="380"/>
      <c r="BM790" s="403"/>
      <c r="BS790" s="83"/>
      <c r="CA790" s="405"/>
      <c r="CG790" s="83"/>
      <c r="CO790" s="405"/>
      <c r="CU790" s="83"/>
      <c r="DC790" s="405"/>
      <c r="DI790" s="83"/>
      <c r="DQ790" s="405"/>
      <c r="DW790" s="83"/>
      <c r="EE790" s="405"/>
      <c r="EK790" s="83"/>
      <c r="ES790" s="405"/>
      <c r="EY790" s="83"/>
      <c r="FG790" s="405"/>
      <c r="FM790" s="83"/>
      <c r="FU790" s="405"/>
      <c r="GA790" s="83"/>
      <c r="GI790" s="405"/>
      <c r="GO790" s="83"/>
      <c r="GW790" s="405"/>
      <c r="HC790" s="83"/>
      <c r="HK790" s="405"/>
      <c r="HQ790" s="83"/>
      <c r="HY790" s="405"/>
      <c r="IE790" s="83"/>
      <c r="IM790" s="405"/>
      <c r="IS790" s="83"/>
      <c r="JA790" s="405"/>
      <c r="JG790" s="83"/>
      <c r="JO790" s="405"/>
      <c r="JU790" s="83"/>
      <c r="KC790" s="405"/>
      <c r="KI790" s="83"/>
      <c r="KQ790" s="405"/>
      <c r="KW790" s="83"/>
      <c r="LE790" s="405"/>
      <c r="LK790" s="83"/>
      <c r="LS790" s="405"/>
      <c r="LY790" s="83"/>
      <c r="MG790" s="405"/>
      <c r="MM790" s="83"/>
      <c r="MU790" s="405"/>
      <c r="NA790" s="83"/>
    </row>
    <row r="791">
      <c r="A791" s="380"/>
      <c r="B791" s="380"/>
      <c r="C791" s="380"/>
      <c r="D791" s="380"/>
      <c r="E791" s="380"/>
      <c r="F791" s="380"/>
      <c r="G791" s="380"/>
      <c r="H791" s="380"/>
      <c r="I791" s="403"/>
      <c r="J791" s="380"/>
      <c r="K791" s="380"/>
      <c r="L791" s="380"/>
      <c r="M791" s="380"/>
      <c r="N791" s="380"/>
      <c r="O791" s="404"/>
      <c r="P791" s="380"/>
      <c r="Q791" s="380"/>
      <c r="R791" s="380"/>
      <c r="S791" s="380"/>
      <c r="T791" s="380"/>
      <c r="U791" s="380"/>
      <c r="V791" s="380"/>
      <c r="W791" s="403"/>
      <c r="X791" s="380"/>
      <c r="Y791" s="380"/>
      <c r="Z791" s="380"/>
      <c r="AA791" s="380"/>
      <c r="AB791" s="380"/>
      <c r="AC791" s="404"/>
      <c r="AD791" s="380"/>
      <c r="AE791" s="380"/>
      <c r="AF791" s="380"/>
      <c r="AG791" s="380"/>
      <c r="AH791" s="380"/>
      <c r="AI791" s="380"/>
      <c r="AJ791" s="380"/>
      <c r="AK791" s="403"/>
      <c r="AL791" s="380"/>
      <c r="AM791" s="380"/>
      <c r="AN791" s="380"/>
      <c r="AO791" s="380"/>
      <c r="AP791" s="380"/>
      <c r="AQ791" s="404"/>
      <c r="AR791" s="380"/>
      <c r="AS791" s="380"/>
      <c r="AT791" s="380"/>
      <c r="AU791" s="380"/>
      <c r="AV791" s="380"/>
      <c r="AW791" s="380"/>
      <c r="AX791" s="380"/>
      <c r="AY791" s="403"/>
      <c r="AZ791" s="380"/>
      <c r="BA791" s="380"/>
      <c r="BB791" s="380"/>
      <c r="BC791" s="380"/>
      <c r="BD791" s="380"/>
      <c r="BE791" s="404"/>
      <c r="BF791" s="380"/>
      <c r="BG791" s="380"/>
      <c r="BH791" s="380"/>
      <c r="BI791" s="380"/>
      <c r="BJ791" s="380"/>
      <c r="BK791" s="380"/>
      <c r="BL791" s="380"/>
      <c r="BM791" s="403"/>
      <c r="BS791" s="83"/>
      <c r="CA791" s="405"/>
      <c r="CG791" s="83"/>
      <c r="CO791" s="405"/>
      <c r="CU791" s="83"/>
      <c r="DC791" s="405"/>
      <c r="DI791" s="83"/>
      <c r="DQ791" s="405"/>
      <c r="DW791" s="83"/>
      <c r="EE791" s="405"/>
      <c r="EK791" s="83"/>
      <c r="ES791" s="405"/>
      <c r="EY791" s="83"/>
      <c r="FG791" s="405"/>
      <c r="FM791" s="83"/>
      <c r="FU791" s="405"/>
      <c r="GA791" s="83"/>
      <c r="GI791" s="405"/>
      <c r="GO791" s="83"/>
      <c r="GW791" s="405"/>
      <c r="HC791" s="83"/>
      <c r="HK791" s="405"/>
      <c r="HQ791" s="83"/>
      <c r="HY791" s="405"/>
      <c r="IE791" s="83"/>
      <c r="IM791" s="405"/>
      <c r="IS791" s="83"/>
      <c r="JA791" s="405"/>
      <c r="JG791" s="83"/>
      <c r="JO791" s="405"/>
      <c r="JU791" s="83"/>
      <c r="KC791" s="405"/>
      <c r="KI791" s="83"/>
      <c r="KQ791" s="405"/>
      <c r="KW791" s="83"/>
      <c r="LE791" s="405"/>
      <c r="LK791" s="83"/>
      <c r="LS791" s="405"/>
      <c r="LY791" s="83"/>
      <c r="MG791" s="405"/>
      <c r="MM791" s="83"/>
      <c r="MU791" s="405"/>
      <c r="NA791" s="83"/>
    </row>
    <row r="792">
      <c r="A792" s="380"/>
      <c r="B792" s="380"/>
      <c r="C792" s="380"/>
      <c r="D792" s="380"/>
      <c r="E792" s="380"/>
      <c r="F792" s="380"/>
      <c r="G792" s="380"/>
      <c r="H792" s="380"/>
      <c r="I792" s="403"/>
      <c r="J792" s="380"/>
      <c r="K792" s="380"/>
      <c r="L792" s="380"/>
      <c r="M792" s="380"/>
      <c r="N792" s="380"/>
      <c r="O792" s="404"/>
      <c r="P792" s="380"/>
      <c r="Q792" s="380"/>
      <c r="R792" s="380"/>
      <c r="S792" s="380"/>
      <c r="T792" s="380"/>
      <c r="U792" s="380"/>
      <c r="V792" s="380"/>
      <c r="W792" s="403"/>
      <c r="X792" s="380"/>
      <c r="Y792" s="380"/>
      <c r="Z792" s="380"/>
      <c r="AA792" s="380"/>
      <c r="AB792" s="380"/>
      <c r="AC792" s="404"/>
      <c r="AD792" s="380"/>
      <c r="AE792" s="380"/>
      <c r="AF792" s="380"/>
      <c r="AG792" s="380"/>
      <c r="AH792" s="380"/>
      <c r="AI792" s="380"/>
      <c r="AJ792" s="380"/>
      <c r="AK792" s="403"/>
      <c r="AL792" s="380"/>
      <c r="AM792" s="380"/>
      <c r="AN792" s="380"/>
      <c r="AO792" s="380"/>
      <c r="AP792" s="380"/>
      <c r="AQ792" s="404"/>
      <c r="AR792" s="380"/>
      <c r="AS792" s="380"/>
      <c r="AT792" s="380"/>
      <c r="AU792" s="380"/>
      <c r="AV792" s="380"/>
      <c r="AW792" s="380"/>
      <c r="AX792" s="380"/>
      <c r="AY792" s="403"/>
      <c r="AZ792" s="380"/>
      <c r="BA792" s="380"/>
      <c r="BB792" s="380"/>
      <c r="BC792" s="380"/>
      <c r="BD792" s="380"/>
      <c r="BE792" s="404"/>
      <c r="BF792" s="380"/>
      <c r="BG792" s="380"/>
      <c r="BH792" s="380"/>
      <c r="BI792" s="380"/>
      <c r="BJ792" s="380"/>
      <c r="BK792" s="380"/>
      <c r="BL792" s="380"/>
      <c r="BM792" s="403"/>
      <c r="BS792" s="83"/>
      <c r="CA792" s="405"/>
      <c r="CG792" s="83"/>
      <c r="CO792" s="405"/>
      <c r="CU792" s="83"/>
      <c r="DC792" s="405"/>
      <c r="DI792" s="83"/>
      <c r="DQ792" s="405"/>
      <c r="DW792" s="83"/>
      <c r="EE792" s="405"/>
      <c r="EK792" s="83"/>
      <c r="ES792" s="405"/>
      <c r="EY792" s="83"/>
      <c r="FG792" s="405"/>
      <c r="FM792" s="83"/>
      <c r="FU792" s="405"/>
      <c r="GA792" s="83"/>
      <c r="GI792" s="405"/>
      <c r="GO792" s="83"/>
      <c r="GW792" s="405"/>
      <c r="HC792" s="83"/>
      <c r="HK792" s="405"/>
      <c r="HQ792" s="83"/>
      <c r="HY792" s="405"/>
      <c r="IE792" s="83"/>
      <c r="IM792" s="405"/>
      <c r="IS792" s="83"/>
      <c r="JA792" s="405"/>
      <c r="JG792" s="83"/>
      <c r="JO792" s="405"/>
      <c r="JU792" s="83"/>
      <c r="KC792" s="405"/>
      <c r="KI792" s="83"/>
      <c r="KQ792" s="405"/>
      <c r="KW792" s="83"/>
      <c r="LE792" s="405"/>
      <c r="LK792" s="83"/>
      <c r="LS792" s="405"/>
      <c r="LY792" s="83"/>
      <c r="MG792" s="405"/>
      <c r="MM792" s="83"/>
      <c r="MU792" s="405"/>
      <c r="NA792" s="83"/>
    </row>
    <row r="793">
      <c r="A793" s="380"/>
      <c r="B793" s="380"/>
      <c r="C793" s="380"/>
      <c r="D793" s="380"/>
      <c r="E793" s="380"/>
      <c r="F793" s="380"/>
      <c r="G793" s="380"/>
      <c r="H793" s="380"/>
      <c r="I793" s="403"/>
      <c r="J793" s="380"/>
      <c r="K793" s="380"/>
      <c r="L793" s="380"/>
      <c r="M793" s="380"/>
      <c r="N793" s="380"/>
      <c r="O793" s="404"/>
      <c r="P793" s="380"/>
      <c r="Q793" s="380"/>
      <c r="R793" s="380"/>
      <c r="S793" s="380"/>
      <c r="T793" s="380"/>
      <c r="U793" s="380"/>
      <c r="V793" s="380"/>
      <c r="W793" s="403"/>
      <c r="X793" s="380"/>
      <c r="Y793" s="380"/>
      <c r="Z793" s="380"/>
      <c r="AA793" s="380"/>
      <c r="AB793" s="380"/>
      <c r="AC793" s="404"/>
      <c r="AD793" s="380"/>
      <c r="AE793" s="380"/>
      <c r="AF793" s="380"/>
      <c r="AG793" s="380"/>
      <c r="AH793" s="380"/>
      <c r="AI793" s="380"/>
      <c r="AJ793" s="380"/>
      <c r="AK793" s="403"/>
      <c r="AL793" s="380"/>
      <c r="AM793" s="380"/>
      <c r="AN793" s="380"/>
      <c r="AO793" s="380"/>
      <c r="AP793" s="380"/>
      <c r="AQ793" s="404"/>
      <c r="AR793" s="380"/>
      <c r="AS793" s="380"/>
      <c r="AT793" s="380"/>
      <c r="AU793" s="380"/>
      <c r="AV793" s="380"/>
      <c r="AW793" s="380"/>
      <c r="AX793" s="380"/>
      <c r="AY793" s="403"/>
      <c r="AZ793" s="380"/>
      <c r="BA793" s="380"/>
      <c r="BB793" s="380"/>
      <c r="BC793" s="380"/>
      <c r="BD793" s="380"/>
      <c r="BE793" s="404"/>
      <c r="BF793" s="380"/>
      <c r="BG793" s="380"/>
      <c r="BH793" s="380"/>
      <c r="BI793" s="380"/>
      <c r="BJ793" s="380"/>
      <c r="BK793" s="380"/>
      <c r="BL793" s="380"/>
      <c r="BM793" s="403"/>
      <c r="BS793" s="83"/>
      <c r="CA793" s="405"/>
      <c r="CG793" s="83"/>
      <c r="CO793" s="405"/>
      <c r="CU793" s="83"/>
      <c r="DC793" s="405"/>
      <c r="DI793" s="83"/>
      <c r="DQ793" s="405"/>
      <c r="DW793" s="83"/>
      <c r="EE793" s="405"/>
      <c r="EK793" s="83"/>
      <c r="ES793" s="405"/>
      <c r="EY793" s="83"/>
      <c r="FG793" s="405"/>
      <c r="FM793" s="83"/>
      <c r="FU793" s="405"/>
      <c r="GA793" s="83"/>
      <c r="GI793" s="405"/>
      <c r="GO793" s="83"/>
      <c r="GW793" s="405"/>
      <c r="HC793" s="83"/>
      <c r="HK793" s="405"/>
      <c r="HQ793" s="83"/>
      <c r="HY793" s="405"/>
      <c r="IE793" s="83"/>
      <c r="IM793" s="405"/>
      <c r="IS793" s="83"/>
      <c r="JA793" s="405"/>
      <c r="JG793" s="83"/>
      <c r="JO793" s="405"/>
      <c r="JU793" s="83"/>
      <c r="KC793" s="405"/>
      <c r="KI793" s="83"/>
      <c r="KQ793" s="405"/>
      <c r="KW793" s="83"/>
      <c r="LE793" s="405"/>
      <c r="LK793" s="83"/>
      <c r="LS793" s="405"/>
      <c r="LY793" s="83"/>
      <c r="MG793" s="405"/>
      <c r="MM793" s="83"/>
      <c r="MU793" s="405"/>
      <c r="NA793" s="83"/>
    </row>
    <row r="794">
      <c r="A794" s="380"/>
      <c r="B794" s="380"/>
      <c r="C794" s="380"/>
      <c r="D794" s="380"/>
      <c r="E794" s="380"/>
      <c r="F794" s="380"/>
      <c r="G794" s="380"/>
      <c r="H794" s="380"/>
      <c r="I794" s="403"/>
      <c r="J794" s="380"/>
      <c r="K794" s="380"/>
      <c r="L794" s="380"/>
      <c r="M794" s="380"/>
      <c r="N794" s="380"/>
      <c r="O794" s="404"/>
      <c r="P794" s="380"/>
      <c r="Q794" s="380"/>
      <c r="R794" s="380"/>
      <c r="S794" s="380"/>
      <c r="T794" s="380"/>
      <c r="U794" s="380"/>
      <c r="V794" s="380"/>
      <c r="W794" s="403"/>
      <c r="X794" s="380"/>
      <c r="Y794" s="380"/>
      <c r="Z794" s="380"/>
      <c r="AA794" s="380"/>
      <c r="AB794" s="380"/>
      <c r="AC794" s="404"/>
      <c r="AD794" s="380"/>
      <c r="AE794" s="380"/>
      <c r="AF794" s="380"/>
      <c r="AG794" s="380"/>
      <c r="AH794" s="380"/>
      <c r="AI794" s="380"/>
      <c r="AJ794" s="380"/>
      <c r="AK794" s="403"/>
      <c r="AL794" s="380"/>
      <c r="AM794" s="380"/>
      <c r="AN794" s="380"/>
      <c r="AO794" s="380"/>
      <c r="AP794" s="380"/>
      <c r="AQ794" s="404"/>
      <c r="AR794" s="380"/>
      <c r="AS794" s="380"/>
      <c r="AT794" s="380"/>
      <c r="AU794" s="380"/>
      <c r="AV794" s="380"/>
      <c r="AW794" s="380"/>
      <c r="AX794" s="380"/>
      <c r="AY794" s="403"/>
      <c r="AZ794" s="380"/>
      <c r="BA794" s="380"/>
      <c r="BB794" s="380"/>
      <c r="BC794" s="380"/>
      <c r="BD794" s="380"/>
      <c r="BE794" s="404"/>
      <c r="BF794" s="380"/>
      <c r="BG794" s="380"/>
      <c r="BH794" s="380"/>
      <c r="BI794" s="380"/>
      <c r="BJ794" s="380"/>
      <c r="BK794" s="380"/>
      <c r="BL794" s="380"/>
      <c r="BM794" s="403"/>
      <c r="BS794" s="83"/>
      <c r="CA794" s="405"/>
      <c r="CG794" s="83"/>
      <c r="CO794" s="405"/>
      <c r="CU794" s="83"/>
      <c r="DC794" s="405"/>
      <c r="DI794" s="83"/>
      <c r="DQ794" s="405"/>
      <c r="DW794" s="83"/>
      <c r="EE794" s="405"/>
      <c r="EK794" s="83"/>
      <c r="ES794" s="405"/>
      <c r="EY794" s="83"/>
      <c r="FG794" s="405"/>
      <c r="FM794" s="83"/>
      <c r="FU794" s="405"/>
      <c r="GA794" s="83"/>
      <c r="GI794" s="405"/>
      <c r="GO794" s="83"/>
      <c r="GW794" s="405"/>
      <c r="HC794" s="83"/>
      <c r="HK794" s="405"/>
      <c r="HQ794" s="83"/>
      <c r="HY794" s="405"/>
      <c r="IE794" s="83"/>
      <c r="IM794" s="405"/>
      <c r="IS794" s="83"/>
      <c r="JA794" s="405"/>
      <c r="JG794" s="83"/>
      <c r="JO794" s="405"/>
      <c r="JU794" s="83"/>
      <c r="KC794" s="405"/>
      <c r="KI794" s="83"/>
      <c r="KQ794" s="405"/>
      <c r="KW794" s="83"/>
      <c r="LE794" s="405"/>
      <c r="LK794" s="83"/>
      <c r="LS794" s="405"/>
      <c r="LY794" s="83"/>
      <c r="MG794" s="405"/>
      <c r="MM794" s="83"/>
      <c r="MU794" s="405"/>
      <c r="NA794" s="83"/>
    </row>
    <row r="795">
      <c r="A795" s="380"/>
      <c r="B795" s="380"/>
      <c r="C795" s="380"/>
      <c r="D795" s="380"/>
      <c r="E795" s="380"/>
      <c r="F795" s="380"/>
      <c r="G795" s="380"/>
      <c r="H795" s="380"/>
      <c r="I795" s="403"/>
      <c r="J795" s="380"/>
      <c r="K795" s="380"/>
      <c r="L795" s="380"/>
      <c r="M795" s="380"/>
      <c r="N795" s="380"/>
      <c r="O795" s="404"/>
      <c r="P795" s="380"/>
      <c r="Q795" s="380"/>
      <c r="R795" s="380"/>
      <c r="S795" s="380"/>
      <c r="T795" s="380"/>
      <c r="U795" s="380"/>
      <c r="V795" s="380"/>
      <c r="W795" s="403"/>
      <c r="X795" s="380"/>
      <c r="Y795" s="380"/>
      <c r="Z795" s="380"/>
      <c r="AA795" s="380"/>
      <c r="AB795" s="380"/>
      <c r="AC795" s="404"/>
      <c r="AD795" s="380"/>
      <c r="AE795" s="380"/>
      <c r="AF795" s="380"/>
      <c r="AG795" s="380"/>
      <c r="AH795" s="380"/>
      <c r="AI795" s="380"/>
      <c r="AJ795" s="380"/>
      <c r="AK795" s="403"/>
      <c r="AL795" s="380"/>
      <c r="AM795" s="380"/>
      <c r="AN795" s="380"/>
      <c r="AO795" s="380"/>
      <c r="AP795" s="380"/>
      <c r="AQ795" s="404"/>
      <c r="AR795" s="380"/>
      <c r="AS795" s="380"/>
      <c r="AT795" s="380"/>
      <c r="AU795" s="380"/>
      <c r="AV795" s="380"/>
      <c r="AW795" s="380"/>
      <c r="AX795" s="380"/>
      <c r="AY795" s="403"/>
      <c r="AZ795" s="380"/>
      <c r="BA795" s="380"/>
      <c r="BB795" s="380"/>
      <c r="BC795" s="380"/>
      <c r="BD795" s="380"/>
      <c r="BE795" s="404"/>
      <c r="BF795" s="380"/>
      <c r="BG795" s="380"/>
      <c r="BH795" s="380"/>
      <c r="BI795" s="380"/>
      <c r="BJ795" s="380"/>
      <c r="BK795" s="380"/>
      <c r="BL795" s="380"/>
      <c r="BM795" s="403"/>
      <c r="BS795" s="83"/>
      <c r="CA795" s="405"/>
      <c r="CG795" s="83"/>
      <c r="CO795" s="405"/>
      <c r="CU795" s="83"/>
      <c r="DC795" s="405"/>
      <c r="DI795" s="83"/>
      <c r="DQ795" s="405"/>
      <c r="DW795" s="83"/>
      <c r="EE795" s="405"/>
      <c r="EK795" s="83"/>
      <c r="ES795" s="405"/>
      <c r="EY795" s="83"/>
      <c r="FG795" s="405"/>
      <c r="FM795" s="83"/>
      <c r="FU795" s="405"/>
      <c r="GA795" s="83"/>
      <c r="GI795" s="405"/>
      <c r="GO795" s="83"/>
      <c r="GW795" s="405"/>
      <c r="HC795" s="83"/>
      <c r="HK795" s="405"/>
      <c r="HQ795" s="83"/>
      <c r="HY795" s="405"/>
      <c r="IE795" s="83"/>
      <c r="IM795" s="405"/>
      <c r="IS795" s="83"/>
      <c r="JA795" s="405"/>
      <c r="JG795" s="83"/>
      <c r="JO795" s="405"/>
      <c r="JU795" s="83"/>
      <c r="KC795" s="405"/>
      <c r="KI795" s="83"/>
      <c r="KQ795" s="405"/>
      <c r="KW795" s="83"/>
      <c r="LE795" s="405"/>
      <c r="LK795" s="83"/>
      <c r="LS795" s="405"/>
      <c r="LY795" s="83"/>
      <c r="MG795" s="405"/>
      <c r="MM795" s="83"/>
      <c r="MU795" s="405"/>
      <c r="NA795" s="83"/>
    </row>
    <row r="796">
      <c r="A796" s="380"/>
      <c r="B796" s="380"/>
      <c r="C796" s="380"/>
      <c r="D796" s="380"/>
      <c r="E796" s="380"/>
      <c r="F796" s="380"/>
      <c r="G796" s="380"/>
      <c r="H796" s="380"/>
      <c r="I796" s="403"/>
      <c r="J796" s="380"/>
      <c r="K796" s="380"/>
      <c r="L796" s="380"/>
      <c r="M796" s="380"/>
      <c r="N796" s="380"/>
      <c r="O796" s="404"/>
      <c r="P796" s="380"/>
      <c r="Q796" s="380"/>
      <c r="R796" s="380"/>
      <c r="S796" s="380"/>
      <c r="T796" s="380"/>
      <c r="U796" s="380"/>
      <c r="V796" s="380"/>
      <c r="W796" s="403"/>
      <c r="X796" s="380"/>
      <c r="Y796" s="380"/>
      <c r="Z796" s="380"/>
      <c r="AA796" s="380"/>
      <c r="AB796" s="380"/>
      <c r="AC796" s="404"/>
      <c r="AD796" s="380"/>
      <c r="AE796" s="380"/>
      <c r="AF796" s="380"/>
      <c r="AG796" s="380"/>
      <c r="AH796" s="380"/>
      <c r="AI796" s="380"/>
      <c r="AJ796" s="380"/>
      <c r="AK796" s="403"/>
      <c r="AL796" s="380"/>
      <c r="AM796" s="380"/>
      <c r="AN796" s="380"/>
      <c r="AO796" s="380"/>
      <c r="AP796" s="380"/>
      <c r="AQ796" s="404"/>
      <c r="AR796" s="380"/>
      <c r="AS796" s="380"/>
      <c r="AT796" s="380"/>
      <c r="AU796" s="380"/>
      <c r="AV796" s="380"/>
      <c r="AW796" s="380"/>
      <c r="AX796" s="380"/>
      <c r="AY796" s="403"/>
      <c r="AZ796" s="380"/>
      <c r="BA796" s="380"/>
      <c r="BB796" s="380"/>
      <c r="BC796" s="380"/>
      <c r="BD796" s="380"/>
      <c r="BE796" s="404"/>
      <c r="BF796" s="380"/>
      <c r="BG796" s="380"/>
      <c r="BH796" s="380"/>
      <c r="BI796" s="380"/>
      <c r="BJ796" s="380"/>
      <c r="BK796" s="380"/>
      <c r="BL796" s="380"/>
      <c r="BM796" s="403"/>
      <c r="BS796" s="83"/>
      <c r="CA796" s="405"/>
      <c r="CG796" s="83"/>
      <c r="CO796" s="405"/>
      <c r="CU796" s="83"/>
      <c r="DC796" s="405"/>
      <c r="DI796" s="83"/>
      <c r="DQ796" s="405"/>
      <c r="DW796" s="83"/>
      <c r="EE796" s="405"/>
      <c r="EK796" s="83"/>
      <c r="ES796" s="405"/>
      <c r="EY796" s="83"/>
      <c r="FG796" s="405"/>
      <c r="FM796" s="83"/>
      <c r="FU796" s="405"/>
      <c r="GA796" s="83"/>
      <c r="GI796" s="405"/>
      <c r="GO796" s="83"/>
      <c r="GW796" s="405"/>
      <c r="HC796" s="83"/>
      <c r="HK796" s="405"/>
      <c r="HQ796" s="83"/>
      <c r="HY796" s="405"/>
      <c r="IE796" s="83"/>
      <c r="IM796" s="405"/>
      <c r="IS796" s="83"/>
      <c r="JA796" s="405"/>
      <c r="JG796" s="83"/>
      <c r="JO796" s="405"/>
      <c r="JU796" s="83"/>
      <c r="KC796" s="405"/>
      <c r="KI796" s="83"/>
      <c r="KQ796" s="405"/>
      <c r="KW796" s="83"/>
      <c r="LE796" s="405"/>
      <c r="LK796" s="83"/>
      <c r="LS796" s="405"/>
      <c r="LY796" s="83"/>
      <c r="MG796" s="405"/>
      <c r="MM796" s="83"/>
      <c r="MU796" s="405"/>
      <c r="NA796" s="83"/>
    </row>
    <row r="797">
      <c r="A797" s="380"/>
      <c r="B797" s="380"/>
      <c r="C797" s="380"/>
      <c r="D797" s="380"/>
      <c r="E797" s="380"/>
      <c r="F797" s="380"/>
      <c r="G797" s="380"/>
      <c r="H797" s="380"/>
      <c r="I797" s="403"/>
      <c r="J797" s="380"/>
      <c r="K797" s="380"/>
      <c r="L797" s="380"/>
      <c r="M797" s="380"/>
      <c r="N797" s="380"/>
      <c r="O797" s="404"/>
      <c r="P797" s="380"/>
      <c r="Q797" s="380"/>
      <c r="R797" s="380"/>
      <c r="S797" s="380"/>
      <c r="T797" s="380"/>
      <c r="U797" s="380"/>
      <c r="V797" s="380"/>
      <c r="W797" s="403"/>
      <c r="X797" s="380"/>
      <c r="Y797" s="380"/>
      <c r="Z797" s="380"/>
      <c r="AA797" s="380"/>
      <c r="AB797" s="380"/>
      <c r="AC797" s="404"/>
      <c r="AD797" s="380"/>
      <c r="AE797" s="380"/>
      <c r="AF797" s="380"/>
      <c r="AG797" s="380"/>
      <c r="AH797" s="380"/>
      <c r="AI797" s="380"/>
      <c r="AJ797" s="380"/>
      <c r="AK797" s="403"/>
      <c r="AL797" s="380"/>
      <c r="AM797" s="380"/>
      <c r="AN797" s="380"/>
      <c r="AO797" s="380"/>
      <c r="AP797" s="380"/>
      <c r="AQ797" s="404"/>
      <c r="AR797" s="380"/>
      <c r="AS797" s="380"/>
      <c r="AT797" s="380"/>
      <c r="AU797" s="380"/>
      <c r="AV797" s="380"/>
      <c r="AW797" s="380"/>
      <c r="AX797" s="380"/>
      <c r="AY797" s="403"/>
      <c r="AZ797" s="380"/>
      <c r="BA797" s="380"/>
      <c r="BB797" s="380"/>
      <c r="BC797" s="380"/>
      <c r="BD797" s="380"/>
      <c r="BE797" s="404"/>
      <c r="BF797" s="380"/>
      <c r="BG797" s="380"/>
      <c r="BH797" s="380"/>
      <c r="BI797" s="380"/>
      <c r="BJ797" s="380"/>
      <c r="BK797" s="380"/>
      <c r="BL797" s="380"/>
      <c r="BM797" s="403"/>
      <c r="BS797" s="83"/>
      <c r="CA797" s="405"/>
      <c r="CG797" s="83"/>
      <c r="CO797" s="405"/>
      <c r="CU797" s="83"/>
      <c r="DC797" s="405"/>
      <c r="DI797" s="83"/>
      <c r="DQ797" s="405"/>
      <c r="DW797" s="83"/>
      <c r="EE797" s="405"/>
      <c r="EK797" s="83"/>
      <c r="ES797" s="405"/>
      <c r="EY797" s="83"/>
      <c r="FG797" s="405"/>
      <c r="FM797" s="83"/>
      <c r="FU797" s="405"/>
      <c r="GA797" s="83"/>
      <c r="GI797" s="405"/>
      <c r="GO797" s="83"/>
      <c r="GW797" s="405"/>
      <c r="HC797" s="83"/>
      <c r="HK797" s="405"/>
      <c r="HQ797" s="83"/>
      <c r="HY797" s="405"/>
      <c r="IE797" s="83"/>
      <c r="IM797" s="405"/>
      <c r="IS797" s="83"/>
      <c r="JA797" s="405"/>
      <c r="JG797" s="83"/>
      <c r="JO797" s="405"/>
      <c r="JU797" s="83"/>
      <c r="KC797" s="405"/>
      <c r="KI797" s="83"/>
      <c r="KQ797" s="405"/>
      <c r="KW797" s="83"/>
      <c r="LE797" s="405"/>
      <c r="LK797" s="83"/>
      <c r="LS797" s="405"/>
      <c r="LY797" s="83"/>
      <c r="MG797" s="405"/>
      <c r="MM797" s="83"/>
      <c r="MU797" s="405"/>
      <c r="NA797" s="83"/>
    </row>
    <row r="798">
      <c r="A798" s="380"/>
      <c r="B798" s="380"/>
      <c r="C798" s="380"/>
      <c r="D798" s="380"/>
      <c r="E798" s="380"/>
      <c r="F798" s="380"/>
      <c r="G798" s="380"/>
      <c r="H798" s="380"/>
      <c r="I798" s="403"/>
      <c r="J798" s="380"/>
      <c r="K798" s="380"/>
      <c r="L798" s="380"/>
      <c r="M798" s="380"/>
      <c r="N798" s="380"/>
      <c r="O798" s="404"/>
      <c r="P798" s="380"/>
      <c r="Q798" s="380"/>
      <c r="R798" s="380"/>
      <c r="S798" s="380"/>
      <c r="T798" s="380"/>
      <c r="U798" s="380"/>
      <c r="V798" s="380"/>
      <c r="W798" s="403"/>
      <c r="X798" s="380"/>
      <c r="Y798" s="380"/>
      <c r="Z798" s="380"/>
      <c r="AA798" s="380"/>
      <c r="AB798" s="380"/>
      <c r="AC798" s="404"/>
      <c r="AD798" s="380"/>
      <c r="AE798" s="380"/>
      <c r="AF798" s="380"/>
      <c r="AG798" s="380"/>
      <c r="AH798" s="380"/>
      <c r="AI798" s="380"/>
      <c r="AJ798" s="380"/>
      <c r="AK798" s="403"/>
      <c r="AL798" s="380"/>
      <c r="AM798" s="380"/>
      <c r="AN798" s="380"/>
      <c r="AO798" s="380"/>
      <c r="AP798" s="380"/>
      <c r="AQ798" s="404"/>
      <c r="AR798" s="380"/>
      <c r="AS798" s="380"/>
      <c r="AT798" s="380"/>
      <c r="AU798" s="380"/>
      <c r="AV798" s="380"/>
      <c r="AW798" s="380"/>
      <c r="AX798" s="380"/>
      <c r="AY798" s="403"/>
      <c r="AZ798" s="380"/>
      <c r="BA798" s="380"/>
      <c r="BB798" s="380"/>
      <c r="BC798" s="380"/>
      <c r="BD798" s="380"/>
      <c r="BE798" s="404"/>
      <c r="BF798" s="380"/>
      <c r="BG798" s="380"/>
      <c r="BH798" s="380"/>
      <c r="BI798" s="380"/>
      <c r="BJ798" s="380"/>
      <c r="BK798" s="380"/>
      <c r="BL798" s="380"/>
      <c r="BM798" s="403"/>
      <c r="BS798" s="83"/>
      <c r="CA798" s="405"/>
      <c r="CG798" s="83"/>
      <c r="CO798" s="405"/>
      <c r="CU798" s="83"/>
      <c r="DC798" s="405"/>
      <c r="DI798" s="83"/>
      <c r="DQ798" s="405"/>
      <c r="DW798" s="83"/>
      <c r="EE798" s="405"/>
      <c r="EK798" s="83"/>
      <c r="ES798" s="405"/>
      <c r="EY798" s="83"/>
      <c r="FG798" s="405"/>
      <c r="FM798" s="83"/>
      <c r="FU798" s="405"/>
      <c r="GA798" s="83"/>
      <c r="GI798" s="405"/>
      <c r="GO798" s="83"/>
      <c r="GW798" s="405"/>
      <c r="HC798" s="83"/>
      <c r="HK798" s="405"/>
      <c r="HQ798" s="83"/>
      <c r="HY798" s="405"/>
      <c r="IE798" s="83"/>
      <c r="IM798" s="405"/>
      <c r="IS798" s="83"/>
      <c r="JA798" s="405"/>
      <c r="JG798" s="83"/>
      <c r="JO798" s="405"/>
      <c r="JU798" s="83"/>
      <c r="KC798" s="405"/>
      <c r="KI798" s="83"/>
      <c r="KQ798" s="405"/>
      <c r="KW798" s="83"/>
      <c r="LE798" s="405"/>
      <c r="LK798" s="83"/>
      <c r="LS798" s="405"/>
      <c r="LY798" s="83"/>
      <c r="MG798" s="405"/>
      <c r="MM798" s="83"/>
      <c r="MU798" s="405"/>
      <c r="NA798" s="83"/>
    </row>
    <row r="799">
      <c r="A799" s="380"/>
      <c r="B799" s="380"/>
      <c r="C799" s="380"/>
      <c r="D799" s="380"/>
      <c r="E799" s="380"/>
      <c r="F799" s="380"/>
      <c r="G799" s="380"/>
      <c r="H799" s="380"/>
      <c r="I799" s="403"/>
      <c r="J799" s="380"/>
      <c r="K799" s="380"/>
      <c r="L799" s="380"/>
      <c r="M799" s="380"/>
      <c r="N799" s="380"/>
      <c r="O799" s="404"/>
      <c r="P799" s="380"/>
      <c r="Q799" s="380"/>
      <c r="R799" s="380"/>
      <c r="S799" s="380"/>
      <c r="T799" s="380"/>
      <c r="U799" s="380"/>
      <c r="V799" s="380"/>
      <c r="W799" s="403"/>
      <c r="X799" s="380"/>
      <c r="Y799" s="380"/>
      <c r="Z799" s="380"/>
      <c r="AA799" s="380"/>
      <c r="AB799" s="380"/>
      <c r="AC799" s="404"/>
      <c r="AD799" s="380"/>
      <c r="AE799" s="380"/>
      <c r="AF799" s="380"/>
      <c r="AG799" s="380"/>
      <c r="AH799" s="380"/>
      <c r="AI799" s="380"/>
      <c r="AJ799" s="380"/>
      <c r="AK799" s="403"/>
      <c r="AL799" s="380"/>
      <c r="AM799" s="380"/>
      <c r="AN799" s="380"/>
      <c r="AO799" s="380"/>
      <c r="AP799" s="380"/>
      <c r="AQ799" s="404"/>
      <c r="AR799" s="380"/>
      <c r="AS799" s="380"/>
      <c r="AT799" s="380"/>
      <c r="AU799" s="380"/>
      <c r="AV799" s="380"/>
      <c r="AW799" s="380"/>
      <c r="AX799" s="380"/>
      <c r="AY799" s="403"/>
      <c r="AZ799" s="380"/>
      <c r="BA799" s="380"/>
      <c r="BB799" s="380"/>
      <c r="BC799" s="380"/>
      <c r="BD799" s="380"/>
      <c r="BE799" s="404"/>
      <c r="BF799" s="380"/>
      <c r="BG799" s="380"/>
      <c r="BH799" s="380"/>
      <c r="BI799" s="380"/>
      <c r="BJ799" s="380"/>
      <c r="BK799" s="380"/>
      <c r="BL799" s="380"/>
      <c r="BM799" s="403"/>
      <c r="BS799" s="83"/>
      <c r="CA799" s="405"/>
      <c r="CG799" s="83"/>
      <c r="CO799" s="405"/>
      <c r="CU799" s="83"/>
      <c r="DC799" s="405"/>
      <c r="DI799" s="83"/>
      <c r="DQ799" s="405"/>
      <c r="DW799" s="83"/>
      <c r="EE799" s="405"/>
      <c r="EK799" s="83"/>
      <c r="ES799" s="405"/>
      <c r="EY799" s="83"/>
      <c r="FG799" s="405"/>
      <c r="FM799" s="83"/>
      <c r="FU799" s="405"/>
      <c r="GA799" s="83"/>
      <c r="GI799" s="405"/>
      <c r="GO799" s="83"/>
      <c r="GW799" s="405"/>
      <c r="HC799" s="83"/>
      <c r="HK799" s="405"/>
      <c r="HQ799" s="83"/>
      <c r="HY799" s="405"/>
      <c r="IE799" s="83"/>
      <c r="IM799" s="405"/>
      <c r="IS799" s="83"/>
      <c r="JA799" s="405"/>
      <c r="JG799" s="83"/>
      <c r="JO799" s="405"/>
      <c r="JU799" s="83"/>
      <c r="KC799" s="405"/>
      <c r="KI799" s="83"/>
      <c r="KQ799" s="405"/>
      <c r="KW799" s="83"/>
      <c r="LE799" s="405"/>
      <c r="LK799" s="83"/>
      <c r="LS799" s="405"/>
      <c r="LY799" s="83"/>
      <c r="MG799" s="405"/>
      <c r="MM799" s="83"/>
      <c r="MU799" s="405"/>
      <c r="NA799" s="83"/>
    </row>
    <row r="800">
      <c r="A800" s="380"/>
      <c r="B800" s="380"/>
      <c r="C800" s="380"/>
      <c r="D800" s="380"/>
      <c r="E800" s="380"/>
      <c r="F800" s="380"/>
      <c r="G800" s="380"/>
      <c r="H800" s="380"/>
      <c r="I800" s="403"/>
      <c r="J800" s="380"/>
      <c r="K800" s="380"/>
      <c r="L800" s="380"/>
      <c r="M800" s="380"/>
      <c r="N800" s="380"/>
      <c r="O800" s="404"/>
      <c r="P800" s="380"/>
      <c r="Q800" s="380"/>
      <c r="R800" s="380"/>
      <c r="S800" s="380"/>
      <c r="T800" s="380"/>
      <c r="U800" s="380"/>
      <c r="V800" s="380"/>
      <c r="W800" s="403"/>
      <c r="X800" s="380"/>
      <c r="Y800" s="380"/>
      <c r="Z800" s="380"/>
      <c r="AA800" s="380"/>
      <c r="AB800" s="380"/>
      <c r="AC800" s="404"/>
      <c r="AD800" s="380"/>
      <c r="AE800" s="380"/>
      <c r="AF800" s="380"/>
      <c r="AG800" s="380"/>
      <c r="AH800" s="380"/>
      <c r="AI800" s="380"/>
      <c r="AJ800" s="380"/>
      <c r="AK800" s="403"/>
      <c r="AL800" s="380"/>
      <c r="AM800" s="380"/>
      <c r="AN800" s="380"/>
      <c r="AO800" s="380"/>
      <c r="AP800" s="380"/>
      <c r="AQ800" s="404"/>
      <c r="AR800" s="380"/>
      <c r="AS800" s="380"/>
      <c r="AT800" s="380"/>
      <c r="AU800" s="380"/>
      <c r="AV800" s="380"/>
      <c r="AW800" s="380"/>
      <c r="AX800" s="380"/>
      <c r="AY800" s="403"/>
      <c r="AZ800" s="380"/>
      <c r="BA800" s="380"/>
      <c r="BB800" s="380"/>
      <c r="BC800" s="380"/>
      <c r="BD800" s="380"/>
      <c r="BE800" s="404"/>
      <c r="BF800" s="380"/>
      <c r="BG800" s="380"/>
      <c r="BH800" s="380"/>
      <c r="BI800" s="380"/>
      <c r="BJ800" s="380"/>
      <c r="BK800" s="380"/>
      <c r="BL800" s="380"/>
      <c r="BM800" s="403"/>
      <c r="BS800" s="83"/>
      <c r="CA800" s="405"/>
      <c r="CG800" s="83"/>
      <c r="CO800" s="405"/>
      <c r="CU800" s="83"/>
      <c r="DC800" s="405"/>
      <c r="DI800" s="83"/>
      <c r="DQ800" s="405"/>
      <c r="DW800" s="83"/>
      <c r="EE800" s="405"/>
      <c r="EK800" s="83"/>
      <c r="ES800" s="405"/>
      <c r="EY800" s="83"/>
      <c r="FG800" s="405"/>
      <c r="FM800" s="83"/>
      <c r="FU800" s="405"/>
      <c r="GA800" s="83"/>
      <c r="GI800" s="405"/>
      <c r="GO800" s="83"/>
      <c r="GW800" s="405"/>
      <c r="HC800" s="83"/>
      <c r="HK800" s="405"/>
      <c r="HQ800" s="83"/>
      <c r="HY800" s="405"/>
      <c r="IE800" s="83"/>
      <c r="IM800" s="405"/>
      <c r="IS800" s="83"/>
      <c r="JA800" s="405"/>
      <c r="JG800" s="83"/>
      <c r="JO800" s="405"/>
      <c r="JU800" s="83"/>
      <c r="KC800" s="405"/>
      <c r="KI800" s="83"/>
      <c r="KQ800" s="405"/>
      <c r="KW800" s="83"/>
      <c r="LE800" s="405"/>
      <c r="LK800" s="83"/>
      <c r="LS800" s="405"/>
      <c r="LY800" s="83"/>
      <c r="MG800" s="405"/>
      <c r="MM800" s="83"/>
      <c r="MU800" s="405"/>
      <c r="NA800" s="83"/>
    </row>
    <row r="801">
      <c r="A801" s="380"/>
      <c r="B801" s="380"/>
      <c r="C801" s="380"/>
      <c r="D801" s="380"/>
      <c r="E801" s="380"/>
      <c r="F801" s="380"/>
      <c r="G801" s="380"/>
      <c r="H801" s="380"/>
      <c r="I801" s="403"/>
      <c r="J801" s="380"/>
      <c r="K801" s="380"/>
      <c r="L801" s="380"/>
      <c r="M801" s="380"/>
      <c r="N801" s="380"/>
      <c r="O801" s="404"/>
      <c r="P801" s="380"/>
      <c r="Q801" s="380"/>
      <c r="R801" s="380"/>
      <c r="S801" s="380"/>
      <c r="T801" s="380"/>
      <c r="U801" s="380"/>
      <c r="V801" s="380"/>
      <c r="W801" s="403"/>
      <c r="X801" s="380"/>
      <c r="Y801" s="380"/>
      <c r="Z801" s="380"/>
      <c r="AA801" s="380"/>
      <c r="AB801" s="380"/>
      <c r="AC801" s="404"/>
      <c r="AD801" s="380"/>
      <c r="AE801" s="380"/>
      <c r="AF801" s="380"/>
      <c r="AG801" s="380"/>
      <c r="AH801" s="380"/>
      <c r="AI801" s="380"/>
      <c r="AJ801" s="380"/>
      <c r="AK801" s="403"/>
      <c r="AL801" s="380"/>
      <c r="AM801" s="380"/>
      <c r="AN801" s="380"/>
      <c r="AO801" s="380"/>
      <c r="AP801" s="380"/>
      <c r="AQ801" s="404"/>
      <c r="AR801" s="380"/>
      <c r="AS801" s="380"/>
      <c r="AT801" s="380"/>
      <c r="AU801" s="380"/>
      <c r="AV801" s="380"/>
      <c r="AW801" s="380"/>
      <c r="AX801" s="380"/>
      <c r="AY801" s="403"/>
      <c r="AZ801" s="380"/>
      <c r="BA801" s="380"/>
      <c r="BB801" s="380"/>
      <c r="BC801" s="380"/>
      <c r="BD801" s="380"/>
      <c r="BE801" s="404"/>
      <c r="BF801" s="380"/>
      <c r="BG801" s="380"/>
      <c r="BH801" s="380"/>
      <c r="BI801" s="380"/>
      <c r="BJ801" s="380"/>
      <c r="BK801" s="380"/>
      <c r="BL801" s="380"/>
      <c r="BM801" s="403"/>
      <c r="BS801" s="83"/>
      <c r="CA801" s="405"/>
      <c r="CG801" s="83"/>
      <c r="CO801" s="405"/>
      <c r="CU801" s="83"/>
      <c r="DC801" s="405"/>
      <c r="DI801" s="83"/>
      <c r="DQ801" s="405"/>
      <c r="DW801" s="83"/>
      <c r="EE801" s="405"/>
      <c r="EK801" s="83"/>
      <c r="ES801" s="405"/>
      <c r="EY801" s="83"/>
      <c r="FG801" s="405"/>
      <c r="FM801" s="83"/>
      <c r="FU801" s="405"/>
      <c r="GA801" s="83"/>
      <c r="GI801" s="405"/>
      <c r="GO801" s="83"/>
      <c r="GW801" s="405"/>
      <c r="HC801" s="83"/>
      <c r="HK801" s="405"/>
      <c r="HQ801" s="83"/>
      <c r="HY801" s="405"/>
      <c r="IE801" s="83"/>
      <c r="IM801" s="405"/>
      <c r="IS801" s="83"/>
      <c r="JA801" s="405"/>
      <c r="JG801" s="83"/>
      <c r="JO801" s="405"/>
      <c r="JU801" s="83"/>
      <c r="KC801" s="405"/>
      <c r="KI801" s="83"/>
      <c r="KQ801" s="405"/>
      <c r="KW801" s="83"/>
      <c r="LE801" s="405"/>
      <c r="LK801" s="83"/>
      <c r="LS801" s="405"/>
      <c r="LY801" s="83"/>
      <c r="MG801" s="405"/>
      <c r="MM801" s="83"/>
      <c r="MU801" s="405"/>
      <c r="NA801" s="83"/>
    </row>
    <row r="802">
      <c r="A802" s="380"/>
      <c r="B802" s="380"/>
      <c r="C802" s="380"/>
      <c r="D802" s="380"/>
      <c r="E802" s="380"/>
      <c r="F802" s="380"/>
      <c r="G802" s="380"/>
      <c r="H802" s="380"/>
      <c r="I802" s="403"/>
      <c r="J802" s="380"/>
      <c r="K802" s="380"/>
      <c r="L802" s="380"/>
      <c r="M802" s="380"/>
      <c r="N802" s="380"/>
      <c r="O802" s="404"/>
      <c r="P802" s="380"/>
      <c r="Q802" s="380"/>
      <c r="R802" s="380"/>
      <c r="S802" s="380"/>
      <c r="T802" s="380"/>
      <c r="U802" s="380"/>
      <c r="V802" s="380"/>
      <c r="W802" s="403"/>
      <c r="X802" s="380"/>
      <c r="Y802" s="380"/>
      <c r="Z802" s="380"/>
      <c r="AA802" s="380"/>
      <c r="AB802" s="380"/>
      <c r="AC802" s="404"/>
      <c r="AD802" s="380"/>
      <c r="AE802" s="380"/>
      <c r="AF802" s="380"/>
      <c r="AG802" s="380"/>
      <c r="AH802" s="380"/>
      <c r="AI802" s="380"/>
      <c r="AJ802" s="380"/>
      <c r="AK802" s="403"/>
      <c r="AL802" s="380"/>
      <c r="AM802" s="380"/>
      <c r="AN802" s="380"/>
      <c r="AO802" s="380"/>
      <c r="AP802" s="380"/>
      <c r="AQ802" s="404"/>
      <c r="AR802" s="380"/>
      <c r="AS802" s="380"/>
      <c r="AT802" s="380"/>
      <c r="AU802" s="380"/>
      <c r="AV802" s="380"/>
      <c r="AW802" s="380"/>
      <c r="AX802" s="380"/>
      <c r="AY802" s="403"/>
      <c r="AZ802" s="380"/>
      <c r="BA802" s="380"/>
      <c r="BB802" s="380"/>
      <c r="BC802" s="380"/>
      <c r="BD802" s="380"/>
      <c r="BE802" s="404"/>
      <c r="BF802" s="380"/>
      <c r="BG802" s="380"/>
      <c r="BH802" s="380"/>
      <c r="BI802" s="380"/>
      <c r="BJ802" s="380"/>
      <c r="BK802" s="380"/>
      <c r="BL802" s="380"/>
      <c r="BM802" s="403"/>
      <c r="BS802" s="83"/>
      <c r="CA802" s="405"/>
      <c r="CG802" s="83"/>
      <c r="CO802" s="405"/>
      <c r="CU802" s="83"/>
      <c r="DC802" s="405"/>
      <c r="DI802" s="83"/>
      <c r="DQ802" s="405"/>
      <c r="DW802" s="83"/>
      <c r="EE802" s="405"/>
      <c r="EK802" s="83"/>
      <c r="ES802" s="405"/>
      <c r="EY802" s="83"/>
      <c r="FG802" s="405"/>
      <c r="FM802" s="83"/>
      <c r="FU802" s="405"/>
      <c r="GA802" s="83"/>
      <c r="GI802" s="405"/>
      <c r="GO802" s="83"/>
      <c r="GW802" s="405"/>
      <c r="HC802" s="83"/>
      <c r="HK802" s="405"/>
      <c r="HQ802" s="83"/>
      <c r="HY802" s="405"/>
      <c r="IE802" s="83"/>
      <c r="IM802" s="405"/>
      <c r="IS802" s="83"/>
      <c r="JA802" s="405"/>
      <c r="JG802" s="83"/>
      <c r="JO802" s="405"/>
      <c r="JU802" s="83"/>
      <c r="KC802" s="405"/>
      <c r="KI802" s="83"/>
      <c r="KQ802" s="405"/>
      <c r="KW802" s="83"/>
      <c r="LE802" s="405"/>
      <c r="LK802" s="83"/>
      <c r="LS802" s="405"/>
      <c r="LY802" s="83"/>
      <c r="MG802" s="405"/>
      <c r="MM802" s="83"/>
      <c r="MU802" s="405"/>
      <c r="NA802" s="83"/>
    </row>
    <row r="803">
      <c r="A803" s="380"/>
      <c r="B803" s="380"/>
      <c r="C803" s="380"/>
      <c r="D803" s="380"/>
      <c r="E803" s="380"/>
      <c r="F803" s="380"/>
      <c r="G803" s="380"/>
      <c r="H803" s="380"/>
      <c r="I803" s="403"/>
      <c r="J803" s="380"/>
      <c r="K803" s="380"/>
      <c r="L803" s="380"/>
      <c r="M803" s="380"/>
      <c r="N803" s="380"/>
      <c r="O803" s="404"/>
      <c r="P803" s="380"/>
      <c r="Q803" s="380"/>
      <c r="R803" s="380"/>
      <c r="S803" s="380"/>
      <c r="T803" s="380"/>
      <c r="U803" s="380"/>
      <c r="V803" s="380"/>
      <c r="W803" s="403"/>
      <c r="X803" s="380"/>
      <c r="Y803" s="380"/>
      <c r="Z803" s="380"/>
      <c r="AA803" s="380"/>
      <c r="AB803" s="380"/>
      <c r="AC803" s="404"/>
      <c r="AD803" s="380"/>
      <c r="AE803" s="380"/>
      <c r="AF803" s="380"/>
      <c r="AG803" s="380"/>
      <c r="AH803" s="380"/>
      <c r="AI803" s="380"/>
      <c r="AJ803" s="380"/>
      <c r="AK803" s="403"/>
      <c r="AL803" s="380"/>
      <c r="AM803" s="380"/>
      <c r="AN803" s="380"/>
      <c r="AO803" s="380"/>
      <c r="AP803" s="380"/>
      <c r="AQ803" s="404"/>
      <c r="AR803" s="380"/>
      <c r="AS803" s="380"/>
      <c r="AT803" s="380"/>
      <c r="AU803" s="380"/>
      <c r="AV803" s="380"/>
      <c r="AW803" s="380"/>
      <c r="AX803" s="380"/>
      <c r="AY803" s="403"/>
      <c r="AZ803" s="380"/>
      <c r="BA803" s="380"/>
      <c r="BB803" s="380"/>
      <c r="BC803" s="380"/>
      <c r="BD803" s="380"/>
      <c r="BE803" s="404"/>
      <c r="BF803" s="380"/>
      <c r="BG803" s="380"/>
      <c r="BH803" s="380"/>
      <c r="BI803" s="380"/>
      <c r="BJ803" s="380"/>
      <c r="BK803" s="380"/>
      <c r="BL803" s="380"/>
      <c r="BM803" s="403"/>
      <c r="BS803" s="83"/>
      <c r="CA803" s="405"/>
      <c r="CG803" s="83"/>
      <c r="CO803" s="405"/>
      <c r="CU803" s="83"/>
      <c r="DC803" s="405"/>
      <c r="DI803" s="83"/>
      <c r="DQ803" s="405"/>
      <c r="DW803" s="83"/>
      <c r="EE803" s="405"/>
      <c r="EK803" s="83"/>
      <c r="ES803" s="405"/>
      <c r="EY803" s="83"/>
      <c r="FG803" s="405"/>
      <c r="FM803" s="83"/>
      <c r="FU803" s="405"/>
      <c r="GA803" s="83"/>
      <c r="GI803" s="405"/>
      <c r="GO803" s="83"/>
      <c r="GW803" s="405"/>
      <c r="HC803" s="83"/>
      <c r="HK803" s="405"/>
      <c r="HQ803" s="83"/>
      <c r="HY803" s="405"/>
      <c r="IE803" s="83"/>
      <c r="IM803" s="405"/>
      <c r="IS803" s="83"/>
      <c r="JA803" s="405"/>
      <c r="JG803" s="83"/>
      <c r="JO803" s="405"/>
      <c r="JU803" s="83"/>
      <c r="KC803" s="405"/>
      <c r="KI803" s="83"/>
      <c r="KQ803" s="405"/>
      <c r="KW803" s="83"/>
      <c r="LE803" s="405"/>
      <c r="LK803" s="83"/>
      <c r="LS803" s="405"/>
      <c r="LY803" s="83"/>
      <c r="MG803" s="405"/>
      <c r="MM803" s="83"/>
      <c r="MU803" s="405"/>
      <c r="NA803" s="83"/>
    </row>
    <row r="804">
      <c r="A804" s="380"/>
      <c r="B804" s="380"/>
      <c r="C804" s="380"/>
      <c r="D804" s="380"/>
      <c r="E804" s="380"/>
      <c r="F804" s="380"/>
      <c r="G804" s="380"/>
      <c r="H804" s="380"/>
      <c r="I804" s="403"/>
      <c r="J804" s="380"/>
      <c r="K804" s="380"/>
      <c r="L804" s="380"/>
      <c r="M804" s="380"/>
      <c r="N804" s="380"/>
      <c r="O804" s="404"/>
      <c r="P804" s="380"/>
      <c r="Q804" s="380"/>
      <c r="R804" s="380"/>
      <c r="S804" s="380"/>
      <c r="T804" s="380"/>
      <c r="U804" s="380"/>
      <c r="V804" s="380"/>
      <c r="W804" s="403"/>
      <c r="X804" s="380"/>
      <c r="Y804" s="380"/>
      <c r="Z804" s="380"/>
      <c r="AA804" s="380"/>
      <c r="AB804" s="380"/>
      <c r="AC804" s="404"/>
      <c r="AD804" s="380"/>
      <c r="AE804" s="380"/>
      <c r="AF804" s="380"/>
      <c r="AG804" s="380"/>
      <c r="AH804" s="380"/>
      <c r="AI804" s="380"/>
      <c r="AJ804" s="380"/>
      <c r="AK804" s="403"/>
      <c r="AL804" s="380"/>
      <c r="AM804" s="380"/>
      <c r="AN804" s="380"/>
      <c r="AO804" s="380"/>
      <c r="AP804" s="380"/>
      <c r="AQ804" s="404"/>
      <c r="AR804" s="380"/>
      <c r="AS804" s="380"/>
      <c r="AT804" s="380"/>
      <c r="AU804" s="380"/>
      <c r="AV804" s="380"/>
      <c r="AW804" s="380"/>
      <c r="AX804" s="380"/>
      <c r="AY804" s="403"/>
      <c r="AZ804" s="380"/>
      <c r="BA804" s="380"/>
      <c r="BB804" s="380"/>
      <c r="BC804" s="380"/>
      <c r="BD804" s="380"/>
      <c r="BE804" s="404"/>
      <c r="BF804" s="380"/>
      <c r="BG804" s="380"/>
      <c r="BH804" s="380"/>
      <c r="BI804" s="380"/>
      <c r="BJ804" s="380"/>
      <c r="BK804" s="380"/>
      <c r="BL804" s="380"/>
      <c r="BM804" s="403"/>
      <c r="BS804" s="83"/>
      <c r="CA804" s="405"/>
      <c r="CG804" s="83"/>
      <c r="CO804" s="405"/>
      <c r="CU804" s="83"/>
      <c r="DC804" s="405"/>
      <c r="DI804" s="83"/>
      <c r="DQ804" s="405"/>
      <c r="DW804" s="83"/>
      <c r="EE804" s="405"/>
      <c r="EK804" s="83"/>
      <c r="ES804" s="405"/>
      <c r="EY804" s="83"/>
      <c r="FG804" s="405"/>
      <c r="FM804" s="83"/>
      <c r="FU804" s="405"/>
      <c r="GA804" s="83"/>
      <c r="GI804" s="405"/>
      <c r="GO804" s="83"/>
      <c r="GW804" s="405"/>
      <c r="HC804" s="83"/>
      <c r="HK804" s="405"/>
      <c r="HQ804" s="83"/>
      <c r="HY804" s="405"/>
      <c r="IE804" s="83"/>
      <c r="IM804" s="405"/>
      <c r="IS804" s="83"/>
      <c r="JA804" s="405"/>
      <c r="JG804" s="83"/>
      <c r="JO804" s="405"/>
      <c r="JU804" s="83"/>
      <c r="KC804" s="405"/>
      <c r="KI804" s="83"/>
      <c r="KQ804" s="405"/>
      <c r="KW804" s="83"/>
      <c r="LE804" s="405"/>
      <c r="LK804" s="83"/>
      <c r="LS804" s="405"/>
      <c r="LY804" s="83"/>
      <c r="MG804" s="405"/>
      <c r="MM804" s="83"/>
      <c r="MU804" s="405"/>
      <c r="NA804" s="83"/>
    </row>
    <row r="805">
      <c r="A805" s="380"/>
      <c r="B805" s="380"/>
      <c r="C805" s="380"/>
      <c r="D805" s="380"/>
      <c r="E805" s="380"/>
      <c r="F805" s="380"/>
      <c r="G805" s="380"/>
      <c r="H805" s="380"/>
      <c r="I805" s="403"/>
      <c r="J805" s="380"/>
      <c r="K805" s="380"/>
      <c r="L805" s="380"/>
      <c r="M805" s="380"/>
      <c r="N805" s="380"/>
      <c r="O805" s="404"/>
      <c r="P805" s="380"/>
      <c r="Q805" s="380"/>
      <c r="R805" s="380"/>
      <c r="S805" s="380"/>
      <c r="T805" s="380"/>
      <c r="U805" s="380"/>
      <c r="V805" s="380"/>
      <c r="W805" s="403"/>
      <c r="X805" s="380"/>
      <c r="Y805" s="380"/>
      <c r="Z805" s="380"/>
      <c r="AA805" s="380"/>
      <c r="AB805" s="380"/>
      <c r="AC805" s="404"/>
      <c r="AD805" s="380"/>
      <c r="AE805" s="380"/>
      <c r="AF805" s="380"/>
      <c r="AG805" s="380"/>
      <c r="AH805" s="380"/>
      <c r="AI805" s="380"/>
      <c r="AJ805" s="380"/>
      <c r="AK805" s="403"/>
      <c r="AL805" s="380"/>
      <c r="AM805" s="380"/>
      <c r="AN805" s="380"/>
      <c r="AO805" s="380"/>
      <c r="AP805" s="380"/>
      <c r="AQ805" s="404"/>
      <c r="AR805" s="380"/>
      <c r="AS805" s="380"/>
      <c r="AT805" s="380"/>
      <c r="AU805" s="380"/>
      <c r="AV805" s="380"/>
      <c r="AW805" s="380"/>
      <c r="AX805" s="380"/>
      <c r="AY805" s="403"/>
      <c r="AZ805" s="380"/>
      <c r="BA805" s="380"/>
      <c r="BB805" s="380"/>
      <c r="BC805" s="380"/>
      <c r="BD805" s="380"/>
      <c r="BE805" s="404"/>
      <c r="BF805" s="380"/>
      <c r="BG805" s="380"/>
      <c r="BH805" s="380"/>
      <c r="BI805" s="380"/>
      <c r="BJ805" s="380"/>
      <c r="BK805" s="380"/>
      <c r="BL805" s="380"/>
      <c r="BM805" s="403"/>
      <c r="BS805" s="83"/>
      <c r="CA805" s="405"/>
      <c r="CG805" s="83"/>
      <c r="CO805" s="405"/>
      <c r="CU805" s="83"/>
      <c r="DC805" s="405"/>
      <c r="DI805" s="83"/>
      <c r="DQ805" s="405"/>
      <c r="DW805" s="83"/>
      <c r="EE805" s="405"/>
      <c r="EK805" s="83"/>
      <c r="ES805" s="405"/>
      <c r="EY805" s="83"/>
      <c r="FG805" s="405"/>
      <c r="FM805" s="83"/>
      <c r="FU805" s="405"/>
      <c r="GA805" s="83"/>
      <c r="GI805" s="405"/>
      <c r="GO805" s="83"/>
      <c r="GW805" s="405"/>
      <c r="HC805" s="83"/>
      <c r="HK805" s="405"/>
      <c r="HQ805" s="83"/>
      <c r="HY805" s="405"/>
      <c r="IE805" s="83"/>
      <c r="IM805" s="405"/>
      <c r="IS805" s="83"/>
      <c r="JA805" s="405"/>
      <c r="JG805" s="83"/>
      <c r="JO805" s="405"/>
      <c r="JU805" s="83"/>
      <c r="KC805" s="405"/>
      <c r="KI805" s="83"/>
      <c r="KQ805" s="405"/>
      <c r="KW805" s="83"/>
      <c r="LE805" s="405"/>
      <c r="LK805" s="83"/>
      <c r="LS805" s="405"/>
      <c r="LY805" s="83"/>
      <c r="MG805" s="405"/>
      <c r="MM805" s="83"/>
      <c r="MU805" s="405"/>
      <c r="NA805" s="83"/>
    </row>
    <row r="806">
      <c r="A806" s="380"/>
      <c r="B806" s="380"/>
      <c r="C806" s="380"/>
      <c r="D806" s="380"/>
      <c r="E806" s="380"/>
      <c r="F806" s="380"/>
      <c r="G806" s="380"/>
      <c r="H806" s="380"/>
      <c r="I806" s="403"/>
      <c r="J806" s="380"/>
      <c r="K806" s="380"/>
      <c r="L806" s="380"/>
      <c r="M806" s="380"/>
      <c r="N806" s="380"/>
      <c r="O806" s="404"/>
      <c r="P806" s="380"/>
      <c r="Q806" s="380"/>
      <c r="R806" s="380"/>
      <c r="S806" s="380"/>
      <c r="T806" s="380"/>
      <c r="U806" s="380"/>
      <c r="V806" s="380"/>
      <c r="W806" s="403"/>
      <c r="X806" s="380"/>
      <c r="Y806" s="380"/>
      <c r="Z806" s="380"/>
      <c r="AA806" s="380"/>
      <c r="AB806" s="380"/>
      <c r="AC806" s="404"/>
      <c r="AD806" s="380"/>
      <c r="AE806" s="380"/>
      <c r="AF806" s="380"/>
      <c r="AG806" s="380"/>
      <c r="AH806" s="380"/>
      <c r="AI806" s="380"/>
      <c r="AJ806" s="380"/>
      <c r="AK806" s="403"/>
      <c r="AL806" s="380"/>
      <c r="AM806" s="380"/>
      <c r="AN806" s="380"/>
      <c r="AO806" s="380"/>
      <c r="AP806" s="380"/>
      <c r="AQ806" s="404"/>
      <c r="AR806" s="380"/>
      <c r="AS806" s="380"/>
      <c r="AT806" s="380"/>
      <c r="AU806" s="380"/>
      <c r="AV806" s="380"/>
      <c r="AW806" s="380"/>
      <c r="AX806" s="380"/>
      <c r="AY806" s="403"/>
      <c r="AZ806" s="380"/>
      <c r="BA806" s="380"/>
      <c r="BB806" s="380"/>
      <c r="BC806" s="380"/>
      <c r="BD806" s="380"/>
      <c r="BE806" s="404"/>
      <c r="BF806" s="380"/>
      <c r="BG806" s="380"/>
      <c r="BH806" s="380"/>
      <c r="BI806" s="380"/>
      <c r="BJ806" s="380"/>
      <c r="BK806" s="380"/>
      <c r="BL806" s="380"/>
      <c r="BM806" s="403"/>
      <c r="BS806" s="83"/>
      <c r="CA806" s="405"/>
      <c r="CG806" s="83"/>
      <c r="CO806" s="405"/>
      <c r="CU806" s="83"/>
      <c r="DC806" s="405"/>
      <c r="DI806" s="83"/>
      <c r="DQ806" s="405"/>
      <c r="DW806" s="83"/>
      <c r="EE806" s="405"/>
      <c r="EK806" s="83"/>
      <c r="ES806" s="405"/>
      <c r="EY806" s="83"/>
      <c r="FG806" s="405"/>
      <c r="FM806" s="83"/>
      <c r="FU806" s="405"/>
      <c r="GA806" s="83"/>
      <c r="GI806" s="405"/>
      <c r="GO806" s="83"/>
      <c r="GW806" s="405"/>
      <c r="HC806" s="83"/>
      <c r="HK806" s="405"/>
      <c r="HQ806" s="83"/>
      <c r="HY806" s="405"/>
      <c r="IE806" s="83"/>
      <c r="IM806" s="405"/>
      <c r="IS806" s="83"/>
      <c r="JA806" s="405"/>
      <c r="JG806" s="83"/>
      <c r="JO806" s="405"/>
      <c r="JU806" s="83"/>
      <c r="KC806" s="405"/>
      <c r="KI806" s="83"/>
      <c r="KQ806" s="405"/>
      <c r="KW806" s="83"/>
      <c r="LE806" s="405"/>
      <c r="LK806" s="83"/>
      <c r="LS806" s="405"/>
      <c r="LY806" s="83"/>
      <c r="MG806" s="405"/>
      <c r="MM806" s="83"/>
      <c r="MU806" s="405"/>
      <c r="NA806" s="83"/>
    </row>
    <row r="807">
      <c r="A807" s="380"/>
      <c r="B807" s="380"/>
      <c r="C807" s="380"/>
      <c r="D807" s="380"/>
      <c r="E807" s="380"/>
      <c r="F807" s="380"/>
      <c r="G807" s="380"/>
      <c r="H807" s="380"/>
      <c r="I807" s="403"/>
      <c r="J807" s="380"/>
      <c r="K807" s="380"/>
      <c r="L807" s="380"/>
      <c r="M807" s="380"/>
      <c r="N807" s="380"/>
      <c r="O807" s="404"/>
      <c r="P807" s="380"/>
      <c r="Q807" s="380"/>
      <c r="R807" s="380"/>
      <c r="S807" s="380"/>
      <c r="T807" s="380"/>
      <c r="U807" s="380"/>
      <c r="V807" s="380"/>
      <c r="W807" s="403"/>
      <c r="X807" s="380"/>
      <c r="Y807" s="380"/>
      <c r="Z807" s="380"/>
      <c r="AA807" s="380"/>
      <c r="AB807" s="380"/>
      <c r="AC807" s="404"/>
      <c r="AD807" s="380"/>
      <c r="AE807" s="380"/>
      <c r="AF807" s="380"/>
      <c r="AG807" s="380"/>
      <c r="AH807" s="380"/>
      <c r="AI807" s="380"/>
      <c r="AJ807" s="380"/>
      <c r="AK807" s="403"/>
      <c r="AL807" s="380"/>
      <c r="AM807" s="380"/>
      <c r="AN807" s="380"/>
      <c r="AO807" s="380"/>
      <c r="AP807" s="380"/>
      <c r="AQ807" s="404"/>
      <c r="AR807" s="380"/>
      <c r="AS807" s="380"/>
      <c r="AT807" s="380"/>
      <c r="AU807" s="380"/>
      <c r="AV807" s="380"/>
      <c r="AW807" s="380"/>
      <c r="AX807" s="380"/>
      <c r="AY807" s="403"/>
      <c r="AZ807" s="380"/>
      <c r="BA807" s="380"/>
      <c r="BB807" s="380"/>
      <c r="BC807" s="380"/>
      <c r="BD807" s="380"/>
      <c r="BE807" s="404"/>
      <c r="BF807" s="380"/>
      <c r="BG807" s="380"/>
      <c r="BH807" s="380"/>
      <c r="BI807" s="380"/>
      <c r="BJ807" s="380"/>
      <c r="BK807" s="380"/>
      <c r="BL807" s="380"/>
      <c r="BM807" s="403"/>
      <c r="BS807" s="83"/>
      <c r="CA807" s="405"/>
      <c r="CG807" s="83"/>
      <c r="CO807" s="405"/>
      <c r="CU807" s="83"/>
      <c r="DC807" s="405"/>
      <c r="DI807" s="83"/>
      <c r="DQ807" s="405"/>
      <c r="DW807" s="83"/>
      <c r="EE807" s="405"/>
      <c r="EK807" s="83"/>
      <c r="ES807" s="405"/>
      <c r="EY807" s="83"/>
      <c r="FG807" s="405"/>
      <c r="FM807" s="83"/>
      <c r="FU807" s="405"/>
      <c r="GA807" s="83"/>
      <c r="GI807" s="405"/>
      <c r="GO807" s="83"/>
      <c r="GW807" s="405"/>
      <c r="HC807" s="83"/>
      <c r="HK807" s="405"/>
      <c r="HQ807" s="83"/>
      <c r="HY807" s="405"/>
      <c r="IE807" s="83"/>
      <c r="IM807" s="405"/>
      <c r="IS807" s="83"/>
      <c r="JA807" s="405"/>
      <c r="JG807" s="83"/>
      <c r="JO807" s="405"/>
      <c r="JU807" s="83"/>
      <c r="KC807" s="405"/>
      <c r="KI807" s="83"/>
      <c r="KQ807" s="405"/>
      <c r="KW807" s="83"/>
      <c r="LE807" s="405"/>
      <c r="LK807" s="83"/>
      <c r="LS807" s="405"/>
      <c r="LY807" s="83"/>
      <c r="MG807" s="405"/>
      <c r="MM807" s="83"/>
      <c r="MU807" s="405"/>
      <c r="NA807" s="83"/>
    </row>
    <row r="808">
      <c r="A808" s="380"/>
      <c r="B808" s="380"/>
      <c r="C808" s="380"/>
      <c r="D808" s="380"/>
      <c r="E808" s="380"/>
      <c r="F808" s="380"/>
      <c r="G808" s="380"/>
      <c r="H808" s="380"/>
      <c r="I808" s="403"/>
      <c r="J808" s="380"/>
      <c r="K808" s="380"/>
      <c r="L808" s="380"/>
      <c r="M808" s="380"/>
      <c r="N808" s="380"/>
      <c r="O808" s="404"/>
      <c r="P808" s="380"/>
      <c r="Q808" s="380"/>
      <c r="R808" s="380"/>
      <c r="S808" s="380"/>
      <c r="T808" s="380"/>
      <c r="U808" s="380"/>
      <c r="V808" s="380"/>
      <c r="W808" s="403"/>
      <c r="X808" s="380"/>
      <c r="Y808" s="380"/>
      <c r="Z808" s="380"/>
      <c r="AA808" s="380"/>
      <c r="AB808" s="380"/>
      <c r="AC808" s="404"/>
      <c r="AD808" s="380"/>
      <c r="AE808" s="380"/>
      <c r="AF808" s="380"/>
      <c r="AG808" s="380"/>
      <c r="AH808" s="380"/>
      <c r="AI808" s="380"/>
      <c r="AJ808" s="380"/>
      <c r="AK808" s="403"/>
      <c r="AL808" s="380"/>
      <c r="AM808" s="380"/>
      <c r="AN808" s="380"/>
      <c r="AO808" s="380"/>
      <c r="AP808" s="380"/>
      <c r="AQ808" s="404"/>
      <c r="AR808" s="380"/>
      <c r="AS808" s="380"/>
      <c r="AT808" s="380"/>
      <c r="AU808" s="380"/>
      <c r="AV808" s="380"/>
      <c r="AW808" s="380"/>
      <c r="AX808" s="380"/>
      <c r="AY808" s="403"/>
      <c r="AZ808" s="380"/>
      <c r="BA808" s="380"/>
      <c r="BB808" s="380"/>
      <c r="BC808" s="380"/>
      <c r="BD808" s="380"/>
      <c r="BE808" s="404"/>
      <c r="BF808" s="380"/>
      <c r="BG808" s="380"/>
      <c r="BH808" s="380"/>
      <c r="BI808" s="380"/>
      <c r="BJ808" s="380"/>
      <c r="BK808" s="380"/>
      <c r="BL808" s="380"/>
      <c r="BM808" s="403"/>
      <c r="BS808" s="83"/>
      <c r="CA808" s="405"/>
      <c r="CG808" s="83"/>
      <c r="CO808" s="405"/>
      <c r="CU808" s="83"/>
      <c r="DC808" s="405"/>
      <c r="DI808" s="83"/>
      <c r="DQ808" s="405"/>
      <c r="DW808" s="83"/>
      <c r="EE808" s="405"/>
      <c r="EK808" s="83"/>
      <c r="ES808" s="405"/>
      <c r="EY808" s="83"/>
      <c r="FG808" s="405"/>
      <c r="FM808" s="83"/>
      <c r="FU808" s="405"/>
      <c r="GA808" s="83"/>
      <c r="GI808" s="405"/>
      <c r="GO808" s="83"/>
      <c r="GW808" s="405"/>
      <c r="HC808" s="83"/>
      <c r="HK808" s="405"/>
      <c r="HQ808" s="83"/>
      <c r="HY808" s="405"/>
      <c r="IE808" s="83"/>
      <c r="IM808" s="405"/>
      <c r="IS808" s="83"/>
      <c r="JA808" s="405"/>
      <c r="JG808" s="83"/>
      <c r="JO808" s="405"/>
      <c r="JU808" s="83"/>
      <c r="KC808" s="405"/>
      <c r="KI808" s="83"/>
      <c r="KQ808" s="405"/>
      <c r="KW808" s="83"/>
      <c r="LE808" s="405"/>
      <c r="LK808" s="83"/>
      <c r="LS808" s="405"/>
      <c r="LY808" s="83"/>
      <c r="MG808" s="405"/>
      <c r="MM808" s="83"/>
      <c r="MU808" s="405"/>
      <c r="NA808" s="83"/>
    </row>
    <row r="809">
      <c r="A809" s="380"/>
      <c r="B809" s="380"/>
      <c r="C809" s="380"/>
      <c r="D809" s="380"/>
      <c r="E809" s="380"/>
      <c r="F809" s="380"/>
      <c r="G809" s="380"/>
      <c r="H809" s="380"/>
      <c r="I809" s="403"/>
      <c r="J809" s="380"/>
      <c r="K809" s="380"/>
      <c r="L809" s="380"/>
      <c r="M809" s="380"/>
      <c r="N809" s="380"/>
      <c r="O809" s="404"/>
      <c r="P809" s="380"/>
      <c r="Q809" s="380"/>
      <c r="R809" s="380"/>
      <c r="S809" s="380"/>
      <c r="T809" s="380"/>
      <c r="U809" s="380"/>
      <c r="V809" s="380"/>
      <c r="W809" s="403"/>
      <c r="X809" s="380"/>
      <c r="Y809" s="380"/>
      <c r="Z809" s="380"/>
      <c r="AA809" s="380"/>
      <c r="AB809" s="380"/>
      <c r="AC809" s="404"/>
      <c r="AD809" s="380"/>
      <c r="AE809" s="380"/>
      <c r="AF809" s="380"/>
      <c r="AG809" s="380"/>
      <c r="AH809" s="380"/>
      <c r="AI809" s="380"/>
      <c r="AJ809" s="380"/>
      <c r="AK809" s="403"/>
      <c r="AL809" s="380"/>
      <c r="AM809" s="380"/>
      <c r="AN809" s="380"/>
      <c r="AO809" s="380"/>
      <c r="AP809" s="380"/>
      <c r="AQ809" s="404"/>
      <c r="AR809" s="380"/>
      <c r="AS809" s="380"/>
      <c r="AT809" s="380"/>
      <c r="AU809" s="380"/>
      <c r="AV809" s="380"/>
      <c r="AW809" s="380"/>
      <c r="AX809" s="380"/>
      <c r="AY809" s="403"/>
      <c r="AZ809" s="380"/>
      <c r="BA809" s="380"/>
      <c r="BB809" s="380"/>
      <c r="BC809" s="380"/>
      <c r="BD809" s="380"/>
      <c r="BE809" s="404"/>
      <c r="BF809" s="380"/>
      <c r="BG809" s="380"/>
      <c r="BH809" s="380"/>
      <c r="BI809" s="380"/>
      <c r="BJ809" s="380"/>
      <c r="BK809" s="380"/>
      <c r="BL809" s="380"/>
      <c r="BM809" s="403"/>
      <c r="BS809" s="83"/>
      <c r="CA809" s="405"/>
      <c r="CG809" s="83"/>
      <c r="CO809" s="405"/>
      <c r="CU809" s="83"/>
      <c r="DC809" s="405"/>
      <c r="DI809" s="83"/>
      <c r="DQ809" s="405"/>
      <c r="DW809" s="83"/>
      <c r="EE809" s="405"/>
      <c r="EK809" s="83"/>
      <c r="ES809" s="405"/>
      <c r="EY809" s="83"/>
      <c r="FG809" s="405"/>
      <c r="FM809" s="83"/>
      <c r="FU809" s="405"/>
      <c r="GA809" s="83"/>
      <c r="GI809" s="405"/>
      <c r="GO809" s="83"/>
      <c r="GW809" s="405"/>
      <c r="HC809" s="83"/>
      <c r="HK809" s="405"/>
      <c r="HQ809" s="83"/>
      <c r="HY809" s="405"/>
      <c r="IE809" s="83"/>
      <c r="IM809" s="405"/>
      <c r="IS809" s="83"/>
      <c r="JA809" s="405"/>
      <c r="JG809" s="83"/>
      <c r="JO809" s="405"/>
      <c r="JU809" s="83"/>
      <c r="KC809" s="405"/>
      <c r="KI809" s="83"/>
      <c r="KQ809" s="405"/>
      <c r="KW809" s="83"/>
      <c r="LE809" s="405"/>
      <c r="LK809" s="83"/>
      <c r="LS809" s="405"/>
      <c r="LY809" s="83"/>
      <c r="MG809" s="405"/>
      <c r="MM809" s="83"/>
      <c r="MU809" s="405"/>
      <c r="NA809" s="83"/>
    </row>
    <row r="810">
      <c r="A810" s="380"/>
      <c r="B810" s="380"/>
      <c r="C810" s="380"/>
      <c r="D810" s="380"/>
      <c r="E810" s="380"/>
      <c r="F810" s="380"/>
      <c r="G810" s="380"/>
      <c r="H810" s="380"/>
      <c r="I810" s="403"/>
      <c r="J810" s="380"/>
      <c r="K810" s="380"/>
      <c r="L810" s="380"/>
      <c r="M810" s="380"/>
      <c r="N810" s="380"/>
      <c r="O810" s="404"/>
      <c r="P810" s="380"/>
      <c r="Q810" s="380"/>
      <c r="R810" s="380"/>
      <c r="S810" s="380"/>
      <c r="T810" s="380"/>
      <c r="U810" s="380"/>
      <c r="V810" s="380"/>
      <c r="W810" s="403"/>
      <c r="X810" s="380"/>
      <c r="Y810" s="380"/>
      <c r="Z810" s="380"/>
      <c r="AA810" s="380"/>
      <c r="AB810" s="380"/>
      <c r="AC810" s="404"/>
      <c r="AD810" s="380"/>
      <c r="AE810" s="380"/>
      <c r="AF810" s="380"/>
      <c r="AG810" s="380"/>
      <c r="AH810" s="380"/>
      <c r="AI810" s="380"/>
      <c r="AJ810" s="380"/>
      <c r="AK810" s="403"/>
      <c r="AL810" s="380"/>
      <c r="AM810" s="380"/>
      <c r="AN810" s="380"/>
      <c r="AO810" s="380"/>
      <c r="AP810" s="380"/>
      <c r="AQ810" s="404"/>
      <c r="AR810" s="380"/>
      <c r="AS810" s="380"/>
      <c r="AT810" s="380"/>
      <c r="AU810" s="380"/>
      <c r="AV810" s="380"/>
      <c r="AW810" s="380"/>
      <c r="AX810" s="380"/>
      <c r="AY810" s="403"/>
      <c r="AZ810" s="380"/>
      <c r="BA810" s="380"/>
      <c r="BB810" s="380"/>
      <c r="BC810" s="380"/>
      <c r="BD810" s="380"/>
      <c r="BE810" s="404"/>
      <c r="BF810" s="380"/>
      <c r="BG810" s="380"/>
      <c r="BH810" s="380"/>
      <c r="BI810" s="380"/>
      <c r="BJ810" s="380"/>
      <c r="BK810" s="380"/>
      <c r="BL810" s="380"/>
      <c r="BM810" s="403"/>
      <c r="BS810" s="83"/>
      <c r="CA810" s="405"/>
      <c r="CG810" s="83"/>
      <c r="CO810" s="405"/>
      <c r="CU810" s="83"/>
      <c r="DC810" s="405"/>
      <c r="DI810" s="83"/>
      <c r="DQ810" s="405"/>
      <c r="DW810" s="83"/>
      <c r="EE810" s="405"/>
      <c r="EK810" s="83"/>
      <c r="ES810" s="405"/>
      <c r="EY810" s="83"/>
      <c r="FG810" s="405"/>
      <c r="FM810" s="83"/>
      <c r="FU810" s="405"/>
      <c r="GA810" s="83"/>
      <c r="GI810" s="405"/>
      <c r="GO810" s="83"/>
      <c r="GW810" s="405"/>
      <c r="HC810" s="83"/>
      <c r="HK810" s="405"/>
      <c r="HQ810" s="83"/>
      <c r="HY810" s="405"/>
      <c r="IE810" s="83"/>
      <c r="IM810" s="405"/>
      <c r="IS810" s="83"/>
      <c r="JA810" s="405"/>
      <c r="JG810" s="83"/>
      <c r="JO810" s="405"/>
      <c r="JU810" s="83"/>
      <c r="KC810" s="405"/>
      <c r="KI810" s="83"/>
      <c r="KQ810" s="405"/>
      <c r="KW810" s="83"/>
      <c r="LE810" s="405"/>
      <c r="LK810" s="83"/>
      <c r="LS810" s="405"/>
      <c r="LY810" s="83"/>
      <c r="MG810" s="405"/>
      <c r="MM810" s="83"/>
      <c r="MU810" s="405"/>
      <c r="NA810" s="83"/>
    </row>
    <row r="811">
      <c r="A811" s="380"/>
      <c r="B811" s="380"/>
      <c r="C811" s="380"/>
      <c r="D811" s="380"/>
      <c r="E811" s="380"/>
      <c r="F811" s="380"/>
      <c r="G811" s="380"/>
      <c r="H811" s="380"/>
      <c r="I811" s="403"/>
      <c r="J811" s="380"/>
      <c r="K811" s="380"/>
      <c r="L811" s="380"/>
      <c r="M811" s="380"/>
      <c r="N811" s="380"/>
      <c r="O811" s="404"/>
      <c r="P811" s="380"/>
      <c r="Q811" s="380"/>
      <c r="R811" s="380"/>
      <c r="S811" s="380"/>
      <c r="T811" s="380"/>
      <c r="U811" s="380"/>
      <c r="V811" s="380"/>
      <c r="W811" s="403"/>
      <c r="X811" s="380"/>
      <c r="Y811" s="380"/>
      <c r="Z811" s="380"/>
      <c r="AA811" s="380"/>
      <c r="AB811" s="380"/>
      <c r="AC811" s="404"/>
      <c r="AD811" s="380"/>
      <c r="AE811" s="380"/>
      <c r="AF811" s="380"/>
      <c r="AG811" s="380"/>
      <c r="AH811" s="380"/>
      <c r="AI811" s="380"/>
      <c r="AJ811" s="380"/>
      <c r="AK811" s="403"/>
      <c r="AL811" s="380"/>
      <c r="AM811" s="380"/>
      <c r="AN811" s="380"/>
      <c r="AO811" s="380"/>
      <c r="AP811" s="380"/>
      <c r="AQ811" s="404"/>
      <c r="AR811" s="380"/>
      <c r="AS811" s="380"/>
      <c r="AT811" s="380"/>
      <c r="AU811" s="380"/>
      <c r="AV811" s="380"/>
      <c r="AW811" s="380"/>
      <c r="AX811" s="380"/>
      <c r="AY811" s="403"/>
      <c r="AZ811" s="380"/>
      <c r="BA811" s="380"/>
      <c r="BB811" s="380"/>
      <c r="BC811" s="380"/>
      <c r="BD811" s="380"/>
      <c r="BE811" s="404"/>
      <c r="BF811" s="380"/>
      <c r="BG811" s="380"/>
      <c r="BH811" s="380"/>
      <c r="BI811" s="380"/>
      <c r="BJ811" s="380"/>
      <c r="BK811" s="380"/>
      <c r="BL811" s="380"/>
      <c r="BM811" s="403"/>
      <c r="BS811" s="83"/>
      <c r="CA811" s="405"/>
      <c r="CG811" s="83"/>
      <c r="CO811" s="405"/>
      <c r="CU811" s="83"/>
      <c r="DC811" s="405"/>
      <c r="DI811" s="83"/>
      <c r="DQ811" s="405"/>
      <c r="DW811" s="83"/>
      <c r="EE811" s="405"/>
      <c r="EK811" s="83"/>
      <c r="ES811" s="405"/>
      <c r="EY811" s="83"/>
      <c r="FG811" s="405"/>
      <c r="FM811" s="83"/>
      <c r="FU811" s="405"/>
      <c r="GA811" s="83"/>
      <c r="GI811" s="405"/>
      <c r="GO811" s="83"/>
      <c r="GW811" s="405"/>
      <c r="HC811" s="83"/>
      <c r="HK811" s="405"/>
      <c r="HQ811" s="83"/>
      <c r="HY811" s="405"/>
      <c r="IE811" s="83"/>
      <c r="IM811" s="405"/>
      <c r="IS811" s="83"/>
      <c r="JA811" s="405"/>
      <c r="JG811" s="83"/>
      <c r="JO811" s="405"/>
      <c r="JU811" s="83"/>
      <c r="KC811" s="405"/>
      <c r="KI811" s="83"/>
      <c r="KQ811" s="405"/>
      <c r="KW811" s="83"/>
      <c r="LE811" s="405"/>
      <c r="LK811" s="83"/>
      <c r="LS811" s="405"/>
      <c r="LY811" s="83"/>
      <c r="MG811" s="405"/>
      <c r="MM811" s="83"/>
      <c r="MU811" s="405"/>
      <c r="NA811" s="83"/>
    </row>
    <row r="812">
      <c r="A812" s="380"/>
      <c r="B812" s="380"/>
      <c r="C812" s="380"/>
      <c r="D812" s="380"/>
      <c r="E812" s="380"/>
      <c r="F812" s="380"/>
      <c r="G812" s="380"/>
      <c r="H812" s="380"/>
      <c r="I812" s="403"/>
      <c r="J812" s="380"/>
      <c r="K812" s="380"/>
      <c r="L812" s="380"/>
      <c r="M812" s="380"/>
      <c r="N812" s="380"/>
      <c r="O812" s="404"/>
      <c r="P812" s="380"/>
      <c r="Q812" s="380"/>
      <c r="R812" s="380"/>
      <c r="S812" s="380"/>
      <c r="T812" s="380"/>
      <c r="U812" s="380"/>
      <c r="V812" s="380"/>
      <c r="W812" s="403"/>
      <c r="X812" s="380"/>
      <c r="Y812" s="380"/>
      <c r="Z812" s="380"/>
      <c r="AA812" s="380"/>
      <c r="AB812" s="380"/>
      <c r="AC812" s="404"/>
      <c r="AD812" s="380"/>
      <c r="AE812" s="380"/>
      <c r="AF812" s="380"/>
      <c r="AG812" s="380"/>
      <c r="AH812" s="380"/>
      <c r="AI812" s="380"/>
      <c r="AJ812" s="380"/>
      <c r="AK812" s="403"/>
      <c r="AL812" s="380"/>
      <c r="AM812" s="380"/>
      <c r="AN812" s="380"/>
      <c r="AO812" s="380"/>
      <c r="AP812" s="380"/>
      <c r="AQ812" s="404"/>
      <c r="AR812" s="380"/>
      <c r="AS812" s="380"/>
      <c r="AT812" s="380"/>
      <c r="AU812" s="380"/>
      <c r="AV812" s="380"/>
      <c r="AW812" s="380"/>
      <c r="AX812" s="380"/>
      <c r="AY812" s="403"/>
      <c r="AZ812" s="380"/>
      <c r="BA812" s="380"/>
      <c r="BB812" s="380"/>
      <c r="BC812" s="380"/>
      <c r="BD812" s="380"/>
      <c r="BE812" s="404"/>
      <c r="BF812" s="380"/>
      <c r="BG812" s="380"/>
      <c r="BH812" s="380"/>
      <c r="BI812" s="380"/>
      <c r="BJ812" s="380"/>
      <c r="BK812" s="380"/>
      <c r="BL812" s="380"/>
      <c r="BM812" s="403"/>
      <c r="BS812" s="83"/>
      <c r="CA812" s="405"/>
      <c r="CG812" s="83"/>
      <c r="CO812" s="405"/>
      <c r="CU812" s="83"/>
      <c r="DC812" s="405"/>
      <c r="DI812" s="83"/>
      <c r="DQ812" s="405"/>
      <c r="DW812" s="83"/>
      <c r="EE812" s="405"/>
      <c r="EK812" s="83"/>
      <c r="ES812" s="405"/>
      <c r="EY812" s="83"/>
      <c r="FG812" s="405"/>
      <c r="FM812" s="83"/>
      <c r="FU812" s="405"/>
      <c r="GA812" s="83"/>
      <c r="GI812" s="405"/>
      <c r="GO812" s="83"/>
      <c r="GW812" s="405"/>
      <c r="HC812" s="83"/>
      <c r="HK812" s="405"/>
      <c r="HQ812" s="83"/>
      <c r="HY812" s="405"/>
      <c r="IE812" s="83"/>
      <c r="IM812" s="405"/>
      <c r="IS812" s="83"/>
      <c r="JA812" s="405"/>
      <c r="JG812" s="83"/>
      <c r="JO812" s="405"/>
      <c r="JU812" s="83"/>
      <c r="KC812" s="405"/>
      <c r="KI812" s="83"/>
      <c r="KQ812" s="405"/>
      <c r="KW812" s="83"/>
      <c r="LE812" s="405"/>
      <c r="LK812" s="83"/>
      <c r="LS812" s="405"/>
      <c r="LY812" s="83"/>
      <c r="MG812" s="405"/>
      <c r="MM812" s="83"/>
      <c r="MU812" s="405"/>
      <c r="NA812" s="83"/>
    </row>
    <row r="813">
      <c r="A813" s="380"/>
      <c r="B813" s="380"/>
      <c r="C813" s="380"/>
      <c r="D813" s="380"/>
      <c r="E813" s="380"/>
      <c r="F813" s="380"/>
      <c r="G813" s="380"/>
      <c r="H813" s="380"/>
      <c r="I813" s="403"/>
      <c r="J813" s="380"/>
      <c r="K813" s="380"/>
      <c r="L813" s="380"/>
      <c r="M813" s="380"/>
      <c r="N813" s="380"/>
      <c r="O813" s="404"/>
      <c r="P813" s="380"/>
      <c r="Q813" s="380"/>
      <c r="R813" s="380"/>
      <c r="S813" s="380"/>
      <c r="T813" s="380"/>
      <c r="U813" s="380"/>
      <c r="V813" s="380"/>
      <c r="W813" s="403"/>
      <c r="X813" s="380"/>
      <c r="Y813" s="380"/>
      <c r="Z813" s="380"/>
      <c r="AA813" s="380"/>
      <c r="AB813" s="380"/>
      <c r="AC813" s="404"/>
      <c r="AD813" s="380"/>
      <c r="AE813" s="380"/>
      <c r="AF813" s="380"/>
      <c r="AG813" s="380"/>
      <c r="AH813" s="380"/>
      <c r="AI813" s="380"/>
      <c r="AJ813" s="380"/>
      <c r="AK813" s="403"/>
      <c r="AL813" s="380"/>
      <c r="AM813" s="380"/>
      <c r="AN813" s="380"/>
      <c r="AO813" s="380"/>
      <c r="AP813" s="380"/>
      <c r="AQ813" s="404"/>
      <c r="AR813" s="380"/>
      <c r="AS813" s="380"/>
      <c r="AT813" s="380"/>
      <c r="AU813" s="380"/>
      <c r="AV813" s="380"/>
      <c r="AW813" s="380"/>
      <c r="AX813" s="380"/>
      <c r="AY813" s="403"/>
      <c r="AZ813" s="380"/>
      <c r="BA813" s="380"/>
      <c r="BB813" s="380"/>
      <c r="BC813" s="380"/>
      <c r="BD813" s="380"/>
      <c r="BE813" s="404"/>
      <c r="BF813" s="380"/>
      <c r="BG813" s="380"/>
      <c r="BH813" s="380"/>
      <c r="BI813" s="380"/>
      <c r="BJ813" s="380"/>
      <c r="BK813" s="380"/>
      <c r="BL813" s="380"/>
      <c r="BM813" s="403"/>
      <c r="BS813" s="83"/>
      <c r="CA813" s="405"/>
      <c r="CG813" s="83"/>
      <c r="CO813" s="405"/>
      <c r="CU813" s="83"/>
      <c r="DC813" s="405"/>
      <c r="DI813" s="83"/>
      <c r="DQ813" s="405"/>
      <c r="DW813" s="83"/>
      <c r="EE813" s="405"/>
      <c r="EK813" s="83"/>
      <c r="ES813" s="405"/>
      <c r="EY813" s="83"/>
      <c r="FG813" s="405"/>
      <c r="FM813" s="83"/>
      <c r="FU813" s="405"/>
      <c r="GA813" s="83"/>
      <c r="GI813" s="405"/>
      <c r="GO813" s="83"/>
      <c r="GW813" s="405"/>
      <c r="HC813" s="83"/>
      <c r="HK813" s="405"/>
      <c r="HQ813" s="83"/>
      <c r="HY813" s="405"/>
      <c r="IE813" s="83"/>
      <c r="IM813" s="405"/>
      <c r="IS813" s="83"/>
      <c r="JA813" s="405"/>
      <c r="JG813" s="83"/>
      <c r="JO813" s="405"/>
      <c r="JU813" s="83"/>
      <c r="KC813" s="405"/>
      <c r="KI813" s="83"/>
      <c r="KQ813" s="405"/>
      <c r="KW813" s="83"/>
      <c r="LE813" s="405"/>
      <c r="LK813" s="83"/>
      <c r="LS813" s="405"/>
      <c r="LY813" s="83"/>
      <c r="MG813" s="405"/>
      <c r="MM813" s="83"/>
      <c r="MU813" s="405"/>
      <c r="NA813" s="83"/>
    </row>
    <row r="814">
      <c r="A814" s="380"/>
      <c r="B814" s="380"/>
      <c r="C814" s="380"/>
      <c r="D814" s="380"/>
      <c r="E814" s="380"/>
      <c r="F814" s="380"/>
      <c r="G814" s="380"/>
      <c r="H814" s="380"/>
      <c r="I814" s="403"/>
      <c r="J814" s="380"/>
      <c r="K814" s="380"/>
      <c r="L814" s="380"/>
      <c r="M814" s="380"/>
      <c r="N814" s="380"/>
      <c r="O814" s="404"/>
      <c r="P814" s="380"/>
      <c r="Q814" s="380"/>
      <c r="R814" s="380"/>
      <c r="S814" s="380"/>
      <c r="T814" s="380"/>
      <c r="U814" s="380"/>
      <c r="V814" s="380"/>
      <c r="W814" s="403"/>
      <c r="X814" s="380"/>
      <c r="Y814" s="380"/>
      <c r="Z814" s="380"/>
      <c r="AA814" s="380"/>
      <c r="AB814" s="380"/>
      <c r="AC814" s="404"/>
      <c r="AD814" s="380"/>
      <c r="AE814" s="380"/>
      <c r="AF814" s="380"/>
      <c r="AG814" s="380"/>
      <c r="AH814" s="380"/>
      <c r="AI814" s="380"/>
      <c r="AJ814" s="380"/>
      <c r="AK814" s="403"/>
      <c r="AL814" s="380"/>
      <c r="AM814" s="380"/>
      <c r="AN814" s="380"/>
      <c r="AO814" s="380"/>
      <c r="AP814" s="380"/>
      <c r="AQ814" s="404"/>
      <c r="AR814" s="380"/>
      <c r="AS814" s="380"/>
      <c r="AT814" s="380"/>
      <c r="AU814" s="380"/>
      <c r="AV814" s="380"/>
      <c r="AW814" s="380"/>
      <c r="AX814" s="380"/>
      <c r="AY814" s="403"/>
      <c r="AZ814" s="380"/>
      <c r="BA814" s="380"/>
      <c r="BB814" s="380"/>
      <c r="BC814" s="380"/>
      <c r="BD814" s="380"/>
      <c r="BE814" s="404"/>
      <c r="BF814" s="380"/>
      <c r="BG814" s="380"/>
      <c r="BH814" s="380"/>
      <c r="BI814" s="380"/>
      <c r="BJ814" s="380"/>
      <c r="BK814" s="380"/>
      <c r="BL814" s="380"/>
      <c r="BM814" s="403"/>
      <c r="BS814" s="83"/>
      <c r="CA814" s="405"/>
      <c r="CG814" s="83"/>
      <c r="CO814" s="405"/>
      <c r="CU814" s="83"/>
      <c r="DC814" s="405"/>
      <c r="DI814" s="83"/>
      <c r="DQ814" s="405"/>
      <c r="DW814" s="83"/>
      <c r="EE814" s="405"/>
      <c r="EK814" s="83"/>
      <c r="ES814" s="405"/>
      <c r="EY814" s="83"/>
      <c r="FG814" s="405"/>
      <c r="FM814" s="83"/>
      <c r="FU814" s="405"/>
      <c r="GA814" s="83"/>
      <c r="GI814" s="405"/>
      <c r="GO814" s="83"/>
      <c r="GW814" s="405"/>
      <c r="HC814" s="83"/>
      <c r="HK814" s="405"/>
      <c r="HQ814" s="83"/>
      <c r="HY814" s="405"/>
      <c r="IE814" s="83"/>
      <c r="IM814" s="405"/>
      <c r="IS814" s="83"/>
      <c r="JA814" s="405"/>
      <c r="JG814" s="83"/>
      <c r="JO814" s="405"/>
      <c r="JU814" s="83"/>
      <c r="KC814" s="405"/>
      <c r="KI814" s="83"/>
      <c r="KQ814" s="405"/>
      <c r="KW814" s="83"/>
      <c r="LE814" s="405"/>
      <c r="LK814" s="83"/>
      <c r="LS814" s="405"/>
      <c r="LY814" s="83"/>
      <c r="MG814" s="405"/>
      <c r="MM814" s="83"/>
      <c r="MU814" s="405"/>
      <c r="NA814" s="83"/>
    </row>
    <row r="815">
      <c r="A815" s="380"/>
      <c r="B815" s="380"/>
      <c r="C815" s="380"/>
      <c r="D815" s="380"/>
      <c r="E815" s="380"/>
      <c r="F815" s="380"/>
      <c r="G815" s="380"/>
      <c r="H815" s="380"/>
      <c r="I815" s="403"/>
      <c r="J815" s="380"/>
      <c r="K815" s="380"/>
      <c r="L815" s="380"/>
      <c r="M815" s="380"/>
      <c r="N815" s="380"/>
      <c r="O815" s="404"/>
      <c r="P815" s="380"/>
      <c r="Q815" s="380"/>
      <c r="R815" s="380"/>
      <c r="S815" s="380"/>
      <c r="T815" s="380"/>
      <c r="U815" s="380"/>
      <c r="V815" s="380"/>
      <c r="W815" s="403"/>
      <c r="X815" s="380"/>
      <c r="Y815" s="380"/>
      <c r="Z815" s="380"/>
      <c r="AA815" s="380"/>
      <c r="AB815" s="380"/>
      <c r="AC815" s="404"/>
      <c r="AD815" s="380"/>
      <c r="AE815" s="380"/>
      <c r="AF815" s="380"/>
      <c r="AG815" s="380"/>
      <c r="AH815" s="380"/>
      <c r="AI815" s="380"/>
      <c r="AJ815" s="380"/>
      <c r="AK815" s="403"/>
      <c r="AL815" s="380"/>
      <c r="AM815" s="380"/>
      <c r="AN815" s="380"/>
      <c r="AO815" s="380"/>
      <c r="AP815" s="380"/>
      <c r="AQ815" s="404"/>
      <c r="AR815" s="380"/>
      <c r="AS815" s="380"/>
      <c r="AT815" s="380"/>
      <c r="AU815" s="380"/>
      <c r="AV815" s="380"/>
      <c r="AW815" s="380"/>
      <c r="AX815" s="380"/>
      <c r="AY815" s="403"/>
      <c r="AZ815" s="380"/>
      <c r="BA815" s="380"/>
      <c r="BB815" s="380"/>
      <c r="BC815" s="380"/>
      <c r="BD815" s="380"/>
      <c r="BE815" s="404"/>
      <c r="BF815" s="380"/>
      <c r="BG815" s="380"/>
      <c r="BH815" s="380"/>
      <c r="BI815" s="380"/>
      <c r="BJ815" s="380"/>
      <c r="BK815" s="380"/>
      <c r="BL815" s="380"/>
      <c r="BM815" s="403"/>
      <c r="BS815" s="83"/>
      <c r="CA815" s="405"/>
      <c r="CG815" s="83"/>
      <c r="CO815" s="405"/>
      <c r="CU815" s="83"/>
      <c r="DC815" s="405"/>
      <c r="DI815" s="83"/>
      <c r="DQ815" s="405"/>
      <c r="DW815" s="83"/>
      <c r="EE815" s="405"/>
      <c r="EK815" s="83"/>
      <c r="ES815" s="405"/>
      <c r="EY815" s="83"/>
      <c r="FG815" s="405"/>
      <c r="FM815" s="83"/>
      <c r="FU815" s="405"/>
      <c r="GA815" s="83"/>
      <c r="GI815" s="405"/>
      <c r="GO815" s="83"/>
      <c r="GW815" s="405"/>
      <c r="HC815" s="83"/>
      <c r="HK815" s="405"/>
      <c r="HQ815" s="83"/>
      <c r="HY815" s="405"/>
      <c r="IE815" s="83"/>
      <c r="IM815" s="405"/>
      <c r="IS815" s="83"/>
      <c r="JA815" s="405"/>
      <c r="JG815" s="83"/>
      <c r="JO815" s="405"/>
      <c r="JU815" s="83"/>
      <c r="KC815" s="405"/>
      <c r="KI815" s="83"/>
      <c r="KQ815" s="405"/>
      <c r="KW815" s="83"/>
      <c r="LE815" s="405"/>
      <c r="LK815" s="83"/>
      <c r="LS815" s="405"/>
      <c r="LY815" s="83"/>
      <c r="MG815" s="405"/>
      <c r="MM815" s="83"/>
      <c r="MU815" s="405"/>
      <c r="NA815" s="83"/>
    </row>
    <row r="816">
      <c r="A816" s="380"/>
      <c r="B816" s="380"/>
      <c r="C816" s="380"/>
      <c r="D816" s="380"/>
      <c r="E816" s="380"/>
      <c r="F816" s="380"/>
      <c r="G816" s="380"/>
      <c r="H816" s="380"/>
      <c r="I816" s="403"/>
      <c r="J816" s="380"/>
      <c r="K816" s="380"/>
      <c r="L816" s="380"/>
      <c r="M816" s="380"/>
      <c r="N816" s="380"/>
      <c r="O816" s="404"/>
      <c r="P816" s="380"/>
      <c r="Q816" s="380"/>
      <c r="R816" s="380"/>
      <c r="S816" s="380"/>
      <c r="T816" s="380"/>
      <c r="U816" s="380"/>
      <c r="V816" s="380"/>
      <c r="W816" s="403"/>
      <c r="X816" s="380"/>
      <c r="Y816" s="380"/>
      <c r="Z816" s="380"/>
      <c r="AA816" s="380"/>
      <c r="AB816" s="380"/>
      <c r="AC816" s="404"/>
      <c r="AD816" s="380"/>
      <c r="AE816" s="380"/>
      <c r="AF816" s="380"/>
      <c r="AG816" s="380"/>
      <c r="AH816" s="380"/>
      <c r="AI816" s="380"/>
      <c r="AJ816" s="380"/>
      <c r="AK816" s="403"/>
      <c r="AL816" s="380"/>
      <c r="AM816" s="380"/>
      <c r="AN816" s="380"/>
      <c r="AO816" s="380"/>
      <c r="AP816" s="380"/>
      <c r="AQ816" s="404"/>
      <c r="AR816" s="380"/>
      <c r="AS816" s="380"/>
      <c r="AT816" s="380"/>
      <c r="AU816" s="380"/>
      <c r="AV816" s="380"/>
      <c r="AW816" s="380"/>
      <c r="AX816" s="380"/>
      <c r="AY816" s="403"/>
      <c r="AZ816" s="380"/>
      <c r="BA816" s="380"/>
      <c r="BB816" s="380"/>
      <c r="BC816" s="380"/>
      <c r="BD816" s="380"/>
      <c r="BE816" s="404"/>
      <c r="BF816" s="380"/>
      <c r="BG816" s="380"/>
      <c r="BH816" s="380"/>
      <c r="BI816" s="380"/>
      <c r="BJ816" s="380"/>
      <c r="BK816" s="380"/>
      <c r="BL816" s="380"/>
      <c r="BM816" s="403"/>
      <c r="BS816" s="83"/>
      <c r="CA816" s="405"/>
      <c r="CG816" s="83"/>
      <c r="CO816" s="405"/>
      <c r="CU816" s="83"/>
      <c r="DC816" s="405"/>
      <c r="DI816" s="83"/>
      <c r="DQ816" s="405"/>
      <c r="DW816" s="83"/>
      <c r="EE816" s="405"/>
      <c r="EK816" s="83"/>
      <c r="ES816" s="405"/>
      <c r="EY816" s="83"/>
      <c r="FG816" s="405"/>
      <c r="FM816" s="83"/>
      <c r="FU816" s="405"/>
      <c r="GA816" s="83"/>
      <c r="GI816" s="405"/>
      <c r="GO816" s="83"/>
      <c r="GW816" s="405"/>
      <c r="HC816" s="83"/>
      <c r="HK816" s="405"/>
      <c r="HQ816" s="83"/>
      <c r="HY816" s="405"/>
      <c r="IE816" s="83"/>
      <c r="IM816" s="405"/>
      <c r="IS816" s="83"/>
      <c r="JA816" s="405"/>
      <c r="JG816" s="83"/>
      <c r="JO816" s="405"/>
      <c r="JU816" s="83"/>
      <c r="KC816" s="405"/>
      <c r="KI816" s="83"/>
      <c r="KQ816" s="405"/>
      <c r="KW816" s="83"/>
      <c r="LE816" s="405"/>
      <c r="LK816" s="83"/>
      <c r="LS816" s="405"/>
      <c r="LY816" s="83"/>
      <c r="MG816" s="405"/>
      <c r="MM816" s="83"/>
      <c r="MU816" s="405"/>
      <c r="NA816" s="83"/>
    </row>
    <row r="817">
      <c r="A817" s="380"/>
      <c r="B817" s="380"/>
      <c r="C817" s="380"/>
      <c r="D817" s="380"/>
      <c r="E817" s="380"/>
      <c r="F817" s="380"/>
      <c r="G817" s="380"/>
      <c r="H817" s="380"/>
      <c r="I817" s="403"/>
      <c r="J817" s="380"/>
      <c r="K817" s="380"/>
      <c r="L817" s="380"/>
      <c r="M817" s="380"/>
      <c r="N817" s="380"/>
      <c r="O817" s="404"/>
      <c r="P817" s="380"/>
      <c r="Q817" s="380"/>
      <c r="R817" s="380"/>
      <c r="S817" s="380"/>
      <c r="T817" s="380"/>
      <c r="U817" s="380"/>
      <c r="V817" s="380"/>
      <c r="W817" s="403"/>
      <c r="X817" s="380"/>
      <c r="Y817" s="380"/>
      <c r="Z817" s="380"/>
      <c r="AA817" s="380"/>
      <c r="AB817" s="380"/>
      <c r="AC817" s="404"/>
      <c r="AD817" s="380"/>
      <c r="AE817" s="380"/>
      <c r="AF817" s="380"/>
      <c r="AG817" s="380"/>
      <c r="AH817" s="380"/>
      <c r="AI817" s="380"/>
      <c r="AJ817" s="380"/>
      <c r="AK817" s="403"/>
      <c r="AL817" s="380"/>
      <c r="AM817" s="380"/>
      <c r="AN817" s="380"/>
      <c r="AO817" s="380"/>
      <c r="AP817" s="380"/>
      <c r="AQ817" s="404"/>
      <c r="AR817" s="380"/>
      <c r="AS817" s="380"/>
      <c r="AT817" s="380"/>
      <c r="AU817" s="380"/>
      <c r="AV817" s="380"/>
      <c r="AW817" s="380"/>
      <c r="AX817" s="380"/>
      <c r="AY817" s="403"/>
      <c r="AZ817" s="380"/>
      <c r="BA817" s="380"/>
      <c r="BB817" s="380"/>
      <c r="BC817" s="380"/>
      <c r="BD817" s="380"/>
      <c r="BE817" s="404"/>
      <c r="BF817" s="380"/>
      <c r="BG817" s="380"/>
      <c r="BH817" s="380"/>
      <c r="BI817" s="380"/>
      <c r="BJ817" s="380"/>
      <c r="BK817" s="380"/>
      <c r="BL817" s="380"/>
      <c r="BM817" s="403"/>
      <c r="BS817" s="83"/>
      <c r="CA817" s="405"/>
      <c r="CG817" s="83"/>
      <c r="CO817" s="405"/>
      <c r="CU817" s="83"/>
      <c r="DC817" s="405"/>
      <c r="DI817" s="83"/>
      <c r="DQ817" s="405"/>
      <c r="DW817" s="83"/>
      <c r="EE817" s="405"/>
      <c r="EK817" s="83"/>
      <c r="ES817" s="405"/>
      <c r="EY817" s="83"/>
      <c r="FG817" s="405"/>
      <c r="FM817" s="83"/>
      <c r="FU817" s="405"/>
      <c r="GA817" s="83"/>
      <c r="GI817" s="405"/>
      <c r="GO817" s="83"/>
      <c r="GW817" s="405"/>
      <c r="HC817" s="83"/>
      <c r="HK817" s="405"/>
      <c r="HQ817" s="83"/>
      <c r="HY817" s="405"/>
      <c r="IE817" s="83"/>
      <c r="IM817" s="405"/>
      <c r="IS817" s="83"/>
      <c r="JA817" s="405"/>
      <c r="JG817" s="83"/>
      <c r="JO817" s="405"/>
      <c r="JU817" s="83"/>
      <c r="KC817" s="405"/>
      <c r="KI817" s="83"/>
      <c r="KQ817" s="405"/>
      <c r="KW817" s="83"/>
      <c r="LE817" s="405"/>
      <c r="LK817" s="83"/>
      <c r="LS817" s="405"/>
      <c r="LY817" s="83"/>
      <c r="MG817" s="405"/>
      <c r="MM817" s="83"/>
      <c r="MU817" s="405"/>
      <c r="NA817" s="83"/>
    </row>
    <row r="818">
      <c r="A818" s="380"/>
      <c r="B818" s="380"/>
      <c r="C818" s="380"/>
      <c r="D818" s="380"/>
      <c r="E818" s="380"/>
      <c r="F818" s="380"/>
      <c r="G818" s="380"/>
      <c r="H818" s="380"/>
      <c r="I818" s="403"/>
      <c r="J818" s="380"/>
      <c r="K818" s="380"/>
      <c r="L818" s="380"/>
      <c r="M818" s="380"/>
      <c r="N818" s="380"/>
      <c r="O818" s="404"/>
      <c r="P818" s="380"/>
      <c r="Q818" s="380"/>
      <c r="R818" s="380"/>
      <c r="S818" s="380"/>
      <c r="T818" s="380"/>
      <c r="U818" s="380"/>
      <c r="V818" s="380"/>
      <c r="W818" s="403"/>
      <c r="X818" s="380"/>
      <c r="Y818" s="380"/>
      <c r="Z818" s="380"/>
      <c r="AA818" s="380"/>
      <c r="AB818" s="380"/>
      <c r="AC818" s="404"/>
      <c r="AD818" s="380"/>
      <c r="AE818" s="380"/>
      <c r="AF818" s="380"/>
      <c r="AG818" s="380"/>
      <c r="AH818" s="380"/>
      <c r="AI818" s="380"/>
      <c r="AJ818" s="380"/>
      <c r="AK818" s="403"/>
      <c r="AL818" s="380"/>
      <c r="AM818" s="380"/>
      <c r="AN818" s="380"/>
      <c r="AO818" s="380"/>
      <c r="AP818" s="380"/>
      <c r="AQ818" s="404"/>
      <c r="AR818" s="380"/>
      <c r="AS818" s="380"/>
      <c r="AT818" s="380"/>
      <c r="AU818" s="380"/>
      <c r="AV818" s="380"/>
      <c r="AW818" s="380"/>
      <c r="AX818" s="380"/>
      <c r="AY818" s="403"/>
      <c r="AZ818" s="380"/>
      <c r="BA818" s="380"/>
      <c r="BB818" s="380"/>
      <c r="BC818" s="380"/>
      <c r="BD818" s="380"/>
      <c r="BE818" s="404"/>
      <c r="BF818" s="380"/>
      <c r="BG818" s="380"/>
      <c r="BH818" s="380"/>
      <c r="BI818" s="380"/>
      <c r="BJ818" s="380"/>
      <c r="BK818" s="380"/>
      <c r="BL818" s="380"/>
      <c r="BM818" s="403"/>
      <c r="BS818" s="83"/>
      <c r="CA818" s="405"/>
      <c r="CG818" s="83"/>
      <c r="CO818" s="405"/>
      <c r="CU818" s="83"/>
      <c r="DC818" s="405"/>
      <c r="DI818" s="83"/>
      <c r="DQ818" s="405"/>
      <c r="DW818" s="83"/>
      <c r="EE818" s="405"/>
      <c r="EK818" s="83"/>
      <c r="ES818" s="405"/>
      <c r="EY818" s="83"/>
      <c r="FG818" s="405"/>
      <c r="FM818" s="83"/>
      <c r="FU818" s="405"/>
      <c r="GA818" s="83"/>
      <c r="GI818" s="405"/>
      <c r="GO818" s="83"/>
      <c r="GW818" s="405"/>
      <c r="HC818" s="83"/>
      <c r="HK818" s="405"/>
      <c r="HQ818" s="83"/>
      <c r="HY818" s="405"/>
      <c r="IE818" s="83"/>
      <c r="IM818" s="405"/>
      <c r="IS818" s="83"/>
      <c r="JA818" s="405"/>
      <c r="JG818" s="83"/>
      <c r="JO818" s="405"/>
      <c r="JU818" s="83"/>
      <c r="KC818" s="405"/>
      <c r="KI818" s="83"/>
      <c r="KQ818" s="405"/>
      <c r="KW818" s="83"/>
      <c r="LE818" s="405"/>
      <c r="LK818" s="83"/>
      <c r="LS818" s="405"/>
      <c r="LY818" s="83"/>
      <c r="MG818" s="405"/>
      <c r="MM818" s="83"/>
      <c r="MU818" s="405"/>
      <c r="NA818" s="83"/>
    </row>
    <row r="819">
      <c r="A819" s="380"/>
      <c r="B819" s="380"/>
      <c r="C819" s="380"/>
      <c r="D819" s="380"/>
      <c r="E819" s="380"/>
      <c r="F819" s="380"/>
      <c r="G819" s="380"/>
      <c r="H819" s="380"/>
      <c r="I819" s="403"/>
      <c r="J819" s="380"/>
      <c r="K819" s="380"/>
      <c r="L819" s="380"/>
      <c r="M819" s="380"/>
      <c r="N819" s="380"/>
      <c r="O819" s="404"/>
      <c r="P819" s="380"/>
      <c r="Q819" s="380"/>
      <c r="R819" s="380"/>
      <c r="S819" s="380"/>
      <c r="T819" s="380"/>
      <c r="U819" s="380"/>
      <c r="V819" s="380"/>
      <c r="W819" s="403"/>
      <c r="X819" s="380"/>
      <c r="Y819" s="380"/>
      <c r="Z819" s="380"/>
      <c r="AA819" s="380"/>
      <c r="AB819" s="380"/>
      <c r="AC819" s="404"/>
      <c r="AD819" s="380"/>
      <c r="AE819" s="380"/>
      <c r="AF819" s="380"/>
      <c r="AG819" s="380"/>
      <c r="AH819" s="380"/>
      <c r="AI819" s="380"/>
      <c r="AJ819" s="380"/>
      <c r="AK819" s="403"/>
      <c r="AL819" s="380"/>
      <c r="AM819" s="380"/>
      <c r="AN819" s="380"/>
      <c r="AO819" s="380"/>
      <c r="AP819" s="380"/>
      <c r="AQ819" s="404"/>
      <c r="AR819" s="380"/>
      <c r="AS819" s="380"/>
      <c r="AT819" s="380"/>
      <c r="AU819" s="380"/>
      <c r="AV819" s="380"/>
      <c r="AW819" s="380"/>
      <c r="AX819" s="380"/>
      <c r="AY819" s="403"/>
      <c r="AZ819" s="380"/>
      <c r="BA819" s="380"/>
      <c r="BB819" s="380"/>
      <c r="BC819" s="380"/>
      <c r="BD819" s="380"/>
      <c r="BE819" s="404"/>
      <c r="BF819" s="380"/>
      <c r="BG819" s="380"/>
      <c r="BH819" s="380"/>
      <c r="BI819" s="380"/>
      <c r="BJ819" s="380"/>
      <c r="BK819" s="380"/>
      <c r="BL819" s="380"/>
      <c r="BM819" s="403"/>
      <c r="BS819" s="83"/>
      <c r="CA819" s="405"/>
      <c r="CG819" s="83"/>
      <c r="CO819" s="405"/>
      <c r="CU819" s="83"/>
      <c r="DC819" s="405"/>
      <c r="DI819" s="83"/>
      <c r="DQ819" s="405"/>
      <c r="DW819" s="83"/>
      <c r="EE819" s="405"/>
      <c r="EK819" s="83"/>
      <c r="ES819" s="405"/>
      <c r="EY819" s="83"/>
      <c r="FG819" s="405"/>
      <c r="FM819" s="83"/>
      <c r="FU819" s="405"/>
      <c r="GA819" s="83"/>
      <c r="GI819" s="405"/>
      <c r="GO819" s="83"/>
      <c r="GW819" s="405"/>
      <c r="HC819" s="83"/>
      <c r="HK819" s="405"/>
      <c r="HQ819" s="83"/>
      <c r="HY819" s="405"/>
      <c r="IE819" s="83"/>
      <c r="IM819" s="405"/>
      <c r="IS819" s="83"/>
      <c r="JA819" s="405"/>
      <c r="JG819" s="83"/>
      <c r="JO819" s="405"/>
      <c r="JU819" s="83"/>
      <c r="KC819" s="405"/>
      <c r="KI819" s="83"/>
      <c r="KQ819" s="405"/>
      <c r="KW819" s="83"/>
      <c r="LE819" s="405"/>
      <c r="LK819" s="83"/>
      <c r="LS819" s="405"/>
      <c r="LY819" s="83"/>
      <c r="MG819" s="405"/>
      <c r="MM819" s="83"/>
      <c r="MU819" s="405"/>
      <c r="NA819" s="83"/>
    </row>
    <row r="820">
      <c r="A820" s="380"/>
      <c r="B820" s="380"/>
      <c r="C820" s="380"/>
      <c r="D820" s="380"/>
      <c r="E820" s="380"/>
      <c r="F820" s="380"/>
      <c r="G820" s="380"/>
      <c r="H820" s="380"/>
      <c r="I820" s="403"/>
      <c r="J820" s="380"/>
      <c r="K820" s="380"/>
      <c r="L820" s="380"/>
      <c r="M820" s="380"/>
      <c r="N820" s="380"/>
      <c r="O820" s="404"/>
      <c r="P820" s="380"/>
      <c r="Q820" s="380"/>
      <c r="R820" s="380"/>
      <c r="S820" s="380"/>
      <c r="T820" s="380"/>
      <c r="U820" s="380"/>
      <c r="V820" s="380"/>
      <c r="W820" s="403"/>
      <c r="X820" s="380"/>
      <c r="Y820" s="380"/>
      <c r="Z820" s="380"/>
      <c r="AA820" s="380"/>
      <c r="AB820" s="380"/>
      <c r="AC820" s="404"/>
      <c r="AD820" s="380"/>
      <c r="AE820" s="380"/>
      <c r="AF820" s="380"/>
      <c r="AG820" s="380"/>
      <c r="AH820" s="380"/>
      <c r="AI820" s="380"/>
      <c r="AJ820" s="380"/>
      <c r="AK820" s="403"/>
      <c r="AL820" s="380"/>
      <c r="AM820" s="380"/>
      <c r="AN820" s="380"/>
      <c r="AO820" s="380"/>
      <c r="AP820" s="380"/>
      <c r="AQ820" s="404"/>
      <c r="AR820" s="380"/>
      <c r="AS820" s="380"/>
      <c r="AT820" s="380"/>
      <c r="AU820" s="380"/>
      <c r="AV820" s="380"/>
      <c r="AW820" s="380"/>
      <c r="AX820" s="380"/>
      <c r="AY820" s="403"/>
      <c r="AZ820" s="380"/>
      <c r="BA820" s="380"/>
      <c r="BB820" s="380"/>
      <c r="BC820" s="380"/>
      <c r="BD820" s="380"/>
      <c r="BE820" s="404"/>
      <c r="BF820" s="380"/>
      <c r="BG820" s="380"/>
      <c r="BH820" s="380"/>
      <c r="BI820" s="380"/>
      <c r="BJ820" s="380"/>
      <c r="BK820" s="380"/>
      <c r="BL820" s="380"/>
      <c r="BM820" s="403"/>
      <c r="BS820" s="83"/>
      <c r="CA820" s="405"/>
      <c r="CG820" s="83"/>
      <c r="CO820" s="405"/>
      <c r="CU820" s="83"/>
      <c r="DC820" s="405"/>
      <c r="DI820" s="83"/>
      <c r="DQ820" s="405"/>
      <c r="DW820" s="83"/>
      <c r="EE820" s="405"/>
      <c r="EK820" s="83"/>
      <c r="ES820" s="405"/>
      <c r="EY820" s="83"/>
      <c r="FG820" s="405"/>
      <c r="FM820" s="83"/>
      <c r="FU820" s="405"/>
      <c r="GA820" s="83"/>
      <c r="GI820" s="405"/>
      <c r="GO820" s="83"/>
      <c r="GW820" s="405"/>
      <c r="HC820" s="83"/>
      <c r="HK820" s="405"/>
      <c r="HQ820" s="83"/>
      <c r="HY820" s="405"/>
      <c r="IE820" s="83"/>
      <c r="IM820" s="405"/>
      <c r="IS820" s="83"/>
      <c r="JA820" s="405"/>
      <c r="JG820" s="83"/>
      <c r="JO820" s="405"/>
      <c r="JU820" s="83"/>
      <c r="KC820" s="405"/>
      <c r="KI820" s="83"/>
      <c r="KQ820" s="405"/>
      <c r="KW820" s="83"/>
      <c r="LE820" s="405"/>
      <c r="LK820" s="83"/>
      <c r="LS820" s="405"/>
      <c r="LY820" s="83"/>
      <c r="MG820" s="405"/>
      <c r="MM820" s="83"/>
      <c r="MU820" s="405"/>
      <c r="NA820" s="83"/>
    </row>
    <row r="821">
      <c r="A821" s="380"/>
      <c r="B821" s="380"/>
      <c r="C821" s="380"/>
      <c r="D821" s="380"/>
      <c r="E821" s="380"/>
      <c r="F821" s="380"/>
      <c r="G821" s="380"/>
      <c r="H821" s="380"/>
      <c r="I821" s="403"/>
      <c r="J821" s="380"/>
      <c r="K821" s="380"/>
      <c r="L821" s="380"/>
      <c r="M821" s="380"/>
      <c r="N821" s="380"/>
      <c r="O821" s="404"/>
      <c r="P821" s="380"/>
      <c r="Q821" s="380"/>
      <c r="R821" s="380"/>
      <c r="S821" s="380"/>
      <c r="T821" s="380"/>
      <c r="U821" s="380"/>
      <c r="V821" s="380"/>
      <c r="W821" s="403"/>
      <c r="X821" s="380"/>
      <c r="Y821" s="380"/>
      <c r="Z821" s="380"/>
      <c r="AA821" s="380"/>
      <c r="AB821" s="380"/>
      <c r="AC821" s="404"/>
      <c r="AD821" s="380"/>
      <c r="AE821" s="380"/>
      <c r="AF821" s="380"/>
      <c r="AG821" s="380"/>
      <c r="AH821" s="380"/>
      <c r="AI821" s="380"/>
      <c r="AJ821" s="380"/>
      <c r="AK821" s="403"/>
      <c r="AL821" s="380"/>
      <c r="AM821" s="380"/>
      <c r="AN821" s="380"/>
      <c r="AO821" s="380"/>
      <c r="AP821" s="380"/>
      <c r="AQ821" s="404"/>
      <c r="AR821" s="380"/>
      <c r="AS821" s="380"/>
      <c r="AT821" s="380"/>
      <c r="AU821" s="380"/>
      <c r="AV821" s="380"/>
      <c r="AW821" s="380"/>
      <c r="AX821" s="380"/>
      <c r="AY821" s="403"/>
      <c r="AZ821" s="380"/>
      <c r="BA821" s="380"/>
      <c r="BB821" s="380"/>
      <c r="BC821" s="380"/>
      <c r="BD821" s="380"/>
      <c r="BE821" s="404"/>
      <c r="BF821" s="380"/>
      <c r="BG821" s="380"/>
      <c r="BH821" s="380"/>
      <c r="BI821" s="380"/>
      <c r="BJ821" s="380"/>
      <c r="BK821" s="380"/>
      <c r="BL821" s="380"/>
      <c r="BM821" s="403"/>
      <c r="BS821" s="83"/>
      <c r="CA821" s="405"/>
      <c r="CG821" s="83"/>
      <c r="CO821" s="405"/>
      <c r="CU821" s="83"/>
      <c r="DC821" s="405"/>
      <c r="DI821" s="83"/>
      <c r="DQ821" s="405"/>
      <c r="DW821" s="83"/>
      <c r="EE821" s="405"/>
      <c r="EK821" s="83"/>
      <c r="ES821" s="405"/>
      <c r="EY821" s="83"/>
      <c r="FG821" s="405"/>
      <c r="FM821" s="83"/>
      <c r="FU821" s="405"/>
      <c r="GA821" s="83"/>
      <c r="GI821" s="405"/>
      <c r="GO821" s="83"/>
      <c r="GW821" s="405"/>
      <c r="HC821" s="83"/>
      <c r="HK821" s="405"/>
      <c r="HQ821" s="83"/>
      <c r="HY821" s="405"/>
      <c r="IE821" s="83"/>
      <c r="IM821" s="405"/>
      <c r="IS821" s="83"/>
      <c r="JA821" s="405"/>
      <c r="JG821" s="83"/>
      <c r="JO821" s="405"/>
      <c r="JU821" s="83"/>
      <c r="KC821" s="405"/>
      <c r="KI821" s="83"/>
      <c r="KQ821" s="405"/>
      <c r="KW821" s="83"/>
      <c r="LE821" s="405"/>
      <c r="LK821" s="83"/>
      <c r="LS821" s="405"/>
      <c r="LY821" s="83"/>
      <c r="MG821" s="405"/>
      <c r="MM821" s="83"/>
      <c r="MU821" s="405"/>
      <c r="NA821" s="83"/>
    </row>
    <row r="822">
      <c r="A822" s="380"/>
      <c r="B822" s="380"/>
      <c r="C822" s="380"/>
      <c r="D822" s="380"/>
      <c r="E822" s="380"/>
      <c r="F822" s="380"/>
      <c r="G822" s="380"/>
      <c r="H822" s="380"/>
      <c r="I822" s="403"/>
      <c r="J822" s="380"/>
      <c r="K822" s="380"/>
      <c r="L822" s="380"/>
      <c r="M822" s="380"/>
      <c r="N822" s="380"/>
      <c r="O822" s="404"/>
      <c r="P822" s="380"/>
      <c r="Q822" s="380"/>
      <c r="R822" s="380"/>
      <c r="S822" s="380"/>
      <c r="T822" s="380"/>
      <c r="U822" s="380"/>
      <c r="V822" s="380"/>
      <c r="W822" s="403"/>
      <c r="X822" s="380"/>
      <c r="Y822" s="380"/>
      <c r="Z822" s="380"/>
      <c r="AA822" s="380"/>
      <c r="AB822" s="380"/>
      <c r="AC822" s="404"/>
      <c r="AD822" s="380"/>
      <c r="AE822" s="380"/>
      <c r="AF822" s="380"/>
      <c r="AG822" s="380"/>
      <c r="AH822" s="380"/>
      <c r="AI822" s="380"/>
      <c r="AJ822" s="380"/>
      <c r="AK822" s="403"/>
      <c r="AL822" s="380"/>
      <c r="AM822" s="380"/>
      <c r="AN822" s="380"/>
      <c r="AO822" s="380"/>
      <c r="AP822" s="380"/>
      <c r="AQ822" s="404"/>
      <c r="AR822" s="380"/>
      <c r="AS822" s="380"/>
      <c r="AT822" s="380"/>
      <c r="AU822" s="380"/>
      <c r="AV822" s="380"/>
      <c r="AW822" s="380"/>
      <c r="AX822" s="380"/>
      <c r="AY822" s="403"/>
      <c r="AZ822" s="380"/>
      <c r="BA822" s="380"/>
      <c r="BB822" s="380"/>
      <c r="BC822" s="380"/>
      <c r="BD822" s="380"/>
      <c r="BE822" s="404"/>
      <c r="BF822" s="380"/>
      <c r="BG822" s="380"/>
      <c r="BH822" s="380"/>
      <c r="BI822" s="380"/>
      <c r="BJ822" s="380"/>
      <c r="BK822" s="380"/>
      <c r="BL822" s="380"/>
      <c r="BM822" s="403"/>
      <c r="BS822" s="83"/>
      <c r="CA822" s="405"/>
      <c r="CG822" s="83"/>
      <c r="CO822" s="405"/>
      <c r="CU822" s="83"/>
      <c r="DC822" s="405"/>
      <c r="DI822" s="83"/>
      <c r="DQ822" s="405"/>
      <c r="DW822" s="83"/>
      <c r="EE822" s="405"/>
      <c r="EK822" s="83"/>
      <c r="ES822" s="405"/>
      <c r="EY822" s="83"/>
      <c r="FG822" s="405"/>
      <c r="FM822" s="83"/>
      <c r="FU822" s="405"/>
      <c r="GA822" s="83"/>
      <c r="GI822" s="405"/>
      <c r="GO822" s="83"/>
      <c r="GW822" s="405"/>
      <c r="HC822" s="83"/>
      <c r="HK822" s="405"/>
      <c r="HQ822" s="83"/>
      <c r="HY822" s="405"/>
      <c r="IE822" s="83"/>
      <c r="IM822" s="405"/>
      <c r="IS822" s="83"/>
      <c r="JA822" s="405"/>
      <c r="JG822" s="83"/>
      <c r="JO822" s="405"/>
      <c r="JU822" s="83"/>
      <c r="KC822" s="405"/>
      <c r="KI822" s="83"/>
      <c r="KQ822" s="405"/>
      <c r="KW822" s="83"/>
      <c r="LE822" s="405"/>
      <c r="LK822" s="83"/>
      <c r="LS822" s="405"/>
      <c r="LY822" s="83"/>
      <c r="MG822" s="405"/>
      <c r="MM822" s="83"/>
      <c r="MU822" s="405"/>
      <c r="NA822" s="83"/>
    </row>
    <row r="823">
      <c r="A823" s="380"/>
      <c r="B823" s="380"/>
      <c r="C823" s="380"/>
      <c r="D823" s="380"/>
      <c r="E823" s="380"/>
      <c r="F823" s="380"/>
      <c r="G823" s="380"/>
      <c r="H823" s="380"/>
      <c r="I823" s="403"/>
      <c r="J823" s="380"/>
      <c r="K823" s="380"/>
      <c r="L823" s="380"/>
      <c r="M823" s="380"/>
      <c r="N823" s="380"/>
      <c r="O823" s="404"/>
      <c r="P823" s="380"/>
      <c r="Q823" s="380"/>
      <c r="R823" s="380"/>
      <c r="S823" s="380"/>
      <c r="T823" s="380"/>
      <c r="U823" s="380"/>
      <c r="V823" s="380"/>
      <c r="W823" s="403"/>
      <c r="X823" s="380"/>
      <c r="Y823" s="380"/>
      <c r="Z823" s="380"/>
      <c r="AA823" s="380"/>
      <c r="AB823" s="380"/>
      <c r="AC823" s="404"/>
      <c r="AD823" s="380"/>
      <c r="AE823" s="380"/>
      <c r="AF823" s="380"/>
      <c r="AG823" s="380"/>
      <c r="AH823" s="380"/>
      <c r="AI823" s="380"/>
      <c r="AJ823" s="380"/>
      <c r="AK823" s="403"/>
      <c r="AL823" s="380"/>
      <c r="AM823" s="380"/>
      <c r="AN823" s="380"/>
      <c r="AO823" s="380"/>
      <c r="AP823" s="380"/>
      <c r="AQ823" s="404"/>
      <c r="AR823" s="380"/>
      <c r="AS823" s="380"/>
      <c r="AT823" s="380"/>
      <c r="AU823" s="380"/>
      <c r="AV823" s="380"/>
      <c r="AW823" s="380"/>
      <c r="AX823" s="380"/>
      <c r="AY823" s="403"/>
      <c r="AZ823" s="380"/>
      <c r="BA823" s="380"/>
      <c r="BB823" s="380"/>
      <c r="BC823" s="380"/>
      <c r="BD823" s="380"/>
      <c r="BE823" s="404"/>
      <c r="BF823" s="380"/>
      <c r="BG823" s="380"/>
      <c r="BH823" s="380"/>
      <c r="BI823" s="380"/>
      <c r="BJ823" s="380"/>
      <c r="BK823" s="380"/>
      <c r="BL823" s="380"/>
      <c r="BM823" s="403"/>
      <c r="BS823" s="83"/>
      <c r="CA823" s="405"/>
      <c r="CG823" s="83"/>
      <c r="CO823" s="405"/>
      <c r="CU823" s="83"/>
      <c r="DC823" s="405"/>
      <c r="DI823" s="83"/>
      <c r="DQ823" s="405"/>
      <c r="DW823" s="83"/>
      <c r="EE823" s="405"/>
      <c r="EK823" s="83"/>
      <c r="ES823" s="405"/>
      <c r="EY823" s="83"/>
      <c r="FG823" s="405"/>
      <c r="FM823" s="83"/>
      <c r="FU823" s="405"/>
      <c r="GA823" s="83"/>
      <c r="GI823" s="405"/>
      <c r="GO823" s="83"/>
      <c r="GW823" s="405"/>
      <c r="HC823" s="83"/>
      <c r="HK823" s="405"/>
      <c r="HQ823" s="83"/>
      <c r="HY823" s="405"/>
      <c r="IE823" s="83"/>
      <c r="IM823" s="405"/>
      <c r="IS823" s="83"/>
      <c r="JA823" s="405"/>
      <c r="JG823" s="83"/>
      <c r="JO823" s="405"/>
      <c r="JU823" s="83"/>
      <c r="KC823" s="405"/>
      <c r="KI823" s="83"/>
      <c r="KQ823" s="405"/>
      <c r="KW823" s="83"/>
      <c r="LE823" s="405"/>
      <c r="LK823" s="83"/>
      <c r="LS823" s="405"/>
      <c r="LY823" s="83"/>
      <c r="MG823" s="405"/>
      <c r="MM823" s="83"/>
      <c r="MU823" s="405"/>
      <c r="NA823" s="83"/>
    </row>
    <row r="824">
      <c r="A824" s="380"/>
      <c r="B824" s="380"/>
      <c r="C824" s="380"/>
      <c r="D824" s="380"/>
      <c r="E824" s="380"/>
      <c r="F824" s="380"/>
      <c r="G824" s="380"/>
      <c r="H824" s="380"/>
      <c r="I824" s="403"/>
      <c r="J824" s="380"/>
      <c r="K824" s="380"/>
      <c r="L824" s="380"/>
      <c r="M824" s="380"/>
      <c r="N824" s="380"/>
      <c r="O824" s="404"/>
      <c r="P824" s="380"/>
      <c r="Q824" s="380"/>
      <c r="R824" s="380"/>
      <c r="S824" s="380"/>
      <c r="T824" s="380"/>
      <c r="U824" s="380"/>
      <c r="V824" s="380"/>
      <c r="W824" s="403"/>
      <c r="X824" s="380"/>
      <c r="Y824" s="380"/>
      <c r="Z824" s="380"/>
      <c r="AA824" s="380"/>
      <c r="AB824" s="380"/>
      <c r="AC824" s="404"/>
      <c r="AD824" s="380"/>
      <c r="AE824" s="380"/>
      <c r="AF824" s="380"/>
      <c r="AG824" s="380"/>
      <c r="AH824" s="380"/>
      <c r="AI824" s="380"/>
      <c r="AJ824" s="380"/>
      <c r="AK824" s="403"/>
      <c r="AL824" s="380"/>
      <c r="AM824" s="380"/>
      <c r="AN824" s="380"/>
      <c r="AO824" s="380"/>
      <c r="AP824" s="380"/>
      <c r="AQ824" s="404"/>
      <c r="AR824" s="380"/>
      <c r="AS824" s="380"/>
      <c r="AT824" s="380"/>
      <c r="AU824" s="380"/>
      <c r="AV824" s="380"/>
      <c r="AW824" s="380"/>
      <c r="AX824" s="380"/>
      <c r="AY824" s="403"/>
      <c r="AZ824" s="380"/>
      <c r="BA824" s="380"/>
      <c r="BB824" s="380"/>
      <c r="BC824" s="380"/>
      <c r="BD824" s="380"/>
      <c r="BE824" s="404"/>
      <c r="BF824" s="380"/>
      <c r="BG824" s="380"/>
      <c r="BH824" s="380"/>
      <c r="BI824" s="380"/>
      <c r="BJ824" s="380"/>
      <c r="BK824" s="380"/>
      <c r="BL824" s="380"/>
      <c r="BM824" s="403"/>
      <c r="BS824" s="83"/>
      <c r="CA824" s="405"/>
      <c r="CG824" s="83"/>
      <c r="CO824" s="405"/>
      <c r="CU824" s="83"/>
      <c r="DC824" s="405"/>
      <c r="DI824" s="83"/>
      <c r="DQ824" s="405"/>
      <c r="DW824" s="83"/>
      <c r="EE824" s="405"/>
      <c r="EK824" s="83"/>
      <c r="ES824" s="405"/>
      <c r="EY824" s="83"/>
      <c r="FG824" s="405"/>
      <c r="FM824" s="83"/>
      <c r="FU824" s="405"/>
      <c r="GA824" s="83"/>
      <c r="GI824" s="405"/>
      <c r="GO824" s="83"/>
      <c r="GW824" s="405"/>
      <c r="HC824" s="83"/>
      <c r="HK824" s="405"/>
      <c r="HQ824" s="83"/>
      <c r="HY824" s="405"/>
      <c r="IE824" s="83"/>
      <c r="IM824" s="405"/>
      <c r="IS824" s="83"/>
      <c r="JA824" s="405"/>
      <c r="JG824" s="83"/>
      <c r="JO824" s="405"/>
      <c r="JU824" s="83"/>
      <c r="KC824" s="405"/>
      <c r="KI824" s="83"/>
      <c r="KQ824" s="405"/>
      <c r="KW824" s="83"/>
      <c r="LE824" s="405"/>
      <c r="LK824" s="83"/>
      <c r="LS824" s="405"/>
      <c r="LY824" s="83"/>
      <c r="MG824" s="405"/>
      <c r="MM824" s="83"/>
      <c r="MU824" s="405"/>
      <c r="NA824" s="83"/>
    </row>
    <row r="825">
      <c r="A825" s="380"/>
      <c r="B825" s="380"/>
      <c r="C825" s="380"/>
      <c r="D825" s="380"/>
      <c r="E825" s="380"/>
      <c r="F825" s="380"/>
      <c r="G825" s="380"/>
      <c r="H825" s="380"/>
      <c r="I825" s="403"/>
      <c r="J825" s="380"/>
      <c r="K825" s="380"/>
      <c r="L825" s="380"/>
      <c r="M825" s="380"/>
      <c r="N825" s="380"/>
      <c r="O825" s="404"/>
      <c r="P825" s="380"/>
      <c r="Q825" s="380"/>
      <c r="R825" s="380"/>
      <c r="S825" s="380"/>
      <c r="T825" s="380"/>
      <c r="U825" s="380"/>
      <c r="V825" s="380"/>
      <c r="W825" s="403"/>
      <c r="X825" s="380"/>
      <c r="Y825" s="380"/>
      <c r="Z825" s="380"/>
      <c r="AA825" s="380"/>
      <c r="AB825" s="380"/>
      <c r="AC825" s="404"/>
      <c r="AD825" s="380"/>
      <c r="AE825" s="380"/>
      <c r="AF825" s="380"/>
      <c r="AG825" s="380"/>
      <c r="AH825" s="380"/>
      <c r="AI825" s="380"/>
      <c r="AJ825" s="380"/>
      <c r="AK825" s="403"/>
      <c r="AL825" s="380"/>
      <c r="AM825" s="380"/>
      <c r="AN825" s="380"/>
      <c r="AO825" s="380"/>
      <c r="AP825" s="380"/>
      <c r="AQ825" s="404"/>
      <c r="AR825" s="380"/>
      <c r="AS825" s="380"/>
      <c r="AT825" s="380"/>
      <c r="AU825" s="380"/>
      <c r="AV825" s="380"/>
      <c r="AW825" s="380"/>
      <c r="AX825" s="380"/>
      <c r="AY825" s="403"/>
      <c r="AZ825" s="380"/>
      <c r="BA825" s="380"/>
      <c r="BB825" s="380"/>
      <c r="BC825" s="380"/>
      <c r="BD825" s="380"/>
      <c r="BE825" s="404"/>
      <c r="BF825" s="380"/>
      <c r="BG825" s="380"/>
      <c r="BH825" s="380"/>
      <c r="BI825" s="380"/>
      <c r="BJ825" s="380"/>
      <c r="BK825" s="380"/>
      <c r="BL825" s="380"/>
      <c r="BM825" s="403"/>
      <c r="BS825" s="83"/>
      <c r="CA825" s="405"/>
      <c r="CG825" s="83"/>
      <c r="CO825" s="405"/>
      <c r="CU825" s="83"/>
      <c r="DC825" s="405"/>
      <c r="DI825" s="83"/>
      <c r="DQ825" s="405"/>
      <c r="DW825" s="83"/>
      <c r="EE825" s="405"/>
      <c r="EK825" s="83"/>
      <c r="ES825" s="405"/>
      <c r="EY825" s="83"/>
      <c r="FG825" s="405"/>
      <c r="FM825" s="83"/>
      <c r="FU825" s="405"/>
      <c r="GA825" s="83"/>
      <c r="GI825" s="405"/>
      <c r="GO825" s="83"/>
      <c r="GW825" s="405"/>
      <c r="HC825" s="83"/>
      <c r="HK825" s="405"/>
      <c r="HQ825" s="83"/>
      <c r="HY825" s="405"/>
      <c r="IE825" s="83"/>
      <c r="IM825" s="405"/>
      <c r="IS825" s="83"/>
      <c r="JA825" s="405"/>
      <c r="JG825" s="83"/>
      <c r="JO825" s="405"/>
      <c r="JU825" s="83"/>
      <c r="KC825" s="405"/>
      <c r="KI825" s="83"/>
      <c r="KQ825" s="405"/>
      <c r="KW825" s="83"/>
      <c r="LE825" s="405"/>
      <c r="LK825" s="83"/>
      <c r="LS825" s="405"/>
      <c r="LY825" s="83"/>
      <c r="MG825" s="405"/>
      <c r="MM825" s="83"/>
      <c r="MU825" s="405"/>
      <c r="NA825" s="83"/>
    </row>
    <row r="826">
      <c r="A826" s="380"/>
      <c r="B826" s="380"/>
      <c r="C826" s="380"/>
      <c r="D826" s="380"/>
      <c r="E826" s="380"/>
      <c r="F826" s="380"/>
      <c r="G826" s="380"/>
      <c r="H826" s="380"/>
      <c r="I826" s="403"/>
      <c r="J826" s="380"/>
      <c r="K826" s="380"/>
      <c r="L826" s="380"/>
      <c r="M826" s="380"/>
      <c r="N826" s="380"/>
      <c r="O826" s="404"/>
      <c r="P826" s="380"/>
      <c r="Q826" s="380"/>
      <c r="R826" s="380"/>
      <c r="S826" s="380"/>
      <c r="T826" s="380"/>
      <c r="U826" s="380"/>
      <c r="V826" s="380"/>
      <c r="W826" s="403"/>
      <c r="X826" s="380"/>
      <c r="Y826" s="380"/>
      <c r="Z826" s="380"/>
      <c r="AA826" s="380"/>
      <c r="AB826" s="380"/>
      <c r="AC826" s="404"/>
      <c r="AD826" s="380"/>
      <c r="AE826" s="380"/>
      <c r="AF826" s="380"/>
      <c r="AG826" s="380"/>
      <c r="AH826" s="380"/>
      <c r="AI826" s="380"/>
      <c r="AJ826" s="380"/>
      <c r="AK826" s="403"/>
      <c r="AL826" s="380"/>
      <c r="AM826" s="380"/>
      <c r="AN826" s="380"/>
      <c r="AO826" s="380"/>
      <c r="AP826" s="380"/>
      <c r="AQ826" s="404"/>
      <c r="AR826" s="380"/>
      <c r="AS826" s="380"/>
      <c r="AT826" s="380"/>
      <c r="AU826" s="380"/>
      <c r="AV826" s="380"/>
      <c r="AW826" s="380"/>
      <c r="AX826" s="380"/>
      <c r="AY826" s="403"/>
      <c r="AZ826" s="380"/>
      <c r="BA826" s="380"/>
      <c r="BB826" s="380"/>
      <c r="BC826" s="380"/>
      <c r="BD826" s="380"/>
      <c r="BE826" s="404"/>
      <c r="BF826" s="380"/>
      <c r="BG826" s="380"/>
      <c r="BH826" s="380"/>
      <c r="BI826" s="380"/>
      <c r="BJ826" s="380"/>
      <c r="BK826" s="380"/>
      <c r="BL826" s="380"/>
      <c r="BM826" s="403"/>
      <c r="BS826" s="83"/>
      <c r="CA826" s="405"/>
      <c r="CG826" s="83"/>
      <c r="CO826" s="405"/>
      <c r="CU826" s="83"/>
      <c r="DC826" s="405"/>
      <c r="DI826" s="83"/>
      <c r="DQ826" s="405"/>
      <c r="DW826" s="83"/>
      <c r="EE826" s="405"/>
      <c r="EK826" s="83"/>
      <c r="ES826" s="405"/>
      <c r="EY826" s="83"/>
      <c r="FG826" s="405"/>
      <c r="FM826" s="83"/>
      <c r="FU826" s="405"/>
      <c r="GA826" s="83"/>
      <c r="GI826" s="405"/>
      <c r="GO826" s="83"/>
      <c r="GW826" s="405"/>
      <c r="HC826" s="83"/>
      <c r="HK826" s="405"/>
      <c r="HQ826" s="83"/>
      <c r="HY826" s="405"/>
      <c r="IE826" s="83"/>
      <c r="IM826" s="405"/>
      <c r="IS826" s="83"/>
      <c r="JA826" s="405"/>
      <c r="JG826" s="83"/>
      <c r="JO826" s="405"/>
      <c r="JU826" s="83"/>
      <c r="KC826" s="405"/>
      <c r="KI826" s="83"/>
      <c r="KQ826" s="405"/>
      <c r="KW826" s="83"/>
      <c r="LE826" s="405"/>
      <c r="LK826" s="83"/>
      <c r="LS826" s="405"/>
      <c r="LY826" s="83"/>
      <c r="MG826" s="405"/>
      <c r="MM826" s="83"/>
      <c r="MU826" s="405"/>
      <c r="NA826" s="83"/>
    </row>
    <row r="827">
      <c r="A827" s="380"/>
      <c r="B827" s="380"/>
      <c r="C827" s="380"/>
      <c r="D827" s="380"/>
      <c r="E827" s="380"/>
      <c r="F827" s="380"/>
      <c r="G827" s="380"/>
      <c r="H827" s="380"/>
      <c r="I827" s="403"/>
      <c r="J827" s="380"/>
      <c r="K827" s="380"/>
      <c r="L827" s="380"/>
      <c r="M827" s="380"/>
      <c r="N827" s="380"/>
      <c r="O827" s="404"/>
      <c r="P827" s="380"/>
      <c r="Q827" s="380"/>
      <c r="R827" s="380"/>
      <c r="S827" s="380"/>
      <c r="T827" s="380"/>
      <c r="U827" s="380"/>
      <c r="V827" s="380"/>
      <c r="W827" s="403"/>
      <c r="X827" s="380"/>
      <c r="Y827" s="380"/>
      <c r="Z827" s="380"/>
      <c r="AA827" s="380"/>
      <c r="AB827" s="380"/>
      <c r="AC827" s="404"/>
      <c r="AD827" s="380"/>
      <c r="AE827" s="380"/>
      <c r="AF827" s="380"/>
      <c r="AG827" s="380"/>
      <c r="AH827" s="380"/>
      <c r="AI827" s="380"/>
      <c r="AJ827" s="380"/>
      <c r="AK827" s="403"/>
      <c r="AL827" s="380"/>
      <c r="AM827" s="380"/>
      <c r="AN827" s="380"/>
      <c r="AO827" s="380"/>
      <c r="AP827" s="380"/>
      <c r="AQ827" s="404"/>
      <c r="AR827" s="380"/>
      <c r="AS827" s="380"/>
      <c r="AT827" s="380"/>
      <c r="AU827" s="380"/>
      <c r="AV827" s="380"/>
      <c r="AW827" s="380"/>
      <c r="AX827" s="380"/>
      <c r="AY827" s="403"/>
      <c r="AZ827" s="380"/>
      <c r="BA827" s="380"/>
      <c r="BB827" s="380"/>
      <c r="BC827" s="380"/>
      <c r="BD827" s="380"/>
      <c r="BE827" s="404"/>
      <c r="BF827" s="380"/>
      <c r="BG827" s="380"/>
      <c r="BH827" s="380"/>
      <c r="BI827" s="380"/>
      <c r="BJ827" s="380"/>
      <c r="BK827" s="380"/>
      <c r="BL827" s="380"/>
      <c r="BM827" s="403"/>
      <c r="BS827" s="83"/>
      <c r="CA827" s="405"/>
      <c r="CG827" s="83"/>
      <c r="CO827" s="405"/>
      <c r="CU827" s="83"/>
      <c r="DC827" s="405"/>
      <c r="DI827" s="83"/>
      <c r="DQ827" s="405"/>
      <c r="DW827" s="83"/>
      <c r="EE827" s="405"/>
      <c r="EK827" s="83"/>
      <c r="ES827" s="405"/>
      <c r="EY827" s="83"/>
      <c r="FG827" s="405"/>
      <c r="FM827" s="83"/>
      <c r="FU827" s="405"/>
      <c r="GA827" s="83"/>
      <c r="GI827" s="405"/>
      <c r="GO827" s="83"/>
      <c r="GW827" s="405"/>
      <c r="HC827" s="83"/>
      <c r="HK827" s="405"/>
      <c r="HQ827" s="83"/>
      <c r="HY827" s="405"/>
      <c r="IE827" s="83"/>
      <c r="IM827" s="405"/>
      <c r="IS827" s="83"/>
      <c r="JA827" s="405"/>
      <c r="JG827" s="83"/>
      <c r="JO827" s="405"/>
      <c r="JU827" s="83"/>
      <c r="KC827" s="405"/>
      <c r="KI827" s="83"/>
      <c r="KQ827" s="405"/>
      <c r="KW827" s="83"/>
      <c r="LE827" s="405"/>
      <c r="LK827" s="83"/>
      <c r="LS827" s="405"/>
      <c r="LY827" s="83"/>
      <c r="MG827" s="405"/>
      <c r="MM827" s="83"/>
      <c r="MU827" s="405"/>
      <c r="NA827" s="83"/>
    </row>
    <row r="828">
      <c r="A828" s="380"/>
      <c r="B828" s="380"/>
      <c r="C828" s="380"/>
      <c r="D828" s="380"/>
      <c r="E828" s="380"/>
      <c r="F828" s="380"/>
      <c r="G828" s="380"/>
      <c r="H828" s="380"/>
      <c r="I828" s="403"/>
      <c r="J828" s="380"/>
      <c r="K828" s="380"/>
      <c r="L828" s="380"/>
      <c r="M828" s="380"/>
      <c r="N828" s="380"/>
      <c r="O828" s="404"/>
      <c r="P828" s="380"/>
      <c r="Q828" s="380"/>
      <c r="R828" s="380"/>
      <c r="S828" s="380"/>
      <c r="T828" s="380"/>
      <c r="U828" s="380"/>
      <c r="V828" s="380"/>
      <c r="W828" s="403"/>
      <c r="X828" s="380"/>
      <c r="Y828" s="380"/>
      <c r="Z828" s="380"/>
      <c r="AA828" s="380"/>
      <c r="AB828" s="380"/>
      <c r="AC828" s="404"/>
      <c r="AD828" s="380"/>
      <c r="AE828" s="380"/>
      <c r="AF828" s="380"/>
      <c r="AG828" s="380"/>
      <c r="AH828" s="380"/>
      <c r="AI828" s="380"/>
      <c r="AJ828" s="380"/>
      <c r="AK828" s="403"/>
      <c r="AL828" s="380"/>
      <c r="AM828" s="380"/>
      <c r="AN828" s="380"/>
      <c r="AO828" s="380"/>
      <c r="AP828" s="380"/>
      <c r="AQ828" s="404"/>
      <c r="AR828" s="380"/>
      <c r="AS828" s="380"/>
      <c r="AT828" s="380"/>
      <c r="AU828" s="380"/>
      <c r="AV828" s="380"/>
      <c r="AW828" s="380"/>
      <c r="AX828" s="380"/>
      <c r="AY828" s="403"/>
      <c r="AZ828" s="380"/>
      <c r="BA828" s="380"/>
      <c r="BB828" s="380"/>
      <c r="BC828" s="380"/>
      <c r="BD828" s="380"/>
      <c r="BE828" s="404"/>
      <c r="BF828" s="380"/>
      <c r="BG828" s="380"/>
      <c r="BH828" s="380"/>
      <c r="BI828" s="380"/>
      <c r="BJ828" s="380"/>
      <c r="BK828" s="380"/>
      <c r="BL828" s="380"/>
      <c r="BM828" s="403"/>
      <c r="BS828" s="83"/>
      <c r="CA828" s="405"/>
      <c r="CG828" s="83"/>
      <c r="CO828" s="405"/>
      <c r="CU828" s="83"/>
      <c r="DC828" s="405"/>
      <c r="DI828" s="83"/>
      <c r="DQ828" s="405"/>
      <c r="DW828" s="83"/>
      <c r="EE828" s="405"/>
      <c r="EK828" s="83"/>
      <c r="ES828" s="405"/>
      <c r="EY828" s="83"/>
      <c r="FG828" s="405"/>
      <c r="FM828" s="83"/>
      <c r="FU828" s="405"/>
      <c r="GA828" s="83"/>
      <c r="GI828" s="405"/>
      <c r="GO828" s="83"/>
      <c r="GW828" s="405"/>
      <c r="HC828" s="83"/>
      <c r="HK828" s="405"/>
      <c r="HQ828" s="83"/>
      <c r="HY828" s="405"/>
      <c r="IE828" s="83"/>
      <c r="IM828" s="405"/>
      <c r="IS828" s="83"/>
      <c r="JA828" s="405"/>
      <c r="JG828" s="83"/>
      <c r="JO828" s="405"/>
      <c r="JU828" s="83"/>
      <c r="KC828" s="405"/>
      <c r="KI828" s="83"/>
      <c r="KQ828" s="405"/>
      <c r="KW828" s="83"/>
      <c r="LE828" s="405"/>
      <c r="LK828" s="83"/>
      <c r="LS828" s="405"/>
      <c r="LY828" s="83"/>
      <c r="MG828" s="405"/>
      <c r="MM828" s="83"/>
      <c r="MU828" s="405"/>
      <c r="NA828" s="83"/>
    </row>
    <row r="829">
      <c r="A829" s="380"/>
      <c r="B829" s="380"/>
      <c r="C829" s="380"/>
      <c r="D829" s="380"/>
      <c r="E829" s="380"/>
      <c r="F829" s="380"/>
      <c r="G829" s="380"/>
      <c r="H829" s="380"/>
      <c r="I829" s="403"/>
      <c r="J829" s="380"/>
      <c r="K829" s="380"/>
      <c r="L829" s="380"/>
      <c r="M829" s="380"/>
      <c r="N829" s="380"/>
      <c r="O829" s="404"/>
      <c r="P829" s="380"/>
      <c r="Q829" s="380"/>
      <c r="R829" s="380"/>
      <c r="S829" s="380"/>
      <c r="T829" s="380"/>
      <c r="U829" s="380"/>
      <c r="V829" s="380"/>
      <c r="W829" s="403"/>
      <c r="X829" s="380"/>
      <c r="Y829" s="380"/>
      <c r="Z829" s="380"/>
      <c r="AA829" s="380"/>
      <c r="AB829" s="380"/>
      <c r="AC829" s="404"/>
      <c r="AD829" s="380"/>
      <c r="AE829" s="380"/>
      <c r="AF829" s="380"/>
      <c r="AG829" s="380"/>
      <c r="AH829" s="380"/>
      <c r="AI829" s="380"/>
      <c r="AJ829" s="380"/>
      <c r="AK829" s="403"/>
      <c r="AL829" s="380"/>
      <c r="AM829" s="380"/>
      <c r="AN829" s="380"/>
      <c r="AO829" s="380"/>
      <c r="AP829" s="380"/>
      <c r="AQ829" s="404"/>
      <c r="AR829" s="380"/>
      <c r="AS829" s="380"/>
      <c r="AT829" s="380"/>
      <c r="AU829" s="380"/>
      <c r="AV829" s="380"/>
      <c r="AW829" s="380"/>
      <c r="AX829" s="380"/>
      <c r="AY829" s="403"/>
      <c r="AZ829" s="380"/>
      <c r="BA829" s="380"/>
      <c r="BB829" s="380"/>
      <c r="BC829" s="380"/>
      <c r="BD829" s="380"/>
      <c r="BE829" s="404"/>
      <c r="BF829" s="380"/>
      <c r="BG829" s="380"/>
      <c r="BH829" s="380"/>
      <c r="BI829" s="380"/>
      <c r="BJ829" s="380"/>
      <c r="BK829" s="380"/>
      <c r="BL829" s="380"/>
      <c r="BM829" s="403"/>
      <c r="BS829" s="83"/>
      <c r="CA829" s="405"/>
      <c r="CG829" s="83"/>
      <c r="CO829" s="405"/>
      <c r="CU829" s="83"/>
      <c r="DC829" s="405"/>
      <c r="DI829" s="83"/>
      <c r="DQ829" s="405"/>
      <c r="DW829" s="83"/>
      <c r="EE829" s="405"/>
      <c r="EK829" s="83"/>
      <c r="ES829" s="405"/>
      <c r="EY829" s="83"/>
      <c r="FG829" s="405"/>
      <c r="FM829" s="83"/>
      <c r="FU829" s="405"/>
      <c r="GA829" s="83"/>
      <c r="GI829" s="405"/>
      <c r="GO829" s="83"/>
      <c r="GW829" s="405"/>
      <c r="HC829" s="83"/>
      <c r="HK829" s="405"/>
      <c r="HQ829" s="83"/>
      <c r="HY829" s="405"/>
      <c r="IE829" s="83"/>
      <c r="IM829" s="405"/>
      <c r="IS829" s="83"/>
      <c r="JA829" s="405"/>
      <c r="JG829" s="83"/>
      <c r="JO829" s="405"/>
      <c r="JU829" s="83"/>
      <c r="KC829" s="405"/>
      <c r="KI829" s="83"/>
      <c r="KQ829" s="405"/>
      <c r="KW829" s="83"/>
      <c r="LE829" s="405"/>
      <c r="LK829" s="83"/>
      <c r="LS829" s="405"/>
      <c r="LY829" s="83"/>
      <c r="MG829" s="405"/>
      <c r="MM829" s="83"/>
      <c r="MU829" s="405"/>
      <c r="NA829" s="83"/>
    </row>
    <row r="830">
      <c r="A830" s="380"/>
      <c r="B830" s="380"/>
      <c r="C830" s="380"/>
      <c r="D830" s="380"/>
      <c r="E830" s="380"/>
      <c r="F830" s="380"/>
      <c r="G830" s="380"/>
      <c r="H830" s="380"/>
      <c r="I830" s="403"/>
      <c r="J830" s="380"/>
      <c r="K830" s="380"/>
      <c r="L830" s="380"/>
      <c r="M830" s="380"/>
      <c r="N830" s="380"/>
      <c r="O830" s="404"/>
      <c r="P830" s="380"/>
      <c r="Q830" s="380"/>
      <c r="R830" s="380"/>
      <c r="S830" s="380"/>
      <c r="T830" s="380"/>
      <c r="U830" s="380"/>
      <c r="V830" s="380"/>
      <c r="W830" s="403"/>
      <c r="X830" s="380"/>
      <c r="Y830" s="380"/>
      <c r="Z830" s="380"/>
      <c r="AA830" s="380"/>
      <c r="AB830" s="380"/>
      <c r="AC830" s="404"/>
      <c r="AD830" s="380"/>
      <c r="AE830" s="380"/>
      <c r="AF830" s="380"/>
      <c r="AG830" s="380"/>
      <c r="AH830" s="380"/>
      <c r="AI830" s="380"/>
      <c r="AJ830" s="380"/>
      <c r="AK830" s="403"/>
      <c r="AL830" s="380"/>
      <c r="AM830" s="380"/>
      <c r="AN830" s="380"/>
      <c r="AO830" s="380"/>
      <c r="AP830" s="380"/>
      <c r="AQ830" s="404"/>
      <c r="AR830" s="380"/>
      <c r="AS830" s="380"/>
      <c r="AT830" s="380"/>
      <c r="AU830" s="380"/>
      <c r="AV830" s="380"/>
      <c r="AW830" s="380"/>
      <c r="AX830" s="380"/>
      <c r="AY830" s="403"/>
      <c r="AZ830" s="380"/>
      <c r="BA830" s="380"/>
      <c r="BB830" s="380"/>
      <c r="BC830" s="380"/>
      <c r="BD830" s="380"/>
      <c r="BE830" s="404"/>
      <c r="BF830" s="380"/>
      <c r="BG830" s="380"/>
      <c r="BH830" s="380"/>
      <c r="BI830" s="380"/>
      <c r="BJ830" s="380"/>
      <c r="BK830" s="380"/>
      <c r="BL830" s="380"/>
      <c r="BM830" s="403"/>
      <c r="BS830" s="83"/>
      <c r="CA830" s="405"/>
      <c r="CG830" s="83"/>
      <c r="CO830" s="405"/>
      <c r="CU830" s="83"/>
      <c r="DC830" s="405"/>
      <c r="DI830" s="83"/>
      <c r="DQ830" s="405"/>
      <c r="DW830" s="83"/>
      <c r="EE830" s="405"/>
      <c r="EK830" s="83"/>
      <c r="ES830" s="405"/>
      <c r="EY830" s="83"/>
      <c r="FG830" s="405"/>
      <c r="FM830" s="83"/>
      <c r="FU830" s="405"/>
      <c r="GA830" s="83"/>
      <c r="GI830" s="405"/>
      <c r="GO830" s="83"/>
      <c r="GW830" s="405"/>
      <c r="HC830" s="83"/>
      <c r="HK830" s="405"/>
      <c r="HQ830" s="83"/>
      <c r="HY830" s="405"/>
      <c r="IE830" s="83"/>
      <c r="IM830" s="405"/>
      <c r="IS830" s="83"/>
      <c r="JA830" s="405"/>
      <c r="JG830" s="83"/>
      <c r="JO830" s="405"/>
      <c r="JU830" s="83"/>
      <c r="KC830" s="405"/>
      <c r="KI830" s="83"/>
      <c r="KQ830" s="405"/>
      <c r="KW830" s="83"/>
      <c r="LE830" s="405"/>
      <c r="LK830" s="83"/>
      <c r="LS830" s="405"/>
      <c r="LY830" s="83"/>
      <c r="MG830" s="405"/>
      <c r="MM830" s="83"/>
      <c r="MU830" s="405"/>
      <c r="NA830" s="83"/>
    </row>
    <row r="831">
      <c r="A831" s="380"/>
      <c r="B831" s="380"/>
      <c r="C831" s="380"/>
      <c r="D831" s="380"/>
      <c r="E831" s="380"/>
      <c r="F831" s="380"/>
      <c r="G831" s="380"/>
      <c r="H831" s="380"/>
      <c r="I831" s="403"/>
      <c r="J831" s="380"/>
      <c r="K831" s="380"/>
      <c r="L831" s="380"/>
      <c r="M831" s="380"/>
      <c r="N831" s="380"/>
      <c r="O831" s="404"/>
      <c r="P831" s="380"/>
      <c r="Q831" s="380"/>
      <c r="R831" s="380"/>
      <c r="S831" s="380"/>
      <c r="T831" s="380"/>
      <c r="U831" s="380"/>
      <c r="V831" s="380"/>
      <c r="W831" s="403"/>
      <c r="X831" s="380"/>
      <c r="Y831" s="380"/>
      <c r="Z831" s="380"/>
      <c r="AA831" s="380"/>
      <c r="AB831" s="380"/>
      <c r="AC831" s="404"/>
      <c r="AD831" s="380"/>
      <c r="AE831" s="380"/>
      <c r="AF831" s="380"/>
      <c r="AG831" s="380"/>
      <c r="AH831" s="380"/>
      <c r="AI831" s="380"/>
      <c r="AJ831" s="380"/>
      <c r="AK831" s="403"/>
      <c r="AL831" s="380"/>
      <c r="AM831" s="380"/>
      <c r="AN831" s="380"/>
      <c r="AO831" s="380"/>
      <c r="AP831" s="380"/>
      <c r="AQ831" s="404"/>
      <c r="AR831" s="380"/>
      <c r="AS831" s="380"/>
      <c r="AT831" s="380"/>
      <c r="AU831" s="380"/>
      <c r="AV831" s="380"/>
      <c r="AW831" s="380"/>
      <c r="AX831" s="380"/>
      <c r="AY831" s="403"/>
      <c r="AZ831" s="380"/>
      <c r="BA831" s="380"/>
      <c r="BB831" s="380"/>
      <c r="BC831" s="380"/>
      <c r="BD831" s="380"/>
      <c r="BE831" s="404"/>
      <c r="BF831" s="380"/>
      <c r="BG831" s="380"/>
      <c r="BH831" s="380"/>
      <c r="BI831" s="380"/>
      <c r="BJ831" s="380"/>
      <c r="BK831" s="380"/>
      <c r="BL831" s="380"/>
      <c r="BM831" s="403"/>
      <c r="BS831" s="83"/>
      <c r="CA831" s="405"/>
      <c r="CG831" s="83"/>
      <c r="CO831" s="405"/>
      <c r="CU831" s="83"/>
      <c r="DC831" s="405"/>
      <c r="DI831" s="83"/>
      <c r="DQ831" s="405"/>
      <c r="DW831" s="83"/>
      <c r="EE831" s="405"/>
      <c r="EK831" s="83"/>
      <c r="ES831" s="405"/>
      <c r="EY831" s="83"/>
      <c r="FG831" s="405"/>
      <c r="FM831" s="83"/>
      <c r="FU831" s="405"/>
      <c r="GA831" s="83"/>
      <c r="GI831" s="405"/>
      <c r="GO831" s="83"/>
      <c r="GW831" s="405"/>
      <c r="HC831" s="83"/>
      <c r="HK831" s="405"/>
      <c r="HQ831" s="83"/>
      <c r="HY831" s="405"/>
      <c r="IE831" s="83"/>
      <c r="IM831" s="405"/>
      <c r="IS831" s="83"/>
      <c r="JA831" s="405"/>
      <c r="JG831" s="83"/>
      <c r="JO831" s="405"/>
      <c r="JU831" s="83"/>
      <c r="KC831" s="405"/>
      <c r="KI831" s="83"/>
      <c r="KQ831" s="405"/>
      <c r="KW831" s="83"/>
      <c r="LE831" s="405"/>
      <c r="LK831" s="83"/>
      <c r="LS831" s="405"/>
      <c r="LY831" s="83"/>
      <c r="MG831" s="405"/>
      <c r="MM831" s="83"/>
      <c r="MU831" s="405"/>
      <c r="NA831" s="83"/>
    </row>
    <row r="832">
      <c r="A832" s="380"/>
      <c r="B832" s="380"/>
      <c r="C832" s="380"/>
      <c r="D832" s="380"/>
      <c r="E832" s="380"/>
      <c r="F832" s="380"/>
      <c r="G832" s="380"/>
      <c r="H832" s="380"/>
      <c r="I832" s="403"/>
      <c r="J832" s="380"/>
      <c r="K832" s="380"/>
      <c r="L832" s="380"/>
      <c r="M832" s="380"/>
      <c r="N832" s="380"/>
      <c r="O832" s="404"/>
      <c r="P832" s="380"/>
      <c r="Q832" s="380"/>
      <c r="R832" s="380"/>
      <c r="S832" s="380"/>
      <c r="T832" s="380"/>
      <c r="U832" s="380"/>
      <c r="V832" s="380"/>
      <c r="W832" s="403"/>
      <c r="X832" s="380"/>
      <c r="Y832" s="380"/>
      <c r="Z832" s="380"/>
      <c r="AA832" s="380"/>
      <c r="AB832" s="380"/>
      <c r="AC832" s="404"/>
      <c r="AD832" s="380"/>
      <c r="AE832" s="380"/>
      <c r="AF832" s="380"/>
      <c r="AG832" s="380"/>
      <c r="AH832" s="380"/>
      <c r="AI832" s="380"/>
      <c r="AJ832" s="380"/>
      <c r="AK832" s="403"/>
      <c r="AL832" s="380"/>
      <c r="AM832" s="380"/>
      <c r="AN832" s="380"/>
      <c r="AO832" s="380"/>
      <c r="AP832" s="380"/>
      <c r="AQ832" s="404"/>
      <c r="AR832" s="380"/>
      <c r="AS832" s="380"/>
      <c r="AT832" s="380"/>
      <c r="AU832" s="380"/>
      <c r="AV832" s="380"/>
      <c r="AW832" s="380"/>
      <c r="AX832" s="380"/>
      <c r="AY832" s="403"/>
      <c r="AZ832" s="380"/>
      <c r="BA832" s="380"/>
      <c r="BB832" s="380"/>
      <c r="BC832" s="380"/>
      <c r="BD832" s="380"/>
      <c r="BE832" s="404"/>
      <c r="BF832" s="380"/>
      <c r="BG832" s="380"/>
      <c r="BH832" s="380"/>
      <c r="BI832" s="380"/>
      <c r="BJ832" s="380"/>
      <c r="BK832" s="380"/>
      <c r="BL832" s="380"/>
      <c r="BM832" s="403"/>
      <c r="BS832" s="83"/>
      <c r="CA832" s="405"/>
      <c r="CG832" s="83"/>
      <c r="CO832" s="405"/>
      <c r="CU832" s="83"/>
      <c r="DC832" s="405"/>
      <c r="DI832" s="83"/>
      <c r="DQ832" s="405"/>
      <c r="DW832" s="83"/>
      <c r="EE832" s="405"/>
      <c r="EK832" s="83"/>
      <c r="ES832" s="405"/>
      <c r="EY832" s="83"/>
      <c r="FG832" s="405"/>
      <c r="FM832" s="83"/>
      <c r="FU832" s="405"/>
      <c r="GA832" s="83"/>
      <c r="GI832" s="405"/>
      <c r="GO832" s="83"/>
      <c r="GW832" s="405"/>
      <c r="HC832" s="83"/>
      <c r="HK832" s="405"/>
      <c r="HQ832" s="83"/>
      <c r="HY832" s="405"/>
      <c r="IE832" s="83"/>
      <c r="IM832" s="405"/>
      <c r="IS832" s="83"/>
      <c r="JA832" s="405"/>
      <c r="JG832" s="83"/>
      <c r="JO832" s="405"/>
      <c r="JU832" s="83"/>
      <c r="KC832" s="405"/>
      <c r="KI832" s="83"/>
      <c r="KQ832" s="405"/>
      <c r="KW832" s="83"/>
      <c r="LE832" s="405"/>
      <c r="LK832" s="83"/>
      <c r="LS832" s="405"/>
      <c r="LY832" s="83"/>
      <c r="MG832" s="405"/>
      <c r="MM832" s="83"/>
      <c r="MU832" s="405"/>
      <c r="NA832" s="83"/>
    </row>
    <row r="833">
      <c r="A833" s="380"/>
      <c r="B833" s="380"/>
      <c r="C833" s="380"/>
      <c r="D833" s="380"/>
      <c r="E833" s="380"/>
      <c r="F833" s="380"/>
      <c r="G833" s="380"/>
      <c r="H833" s="380"/>
      <c r="I833" s="403"/>
      <c r="J833" s="380"/>
      <c r="K833" s="380"/>
      <c r="L833" s="380"/>
      <c r="M833" s="380"/>
      <c r="N833" s="380"/>
      <c r="O833" s="404"/>
      <c r="P833" s="380"/>
      <c r="Q833" s="380"/>
      <c r="R833" s="380"/>
      <c r="S833" s="380"/>
      <c r="T833" s="380"/>
      <c r="U833" s="380"/>
      <c r="V833" s="380"/>
      <c r="W833" s="403"/>
      <c r="X833" s="380"/>
      <c r="Y833" s="380"/>
      <c r="Z833" s="380"/>
      <c r="AA833" s="380"/>
      <c r="AB833" s="380"/>
      <c r="AC833" s="404"/>
      <c r="AD833" s="380"/>
      <c r="AE833" s="380"/>
      <c r="AF833" s="380"/>
      <c r="AG833" s="380"/>
      <c r="AH833" s="380"/>
      <c r="AI833" s="380"/>
      <c r="AJ833" s="380"/>
      <c r="AK833" s="403"/>
      <c r="AL833" s="380"/>
      <c r="AM833" s="380"/>
      <c r="AN833" s="380"/>
      <c r="AO833" s="380"/>
      <c r="AP833" s="380"/>
      <c r="AQ833" s="404"/>
      <c r="AR833" s="380"/>
      <c r="AS833" s="380"/>
      <c r="AT833" s="380"/>
      <c r="AU833" s="380"/>
      <c r="AV833" s="380"/>
      <c r="AW833" s="380"/>
      <c r="AX833" s="380"/>
      <c r="AY833" s="403"/>
      <c r="AZ833" s="380"/>
      <c r="BA833" s="380"/>
      <c r="BB833" s="380"/>
      <c r="BC833" s="380"/>
      <c r="BD833" s="380"/>
      <c r="BE833" s="404"/>
      <c r="BF833" s="380"/>
      <c r="BG833" s="380"/>
      <c r="BH833" s="380"/>
      <c r="BI833" s="380"/>
      <c r="BJ833" s="380"/>
      <c r="BK833" s="380"/>
      <c r="BL833" s="380"/>
      <c r="BM833" s="403"/>
      <c r="BS833" s="83"/>
      <c r="CA833" s="405"/>
      <c r="CG833" s="83"/>
      <c r="CO833" s="405"/>
      <c r="CU833" s="83"/>
      <c r="DC833" s="405"/>
      <c r="DI833" s="83"/>
      <c r="DQ833" s="405"/>
      <c r="DW833" s="83"/>
      <c r="EE833" s="405"/>
      <c r="EK833" s="83"/>
      <c r="ES833" s="405"/>
      <c r="EY833" s="83"/>
      <c r="FG833" s="405"/>
      <c r="FM833" s="83"/>
      <c r="FU833" s="405"/>
      <c r="GA833" s="83"/>
      <c r="GI833" s="405"/>
      <c r="GO833" s="83"/>
      <c r="GW833" s="405"/>
      <c r="HC833" s="83"/>
      <c r="HK833" s="405"/>
      <c r="HQ833" s="83"/>
      <c r="HY833" s="405"/>
      <c r="IE833" s="83"/>
      <c r="IM833" s="405"/>
      <c r="IS833" s="83"/>
      <c r="JA833" s="405"/>
      <c r="JG833" s="83"/>
      <c r="JO833" s="405"/>
      <c r="JU833" s="83"/>
      <c r="KC833" s="405"/>
      <c r="KI833" s="83"/>
      <c r="KQ833" s="405"/>
      <c r="KW833" s="83"/>
      <c r="LE833" s="405"/>
      <c r="LK833" s="83"/>
      <c r="LS833" s="405"/>
      <c r="LY833" s="83"/>
      <c r="MG833" s="405"/>
      <c r="MM833" s="83"/>
      <c r="MU833" s="405"/>
      <c r="NA833" s="83"/>
    </row>
    <row r="834">
      <c r="A834" s="380"/>
      <c r="B834" s="380"/>
      <c r="C834" s="380"/>
      <c r="D834" s="380"/>
      <c r="E834" s="380"/>
      <c r="F834" s="380"/>
      <c r="G834" s="380"/>
      <c r="H834" s="380"/>
      <c r="I834" s="403"/>
      <c r="J834" s="380"/>
      <c r="K834" s="380"/>
      <c r="L834" s="380"/>
      <c r="M834" s="380"/>
      <c r="N834" s="380"/>
      <c r="O834" s="404"/>
      <c r="P834" s="380"/>
      <c r="Q834" s="380"/>
      <c r="R834" s="380"/>
      <c r="S834" s="380"/>
      <c r="T834" s="380"/>
      <c r="U834" s="380"/>
      <c r="V834" s="380"/>
      <c r="W834" s="403"/>
      <c r="X834" s="380"/>
      <c r="Y834" s="380"/>
      <c r="Z834" s="380"/>
      <c r="AA834" s="380"/>
      <c r="AB834" s="380"/>
      <c r="AC834" s="404"/>
      <c r="AD834" s="380"/>
      <c r="AE834" s="380"/>
      <c r="AF834" s="380"/>
      <c r="AG834" s="380"/>
      <c r="AH834" s="380"/>
      <c r="AI834" s="380"/>
      <c r="AJ834" s="380"/>
      <c r="AK834" s="403"/>
      <c r="AL834" s="380"/>
      <c r="AM834" s="380"/>
      <c r="AN834" s="380"/>
      <c r="AO834" s="380"/>
      <c r="AP834" s="380"/>
      <c r="AQ834" s="404"/>
      <c r="AR834" s="380"/>
      <c r="AS834" s="380"/>
      <c r="AT834" s="380"/>
      <c r="AU834" s="380"/>
      <c r="AV834" s="380"/>
      <c r="AW834" s="380"/>
      <c r="AX834" s="380"/>
      <c r="AY834" s="403"/>
      <c r="AZ834" s="380"/>
      <c r="BA834" s="380"/>
      <c r="BB834" s="380"/>
      <c r="BC834" s="380"/>
      <c r="BD834" s="380"/>
      <c r="BE834" s="404"/>
      <c r="BF834" s="380"/>
      <c r="BG834" s="380"/>
      <c r="BH834" s="380"/>
      <c r="BI834" s="380"/>
      <c r="BJ834" s="380"/>
      <c r="BK834" s="380"/>
      <c r="BL834" s="380"/>
      <c r="BM834" s="403"/>
      <c r="BS834" s="83"/>
      <c r="CA834" s="405"/>
      <c r="CG834" s="83"/>
      <c r="CO834" s="405"/>
      <c r="CU834" s="83"/>
      <c r="DC834" s="405"/>
      <c r="DI834" s="83"/>
      <c r="DQ834" s="405"/>
      <c r="DW834" s="83"/>
      <c r="EE834" s="405"/>
      <c r="EK834" s="83"/>
      <c r="ES834" s="405"/>
      <c r="EY834" s="83"/>
      <c r="FG834" s="405"/>
      <c r="FM834" s="83"/>
      <c r="FU834" s="405"/>
      <c r="GA834" s="83"/>
      <c r="GI834" s="405"/>
      <c r="GO834" s="83"/>
      <c r="GW834" s="405"/>
      <c r="HC834" s="83"/>
      <c r="HK834" s="405"/>
      <c r="HQ834" s="83"/>
      <c r="HY834" s="405"/>
      <c r="IE834" s="83"/>
      <c r="IM834" s="405"/>
      <c r="IS834" s="83"/>
      <c r="JA834" s="405"/>
      <c r="JG834" s="83"/>
      <c r="JO834" s="405"/>
      <c r="JU834" s="83"/>
      <c r="KC834" s="405"/>
      <c r="KI834" s="83"/>
      <c r="KQ834" s="405"/>
      <c r="KW834" s="83"/>
      <c r="LE834" s="405"/>
      <c r="LK834" s="83"/>
      <c r="LS834" s="405"/>
      <c r="LY834" s="83"/>
      <c r="MG834" s="405"/>
      <c r="MM834" s="83"/>
      <c r="MU834" s="405"/>
      <c r="NA834" s="83"/>
    </row>
    <row r="835">
      <c r="A835" s="380"/>
      <c r="B835" s="380"/>
      <c r="C835" s="380"/>
      <c r="D835" s="380"/>
      <c r="E835" s="380"/>
      <c r="F835" s="380"/>
      <c r="G835" s="380"/>
      <c r="H835" s="380"/>
      <c r="I835" s="403"/>
      <c r="J835" s="380"/>
      <c r="K835" s="380"/>
      <c r="L835" s="380"/>
      <c r="M835" s="380"/>
      <c r="N835" s="380"/>
      <c r="O835" s="404"/>
      <c r="P835" s="380"/>
      <c r="Q835" s="380"/>
      <c r="R835" s="380"/>
      <c r="S835" s="380"/>
      <c r="T835" s="380"/>
      <c r="U835" s="380"/>
      <c r="V835" s="380"/>
      <c r="W835" s="403"/>
      <c r="X835" s="380"/>
      <c r="Y835" s="380"/>
      <c r="Z835" s="380"/>
      <c r="AA835" s="380"/>
      <c r="AB835" s="380"/>
      <c r="AC835" s="404"/>
      <c r="AD835" s="380"/>
      <c r="AE835" s="380"/>
      <c r="AF835" s="380"/>
      <c r="AG835" s="380"/>
      <c r="AH835" s="380"/>
      <c r="AI835" s="380"/>
      <c r="AJ835" s="380"/>
      <c r="AK835" s="403"/>
      <c r="AL835" s="380"/>
      <c r="AM835" s="380"/>
      <c r="AN835" s="380"/>
      <c r="AO835" s="380"/>
      <c r="AP835" s="380"/>
      <c r="AQ835" s="404"/>
      <c r="AR835" s="380"/>
      <c r="AS835" s="380"/>
      <c r="AT835" s="380"/>
      <c r="AU835" s="380"/>
      <c r="AV835" s="380"/>
      <c r="AW835" s="380"/>
      <c r="AX835" s="380"/>
      <c r="AY835" s="403"/>
      <c r="AZ835" s="380"/>
      <c r="BA835" s="380"/>
      <c r="BB835" s="380"/>
      <c r="BC835" s="380"/>
      <c r="BD835" s="380"/>
      <c r="BE835" s="404"/>
      <c r="BF835" s="380"/>
      <c r="BG835" s="380"/>
      <c r="BH835" s="380"/>
      <c r="BI835" s="380"/>
      <c r="BJ835" s="380"/>
      <c r="BK835" s="380"/>
      <c r="BL835" s="380"/>
      <c r="BM835" s="403"/>
      <c r="BS835" s="83"/>
      <c r="CA835" s="405"/>
      <c r="CG835" s="83"/>
      <c r="CO835" s="405"/>
      <c r="CU835" s="83"/>
      <c r="DC835" s="405"/>
      <c r="DI835" s="83"/>
      <c r="DQ835" s="405"/>
      <c r="DW835" s="83"/>
      <c r="EE835" s="405"/>
      <c r="EK835" s="83"/>
      <c r="ES835" s="405"/>
      <c r="EY835" s="83"/>
      <c r="FG835" s="405"/>
      <c r="FM835" s="83"/>
      <c r="FU835" s="405"/>
      <c r="GA835" s="83"/>
      <c r="GI835" s="405"/>
      <c r="GO835" s="83"/>
      <c r="GW835" s="405"/>
      <c r="HC835" s="83"/>
      <c r="HK835" s="405"/>
      <c r="HQ835" s="83"/>
      <c r="HY835" s="405"/>
      <c r="IE835" s="83"/>
      <c r="IM835" s="405"/>
      <c r="IS835" s="83"/>
      <c r="JA835" s="405"/>
      <c r="JG835" s="83"/>
      <c r="JO835" s="405"/>
      <c r="JU835" s="83"/>
      <c r="KC835" s="405"/>
      <c r="KI835" s="83"/>
      <c r="KQ835" s="405"/>
      <c r="KW835" s="83"/>
      <c r="LE835" s="405"/>
      <c r="LK835" s="83"/>
      <c r="LS835" s="405"/>
      <c r="LY835" s="83"/>
      <c r="MG835" s="405"/>
      <c r="MM835" s="83"/>
      <c r="MU835" s="405"/>
      <c r="NA835" s="83"/>
    </row>
    <row r="836">
      <c r="A836" s="380"/>
      <c r="B836" s="380"/>
      <c r="C836" s="380"/>
      <c r="D836" s="380"/>
      <c r="E836" s="380"/>
      <c r="F836" s="380"/>
      <c r="G836" s="380"/>
      <c r="H836" s="380"/>
      <c r="I836" s="403"/>
      <c r="J836" s="380"/>
      <c r="K836" s="380"/>
      <c r="L836" s="380"/>
      <c r="M836" s="380"/>
      <c r="N836" s="380"/>
      <c r="O836" s="404"/>
      <c r="P836" s="380"/>
      <c r="Q836" s="380"/>
      <c r="R836" s="380"/>
      <c r="S836" s="380"/>
      <c r="T836" s="380"/>
      <c r="U836" s="380"/>
      <c r="V836" s="380"/>
      <c r="W836" s="403"/>
      <c r="X836" s="380"/>
      <c r="Y836" s="380"/>
      <c r="Z836" s="380"/>
      <c r="AA836" s="380"/>
      <c r="AB836" s="380"/>
      <c r="AC836" s="404"/>
      <c r="AD836" s="380"/>
      <c r="AE836" s="380"/>
      <c r="AF836" s="380"/>
      <c r="AG836" s="380"/>
      <c r="AH836" s="380"/>
      <c r="AI836" s="380"/>
      <c r="AJ836" s="380"/>
      <c r="AK836" s="403"/>
      <c r="AL836" s="380"/>
      <c r="AM836" s="380"/>
      <c r="AN836" s="380"/>
      <c r="AO836" s="380"/>
      <c r="AP836" s="380"/>
      <c r="AQ836" s="404"/>
      <c r="AR836" s="380"/>
      <c r="AS836" s="380"/>
      <c r="AT836" s="380"/>
      <c r="AU836" s="380"/>
      <c r="AV836" s="380"/>
      <c r="AW836" s="380"/>
      <c r="AX836" s="380"/>
      <c r="AY836" s="403"/>
      <c r="AZ836" s="380"/>
      <c r="BA836" s="380"/>
      <c r="BB836" s="380"/>
      <c r="BC836" s="380"/>
      <c r="BD836" s="380"/>
      <c r="BE836" s="404"/>
      <c r="BF836" s="380"/>
      <c r="BG836" s="380"/>
      <c r="BH836" s="380"/>
      <c r="BI836" s="380"/>
      <c r="BJ836" s="380"/>
      <c r="BK836" s="380"/>
      <c r="BL836" s="380"/>
      <c r="BM836" s="403"/>
      <c r="BS836" s="83"/>
      <c r="CA836" s="405"/>
      <c r="CG836" s="83"/>
      <c r="CO836" s="405"/>
      <c r="CU836" s="83"/>
      <c r="DC836" s="405"/>
      <c r="DI836" s="83"/>
      <c r="DQ836" s="405"/>
      <c r="DW836" s="83"/>
      <c r="EE836" s="405"/>
      <c r="EK836" s="83"/>
      <c r="ES836" s="405"/>
      <c r="EY836" s="83"/>
      <c r="FG836" s="405"/>
      <c r="FM836" s="83"/>
      <c r="FU836" s="405"/>
      <c r="GA836" s="83"/>
      <c r="GI836" s="405"/>
      <c r="GO836" s="83"/>
      <c r="GW836" s="405"/>
      <c r="HC836" s="83"/>
      <c r="HK836" s="405"/>
      <c r="HQ836" s="83"/>
      <c r="HY836" s="405"/>
      <c r="IE836" s="83"/>
      <c r="IM836" s="405"/>
      <c r="IS836" s="83"/>
      <c r="JA836" s="405"/>
      <c r="JG836" s="83"/>
      <c r="JO836" s="405"/>
      <c r="JU836" s="83"/>
      <c r="KC836" s="405"/>
      <c r="KI836" s="83"/>
      <c r="KQ836" s="405"/>
      <c r="KW836" s="83"/>
      <c r="LE836" s="405"/>
      <c r="LK836" s="83"/>
      <c r="LS836" s="405"/>
      <c r="LY836" s="83"/>
      <c r="MG836" s="405"/>
      <c r="MM836" s="83"/>
      <c r="MU836" s="405"/>
      <c r="NA836" s="83"/>
    </row>
    <row r="837">
      <c r="A837" s="380"/>
      <c r="B837" s="380"/>
      <c r="C837" s="380"/>
      <c r="D837" s="380"/>
      <c r="E837" s="380"/>
      <c r="F837" s="380"/>
      <c r="G837" s="380"/>
      <c r="H837" s="380"/>
      <c r="I837" s="403"/>
      <c r="J837" s="380"/>
      <c r="K837" s="380"/>
      <c r="L837" s="380"/>
      <c r="M837" s="380"/>
      <c r="N837" s="380"/>
      <c r="O837" s="404"/>
      <c r="P837" s="380"/>
      <c r="Q837" s="380"/>
      <c r="R837" s="380"/>
      <c r="S837" s="380"/>
      <c r="T837" s="380"/>
      <c r="U837" s="380"/>
      <c r="V837" s="380"/>
      <c r="W837" s="403"/>
      <c r="X837" s="380"/>
      <c r="Y837" s="380"/>
      <c r="Z837" s="380"/>
      <c r="AA837" s="380"/>
      <c r="AB837" s="380"/>
      <c r="AC837" s="404"/>
      <c r="AD837" s="380"/>
      <c r="AE837" s="380"/>
      <c r="AF837" s="380"/>
      <c r="AG837" s="380"/>
      <c r="AH837" s="380"/>
      <c r="AI837" s="380"/>
      <c r="AJ837" s="380"/>
      <c r="AK837" s="403"/>
      <c r="AL837" s="380"/>
      <c r="AM837" s="380"/>
      <c r="AN837" s="380"/>
      <c r="AO837" s="380"/>
      <c r="AP837" s="380"/>
      <c r="AQ837" s="404"/>
      <c r="AR837" s="380"/>
      <c r="AS837" s="380"/>
      <c r="AT837" s="380"/>
      <c r="AU837" s="380"/>
      <c r="AV837" s="380"/>
      <c r="AW837" s="380"/>
      <c r="AX837" s="380"/>
      <c r="AY837" s="403"/>
      <c r="AZ837" s="380"/>
      <c r="BA837" s="380"/>
      <c r="BB837" s="380"/>
      <c r="BC837" s="380"/>
      <c r="BD837" s="380"/>
      <c r="BE837" s="404"/>
      <c r="BF837" s="380"/>
      <c r="BG837" s="380"/>
      <c r="BH837" s="380"/>
      <c r="BI837" s="380"/>
      <c r="BJ837" s="380"/>
      <c r="BK837" s="380"/>
      <c r="BL837" s="380"/>
      <c r="BM837" s="403"/>
      <c r="BS837" s="83"/>
      <c r="CA837" s="405"/>
      <c r="CG837" s="83"/>
      <c r="CO837" s="405"/>
      <c r="CU837" s="83"/>
      <c r="DC837" s="405"/>
      <c r="DI837" s="83"/>
      <c r="DQ837" s="405"/>
      <c r="DW837" s="83"/>
      <c r="EE837" s="405"/>
      <c r="EK837" s="83"/>
      <c r="ES837" s="405"/>
      <c r="EY837" s="83"/>
      <c r="FG837" s="405"/>
      <c r="FM837" s="83"/>
      <c r="FU837" s="405"/>
      <c r="GA837" s="83"/>
      <c r="GI837" s="405"/>
      <c r="GO837" s="83"/>
      <c r="GW837" s="405"/>
      <c r="HC837" s="83"/>
      <c r="HK837" s="405"/>
      <c r="HQ837" s="83"/>
      <c r="HY837" s="405"/>
      <c r="IE837" s="83"/>
      <c r="IM837" s="405"/>
      <c r="IS837" s="83"/>
      <c r="JA837" s="405"/>
      <c r="JG837" s="83"/>
      <c r="JO837" s="405"/>
      <c r="JU837" s="83"/>
      <c r="KC837" s="405"/>
      <c r="KI837" s="83"/>
      <c r="KQ837" s="405"/>
      <c r="KW837" s="83"/>
      <c r="LE837" s="405"/>
      <c r="LK837" s="83"/>
      <c r="LS837" s="405"/>
      <c r="LY837" s="83"/>
      <c r="MG837" s="405"/>
      <c r="MM837" s="83"/>
      <c r="MU837" s="405"/>
      <c r="NA837" s="83"/>
    </row>
    <row r="838">
      <c r="A838" s="380"/>
      <c r="B838" s="380"/>
      <c r="C838" s="380"/>
      <c r="D838" s="380"/>
      <c r="E838" s="380"/>
      <c r="F838" s="380"/>
      <c r="G838" s="380"/>
      <c r="H838" s="380"/>
      <c r="I838" s="403"/>
      <c r="J838" s="380"/>
      <c r="K838" s="380"/>
      <c r="L838" s="380"/>
      <c r="M838" s="380"/>
      <c r="N838" s="380"/>
      <c r="O838" s="404"/>
      <c r="P838" s="380"/>
      <c r="Q838" s="380"/>
      <c r="R838" s="380"/>
      <c r="S838" s="380"/>
      <c r="T838" s="380"/>
      <c r="U838" s="380"/>
      <c r="V838" s="380"/>
      <c r="W838" s="403"/>
      <c r="X838" s="380"/>
      <c r="Y838" s="380"/>
      <c r="Z838" s="380"/>
      <c r="AA838" s="380"/>
      <c r="AB838" s="380"/>
      <c r="AC838" s="404"/>
      <c r="AD838" s="380"/>
      <c r="AE838" s="380"/>
      <c r="AF838" s="380"/>
      <c r="AG838" s="380"/>
      <c r="AH838" s="380"/>
      <c r="AI838" s="380"/>
      <c r="AJ838" s="380"/>
      <c r="AK838" s="403"/>
      <c r="AL838" s="380"/>
      <c r="AM838" s="380"/>
      <c r="AN838" s="380"/>
      <c r="AO838" s="380"/>
      <c r="AP838" s="380"/>
      <c r="AQ838" s="404"/>
      <c r="AR838" s="380"/>
      <c r="AS838" s="380"/>
      <c r="AT838" s="380"/>
      <c r="AU838" s="380"/>
      <c r="AV838" s="380"/>
      <c r="AW838" s="380"/>
      <c r="AX838" s="380"/>
      <c r="AY838" s="403"/>
      <c r="AZ838" s="380"/>
      <c r="BA838" s="380"/>
      <c r="BB838" s="380"/>
      <c r="BC838" s="380"/>
      <c r="BD838" s="380"/>
      <c r="BE838" s="404"/>
      <c r="BF838" s="380"/>
      <c r="BG838" s="380"/>
      <c r="BH838" s="380"/>
      <c r="BI838" s="380"/>
      <c r="BJ838" s="380"/>
      <c r="BK838" s="380"/>
      <c r="BL838" s="380"/>
      <c r="BM838" s="403"/>
      <c r="BS838" s="83"/>
      <c r="CA838" s="405"/>
      <c r="CG838" s="83"/>
      <c r="CO838" s="405"/>
      <c r="CU838" s="83"/>
      <c r="DC838" s="405"/>
      <c r="DI838" s="83"/>
      <c r="DQ838" s="405"/>
      <c r="DW838" s="83"/>
      <c r="EE838" s="405"/>
      <c r="EK838" s="83"/>
      <c r="ES838" s="405"/>
      <c r="EY838" s="83"/>
      <c r="FG838" s="405"/>
      <c r="FM838" s="83"/>
      <c r="FU838" s="405"/>
      <c r="GA838" s="83"/>
      <c r="GI838" s="405"/>
      <c r="GO838" s="83"/>
      <c r="GW838" s="405"/>
      <c r="HC838" s="83"/>
      <c r="HK838" s="405"/>
      <c r="HQ838" s="83"/>
      <c r="HY838" s="405"/>
      <c r="IE838" s="83"/>
      <c r="IM838" s="405"/>
      <c r="IS838" s="83"/>
      <c r="JA838" s="405"/>
      <c r="JG838" s="83"/>
      <c r="JO838" s="405"/>
      <c r="JU838" s="83"/>
      <c r="KC838" s="405"/>
      <c r="KI838" s="83"/>
      <c r="KQ838" s="405"/>
      <c r="KW838" s="83"/>
      <c r="LE838" s="405"/>
      <c r="LK838" s="83"/>
      <c r="LS838" s="405"/>
      <c r="LY838" s="83"/>
      <c r="MG838" s="405"/>
      <c r="MM838" s="83"/>
      <c r="MU838" s="405"/>
      <c r="NA838" s="83"/>
    </row>
    <row r="839">
      <c r="A839" s="380"/>
      <c r="B839" s="380"/>
      <c r="C839" s="380"/>
      <c r="D839" s="380"/>
      <c r="E839" s="380"/>
      <c r="F839" s="380"/>
      <c r="G839" s="380"/>
      <c r="H839" s="380"/>
      <c r="I839" s="403"/>
      <c r="J839" s="380"/>
      <c r="K839" s="380"/>
      <c r="L839" s="380"/>
      <c r="M839" s="380"/>
      <c r="N839" s="380"/>
      <c r="O839" s="404"/>
      <c r="P839" s="380"/>
      <c r="Q839" s="380"/>
      <c r="R839" s="380"/>
      <c r="S839" s="380"/>
      <c r="T839" s="380"/>
      <c r="U839" s="380"/>
      <c r="V839" s="380"/>
      <c r="W839" s="403"/>
      <c r="X839" s="380"/>
      <c r="Y839" s="380"/>
      <c r="Z839" s="380"/>
      <c r="AA839" s="380"/>
      <c r="AB839" s="380"/>
      <c r="AC839" s="404"/>
      <c r="AD839" s="380"/>
      <c r="AE839" s="380"/>
      <c r="AF839" s="380"/>
      <c r="AG839" s="380"/>
      <c r="AH839" s="380"/>
      <c r="AI839" s="380"/>
      <c r="AJ839" s="380"/>
      <c r="AK839" s="403"/>
      <c r="AL839" s="380"/>
      <c r="AM839" s="380"/>
      <c r="AN839" s="380"/>
      <c r="AO839" s="380"/>
      <c r="AP839" s="380"/>
      <c r="AQ839" s="404"/>
      <c r="AR839" s="380"/>
      <c r="AS839" s="380"/>
      <c r="AT839" s="380"/>
      <c r="AU839" s="380"/>
      <c r="AV839" s="380"/>
      <c r="AW839" s="380"/>
      <c r="AX839" s="380"/>
      <c r="AY839" s="403"/>
      <c r="AZ839" s="380"/>
      <c r="BA839" s="380"/>
      <c r="BB839" s="380"/>
      <c r="BC839" s="380"/>
      <c r="BD839" s="380"/>
      <c r="BE839" s="404"/>
      <c r="BF839" s="380"/>
      <c r="BG839" s="380"/>
      <c r="BH839" s="380"/>
      <c r="BI839" s="380"/>
      <c r="BJ839" s="380"/>
      <c r="BK839" s="380"/>
      <c r="BL839" s="380"/>
      <c r="BM839" s="403"/>
      <c r="BS839" s="83"/>
      <c r="CA839" s="405"/>
      <c r="CG839" s="83"/>
      <c r="CO839" s="405"/>
      <c r="CU839" s="83"/>
      <c r="DC839" s="405"/>
      <c r="DI839" s="83"/>
      <c r="DQ839" s="405"/>
      <c r="DW839" s="83"/>
      <c r="EE839" s="405"/>
      <c r="EK839" s="83"/>
      <c r="ES839" s="405"/>
      <c r="EY839" s="83"/>
      <c r="FG839" s="405"/>
      <c r="FM839" s="83"/>
      <c r="FU839" s="405"/>
      <c r="GA839" s="83"/>
      <c r="GI839" s="405"/>
      <c r="GO839" s="83"/>
      <c r="GW839" s="405"/>
      <c r="HC839" s="83"/>
      <c r="HK839" s="405"/>
      <c r="HQ839" s="83"/>
      <c r="HY839" s="405"/>
      <c r="IE839" s="83"/>
      <c r="IM839" s="405"/>
      <c r="IS839" s="83"/>
      <c r="JA839" s="405"/>
      <c r="JG839" s="83"/>
      <c r="JO839" s="405"/>
      <c r="JU839" s="83"/>
      <c r="KC839" s="405"/>
      <c r="KI839" s="83"/>
      <c r="KQ839" s="405"/>
      <c r="KW839" s="83"/>
      <c r="LE839" s="405"/>
      <c r="LK839" s="83"/>
      <c r="LS839" s="405"/>
      <c r="LY839" s="83"/>
      <c r="MG839" s="405"/>
      <c r="MM839" s="83"/>
      <c r="MU839" s="405"/>
      <c r="NA839" s="83"/>
    </row>
    <row r="840">
      <c r="A840" s="380"/>
      <c r="B840" s="380"/>
      <c r="C840" s="380"/>
      <c r="D840" s="380"/>
      <c r="E840" s="380"/>
      <c r="F840" s="380"/>
      <c r="G840" s="380"/>
      <c r="H840" s="380"/>
      <c r="I840" s="403"/>
      <c r="J840" s="380"/>
      <c r="K840" s="380"/>
      <c r="L840" s="380"/>
      <c r="M840" s="380"/>
      <c r="N840" s="380"/>
      <c r="O840" s="404"/>
      <c r="P840" s="380"/>
      <c r="Q840" s="380"/>
      <c r="R840" s="380"/>
      <c r="S840" s="380"/>
      <c r="T840" s="380"/>
      <c r="U840" s="380"/>
      <c r="V840" s="380"/>
      <c r="W840" s="403"/>
      <c r="X840" s="380"/>
      <c r="Y840" s="380"/>
      <c r="Z840" s="380"/>
      <c r="AA840" s="380"/>
      <c r="AB840" s="380"/>
      <c r="AC840" s="404"/>
      <c r="AD840" s="380"/>
      <c r="AE840" s="380"/>
      <c r="AF840" s="380"/>
      <c r="AG840" s="380"/>
      <c r="AH840" s="380"/>
      <c r="AI840" s="380"/>
      <c r="AJ840" s="380"/>
      <c r="AK840" s="403"/>
      <c r="AL840" s="380"/>
      <c r="AM840" s="380"/>
      <c r="AN840" s="380"/>
      <c r="AO840" s="380"/>
      <c r="AP840" s="380"/>
      <c r="AQ840" s="404"/>
      <c r="AR840" s="380"/>
      <c r="AS840" s="380"/>
      <c r="AT840" s="380"/>
      <c r="AU840" s="380"/>
      <c r="AV840" s="380"/>
      <c r="AW840" s="380"/>
      <c r="AX840" s="380"/>
      <c r="AY840" s="403"/>
      <c r="AZ840" s="380"/>
      <c r="BA840" s="380"/>
      <c r="BB840" s="380"/>
      <c r="BC840" s="380"/>
      <c r="BD840" s="380"/>
      <c r="BE840" s="404"/>
      <c r="BF840" s="380"/>
      <c r="BG840" s="380"/>
      <c r="BH840" s="380"/>
      <c r="BI840" s="380"/>
      <c r="BJ840" s="380"/>
      <c r="BK840" s="380"/>
      <c r="BL840" s="380"/>
      <c r="BM840" s="403"/>
      <c r="BS840" s="83"/>
      <c r="CA840" s="405"/>
      <c r="CG840" s="83"/>
      <c r="CO840" s="405"/>
      <c r="CU840" s="83"/>
      <c r="DC840" s="405"/>
      <c r="DI840" s="83"/>
      <c r="DQ840" s="405"/>
      <c r="DW840" s="83"/>
      <c r="EE840" s="405"/>
      <c r="EK840" s="83"/>
      <c r="ES840" s="405"/>
      <c r="EY840" s="83"/>
      <c r="FG840" s="405"/>
      <c r="FM840" s="83"/>
      <c r="FU840" s="405"/>
      <c r="GA840" s="83"/>
      <c r="GI840" s="405"/>
      <c r="GO840" s="83"/>
      <c r="GW840" s="405"/>
      <c r="HC840" s="83"/>
      <c r="HK840" s="405"/>
      <c r="HQ840" s="83"/>
      <c r="HY840" s="405"/>
      <c r="IE840" s="83"/>
      <c r="IM840" s="405"/>
      <c r="IS840" s="83"/>
      <c r="JA840" s="405"/>
      <c r="JG840" s="83"/>
      <c r="JO840" s="405"/>
      <c r="JU840" s="83"/>
      <c r="KC840" s="405"/>
      <c r="KI840" s="83"/>
      <c r="KQ840" s="405"/>
      <c r="KW840" s="83"/>
      <c r="LE840" s="405"/>
      <c r="LK840" s="83"/>
      <c r="LS840" s="405"/>
      <c r="LY840" s="83"/>
      <c r="MG840" s="405"/>
      <c r="MM840" s="83"/>
      <c r="MU840" s="405"/>
      <c r="NA840" s="83"/>
    </row>
    <row r="841">
      <c r="A841" s="380"/>
      <c r="B841" s="380"/>
      <c r="C841" s="380"/>
      <c r="D841" s="380"/>
      <c r="E841" s="380"/>
      <c r="F841" s="380"/>
      <c r="G841" s="380"/>
      <c r="H841" s="380"/>
      <c r="I841" s="403"/>
      <c r="J841" s="380"/>
      <c r="K841" s="380"/>
      <c r="L841" s="380"/>
      <c r="M841" s="380"/>
      <c r="N841" s="380"/>
      <c r="O841" s="404"/>
      <c r="P841" s="380"/>
      <c r="Q841" s="380"/>
      <c r="R841" s="380"/>
      <c r="S841" s="380"/>
      <c r="T841" s="380"/>
      <c r="U841" s="380"/>
      <c r="V841" s="380"/>
      <c r="W841" s="403"/>
      <c r="X841" s="380"/>
      <c r="Y841" s="380"/>
      <c r="Z841" s="380"/>
      <c r="AA841" s="380"/>
      <c r="AB841" s="380"/>
      <c r="AC841" s="404"/>
      <c r="AD841" s="380"/>
      <c r="AE841" s="380"/>
      <c r="AF841" s="380"/>
      <c r="AG841" s="380"/>
      <c r="AH841" s="380"/>
      <c r="AI841" s="380"/>
      <c r="AJ841" s="380"/>
      <c r="AK841" s="403"/>
      <c r="AL841" s="380"/>
      <c r="AM841" s="380"/>
      <c r="AN841" s="380"/>
      <c r="AO841" s="380"/>
      <c r="AP841" s="380"/>
      <c r="AQ841" s="404"/>
      <c r="AR841" s="380"/>
      <c r="AS841" s="380"/>
      <c r="AT841" s="380"/>
      <c r="AU841" s="380"/>
      <c r="AV841" s="380"/>
      <c r="AW841" s="380"/>
      <c r="AX841" s="380"/>
      <c r="AY841" s="403"/>
      <c r="AZ841" s="380"/>
      <c r="BA841" s="380"/>
      <c r="BB841" s="380"/>
      <c r="BC841" s="380"/>
      <c r="BD841" s="380"/>
      <c r="BE841" s="404"/>
      <c r="BF841" s="380"/>
      <c r="BG841" s="380"/>
      <c r="BH841" s="380"/>
      <c r="BI841" s="380"/>
      <c r="BJ841" s="380"/>
      <c r="BK841" s="380"/>
      <c r="BL841" s="380"/>
      <c r="BM841" s="403"/>
      <c r="BS841" s="83"/>
      <c r="CA841" s="405"/>
      <c r="CG841" s="83"/>
      <c r="CO841" s="405"/>
      <c r="CU841" s="83"/>
      <c r="DC841" s="405"/>
      <c r="DI841" s="83"/>
      <c r="DQ841" s="405"/>
      <c r="DW841" s="83"/>
      <c r="EE841" s="405"/>
      <c r="EK841" s="83"/>
      <c r="ES841" s="405"/>
      <c r="EY841" s="83"/>
      <c r="FG841" s="405"/>
      <c r="FM841" s="83"/>
      <c r="FU841" s="405"/>
      <c r="GA841" s="83"/>
      <c r="GI841" s="405"/>
      <c r="GO841" s="83"/>
      <c r="GW841" s="405"/>
      <c r="HC841" s="83"/>
      <c r="HK841" s="405"/>
      <c r="HQ841" s="83"/>
      <c r="HY841" s="405"/>
      <c r="IE841" s="83"/>
      <c r="IM841" s="405"/>
      <c r="IS841" s="83"/>
      <c r="JA841" s="405"/>
      <c r="JG841" s="83"/>
      <c r="JO841" s="405"/>
      <c r="JU841" s="83"/>
      <c r="KC841" s="405"/>
      <c r="KI841" s="83"/>
      <c r="KQ841" s="405"/>
      <c r="KW841" s="83"/>
      <c r="LE841" s="405"/>
      <c r="LK841" s="83"/>
      <c r="LS841" s="405"/>
      <c r="LY841" s="83"/>
      <c r="MG841" s="405"/>
      <c r="MM841" s="83"/>
      <c r="MU841" s="405"/>
      <c r="NA841" s="83"/>
    </row>
    <row r="842">
      <c r="A842" s="380"/>
      <c r="B842" s="380"/>
      <c r="C842" s="380"/>
      <c r="D842" s="380"/>
      <c r="E842" s="380"/>
      <c r="F842" s="380"/>
      <c r="G842" s="380"/>
      <c r="H842" s="380"/>
      <c r="I842" s="403"/>
      <c r="J842" s="380"/>
      <c r="K842" s="380"/>
      <c r="L842" s="380"/>
      <c r="M842" s="380"/>
      <c r="N842" s="380"/>
      <c r="O842" s="404"/>
      <c r="P842" s="380"/>
      <c r="Q842" s="380"/>
      <c r="R842" s="380"/>
      <c r="S842" s="380"/>
      <c r="T842" s="380"/>
      <c r="U842" s="380"/>
      <c r="V842" s="380"/>
      <c r="W842" s="403"/>
      <c r="X842" s="380"/>
      <c r="Y842" s="380"/>
      <c r="Z842" s="380"/>
      <c r="AA842" s="380"/>
      <c r="AB842" s="380"/>
      <c r="AC842" s="404"/>
      <c r="AD842" s="380"/>
      <c r="AE842" s="380"/>
      <c r="AF842" s="380"/>
      <c r="AG842" s="380"/>
      <c r="AH842" s="380"/>
      <c r="AI842" s="380"/>
      <c r="AJ842" s="380"/>
      <c r="AK842" s="403"/>
      <c r="AL842" s="380"/>
      <c r="AM842" s="380"/>
      <c r="AN842" s="380"/>
      <c r="AO842" s="380"/>
      <c r="AP842" s="380"/>
      <c r="AQ842" s="404"/>
      <c r="AR842" s="380"/>
      <c r="AS842" s="380"/>
      <c r="AT842" s="380"/>
      <c r="AU842" s="380"/>
      <c r="AV842" s="380"/>
      <c r="AW842" s="380"/>
      <c r="AX842" s="380"/>
      <c r="AY842" s="403"/>
      <c r="AZ842" s="380"/>
      <c r="BA842" s="380"/>
      <c r="BB842" s="380"/>
      <c r="BC842" s="380"/>
      <c r="BD842" s="380"/>
      <c r="BE842" s="404"/>
      <c r="BF842" s="380"/>
      <c r="BG842" s="380"/>
      <c r="BH842" s="380"/>
      <c r="BI842" s="380"/>
      <c r="BJ842" s="380"/>
      <c r="BK842" s="380"/>
      <c r="BL842" s="380"/>
      <c r="BM842" s="403"/>
      <c r="BS842" s="83"/>
      <c r="CA842" s="405"/>
      <c r="CG842" s="83"/>
      <c r="CO842" s="405"/>
      <c r="CU842" s="83"/>
      <c r="DC842" s="405"/>
      <c r="DI842" s="83"/>
      <c r="DQ842" s="405"/>
      <c r="DW842" s="83"/>
      <c r="EE842" s="405"/>
      <c r="EK842" s="83"/>
      <c r="ES842" s="405"/>
      <c r="EY842" s="83"/>
      <c r="FG842" s="405"/>
      <c r="FM842" s="83"/>
      <c r="FU842" s="405"/>
      <c r="GA842" s="83"/>
      <c r="GI842" s="405"/>
      <c r="GO842" s="83"/>
      <c r="GW842" s="405"/>
      <c r="HC842" s="83"/>
      <c r="HK842" s="405"/>
      <c r="HQ842" s="83"/>
      <c r="HY842" s="405"/>
      <c r="IE842" s="83"/>
      <c r="IM842" s="405"/>
      <c r="IS842" s="83"/>
      <c r="JA842" s="405"/>
      <c r="JG842" s="83"/>
      <c r="JO842" s="405"/>
      <c r="JU842" s="83"/>
      <c r="KC842" s="405"/>
      <c r="KI842" s="83"/>
      <c r="KQ842" s="405"/>
      <c r="KW842" s="83"/>
      <c r="LE842" s="405"/>
      <c r="LK842" s="83"/>
      <c r="LS842" s="405"/>
      <c r="LY842" s="83"/>
      <c r="MG842" s="405"/>
      <c r="MM842" s="83"/>
      <c r="MU842" s="405"/>
      <c r="NA842" s="83"/>
    </row>
    <row r="843">
      <c r="A843" s="380"/>
      <c r="B843" s="380"/>
      <c r="C843" s="380"/>
      <c r="D843" s="380"/>
      <c r="E843" s="380"/>
      <c r="F843" s="380"/>
      <c r="G843" s="380"/>
      <c r="H843" s="380"/>
      <c r="I843" s="403"/>
      <c r="J843" s="380"/>
      <c r="K843" s="380"/>
      <c r="L843" s="380"/>
      <c r="M843" s="380"/>
      <c r="N843" s="380"/>
      <c r="O843" s="404"/>
      <c r="P843" s="380"/>
      <c r="Q843" s="380"/>
      <c r="R843" s="380"/>
      <c r="S843" s="380"/>
      <c r="T843" s="380"/>
      <c r="U843" s="380"/>
      <c r="V843" s="380"/>
      <c r="W843" s="403"/>
      <c r="X843" s="380"/>
      <c r="Y843" s="380"/>
      <c r="Z843" s="380"/>
      <c r="AA843" s="380"/>
      <c r="AB843" s="380"/>
      <c r="AC843" s="404"/>
      <c r="AD843" s="380"/>
      <c r="AE843" s="380"/>
      <c r="AF843" s="380"/>
      <c r="AG843" s="380"/>
      <c r="AH843" s="380"/>
      <c r="AI843" s="380"/>
      <c r="AJ843" s="380"/>
      <c r="AK843" s="403"/>
      <c r="AL843" s="380"/>
      <c r="AM843" s="380"/>
      <c r="AN843" s="380"/>
      <c r="AO843" s="380"/>
      <c r="AP843" s="380"/>
      <c r="AQ843" s="404"/>
      <c r="AR843" s="380"/>
      <c r="AS843" s="380"/>
      <c r="AT843" s="380"/>
      <c r="AU843" s="380"/>
      <c r="AV843" s="380"/>
      <c r="AW843" s="380"/>
      <c r="AX843" s="380"/>
      <c r="AY843" s="403"/>
      <c r="AZ843" s="380"/>
      <c r="BA843" s="380"/>
      <c r="BB843" s="380"/>
      <c r="BC843" s="380"/>
      <c r="BD843" s="380"/>
      <c r="BE843" s="404"/>
      <c r="BF843" s="380"/>
      <c r="BG843" s="380"/>
      <c r="BH843" s="380"/>
      <c r="BI843" s="380"/>
      <c r="BJ843" s="380"/>
      <c r="BK843" s="380"/>
      <c r="BL843" s="380"/>
      <c r="BM843" s="403"/>
      <c r="BS843" s="83"/>
      <c r="CA843" s="405"/>
      <c r="CG843" s="83"/>
      <c r="CO843" s="405"/>
      <c r="CU843" s="83"/>
      <c r="DC843" s="405"/>
      <c r="DI843" s="83"/>
      <c r="DQ843" s="405"/>
      <c r="DW843" s="83"/>
      <c r="EE843" s="405"/>
      <c r="EK843" s="83"/>
      <c r="ES843" s="405"/>
      <c r="EY843" s="83"/>
      <c r="FG843" s="405"/>
      <c r="FM843" s="83"/>
      <c r="FU843" s="405"/>
      <c r="GA843" s="83"/>
      <c r="GI843" s="405"/>
      <c r="GO843" s="83"/>
      <c r="GW843" s="405"/>
      <c r="HC843" s="83"/>
      <c r="HK843" s="405"/>
      <c r="HQ843" s="83"/>
      <c r="HY843" s="405"/>
      <c r="IE843" s="83"/>
      <c r="IM843" s="405"/>
      <c r="IS843" s="83"/>
      <c r="JA843" s="405"/>
      <c r="JG843" s="83"/>
      <c r="JO843" s="405"/>
      <c r="JU843" s="83"/>
      <c r="KC843" s="405"/>
      <c r="KI843" s="83"/>
      <c r="KQ843" s="405"/>
      <c r="KW843" s="83"/>
      <c r="LE843" s="405"/>
      <c r="LK843" s="83"/>
      <c r="LS843" s="405"/>
      <c r="LY843" s="83"/>
      <c r="MG843" s="405"/>
      <c r="MM843" s="83"/>
      <c r="MU843" s="405"/>
      <c r="NA843" s="83"/>
    </row>
    <row r="844">
      <c r="A844" s="380"/>
      <c r="B844" s="380"/>
      <c r="C844" s="380"/>
      <c r="D844" s="380"/>
      <c r="E844" s="380"/>
      <c r="F844" s="380"/>
      <c r="G844" s="380"/>
      <c r="H844" s="380"/>
      <c r="I844" s="403"/>
      <c r="J844" s="380"/>
      <c r="K844" s="380"/>
      <c r="L844" s="380"/>
      <c r="M844" s="380"/>
      <c r="N844" s="380"/>
      <c r="O844" s="404"/>
      <c r="P844" s="380"/>
      <c r="Q844" s="380"/>
      <c r="R844" s="380"/>
      <c r="S844" s="380"/>
      <c r="T844" s="380"/>
      <c r="U844" s="380"/>
      <c r="V844" s="380"/>
      <c r="W844" s="403"/>
      <c r="X844" s="380"/>
      <c r="Y844" s="380"/>
      <c r="Z844" s="380"/>
      <c r="AA844" s="380"/>
      <c r="AB844" s="380"/>
      <c r="AC844" s="404"/>
      <c r="AD844" s="380"/>
      <c r="AE844" s="380"/>
      <c r="AF844" s="380"/>
      <c r="AG844" s="380"/>
      <c r="AH844" s="380"/>
      <c r="AI844" s="380"/>
      <c r="AJ844" s="380"/>
      <c r="AK844" s="403"/>
      <c r="AL844" s="380"/>
      <c r="AM844" s="380"/>
      <c r="AN844" s="380"/>
      <c r="AO844" s="380"/>
      <c r="AP844" s="380"/>
      <c r="AQ844" s="404"/>
      <c r="AR844" s="380"/>
      <c r="AS844" s="380"/>
      <c r="AT844" s="380"/>
      <c r="AU844" s="380"/>
      <c r="AV844" s="380"/>
      <c r="AW844" s="380"/>
      <c r="AX844" s="380"/>
      <c r="AY844" s="403"/>
      <c r="AZ844" s="380"/>
      <c r="BA844" s="380"/>
      <c r="BB844" s="380"/>
      <c r="BC844" s="380"/>
      <c r="BD844" s="380"/>
      <c r="BE844" s="404"/>
      <c r="BF844" s="380"/>
      <c r="BG844" s="380"/>
      <c r="BH844" s="380"/>
      <c r="BI844" s="380"/>
      <c r="BJ844" s="380"/>
      <c r="BK844" s="380"/>
      <c r="BL844" s="380"/>
      <c r="BM844" s="403"/>
      <c r="BS844" s="83"/>
      <c r="CA844" s="405"/>
      <c r="CG844" s="83"/>
      <c r="CO844" s="405"/>
      <c r="CU844" s="83"/>
      <c r="DC844" s="405"/>
      <c r="DI844" s="83"/>
      <c r="DQ844" s="405"/>
      <c r="DW844" s="83"/>
      <c r="EE844" s="405"/>
      <c r="EK844" s="83"/>
      <c r="ES844" s="405"/>
      <c r="EY844" s="83"/>
      <c r="FG844" s="405"/>
      <c r="FM844" s="83"/>
      <c r="FU844" s="405"/>
      <c r="GA844" s="83"/>
      <c r="GI844" s="405"/>
      <c r="GO844" s="83"/>
      <c r="GW844" s="405"/>
      <c r="HC844" s="83"/>
      <c r="HK844" s="405"/>
      <c r="HQ844" s="83"/>
      <c r="HY844" s="405"/>
      <c r="IE844" s="83"/>
      <c r="IM844" s="405"/>
      <c r="IS844" s="83"/>
      <c r="JA844" s="405"/>
      <c r="JG844" s="83"/>
      <c r="JO844" s="405"/>
      <c r="JU844" s="83"/>
      <c r="KC844" s="405"/>
      <c r="KI844" s="83"/>
      <c r="KQ844" s="405"/>
      <c r="KW844" s="83"/>
      <c r="LE844" s="405"/>
      <c r="LK844" s="83"/>
      <c r="LS844" s="405"/>
      <c r="LY844" s="83"/>
      <c r="MG844" s="405"/>
      <c r="MM844" s="83"/>
      <c r="MU844" s="405"/>
      <c r="NA844" s="83"/>
    </row>
    <row r="845">
      <c r="A845" s="380"/>
      <c r="B845" s="380"/>
      <c r="C845" s="380"/>
      <c r="D845" s="380"/>
      <c r="E845" s="380"/>
      <c r="F845" s="380"/>
      <c r="G845" s="380"/>
      <c r="H845" s="380"/>
      <c r="I845" s="403"/>
      <c r="J845" s="380"/>
      <c r="K845" s="380"/>
      <c r="L845" s="380"/>
      <c r="M845" s="380"/>
      <c r="N845" s="380"/>
      <c r="O845" s="404"/>
      <c r="P845" s="380"/>
      <c r="Q845" s="380"/>
      <c r="R845" s="380"/>
      <c r="S845" s="380"/>
      <c r="T845" s="380"/>
      <c r="U845" s="380"/>
      <c r="V845" s="380"/>
      <c r="W845" s="403"/>
      <c r="X845" s="380"/>
      <c r="Y845" s="380"/>
      <c r="Z845" s="380"/>
      <c r="AA845" s="380"/>
      <c r="AB845" s="380"/>
      <c r="AC845" s="404"/>
      <c r="AD845" s="380"/>
      <c r="AE845" s="380"/>
      <c r="AF845" s="380"/>
      <c r="AG845" s="380"/>
      <c r="AH845" s="380"/>
      <c r="AI845" s="380"/>
      <c r="AJ845" s="380"/>
      <c r="AK845" s="403"/>
      <c r="AL845" s="380"/>
      <c r="AM845" s="380"/>
      <c r="AN845" s="380"/>
      <c r="AO845" s="380"/>
      <c r="AP845" s="380"/>
      <c r="AQ845" s="404"/>
      <c r="AR845" s="380"/>
      <c r="AS845" s="380"/>
      <c r="AT845" s="380"/>
      <c r="AU845" s="380"/>
      <c r="AV845" s="380"/>
      <c r="AW845" s="380"/>
      <c r="AX845" s="380"/>
      <c r="AY845" s="403"/>
      <c r="AZ845" s="380"/>
      <c r="BA845" s="380"/>
      <c r="BB845" s="380"/>
      <c r="BC845" s="380"/>
      <c r="BD845" s="380"/>
      <c r="BE845" s="404"/>
      <c r="BF845" s="380"/>
      <c r="BG845" s="380"/>
      <c r="BH845" s="380"/>
      <c r="BI845" s="380"/>
      <c r="BJ845" s="380"/>
      <c r="BK845" s="380"/>
      <c r="BL845" s="380"/>
      <c r="BM845" s="403"/>
      <c r="BS845" s="83"/>
      <c r="CA845" s="405"/>
      <c r="CG845" s="83"/>
      <c r="CO845" s="405"/>
      <c r="CU845" s="83"/>
      <c r="DC845" s="405"/>
      <c r="DI845" s="83"/>
      <c r="DQ845" s="405"/>
      <c r="DW845" s="83"/>
      <c r="EE845" s="405"/>
      <c r="EK845" s="83"/>
      <c r="ES845" s="405"/>
      <c r="EY845" s="83"/>
      <c r="FG845" s="405"/>
      <c r="FM845" s="83"/>
      <c r="FU845" s="405"/>
      <c r="GA845" s="83"/>
      <c r="GI845" s="405"/>
      <c r="GO845" s="83"/>
      <c r="GW845" s="405"/>
      <c r="HC845" s="83"/>
      <c r="HK845" s="405"/>
      <c r="HQ845" s="83"/>
      <c r="HY845" s="405"/>
      <c r="IE845" s="83"/>
      <c r="IM845" s="405"/>
      <c r="IS845" s="83"/>
      <c r="JA845" s="405"/>
      <c r="JG845" s="83"/>
      <c r="JO845" s="405"/>
      <c r="JU845" s="83"/>
      <c r="KC845" s="405"/>
      <c r="KI845" s="83"/>
      <c r="KQ845" s="405"/>
      <c r="KW845" s="83"/>
      <c r="LE845" s="405"/>
      <c r="LK845" s="83"/>
      <c r="LS845" s="405"/>
      <c r="LY845" s="83"/>
      <c r="MG845" s="405"/>
      <c r="MM845" s="83"/>
      <c r="MU845" s="405"/>
      <c r="NA845" s="83"/>
    </row>
    <row r="846">
      <c r="A846" s="380"/>
      <c r="B846" s="380"/>
      <c r="C846" s="380"/>
      <c r="D846" s="380"/>
      <c r="E846" s="380"/>
      <c r="F846" s="380"/>
      <c r="G846" s="380"/>
      <c r="H846" s="380"/>
      <c r="I846" s="403"/>
      <c r="J846" s="380"/>
      <c r="K846" s="380"/>
      <c r="L846" s="380"/>
      <c r="M846" s="380"/>
      <c r="N846" s="380"/>
      <c r="O846" s="404"/>
      <c r="P846" s="380"/>
      <c r="Q846" s="380"/>
      <c r="R846" s="380"/>
      <c r="S846" s="380"/>
      <c r="T846" s="380"/>
      <c r="U846" s="380"/>
      <c r="V846" s="380"/>
      <c r="W846" s="403"/>
      <c r="X846" s="380"/>
      <c r="Y846" s="380"/>
      <c r="Z846" s="380"/>
      <c r="AA846" s="380"/>
      <c r="AB846" s="380"/>
      <c r="AC846" s="404"/>
      <c r="AD846" s="380"/>
      <c r="AE846" s="380"/>
      <c r="AF846" s="380"/>
      <c r="AG846" s="380"/>
      <c r="AH846" s="380"/>
      <c r="AI846" s="380"/>
      <c r="AJ846" s="380"/>
      <c r="AK846" s="403"/>
      <c r="AL846" s="380"/>
      <c r="AM846" s="380"/>
      <c r="AN846" s="380"/>
      <c r="AO846" s="380"/>
      <c r="AP846" s="380"/>
      <c r="AQ846" s="404"/>
      <c r="AR846" s="380"/>
      <c r="AS846" s="380"/>
      <c r="AT846" s="380"/>
      <c r="AU846" s="380"/>
      <c r="AV846" s="380"/>
      <c r="AW846" s="380"/>
      <c r="AX846" s="380"/>
      <c r="AY846" s="403"/>
      <c r="AZ846" s="380"/>
      <c r="BA846" s="380"/>
      <c r="BB846" s="380"/>
      <c r="BC846" s="380"/>
      <c r="BD846" s="380"/>
      <c r="BE846" s="404"/>
      <c r="BF846" s="380"/>
      <c r="BG846" s="380"/>
      <c r="BH846" s="380"/>
      <c r="BI846" s="380"/>
      <c r="BJ846" s="380"/>
      <c r="BK846" s="380"/>
      <c r="BL846" s="380"/>
      <c r="BM846" s="403"/>
      <c r="BS846" s="83"/>
      <c r="CA846" s="405"/>
      <c r="CG846" s="83"/>
      <c r="CO846" s="405"/>
      <c r="CU846" s="83"/>
      <c r="DC846" s="405"/>
      <c r="DI846" s="83"/>
      <c r="DQ846" s="405"/>
      <c r="DW846" s="83"/>
      <c r="EE846" s="405"/>
      <c r="EK846" s="83"/>
      <c r="ES846" s="405"/>
      <c r="EY846" s="83"/>
      <c r="FG846" s="405"/>
      <c r="FM846" s="83"/>
      <c r="FU846" s="405"/>
      <c r="GA846" s="83"/>
      <c r="GI846" s="405"/>
      <c r="GO846" s="83"/>
      <c r="GW846" s="405"/>
      <c r="HC846" s="83"/>
      <c r="HK846" s="405"/>
      <c r="HQ846" s="83"/>
      <c r="HY846" s="405"/>
      <c r="IE846" s="83"/>
      <c r="IM846" s="405"/>
      <c r="IS846" s="83"/>
      <c r="JA846" s="405"/>
      <c r="JG846" s="83"/>
      <c r="JO846" s="405"/>
      <c r="JU846" s="83"/>
      <c r="KC846" s="405"/>
      <c r="KI846" s="83"/>
      <c r="KQ846" s="405"/>
      <c r="KW846" s="83"/>
      <c r="LE846" s="405"/>
      <c r="LK846" s="83"/>
      <c r="LS846" s="405"/>
      <c r="LY846" s="83"/>
      <c r="MG846" s="405"/>
      <c r="MM846" s="83"/>
      <c r="MU846" s="405"/>
      <c r="NA846" s="83"/>
    </row>
    <row r="847">
      <c r="A847" s="380"/>
      <c r="B847" s="380"/>
      <c r="C847" s="380"/>
      <c r="D847" s="380"/>
      <c r="E847" s="380"/>
      <c r="F847" s="380"/>
      <c r="G847" s="380"/>
      <c r="H847" s="380"/>
      <c r="I847" s="403"/>
      <c r="J847" s="380"/>
      <c r="K847" s="380"/>
      <c r="L847" s="380"/>
      <c r="M847" s="380"/>
      <c r="N847" s="380"/>
      <c r="O847" s="404"/>
      <c r="P847" s="380"/>
      <c r="Q847" s="380"/>
      <c r="R847" s="380"/>
      <c r="S847" s="380"/>
      <c r="T847" s="380"/>
      <c r="U847" s="380"/>
      <c r="V847" s="380"/>
      <c r="W847" s="403"/>
      <c r="X847" s="380"/>
      <c r="Y847" s="380"/>
      <c r="Z847" s="380"/>
      <c r="AA847" s="380"/>
      <c r="AB847" s="380"/>
      <c r="AC847" s="404"/>
      <c r="AD847" s="380"/>
      <c r="AE847" s="380"/>
      <c r="AF847" s="380"/>
      <c r="AG847" s="380"/>
      <c r="AH847" s="380"/>
      <c r="AI847" s="380"/>
      <c r="AJ847" s="380"/>
      <c r="AK847" s="403"/>
      <c r="AL847" s="380"/>
      <c r="AM847" s="380"/>
      <c r="AN847" s="380"/>
      <c r="AO847" s="380"/>
      <c r="AP847" s="380"/>
      <c r="AQ847" s="404"/>
      <c r="AR847" s="380"/>
      <c r="AS847" s="380"/>
      <c r="AT847" s="380"/>
      <c r="AU847" s="380"/>
      <c r="AV847" s="380"/>
      <c r="AW847" s="380"/>
      <c r="AX847" s="380"/>
      <c r="AY847" s="403"/>
      <c r="AZ847" s="380"/>
      <c r="BA847" s="380"/>
      <c r="BB847" s="380"/>
      <c r="BC847" s="380"/>
      <c r="BD847" s="380"/>
      <c r="BE847" s="404"/>
      <c r="BF847" s="380"/>
      <c r="BG847" s="380"/>
      <c r="BH847" s="380"/>
      <c r="BI847" s="380"/>
      <c r="BJ847" s="380"/>
      <c r="BK847" s="380"/>
      <c r="BL847" s="380"/>
      <c r="BM847" s="403"/>
      <c r="BS847" s="83"/>
      <c r="CA847" s="405"/>
      <c r="CG847" s="83"/>
      <c r="CO847" s="405"/>
      <c r="CU847" s="83"/>
      <c r="DC847" s="405"/>
      <c r="DI847" s="83"/>
      <c r="DQ847" s="405"/>
      <c r="DW847" s="83"/>
      <c r="EE847" s="405"/>
      <c r="EK847" s="83"/>
      <c r="ES847" s="405"/>
      <c r="EY847" s="83"/>
      <c r="FG847" s="405"/>
      <c r="FM847" s="83"/>
      <c r="FU847" s="405"/>
      <c r="GA847" s="83"/>
      <c r="GI847" s="405"/>
      <c r="GO847" s="83"/>
      <c r="GW847" s="405"/>
      <c r="HC847" s="83"/>
      <c r="HK847" s="405"/>
      <c r="HQ847" s="83"/>
      <c r="HY847" s="405"/>
      <c r="IE847" s="83"/>
      <c r="IM847" s="405"/>
      <c r="IS847" s="83"/>
      <c r="JA847" s="405"/>
      <c r="JG847" s="83"/>
      <c r="JO847" s="405"/>
      <c r="JU847" s="83"/>
      <c r="KC847" s="405"/>
      <c r="KI847" s="83"/>
      <c r="KQ847" s="405"/>
      <c r="KW847" s="83"/>
      <c r="LE847" s="405"/>
      <c r="LK847" s="83"/>
      <c r="LS847" s="405"/>
      <c r="LY847" s="83"/>
      <c r="MG847" s="405"/>
      <c r="MM847" s="83"/>
      <c r="MU847" s="405"/>
      <c r="NA847" s="83"/>
    </row>
    <row r="848">
      <c r="A848" s="380"/>
      <c r="B848" s="380"/>
      <c r="C848" s="380"/>
      <c r="D848" s="380"/>
      <c r="E848" s="380"/>
      <c r="F848" s="380"/>
      <c r="G848" s="380"/>
      <c r="H848" s="380"/>
      <c r="I848" s="403"/>
      <c r="J848" s="380"/>
      <c r="K848" s="380"/>
      <c r="L848" s="380"/>
      <c r="M848" s="380"/>
      <c r="N848" s="380"/>
      <c r="O848" s="404"/>
      <c r="P848" s="380"/>
      <c r="Q848" s="380"/>
      <c r="R848" s="380"/>
      <c r="S848" s="380"/>
      <c r="T848" s="380"/>
      <c r="U848" s="380"/>
      <c r="V848" s="380"/>
      <c r="W848" s="403"/>
      <c r="X848" s="380"/>
      <c r="Y848" s="380"/>
      <c r="Z848" s="380"/>
      <c r="AA848" s="380"/>
      <c r="AB848" s="380"/>
      <c r="AC848" s="404"/>
      <c r="AD848" s="380"/>
      <c r="AE848" s="380"/>
      <c r="AF848" s="380"/>
      <c r="AG848" s="380"/>
      <c r="AH848" s="380"/>
      <c r="AI848" s="380"/>
      <c r="AJ848" s="380"/>
      <c r="AK848" s="403"/>
      <c r="AL848" s="380"/>
      <c r="AM848" s="380"/>
      <c r="AN848" s="380"/>
      <c r="AO848" s="380"/>
      <c r="AP848" s="380"/>
      <c r="AQ848" s="404"/>
      <c r="AR848" s="380"/>
      <c r="AS848" s="380"/>
      <c r="AT848" s="380"/>
      <c r="AU848" s="380"/>
      <c r="AV848" s="380"/>
      <c r="AW848" s="380"/>
      <c r="AX848" s="380"/>
      <c r="AY848" s="403"/>
      <c r="AZ848" s="380"/>
      <c r="BA848" s="380"/>
      <c r="BB848" s="380"/>
      <c r="BC848" s="380"/>
      <c r="BD848" s="380"/>
      <c r="BE848" s="404"/>
      <c r="BF848" s="380"/>
      <c r="BG848" s="380"/>
      <c r="BH848" s="380"/>
      <c r="BI848" s="380"/>
      <c r="BJ848" s="380"/>
      <c r="BK848" s="380"/>
      <c r="BL848" s="380"/>
      <c r="BM848" s="403"/>
      <c r="BS848" s="83"/>
      <c r="CA848" s="405"/>
      <c r="CG848" s="83"/>
      <c r="CO848" s="405"/>
      <c r="CU848" s="83"/>
      <c r="DC848" s="405"/>
      <c r="DI848" s="83"/>
      <c r="DQ848" s="405"/>
      <c r="DW848" s="83"/>
      <c r="EE848" s="405"/>
      <c r="EK848" s="83"/>
      <c r="ES848" s="405"/>
      <c r="EY848" s="83"/>
      <c r="FG848" s="405"/>
      <c r="FM848" s="83"/>
      <c r="FU848" s="405"/>
      <c r="GA848" s="83"/>
      <c r="GI848" s="405"/>
      <c r="GO848" s="83"/>
      <c r="GW848" s="405"/>
      <c r="HC848" s="83"/>
      <c r="HK848" s="405"/>
      <c r="HQ848" s="83"/>
      <c r="HY848" s="405"/>
      <c r="IE848" s="83"/>
      <c r="IM848" s="405"/>
      <c r="IS848" s="83"/>
      <c r="JA848" s="405"/>
      <c r="JG848" s="83"/>
      <c r="JO848" s="405"/>
      <c r="JU848" s="83"/>
      <c r="KC848" s="405"/>
      <c r="KI848" s="83"/>
      <c r="KQ848" s="405"/>
      <c r="KW848" s="83"/>
      <c r="LE848" s="405"/>
      <c r="LK848" s="83"/>
      <c r="LS848" s="405"/>
      <c r="LY848" s="83"/>
      <c r="MG848" s="405"/>
      <c r="MM848" s="83"/>
      <c r="MU848" s="405"/>
      <c r="NA848" s="83"/>
    </row>
    <row r="849">
      <c r="A849" s="380"/>
      <c r="B849" s="380"/>
      <c r="C849" s="380"/>
      <c r="D849" s="380"/>
      <c r="E849" s="380"/>
      <c r="F849" s="380"/>
      <c r="G849" s="380"/>
      <c r="H849" s="380"/>
      <c r="I849" s="403"/>
      <c r="J849" s="380"/>
      <c r="K849" s="380"/>
      <c r="L849" s="380"/>
      <c r="M849" s="380"/>
      <c r="N849" s="380"/>
      <c r="O849" s="404"/>
      <c r="P849" s="380"/>
      <c r="Q849" s="380"/>
      <c r="R849" s="380"/>
      <c r="S849" s="380"/>
      <c r="T849" s="380"/>
      <c r="U849" s="380"/>
      <c r="V849" s="380"/>
      <c r="W849" s="403"/>
      <c r="X849" s="380"/>
      <c r="Y849" s="380"/>
      <c r="Z849" s="380"/>
      <c r="AA849" s="380"/>
      <c r="AB849" s="380"/>
      <c r="AC849" s="404"/>
      <c r="AD849" s="380"/>
      <c r="AE849" s="380"/>
      <c r="AF849" s="380"/>
      <c r="AG849" s="380"/>
      <c r="AH849" s="380"/>
      <c r="AI849" s="380"/>
      <c r="AJ849" s="380"/>
      <c r="AK849" s="403"/>
      <c r="AL849" s="380"/>
      <c r="AM849" s="380"/>
      <c r="AN849" s="380"/>
      <c r="AO849" s="380"/>
      <c r="AP849" s="380"/>
      <c r="AQ849" s="404"/>
      <c r="AR849" s="380"/>
      <c r="AS849" s="380"/>
      <c r="AT849" s="380"/>
      <c r="AU849" s="380"/>
      <c r="AV849" s="380"/>
      <c r="AW849" s="380"/>
      <c r="AX849" s="380"/>
      <c r="AY849" s="403"/>
      <c r="AZ849" s="380"/>
      <c r="BA849" s="380"/>
      <c r="BB849" s="380"/>
      <c r="BC849" s="380"/>
      <c r="BD849" s="380"/>
      <c r="BE849" s="404"/>
      <c r="BF849" s="380"/>
      <c r="BG849" s="380"/>
      <c r="BH849" s="380"/>
      <c r="BI849" s="380"/>
      <c r="BJ849" s="380"/>
      <c r="BK849" s="380"/>
      <c r="BL849" s="380"/>
      <c r="BM849" s="403"/>
      <c r="BS849" s="83"/>
      <c r="CA849" s="405"/>
      <c r="CG849" s="83"/>
      <c r="CO849" s="405"/>
      <c r="CU849" s="83"/>
      <c r="DC849" s="405"/>
      <c r="DI849" s="83"/>
      <c r="DQ849" s="405"/>
      <c r="DW849" s="83"/>
      <c r="EE849" s="405"/>
      <c r="EK849" s="83"/>
      <c r="ES849" s="405"/>
      <c r="EY849" s="83"/>
      <c r="FG849" s="405"/>
      <c r="FM849" s="83"/>
      <c r="FU849" s="405"/>
      <c r="GA849" s="83"/>
      <c r="GI849" s="405"/>
      <c r="GO849" s="83"/>
      <c r="GW849" s="405"/>
      <c r="HC849" s="83"/>
      <c r="HK849" s="405"/>
      <c r="HQ849" s="83"/>
      <c r="HY849" s="405"/>
      <c r="IE849" s="83"/>
      <c r="IM849" s="405"/>
      <c r="IS849" s="83"/>
      <c r="JA849" s="405"/>
      <c r="JG849" s="83"/>
      <c r="JO849" s="405"/>
      <c r="JU849" s="83"/>
      <c r="KC849" s="405"/>
      <c r="KI849" s="83"/>
      <c r="KQ849" s="405"/>
      <c r="KW849" s="83"/>
      <c r="LE849" s="405"/>
      <c r="LK849" s="83"/>
      <c r="LS849" s="405"/>
      <c r="LY849" s="83"/>
      <c r="MG849" s="405"/>
      <c r="MM849" s="83"/>
      <c r="MU849" s="405"/>
      <c r="NA849" s="83"/>
    </row>
    <row r="850">
      <c r="A850" s="380"/>
      <c r="B850" s="380"/>
      <c r="C850" s="380"/>
      <c r="D850" s="380"/>
      <c r="E850" s="380"/>
      <c r="F850" s="380"/>
      <c r="G850" s="380"/>
      <c r="H850" s="380"/>
      <c r="I850" s="403"/>
      <c r="J850" s="380"/>
      <c r="K850" s="380"/>
      <c r="L850" s="380"/>
      <c r="M850" s="380"/>
      <c r="N850" s="380"/>
      <c r="O850" s="404"/>
      <c r="P850" s="380"/>
      <c r="Q850" s="380"/>
      <c r="R850" s="380"/>
      <c r="S850" s="380"/>
      <c r="T850" s="380"/>
      <c r="U850" s="380"/>
      <c r="V850" s="380"/>
      <c r="W850" s="403"/>
      <c r="X850" s="380"/>
      <c r="Y850" s="380"/>
      <c r="Z850" s="380"/>
      <c r="AA850" s="380"/>
      <c r="AB850" s="380"/>
      <c r="AC850" s="404"/>
      <c r="AD850" s="380"/>
      <c r="AE850" s="380"/>
      <c r="AF850" s="380"/>
      <c r="AG850" s="380"/>
      <c r="AH850" s="380"/>
      <c r="AI850" s="380"/>
      <c r="AJ850" s="380"/>
      <c r="AK850" s="403"/>
      <c r="AL850" s="380"/>
      <c r="AM850" s="380"/>
      <c r="AN850" s="380"/>
      <c r="AO850" s="380"/>
      <c r="AP850" s="380"/>
      <c r="AQ850" s="404"/>
      <c r="AR850" s="380"/>
      <c r="AS850" s="380"/>
      <c r="AT850" s="380"/>
      <c r="AU850" s="380"/>
      <c r="AV850" s="380"/>
      <c r="AW850" s="380"/>
      <c r="AX850" s="380"/>
      <c r="AY850" s="403"/>
      <c r="AZ850" s="380"/>
      <c r="BA850" s="380"/>
      <c r="BB850" s="380"/>
      <c r="BC850" s="380"/>
      <c r="BD850" s="380"/>
      <c r="BE850" s="404"/>
      <c r="BF850" s="380"/>
      <c r="BG850" s="380"/>
      <c r="BH850" s="380"/>
      <c r="BI850" s="380"/>
      <c r="BJ850" s="380"/>
      <c r="BK850" s="380"/>
      <c r="BL850" s="380"/>
      <c r="BM850" s="403"/>
      <c r="BS850" s="83"/>
      <c r="CA850" s="405"/>
      <c r="CG850" s="83"/>
      <c r="CO850" s="405"/>
      <c r="CU850" s="83"/>
      <c r="DC850" s="405"/>
      <c r="DI850" s="83"/>
      <c r="DQ850" s="405"/>
      <c r="DW850" s="83"/>
      <c r="EE850" s="405"/>
      <c r="EK850" s="83"/>
      <c r="ES850" s="405"/>
      <c r="EY850" s="83"/>
      <c r="FG850" s="405"/>
      <c r="FM850" s="83"/>
      <c r="FU850" s="405"/>
      <c r="GA850" s="83"/>
      <c r="GI850" s="405"/>
      <c r="GO850" s="83"/>
      <c r="GW850" s="405"/>
      <c r="HC850" s="83"/>
      <c r="HK850" s="405"/>
      <c r="HQ850" s="83"/>
      <c r="HY850" s="405"/>
      <c r="IE850" s="83"/>
      <c r="IM850" s="405"/>
      <c r="IS850" s="83"/>
      <c r="JA850" s="405"/>
      <c r="JG850" s="83"/>
      <c r="JO850" s="405"/>
      <c r="JU850" s="83"/>
      <c r="KC850" s="405"/>
      <c r="KI850" s="83"/>
      <c r="KQ850" s="405"/>
      <c r="KW850" s="83"/>
      <c r="LE850" s="405"/>
      <c r="LK850" s="83"/>
      <c r="LS850" s="405"/>
      <c r="LY850" s="83"/>
      <c r="MG850" s="405"/>
      <c r="MM850" s="83"/>
      <c r="MU850" s="405"/>
      <c r="NA850" s="83"/>
    </row>
    <row r="851">
      <c r="A851" s="380"/>
      <c r="B851" s="380"/>
      <c r="C851" s="380"/>
      <c r="D851" s="380"/>
      <c r="E851" s="380"/>
      <c r="F851" s="380"/>
      <c r="G851" s="380"/>
      <c r="H851" s="380"/>
      <c r="I851" s="403"/>
      <c r="J851" s="380"/>
      <c r="K851" s="380"/>
      <c r="L851" s="380"/>
      <c r="M851" s="380"/>
      <c r="N851" s="380"/>
      <c r="O851" s="404"/>
      <c r="P851" s="380"/>
      <c r="Q851" s="380"/>
      <c r="R851" s="380"/>
      <c r="S851" s="380"/>
      <c r="T851" s="380"/>
      <c r="U851" s="380"/>
      <c r="V851" s="380"/>
      <c r="W851" s="403"/>
      <c r="X851" s="380"/>
      <c r="Y851" s="380"/>
      <c r="Z851" s="380"/>
      <c r="AA851" s="380"/>
      <c r="AB851" s="380"/>
      <c r="AC851" s="404"/>
      <c r="AD851" s="380"/>
      <c r="AE851" s="380"/>
      <c r="AF851" s="380"/>
      <c r="AG851" s="380"/>
      <c r="AH851" s="380"/>
      <c r="AI851" s="380"/>
      <c r="AJ851" s="380"/>
      <c r="AK851" s="403"/>
      <c r="AL851" s="380"/>
      <c r="AM851" s="380"/>
      <c r="AN851" s="380"/>
      <c r="AO851" s="380"/>
      <c r="AP851" s="380"/>
      <c r="AQ851" s="404"/>
      <c r="AR851" s="380"/>
      <c r="AS851" s="380"/>
      <c r="AT851" s="380"/>
      <c r="AU851" s="380"/>
      <c r="AV851" s="380"/>
      <c r="AW851" s="380"/>
      <c r="AX851" s="380"/>
      <c r="AY851" s="403"/>
      <c r="AZ851" s="380"/>
      <c r="BA851" s="380"/>
      <c r="BB851" s="380"/>
      <c r="BC851" s="380"/>
      <c r="BD851" s="380"/>
      <c r="BE851" s="404"/>
      <c r="BF851" s="380"/>
      <c r="BG851" s="380"/>
      <c r="BH851" s="380"/>
      <c r="BI851" s="380"/>
      <c r="BJ851" s="380"/>
      <c r="BK851" s="380"/>
      <c r="BL851" s="380"/>
      <c r="BM851" s="403"/>
      <c r="BS851" s="83"/>
      <c r="CA851" s="405"/>
      <c r="CG851" s="83"/>
      <c r="CO851" s="405"/>
      <c r="CU851" s="83"/>
      <c r="DC851" s="405"/>
      <c r="DI851" s="83"/>
      <c r="DQ851" s="405"/>
      <c r="DW851" s="83"/>
      <c r="EE851" s="405"/>
      <c r="EK851" s="83"/>
      <c r="ES851" s="405"/>
      <c r="EY851" s="83"/>
      <c r="FG851" s="405"/>
      <c r="FM851" s="83"/>
      <c r="FU851" s="405"/>
      <c r="GA851" s="83"/>
      <c r="GI851" s="405"/>
      <c r="GO851" s="83"/>
      <c r="GW851" s="405"/>
      <c r="HC851" s="83"/>
      <c r="HK851" s="405"/>
      <c r="HQ851" s="83"/>
      <c r="HY851" s="405"/>
      <c r="IE851" s="83"/>
      <c r="IM851" s="405"/>
      <c r="IS851" s="83"/>
      <c r="JA851" s="405"/>
      <c r="JG851" s="83"/>
      <c r="JO851" s="405"/>
      <c r="JU851" s="83"/>
      <c r="KC851" s="405"/>
      <c r="KI851" s="83"/>
      <c r="KQ851" s="405"/>
      <c r="KW851" s="83"/>
      <c r="LE851" s="405"/>
      <c r="LK851" s="83"/>
      <c r="LS851" s="405"/>
      <c r="LY851" s="83"/>
      <c r="MG851" s="405"/>
      <c r="MM851" s="83"/>
      <c r="MU851" s="405"/>
      <c r="NA851" s="83"/>
    </row>
    <row r="852">
      <c r="A852" s="380"/>
      <c r="B852" s="380"/>
      <c r="C852" s="380"/>
      <c r="D852" s="380"/>
      <c r="E852" s="380"/>
      <c r="F852" s="380"/>
      <c r="G852" s="380"/>
      <c r="H852" s="380"/>
      <c r="I852" s="403"/>
      <c r="J852" s="380"/>
      <c r="K852" s="380"/>
      <c r="L852" s="380"/>
      <c r="M852" s="380"/>
      <c r="N852" s="380"/>
      <c r="O852" s="404"/>
      <c r="P852" s="380"/>
      <c r="Q852" s="380"/>
      <c r="R852" s="380"/>
      <c r="S852" s="380"/>
      <c r="T852" s="380"/>
      <c r="U852" s="380"/>
      <c r="V852" s="380"/>
      <c r="W852" s="403"/>
      <c r="X852" s="380"/>
      <c r="Y852" s="380"/>
      <c r="Z852" s="380"/>
      <c r="AA852" s="380"/>
      <c r="AB852" s="380"/>
      <c r="AC852" s="404"/>
      <c r="AD852" s="380"/>
      <c r="AE852" s="380"/>
      <c r="AF852" s="380"/>
      <c r="AG852" s="380"/>
      <c r="AH852" s="380"/>
      <c r="AI852" s="380"/>
      <c r="AJ852" s="380"/>
      <c r="AK852" s="403"/>
      <c r="AL852" s="380"/>
      <c r="AM852" s="380"/>
      <c r="AN852" s="380"/>
      <c r="AO852" s="380"/>
      <c r="AP852" s="380"/>
      <c r="AQ852" s="404"/>
      <c r="AR852" s="380"/>
      <c r="AS852" s="380"/>
      <c r="AT852" s="380"/>
      <c r="AU852" s="380"/>
      <c r="AV852" s="380"/>
      <c r="AW852" s="380"/>
      <c r="AX852" s="380"/>
      <c r="AY852" s="403"/>
      <c r="AZ852" s="380"/>
      <c r="BA852" s="380"/>
      <c r="BB852" s="380"/>
      <c r="BC852" s="380"/>
      <c r="BD852" s="380"/>
      <c r="BE852" s="404"/>
      <c r="BF852" s="380"/>
      <c r="BG852" s="380"/>
      <c r="BH852" s="380"/>
      <c r="BI852" s="380"/>
      <c r="BJ852" s="380"/>
      <c r="BK852" s="380"/>
      <c r="BL852" s="380"/>
      <c r="BM852" s="403"/>
      <c r="BS852" s="83"/>
      <c r="CA852" s="405"/>
      <c r="CG852" s="83"/>
      <c r="CO852" s="405"/>
      <c r="CU852" s="83"/>
      <c r="DC852" s="405"/>
      <c r="DI852" s="83"/>
      <c r="DQ852" s="405"/>
      <c r="DW852" s="83"/>
      <c r="EE852" s="405"/>
      <c r="EK852" s="83"/>
      <c r="ES852" s="405"/>
      <c r="EY852" s="83"/>
      <c r="FG852" s="405"/>
      <c r="FM852" s="83"/>
      <c r="FU852" s="405"/>
      <c r="GA852" s="83"/>
      <c r="GI852" s="405"/>
      <c r="GO852" s="83"/>
      <c r="GW852" s="405"/>
      <c r="HC852" s="83"/>
      <c r="HK852" s="405"/>
      <c r="HQ852" s="83"/>
      <c r="HY852" s="405"/>
      <c r="IE852" s="83"/>
      <c r="IM852" s="405"/>
      <c r="IS852" s="83"/>
      <c r="JA852" s="405"/>
      <c r="JG852" s="83"/>
      <c r="JO852" s="405"/>
      <c r="JU852" s="83"/>
      <c r="KC852" s="405"/>
      <c r="KI852" s="83"/>
      <c r="KQ852" s="405"/>
      <c r="KW852" s="83"/>
      <c r="LE852" s="405"/>
      <c r="LK852" s="83"/>
      <c r="LS852" s="405"/>
      <c r="LY852" s="83"/>
      <c r="MG852" s="405"/>
      <c r="MM852" s="83"/>
      <c r="MU852" s="405"/>
      <c r="NA852" s="83"/>
    </row>
    <row r="853">
      <c r="A853" s="380"/>
      <c r="B853" s="380"/>
      <c r="C853" s="380"/>
      <c r="D853" s="380"/>
      <c r="E853" s="380"/>
      <c r="F853" s="380"/>
      <c r="G853" s="380"/>
      <c r="H853" s="380"/>
      <c r="I853" s="403"/>
      <c r="J853" s="380"/>
      <c r="K853" s="380"/>
      <c r="L853" s="380"/>
      <c r="M853" s="380"/>
      <c r="N853" s="380"/>
      <c r="O853" s="404"/>
      <c r="P853" s="380"/>
      <c r="Q853" s="380"/>
      <c r="R853" s="380"/>
      <c r="S853" s="380"/>
      <c r="T853" s="380"/>
      <c r="U853" s="380"/>
      <c r="V853" s="380"/>
      <c r="W853" s="403"/>
      <c r="X853" s="380"/>
      <c r="Y853" s="380"/>
      <c r="Z853" s="380"/>
      <c r="AA853" s="380"/>
      <c r="AB853" s="380"/>
      <c r="AC853" s="404"/>
      <c r="AD853" s="380"/>
      <c r="AE853" s="380"/>
      <c r="AF853" s="380"/>
      <c r="AG853" s="380"/>
      <c r="AH853" s="380"/>
      <c r="AI853" s="380"/>
      <c r="AJ853" s="380"/>
      <c r="AK853" s="403"/>
      <c r="AL853" s="380"/>
      <c r="AM853" s="380"/>
      <c r="AN853" s="380"/>
      <c r="AO853" s="380"/>
      <c r="AP853" s="380"/>
      <c r="AQ853" s="404"/>
      <c r="AR853" s="380"/>
      <c r="AS853" s="380"/>
      <c r="AT853" s="380"/>
      <c r="AU853" s="380"/>
      <c r="AV853" s="380"/>
      <c r="AW853" s="380"/>
      <c r="AX853" s="380"/>
      <c r="AY853" s="403"/>
      <c r="AZ853" s="380"/>
      <c r="BA853" s="380"/>
      <c r="BB853" s="380"/>
      <c r="BC853" s="380"/>
      <c r="BD853" s="380"/>
      <c r="BE853" s="404"/>
      <c r="BF853" s="380"/>
      <c r="BG853" s="380"/>
      <c r="BH853" s="380"/>
      <c r="BI853" s="380"/>
      <c r="BJ853" s="380"/>
      <c r="BK853" s="380"/>
      <c r="BL853" s="380"/>
      <c r="BM853" s="403"/>
      <c r="BS853" s="83"/>
      <c r="CA853" s="405"/>
      <c r="CG853" s="83"/>
      <c r="CO853" s="405"/>
      <c r="CU853" s="83"/>
      <c r="DC853" s="405"/>
      <c r="DI853" s="83"/>
      <c r="DQ853" s="405"/>
      <c r="DW853" s="83"/>
      <c r="EE853" s="405"/>
      <c r="EK853" s="83"/>
      <c r="ES853" s="405"/>
      <c r="EY853" s="83"/>
      <c r="FG853" s="405"/>
      <c r="FM853" s="83"/>
      <c r="FU853" s="405"/>
      <c r="GA853" s="83"/>
      <c r="GI853" s="405"/>
      <c r="GO853" s="83"/>
      <c r="GW853" s="405"/>
      <c r="HC853" s="83"/>
      <c r="HK853" s="405"/>
      <c r="HQ853" s="83"/>
      <c r="HY853" s="405"/>
      <c r="IE853" s="83"/>
      <c r="IM853" s="405"/>
      <c r="IS853" s="83"/>
      <c r="JA853" s="405"/>
      <c r="JG853" s="83"/>
      <c r="JO853" s="405"/>
      <c r="JU853" s="83"/>
      <c r="KC853" s="405"/>
      <c r="KI853" s="83"/>
      <c r="KQ853" s="405"/>
      <c r="KW853" s="83"/>
      <c r="LE853" s="405"/>
      <c r="LK853" s="83"/>
      <c r="LS853" s="405"/>
      <c r="LY853" s="83"/>
      <c r="MG853" s="405"/>
      <c r="MM853" s="83"/>
      <c r="MU853" s="405"/>
      <c r="NA853" s="83"/>
    </row>
    <row r="854">
      <c r="A854" s="380"/>
      <c r="B854" s="380"/>
      <c r="C854" s="380"/>
      <c r="D854" s="380"/>
      <c r="E854" s="380"/>
      <c r="F854" s="380"/>
      <c r="G854" s="380"/>
      <c r="H854" s="380"/>
      <c r="I854" s="403"/>
      <c r="J854" s="380"/>
      <c r="K854" s="380"/>
      <c r="L854" s="380"/>
      <c r="M854" s="380"/>
      <c r="N854" s="380"/>
      <c r="O854" s="404"/>
      <c r="P854" s="380"/>
      <c r="Q854" s="380"/>
      <c r="R854" s="380"/>
      <c r="S854" s="380"/>
      <c r="T854" s="380"/>
      <c r="U854" s="380"/>
      <c r="V854" s="380"/>
      <c r="W854" s="403"/>
      <c r="X854" s="380"/>
      <c r="Y854" s="380"/>
      <c r="Z854" s="380"/>
      <c r="AA854" s="380"/>
      <c r="AB854" s="380"/>
      <c r="AC854" s="404"/>
      <c r="AD854" s="380"/>
      <c r="AE854" s="380"/>
      <c r="AF854" s="380"/>
      <c r="AG854" s="380"/>
      <c r="AH854" s="380"/>
      <c r="AI854" s="380"/>
      <c r="AJ854" s="380"/>
      <c r="AK854" s="403"/>
      <c r="AL854" s="380"/>
      <c r="AM854" s="380"/>
      <c r="AN854" s="380"/>
      <c r="AO854" s="380"/>
      <c r="AP854" s="380"/>
      <c r="AQ854" s="404"/>
      <c r="AR854" s="380"/>
      <c r="AS854" s="380"/>
      <c r="AT854" s="380"/>
      <c r="AU854" s="380"/>
      <c r="AV854" s="380"/>
      <c r="AW854" s="380"/>
      <c r="AX854" s="380"/>
      <c r="AY854" s="403"/>
      <c r="AZ854" s="380"/>
      <c r="BA854" s="380"/>
      <c r="BB854" s="380"/>
      <c r="BC854" s="380"/>
      <c r="BD854" s="380"/>
      <c r="BE854" s="404"/>
      <c r="BF854" s="380"/>
      <c r="BG854" s="380"/>
      <c r="BH854" s="380"/>
      <c r="BI854" s="380"/>
      <c r="BJ854" s="380"/>
      <c r="BK854" s="380"/>
      <c r="BL854" s="380"/>
      <c r="BM854" s="403"/>
      <c r="BS854" s="83"/>
      <c r="CA854" s="405"/>
      <c r="CG854" s="83"/>
      <c r="CO854" s="405"/>
      <c r="CU854" s="83"/>
      <c r="DC854" s="405"/>
      <c r="DI854" s="83"/>
      <c r="DQ854" s="405"/>
      <c r="DW854" s="83"/>
      <c r="EE854" s="405"/>
      <c r="EK854" s="83"/>
      <c r="ES854" s="405"/>
      <c r="EY854" s="83"/>
      <c r="FG854" s="405"/>
      <c r="FM854" s="83"/>
      <c r="FU854" s="405"/>
      <c r="GA854" s="83"/>
      <c r="GI854" s="405"/>
      <c r="GO854" s="83"/>
      <c r="GW854" s="405"/>
      <c r="HC854" s="83"/>
      <c r="HK854" s="405"/>
      <c r="HQ854" s="83"/>
      <c r="HY854" s="405"/>
      <c r="IE854" s="83"/>
      <c r="IM854" s="405"/>
      <c r="IS854" s="83"/>
      <c r="JA854" s="405"/>
      <c r="JG854" s="83"/>
      <c r="JO854" s="405"/>
      <c r="JU854" s="83"/>
      <c r="KC854" s="405"/>
      <c r="KI854" s="83"/>
      <c r="KQ854" s="405"/>
      <c r="KW854" s="83"/>
      <c r="LE854" s="405"/>
      <c r="LK854" s="83"/>
      <c r="LS854" s="405"/>
      <c r="LY854" s="83"/>
      <c r="MG854" s="405"/>
      <c r="MM854" s="83"/>
      <c r="MU854" s="405"/>
      <c r="NA854" s="83"/>
    </row>
    <row r="855">
      <c r="A855" s="380"/>
      <c r="B855" s="380"/>
      <c r="C855" s="380"/>
      <c r="D855" s="380"/>
      <c r="E855" s="380"/>
      <c r="F855" s="380"/>
      <c r="G855" s="380"/>
      <c r="H855" s="380"/>
      <c r="I855" s="403"/>
      <c r="J855" s="380"/>
      <c r="K855" s="380"/>
      <c r="L855" s="380"/>
      <c r="M855" s="380"/>
      <c r="N855" s="380"/>
      <c r="O855" s="404"/>
      <c r="P855" s="380"/>
      <c r="Q855" s="380"/>
      <c r="R855" s="380"/>
      <c r="S855" s="380"/>
      <c r="T855" s="380"/>
      <c r="U855" s="380"/>
      <c r="V855" s="380"/>
      <c r="W855" s="403"/>
      <c r="X855" s="380"/>
      <c r="Y855" s="380"/>
      <c r="Z855" s="380"/>
      <c r="AA855" s="380"/>
      <c r="AB855" s="380"/>
      <c r="AC855" s="404"/>
      <c r="AD855" s="380"/>
      <c r="AE855" s="380"/>
      <c r="AF855" s="380"/>
      <c r="AG855" s="380"/>
      <c r="AH855" s="380"/>
      <c r="AI855" s="380"/>
      <c r="AJ855" s="380"/>
      <c r="AK855" s="403"/>
      <c r="AL855" s="380"/>
      <c r="AM855" s="380"/>
      <c r="AN855" s="380"/>
      <c r="AO855" s="380"/>
      <c r="AP855" s="380"/>
      <c r="AQ855" s="404"/>
      <c r="AR855" s="380"/>
      <c r="AS855" s="380"/>
      <c r="AT855" s="380"/>
      <c r="AU855" s="380"/>
      <c r="AV855" s="380"/>
      <c r="AW855" s="380"/>
      <c r="AX855" s="380"/>
      <c r="AY855" s="403"/>
      <c r="AZ855" s="380"/>
      <c r="BA855" s="380"/>
      <c r="BB855" s="380"/>
      <c r="BC855" s="380"/>
      <c r="BD855" s="380"/>
      <c r="BE855" s="404"/>
      <c r="BF855" s="380"/>
      <c r="BG855" s="380"/>
      <c r="BH855" s="380"/>
      <c r="BI855" s="380"/>
      <c r="BJ855" s="380"/>
      <c r="BK855" s="380"/>
      <c r="BL855" s="380"/>
      <c r="BM855" s="403"/>
      <c r="BS855" s="83"/>
      <c r="CA855" s="405"/>
      <c r="CG855" s="83"/>
      <c r="CO855" s="405"/>
      <c r="CU855" s="83"/>
      <c r="DC855" s="405"/>
      <c r="DI855" s="83"/>
      <c r="DQ855" s="405"/>
      <c r="DW855" s="83"/>
      <c r="EE855" s="405"/>
      <c r="EK855" s="83"/>
      <c r="ES855" s="405"/>
      <c r="EY855" s="83"/>
      <c r="FG855" s="405"/>
      <c r="FM855" s="83"/>
      <c r="FU855" s="405"/>
      <c r="GA855" s="83"/>
      <c r="GI855" s="405"/>
      <c r="GO855" s="83"/>
      <c r="GW855" s="405"/>
      <c r="HC855" s="83"/>
      <c r="HK855" s="405"/>
      <c r="HQ855" s="83"/>
      <c r="HY855" s="405"/>
      <c r="IE855" s="83"/>
      <c r="IM855" s="405"/>
      <c r="IS855" s="83"/>
      <c r="JA855" s="405"/>
      <c r="JG855" s="83"/>
      <c r="JO855" s="405"/>
      <c r="JU855" s="83"/>
      <c r="KC855" s="405"/>
      <c r="KI855" s="83"/>
      <c r="KQ855" s="405"/>
      <c r="KW855" s="83"/>
      <c r="LE855" s="405"/>
      <c r="LK855" s="83"/>
      <c r="LS855" s="405"/>
      <c r="LY855" s="83"/>
      <c r="MG855" s="405"/>
      <c r="MM855" s="83"/>
      <c r="MU855" s="405"/>
      <c r="NA855" s="83"/>
    </row>
    <row r="856">
      <c r="A856" s="380"/>
      <c r="B856" s="380"/>
      <c r="C856" s="380"/>
      <c r="D856" s="380"/>
      <c r="E856" s="380"/>
      <c r="F856" s="380"/>
      <c r="G856" s="380"/>
      <c r="H856" s="380"/>
      <c r="I856" s="403"/>
      <c r="J856" s="380"/>
      <c r="K856" s="380"/>
      <c r="L856" s="380"/>
      <c r="M856" s="380"/>
      <c r="N856" s="380"/>
      <c r="O856" s="404"/>
      <c r="P856" s="380"/>
      <c r="Q856" s="380"/>
      <c r="R856" s="380"/>
      <c r="S856" s="380"/>
      <c r="T856" s="380"/>
      <c r="U856" s="380"/>
      <c r="V856" s="380"/>
      <c r="W856" s="403"/>
      <c r="X856" s="380"/>
      <c r="Y856" s="380"/>
      <c r="Z856" s="380"/>
      <c r="AA856" s="380"/>
      <c r="AB856" s="380"/>
      <c r="AC856" s="404"/>
      <c r="AD856" s="380"/>
      <c r="AE856" s="380"/>
      <c r="AF856" s="380"/>
      <c r="AG856" s="380"/>
      <c r="AH856" s="380"/>
      <c r="AI856" s="380"/>
      <c r="AJ856" s="380"/>
      <c r="AK856" s="403"/>
      <c r="AL856" s="380"/>
      <c r="AM856" s="380"/>
      <c r="AN856" s="380"/>
      <c r="AO856" s="380"/>
      <c r="AP856" s="380"/>
      <c r="AQ856" s="404"/>
      <c r="AR856" s="380"/>
      <c r="AS856" s="380"/>
      <c r="AT856" s="380"/>
      <c r="AU856" s="380"/>
      <c r="AV856" s="380"/>
      <c r="AW856" s="380"/>
      <c r="AX856" s="380"/>
      <c r="AY856" s="403"/>
      <c r="AZ856" s="380"/>
      <c r="BA856" s="380"/>
      <c r="BB856" s="380"/>
      <c r="BC856" s="380"/>
      <c r="BD856" s="380"/>
      <c r="BE856" s="404"/>
      <c r="BF856" s="380"/>
      <c r="BG856" s="380"/>
      <c r="BH856" s="380"/>
      <c r="BI856" s="380"/>
      <c r="BJ856" s="380"/>
      <c r="BK856" s="380"/>
      <c r="BL856" s="380"/>
      <c r="BM856" s="403"/>
      <c r="BS856" s="83"/>
      <c r="CA856" s="405"/>
      <c r="CG856" s="83"/>
      <c r="CO856" s="405"/>
      <c r="CU856" s="83"/>
      <c r="DC856" s="405"/>
      <c r="DI856" s="83"/>
      <c r="DQ856" s="405"/>
      <c r="DW856" s="83"/>
      <c r="EE856" s="405"/>
      <c r="EK856" s="83"/>
      <c r="ES856" s="405"/>
      <c r="EY856" s="83"/>
      <c r="FG856" s="405"/>
      <c r="FM856" s="83"/>
      <c r="FU856" s="405"/>
      <c r="GA856" s="83"/>
      <c r="GI856" s="405"/>
      <c r="GO856" s="83"/>
      <c r="GW856" s="405"/>
      <c r="HC856" s="83"/>
      <c r="HK856" s="405"/>
      <c r="HQ856" s="83"/>
      <c r="HY856" s="405"/>
      <c r="IE856" s="83"/>
      <c r="IM856" s="405"/>
      <c r="IS856" s="83"/>
      <c r="JA856" s="405"/>
      <c r="JG856" s="83"/>
      <c r="JO856" s="405"/>
      <c r="JU856" s="83"/>
      <c r="KC856" s="405"/>
      <c r="KI856" s="83"/>
      <c r="KQ856" s="405"/>
      <c r="KW856" s="83"/>
      <c r="LE856" s="405"/>
      <c r="LK856" s="83"/>
      <c r="LS856" s="405"/>
      <c r="LY856" s="83"/>
      <c r="MG856" s="405"/>
      <c r="MM856" s="83"/>
      <c r="MU856" s="405"/>
      <c r="NA856" s="83"/>
    </row>
    <row r="857">
      <c r="A857" s="380"/>
      <c r="B857" s="380"/>
      <c r="C857" s="380"/>
      <c r="D857" s="380"/>
      <c r="E857" s="380"/>
      <c r="F857" s="380"/>
      <c r="G857" s="380"/>
      <c r="H857" s="380"/>
      <c r="I857" s="403"/>
      <c r="J857" s="380"/>
      <c r="K857" s="380"/>
      <c r="L857" s="380"/>
      <c r="M857" s="380"/>
      <c r="N857" s="380"/>
      <c r="O857" s="404"/>
      <c r="P857" s="380"/>
      <c r="Q857" s="380"/>
      <c r="R857" s="380"/>
      <c r="S857" s="380"/>
      <c r="T857" s="380"/>
      <c r="U857" s="380"/>
      <c r="V857" s="380"/>
      <c r="W857" s="403"/>
      <c r="X857" s="380"/>
      <c r="Y857" s="380"/>
      <c r="Z857" s="380"/>
      <c r="AA857" s="380"/>
      <c r="AB857" s="380"/>
      <c r="AC857" s="404"/>
      <c r="AD857" s="380"/>
      <c r="AE857" s="380"/>
      <c r="AF857" s="380"/>
      <c r="AG857" s="380"/>
      <c r="AH857" s="380"/>
      <c r="AI857" s="380"/>
      <c r="AJ857" s="380"/>
      <c r="AK857" s="403"/>
      <c r="AL857" s="380"/>
      <c r="AM857" s="380"/>
      <c r="AN857" s="380"/>
      <c r="AO857" s="380"/>
      <c r="AP857" s="380"/>
      <c r="AQ857" s="404"/>
      <c r="AR857" s="380"/>
      <c r="AS857" s="380"/>
      <c r="AT857" s="380"/>
      <c r="AU857" s="380"/>
      <c r="AV857" s="380"/>
      <c r="AW857" s="380"/>
      <c r="AX857" s="380"/>
      <c r="AY857" s="403"/>
      <c r="AZ857" s="380"/>
      <c r="BA857" s="380"/>
      <c r="BB857" s="380"/>
      <c r="BC857" s="380"/>
      <c r="BD857" s="380"/>
      <c r="BE857" s="404"/>
      <c r="BF857" s="380"/>
      <c r="BG857" s="380"/>
      <c r="BH857" s="380"/>
      <c r="BI857" s="380"/>
      <c r="BJ857" s="380"/>
      <c r="BK857" s="380"/>
      <c r="BL857" s="380"/>
      <c r="BM857" s="403"/>
      <c r="BS857" s="83"/>
      <c r="CA857" s="405"/>
      <c r="CG857" s="83"/>
      <c r="CO857" s="405"/>
      <c r="CU857" s="83"/>
      <c r="DC857" s="405"/>
      <c r="DI857" s="83"/>
      <c r="DQ857" s="405"/>
      <c r="DW857" s="83"/>
      <c r="EE857" s="405"/>
      <c r="EK857" s="83"/>
      <c r="ES857" s="405"/>
      <c r="EY857" s="83"/>
      <c r="FG857" s="405"/>
      <c r="FM857" s="83"/>
      <c r="FU857" s="405"/>
      <c r="GA857" s="83"/>
      <c r="GI857" s="405"/>
      <c r="GO857" s="83"/>
      <c r="GW857" s="405"/>
      <c r="HC857" s="83"/>
      <c r="HK857" s="405"/>
      <c r="HQ857" s="83"/>
      <c r="HY857" s="405"/>
      <c r="IE857" s="83"/>
      <c r="IM857" s="405"/>
      <c r="IS857" s="83"/>
      <c r="JA857" s="405"/>
      <c r="JG857" s="83"/>
      <c r="JO857" s="405"/>
      <c r="JU857" s="83"/>
      <c r="KC857" s="405"/>
      <c r="KI857" s="83"/>
      <c r="KQ857" s="405"/>
      <c r="KW857" s="83"/>
      <c r="LE857" s="405"/>
      <c r="LK857" s="83"/>
      <c r="LS857" s="405"/>
      <c r="LY857" s="83"/>
      <c r="MG857" s="405"/>
      <c r="MM857" s="83"/>
      <c r="MU857" s="405"/>
      <c r="NA857" s="83"/>
    </row>
    <row r="858">
      <c r="A858" s="380"/>
      <c r="B858" s="380"/>
      <c r="C858" s="380"/>
      <c r="D858" s="380"/>
      <c r="E858" s="380"/>
      <c r="F858" s="380"/>
      <c r="G858" s="380"/>
      <c r="H858" s="380"/>
      <c r="I858" s="493"/>
      <c r="J858" s="494"/>
      <c r="K858" s="494"/>
      <c r="L858" s="494"/>
      <c r="M858" s="494"/>
      <c r="N858" s="494"/>
      <c r="O858" s="495"/>
      <c r="P858" s="380"/>
      <c r="Q858" s="380"/>
      <c r="R858" s="380"/>
      <c r="S858" s="380"/>
      <c r="T858" s="380"/>
      <c r="U858" s="380"/>
      <c r="V858" s="380"/>
      <c r="W858" s="493"/>
      <c r="X858" s="494"/>
      <c r="Y858" s="494"/>
      <c r="Z858" s="494"/>
      <c r="AA858" s="494"/>
      <c r="AB858" s="494"/>
      <c r="AC858" s="495"/>
      <c r="AD858" s="380"/>
      <c r="AE858" s="380"/>
      <c r="AF858" s="380"/>
      <c r="AG858" s="380"/>
      <c r="AH858" s="380"/>
      <c r="AI858" s="380"/>
      <c r="AJ858" s="380"/>
      <c r="AK858" s="493"/>
      <c r="AL858" s="494"/>
      <c r="AM858" s="494"/>
      <c r="AN858" s="494"/>
      <c r="AO858" s="494"/>
      <c r="AP858" s="494"/>
      <c r="AQ858" s="495"/>
      <c r="AR858" s="380"/>
      <c r="AS858" s="380"/>
      <c r="AT858" s="380"/>
      <c r="AU858" s="380"/>
      <c r="AV858" s="380"/>
      <c r="AW858" s="380"/>
      <c r="AX858" s="380"/>
      <c r="AY858" s="493"/>
      <c r="AZ858" s="494"/>
      <c r="BA858" s="494"/>
      <c r="BB858" s="494"/>
      <c r="BC858" s="494"/>
      <c r="BD858" s="494"/>
      <c r="BE858" s="495"/>
      <c r="BF858" s="380"/>
      <c r="BG858" s="380"/>
      <c r="BH858" s="380"/>
      <c r="BI858" s="380"/>
      <c r="BJ858" s="380"/>
      <c r="BK858" s="380"/>
      <c r="BL858" s="380"/>
      <c r="BM858" s="493"/>
      <c r="BN858" s="23"/>
      <c r="BO858" s="23"/>
      <c r="BP858" s="23"/>
      <c r="BQ858" s="23"/>
      <c r="BR858" s="23"/>
      <c r="BS858" s="104"/>
      <c r="CA858" s="488"/>
      <c r="CB858" s="23"/>
      <c r="CC858" s="23"/>
      <c r="CD858" s="23"/>
      <c r="CE858" s="23"/>
      <c r="CF858" s="23"/>
      <c r="CG858" s="104"/>
      <c r="CO858" s="488"/>
      <c r="CP858" s="23"/>
      <c r="CQ858" s="23"/>
      <c r="CR858" s="23"/>
      <c r="CS858" s="23"/>
      <c r="CT858" s="23"/>
      <c r="CU858" s="104"/>
      <c r="DC858" s="488"/>
      <c r="DD858" s="23"/>
      <c r="DE858" s="23"/>
      <c r="DF858" s="23"/>
      <c r="DG858" s="23"/>
      <c r="DH858" s="23"/>
      <c r="DI858" s="104"/>
      <c r="DQ858" s="488"/>
      <c r="DR858" s="23"/>
      <c r="DS858" s="23"/>
      <c r="DT858" s="23"/>
      <c r="DU858" s="23"/>
      <c r="DV858" s="23"/>
      <c r="DW858" s="104"/>
      <c r="EE858" s="488"/>
      <c r="EF858" s="23"/>
      <c r="EG858" s="23"/>
      <c r="EH858" s="23"/>
      <c r="EI858" s="23"/>
      <c r="EJ858" s="23"/>
      <c r="EK858" s="104"/>
      <c r="ES858" s="488"/>
      <c r="ET858" s="23"/>
      <c r="EU858" s="23"/>
      <c r="EV858" s="23"/>
      <c r="EW858" s="23"/>
      <c r="EX858" s="23"/>
      <c r="EY858" s="104"/>
      <c r="FG858" s="488"/>
      <c r="FH858" s="23"/>
      <c r="FI858" s="23"/>
      <c r="FJ858" s="23"/>
      <c r="FK858" s="23"/>
      <c r="FL858" s="23"/>
      <c r="FM858" s="104"/>
      <c r="FU858" s="488"/>
      <c r="FV858" s="23"/>
      <c r="FW858" s="23"/>
      <c r="FX858" s="23"/>
      <c r="FY858" s="23"/>
      <c r="FZ858" s="23"/>
      <c r="GA858" s="104"/>
      <c r="GI858" s="488"/>
      <c r="GJ858" s="23"/>
      <c r="GK858" s="23"/>
      <c r="GL858" s="23"/>
      <c r="GM858" s="23"/>
      <c r="GN858" s="23"/>
      <c r="GO858" s="104"/>
      <c r="GW858" s="488"/>
      <c r="GX858" s="23"/>
      <c r="GY858" s="23"/>
      <c r="GZ858" s="23"/>
      <c r="HA858" s="23"/>
      <c r="HB858" s="23"/>
      <c r="HC858" s="104"/>
      <c r="HK858" s="488"/>
      <c r="HL858" s="23"/>
      <c r="HM858" s="23"/>
      <c r="HN858" s="23"/>
      <c r="HO858" s="23"/>
      <c r="HP858" s="23"/>
      <c r="HQ858" s="104"/>
      <c r="HY858" s="488"/>
      <c r="HZ858" s="23"/>
      <c r="IA858" s="23"/>
      <c r="IB858" s="23"/>
      <c r="IC858" s="23"/>
      <c r="ID858" s="23"/>
      <c r="IE858" s="104"/>
      <c r="IM858" s="488"/>
      <c r="IN858" s="23"/>
      <c r="IO858" s="23"/>
      <c r="IP858" s="23"/>
      <c r="IQ858" s="23"/>
      <c r="IR858" s="23"/>
      <c r="IS858" s="104"/>
      <c r="JA858" s="488"/>
      <c r="JB858" s="23"/>
      <c r="JC858" s="23"/>
      <c r="JD858" s="23"/>
      <c r="JE858" s="23"/>
      <c r="JF858" s="23"/>
      <c r="JG858" s="104"/>
      <c r="JO858" s="488"/>
      <c r="JP858" s="23"/>
      <c r="JQ858" s="23"/>
      <c r="JR858" s="23"/>
      <c r="JS858" s="23"/>
      <c r="JT858" s="23"/>
      <c r="JU858" s="104"/>
      <c r="KC858" s="488"/>
      <c r="KD858" s="23"/>
      <c r="KE858" s="23"/>
      <c r="KF858" s="23"/>
      <c r="KG858" s="23"/>
      <c r="KH858" s="23"/>
      <c r="KI858" s="104"/>
      <c r="KQ858" s="488"/>
      <c r="KR858" s="23"/>
      <c r="KS858" s="23"/>
      <c r="KT858" s="23"/>
      <c r="KU858" s="23"/>
      <c r="KV858" s="23"/>
      <c r="KW858" s="104"/>
      <c r="LE858" s="488"/>
      <c r="LF858" s="23"/>
      <c r="LG858" s="23"/>
      <c r="LH858" s="23"/>
      <c r="LI858" s="23"/>
      <c r="LJ858" s="23"/>
      <c r="LK858" s="104"/>
      <c r="LS858" s="488"/>
      <c r="LT858" s="23"/>
      <c r="LU858" s="23"/>
      <c r="LV858" s="23"/>
      <c r="LW858" s="23"/>
      <c r="LX858" s="23"/>
      <c r="LY858" s="104"/>
      <c r="MG858" s="488"/>
      <c r="MH858" s="23"/>
      <c r="MI858" s="23"/>
      <c r="MJ858" s="23"/>
      <c r="MK858" s="23"/>
      <c r="ML858" s="23"/>
      <c r="MM858" s="104"/>
      <c r="MU858" s="488"/>
      <c r="MV858" s="23"/>
      <c r="MW858" s="23"/>
      <c r="MX858" s="23"/>
      <c r="MY858" s="23"/>
      <c r="MZ858" s="23"/>
      <c r="NA858" s="104"/>
    </row>
  </sheetData>
  <mergeCells count="3589">
    <mergeCell ref="EZ7:FF7"/>
    <mergeCell ref="EL8:ER8"/>
    <mergeCell ref="ES8:EY8"/>
    <mergeCell ref="EZ8:FF8"/>
    <mergeCell ref="ES7:EY7"/>
    <mergeCell ref="EL7:ER7"/>
    <mergeCell ref="DJ9:DP9"/>
    <mergeCell ref="DC9:DI9"/>
    <mergeCell ref="GB8:IE8"/>
    <mergeCell ref="HR7:HX7"/>
    <mergeCell ref="HK7:HQ7"/>
    <mergeCell ref="EE7:EK7"/>
    <mergeCell ref="GP9:GV9"/>
    <mergeCell ref="ES9:EY9"/>
    <mergeCell ref="FU14:GA14"/>
    <mergeCell ref="FU12:GA12"/>
    <mergeCell ref="FN12:FT12"/>
    <mergeCell ref="FU13:GA13"/>
    <mergeCell ref="FN13:FT13"/>
    <mergeCell ref="EZ13:FF13"/>
    <mergeCell ref="ES13:EY13"/>
    <mergeCell ref="FU15:GA15"/>
    <mergeCell ref="FN14:FT14"/>
    <mergeCell ref="FN16:FT16"/>
    <mergeCell ref="FU16:GA16"/>
    <mergeCell ref="FN15:FT15"/>
    <mergeCell ref="HK11:HQ11"/>
    <mergeCell ref="HR11:HX11"/>
    <mergeCell ref="HD11:HJ11"/>
    <mergeCell ref="HK10:HQ10"/>
    <mergeCell ref="HD10:HJ10"/>
    <mergeCell ref="HR12:HX12"/>
    <mergeCell ref="HR10:HX10"/>
    <mergeCell ref="ES11:EY11"/>
    <mergeCell ref="ES10:EY10"/>
    <mergeCell ref="GI12:GO12"/>
    <mergeCell ref="GB12:GH12"/>
    <mergeCell ref="EL12:ER12"/>
    <mergeCell ref="HY12:IB12"/>
    <mergeCell ref="HY11:IB11"/>
    <mergeCell ref="HY10:IB10"/>
    <mergeCell ref="HK18:HQ18"/>
    <mergeCell ref="HR18:HX18"/>
    <mergeCell ref="GI18:GO18"/>
    <mergeCell ref="GP18:GV18"/>
    <mergeCell ref="DX18:ED18"/>
    <mergeCell ref="EL18:ER18"/>
    <mergeCell ref="EE18:EK18"/>
    <mergeCell ref="HY18:IE18"/>
    <mergeCell ref="HD18:HJ18"/>
    <mergeCell ref="GB18:GH18"/>
    <mergeCell ref="GI16:GO16"/>
    <mergeCell ref="GI15:GO15"/>
    <mergeCell ref="GB16:GH16"/>
    <mergeCell ref="GB15:GH15"/>
    <mergeCell ref="FU17:GA17"/>
    <mergeCell ref="GI17:GO17"/>
    <mergeCell ref="GP16:GV16"/>
    <mergeCell ref="GW15:HC15"/>
    <mergeCell ref="GP15:GV15"/>
    <mergeCell ref="GB17:GH17"/>
    <mergeCell ref="GW16:HC16"/>
    <mergeCell ref="GP17:GV17"/>
    <mergeCell ref="HD13:HJ13"/>
    <mergeCell ref="HK13:HQ13"/>
    <mergeCell ref="GP13:GV13"/>
    <mergeCell ref="GW13:HC13"/>
    <mergeCell ref="GW14:HC14"/>
    <mergeCell ref="HK14:HQ14"/>
    <mergeCell ref="HD14:HJ14"/>
    <mergeCell ref="GP14:GV14"/>
    <mergeCell ref="HY13:IE13"/>
    <mergeCell ref="HY14:IE14"/>
    <mergeCell ref="HR13:HX13"/>
    <mergeCell ref="HK16:HQ16"/>
    <mergeCell ref="HD16:HJ16"/>
    <mergeCell ref="HD15:HJ15"/>
    <mergeCell ref="HK15:HQ15"/>
    <mergeCell ref="HK12:HQ12"/>
    <mergeCell ref="HD12:HJ12"/>
    <mergeCell ref="HD19:HJ19"/>
    <mergeCell ref="HK17:HQ17"/>
    <mergeCell ref="HD17:HJ17"/>
    <mergeCell ref="HK19:HQ19"/>
    <mergeCell ref="HR14:HX14"/>
    <mergeCell ref="HR15:HX15"/>
    <mergeCell ref="EU3:FX3"/>
    <mergeCell ref="HD3:IH3"/>
    <mergeCell ref="FY3:HC3"/>
    <mergeCell ref="EE15:EK15"/>
    <mergeCell ref="EL14:ER14"/>
    <mergeCell ref="EE14:EK14"/>
    <mergeCell ref="EZ9:FF9"/>
    <mergeCell ref="FG9:FM9"/>
    <mergeCell ref="HY7:IE7"/>
    <mergeCell ref="DC13:DI13"/>
    <mergeCell ref="DC11:DI11"/>
    <mergeCell ref="DQ10:DW10"/>
    <mergeCell ref="EE10:EK10"/>
    <mergeCell ref="DQ11:DW11"/>
    <mergeCell ref="DX10:ED10"/>
    <mergeCell ref="DC10:DI10"/>
    <mergeCell ref="GB19:GH19"/>
    <mergeCell ref="GI19:GO19"/>
    <mergeCell ref="GB14:GH14"/>
    <mergeCell ref="GI13:GO13"/>
    <mergeCell ref="GI14:GO14"/>
    <mergeCell ref="GB13:GH13"/>
    <mergeCell ref="FG19:FM19"/>
    <mergeCell ref="FG18:FM18"/>
    <mergeCell ref="DX19:ED19"/>
    <mergeCell ref="EE19:EK19"/>
    <mergeCell ref="EL19:ER19"/>
    <mergeCell ref="DQ17:DW17"/>
    <mergeCell ref="DX17:ED17"/>
    <mergeCell ref="HR19:HX19"/>
    <mergeCell ref="HY19:IE19"/>
    <mergeCell ref="HY17:IE17"/>
    <mergeCell ref="HR17:HX17"/>
    <mergeCell ref="HY16:IE16"/>
    <mergeCell ref="HR16:HX16"/>
    <mergeCell ref="HY15:IE15"/>
    <mergeCell ref="CO19:CU19"/>
    <mergeCell ref="CO20:CU20"/>
    <mergeCell ref="CO21:CU21"/>
    <mergeCell ref="CO15:CU15"/>
    <mergeCell ref="CV15:DB15"/>
    <mergeCell ref="CV14:DB14"/>
    <mergeCell ref="CO14:CU14"/>
    <mergeCell ref="CO9:CU9"/>
    <mergeCell ref="CV9:DB9"/>
    <mergeCell ref="CV11:DB11"/>
    <mergeCell ref="CO11:CU11"/>
    <mergeCell ref="CO10:CU10"/>
    <mergeCell ref="CO12:CP12"/>
    <mergeCell ref="CV10:DB10"/>
    <mergeCell ref="CV7:DB7"/>
    <mergeCell ref="CV8:DB8"/>
    <mergeCell ref="CO7:CU7"/>
    <mergeCell ref="CV20:DB20"/>
    <mergeCell ref="CV19:DB19"/>
    <mergeCell ref="CO18:CU18"/>
    <mergeCell ref="GI10:GO10"/>
    <mergeCell ref="GW10:HC10"/>
    <mergeCell ref="GP10:GV10"/>
    <mergeCell ref="GW12:HC12"/>
    <mergeCell ref="GW11:HC11"/>
    <mergeCell ref="FU10:GA10"/>
    <mergeCell ref="EZ10:FF10"/>
    <mergeCell ref="FG10:FM10"/>
    <mergeCell ref="FN10:FT10"/>
    <mergeCell ref="EZ11:FF11"/>
    <mergeCell ref="EL11:ER11"/>
    <mergeCell ref="FN11:FT11"/>
    <mergeCell ref="FG11:FM11"/>
    <mergeCell ref="GB10:GH10"/>
    <mergeCell ref="EL10:ER10"/>
    <mergeCell ref="ES12:EY12"/>
    <mergeCell ref="EZ12:FM12"/>
    <mergeCell ref="DT12:EB12"/>
    <mergeCell ref="DQ12:DS12"/>
    <mergeCell ref="GP12:GV12"/>
    <mergeCell ref="GP11:GV11"/>
    <mergeCell ref="GB11:GH11"/>
    <mergeCell ref="FU11:GA11"/>
    <mergeCell ref="GI11:GO11"/>
    <mergeCell ref="FG14:FM14"/>
    <mergeCell ref="EZ16:FF16"/>
    <mergeCell ref="EZ14:FF14"/>
    <mergeCell ref="FG16:FM16"/>
    <mergeCell ref="EZ15:FF15"/>
    <mergeCell ref="FG15:FM15"/>
    <mergeCell ref="CV16:DB16"/>
    <mergeCell ref="DQ13:DW13"/>
    <mergeCell ref="CV13:DB13"/>
    <mergeCell ref="CO13:CU13"/>
    <mergeCell ref="FG13:FM13"/>
    <mergeCell ref="DJ13:DP13"/>
    <mergeCell ref="DQ14:DW14"/>
    <mergeCell ref="CQ12:DI12"/>
    <mergeCell ref="DQ15:DW15"/>
    <mergeCell ref="DC15:DI15"/>
    <mergeCell ref="DJ15:DP15"/>
    <mergeCell ref="DC14:DI14"/>
    <mergeCell ref="DJ14:DP14"/>
    <mergeCell ref="ES16:EY16"/>
    <mergeCell ref="ES14:EY14"/>
    <mergeCell ref="ES15:EY15"/>
    <mergeCell ref="DC16:DI16"/>
    <mergeCell ref="DJ16:DP16"/>
    <mergeCell ref="DX13:ED13"/>
    <mergeCell ref="DX15:ED15"/>
    <mergeCell ref="DX14:ED14"/>
    <mergeCell ref="DQ16:DW16"/>
    <mergeCell ref="DX16:ED16"/>
    <mergeCell ref="EL16:ER16"/>
    <mergeCell ref="EL15:ER15"/>
    <mergeCell ref="FG8:FM8"/>
    <mergeCell ref="EE8:EK8"/>
    <mergeCell ref="HD7:HJ7"/>
    <mergeCell ref="GP7:GV7"/>
    <mergeCell ref="GW7:HC7"/>
    <mergeCell ref="FU7:GA7"/>
    <mergeCell ref="GB7:GH7"/>
    <mergeCell ref="FN7:FT7"/>
    <mergeCell ref="FN8:FT8"/>
    <mergeCell ref="FU8:GA8"/>
    <mergeCell ref="GB9:GH9"/>
    <mergeCell ref="GW9:HC9"/>
    <mergeCell ref="HD9:HJ9"/>
    <mergeCell ref="FG7:FM7"/>
    <mergeCell ref="GI7:GO7"/>
    <mergeCell ref="DJ10:DP10"/>
    <mergeCell ref="DX9:ED9"/>
    <mergeCell ref="DJ11:DP11"/>
    <mergeCell ref="GI9:GO9"/>
    <mergeCell ref="FU9:GA9"/>
    <mergeCell ref="FN9:FT9"/>
    <mergeCell ref="HK9:HQ9"/>
    <mergeCell ref="HR9:HX9"/>
    <mergeCell ref="HY9:IB9"/>
    <mergeCell ref="FG20:FM20"/>
    <mergeCell ref="GB20:GH20"/>
    <mergeCell ref="GB21:GH21"/>
    <mergeCell ref="GI21:GO21"/>
    <mergeCell ref="GW21:HC21"/>
    <mergeCell ref="GW20:HC20"/>
    <mergeCell ref="FN21:FT21"/>
    <mergeCell ref="EZ20:FF20"/>
    <mergeCell ref="ES20:EY20"/>
    <mergeCell ref="GW17:HC17"/>
    <mergeCell ref="GW18:HC18"/>
    <mergeCell ref="ES19:EY19"/>
    <mergeCell ref="GP21:GV21"/>
    <mergeCell ref="FN20:FT20"/>
    <mergeCell ref="FN18:FT18"/>
    <mergeCell ref="EZ18:FF18"/>
    <mergeCell ref="EZ19:FF19"/>
    <mergeCell ref="ES18:EY18"/>
    <mergeCell ref="ES17:EY17"/>
    <mergeCell ref="FN17:FT17"/>
    <mergeCell ref="EZ17:FF17"/>
    <mergeCell ref="EL17:ER17"/>
    <mergeCell ref="EE17:EK17"/>
    <mergeCell ref="EL20:ER20"/>
    <mergeCell ref="EE20:EK20"/>
    <mergeCell ref="EL21:ER21"/>
    <mergeCell ref="DX20:ED20"/>
    <mergeCell ref="DX21:ED21"/>
    <mergeCell ref="EE21:EK21"/>
    <mergeCell ref="GP19:GV19"/>
    <mergeCell ref="GW19:HC19"/>
    <mergeCell ref="GI20:GO20"/>
    <mergeCell ref="GP20:GV20"/>
    <mergeCell ref="HD21:HJ21"/>
    <mergeCell ref="HD20:HJ20"/>
    <mergeCell ref="HR21:HX21"/>
    <mergeCell ref="HK21:HQ21"/>
    <mergeCell ref="HK20:HQ20"/>
    <mergeCell ref="HR20:HX20"/>
    <mergeCell ref="BF13:BL13"/>
    <mergeCell ref="BM13:CA13"/>
    <mergeCell ref="BT11:CA11"/>
    <mergeCell ref="BM11:BS11"/>
    <mergeCell ref="BT10:CA10"/>
    <mergeCell ref="CB10:CH10"/>
    <mergeCell ref="CB12:CG12"/>
    <mergeCell ref="CH12:CN12"/>
    <mergeCell ref="CI11:CN11"/>
    <mergeCell ref="CI10:CN10"/>
    <mergeCell ref="BT8:BZ8"/>
    <mergeCell ref="CH8:CN8"/>
    <mergeCell ref="BF11:BL11"/>
    <mergeCell ref="BF12:BL12"/>
    <mergeCell ref="BT14:BZ14"/>
    <mergeCell ref="CA8:CG8"/>
    <mergeCell ref="CA14:CG14"/>
    <mergeCell ref="W7:AC7"/>
    <mergeCell ref="W8:AC8"/>
    <mergeCell ref="BM8:BS8"/>
    <mergeCell ref="BF8:BL8"/>
    <mergeCell ref="P11:V11"/>
    <mergeCell ref="I11:O11"/>
    <mergeCell ref="B11:H11"/>
    <mergeCell ref="W15:AC15"/>
    <mergeCell ref="B15:H15"/>
    <mergeCell ref="I15:O15"/>
    <mergeCell ref="P15:V15"/>
    <mergeCell ref="CA15:CG15"/>
    <mergeCell ref="CH15:CN15"/>
    <mergeCell ref="CA18:CG18"/>
    <mergeCell ref="CA20:CG20"/>
    <mergeCell ref="CA19:CG19"/>
    <mergeCell ref="CA17:CG17"/>
    <mergeCell ref="CA16:CG16"/>
    <mergeCell ref="CI13:CN13"/>
    <mergeCell ref="CH14:CN14"/>
    <mergeCell ref="CB13:CH13"/>
    <mergeCell ref="CB11:CH11"/>
    <mergeCell ref="JA22:JG22"/>
    <mergeCell ref="IT22:IZ22"/>
    <mergeCell ref="KJ23:KP23"/>
    <mergeCell ref="JH23:JN23"/>
    <mergeCell ref="JO23:JU23"/>
    <mergeCell ref="IM22:IS22"/>
    <mergeCell ref="JH22:JN22"/>
    <mergeCell ref="JO22:JU22"/>
    <mergeCell ref="JV22:KB22"/>
    <mergeCell ref="CA21:CG21"/>
    <mergeCell ref="CA22:CG22"/>
    <mergeCell ref="AK24:AQ24"/>
    <mergeCell ref="W24:AC24"/>
    <mergeCell ref="P24:V24"/>
    <mergeCell ref="BM23:BS23"/>
    <mergeCell ref="BM24:BS24"/>
    <mergeCell ref="EL23:ER23"/>
    <mergeCell ref="ES22:EY22"/>
    <mergeCell ref="ES21:EY21"/>
    <mergeCell ref="ES23:EY23"/>
    <mergeCell ref="CO24:CU24"/>
    <mergeCell ref="CV24:DB24"/>
    <mergeCell ref="DC24:DI24"/>
    <mergeCell ref="LE24:LK24"/>
    <mergeCell ref="LL24:LR24"/>
    <mergeCell ref="KQ22:KW22"/>
    <mergeCell ref="JO24:JU24"/>
    <mergeCell ref="JH24:JN24"/>
    <mergeCell ref="JO21:JU21"/>
    <mergeCell ref="KC22:KI22"/>
    <mergeCell ref="KC23:KI23"/>
    <mergeCell ref="B23:H23"/>
    <mergeCell ref="B24:H24"/>
    <mergeCell ref="LE23:LK23"/>
    <mergeCell ref="KQ23:KW23"/>
    <mergeCell ref="KQ24:KW24"/>
    <mergeCell ref="KJ24:KP24"/>
    <mergeCell ref="LL23:LR23"/>
    <mergeCell ref="HK24:HQ24"/>
    <mergeCell ref="HK23:HQ23"/>
    <mergeCell ref="IM24:IS24"/>
    <mergeCell ref="JA23:JG23"/>
    <mergeCell ref="JA24:JG24"/>
    <mergeCell ref="IT21:IZ21"/>
    <mergeCell ref="HK22:HQ22"/>
    <mergeCell ref="HR24:HX24"/>
    <mergeCell ref="HY24:IE24"/>
    <mergeCell ref="ES26:EY26"/>
    <mergeCell ref="ET28:EY28"/>
    <mergeCell ref="ES27:EY27"/>
    <mergeCell ref="FG27:FM27"/>
    <mergeCell ref="EZ27:FF27"/>
    <mergeCell ref="ES24:EY24"/>
    <mergeCell ref="ES25:EY25"/>
    <mergeCell ref="JH25:JN25"/>
    <mergeCell ref="JA25:JG25"/>
    <mergeCell ref="JA26:JG26"/>
    <mergeCell ref="KC24:KI24"/>
    <mergeCell ref="JV24:KB24"/>
    <mergeCell ref="IT27:IZ27"/>
    <mergeCell ref="JA27:JG27"/>
    <mergeCell ref="HR25:HX25"/>
    <mergeCell ref="HY25:IE25"/>
    <mergeCell ref="HY26:IE26"/>
    <mergeCell ref="IF24:IL24"/>
    <mergeCell ref="GP25:GV25"/>
    <mergeCell ref="GP24:GV24"/>
    <mergeCell ref="HD24:HJ24"/>
    <mergeCell ref="GW24:HC24"/>
    <mergeCell ref="HD28:HJ28"/>
    <mergeCell ref="GP28:GV28"/>
    <mergeCell ref="GW27:HC27"/>
    <mergeCell ref="HD27:HJ27"/>
    <mergeCell ref="FN28:FT28"/>
    <mergeCell ref="FU28:GA28"/>
    <mergeCell ref="KJ28:KW28"/>
    <mergeCell ref="KC28:KI28"/>
    <mergeCell ref="IM28:IS28"/>
    <mergeCell ref="IF28:IL28"/>
    <mergeCell ref="HR28:IE28"/>
    <mergeCell ref="GB28:GH28"/>
    <mergeCell ref="AY25:BE25"/>
    <mergeCell ref="AY24:BE24"/>
    <mergeCell ref="DJ25:DP25"/>
    <mergeCell ref="CA24:CG24"/>
    <mergeCell ref="DQ25:DW25"/>
    <mergeCell ref="DC25:DI25"/>
    <mergeCell ref="DX25:ED25"/>
    <mergeCell ref="EE25:EK25"/>
    <mergeCell ref="BM26:BS26"/>
    <mergeCell ref="BT26:BZ26"/>
    <mergeCell ref="BT24:BZ24"/>
    <mergeCell ref="BT23:BZ23"/>
    <mergeCell ref="BM25:BS25"/>
    <mergeCell ref="BT25:BZ25"/>
    <mergeCell ref="CA28:CH28"/>
    <mergeCell ref="CA23:CG23"/>
    <mergeCell ref="LS18:LY18"/>
    <mergeCell ref="LS19:LY19"/>
    <mergeCell ref="KJ21:KP21"/>
    <mergeCell ref="KJ20:KP20"/>
    <mergeCell ref="JV23:KB23"/>
    <mergeCell ref="IM25:IS25"/>
    <mergeCell ref="IF25:IL25"/>
    <mergeCell ref="IF22:IL22"/>
    <mergeCell ref="IF21:IL21"/>
    <mergeCell ref="IM21:IS21"/>
    <mergeCell ref="JA21:JG21"/>
    <mergeCell ref="IT28:IZ28"/>
    <mergeCell ref="GW28:HC28"/>
    <mergeCell ref="HK28:HQ28"/>
    <mergeCell ref="GW23:HC23"/>
    <mergeCell ref="GW22:HC22"/>
    <mergeCell ref="LL21:LR21"/>
    <mergeCell ref="LS20:LY20"/>
    <mergeCell ref="LS21:LY21"/>
    <mergeCell ref="LS23:LY23"/>
    <mergeCell ref="LS22:LY22"/>
    <mergeCell ref="LS27:LY27"/>
    <mergeCell ref="LS26:LY26"/>
    <mergeCell ref="LL22:LR22"/>
    <mergeCell ref="LE18:LK18"/>
    <mergeCell ref="LE19:LK19"/>
    <mergeCell ref="LL28:LR28"/>
    <mergeCell ref="LE28:LK28"/>
    <mergeCell ref="JH27:JN27"/>
    <mergeCell ref="JO27:JU27"/>
    <mergeCell ref="KQ27:KW27"/>
    <mergeCell ref="KJ27:KP27"/>
    <mergeCell ref="KQ25:KW25"/>
    <mergeCell ref="KJ25:KP25"/>
    <mergeCell ref="KC25:KI25"/>
    <mergeCell ref="KC26:KI26"/>
    <mergeCell ref="JO25:JU25"/>
    <mergeCell ref="JV25:KB25"/>
    <mergeCell ref="LL25:LR25"/>
    <mergeCell ref="LS25:LY25"/>
    <mergeCell ref="KJ26:KP26"/>
    <mergeCell ref="LL27:LR27"/>
    <mergeCell ref="LL26:LR26"/>
    <mergeCell ref="JH26:JN26"/>
    <mergeCell ref="KC27:KI27"/>
    <mergeCell ref="IF27:IL27"/>
    <mergeCell ref="IF26:IL26"/>
    <mergeCell ref="IT26:IZ26"/>
    <mergeCell ref="IT25:IZ25"/>
    <mergeCell ref="GB26:GH26"/>
    <mergeCell ref="GB27:GH27"/>
    <mergeCell ref="GI27:GO27"/>
    <mergeCell ref="GI26:GO26"/>
    <mergeCell ref="EL27:ER27"/>
    <mergeCell ref="EL26:ER26"/>
    <mergeCell ref="EL25:ER25"/>
    <mergeCell ref="IM26:IS26"/>
    <mergeCell ref="IM27:IS27"/>
    <mergeCell ref="KX27:LD27"/>
    <mergeCell ref="GP27:GV27"/>
    <mergeCell ref="KC21:KI21"/>
    <mergeCell ref="JV21:KB21"/>
    <mergeCell ref="JH19:JN19"/>
    <mergeCell ref="JO16:JU16"/>
    <mergeCell ref="JH16:JN16"/>
    <mergeCell ref="JH17:JN17"/>
    <mergeCell ref="JH18:JN18"/>
    <mergeCell ref="KJ22:KP22"/>
    <mergeCell ref="KQ21:KW21"/>
    <mergeCell ref="JH21:JN21"/>
    <mergeCell ref="FU27:GA27"/>
    <mergeCell ref="FN27:FT27"/>
    <mergeCell ref="GP26:GV26"/>
    <mergeCell ref="GW26:HC26"/>
    <mergeCell ref="HD26:HJ26"/>
    <mergeCell ref="HR26:HX26"/>
    <mergeCell ref="HK27:HQ27"/>
    <mergeCell ref="HK26:HQ26"/>
    <mergeCell ref="EZ25:FF25"/>
    <mergeCell ref="FN25:FT25"/>
    <mergeCell ref="GW25:HC25"/>
    <mergeCell ref="GB25:GH25"/>
    <mergeCell ref="GI25:GO25"/>
    <mergeCell ref="HD25:HJ25"/>
    <mergeCell ref="HK25:HQ25"/>
    <mergeCell ref="FG26:FM26"/>
    <mergeCell ref="FG25:FM25"/>
    <mergeCell ref="FN22:FT22"/>
    <mergeCell ref="FN24:FT24"/>
    <mergeCell ref="FN23:FT23"/>
    <mergeCell ref="EZ21:FF21"/>
    <mergeCell ref="EZ26:FF26"/>
    <mergeCell ref="GP22:GV22"/>
    <mergeCell ref="GP23:GV23"/>
    <mergeCell ref="FG24:FM24"/>
    <mergeCell ref="FG23:FM23"/>
    <mergeCell ref="GI22:GO22"/>
    <mergeCell ref="GB22:GH22"/>
    <mergeCell ref="GI24:GO24"/>
    <mergeCell ref="GI28:GO28"/>
    <mergeCell ref="GB23:GH23"/>
    <mergeCell ref="GI23:GO23"/>
    <mergeCell ref="HR22:HX22"/>
    <mergeCell ref="HR23:HX23"/>
    <mergeCell ref="IT23:IZ23"/>
    <mergeCell ref="IT24:IZ24"/>
    <mergeCell ref="HD23:HJ23"/>
    <mergeCell ref="IM23:IS23"/>
    <mergeCell ref="IF23:IL23"/>
    <mergeCell ref="HY22:IE22"/>
    <mergeCell ref="HY23:IE23"/>
    <mergeCell ref="JV15:KB15"/>
    <mergeCell ref="KC16:KI16"/>
    <mergeCell ref="JV16:KB16"/>
    <mergeCell ref="KJ18:KP18"/>
    <mergeCell ref="JV18:KB18"/>
    <mergeCell ref="IT14:IZ14"/>
    <mergeCell ref="IT15:IZ15"/>
    <mergeCell ref="KJ14:KP14"/>
    <mergeCell ref="IT16:IZ16"/>
    <mergeCell ref="JA16:JG16"/>
    <mergeCell ref="IF20:IL20"/>
    <mergeCell ref="IM20:IS20"/>
    <mergeCell ref="IF16:IL16"/>
    <mergeCell ref="IM16:IS16"/>
    <mergeCell ref="IM14:IS14"/>
    <mergeCell ref="IF14:IL14"/>
    <mergeCell ref="IM15:IS15"/>
    <mergeCell ref="IF15:IL15"/>
    <mergeCell ref="IT20:IZ20"/>
    <mergeCell ref="JO20:JU20"/>
    <mergeCell ref="JH20:JN20"/>
    <mergeCell ref="JA20:JG20"/>
    <mergeCell ref="JV20:KB20"/>
    <mergeCell ref="KC20:KI20"/>
    <mergeCell ref="LL19:LR19"/>
    <mergeCell ref="LL20:LR20"/>
    <mergeCell ref="LL18:LR18"/>
    <mergeCell ref="LE20:LK20"/>
    <mergeCell ref="KQ19:KW19"/>
    <mergeCell ref="IF18:IL18"/>
    <mergeCell ref="KC19:KI19"/>
    <mergeCell ref="KJ15:KP15"/>
    <mergeCell ref="KJ16:KP16"/>
    <mergeCell ref="KQ16:KW16"/>
    <mergeCell ref="KX15:LD15"/>
    <mergeCell ref="KQ15:KW15"/>
    <mergeCell ref="LS15:LY15"/>
    <mergeCell ref="LS14:LY14"/>
    <mergeCell ref="JA14:JG14"/>
    <mergeCell ref="JA15:JG15"/>
    <mergeCell ref="JH15:JN15"/>
    <mergeCell ref="JO15:JU15"/>
    <mergeCell ref="P51:V51"/>
    <mergeCell ref="AD51:AJ51"/>
    <mergeCell ref="AR52:AX52"/>
    <mergeCell ref="AY52:BE52"/>
    <mergeCell ref="W50:AC50"/>
    <mergeCell ref="I49:O49"/>
    <mergeCell ref="I51:O51"/>
    <mergeCell ref="I50:O50"/>
    <mergeCell ref="AD52:AJ52"/>
    <mergeCell ref="W49:AC49"/>
    <mergeCell ref="AY54:BE54"/>
    <mergeCell ref="BF54:BL54"/>
    <mergeCell ref="AD54:AJ54"/>
    <mergeCell ref="W54:AC54"/>
    <mergeCell ref="I54:O54"/>
    <mergeCell ref="P54:V54"/>
    <mergeCell ref="BM53:BS53"/>
    <mergeCell ref="BM52:BS52"/>
    <mergeCell ref="AK53:AQ53"/>
    <mergeCell ref="AK52:AQ52"/>
    <mergeCell ref="AR53:AX53"/>
    <mergeCell ref="AK55:AQ55"/>
    <mergeCell ref="BT54:BZ54"/>
    <mergeCell ref="BM54:BS54"/>
    <mergeCell ref="BM55:BS55"/>
    <mergeCell ref="BF55:BL55"/>
    <mergeCell ref="CA56:CG56"/>
    <mergeCell ref="CA57:CG57"/>
    <mergeCell ref="B57:H57"/>
    <mergeCell ref="B56:H56"/>
    <mergeCell ref="B55:H55"/>
    <mergeCell ref="B54:H54"/>
    <mergeCell ref="B58:H58"/>
    <mergeCell ref="I57:O57"/>
    <mergeCell ref="I58:O58"/>
    <mergeCell ref="P58:V58"/>
    <mergeCell ref="W58:BE58"/>
    <mergeCell ref="P50:V50"/>
    <mergeCell ref="P49:V49"/>
    <mergeCell ref="FU38:GA38"/>
    <mergeCell ref="FU39:GA39"/>
    <mergeCell ref="HY37:IE37"/>
    <mergeCell ref="IF34:IL34"/>
    <mergeCell ref="HY34:IE34"/>
    <mergeCell ref="IF38:IL38"/>
    <mergeCell ref="HR38:HX38"/>
    <mergeCell ref="HY35:IE35"/>
    <mergeCell ref="EZ38:FF38"/>
    <mergeCell ref="FG39:FM39"/>
    <mergeCell ref="FN39:FT39"/>
    <mergeCell ref="EZ39:FF39"/>
    <mergeCell ref="FG41:FM41"/>
    <mergeCell ref="FN41:FT41"/>
    <mergeCell ref="FU41:GA41"/>
    <mergeCell ref="EE44:EK44"/>
    <mergeCell ref="EE46:EK46"/>
    <mergeCell ref="DX46:ED46"/>
    <mergeCell ref="DQ46:DW46"/>
    <mergeCell ref="DQ44:DW44"/>
    <mergeCell ref="EE38:EK38"/>
    <mergeCell ref="EE39:EK39"/>
    <mergeCell ref="DQ43:DW43"/>
    <mergeCell ref="DQ42:DW42"/>
    <mergeCell ref="EE43:EK43"/>
    <mergeCell ref="DJ39:DP39"/>
    <mergeCell ref="DJ38:DP38"/>
    <mergeCell ref="DJ42:DP42"/>
    <mergeCell ref="DJ43:DP43"/>
    <mergeCell ref="EE41:EK41"/>
    <mergeCell ref="DX41:ED41"/>
    <mergeCell ref="CV49:DB49"/>
    <mergeCell ref="CO49:CU49"/>
    <mergeCell ref="DQ50:DW50"/>
    <mergeCell ref="EE50:EK50"/>
    <mergeCell ref="DX50:ED50"/>
    <mergeCell ref="DJ50:DP50"/>
    <mergeCell ref="EE51:EK51"/>
    <mergeCell ref="EL51:ER51"/>
    <mergeCell ref="FU50:GA50"/>
    <mergeCell ref="FU49:GA49"/>
    <mergeCell ref="FU51:GA51"/>
    <mergeCell ref="EZ41:FF41"/>
    <mergeCell ref="ES41:EY41"/>
    <mergeCell ref="EL38:ER38"/>
    <mergeCell ref="EL39:ER39"/>
    <mergeCell ref="ES39:EY39"/>
    <mergeCell ref="ES52:EY52"/>
    <mergeCell ref="ES51:EY51"/>
    <mergeCell ref="EZ43:FF43"/>
    <mergeCell ref="ES38:EY38"/>
    <mergeCell ref="ES42:EY42"/>
    <mergeCell ref="ES44:EY44"/>
    <mergeCell ref="ES46:EY46"/>
    <mergeCell ref="DJ52:DP52"/>
    <mergeCell ref="DJ51:DP51"/>
    <mergeCell ref="CO51:CU51"/>
    <mergeCell ref="CO52:CU52"/>
    <mergeCell ref="CV52:DB52"/>
    <mergeCell ref="DC52:DI52"/>
    <mergeCell ref="DC51:DI51"/>
    <mergeCell ref="CV51:DB51"/>
    <mergeCell ref="DC50:DI50"/>
    <mergeCell ref="DC43:DI43"/>
    <mergeCell ref="DC41:DI41"/>
    <mergeCell ref="CV43:DB43"/>
    <mergeCell ref="CO41:CU41"/>
    <mergeCell ref="CO38:CU38"/>
    <mergeCell ref="CO39:CU39"/>
    <mergeCell ref="DC38:DI38"/>
    <mergeCell ref="CV38:DB38"/>
    <mergeCell ref="CO46:CU46"/>
    <mergeCell ref="BF51:BL51"/>
    <mergeCell ref="BM51:BS51"/>
    <mergeCell ref="CA51:CG51"/>
    <mergeCell ref="AK51:AQ51"/>
    <mergeCell ref="AY51:BE51"/>
    <mergeCell ref="AR51:AX51"/>
    <mergeCell ref="CA49:CG49"/>
    <mergeCell ref="CA50:CG50"/>
    <mergeCell ref="CA52:CG52"/>
    <mergeCell ref="CA53:CG53"/>
    <mergeCell ref="CA55:CG55"/>
    <mergeCell ref="CA54:CG54"/>
    <mergeCell ref="BT51:BZ51"/>
    <mergeCell ref="BT53:BZ53"/>
    <mergeCell ref="BT52:BZ52"/>
    <mergeCell ref="BT55:BZ55"/>
    <mergeCell ref="BF49:BL49"/>
    <mergeCell ref="BT49:BZ49"/>
    <mergeCell ref="BM50:BS50"/>
    <mergeCell ref="BF50:BL50"/>
    <mergeCell ref="BT50:BZ50"/>
    <mergeCell ref="BF52:BL52"/>
    <mergeCell ref="AK54:AQ54"/>
    <mergeCell ref="AR54:AX54"/>
    <mergeCell ref="AK49:AQ49"/>
    <mergeCell ref="AY49:BE49"/>
    <mergeCell ref="AR49:AX49"/>
    <mergeCell ref="AR50:AX50"/>
    <mergeCell ref="AY50:BE50"/>
    <mergeCell ref="AK50:AQ50"/>
    <mergeCell ref="BF56:BL56"/>
    <mergeCell ref="BM56:BS56"/>
    <mergeCell ref="BT57:BZ57"/>
    <mergeCell ref="BT56:BZ56"/>
    <mergeCell ref="BM58:BS58"/>
    <mergeCell ref="BF58:BL58"/>
    <mergeCell ref="CA58:CG58"/>
    <mergeCell ref="AR57:AX57"/>
    <mergeCell ref="AR56:AX56"/>
    <mergeCell ref="AR55:AX55"/>
    <mergeCell ref="AY55:BE55"/>
    <mergeCell ref="AY57:BE57"/>
    <mergeCell ref="AY56:BE56"/>
    <mergeCell ref="BT58:BZ58"/>
    <mergeCell ref="BF57:BL57"/>
    <mergeCell ref="BM57:BS57"/>
    <mergeCell ref="AD56:AJ56"/>
    <mergeCell ref="W56:AC56"/>
    <mergeCell ref="AD57:AJ57"/>
    <mergeCell ref="AD55:AJ55"/>
    <mergeCell ref="W55:AC55"/>
    <mergeCell ref="P55:V55"/>
    <mergeCell ref="AK57:AQ57"/>
    <mergeCell ref="P57:V57"/>
    <mergeCell ref="W57:AC57"/>
    <mergeCell ref="I56:O56"/>
    <mergeCell ref="I55:O55"/>
    <mergeCell ref="P56:V56"/>
    <mergeCell ref="AK56:AQ56"/>
    <mergeCell ref="HY55:IE55"/>
    <mergeCell ref="HY54:IE54"/>
    <mergeCell ref="IF54:IL54"/>
    <mergeCell ref="IF55:IL55"/>
    <mergeCell ref="IF53:IL53"/>
    <mergeCell ref="GB58:GH58"/>
    <mergeCell ref="GI58:GO58"/>
    <mergeCell ref="HY60:IE60"/>
    <mergeCell ref="HR60:HX60"/>
    <mergeCell ref="HR56:HX56"/>
    <mergeCell ref="HR57:HX57"/>
    <mergeCell ref="HK55:HQ55"/>
    <mergeCell ref="GP55:GV55"/>
    <mergeCell ref="GP53:GV53"/>
    <mergeCell ref="GP54:GV54"/>
    <mergeCell ref="FU45:GA45"/>
    <mergeCell ref="FU44:GA44"/>
    <mergeCell ref="GW52:HC52"/>
    <mergeCell ref="GW53:HC53"/>
    <mergeCell ref="GB57:GH57"/>
    <mergeCell ref="GP58:GV58"/>
    <mergeCell ref="HD46:HJ46"/>
    <mergeCell ref="FN42:FT42"/>
    <mergeCell ref="FG42:FM42"/>
    <mergeCell ref="FU42:GA42"/>
    <mergeCell ref="FU43:GA43"/>
    <mergeCell ref="FG44:FM44"/>
    <mergeCell ref="FN43:FT43"/>
    <mergeCell ref="FN44:FT44"/>
    <mergeCell ref="FG46:FM46"/>
    <mergeCell ref="FN46:FT46"/>
    <mergeCell ref="EL50:ER50"/>
    <mergeCell ref="ES50:EY50"/>
    <mergeCell ref="FU46:GA46"/>
    <mergeCell ref="FG45:FM45"/>
    <mergeCell ref="EZ42:FF42"/>
    <mergeCell ref="EZ46:FF46"/>
    <mergeCell ref="FN45:FT45"/>
    <mergeCell ref="GW58:HC58"/>
    <mergeCell ref="GW57:HC57"/>
    <mergeCell ref="GP57:GV57"/>
    <mergeCell ref="GI57:GO57"/>
    <mergeCell ref="DC8:DI8"/>
    <mergeCell ref="DC7:DI7"/>
    <mergeCell ref="CL3:DO3"/>
    <mergeCell ref="CL2:DO2"/>
    <mergeCell ref="DP2:ET2"/>
    <mergeCell ref="DP3:ET3"/>
    <mergeCell ref="EU2:FX2"/>
    <mergeCell ref="CO8:CU8"/>
    <mergeCell ref="DQ9:DW9"/>
    <mergeCell ref="DX8:ED8"/>
    <mergeCell ref="DX7:ED7"/>
    <mergeCell ref="DQ7:DW7"/>
    <mergeCell ref="DQ8:DW8"/>
    <mergeCell ref="DJ7:DP7"/>
    <mergeCell ref="DJ8:DP8"/>
    <mergeCell ref="KQ8:KW8"/>
    <mergeCell ref="KX8:LD8"/>
    <mergeCell ref="MG9:MM9"/>
    <mergeCell ref="MA9:MF9"/>
    <mergeCell ref="IC9:IL9"/>
    <mergeCell ref="IM9:IT9"/>
    <mergeCell ref="MU9:NA9"/>
    <mergeCell ref="LS9:LZ9"/>
    <mergeCell ref="MN9:MT9"/>
    <mergeCell ref="LL8:NA8"/>
    <mergeCell ref="LE8:LK8"/>
    <mergeCell ref="LE10:LK10"/>
    <mergeCell ref="KX10:LD10"/>
    <mergeCell ref="KQ7:KW7"/>
    <mergeCell ref="KX7:LD7"/>
    <mergeCell ref="MU7:NA7"/>
    <mergeCell ref="LL7:LR7"/>
    <mergeCell ref="LE7:LK7"/>
    <mergeCell ref="LS7:LY7"/>
    <mergeCell ref="MG7:MM7"/>
    <mergeCell ref="LZ7:MF7"/>
    <mergeCell ref="MN7:MT7"/>
    <mergeCell ref="MU10:NA10"/>
    <mergeCell ref="MN10:MT10"/>
    <mergeCell ref="MG10:MM10"/>
    <mergeCell ref="LS10:LZ10"/>
    <mergeCell ref="LL10:LR10"/>
    <mergeCell ref="KJ10:KP10"/>
    <mergeCell ref="JV10:KB10"/>
    <mergeCell ref="KC10:KI10"/>
    <mergeCell ref="JN10:JU10"/>
    <mergeCell ref="KQ10:KW10"/>
    <mergeCell ref="MA10:MF10"/>
    <mergeCell ref="JM3:KQ3"/>
    <mergeCell ref="LV3:NA3"/>
    <mergeCell ref="KR3:LU3"/>
    <mergeCell ref="AD3:BF3"/>
    <mergeCell ref="B2:AC2"/>
    <mergeCell ref="B3:AC3"/>
    <mergeCell ref="B1:NA1"/>
    <mergeCell ref="II2:JL2"/>
    <mergeCell ref="II3:JL3"/>
    <mergeCell ref="BG3:CK3"/>
    <mergeCell ref="LV2:NA2"/>
    <mergeCell ref="AD7:AJ7"/>
    <mergeCell ref="P7:V7"/>
    <mergeCell ref="B7:H7"/>
    <mergeCell ref="I7:O7"/>
    <mergeCell ref="BT7:BZ7"/>
    <mergeCell ref="CH7:CN7"/>
    <mergeCell ref="BF7:BL7"/>
    <mergeCell ref="P8:V8"/>
    <mergeCell ref="B8:H8"/>
    <mergeCell ref="B10:H10"/>
    <mergeCell ref="B9:H9"/>
    <mergeCell ref="I9:V9"/>
    <mergeCell ref="I10:V10"/>
    <mergeCell ref="A5:A6"/>
    <mergeCell ref="I8:O8"/>
    <mergeCell ref="BF9:BL9"/>
    <mergeCell ref="BM10:BS10"/>
    <mergeCell ref="BF10:BL10"/>
    <mergeCell ref="AT9:BE9"/>
    <mergeCell ref="AK9:AS9"/>
    <mergeCell ref="AD9:AJ9"/>
    <mergeCell ref="AD2:BF2"/>
    <mergeCell ref="BG2:CK2"/>
    <mergeCell ref="FY2:HC2"/>
    <mergeCell ref="HD2:IH2"/>
    <mergeCell ref="KR2:LU2"/>
    <mergeCell ref="JM2:KQ2"/>
    <mergeCell ref="HY75:IE75"/>
    <mergeCell ref="IM74:IS74"/>
    <mergeCell ref="GW74:HC74"/>
    <mergeCell ref="HD74:HJ74"/>
    <mergeCell ref="HK73:HQ73"/>
    <mergeCell ref="HD73:HJ73"/>
    <mergeCell ref="GP75:GV75"/>
    <mergeCell ref="GW75:HC75"/>
    <mergeCell ref="HK75:HQ75"/>
    <mergeCell ref="HD75:HJ75"/>
    <mergeCell ref="MG74:MM74"/>
    <mergeCell ref="MN74:MT74"/>
    <mergeCell ref="GW73:HC73"/>
    <mergeCell ref="GP74:GV74"/>
    <mergeCell ref="JH75:JN75"/>
    <mergeCell ref="HR74:HX74"/>
    <mergeCell ref="HK74:HQ74"/>
    <mergeCell ref="JH77:JN77"/>
    <mergeCell ref="JH79:JN79"/>
    <mergeCell ref="JA76:JG76"/>
    <mergeCell ref="JH76:JN76"/>
    <mergeCell ref="HR77:HX77"/>
    <mergeCell ref="HY77:IE77"/>
    <mergeCell ref="GW77:HC77"/>
    <mergeCell ref="HY78:IE78"/>
    <mergeCell ref="HY79:IE79"/>
    <mergeCell ref="JH73:JN73"/>
    <mergeCell ref="JA73:JG73"/>
    <mergeCell ref="JH72:JN72"/>
    <mergeCell ref="JA72:JG72"/>
    <mergeCell ref="HY72:IE72"/>
    <mergeCell ref="IF72:IL72"/>
    <mergeCell ref="GW72:HC72"/>
    <mergeCell ref="GI72:GO72"/>
    <mergeCell ref="GB72:GH72"/>
    <mergeCell ref="HK72:HQ72"/>
    <mergeCell ref="GP72:GV72"/>
    <mergeCell ref="IM72:IS72"/>
    <mergeCell ref="IT72:IZ72"/>
    <mergeCell ref="HD72:HJ72"/>
    <mergeCell ref="GI76:GO76"/>
    <mergeCell ref="GP76:GV76"/>
    <mergeCell ref="LZ73:MF73"/>
    <mergeCell ref="LZ74:MF74"/>
    <mergeCell ref="MG77:MM77"/>
    <mergeCell ref="MG76:MM76"/>
    <mergeCell ref="LZ76:MF76"/>
    <mergeCell ref="MG73:MM73"/>
    <mergeCell ref="MN76:MT76"/>
    <mergeCell ref="MG22:MM22"/>
    <mergeCell ref="MG23:MM23"/>
    <mergeCell ref="KX20:LD20"/>
    <mergeCell ref="KX21:LD21"/>
    <mergeCell ref="LE21:LK21"/>
    <mergeCell ref="KX19:LD19"/>
    <mergeCell ref="KQ20:KW20"/>
    <mergeCell ref="LE22:LK22"/>
    <mergeCell ref="KX22:LD22"/>
    <mergeCell ref="KJ13:LD13"/>
    <mergeCell ref="KX14:LD14"/>
    <mergeCell ref="KQ14:KW14"/>
    <mergeCell ref="LS17:LY17"/>
    <mergeCell ref="LL14:LR14"/>
    <mergeCell ref="LS13:LY13"/>
    <mergeCell ref="LL12:LR12"/>
    <mergeCell ref="LS12:LY12"/>
    <mergeCell ref="KX11:LD11"/>
    <mergeCell ref="KR11:KW11"/>
    <mergeCell ref="KJ11:KQ11"/>
    <mergeCell ref="KC11:KI11"/>
    <mergeCell ref="LL11:LR11"/>
    <mergeCell ref="LE11:LK11"/>
    <mergeCell ref="LE12:LK12"/>
    <mergeCell ref="LS11:LZ11"/>
    <mergeCell ref="KC12:KI12"/>
    <mergeCell ref="LZ12:MT12"/>
    <mergeCell ref="MU12:NA12"/>
    <mergeCell ref="MU11:NA11"/>
    <mergeCell ref="MN11:MT11"/>
    <mergeCell ref="LZ14:MF14"/>
    <mergeCell ref="LZ15:MF15"/>
    <mergeCell ref="LZ13:MF13"/>
    <mergeCell ref="MA11:MF11"/>
    <mergeCell ref="MG11:MM11"/>
    <mergeCell ref="MG13:MM13"/>
    <mergeCell ref="MN13:MT13"/>
    <mergeCell ref="MU14:NA14"/>
    <mergeCell ref="LZ16:MF16"/>
    <mergeCell ref="MG16:MM16"/>
    <mergeCell ref="LE16:LK16"/>
    <mergeCell ref="KX16:LD16"/>
    <mergeCell ref="LL17:LR17"/>
    <mergeCell ref="LE17:LK17"/>
    <mergeCell ref="MG15:MM15"/>
    <mergeCell ref="LL15:LR15"/>
    <mergeCell ref="LS16:LY16"/>
    <mergeCell ref="LL16:LR16"/>
    <mergeCell ref="MG14:MM14"/>
    <mergeCell ref="LE14:LK14"/>
    <mergeCell ref="LE15:LK15"/>
    <mergeCell ref="LL13:LR13"/>
    <mergeCell ref="LE13:LK13"/>
    <mergeCell ref="MU13:NA13"/>
    <mergeCell ref="JN11:JU11"/>
    <mergeCell ref="JV11:KB11"/>
    <mergeCell ref="KJ12:LD12"/>
    <mergeCell ref="JH12:JN12"/>
    <mergeCell ref="JH13:JN13"/>
    <mergeCell ref="JO13:JU13"/>
    <mergeCell ref="JV13:KB13"/>
    <mergeCell ref="JO12:JU12"/>
    <mergeCell ref="JV12:KB12"/>
    <mergeCell ref="KC13:KI13"/>
    <mergeCell ref="P19:V19"/>
    <mergeCell ref="W17:AC17"/>
    <mergeCell ref="P17:V17"/>
    <mergeCell ref="B22:H22"/>
    <mergeCell ref="P21:V21"/>
    <mergeCell ref="I20:O20"/>
    <mergeCell ref="AD17:AJ17"/>
    <mergeCell ref="I16:O16"/>
    <mergeCell ref="P16:V16"/>
    <mergeCell ref="I17:O17"/>
    <mergeCell ref="I19:O19"/>
    <mergeCell ref="I18:O18"/>
    <mergeCell ref="AR17:AX17"/>
    <mergeCell ref="AK17:AQ17"/>
    <mergeCell ref="AR19:AX19"/>
    <mergeCell ref="AK19:AQ19"/>
    <mergeCell ref="AR16:AX16"/>
    <mergeCell ref="AK16:AQ16"/>
    <mergeCell ref="B18:H18"/>
    <mergeCell ref="B16:H16"/>
    <mergeCell ref="B17:H17"/>
    <mergeCell ref="AD16:AJ16"/>
    <mergeCell ref="W16:AC16"/>
    <mergeCell ref="AY16:BE16"/>
    <mergeCell ref="AY17:BE17"/>
    <mergeCell ref="AY19:BE19"/>
    <mergeCell ref="P20:V20"/>
    <mergeCell ref="AD20:AJ20"/>
    <mergeCell ref="AY20:BE20"/>
    <mergeCell ref="AR20:AX20"/>
    <mergeCell ref="AK20:AQ20"/>
    <mergeCell ref="BT15:BZ15"/>
    <mergeCell ref="BF15:BL15"/>
    <mergeCell ref="AD15:AJ15"/>
    <mergeCell ref="AR15:AX15"/>
    <mergeCell ref="AK15:AQ15"/>
    <mergeCell ref="AY15:BE15"/>
    <mergeCell ref="BF16:BL16"/>
    <mergeCell ref="BT16:BZ16"/>
    <mergeCell ref="B21:H21"/>
    <mergeCell ref="I21:O21"/>
    <mergeCell ref="AY21:BE21"/>
    <mergeCell ref="AD21:AJ21"/>
    <mergeCell ref="BF21:BL21"/>
    <mergeCell ref="BM21:BS21"/>
    <mergeCell ref="AR21:AX21"/>
    <mergeCell ref="AK21:AQ21"/>
    <mergeCell ref="W19:AC19"/>
    <mergeCell ref="W20:AC20"/>
    <mergeCell ref="AD19:AJ19"/>
    <mergeCell ref="W21:AC21"/>
    <mergeCell ref="B20:H20"/>
    <mergeCell ref="B19:H19"/>
    <mergeCell ref="W18:AC18"/>
    <mergeCell ref="P18:V18"/>
    <mergeCell ref="AD18:AJ18"/>
    <mergeCell ref="AK18:AQ18"/>
    <mergeCell ref="AR18:AX18"/>
    <mergeCell ref="AY18:BE18"/>
    <mergeCell ref="BT20:BZ20"/>
    <mergeCell ref="BT19:BZ19"/>
    <mergeCell ref="BT22:BZ22"/>
    <mergeCell ref="BT21:BZ21"/>
    <mergeCell ref="BM22:BS22"/>
    <mergeCell ref="BF22:BL22"/>
    <mergeCell ref="I22:O22"/>
    <mergeCell ref="P22:V22"/>
    <mergeCell ref="W22:AC22"/>
    <mergeCell ref="AD22:AJ22"/>
    <mergeCell ref="AK22:AQ22"/>
    <mergeCell ref="AR22:AX22"/>
    <mergeCell ref="AY22:BE22"/>
    <mergeCell ref="MU25:NA25"/>
    <mergeCell ref="MG25:MM25"/>
    <mergeCell ref="MN25:MT25"/>
    <mergeCell ref="KX24:LD24"/>
    <mergeCell ref="KX23:LD23"/>
    <mergeCell ref="MU23:NA23"/>
    <mergeCell ref="MN22:MT22"/>
    <mergeCell ref="MN21:MT21"/>
    <mergeCell ref="MG20:MM20"/>
    <mergeCell ref="MN19:MT19"/>
    <mergeCell ref="MN27:MT27"/>
    <mergeCell ref="MN26:MT26"/>
    <mergeCell ref="LE26:LK26"/>
    <mergeCell ref="MU26:NA26"/>
    <mergeCell ref="KC29:KP29"/>
    <mergeCell ref="JA29:JG29"/>
    <mergeCell ref="KQ29:KW29"/>
    <mergeCell ref="IM29:IZ29"/>
    <mergeCell ref="MS29:NA29"/>
    <mergeCell ref="HE29:II29"/>
    <mergeCell ref="IJ29:IL29"/>
    <mergeCell ref="BM18:BS18"/>
    <mergeCell ref="BT18:BZ18"/>
    <mergeCell ref="BM15:BS15"/>
    <mergeCell ref="BM16:BS16"/>
    <mergeCell ref="BF17:BL17"/>
    <mergeCell ref="BM17:BS17"/>
    <mergeCell ref="BT17:BZ17"/>
    <mergeCell ref="BF18:BL18"/>
    <mergeCell ref="BM19:BS19"/>
    <mergeCell ref="MU28:NA28"/>
    <mergeCell ref="MG28:MJ28"/>
    <mergeCell ref="LS29:MB29"/>
    <mergeCell ref="MC29:MR29"/>
    <mergeCell ref="GI29:HC29"/>
    <mergeCell ref="GB29:GH29"/>
    <mergeCell ref="MG26:MM26"/>
    <mergeCell ref="MG27:MM27"/>
    <mergeCell ref="MG21:MM21"/>
    <mergeCell ref="MG19:MM19"/>
    <mergeCell ref="MG18:MM18"/>
    <mergeCell ref="MN18:MT18"/>
    <mergeCell ref="MU18:NA18"/>
    <mergeCell ref="MN17:MT17"/>
    <mergeCell ref="MU17:NA17"/>
    <mergeCell ref="MG17:MM17"/>
    <mergeCell ref="MN15:MT15"/>
    <mergeCell ref="MN14:MT14"/>
    <mergeCell ref="MU15:NA15"/>
    <mergeCell ref="MU16:NA16"/>
    <mergeCell ref="MN16:MT16"/>
    <mergeCell ref="KC15:KI15"/>
    <mergeCell ref="JH14:JN14"/>
    <mergeCell ref="JO14:JU14"/>
    <mergeCell ref="JV14:KB14"/>
    <mergeCell ref="KX17:LD17"/>
    <mergeCell ref="KX18:LD18"/>
    <mergeCell ref="KC14:KI14"/>
    <mergeCell ref="MG24:MM24"/>
    <mergeCell ref="KX25:LD25"/>
    <mergeCell ref="LE25:LK25"/>
    <mergeCell ref="BF19:BL19"/>
    <mergeCell ref="BF20:BL20"/>
    <mergeCell ref="BM20:BS20"/>
    <mergeCell ref="MU27:NA27"/>
    <mergeCell ref="MU19:NA19"/>
    <mergeCell ref="JV29:KB29"/>
    <mergeCell ref="KX29:LD29"/>
    <mergeCell ref="MU24:NA24"/>
    <mergeCell ref="MN20:MT20"/>
    <mergeCell ref="MN24:MT24"/>
    <mergeCell ref="MN23:MT23"/>
    <mergeCell ref="MU21:NA21"/>
    <mergeCell ref="MU22:NA22"/>
    <mergeCell ref="MU20:NA20"/>
    <mergeCell ref="JO28:JU28"/>
    <mergeCell ref="JO26:JU26"/>
    <mergeCell ref="JV26:KB26"/>
    <mergeCell ref="JV28:KB28"/>
    <mergeCell ref="JV27:KB27"/>
    <mergeCell ref="JH28:JN28"/>
    <mergeCell ref="JA28:JG28"/>
    <mergeCell ref="JH29:JN29"/>
    <mergeCell ref="JO29:JU29"/>
    <mergeCell ref="KX28:LD28"/>
    <mergeCell ref="KX26:LD26"/>
    <mergeCell ref="LE29:LR29"/>
    <mergeCell ref="LE27:LK27"/>
    <mergeCell ref="JV42:KB42"/>
    <mergeCell ref="JV43:KB43"/>
    <mergeCell ref="JV71:KB71"/>
    <mergeCell ref="JV72:KB72"/>
    <mergeCell ref="JN42:JU42"/>
    <mergeCell ref="JH43:JN43"/>
    <mergeCell ref="JH41:JN41"/>
    <mergeCell ref="JA41:JG41"/>
    <mergeCell ref="JA42:JG42"/>
    <mergeCell ref="JO69:JU69"/>
    <mergeCell ref="KC69:KI69"/>
    <mergeCell ref="JV69:KB69"/>
    <mergeCell ref="KC73:KI73"/>
    <mergeCell ref="KC71:KI71"/>
    <mergeCell ref="KC72:KI72"/>
    <mergeCell ref="JO70:JU70"/>
    <mergeCell ref="KC70:KI70"/>
    <mergeCell ref="JV70:KB70"/>
    <mergeCell ref="JV74:KB74"/>
    <mergeCell ref="JV75:KB75"/>
    <mergeCell ref="KC75:KI75"/>
    <mergeCell ref="KC74:KI74"/>
    <mergeCell ref="KC62:KI62"/>
    <mergeCell ref="JV62:KB62"/>
    <mergeCell ref="JO41:JU41"/>
    <mergeCell ref="JV41:KB41"/>
    <mergeCell ref="B69:H69"/>
    <mergeCell ref="W69:AC69"/>
    <mergeCell ref="P69:V69"/>
    <mergeCell ref="AY69:BE69"/>
    <mergeCell ref="I69:O69"/>
    <mergeCell ref="AK69:AQ69"/>
    <mergeCell ref="AD70:AJ70"/>
    <mergeCell ref="AD69:AJ69"/>
    <mergeCell ref="W68:AC68"/>
    <mergeCell ref="P68:V68"/>
    <mergeCell ref="AY68:BE68"/>
    <mergeCell ref="I68:O68"/>
    <mergeCell ref="AK68:AQ68"/>
    <mergeCell ref="AK70:AQ70"/>
    <mergeCell ref="AK71:AQ71"/>
    <mergeCell ref="P70:V70"/>
    <mergeCell ref="W70:AC70"/>
    <mergeCell ref="AR71:AX71"/>
    <mergeCell ref="BF71:BL71"/>
    <mergeCell ref="BT70:BZ70"/>
    <mergeCell ref="BF70:BL70"/>
    <mergeCell ref="AY70:BE70"/>
    <mergeCell ref="AR67:AX67"/>
    <mergeCell ref="AY67:BE67"/>
    <mergeCell ref="BM71:BS71"/>
    <mergeCell ref="BM70:BS70"/>
    <mergeCell ref="BF69:BL69"/>
    <mergeCell ref="BF68:BL68"/>
    <mergeCell ref="BF67:BL67"/>
    <mergeCell ref="AK67:AQ67"/>
    <mergeCell ref="AY71:BE71"/>
    <mergeCell ref="BM67:BS67"/>
    <mergeCell ref="BT72:BZ72"/>
    <mergeCell ref="BM72:BS72"/>
    <mergeCell ref="DJ72:DP72"/>
    <mergeCell ref="DQ72:DW72"/>
    <mergeCell ref="DC72:DI72"/>
    <mergeCell ref="DX72:ED72"/>
    <mergeCell ref="EL72:ER72"/>
    <mergeCell ref="EE72:EK72"/>
    <mergeCell ref="AR72:AX72"/>
    <mergeCell ref="AR73:AX73"/>
    <mergeCell ref="BF72:BL72"/>
    <mergeCell ref="BF73:BL73"/>
    <mergeCell ref="AY73:BE73"/>
    <mergeCell ref="AY72:BE72"/>
    <mergeCell ref="CA72:CG72"/>
    <mergeCell ref="EE73:EK73"/>
    <mergeCell ref="DX73:ED73"/>
    <mergeCell ref="BM73:BS73"/>
    <mergeCell ref="BT73:BZ73"/>
    <mergeCell ref="B73:H73"/>
    <mergeCell ref="DC73:DI73"/>
    <mergeCell ref="DJ73:DP73"/>
    <mergeCell ref="DQ73:DW73"/>
    <mergeCell ref="EL73:ER73"/>
    <mergeCell ref="DC69:DI69"/>
    <mergeCell ref="DC70:DI70"/>
    <mergeCell ref="DC71:DI71"/>
    <mergeCell ref="DQ71:DW71"/>
    <mergeCell ref="DJ71:DP71"/>
    <mergeCell ref="DQ69:DW69"/>
    <mergeCell ref="DQ70:DW70"/>
    <mergeCell ref="DQ68:DW68"/>
    <mergeCell ref="DJ69:DP69"/>
    <mergeCell ref="BT69:BZ69"/>
    <mergeCell ref="CA69:CG69"/>
    <mergeCell ref="CA71:CG71"/>
    <mergeCell ref="CA70:CG70"/>
    <mergeCell ref="DJ70:DP70"/>
    <mergeCell ref="EL69:ER69"/>
    <mergeCell ref="EL71:ER71"/>
    <mergeCell ref="EE71:EK71"/>
    <mergeCell ref="DX71:ED71"/>
    <mergeCell ref="EE70:EK70"/>
    <mergeCell ref="EL70:ER70"/>
    <mergeCell ref="B70:H70"/>
    <mergeCell ref="B71:H71"/>
    <mergeCell ref="B67:H67"/>
    <mergeCell ref="W71:AC71"/>
    <mergeCell ref="P71:V71"/>
    <mergeCell ref="P67:V67"/>
    <mergeCell ref="AD67:AJ67"/>
    <mergeCell ref="I67:O67"/>
    <mergeCell ref="W67:AC67"/>
    <mergeCell ref="AR69:AX69"/>
    <mergeCell ref="AR68:AX68"/>
    <mergeCell ref="BT68:BZ68"/>
    <mergeCell ref="BT67:BZ67"/>
    <mergeCell ref="CA67:CG67"/>
    <mergeCell ref="CA68:CG68"/>
    <mergeCell ref="DJ68:DP68"/>
    <mergeCell ref="DC68:DI68"/>
    <mergeCell ref="DC67:DI67"/>
    <mergeCell ref="DJ67:DP67"/>
    <mergeCell ref="DX69:ED69"/>
    <mergeCell ref="DX68:ED68"/>
    <mergeCell ref="DQ67:DW67"/>
    <mergeCell ref="DX70:ED70"/>
    <mergeCell ref="DX67:ED67"/>
    <mergeCell ref="EE67:EK67"/>
    <mergeCell ref="EL68:ER68"/>
    <mergeCell ref="EL67:ER67"/>
    <mergeCell ref="EE69:EK69"/>
    <mergeCell ref="EE68:EK68"/>
    <mergeCell ref="CA79:CG79"/>
    <mergeCell ref="BT78:BZ78"/>
    <mergeCell ref="BT79:BZ79"/>
    <mergeCell ref="BM75:BS75"/>
    <mergeCell ref="BT77:BZ77"/>
    <mergeCell ref="BT76:BZ76"/>
    <mergeCell ref="BT75:BZ75"/>
    <mergeCell ref="BM77:BS77"/>
    <mergeCell ref="BM76:BS76"/>
    <mergeCell ref="AR77:AX77"/>
    <mergeCell ref="AR75:AX75"/>
    <mergeCell ref="AR76:AX76"/>
    <mergeCell ref="CH79:CN79"/>
    <mergeCell ref="P75:V75"/>
    <mergeCell ref="P79:V79"/>
    <mergeCell ref="P78:V78"/>
    <mergeCell ref="AD79:AJ79"/>
    <mergeCell ref="AY79:BE79"/>
    <mergeCell ref="BF79:BL79"/>
    <mergeCell ref="BF75:BL75"/>
    <mergeCell ref="AY76:BE76"/>
    <mergeCell ref="AY75:BE75"/>
    <mergeCell ref="BF76:BL76"/>
    <mergeCell ref="W78:AC78"/>
    <mergeCell ref="AK78:AQ78"/>
    <mergeCell ref="B79:H79"/>
    <mergeCell ref="B78:H78"/>
    <mergeCell ref="AK79:AQ79"/>
    <mergeCell ref="W79:AC79"/>
    <mergeCell ref="I78:O78"/>
    <mergeCell ref="I79:O79"/>
    <mergeCell ref="B76:H76"/>
    <mergeCell ref="B77:H77"/>
    <mergeCell ref="B80:H80"/>
    <mergeCell ref="B75:H75"/>
    <mergeCell ref="I75:O75"/>
    <mergeCell ref="I76:O76"/>
    <mergeCell ref="I77:O77"/>
    <mergeCell ref="I80:O80"/>
    <mergeCell ref="BF78:BL78"/>
    <mergeCell ref="AY78:BE78"/>
    <mergeCell ref="AY77:BE77"/>
    <mergeCell ref="BF77:BL77"/>
    <mergeCell ref="BM78:BS78"/>
    <mergeCell ref="BM79:BS79"/>
    <mergeCell ref="BT80:BZ80"/>
    <mergeCell ref="BM80:BS80"/>
    <mergeCell ref="AR78:AX78"/>
    <mergeCell ref="AR79:AX79"/>
    <mergeCell ref="AR80:AX80"/>
    <mergeCell ref="AK80:AQ80"/>
    <mergeCell ref="W80:AC80"/>
    <mergeCell ref="P80:V80"/>
    <mergeCell ref="CO75:CU75"/>
    <mergeCell ref="CO81:CU81"/>
    <mergeCell ref="CH73:CN73"/>
    <mergeCell ref="CH72:CN72"/>
    <mergeCell ref="CA73:CG73"/>
    <mergeCell ref="CA74:CG74"/>
    <mergeCell ref="CA75:CG75"/>
    <mergeCell ref="EE79:EK79"/>
    <mergeCell ref="EE77:EK77"/>
    <mergeCell ref="EE76:EK76"/>
    <mergeCell ref="EE74:EK74"/>
    <mergeCell ref="EE75:EK75"/>
    <mergeCell ref="DX80:ED80"/>
    <mergeCell ref="DX78:ED78"/>
    <mergeCell ref="DX79:ED79"/>
    <mergeCell ref="DX76:ED76"/>
    <mergeCell ref="CH78:CN78"/>
    <mergeCell ref="CA78:CG78"/>
    <mergeCell ref="DJ75:DP75"/>
    <mergeCell ref="DJ74:DP74"/>
    <mergeCell ref="DQ74:DW74"/>
    <mergeCell ref="DQ76:DW76"/>
    <mergeCell ref="DJ76:DP76"/>
    <mergeCell ref="CV78:DB78"/>
    <mergeCell ref="CV79:DB79"/>
    <mergeCell ref="DJ79:DP79"/>
    <mergeCell ref="DC79:DI79"/>
    <mergeCell ref="DJ78:DP78"/>
    <mergeCell ref="DQ78:DW78"/>
    <mergeCell ref="DQ75:DW75"/>
    <mergeCell ref="FN80:FT80"/>
    <mergeCell ref="FN79:FT79"/>
    <mergeCell ref="ES79:EY79"/>
    <mergeCell ref="EL79:ER79"/>
    <mergeCell ref="EZ79:FF79"/>
    <mergeCell ref="EZ81:FF81"/>
    <mergeCell ref="ES80:EY80"/>
    <mergeCell ref="ES78:EY78"/>
    <mergeCell ref="EZ78:FF78"/>
    <mergeCell ref="FG79:FM79"/>
    <mergeCell ref="FG78:FM78"/>
    <mergeCell ref="FG81:FM81"/>
    <mergeCell ref="FG80:FM80"/>
    <mergeCell ref="EL77:ER77"/>
    <mergeCell ref="EL78:ER78"/>
    <mergeCell ref="FG75:FM75"/>
    <mergeCell ref="EZ75:FF75"/>
    <mergeCell ref="FU74:GA74"/>
    <mergeCell ref="FU75:GA75"/>
    <mergeCell ref="DX81:ED81"/>
    <mergeCell ref="FU81:GA81"/>
    <mergeCell ref="EL80:ER80"/>
    <mergeCell ref="DX74:ED74"/>
    <mergeCell ref="FN81:FT81"/>
    <mergeCell ref="EZ77:FF77"/>
    <mergeCell ref="FG77:FM77"/>
    <mergeCell ref="EL74:ER74"/>
    <mergeCell ref="EL76:ER76"/>
    <mergeCell ref="EL75:ER75"/>
    <mergeCell ref="CV75:DB75"/>
    <mergeCell ref="DQ80:DW80"/>
    <mergeCell ref="ES81:EY81"/>
    <mergeCell ref="DC78:DI78"/>
    <mergeCell ref="DQ79:DW79"/>
    <mergeCell ref="DQ81:DW81"/>
    <mergeCell ref="EL81:ER81"/>
    <mergeCell ref="ES72:EY72"/>
    <mergeCell ref="ES73:EY73"/>
    <mergeCell ref="ES74:EY74"/>
    <mergeCell ref="FG73:FM73"/>
    <mergeCell ref="FN73:FT73"/>
    <mergeCell ref="EZ73:FF73"/>
    <mergeCell ref="FG72:FM72"/>
    <mergeCell ref="FN72:FT72"/>
    <mergeCell ref="EZ72:FF72"/>
    <mergeCell ref="FU79:GA79"/>
    <mergeCell ref="FU80:GA80"/>
    <mergeCell ref="FN78:FT78"/>
    <mergeCell ref="FN77:FT77"/>
    <mergeCell ref="FN76:FT76"/>
    <mergeCell ref="FU76:GA76"/>
    <mergeCell ref="ES77:EY77"/>
    <mergeCell ref="ES76:EY76"/>
    <mergeCell ref="EZ76:FF76"/>
    <mergeCell ref="FG76:FM76"/>
    <mergeCell ref="FU78:GA78"/>
    <mergeCell ref="FU77:GA77"/>
    <mergeCell ref="FU73:GA73"/>
    <mergeCell ref="FU72:GA72"/>
    <mergeCell ref="FN82:FT82"/>
    <mergeCell ref="FG82:FM82"/>
    <mergeCell ref="EE80:EK80"/>
    <mergeCell ref="EE81:EK81"/>
    <mergeCell ref="ES82:EY82"/>
    <mergeCell ref="DJ82:DP82"/>
    <mergeCell ref="DQ82:DW82"/>
    <mergeCell ref="FU82:GA82"/>
    <mergeCell ref="DX82:ED82"/>
    <mergeCell ref="ES66:EY66"/>
    <mergeCell ref="FG66:FM66"/>
    <mergeCell ref="EZ66:FF66"/>
    <mergeCell ref="EZ67:FF67"/>
    <mergeCell ref="FG67:FM67"/>
    <mergeCell ref="EL66:ER66"/>
    <mergeCell ref="EE66:EK66"/>
    <mergeCell ref="FU67:GA67"/>
    <mergeCell ref="FN67:FT67"/>
    <mergeCell ref="DQ66:DW66"/>
    <mergeCell ref="DJ66:DP66"/>
    <mergeCell ref="ES67:EY67"/>
    <mergeCell ref="FU68:GA68"/>
    <mergeCell ref="ES68:EY68"/>
    <mergeCell ref="DX66:ED66"/>
    <mergeCell ref="ES70:EY70"/>
    <mergeCell ref="EZ70:FF70"/>
    <mergeCell ref="EZ80:FF80"/>
    <mergeCell ref="EZ74:FF74"/>
    <mergeCell ref="EZ82:FF82"/>
    <mergeCell ref="EZ69:FF69"/>
    <mergeCell ref="EZ68:FF68"/>
    <mergeCell ref="EZ71:FF71"/>
    <mergeCell ref="ES71:EY71"/>
    <mergeCell ref="ES69:EY69"/>
    <mergeCell ref="FN65:FT65"/>
    <mergeCell ref="FG65:FM65"/>
    <mergeCell ref="ES64:EY64"/>
    <mergeCell ref="EZ64:FF64"/>
    <mergeCell ref="EZ65:FF65"/>
    <mergeCell ref="FN64:FT64"/>
    <mergeCell ref="FU64:GA64"/>
    <mergeCell ref="FU65:GA65"/>
    <mergeCell ref="FG64:FM64"/>
    <mergeCell ref="DX77:ED77"/>
    <mergeCell ref="EE78:EK78"/>
    <mergeCell ref="DJ77:DP77"/>
    <mergeCell ref="DQ77:DW77"/>
    <mergeCell ref="ES75:EY75"/>
    <mergeCell ref="DX75:ED75"/>
    <mergeCell ref="EE82:EK82"/>
    <mergeCell ref="EL82:ER82"/>
    <mergeCell ref="FU66:GA66"/>
    <mergeCell ref="FN66:FT66"/>
    <mergeCell ref="FN71:FT71"/>
    <mergeCell ref="FN70:FT70"/>
    <mergeCell ref="FU71:GA71"/>
    <mergeCell ref="FU70:GA70"/>
    <mergeCell ref="FU69:GA69"/>
    <mergeCell ref="ES65:EY65"/>
    <mergeCell ref="EL65:ER65"/>
    <mergeCell ref="DQ65:DW65"/>
    <mergeCell ref="DX65:ED65"/>
    <mergeCell ref="DJ65:DP65"/>
    <mergeCell ref="EE64:EK64"/>
    <mergeCell ref="EE65:EK65"/>
    <mergeCell ref="EL64:ER64"/>
    <mergeCell ref="DQ64:DW64"/>
    <mergeCell ref="DX64:ED64"/>
    <mergeCell ref="DJ64:DP64"/>
    <mergeCell ref="CV74:DB74"/>
    <mergeCell ref="CO74:CU74"/>
    <mergeCell ref="DC75:DI75"/>
    <mergeCell ref="DC77:DI77"/>
    <mergeCell ref="DC76:DI76"/>
    <mergeCell ref="DC74:DI74"/>
    <mergeCell ref="CO73:CU73"/>
    <mergeCell ref="CO72:CU72"/>
    <mergeCell ref="CO65:CU65"/>
    <mergeCell ref="DC66:DI66"/>
    <mergeCell ref="DC65:DI65"/>
    <mergeCell ref="DC64:DI64"/>
    <mergeCell ref="CO64:CU64"/>
    <mergeCell ref="CO77:CU77"/>
    <mergeCell ref="CV77:DB77"/>
    <mergeCell ref="CV76:DB76"/>
    <mergeCell ref="CV73:DB73"/>
    <mergeCell ref="CO76:CU76"/>
    <mergeCell ref="CV72:DB72"/>
    <mergeCell ref="P73:V73"/>
    <mergeCell ref="W73:AC73"/>
    <mergeCell ref="I72:O72"/>
    <mergeCell ref="B72:H72"/>
    <mergeCell ref="P72:V72"/>
    <mergeCell ref="W72:AC72"/>
    <mergeCell ref="AD72:AJ72"/>
    <mergeCell ref="AK72:AQ72"/>
    <mergeCell ref="I73:O73"/>
    <mergeCell ref="AK73:AQ73"/>
    <mergeCell ref="AD73:AJ73"/>
    <mergeCell ref="AD65:AJ65"/>
    <mergeCell ref="W65:AC65"/>
    <mergeCell ref="P64:V64"/>
    <mergeCell ref="I64:O64"/>
    <mergeCell ref="B66:H66"/>
    <mergeCell ref="AD64:AJ64"/>
    <mergeCell ref="W64:AC64"/>
    <mergeCell ref="B65:H65"/>
    <mergeCell ref="B64:H64"/>
    <mergeCell ref="BF65:BL65"/>
    <mergeCell ref="BF64:BL64"/>
    <mergeCell ref="AK64:AQ64"/>
    <mergeCell ref="AR65:AX65"/>
    <mergeCell ref="AR66:AX66"/>
    <mergeCell ref="BF82:BL82"/>
    <mergeCell ref="AY82:BE82"/>
    <mergeCell ref="AY80:BE80"/>
    <mergeCell ref="BF80:BL80"/>
    <mergeCell ref="BF81:BL81"/>
    <mergeCell ref="BM81:BS81"/>
    <mergeCell ref="BM82:BS82"/>
    <mergeCell ref="BT82:BZ82"/>
    <mergeCell ref="BT81:BZ81"/>
    <mergeCell ref="CA82:CG82"/>
    <mergeCell ref="CV82:DB82"/>
    <mergeCell ref="CO82:CU82"/>
    <mergeCell ref="CH82:CN82"/>
    <mergeCell ref="DC82:DI82"/>
    <mergeCell ref="CO79:CU79"/>
    <mergeCell ref="CO80:CU80"/>
    <mergeCell ref="CO78:CU78"/>
    <mergeCell ref="CH80:CN80"/>
    <mergeCell ref="CH77:CN77"/>
    <mergeCell ref="CA76:CG76"/>
    <mergeCell ref="CA77:CG77"/>
    <mergeCell ref="P77:V77"/>
    <mergeCell ref="P76:V76"/>
    <mergeCell ref="P74:V74"/>
    <mergeCell ref="P81:V81"/>
    <mergeCell ref="P82:V82"/>
    <mergeCell ref="W77:AC77"/>
    <mergeCell ref="W76:AC76"/>
    <mergeCell ref="W74:AC74"/>
    <mergeCell ref="W81:AC81"/>
    <mergeCell ref="W82:AC82"/>
    <mergeCell ref="AK76:AQ76"/>
    <mergeCell ref="AK77:AQ77"/>
    <mergeCell ref="AK74:AQ74"/>
    <mergeCell ref="AD76:AJ76"/>
    <mergeCell ref="AD75:AJ75"/>
    <mergeCell ref="AD74:AJ74"/>
    <mergeCell ref="AD80:AJ80"/>
    <mergeCell ref="AD81:AJ81"/>
    <mergeCell ref="B81:H81"/>
    <mergeCell ref="I81:O81"/>
    <mergeCell ref="I82:O82"/>
    <mergeCell ref="B82:H82"/>
    <mergeCell ref="AD77:AJ77"/>
    <mergeCell ref="AD78:AJ78"/>
    <mergeCell ref="AR82:AX82"/>
    <mergeCell ref="AK81:AQ81"/>
    <mergeCell ref="AK82:AQ82"/>
    <mergeCell ref="AR81:AX81"/>
    <mergeCell ref="AY81:BE81"/>
    <mergeCell ref="AD82:AJ82"/>
    <mergeCell ref="I74:O74"/>
    <mergeCell ref="B74:H74"/>
    <mergeCell ref="W75:AC75"/>
    <mergeCell ref="AK75:AQ75"/>
    <mergeCell ref="BF74:BL74"/>
    <mergeCell ref="AY74:BE74"/>
    <mergeCell ref="BM74:BS74"/>
    <mergeCell ref="AR74:AX74"/>
    <mergeCell ref="BT74:BZ74"/>
    <mergeCell ref="DC81:DI81"/>
    <mergeCell ref="DJ81:DP81"/>
    <mergeCell ref="CV80:DB80"/>
    <mergeCell ref="CV81:DB81"/>
    <mergeCell ref="CH81:CN81"/>
    <mergeCell ref="CA80:CG80"/>
    <mergeCell ref="CA81:CG81"/>
    <mergeCell ref="DJ80:DP80"/>
    <mergeCell ref="DC80:DI80"/>
    <mergeCell ref="FN69:FT69"/>
    <mergeCell ref="FN68:FT68"/>
    <mergeCell ref="FN75:FT75"/>
    <mergeCell ref="FG74:FM74"/>
    <mergeCell ref="FN74:FT74"/>
    <mergeCell ref="FG71:FM71"/>
    <mergeCell ref="FG70:FM70"/>
    <mergeCell ref="FG68:FM68"/>
    <mergeCell ref="FG69:FM69"/>
    <mergeCell ref="DC49:DI49"/>
    <mergeCell ref="DQ49:DW49"/>
    <mergeCell ref="DJ49:DP49"/>
    <mergeCell ref="EZ49:FF49"/>
    <mergeCell ref="FG49:FM49"/>
    <mergeCell ref="FN49:FT49"/>
    <mergeCell ref="FN50:FT50"/>
    <mergeCell ref="FN51:FT51"/>
    <mergeCell ref="EZ51:FF51"/>
    <mergeCell ref="CV50:DB50"/>
    <mergeCell ref="CO50:CU50"/>
    <mergeCell ref="EZ52:FF52"/>
    <mergeCell ref="EZ50:FF50"/>
    <mergeCell ref="ES49:EY49"/>
    <mergeCell ref="DX49:ED49"/>
    <mergeCell ref="FG51:FM51"/>
    <mergeCell ref="FG50:FM50"/>
    <mergeCell ref="EL52:ER52"/>
    <mergeCell ref="FG53:FM53"/>
    <mergeCell ref="FN53:FT53"/>
    <mergeCell ref="FN52:FT52"/>
    <mergeCell ref="FG52:FM52"/>
    <mergeCell ref="ES53:EY53"/>
    <mergeCell ref="EZ53:FF53"/>
    <mergeCell ref="EE54:EK54"/>
    <mergeCell ref="EE55:EK55"/>
    <mergeCell ref="FN55:FT55"/>
    <mergeCell ref="EZ55:FF55"/>
    <mergeCell ref="FG55:FM55"/>
    <mergeCell ref="FU54:GA54"/>
    <mergeCell ref="FN54:FT54"/>
    <mergeCell ref="DQ55:DW55"/>
    <mergeCell ref="DJ55:DP55"/>
    <mergeCell ref="DJ56:DP56"/>
    <mergeCell ref="DJ53:DP53"/>
    <mergeCell ref="DJ54:DP54"/>
    <mergeCell ref="DQ56:DW56"/>
    <mergeCell ref="DQ53:DW53"/>
    <mergeCell ref="DX51:ED51"/>
    <mergeCell ref="DQ52:DW52"/>
    <mergeCell ref="DX52:ED52"/>
    <mergeCell ref="DQ51:DW51"/>
    <mergeCell ref="DQ54:DW54"/>
    <mergeCell ref="DX54:ED54"/>
    <mergeCell ref="DX55:ED55"/>
    <mergeCell ref="DJ62:DP62"/>
    <mergeCell ref="DC62:DI62"/>
    <mergeCell ref="DC61:DI61"/>
    <mergeCell ref="DJ61:DP61"/>
    <mergeCell ref="DX61:ED61"/>
    <mergeCell ref="FG62:FM62"/>
    <mergeCell ref="EZ62:FF62"/>
    <mergeCell ref="DQ62:DW62"/>
    <mergeCell ref="EE62:EK62"/>
    <mergeCell ref="DX62:ED62"/>
    <mergeCell ref="ES62:EY62"/>
    <mergeCell ref="EL62:ER62"/>
    <mergeCell ref="EE52:EK52"/>
    <mergeCell ref="EE53:EK53"/>
    <mergeCell ref="DX53:ED53"/>
    <mergeCell ref="EL56:ER56"/>
    <mergeCell ref="EL55:ER55"/>
    <mergeCell ref="EL54:ER54"/>
    <mergeCell ref="EL53:ER53"/>
    <mergeCell ref="FU61:GA61"/>
    <mergeCell ref="FU59:GA59"/>
    <mergeCell ref="FU58:GA58"/>
    <mergeCell ref="FU60:GA60"/>
    <mergeCell ref="FU62:GA62"/>
    <mergeCell ref="FU57:GA57"/>
    <mergeCell ref="FG61:FM61"/>
    <mergeCell ref="EZ61:FF61"/>
    <mergeCell ref="FN60:FT60"/>
    <mergeCell ref="EZ60:FF60"/>
    <mergeCell ref="FG60:FM60"/>
    <mergeCell ref="FN59:FT59"/>
    <mergeCell ref="FG59:FM59"/>
    <mergeCell ref="FN61:FT61"/>
    <mergeCell ref="EL61:ER61"/>
    <mergeCell ref="EE61:EK61"/>
    <mergeCell ref="EL60:ER60"/>
    <mergeCell ref="EE60:EK60"/>
    <mergeCell ref="ES61:EY61"/>
    <mergeCell ref="EZ58:FF58"/>
    <mergeCell ref="EZ59:FF59"/>
    <mergeCell ref="FG58:FM58"/>
    <mergeCell ref="DX59:ED59"/>
    <mergeCell ref="DX60:ED60"/>
    <mergeCell ref="DX56:ED56"/>
    <mergeCell ref="DQ59:DW59"/>
    <mergeCell ref="DQ58:DW58"/>
    <mergeCell ref="DQ61:DW61"/>
    <mergeCell ref="DQ60:DW60"/>
    <mergeCell ref="DJ59:DP59"/>
    <mergeCell ref="DJ60:DP60"/>
    <mergeCell ref="CO61:CU61"/>
    <mergeCell ref="CO60:CU60"/>
    <mergeCell ref="CV62:DB62"/>
    <mergeCell ref="CV65:DB65"/>
    <mergeCell ref="CV64:DB64"/>
    <mergeCell ref="CO66:CU66"/>
    <mergeCell ref="CV66:DB66"/>
    <mergeCell ref="CO69:CU69"/>
    <mergeCell ref="CO70:CU70"/>
    <mergeCell ref="CO67:CU67"/>
    <mergeCell ref="CO68:CU68"/>
    <mergeCell ref="CV61:DB61"/>
    <mergeCell ref="CT59:CZ59"/>
    <mergeCell ref="CV60:DB60"/>
    <mergeCell ref="CO71:CU71"/>
    <mergeCell ref="CH71:CN71"/>
    <mergeCell ref="CH68:CN68"/>
    <mergeCell ref="CH67:CN67"/>
    <mergeCell ref="CH64:CN64"/>
    <mergeCell ref="CH66:CN66"/>
    <mergeCell ref="CH65:CN65"/>
    <mergeCell ref="CH75:CN75"/>
    <mergeCell ref="CH74:CN74"/>
    <mergeCell ref="CH76:CN76"/>
    <mergeCell ref="CH69:CN69"/>
    <mergeCell ref="CH70:CN70"/>
    <mergeCell ref="CV70:DB70"/>
    <mergeCell ref="CV71:DB71"/>
    <mergeCell ref="CV69:DB69"/>
    <mergeCell ref="CV68:DB68"/>
    <mergeCell ref="CV67:DB67"/>
    <mergeCell ref="CO56:CU56"/>
    <mergeCell ref="CH55:CN55"/>
    <mergeCell ref="CH56:CN56"/>
    <mergeCell ref="CV56:DB56"/>
    <mergeCell ref="CV55:DB55"/>
    <mergeCell ref="CO55:CU55"/>
    <mergeCell ref="CH54:CN54"/>
    <mergeCell ref="CO54:CU54"/>
    <mergeCell ref="CH49:CN49"/>
    <mergeCell ref="CH44:CN44"/>
    <mergeCell ref="CH43:CN43"/>
    <mergeCell ref="CH38:CN38"/>
    <mergeCell ref="CH39:CN39"/>
    <mergeCell ref="CH35:CN35"/>
    <mergeCell ref="CH46:CN46"/>
    <mergeCell ref="CV53:DB53"/>
    <mergeCell ref="CO53:CU53"/>
    <mergeCell ref="DC53:DI53"/>
    <mergeCell ref="CH50:CN50"/>
    <mergeCell ref="CH51:CN51"/>
    <mergeCell ref="CH52:CN52"/>
    <mergeCell ref="CH53:CN53"/>
    <mergeCell ref="DC59:DI59"/>
    <mergeCell ref="DC60:DI60"/>
    <mergeCell ref="CO62:CU62"/>
    <mergeCell ref="CH62:CN62"/>
    <mergeCell ref="CH61:CN61"/>
    <mergeCell ref="CH60:CN60"/>
    <mergeCell ref="CM59:CS59"/>
    <mergeCell ref="CO57:CU57"/>
    <mergeCell ref="CH57:CN57"/>
    <mergeCell ref="CV35:DB35"/>
    <mergeCell ref="CO35:CU35"/>
    <mergeCell ref="DC23:DI23"/>
    <mergeCell ref="DC35:DI35"/>
    <mergeCell ref="DC33:DI33"/>
    <mergeCell ref="CV23:DB23"/>
    <mergeCell ref="CO22:CU22"/>
    <mergeCell ref="CO23:CU23"/>
    <mergeCell ref="CO34:CU34"/>
    <mergeCell ref="DC22:DI22"/>
    <mergeCell ref="DQ20:DW20"/>
    <mergeCell ref="DQ22:DW22"/>
    <mergeCell ref="DQ21:DW21"/>
    <mergeCell ref="DJ22:DP22"/>
    <mergeCell ref="DJ21:DP21"/>
    <mergeCell ref="DC20:DI20"/>
    <mergeCell ref="DC21:DI21"/>
    <mergeCell ref="DQ19:DW19"/>
    <mergeCell ref="DC19:DI19"/>
    <mergeCell ref="DJ19:DP19"/>
    <mergeCell ref="DJ17:DP17"/>
    <mergeCell ref="DC17:DI17"/>
    <mergeCell ref="DJ20:DP20"/>
    <mergeCell ref="DC18:DI18"/>
    <mergeCell ref="DC37:DI37"/>
    <mergeCell ref="DC36:DI36"/>
    <mergeCell ref="CV45:DB45"/>
    <mergeCell ref="CV46:DB46"/>
    <mergeCell ref="CV57:DB57"/>
    <mergeCell ref="DC57:DI57"/>
    <mergeCell ref="DC56:DI56"/>
    <mergeCell ref="DC54:DI54"/>
    <mergeCell ref="CV54:DB54"/>
    <mergeCell ref="DC55:DI55"/>
    <mergeCell ref="CV44:DB44"/>
    <mergeCell ref="DC44:DI44"/>
    <mergeCell ref="CV42:DB42"/>
    <mergeCell ref="DC42:DI42"/>
    <mergeCell ref="CH23:CN23"/>
    <mergeCell ref="CH24:CN24"/>
    <mergeCell ref="CV22:DB22"/>
    <mergeCell ref="CV21:DB21"/>
    <mergeCell ref="CV17:DB17"/>
    <mergeCell ref="CV18:DB18"/>
    <mergeCell ref="CO17:CU17"/>
    <mergeCell ref="CO16:CU16"/>
    <mergeCell ref="CH21:CN21"/>
    <mergeCell ref="CH19:CN19"/>
    <mergeCell ref="CH20:CN20"/>
    <mergeCell ref="CH22:CN22"/>
    <mergeCell ref="CH18:CN18"/>
    <mergeCell ref="CH17:CN17"/>
    <mergeCell ref="CH16:CN16"/>
    <mergeCell ref="FU19:GA19"/>
    <mergeCell ref="FN19:FT19"/>
    <mergeCell ref="FU20:GA20"/>
    <mergeCell ref="FU21:GA21"/>
    <mergeCell ref="FU22:GA22"/>
    <mergeCell ref="FU24:GA24"/>
    <mergeCell ref="FU23:GA23"/>
    <mergeCell ref="FU18:GA18"/>
    <mergeCell ref="FG17:FM17"/>
    <mergeCell ref="EZ32:FF32"/>
    <mergeCell ref="EE32:ER32"/>
    <mergeCell ref="FN29:FT29"/>
    <mergeCell ref="FU29:GA29"/>
    <mergeCell ref="EL29:ER29"/>
    <mergeCell ref="ES29:EY29"/>
    <mergeCell ref="FG29:FM29"/>
    <mergeCell ref="EZ29:FF29"/>
    <mergeCell ref="EL31:ES31"/>
    <mergeCell ref="ET31:EY31"/>
    <mergeCell ref="EZ31:FF31"/>
    <mergeCell ref="ES58:EY58"/>
    <mergeCell ref="ES60:EY60"/>
    <mergeCell ref="ES59:EY59"/>
    <mergeCell ref="EE59:EK59"/>
    <mergeCell ref="EL59:ER59"/>
    <mergeCell ref="EE56:EK56"/>
    <mergeCell ref="FN62:FT62"/>
    <mergeCell ref="FG57:FM57"/>
    <mergeCell ref="EZ57:FF57"/>
    <mergeCell ref="FN58:FT58"/>
    <mergeCell ref="ES57:EY57"/>
    <mergeCell ref="FN57:FT57"/>
    <mergeCell ref="EE58:EK58"/>
    <mergeCell ref="DX58:ED58"/>
    <mergeCell ref="EE57:EK57"/>
    <mergeCell ref="DX57:ED57"/>
    <mergeCell ref="EL57:ER57"/>
    <mergeCell ref="CH58:DP58"/>
    <mergeCell ref="DJ57:DP57"/>
    <mergeCell ref="DQ57:DW57"/>
    <mergeCell ref="EL58:ER58"/>
    <mergeCell ref="HR76:HX76"/>
    <mergeCell ref="HY76:IE76"/>
    <mergeCell ref="HR73:HX73"/>
    <mergeCell ref="HR75:HX75"/>
    <mergeCell ref="HY73:IE73"/>
    <mergeCell ref="IF73:IL73"/>
    <mergeCell ref="IF74:IL74"/>
    <mergeCell ref="IF76:IL76"/>
    <mergeCell ref="IF75:IL75"/>
    <mergeCell ref="GW78:HC78"/>
    <mergeCell ref="GP78:GV78"/>
    <mergeCell ref="HD79:HJ79"/>
    <mergeCell ref="GW79:HC79"/>
    <mergeCell ref="HR78:HX78"/>
    <mergeCell ref="IT78:IZ78"/>
    <mergeCell ref="IM78:IS78"/>
    <mergeCell ref="IF78:IL78"/>
    <mergeCell ref="IT79:IZ79"/>
    <mergeCell ref="IM79:IS79"/>
    <mergeCell ref="JO79:JU79"/>
    <mergeCell ref="JH78:JN78"/>
    <mergeCell ref="JA78:JG78"/>
    <mergeCell ref="JA79:JG79"/>
    <mergeCell ref="JV79:KB79"/>
    <mergeCell ref="KC79:KI79"/>
    <mergeCell ref="HD78:HJ78"/>
    <mergeCell ref="HK78:HQ78"/>
    <mergeCell ref="HK79:HQ79"/>
    <mergeCell ref="HR79:HX79"/>
    <mergeCell ref="IF79:IL79"/>
    <mergeCell ref="GI79:GO79"/>
    <mergeCell ref="GP79:GV79"/>
    <mergeCell ref="GW82:HC82"/>
    <mergeCell ref="GW80:HC80"/>
    <mergeCell ref="GW81:HC81"/>
    <mergeCell ref="GI80:GO80"/>
    <mergeCell ref="GP80:GV80"/>
    <mergeCell ref="HD82:HJ82"/>
    <mergeCell ref="HD81:HJ81"/>
    <mergeCell ref="GI82:GO82"/>
    <mergeCell ref="GP82:GV82"/>
    <mergeCell ref="GI81:GO81"/>
    <mergeCell ref="GB81:GH81"/>
    <mergeCell ref="GI78:GO78"/>
    <mergeCell ref="GB80:GH80"/>
    <mergeCell ref="GP81:GV81"/>
    <mergeCell ref="GB82:GH82"/>
    <mergeCell ref="IT82:IZ82"/>
    <mergeCell ref="IM82:IS82"/>
    <mergeCell ref="KJ82:KP82"/>
    <mergeCell ref="KJ81:KP81"/>
    <mergeCell ref="KQ81:KW81"/>
    <mergeCell ref="KQ82:KW82"/>
    <mergeCell ref="JH82:JN82"/>
    <mergeCell ref="JH81:JN81"/>
    <mergeCell ref="KC81:KI81"/>
    <mergeCell ref="JV81:KB81"/>
    <mergeCell ref="HY81:IE81"/>
    <mergeCell ref="HY82:IE82"/>
    <mergeCell ref="HK82:HQ82"/>
    <mergeCell ref="IF82:IL82"/>
    <mergeCell ref="HR82:HX82"/>
    <mergeCell ref="JO82:JU82"/>
    <mergeCell ref="JA82:JG82"/>
    <mergeCell ref="JO81:JU81"/>
    <mergeCell ref="JV82:KB82"/>
    <mergeCell ref="KC82:KI82"/>
    <mergeCell ref="JA81:JG81"/>
    <mergeCell ref="HR81:HX81"/>
    <mergeCell ref="IF81:IL81"/>
    <mergeCell ref="IM77:IS77"/>
    <mergeCell ref="JA77:JG77"/>
    <mergeCell ref="IT77:IZ77"/>
    <mergeCell ref="IF77:IL77"/>
    <mergeCell ref="IM75:IS75"/>
    <mergeCell ref="IT75:IZ75"/>
    <mergeCell ref="JA75:JG75"/>
    <mergeCell ref="JA74:JG74"/>
    <mergeCell ref="IT74:IZ74"/>
    <mergeCell ref="JH74:JN74"/>
    <mergeCell ref="HK80:HQ80"/>
    <mergeCell ref="HR80:HX80"/>
    <mergeCell ref="IM80:IS80"/>
    <mergeCell ref="IT80:IZ80"/>
    <mergeCell ref="IF80:IL80"/>
    <mergeCell ref="JH80:JN80"/>
    <mergeCell ref="JA80:JG80"/>
    <mergeCell ref="HY80:IE80"/>
    <mergeCell ref="IM81:IS81"/>
    <mergeCell ref="IT81:IZ81"/>
    <mergeCell ref="HK81:HQ81"/>
    <mergeCell ref="HK77:HQ77"/>
    <mergeCell ref="HD77:HJ77"/>
    <mergeCell ref="GB78:GH78"/>
    <mergeCell ref="GB76:GH76"/>
    <mergeCell ref="GW76:HC76"/>
    <mergeCell ref="GB75:GH75"/>
    <mergeCell ref="GB77:GH77"/>
    <mergeCell ref="HD76:HJ76"/>
    <mergeCell ref="HK76:HQ76"/>
    <mergeCell ref="GI74:GO74"/>
    <mergeCell ref="GI75:GO75"/>
    <mergeCell ref="GP73:GV73"/>
    <mergeCell ref="GB73:GH73"/>
    <mergeCell ref="GB74:GH74"/>
    <mergeCell ref="GI73:GO73"/>
    <mergeCell ref="GB79:GH79"/>
    <mergeCell ref="GI77:GO77"/>
    <mergeCell ref="GP77:GV77"/>
    <mergeCell ref="KQ79:KW79"/>
    <mergeCell ref="KX79:LD79"/>
    <mergeCell ref="LZ80:MF80"/>
    <mergeCell ref="MG80:MM80"/>
    <mergeCell ref="KC80:KI80"/>
    <mergeCell ref="MG79:MM79"/>
    <mergeCell ref="MN80:MT80"/>
    <mergeCell ref="KJ80:KP80"/>
    <mergeCell ref="KJ79:KP79"/>
    <mergeCell ref="LZ79:MF79"/>
    <mergeCell ref="MG81:MM81"/>
    <mergeCell ref="MG82:MM82"/>
    <mergeCell ref="LS82:LY82"/>
    <mergeCell ref="LS81:LY81"/>
    <mergeCell ref="LS80:LY80"/>
    <mergeCell ref="MU80:NA80"/>
    <mergeCell ref="MN81:MT81"/>
    <mergeCell ref="LZ82:MF82"/>
    <mergeCell ref="LZ81:MF81"/>
    <mergeCell ref="MU81:NA81"/>
    <mergeCell ref="LE69:LK69"/>
    <mergeCell ref="LE70:LK70"/>
    <mergeCell ref="KX69:LD69"/>
    <mergeCell ref="KX68:LD68"/>
    <mergeCell ref="LL73:LR73"/>
    <mergeCell ref="LL68:LR68"/>
    <mergeCell ref="LL69:LR69"/>
    <mergeCell ref="LL71:LR71"/>
    <mergeCell ref="LE68:LK68"/>
    <mergeCell ref="LE71:LK71"/>
    <mergeCell ref="LS68:LY68"/>
    <mergeCell ref="LS71:LY71"/>
    <mergeCell ref="LS73:LY73"/>
    <mergeCell ref="LS78:LY78"/>
    <mergeCell ref="LS76:LY76"/>
    <mergeCell ref="LS77:LY77"/>
    <mergeCell ref="LS79:LY79"/>
    <mergeCell ref="LL78:LR78"/>
    <mergeCell ref="LL76:LR76"/>
    <mergeCell ref="LE81:LK81"/>
    <mergeCell ref="KX81:LD81"/>
    <mergeCell ref="LL79:LR79"/>
    <mergeCell ref="LE79:LK79"/>
    <mergeCell ref="MN79:MT79"/>
    <mergeCell ref="MU79:NA79"/>
    <mergeCell ref="MN82:MT82"/>
    <mergeCell ref="MU82:NA82"/>
    <mergeCell ref="MU68:NA68"/>
    <mergeCell ref="MU69:NA69"/>
    <mergeCell ref="LL70:LR70"/>
    <mergeCell ref="LS70:LY70"/>
    <mergeCell ref="KX70:LD70"/>
    <mergeCell ref="KX71:LD71"/>
    <mergeCell ref="MU71:NA71"/>
    <mergeCell ref="MU72:NA72"/>
    <mergeCell ref="MU70:NA70"/>
    <mergeCell ref="KX59:LD59"/>
    <mergeCell ref="LE59:LK59"/>
    <mergeCell ref="JH59:JN59"/>
    <mergeCell ref="JH60:JN60"/>
    <mergeCell ref="HY59:IE59"/>
    <mergeCell ref="IF60:IL60"/>
    <mergeCell ref="IF59:IL59"/>
    <mergeCell ref="LE61:LK61"/>
    <mergeCell ref="LS61:NA61"/>
    <mergeCell ref="KJ59:KP59"/>
    <mergeCell ref="KJ60:KP60"/>
    <mergeCell ref="KQ60:KW60"/>
    <mergeCell ref="KJ61:KP61"/>
    <mergeCell ref="KQ61:KW61"/>
    <mergeCell ref="KX61:LD61"/>
    <mergeCell ref="MU62:NA62"/>
    <mergeCell ref="MG60:NA60"/>
    <mergeCell ref="JA57:JG57"/>
    <mergeCell ref="JH57:JN57"/>
    <mergeCell ref="JV57:KB57"/>
    <mergeCell ref="JO57:JU57"/>
    <mergeCell ref="HY57:IE57"/>
    <mergeCell ref="IF57:IL57"/>
    <mergeCell ref="HD57:HJ57"/>
    <mergeCell ref="HK57:HQ57"/>
    <mergeCell ref="IT57:IZ57"/>
    <mergeCell ref="HR58:KB58"/>
    <mergeCell ref="IM57:IS57"/>
    <mergeCell ref="MU57:NA57"/>
    <mergeCell ref="MG57:MM57"/>
    <mergeCell ref="MN57:MT57"/>
    <mergeCell ref="MG58:NA58"/>
    <mergeCell ref="JA59:JG59"/>
    <mergeCell ref="IT59:IZ59"/>
    <mergeCell ref="IM60:IS60"/>
    <mergeCell ref="IM59:IS59"/>
    <mergeCell ref="JA60:JG60"/>
    <mergeCell ref="IT60:IZ60"/>
    <mergeCell ref="KQ57:KW57"/>
    <mergeCell ref="KJ57:KP57"/>
    <mergeCell ref="KJ58:KP58"/>
    <mergeCell ref="LL59:LR59"/>
    <mergeCell ref="KX60:LY60"/>
    <mergeCell ref="LS59:LY59"/>
    <mergeCell ref="KX57:LD57"/>
    <mergeCell ref="KC57:KI57"/>
    <mergeCell ref="BT61:BZ61"/>
    <mergeCell ref="BT64:BZ64"/>
    <mergeCell ref="BT62:BZ62"/>
    <mergeCell ref="CA61:CG61"/>
    <mergeCell ref="CA64:CG64"/>
    <mergeCell ref="CA62:CG62"/>
    <mergeCell ref="CA60:CG60"/>
    <mergeCell ref="BT60:BZ60"/>
    <mergeCell ref="BM60:BS60"/>
    <mergeCell ref="AK61:AQ61"/>
    <mergeCell ref="AK62:AQ62"/>
    <mergeCell ref="AR61:AX61"/>
    <mergeCell ref="AR62:AX62"/>
    <mergeCell ref="BM61:BS61"/>
    <mergeCell ref="AR60:AX60"/>
    <mergeCell ref="W60:AC60"/>
    <mergeCell ref="P60:V60"/>
    <mergeCell ref="AD62:AJ62"/>
    <mergeCell ref="W62:AC62"/>
    <mergeCell ref="P62:V62"/>
    <mergeCell ref="P61:V61"/>
    <mergeCell ref="W61:AC61"/>
    <mergeCell ref="AD61:AJ61"/>
    <mergeCell ref="B60:H60"/>
    <mergeCell ref="B61:H61"/>
    <mergeCell ref="B62:H62"/>
    <mergeCell ref="I61:O61"/>
    <mergeCell ref="I60:O60"/>
    <mergeCell ref="I62:O62"/>
    <mergeCell ref="B59:CL59"/>
    <mergeCell ref="BM66:BS66"/>
    <mergeCell ref="AY66:BE66"/>
    <mergeCell ref="P66:V66"/>
    <mergeCell ref="AD66:AJ66"/>
    <mergeCell ref="I66:O66"/>
    <mergeCell ref="AK66:AQ66"/>
    <mergeCell ref="W66:AC66"/>
    <mergeCell ref="BT66:BZ66"/>
    <mergeCell ref="BT65:BZ65"/>
    <mergeCell ref="AY65:BE65"/>
    <mergeCell ref="P65:V65"/>
    <mergeCell ref="I65:O65"/>
    <mergeCell ref="AK65:AQ65"/>
    <mergeCell ref="AD68:AJ68"/>
    <mergeCell ref="BM68:BS68"/>
    <mergeCell ref="BM64:BS64"/>
    <mergeCell ref="BM65:BS65"/>
    <mergeCell ref="CA66:CG66"/>
    <mergeCell ref="AR64:AX64"/>
    <mergeCell ref="CA65:CG65"/>
    <mergeCell ref="BF66:BL66"/>
    <mergeCell ref="BF62:BL62"/>
    <mergeCell ref="AY60:BE60"/>
    <mergeCell ref="AY61:BE61"/>
    <mergeCell ref="AY64:BE64"/>
    <mergeCell ref="AY62:BE62"/>
    <mergeCell ref="BF61:BL61"/>
    <mergeCell ref="BF60:BL60"/>
    <mergeCell ref="AK60:AQ60"/>
    <mergeCell ref="AD60:AJ60"/>
    <mergeCell ref="BT71:BZ71"/>
    <mergeCell ref="I71:O71"/>
    <mergeCell ref="I70:O70"/>
    <mergeCell ref="B68:H68"/>
    <mergeCell ref="AR70:AX70"/>
    <mergeCell ref="AD71:AJ71"/>
    <mergeCell ref="BM69:BS69"/>
    <mergeCell ref="HD59:HJ59"/>
    <mergeCell ref="HK59:HQ59"/>
    <mergeCell ref="HD58:HJ58"/>
    <mergeCell ref="HK58:HQ58"/>
    <mergeCell ref="GB59:GH59"/>
    <mergeCell ref="GI59:GO59"/>
    <mergeCell ref="GB60:GH60"/>
    <mergeCell ref="GI60:GO60"/>
    <mergeCell ref="HR59:HX59"/>
    <mergeCell ref="GP59:GV59"/>
    <mergeCell ref="GW59:HC59"/>
    <mergeCell ref="HD60:HJ60"/>
    <mergeCell ref="GP60:GV60"/>
    <mergeCell ref="GW60:HC60"/>
    <mergeCell ref="HK60:HQ60"/>
    <mergeCell ref="IM76:IS76"/>
    <mergeCell ref="IM73:IS73"/>
    <mergeCell ref="HY74:IE74"/>
    <mergeCell ref="HR72:HX72"/>
    <mergeCell ref="JO80:JU80"/>
    <mergeCell ref="JV80:KB80"/>
    <mergeCell ref="IT76:IZ76"/>
    <mergeCell ref="HD80:HJ80"/>
    <mergeCell ref="IT73:IZ73"/>
    <mergeCell ref="LE80:LK80"/>
    <mergeCell ref="KX80:LD80"/>
    <mergeCell ref="KQ80:KW80"/>
    <mergeCell ref="KJ71:KP71"/>
    <mergeCell ref="KJ70:KP70"/>
    <mergeCell ref="KQ62:KW62"/>
    <mergeCell ref="KJ62:KP62"/>
    <mergeCell ref="LL82:LR82"/>
    <mergeCell ref="LL80:LR80"/>
    <mergeCell ref="LL81:LR81"/>
    <mergeCell ref="LL67:LR67"/>
    <mergeCell ref="LL66:LR66"/>
    <mergeCell ref="LL77:LR77"/>
    <mergeCell ref="LE77:LK77"/>
    <mergeCell ref="LE76:LK76"/>
    <mergeCell ref="KX78:LD78"/>
    <mergeCell ref="KX82:LD82"/>
    <mergeCell ref="LE82:LK82"/>
    <mergeCell ref="LE78:LK78"/>
    <mergeCell ref="LL58:LR58"/>
    <mergeCell ref="LS58:LY58"/>
    <mergeCell ref="LZ58:MF58"/>
    <mergeCell ref="LS57:LY57"/>
    <mergeCell ref="LL57:LR57"/>
    <mergeCell ref="KX58:LD58"/>
    <mergeCell ref="LZ57:MF57"/>
    <mergeCell ref="LE57:LK57"/>
    <mergeCell ref="LE58:LK58"/>
    <mergeCell ref="EZ22:FF22"/>
    <mergeCell ref="EZ23:FF23"/>
    <mergeCell ref="FG22:FM22"/>
    <mergeCell ref="HD22:HJ22"/>
    <mergeCell ref="IM17:IS17"/>
    <mergeCell ref="IF17:IL17"/>
    <mergeCell ref="IM19:IS19"/>
    <mergeCell ref="IF19:IL19"/>
    <mergeCell ref="HY20:IE20"/>
    <mergeCell ref="FG21:FM21"/>
    <mergeCell ref="HY21:IE21"/>
    <mergeCell ref="JA18:JG18"/>
    <mergeCell ref="IT18:IZ18"/>
    <mergeCell ref="IT19:IZ19"/>
    <mergeCell ref="IM18:IS18"/>
    <mergeCell ref="JA17:JG17"/>
    <mergeCell ref="JA19:JG19"/>
    <mergeCell ref="IT17:IZ17"/>
    <mergeCell ref="KC17:KI17"/>
    <mergeCell ref="KC18:KI18"/>
    <mergeCell ref="JV17:KB17"/>
    <mergeCell ref="JO17:JU17"/>
    <mergeCell ref="JV19:KB19"/>
    <mergeCell ref="JO19:JU19"/>
    <mergeCell ref="KJ17:KP17"/>
    <mergeCell ref="KJ19:KP19"/>
    <mergeCell ref="KQ17:KW17"/>
    <mergeCell ref="JO18:JU18"/>
    <mergeCell ref="BF26:BL26"/>
    <mergeCell ref="BF27:BL27"/>
    <mergeCell ref="BF28:BL28"/>
    <mergeCell ref="BF23:BL23"/>
    <mergeCell ref="AY28:BE28"/>
    <mergeCell ref="AY27:BE27"/>
    <mergeCell ref="AY23:BE23"/>
    <mergeCell ref="AY26:BE26"/>
    <mergeCell ref="AD23:AJ23"/>
    <mergeCell ref="P23:V23"/>
    <mergeCell ref="W23:AC23"/>
    <mergeCell ref="I24:O24"/>
    <mergeCell ref="I23:O23"/>
    <mergeCell ref="BF24:BL24"/>
    <mergeCell ref="BF25:BL25"/>
    <mergeCell ref="AK23:AQ23"/>
    <mergeCell ref="AD25:AJ25"/>
    <mergeCell ref="AD26:AJ26"/>
    <mergeCell ref="AR24:AX24"/>
    <mergeCell ref="AR23:AX23"/>
    <mergeCell ref="AD24:AJ24"/>
    <mergeCell ref="DC28:DI28"/>
    <mergeCell ref="DC27:DI27"/>
    <mergeCell ref="DC26:DI26"/>
    <mergeCell ref="DJ26:DP26"/>
    <mergeCell ref="BM27:BS27"/>
    <mergeCell ref="BM28:BZ28"/>
    <mergeCell ref="DJ28:DP28"/>
    <mergeCell ref="DJ27:DP27"/>
    <mergeCell ref="CI28:CN28"/>
    <mergeCell ref="CH26:CN26"/>
    <mergeCell ref="CH27:CN27"/>
    <mergeCell ref="CA26:CG26"/>
    <mergeCell ref="W25:AC25"/>
    <mergeCell ref="AR25:AX25"/>
    <mergeCell ref="AK25:AQ25"/>
    <mergeCell ref="CO26:CU26"/>
    <mergeCell ref="I26:O26"/>
    <mergeCell ref="I25:O25"/>
    <mergeCell ref="B25:H25"/>
    <mergeCell ref="B26:H26"/>
    <mergeCell ref="P25:V25"/>
    <mergeCell ref="CA25:CG25"/>
    <mergeCell ref="CV28:DB28"/>
    <mergeCell ref="CO28:CU28"/>
    <mergeCell ref="B28:H28"/>
    <mergeCell ref="AD28:AS28"/>
    <mergeCell ref="W28:AC28"/>
    <mergeCell ref="AT28:AX28"/>
    <mergeCell ref="I28:O28"/>
    <mergeCell ref="P28:V28"/>
    <mergeCell ref="P26:V26"/>
    <mergeCell ref="W26:AC26"/>
    <mergeCell ref="AK27:AQ27"/>
    <mergeCell ref="AR27:AX27"/>
    <mergeCell ref="CO27:CU27"/>
    <mergeCell ref="CV27:DB27"/>
    <mergeCell ref="B27:H27"/>
    <mergeCell ref="I27:O27"/>
    <mergeCell ref="P27:V27"/>
    <mergeCell ref="W27:AC27"/>
    <mergeCell ref="AD27:AJ27"/>
    <mergeCell ref="AR26:AX26"/>
    <mergeCell ref="AK26:AQ26"/>
    <mergeCell ref="CH25:CN25"/>
    <mergeCell ref="CO25:CU25"/>
    <mergeCell ref="CV26:DB26"/>
    <mergeCell ref="CV25:DB25"/>
    <mergeCell ref="EE27:EK27"/>
    <mergeCell ref="DQ27:DW27"/>
    <mergeCell ref="DX27:ED27"/>
    <mergeCell ref="BT27:BZ27"/>
    <mergeCell ref="CA27:CG27"/>
    <mergeCell ref="EE26:EK26"/>
    <mergeCell ref="EE28:EK28"/>
    <mergeCell ref="DQ28:ED28"/>
    <mergeCell ref="EL28:ES28"/>
    <mergeCell ref="DQ26:DW26"/>
    <mergeCell ref="DX26:ED26"/>
    <mergeCell ref="FN26:FT26"/>
    <mergeCell ref="FU25:GA25"/>
    <mergeCell ref="FU26:GA26"/>
    <mergeCell ref="LZ27:MF27"/>
    <mergeCell ref="HR27:HX27"/>
    <mergeCell ref="EZ24:FF24"/>
    <mergeCell ref="LZ26:MF26"/>
    <mergeCell ref="LZ28:MF28"/>
    <mergeCell ref="LS28:LY28"/>
    <mergeCell ref="KQ26:KW26"/>
    <mergeCell ref="EZ28:FM28"/>
    <mergeCell ref="LZ25:MF25"/>
    <mergeCell ref="LZ18:MF18"/>
    <mergeCell ref="KQ18:KW18"/>
    <mergeCell ref="LS24:LY24"/>
    <mergeCell ref="LZ23:MF23"/>
    <mergeCell ref="LZ22:MF22"/>
    <mergeCell ref="LZ20:MF20"/>
    <mergeCell ref="LZ19:MF19"/>
    <mergeCell ref="LZ21:MF21"/>
    <mergeCell ref="LZ24:MF24"/>
    <mergeCell ref="LZ17:MF17"/>
    <mergeCell ref="DQ24:DW24"/>
    <mergeCell ref="DQ23:DW23"/>
    <mergeCell ref="DJ23:DP23"/>
    <mergeCell ref="DJ18:DP18"/>
    <mergeCell ref="EE11:EK11"/>
    <mergeCell ref="DX11:ED11"/>
    <mergeCell ref="EC12:ED12"/>
    <mergeCell ref="EE12:EK12"/>
    <mergeCell ref="EE13:EK13"/>
    <mergeCell ref="EL13:ER13"/>
    <mergeCell ref="EE23:EK23"/>
    <mergeCell ref="DX23:ED23"/>
    <mergeCell ref="DX22:ED22"/>
    <mergeCell ref="EL22:ER22"/>
    <mergeCell ref="EE22:EK22"/>
    <mergeCell ref="EE24:EK24"/>
    <mergeCell ref="DX24:ED24"/>
    <mergeCell ref="EL24:ER24"/>
    <mergeCell ref="DJ12:DP12"/>
    <mergeCell ref="DJ24:DP24"/>
    <mergeCell ref="DQ18:DW18"/>
    <mergeCell ref="EE16:EK16"/>
    <mergeCell ref="AK10:AS10"/>
    <mergeCell ref="AT10:BE10"/>
    <mergeCell ref="AR11:AS11"/>
    <mergeCell ref="AT11:AX11"/>
    <mergeCell ref="W10:AC10"/>
    <mergeCell ref="AD10:AJ10"/>
    <mergeCell ref="W11:AC11"/>
    <mergeCell ref="AK11:AQ11"/>
    <mergeCell ref="AD11:AJ11"/>
    <mergeCell ref="AY11:BE11"/>
    <mergeCell ref="B14:H14"/>
    <mergeCell ref="I14:O14"/>
    <mergeCell ref="BM14:BS14"/>
    <mergeCell ref="BF14:BL14"/>
    <mergeCell ref="AR14:AX14"/>
    <mergeCell ref="AK14:AQ14"/>
    <mergeCell ref="AD14:AJ14"/>
    <mergeCell ref="W14:AC14"/>
    <mergeCell ref="AY14:BE14"/>
    <mergeCell ref="P14:V14"/>
    <mergeCell ref="E12:V12"/>
    <mergeCell ref="AD12:AF12"/>
    <mergeCell ref="W12:AC12"/>
    <mergeCell ref="IU12:IZ12"/>
    <mergeCell ref="IC12:IT12"/>
    <mergeCell ref="JA12:JG12"/>
    <mergeCell ref="I13:V13"/>
    <mergeCell ref="W13:AC13"/>
    <mergeCell ref="IF13:IL13"/>
    <mergeCell ref="IM13:IS13"/>
    <mergeCell ref="IT13:IZ13"/>
    <mergeCell ref="JA13:JG13"/>
    <mergeCell ref="B12:D12"/>
    <mergeCell ref="B13:H13"/>
    <mergeCell ref="AR13:BE13"/>
    <mergeCell ref="AK13:AQ13"/>
    <mergeCell ref="AY12:BE12"/>
    <mergeCell ref="AS12:AX12"/>
    <mergeCell ref="AG12:AR12"/>
    <mergeCell ref="AD13:AJ13"/>
    <mergeCell ref="CI9:CN9"/>
    <mergeCell ref="BM9:BS9"/>
    <mergeCell ref="BT9:CA9"/>
    <mergeCell ref="CB9:CH9"/>
    <mergeCell ref="AR8:AX8"/>
    <mergeCell ref="AY8:BE8"/>
    <mergeCell ref="JN9:JU9"/>
    <mergeCell ref="JH9:JM9"/>
    <mergeCell ref="LE9:LK9"/>
    <mergeCell ref="LL9:LR9"/>
    <mergeCell ref="KJ9:LD9"/>
    <mergeCell ref="IU9:IZ9"/>
    <mergeCell ref="IC10:IL10"/>
    <mergeCell ref="IC11:IL11"/>
    <mergeCell ref="JH10:JM10"/>
    <mergeCell ref="JA10:JG10"/>
    <mergeCell ref="JH11:JM11"/>
    <mergeCell ref="JA11:JG11"/>
    <mergeCell ref="IM10:IT10"/>
    <mergeCell ref="IU11:IZ11"/>
    <mergeCell ref="IU10:IZ10"/>
    <mergeCell ref="IM11:IT11"/>
    <mergeCell ref="AY7:BE7"/>
    <mergeCell ref="AR7:AX7"/>
    <mergeCell ref="AK7:AQ7"/>
    <mergeCell ref="AD8:AJ8"/>
    <mergeCell ref="AK8:AQ8"/>
    <mergeCell ref="BM7:BS7"/>
    <mergeCell ref="CA7:CG7"/>
    <mergeCell ref="IM8:IS8"/>
    <mergeCell ref="IF8:IL8"/>
    <mergeCell ref="IF7:IL7"/>
    <mergeCell ref="IM7:IS7"/>
    <mergeCell ref="JV8:KB8"/>
    <mergeCell ref="JV9:KB9"/>
    <mergeCell ref="JH8:JN8"/>
    <mergeCell ref="KC8:KI8"/>
    <mergeCell ref="KJ7:KP7"/>
    <mergeCell ref="KC7:KI7"/>
    <mergeCell ref="KJ8:KP8"/>
    <mergeCell ref="JA7:JG7"/>
    <mergeCell ref="JH7:JN7"/>
    <mergeCell ref="EE9:EK9"/>
    <mergeCell ref="EL9:ER9"/>
    <mergeCell ref="JA9:JG9"/>
    <mergeCell ref="IT7:IZ7"/>
    <mergeCell ref="IT8:IZ8"/>
    <mergeCell ref="JA8:JG8"/>
    <mergeCell ref="JO7:JU7"/>
    <mergeCell ref="JV7:KB7"/>
    <mergeCell ref="JO8:JU8"/>
    <mergeCell ref="KJ46:KP46"/>
    <mergeCell ref="KJ43:KP43"/>
    <mergeCell ref="KJ45:KP45"/>
    <mergeCell ref="KJ44:KP44"/>
    <mergeCell ref="GP45:GV45"/>
    <mergeCell ref="GW45:HC45"/>
    <mergeCell ref="HD45:HJ45"/>
    <mergeCell ref="HK45:HQ45"/>
    <mergeCell ref="GB45:GH45"/>
    <mergeCell ref="GB44:GH44"/>
    <mergeCell ref="KQ46:KW46"/>
    <mergeCell ref="KC46:KI46"/>
    <mergeCell ref="KC42:KI42"/>
    <mergeCell ref="KC45:KI45"/>
    <mergeCell ref="KC44:KI44"/>
    <mergeCell ref="KC43:KI43"/>
    <mergeCell ref="EL44:ER44"/>
    <mergeCell ref="ES45:EY45"/>
    <mergeCell ref="EZ45:FF45"/>
    <mergeCell ref="HK44:HQ44"/>
    <mergeCell ref="HR45:HX45"/>
    <mergeCell ref="HR44:HX44"/>
    <mergeCell ref="IT42:IZ42"/>
    <mergeCell ref="KJ42:KP42"/>
    <mergeCell ref="GI44:GO44"/>
    <mergeCell ref="KQ44:KW44"/>
    <mergeCell ref="JO49:JU49"/>
    <mergeCell ref="JO50:JU50"/>
    <mergeCell ref="JO53:JU53"/>
    <mergeCell ref="JO51:JU51"/>
    <mergeCell ref="LL50:LR50"/>
    <mergeCell ref="LL49:LR49"/>
    <mergeCell ref="MU52:NA52"/>
    <mergeCell ref="MU53:NA53"/>
    <mergeCell ref="MN53:MT53"/>
    <mergeCell ref="MN52:MT52"/>
    <mergeCell ref="MN50:MT50"/>
    <mergeCell ref="MG50:MM50"/>
    <mergeCell ref="MN51:MT51"/>
    <mergeCell ref="MU51:NA51"/>
    <mergeCell ref="MU50:NA50"/>
    <mergeCell ref="MU49:NA49"/>
    <mergeCell ref="MN49:MT49"/>
    <mergeCell ref="MG49:MM49"/>
    <mergeCell ref="HR49:HX49"/>
    <mergeCell ref="HK49:HQ49"/>
    <mergeCell ref="IM52:IS52"/>
    <mergeCell ref="HY52:IE52"/>
    <mergeCell ref="GW51:HC51"/>
    <mergeCell ref="GW50:HC50"/>
    <mergeCell ref="GB51:GH51"/>
    <mergeCell ref="GW49:HC49"/>
    <mergeCell ref="HK41:HQ41"/>
    <mergeCell ref="HR41:HX41"/>
    <mergeCell ref="KX52:LD52"/>
    <mergeCell ref="KX51:LD51"/>
    <mergeCell ref="DC34:DI34"/>
    <mergeCell ref="DQ34:DW34"/>
    <mergeCell ref="DJ34:DP34"/>
    <mergeCell ref="DQ37:DW37"/>
    <mergeCell ref="DJ37:DP37"/>
    <mergeCell ref="DC32:DP32"/>
    <mergeCell ref="DX37:ED37"/>
    <mergeCell ref="DX36:ED36"/>
    <mergeCell ref="DX38:ED38"/>
    <mergeCell ref="DQ32:ED32"/>
    <mergeCell ref="LL30:LY30"/>
    <mergeCell ref="KX30:LD30"/>
    <mergeCell ref="LE30:LK30"/>
    <mergeCell ref="JO33:JU33"/>
    <mergeCell ref="JH33:JN33"/>
    <mergeCell ref="JO32:JU32"/>
    <mergeCell ref="JH32:JN32"/>
    <mergeCell ref="JH31:JN31"/>
    <mergeCell ref="JO30:JU30"/>
    <mergeCell ref="JO31:JU31"/>
    <mergeCell ref="JH30:JN30"/>
    <mergeCell ref="KX32:LD32"/>
    <mergeCell ref="KX31:LD31"/>
    <mergeCell ref="KC30:KI30"/>
    <mergeCell ref="JV31:KB31"/>
    <mergeCell ref="JV32:KB32"/>
    <mergeCell ref="JV30:KB30"/>
    <mergeCell ref="JV33:KB33"/>
    <mergeCell ref="JV34:KB34"/>
    <mergeCell ref="KQ32:KW32"/>
    <mergeCell ref="KQ31:KW31"/>
    <mergeCell ref="KQ33:KW33"/>
    <mergeCell ref="LL32:LR32"/>
    <mergeCell ref="LE32:LK32"/>
    <mergeCell ref="LE33:LK33"/>
    <mergeCell ref="MU31:NA31"/>
    <mergeCell ref="MU32:NA32"/>
    <mergeCell ref="LZ30:NA30"/>
    <mergeCell ref="LZ31:MF31"/>
    <mergeCell ref="LS32:LY32"/>
    <mergeCell ref="LZ32:MF32"/>
    <mergeCell ref="KJ30:KP30"/>
    <mergeCell ref="KC31:KP31"/>
    <mergeCell ref="LE31:LY31"/>
    <mergeCell ref="KQ30:KW30"/>
    <mergeCell ref="LL43:LR43"/>
    <mergeCell ref="LL44:LR44"/>
    <mergeCell ref="LL45:LR45"/>
    <mergeCell ref="LL41:LR41"/>
    <mergeCell ref="LL42:LR42"/>
    <mergeCell ref="LS36:LY36"/>
    <mergeCell ref="KX44:LD44"/>
    <mergeCell ref="MG31:MM31"/>
    <mergeCell ref="MG32:MM32"/>
    <mergeCell ref="MG33:MM33"/>
    <mergeCell ref="LZ33:MF33"/>
    <mergeCell ref="LL34:LR34"/>
    <mergeCell ref="LE34:LK34"/>
    <mergeCell ref="LS33:LY33"/>
    <mergeCell ref="LL33:LR33"/>
    <mergeCell ref="KX33:LD33"/>
    <mergeCell ref="KJ33:KP33"/>
    <mergeCell ref="KC33:KI33"/>
    <mergeCell ref="MU33:NA33"/>
    <mergeCell ref="MN33:MT33"/>
    <mergeCell ref="MU38:NA38"/>
    <mergeCell ref="MU35:NA35"/>
    <mergeCell ref="MU34:NA34"/>
    <mergeCell ref="MU39:NA39"/>
    <mergeCell ref="MN31:MT31"/>
    <mergeCell ref="MN32:MT32"/>
    <mergeCell ref="KJ32:KP32"/>
    <mergeCell ref="KC32:KI32"/>
    <mergeCell ref="IM32:IS32"/>
    <mergeCell ref="IT32:IZ32"/>
    <mergeCell ref="IM31:IZ31"/>
    <mergeCell ref="IF31:IL31"/>
    <mergeCell ref="FJ31:GA31"/>
    <mergeCell ref="GW31:HC31"/>
    <mergeCell ref="GP31:GV31"/>
    <mergeCell ref="GB31:GH31"/>
    <mergeCell ref="GI31:GO31"/>
    <mergeCell ref="JA30:JG30"/>
    <mergeCell ref="IT30:IZ30"/>
    <mergeCell ref="IM30:IS30"/>
    <mergeCell ref="HK31:HQ31"/>
    <mergeCell ref="HR31:IE31"/>
    <mergeCell ref="FU33:GA33"/>
    <mergeCell ref="FN32:GA32"/>
    <mergeCell ref="FG32:FM32"/>
    <mergeCell ref="IT33:IZ33"/>
    <mergeCell ref="IM33:IS33"/>
    <mergeCell ref="JA31:JG31"/>
    <mergeCell ref="HD31:HJ31"/>
    <mergeCell ref="FG54:FM54"/>
    <mergeCell ref="EZ54:FF54"/>
    <mergeCell ref="DJ45:DP45"/>
    <mergeCell ref="DQ45:DW45"/>
    <mergeCell ref="DX45:ED45"/>
    <mergeCell ref="EZ56:FF56"/>
    <mergeCell ref="FU56:GA56"/>
    <mergeCell ref="FU55:GA55"/>
    <mergeCell ref="ES54:EY54"/>
    <mergeCell ref="DJ44:DP44"/>
    <mergeCell ref="DX43:ED43"/>
    <mergeCell ref="DC46:DI46"/>
    <mergeCell ref="DC45:DI45"/>
    <mergeCell ref="DJ46:DP46"/>
    <mergeCell ref="DQ35:DW35"/>
    <mergeCell ref="DQ36:DW36"/>
    <mergeCell ref="DQ39:DW39"/>
    <mergeCell ref="DQ38:DW38"/>
    <mergeCell ref="DJ35:DP35"/>
    <mergeCell ref="DJ36:DP36"/>
    <mergeCell ref="DX35:ED35"/>
    <mergeCell ref="EE34:EK34"/>
    <mergeCell ref="EE33:EK33"/>
    <mergeCell ref="DX34:ED34"/>
    <mergeCell ref="DX33:ED33"/>
    <mergeCell ref="DJ33:DP33"/>
    <mergeCell ref="DQ33:DW33"/>
    <mergeCell ref="DC31:DP31"/>
    <mergeCell ref="DQ31:EE31"/>
    <mergeCell ref="EF31:EK31"/>
    <mergeCell ref="GI55:GO55"/>
    <mergeCell ref="GB55:GH55"/>
    <mergeCell ref="ES55:EY55"/>
    <mergeCell ref="ES56:EY56"/>
    <mergeCell ref="GB56:GH56"/>
    <mergeCell ref="GI56:GO56"/>
    <mergeCell ref="FN56:FT56"/>
    <mergeCell ref="FG56:FM56"/>
    <mergeCell ref="GI54:GO54"/>
    <mergeCell ref="GB54:GH54"/>
    <mergeCell ref="HR35:HX35"/>
    <mergeCell ref="HR39:HX39"/>
    <mergeCell ref="HR37:HX37"/>
    <mergeCell ref="HD35:HJ35"/>
    <mergeCell ref="HD39:HJ39"/>
    <mergeCell ref="HD38:HJ38"/>
    <mergeCell ref="HK52:HQ52"/>
    <mergeCell ref="HD51:HJ51"/>
    <mergeCell ref="HD52:HJ52"/>
    <mergeCell ref="HK51:HQ51"/>
    <mergeCell ref="GP37:GV37"/>
    <mergeCell ref="GP38:GV38"/>
    <mergeCell ref="HD55:HJ55"/>
    <mergeCell ref="HD56:HJ56"/>
    <mergeCell ref="GW37:HC37"/>
    <mergeCell ref="GW35:HC35"/>
    <mergeCell ref="GP35:GV35"/>
    <mergeCell ref="HK35:HQ35"/>
    <mergeCell ref="HK38:HQ38"/>
    <mergeCell ref="HY49:IE49"/>
    <mergeCell ref="IF45:IL45"/>
    <mergeCell ref="HY46:IE46"/>
    <mergeCell ref="HY45:IE45"/>
    <mergeCell ref="LE49:LK49"/>
    <mergeCell ref="LE44:LK44"/>
    <mergeCell ref="LE45:LK45"/>
    <mergeCell ref="GP49:GV49"/>
    <mergeCell ref="HD49:HJ49"/>
    <mergeCell ref="HY50:IE50"/>
    <mergeCell ref="GP46:GV46"/>
    <mergeCell ref="IF44:IL44"/>
    <mergeCell ref="HY44:IE44"/>
    <mergeCell ref="IM44:IS44"/>
    <mergeCell ref="JA46:JG46"/>
    <mergeCell ref="JH46:JN46"/>
    <mergeCell ref="JV49:KB49"/>
    <mergeCell ref="JV50:KB50"/>
    <mergeCell ref="KC50:KI50"/>
    <mergeCell ref="KC49:KI49"/>
    <mergeCell ref="JV46:KB46"/>
    <mergeCell ref="JH44:JN44"/>
    <mergeCell ref="JH45:JN45"/>
    <mergeCell ref="JO45:JU45"/>
    <mergeCell ref="JV45:KB45"/>
    <mergeCell ref="IM46:IS46"/>
    <mergeCell ref="IM45:IS45"/>
    <mergeCell ref="JA45:JG45"/>
    <mergeCell ref="JV44:KB44"/>
    <mergeCell ref="JO44:JU44"/>
    <mergeCell ref="JA44:JG44"/>
    <mergeCell ref="JO46:JU46"/>
    <mergeCell ref="KX49:LD49"/>
    <mergeCell ref="KQ43:KW43"/>
    <mergeCell ref="KQ45:KW45"/>
    <mergeCell ref="KX45:LD45"/>
    <mergeCell ref="KX43:LD43"/>
    <mergeCell ref="KX46:LD46"/>
    <mergeCell ref="KQ49:KW49"/>
    <mergeCell ref="KQ50:KW50"/>
    <mergeCell ref="KJ49:KP49"/>
    <mergeCell ref="IF49:IL49"/>
    <mergeCell ref="IF46:IL46"/>
    <mergeCell ref="GP41:GV41"/>
    <mergeCell ref="GW41:HC41"/>
    <mergeCell ref="IF41:IL41"/>
    <mergeCell ref="HY41:IE41"/>
    <mergeCell ref="IM41:IS41"/>
    <mergeCell ref="HK46:HQ46"/>
    <mergeCell ref="HR46:HX46"/>
    <mergeCell ref="GW46:HC46"/>
    <mergeCell ref="IT46:IZ46"/>
    <mergeCell ref="IT43:IZ43"/>
    <mergeCell ref="JA43:JG43"/>
    <mergeCell ref="JO43:JU43"/>
    <mergeCell ref="GW42:HC42"/>
    <mergeCell ref="IF43:IL43"/>
    <mergeCell ref="HR43:HX43"/>
    <mergeCell ref="HR42:HX42"/>
    <mergeCell ref="HY43:IE43"/>
    <mergeCell ref="IM42:IS42"/>
    <mergeCell ref="IM43:IS43"/>
    <mergeCell ref="IT44:IZ44"/>
    <mergeCell ref="IT41:IZ41"/>
    <mergeCell ref="IM39:IS39"/>
    <mergeCell ref="IM38:IS38"/>
    <mergeCell ref="IT38:IZ38"/>
    <mergeCell ref="IT39:IZ39"/>
    <mergeCell ref="IM49:IS49"/>
    <mergeCell ref="IF35:IL35"/>
    <mergeCell ref="IF36:IL36"/>
    <mergeCell ref="HY36:IE36"/>
    <mergeCell ref="HY38:IE38"/>
    <mergeCell ref="IT45:IZ45"/>
    <mergeCell ref="IM35:IS35"/>
    <mergeCell ref="IT37:IZ37"/>
    <mergeCell ref="JA38:JG38"/>
    <mergeCell ref="JH38:JN38"/>
    <mergeCell ref="IF37:IL37"/>
    <mergeCell ref="IM37:IS37"/>
    <mergeCell ref="JH36:JN36"/>
    <mergeCell ref="JA39:JG39"/>
    <mergeCell ref="JA36:JG36"/>
    <mergeCell ref="JA37:JG37"/>
    <mergeCell ref="JH37:JN37"/>
    <mergeCell ref="JH39:JN39"/>
    <mergeCell ref="JA51:JG51"/>
    <mergeCell ref="JH51:JN51"/>
    <mergeCell ref="JA49:JG49"/>
    <mergeCell ref="IT49:IZ49"/>
    <mergeCell ref="JH53:JN53"/>
    <mergeCell ref="JA53:JG53"/>
    <mergeCell ref="IM50:IS50"/>
    <mergeCell ref="IM53:IS53"/>
    <mergeCell ref="JH49:JN49"/>
    <mergeCell ref="IT50:IZ50"/>
    <mergeCell ref="IT51:IZ51"/>
    <mergeCell ref="HY51:IE51"/>
    <mergeCell ref="HR51:HX51"/>
    <mergeCell ref="IF50:IL50"/>
    <mergeCell ref="IF51:IL51"/>
    <mergeCell ref="IM51:IS51"/>
    <mergeCell ref="JA50:JG50"/>
    <mergeCell ref="JH50:JN50"/>
    <mergeCell ref="LE46:LK46"/>
    <mergeCell ref="LE43:LK43"/>
    <mergeCell ref="LE35:LK35"/>
    <mergeCell ref="LE37:LK37"/>
    <mergeCell ref="LE38:LK38"/>
    <mergeCell ref="LE39:LK39"/>
    <mergeCell ref="LE36:LK36"/>
    <mergeCell ref="KJ52:KP52"/>
    <mergeCell ref="KQ52:KW52"/>
    <mergeCell ref="KQ51:KW51"/>
    <mergeCell ref="KQ53:KW53"/>
    <mergeCell ref="KJ53:KP53"/>
    <mergeCell ref="JV36:KB36"/>
    <mergeCell ref="JV37:KB37"/>
    <mergeCell ref="JO39:JU39"/>
    <mergeCell ref="JV39:KB39"/>
    <mergeCell ref="KQ38:KW38"/>
    <mergeCell ref="JV52:KB52"/>
    <mergeCell ref="JV53:KB53"/>
    <mergeCell ref="JV51:KB51"/>
    <mergeCell ref="KC53:KI53"/>
    <mergeCell ref="KC52:KI52"/>
    <mergeCell ref="KC51:KI51"/>
    <mergeCell ref="JA52:JG52"/>
    <mergeCell ref="JH52:JN52"/>
    <mergeCell ref="HY53:IE53"/>
    <mergeCell ref="IT53:IZ53"/>
    <mergeCell ref="IF52:IL52"/>
    <mergeCell ref="IT52:IZ52"/>
    <mergeCell ref="JO52:JU52"/>
    <mergeCell ref="AK32:AQ32"/>
    <mergeCell ref="AD32:AJ32"/>
    <mergeCell ref="AD31:AJ31"/>
    <mergeCell ref="W31:AC31"/>
    <mergeCell ref="W34:AC34"/>
    <mergeCell ref="AD33:AJ33"/>
    <mergeCell ref="CB32:CN32"/>
    <mergeCell ref="BM32:CA32"/>
    <mergeCell ref="BF31:BL31"/>
    <mergeCell ref="AT32:BL32"/>
    <mergeCell ref="BF33:BL33"/>
    <mergeCell ref="AR31:BE31"/>
    <mergeCell ref="AR32:AS32"/>
    <mergeCell ref="AY33:BE33"/>
    <mergeCell ref="AK31:AQ31"/>
    <mergeCell ref="AR35:AX35"/>
    <mergeCell ref="AR33:AX33"/>
    <mergeCell ref="AK33:AQ33"/>
    <mergeCell ref="CA35:CG35"/>
    <mergeCell ref="BT35:BZ35"/>
    <mergeCell ref="BT33:BZ33"/>
    <mergeCell ref="CA33:CG33"/>
    <mergeCell ref="BM33:BS33"/>
    <mergeCell ref="CH33:CN33"/>
    <mergeCell ref="B31:H31"/>
    <mergeCell ref="I31:V31"/>
    <mergeCell ref="I33:O33"/>
    <mergeCell ref="B33:H33"/>
    <mergeCell ref="CO33:CU33"/>
    <mergeCell ref="CV33:DB33"/>
    <mergeCell ref="CH31:CN31"/>
    <mergeCell ref="CV32:DB32"/>
    <mergeCell ref="CO32:CU32"/>
    <mergeCell ref="CO31:DB31"/>
    <mergeCell ref="B32:O32"/>
    <mergeCell ref="P33:V33"/>
    <mergeCell ref="W33:AC33"/>
    <mergeCell ref="P32:V32"/>
    <mergeCell ref="W32:AC32"/>
    <mergeCell ref="W41:AC41"/>
    <mergeCell ref="W35:AC35"/>
    <mergeCell ref="W36:AC36"/>
    <mergeCell ref="P35:V35"/>
    <mergeCell ref="P36:V36"/>
    <mergeCell ref="I35:O35"/>
    <mergeCell ref="I36:O36"/>
    <mergeCell ref="AY35:BE35"/>
    <mergeCell ref="BF35:BL35"/>
    <mergeCell ref="AR36:AX36"/>
    <mergeCell ref="BM36:BS36"/>
    <mergeCell ref="BT36:BZ36"/>
    <mergeCell ref="CA36:CG36"/>
    <mergeCell ref="BT46:BZ46"/>
    <mergeCell ref="BM46:BS46"/>
    <mergeCell ref="AT43:AX43"/>
    <mergeCell ref="BF43:BL43"/>
    <mergeCell ref="CB44:CG44"/>
    <mergeCell ref="CO43:CU43"/>
    <mergeCell ref="CO44:CU44"/>
    <mergeCell ref="CO45:CU45"/>
    <mergeCell ref="AK46:AQ46"/>
    <mergeCell ref="AR46:AX46"/>
    <mergeCell ref="AK45:AS45"/>
    <mergeCell ref="I43:O43"/>
    <mergeCell ref="BM31:BZ31"/>
    <mergeCell ref="CH36:CN36"/>
    <mergeCell ref="CA31:CG31"/>
    <mergeCell ref="BT34:BZ34"/>
    <mergeCell ref="P43:V43"/>
    <mergeCell ref="CB42:CG42"/>
    <mergeCell ref="AY42:BE42"/>
    <mergeCell ref="AY43:BE43"/>
    <mergeCell ref="W46:AC46"/>
    <mergeCell ref="CH45:CN45"/>
    <mergeCell ref="AT45:AX45"/>
    <mergeCell ref="AK44:AS44"/>
    <mergeCell ref="AT44:BE44"/>
    <mergeCell ref="BM45:BS45"/>
    <mergeCell ref="BT45:BZ45"/>
    <mergeCell ref="I45:AC45"/>
    <mergeCell ref="AD45:AJ45"/>
    <mergeCell ref="AE44:AJ44"/>
    <mergeCell ref="P44:V44"/>
    <mergeCell ref="I46:O46"/>
    <mergeCell ref="P46:V46"/>
    <mergeCell ref="I44:O44"/>
    <mergeCell ref="P41:V41"/>
    <mergeCell ref="I41:O41"/>
    <mergeCell ref="CH41:CN41"/>
    <mergeCell ref="AK41:AQ41"/>
    <mergeCell ref="AR41:AX41"/>
    <mergeCell ref="BM44:CA44"/>
    <mergeCell ref="BF44:BL44"/>
    <mergeCell ref="I42:O42"/>
    <mergeCell ref="AD41:AJ41"/>
    <mergeCell ref="W43:AC43"/>
    <mergeCell ref="AD43:AJ43"/>
    <mergeCell ref="B42:H42"/>
    <mergeCell ref="AE42:AJ42"/>
    <mergeCell ref="BF45:BL45"/>
    <mergeCell ref="AY45:BE45"/>
    <mergeCell ref="B45:H45"/>
    <mergeCell ref="B46:H46"/>
    <mergeCell ref="B43:H43"/>
    <mergeCell ref="B44:H44"/>
    <mergeCell ref="B41:H41"/>
    <mergeCell ref="MG52:MM52"/>
    <mergeCell ref="LS52:LY52"/>
    <mergeCell ref="MG54:MM54"/>
    <mergeCell ref="MN54:MT54"/>
    <mergeCell ref="LZ52:MF52"/>
    <mergeCell ref="LZ53:MF53"/>
    <mergeCell ref="LZ55:MF55"/>
    <mergeCell ref="MG55:MM55"/>
    <mergeCell ref="MN55:MT55"/>
    <mergeCell ref="MU55:NA55"/>
    <mergeCell ref="LZ54:MF54"/>
    <mergeCell ref="MU54:NA54"/>
    <mergeCell ref="KX55:LD55"/>
    <mergeCell ref="KX54:LD54"/>
    <mergeCell ref="KJ56:KP56"/>
    <mergeCell ref="KJ55:KP55"/>
    <mergeCell ref="LL56:LR56"/>
    <mergeCell ref="LE56:LK56"/>
    <mergeCell ref="LE55:LK55"/>
    <mergeCell ref="KQ55:KW55"/>
    <mergeCell ref="KJ54:KP54"/>
    <mergeCell ref="KQ54:KW54"/>
    <mergeCell ref="LE54:LK54"/>
    <mergeCell ref="LE52:LK52"/>
    <mergeCell ref="LL52:LR52"/>
    <mergeCell ref="LL51:LR51"/>
    <mergeCell ref="LE51:LK51"/>
    <mergeCell ref="LS53:LY53"/>
    <mergeCell ref="LE53:LK53"/>
    <mergeCell ref="LL53:LR53"/>
    <mergeCell ref="LS51:LY51"/>
    <mergeCell ref="LS50:LY50"/>
    <mergeCell ref="LS56:LY56"/>
    <mergeCell ref="LS55:LY55"/>
    <mergeCell ref="LS54:LY54"/>
    <mergeCell ref="LL54:LR54"/>
    <mergeCell ref="LL55:LR55"/>
    <mergeCell ref="MU56:NA56"/>
    <mergeCell ref="MN56:MT56"/>
    <mergeCell ref="LZ56:MF56"/>
    <mergeCell ref="MG56:MM56"/>
    <mergeCell ref="KQ56:KW56"/>
    <mergeCell ref="KX56:LD56"/>
    <mergeCell ref="KJ50:KP50"/>
    <mergeCell ref="KJ51:KP51"/>
    <mergeCell ref="KX50:LD50"/>
    <mergeCell ref="LE50:LK50"/>
    <mergeCell ref="MG53:MM53"/>
    <mergeCell ref="LZ51:MF51"/>
    <mergeCell ref="MG51:MM51"/>
    <mergeCell ref="KX53:LD53"/>
    <mergeCell ref="LZ50:MF50"/>
    <mergeCell ref="P53:V53"/>
    <mergeCell ref="P52:V52"/>
    <mergeCell ref="AD53:AJ53"/>
    <mergeCell ref="AY53:BE53"/>
    <mergeCell ref="BF53:BL53"/>
    <mergeCell ref="I52:O52"/>
    <mergeCell ref="I53:O53"/>
    <mergeCell ref="P42:V42"/>
    <mergeCell ref="P39:V39"/>
    <mergeCell ref="W39:AC39"/>
    <mergeCell ref="W42:AD42"/>
    <mergeCell ref="W44:AD44"/>
    <mergeCell ref="B49:H49"/>
    <mergeCell ref="B50:H50"/>
    <mergeCell ref="B51:H51"/>
    <mergeCell ref="B53:H53"/>
    <mergeCell ref="B52:H52"/>
    <mergeCell ref="W53:AC53"/>
    <mergeCell ref="W52:AC52"/>
    <mergeCell ref="AY39:BE39"/>
    <mergeCell ref="AK39:AQ39"/>
    <mergeCell ref="AR39:AX39"/>
    <mergeCell ref="AK42:AN42"/>
    <mergeCell ref="AP42:AS42"/>
    <mergeCell ref="AP43:AS43"/>
    <mergeCell ref="W51:AC51"/>
    <mergeCell ref="AD50:AJ50"/>
    <mergeCell ref="BF46:BL46"/>
    <mergeCell ref="CA46:CG46"/>
    <mergeCell ref="CA45:CG45"/>
    <mergeCell ref="AY46:BE46"/>
    <mergeCell ref="AD46:AJ46"/>
    <mergeCell ref="GP52:GV52"/>
    <mergeCell ref="FU52:GA52"/>
    <mergeCell ref="GB52:GH52"/>
    <mergeCell ref="FU53:GA53"/>
    <mergeCell ref="GB53:GH53"/>
    <mergeCell ref="GI52:GO52"/>
    <mergeCell ref="GI53:GO53"/>
    <mergeCell ref="GI51:GO51"/>
    <mergeCell ref="GI50:GO50"/>
    <mergeCell ref="GP50:GV50"/>
    <mergeCell ref="HK50:HQ50"/>
    <mergeCell ref="HD50:HJ50"/>
    <mergeCell ref="GB50:GH50"/>
    <mergeCell ref="GP51:GV51"/>
    <mergeCell ref="HR52:HX52"/>
    <mergeCell ref="HR50:HX50"/>
    <mergeCell ref="EL45:ER45"/>
    <mergeCell ref="EE45:EK45"/>
    <mergeCell ref="EL49:ER49"/>
    <mergeCell ref="EE49:EK49"/>
    <mergeCell ref="EL46:ER46"/>
    <mergeCell ref="EL35:ER35"/>
    <mergeCell ref="EE42:EK42"/>
    <mergeCell ref="EL41:ER41"/>
    <mergeCell ref="EE35:EK35"/>
    <mergeCell ref="ES36:EY36"/>
    <mergeCell ref="DX39:ED39"/>
    <mergeCell ref="GI35:GO35"/>
    <mergeCell ref="GI37:GO37"/>
    <mergeCell ref="GB36:GH36"/>
    <mergeCell ref="GB35:GH35"/>
    <mergeCell ref="GB37:GH37"/>
    <mergeCell ref="ES35:EY35"/>
    <mergeCell ref="BM43:CA43"/>
    <mergeCell ref="AY41:BE41"/>
    <mergeCell ref="BT41:BZ41"/>
    <mergeCell ref="BM41:BS41"/>
    <mergeCell ref="ES43:EY43"/>
    <mergeCell ref="BM42:CA42"/>
    <mergeCell ref="CA41:CG41"/>
    <mergeCell ref="DQ41:DW41"/>
    <mergeCell ref="DJ41:DP41"/>
    <mergeCell ref="CV41:DB41"/>
    <mergeCell ref="CB43:CG43"/>
    <mergeCell ref="DX42:ED42"/>
    <mergeCell ref="CO42:CU42"/>
    <mergeCell ref="CH42:CN42"/>
    <mergeCell ref="DC39:DI39"/>
    <mergeCell ref="CV39:DB39"/>
    <mergeCell ref="BF39:BL39"/>
    <mergeCell ref="BT39:BZ39"/>
    <mergeCell ref="CA38:CG38"/>
    <mergeCell ref="BM38:BS38"/>
    <mergeCell ref="BT38:BZ38"/>
    <mergeCell ref="AR38:AX38"/>
    <mergeCell ref="AK38:AQ38"/>
    <mergeCell ref="BF41:BL41"/>
    <mergeCell ref="BF38:BL38"/>
    <mergeCell ref="CO37:CU37"/>
    <mergeCell ref="CV36:DB36"/>
    <mergeCell ref="KQ42:KW42"/>
    <mergeCell ref="LE41:LK41"/>
    <mergeCell ref="KQ41:KW41"/>
    <mergeCell ref="KX42:LD42"/>
    <mergeCell ref="LE42:LK42"/>
    <mergeCell ref="KJ37:KP37"/>
    <mergeCell ref="KJ38:KP38"/>
    <mergeCell ref="LL39:LR39"/>
    <mergeCell ref="LZ41:MF41"/>
    <mergeCell ref="LS41:LY41"/>
    <mergeCell ref="KX38:LD38"/>
    <mergeCell ref="KX37:LD37"/>
    <mergeCell ref="MN38:MT38"/>
    <mergeCell ref="LL37:LR37"/>
    <mergeCell ref="LL38:LR38"/>
    <mergeCell ref="LL36:LR36"/>
    <mergeCell ref="MN39:MT39"/>
    <mergeCell ref="MG46:MM46"/>
    <mergeCell ref="LZ45:MF45"/>
    <mergeCell ref="MG45:MM45"/>
    <mergeCell ref="MN44:MT44"/>
    <mergeCell ref="MN45:MT45"/>
    <mergeCell ref="GB41:GH41"/>
    <mergeCell ref="KC41:KI41"/>
    <mergeCell ref="LL46:LR46"/>
    <mergeCell ref="MN42:MT42"/>
    <mergeCell ref="LZ43:MF43"/>
    <mergeCell ref="MN41:MT41"/>
    <mergeCell ref="GI45:GO45"/>
    <mergeCell ref="MN43:MT43"/>
    <mergeCell ref="MG44:MM44"/>
    <mergeCell ref="MG43:MM43"/>
    <mergeCell ref="MB42:MM42"/>
    <mergeCell ref="LS42:MA42"/>
    <mergeCell ref="LS46:LY46"/>
    <mergeCell ref="LZ46:MF46"/>
    <mergeCell ref="LS43:LY43"/>
    <mergeCell ref="LS45:LY45"/>
    <mergeCell ref="KJ41:KP41"/>
    <mergeCell ref="KX41:LD41"/>
    <mergeCell ref="GI41:GO41"/>
    <mergeCell ref="GI42:GO42"/>
    <mergeCell ref="GI46:GO46"/>
    <mergeCell ref="GB46:GH46"/>
    <mergeCell ref="GW43:HC43"/>
    <mergeCell ref="GP43:GV43"/>
    <mergeCell ref="HK43:HQ43"/>
    <mergeCell ref="HD43:HJ43"/>
    <mergeCell ref="HK42:HQ42"/>
    <mergeCell ref="HD42:HJ42"/>
    <mergeCell ref="GP42:GV42"/>
    <mergeCell ref="GB42:GH42"/>
    <mergeCell ref="GB43:GH43"/>
    <mergeCell ref="GI43:GO43"/>
    <mergeCell ref="HY42:IE42"/>
    <mergeCell ref="IF42:IL42"/>
    <mergeCell ref="HD44:HJ44"/>
    <mergeCell ref="GP44:GV44"/>
    <mergeCell ref="HD33:HJ33"/>
    <mergeCell ref="GI33:GO33"/>
    <mergeCell ref="GP33:GV33"/>
    <mergeCell ref="GW33:HC33"/>
    <mergeCell ref="GI32:GO32"/>
    <mergeCell ref="GP32:GV32"/>
    <mergeCell ref="GW32:HC32"/>
    <mergeCell ref="HR32:HX32"/>
    <mergeCell ref="HY32:IE32"/>
    <mergeCell ref="HY33:IE33"/>
    <mergeCell ref="HK33:HQ33"/>
    <mergeCell ref="HR33:HX33"/>
    <mergeCell ref="HK32:HQ32"/>
    <mergeCell ref="HD32:HJ32"/>
    <mergeCell ref="EL42:ER42"/>
    <mergeCell ref="EL43:ER43"/>
    <mergeCell ref="FG37:FM37"/>
    <mergeCell ref="EZ37:FF37"/>
    <mergeCell ref="FG43:FM43"/>
    <mergeCell ref="FG38:FM38"/>
    <mergeCell ref="ES37:EY37"/>
    <mergeCell ref="GB38:GH38"/>
    <mergeCell ref="GW38:HC38"/>
    <mergeCell ref="HK37:HQ37"/>
    <mergeCell ref="HD37:HJ37"/>
    <mergeCell ref="GI38:GO38"/>
    <mergeCell ref="GP39:GV39"/>
    <mergeCell ref="GW39:HC39"/>
    <mergeCell ref="HY39:IE39"/>
    <mergeCell ref="FG35:FM35"/>
    <mergeCell ref="FG36:FM36"/>
    <mergeCell ref="FN37:FT37"/>
    <mergeCell ref="FN36:FT36"/>
    <mergeCell ref="FU37:GA37"/>
    <mergeCell ref="HD41:HJ41"/>
    <mergeCell ref="GW44:HC44"/>
    <mergeCell ref="ES33:EY33"/>
    <mergeCell ref="ES34:EY34"/>
    <mergeCell ref="JA33:JG33"/>
    <mergeCell ref="JA32:JG32"/>
    <mergeCell ref="IF33:IL33"/>
    <mergeCell ref="IF32:IL32"/>
    <mergeCell ref="GB33:GH33"/>
    <mergeCell ref="GB32:GH32"/>
    <mergeCell ref="GB34:GH34"/>
    <mergeCell ref="GP34:GV34"/>
    <mergeCell ref="GI34:GO34"/>
    <mergeCell ref="EZ33:FF33"/>
    <mergeCell ref="FG33:FM33"/>
    <mergeCell ref="FG34:FM34"/>
    <mergeCell ref="EZ34:FF34"/>
    <mergeCell ref="FN33:FT33"/>
    <mergeCell ref="EL33:ER33"/>
    <mergeCell ref="ES32:EY32"/>
    <mergeCell ref="CV37:DB37"/>
    <mergeCell ref="P38:V38"/>
    <mergeCell ref="AR37:AX37"/>
    <mergeCell ref="P37:V37"/>
    <mergeCell ref="AK37:AQ37"/>
    <mergeCell ref="EE37:EK37"/>
    <mergeCell ref="EL37:ER37"/>
    <mergeCell ref="B40:NA40"/>
    <mergeCell ref="MU37:NA37"/>
    <mergeCell ref="GI39:GO39"/>
    <mergeCell ref="I37:O37"/>
    <mergeCell ref="I38:O38"/>
    <mergeCell ref="GB49:GH49"/>
    <mergeCell ref="GI49:GO49"/>
    <mergeCell ref="BM49:BS49"/>
    <mergeCell ref="LZ49:MF49"/>
    <mergeCell ref="LS49:LY49"/>
    <mergeCell ref="B47:NA47"/>
    <mergeCell ref="AD49:AJ49"/>
    <mergeCell ref="DX44:ED44"/>
    <mergeCell ref="EZ44:FF44"/>
    <mergeCell ref="EZ36:FF36"/>
    <mergeCell ref="EZ35:FF35"/>
    <mergeCell ref="FU35:GA35"/>
    <mergeCell ref="FU36:GA36"/>
    <mergeCell ref="FU34:GA34"/>
    <mergeCell ref="FN35:FT35"/>
    <mergeCell ref="FN34:FT34"/>
    <mergeCell ref="AT42:AX42"/>
    <mergeCell ref="BF42:BL42"/>
    <mergeCell ref="KQ39:KW39"/>
    <mergeCell ref="KJ39:KP39"/>
    <mergeCell ref="KJ35:KP35"/>
    <mergeCell ref="KC35:KI35"/>
    <mergeCell ref="KQ35:KW35"/>
    <mergeCell ref="MG34:MM34"/>
    <mergeCell ref="MN34:MT34"/>
    <mergeCell ref="MN35:MT35"/>
    <mergeCell ref="LZ35:MF35"/>
    <mergeCell ref="MG35:MM35"/>
    <mergeCell ref="LS35:LY35"/>
    <mergeCell ref="LL35:LR35"/>
    <mergeCell ref="KX35:LD35"/>
    <mergeCell ref="GI36:GO36"/>
    <mergeCell ref="GP36:GV36"/>
    <mergeCell ref="AY36:BL36"/>
    <mergeCell ref="AY34:BE34"/>
    <mergeCell ref="AD34:AJ34"/>
    <mergeCell ref="AR34:AX34"/>
    <mergeCell ref="AK34:AQ34"/>
    <mergeCell ref="BF34:BL34"/>
    <mergeCell ref="BM34:BS34"/>
    <mergeCell ref="P34:V34"/>
    <mergeCell ref="BM35:BS35"/>
    <mergeCell ref="AD36:AJ36"/>
    <mergeCell ref="AD35:AJ35"/>
    <mergeCell ref="AK35:AQ35"/>
    <mergeCell ref="AK36:AQ36"/>
    <mergeCell ref="B36:H36"/>
    <mergeCell ref="B35:H35"/>
    <mergeCell ref="AD39:AJ39"/>
    <mergeCell ref="W37:AC37"/>
    <mergeCell ref="AD37:AJ37"/>
    <mergeCell ref="AD38:AJ38"/>
    <mergeCell ref="W38:AC38"/>
    <mergeCell ref="AY37:BE37"/>
    <mergeCell ref="AY38:BE38"/>
    <mergeCell ref="CH37:CN37"/>
    <mergeCell ref="BF37:BL37"/>
    <mergeCell ref="BM37:BS37"/>
    <mergeCell ref="BT37:BZ37"/>
    <mergeCell ref="CA37:CG37"/>
    <mergeCell ref="GB39:GH39"/>
    <mergeCell ref="BM39:BS39"/>
    <mergeCell ref="CA39:CG39"/>
    <mergeCell ref="IF39:IL39"/>
    <mergeCell ref="I39:O39"/>
    <mergeCell ref="B39:H39"/>
    <mergeCell ref="B37:H37"/>
    <mergeCell ref="B38:H38"/>
    <mergeCell ref="MN37:MT37"/>
    <mergeCell ref="KQ37:KW37"/>
    <mergeCell ref="NW37:OC37"/>
    <mergeCell ref="NP37:NV37"/>
    <mergeCell ref="NI37:NO37"/>
    <mergeCell ref="NB37:NH37"/>
    <mergeCell ref="JO37:JU37"/>
    <mergeCell ref="JO38:JU38"/>
    <mergeCell ref="LS34:LY34"/>
    <mergeCell ref="LZ34:MF34"/>
    <mergeCell ref="KJ34:KP34"/>
    <mergeCell ref="KC34:KI34"/>
    <mergeCell ref="JA34:JG34"/>
    <mergeCell ref="IT34:IZ34"/>
    <mergeCell ref="JO34:JU34"/>
    <mergeCell ref="JH34:JN34"/>
    <mergeCell ref="IM34:IS34"/>
    <mergeCell ref="GW34:HC34"/>
    <mergeCell ref="HK34:HQ34"/>
    <mergeCell ref="HD34:HJ34"/>
    <mergeCell ref="HR34:HX34"/>
    <mergeCell ref="B34:H34"/>
    <mergeCell ref="I34:O34"/>
    <mergeCell ref="CA34:CG34"/>
    <mergeCell ref="CH34:CN34"/>
    <mergeCell ref="CV34:DB34"/>
    <mergeCell ref="KQ34:KW34"/>
    <mergeCell ref="KX34:LD34"/>
    <mergeCell ref="LZ44:MF44"/>
    <mergeCell ref="LS44:LY44"/>
    <mergeCell ref="MU46:NA46"/>
    <mergeCell ref="MN46:MT46"/>
    <mergeCell ref="MU44:NA44"/>
    <mergeCell ref="MU42:NA42"/>
    <mergeCell ref="MU43:NA43"/>
    <mergeCell ref="MU41:NA41"/>
    <mergeCell ref="MU45:NA45"/>
    <mergeCell ref="MG41:MM41"/>
    <mergeCell ref="LS39:LY39"/>
    <mergeCell ref="LS38:LY38"/>
    <mergeCell ref="LZ39:MF39"/>
    <mergeCell ref="LZ38:MF38"/>
    <mergeCell ref="LZ37:MF37"/>
    <mergeCell ref="MG37:MM37"/>
    <mergeCell ref="MG39:MM39"/>
    <mergeCell ref="MG38:MM38"/>
    <mergeCell ref="LS37:LY37"/>
    <mergeCell ref="KX39:LD39"/>
    <mergeCell ref="JV38:KB38"/>
    <mergeCell ref="KC38:KI38"/>
    <mergeCell ref="KC37:KI37"/>
    <mergeCell ref="KC39:KI39"/>
    <mergeCell ref="IT35:IZ35"/>
    <mergeCell ref="IT36:IZ36"/>
    <mergeCell ref="KJ36:KP36"/>
    <mergeCell ref="KC36:KI36"/>
    <mergeCell ref="JO35:JU35"/>
    <mergeCell ref="JH35:JN35"/>
    <mergeCell ref="JV35:KB35"/>
    <mergeCell ref="JA35:JG35"/>
    <mergeCell ref="JO36:JU36"/>
    <mergeCell ref="IM36:IS36"/>
    <mergeCell ref="GW36:HC36"/>
    <mergeCell ref="HD36:HJ36"/>
    <mergeCell ref="HK36:HQ36"/>
    <mergeCell ref="HR36:HX36"/>
    <mergeCell ref="EE36:EK36"/>
    <mergeCell ref="EL36:ER36"/>
    <mergeCell ref="MU36:NA36"/>
    <mergeCell ref="CO36:CU36"/>
    <mergeCell ref="MG36:MM36"/>
    <mergeCell ref="KQ36:KW36"/>
    <mergeCell ref="KX36:LD36"/>
    <mergeCell ref="IT54:IZ54"/>
    <mergeCell ref="IT56:IZ56"/>
    <mergeCell ref="IT55:IZ55"/>
    <mergeCell ref="IM54:IS54"/>
    <mergeCell ref="IM55:IS55"/>
    <mergeCell ref="JA56:JG56"/>
    <mergeCell ref="IM56:IS56"/>
    <mergeCell ref="JA54:JG54"/>
    <mergeCell ref="JA55:JG55"/>
    <mergeCell ref="JH55:JN55"/>
    <mergeCell ref="JO55:JU55"/>
    <mergeCell ref="JV55:KB55"/>
    <mergeCell ref="JH56:JN56"/>
    <mergeCell ref="KC54:KI54"/>
    <mergeCell ref="JV54:KB54"/>
    <mergeCell ref="HK53:HQ53"/>
    <mergeCell ref="HR53:HX53"/>
    <mergeCell ref="HK56:HQ56"/>
    <mergeCell ref="GW56:HC56"/>
    <mergeCell ref="GP56:GV56"/>
    <mergeCell ref="GW54:HC54"/>
    <mergeCell ref="GW55:HC55"/>
    <mergeCell ref="HD53:HJ53"/>
    <mergeCell ref="HR55:HX55"/>
    <mergeCell ref="HY56:IE56"/>
    <mergeCell ref="IF56:IL56"/>
    <mergeCell ref="HK54:HQ54"/>
    <mergeCell ref="HD54:HJ54"/>
    <mergeCell ref="HR54:HX54"/>
    <mergeCell ref="JO56:JU56"/>
    <mergeCell ref="JV56:KB56"/>
    <mergeCell ref="JH54:JN54"/>
    <mergeCell ref="JO54:JU54"/>
    <mergeCell ref="KC55:KI55"/>
    <mergeCell ref="KC56:KI56"/>
    <mergeCell ref="JA70:JG70"/>
    <mergeCell ref="JA71:JG71"/>
    <mergeCell ref="JH69:JN69"/>
    <mergeCell ref="JA69:JG69"/>
    <mergeCell ref="JH71:JN71"/>
    <mergeCell ref="IT71:IZ71"/>
    <mergeCell ref="IM70:IS70"/>
    <mergeCell ref="IM69:IS69"/>
    <mergeCell ref="IM71:IS71"/>
    <mergeCell ref="JA68:JG68"/>
    <mergeCell ref="JH67:JN67"/>
    <mergeCell ref="JA67:JG67"/>
    <mergeCell ref="IM67:IS67"/>
    <mergeCell ref="IT67:IZ67"/>
    <mergeCell ref="LE67:LK67"/>
    <mergeCell ref="KQ67:KW67"/>
    <mergeCell ref="MU67:NA67"/>
    <mergeCell ref="MN67:MT67"/>
    <mergeCell ref="IT69:IZ69"/>
    <mergeCell ref="JH70:JN70"/>
    <mergeCell ref="IT70:IZ70"/>
    <mergeCell ref="JA62:JG62"/>
    <mergeCell ref="IT62:IZ62"/>
    <mergeCell ref="JA61:JG61"/>
    <mergeCell ref="IT61:IZ61"/>
    <mergeCell ref="IM61:IS61"/>
    <mergeCell ref="IM62:IS62"/>
    <mergeCell ref="HK62:HQ62"/>
    <mergeCell ref="HK61:HQ61"/>
    <mergeCell ref="LL61:LR61"/>
    <mergeCell ref="JH61:JN61"/>
    <mergeCell ref="HR62:HX62"/>
    <mergeCell ref="HR61:HX61"/>
    <mergeCell ref="HY61:IE61"/>
    <mergeCell ref="JH62:JN62"/>
    <mergeCell ref="IF61:IL61"/>
    <mergeCell ref="GP62:GV62"/>
    <mergeCell ref="GI62:GO62"/>
    <mergeCell ref="HD61:HJ61"/>
    <mergeCell ref="GP61:GV61"/>
    <mergeCell ref="GW61:HC61"/>
    <mergeCell ref="HD62:HJ62"/>
    <mergeCell ref="GI61:GO61"/>
    <mergeCell ref="GB61:GH61"/>
    <mergeCell ref="GW62:HC62"/>
    <mergeCell ref="GB62:GH62"/>
    <mergeCell ref="JA64:JG64"/>
    <mergeCell ref="IM64:IS64"/>
    <mergeCell ref="IT64:IZ64"/>
    <mergeCell ref="IM65:IS65"/>
    <mergeCell ref="IF65:IL65"/>
    <mergeCell ref="HY65:IE65"/>
    <mergeCell ref="HY64:IE64"/>
    <mergeCell ref="HR64:HX64"/>
    <mergeCell ref="HK64:HQ64"/>
    <mergeCell ref="KQ65:KW65"/>
    <mergeCell ref="KQ64:KW64"/>
    <mergeCell ref="HK65:HQ65"/>
    <mergeCell ref="HR65:HX65"/>
    <mergeCell ref="IT65:IZ65"/>
    <mergeCell ref="JA65:JG65"/>
    <mergeCell ref="IF64:IL64"/>
    <mergeCell ref="IF68:IL68"/>
    <mergeCell ref="IF70:IL70"/>
    <mergeCell ref="IF69:IL69"/>
    <mergeCell ref="HD71:HJ71"/>
    <mergeCell ref="HD70:HJ70"/>
    <mergeCell ref="HK69:HQ69"/>
    <mergeCell ref="HD69:HJ69"/>
    <mergeCell ref="IF67:IL67"/>
    <mergeCell ref="HK66:HQ66"/>
    <mergeCell ref="HD67:HJ67"/>
    <mergeCell ref="HK71:HQ71"/>
    <mergeCell ref="HK70:HQ70"/>
    <mergeCell ref="IF71:IL71"/>
    <mergeCell ref="IF66:IL66"/>
    <mergeCell ref="HR68:HX68"/>
    <mergeCell ref="HR69:HX69"/>
    <mergeCell ref="HR66:HX66"/>
    <mergeCell ref="HY66:IE66"/>
    <mergeCell ref="GW66:HC66"/>
    <mergeCell ref="HK67:HQ67"/>
    <mergeCell ref="HR67:HX67"/>
    <mergeCell ref="GW67:HC67"/>
    <mergeCell ref="GI67:GO67"/>
    <mergeCell ref="GB67:GH67"/>
    <mergeCell ref="GP67:GV67"/>
    <mergeCell ref="HY70:IE70"/>
    <mergeCell ref="HY71:IE71"/>
    <mergeCell ref="HY68:IE68"/>
    <mergeCell ref="HY67:IE67"/>
    <mergeCell ref="HY69:IE69"/>
    <mergeCell ref="GW69:HC69"/>
    <mergeCell ref="GI69:GO69"/>
    <mergeCell ref="GP69:GV69"/>
    <mergeCell ref="GB69:GH69"/>
    <mergeCell ref="GI71:GO71"/>
    <mergeCell ref="GI70:GO70"/>
    <mergeCell ref="HR70:HX70"/>
    <mergeCell ref="HR71:HX71"/>
    <mergeCell ref="GP71:GV71"/>
    <mergeCell ref="GP70:GV70"/>
    <mergeCell ref="GB71:GH71"/>
    <mergeCell ref="GW71:HC71"/>
    <mergeCell ref="GB70:GH70"/>
    <mergeCell ref="GW70:HC70"/>
    <mergeCell ref="GI66:GO66"/>
    <mergeCell ref="GB66:GH66"/>
    <mergeCell ref="GB64:GH64"/>
    <mergeCell ref="GB65:GH65"/>
    <mergeCell ref="GI65:GO65"/>
    <mergeCell ref="GI64:GO64"/>
    <mergeCell ref="GW65:HC65"/>
    <mergeCell ref="GP65:GV65"/>
    <mergeCell ref="GP66:GV66"/>
    <mergeCell ref="GP68:GV68"/>
    <mergeCell ref="GB68:GH68"/>
    <mergeCell ref="GW68:HC68"/>
    <mergeCell ref="GP64:GV64"/>
    <mergeCell ref="GW64:HC64"/>
    <mergeCell ref="GI68:GO68"/>
    <mergeCell ref="MU64:NA64"/>
    <mergeCell ref="MU65:NA65"/>
    <mergeCell ref="MU66:NA66"/>
    <mergeCell ref="LS65:LY65"/>
    <mergeCell ref="LS67:LY67"/>
    <mergeCell ref="LL65:LR65"/>
    <mergeCell ref="LL64:LR64"/>
    <mergeCell ref="LE66:LK66"/>
    <mergeCell ref="KX65:LD65"/>
    <mergeCell ref="LE65:LK65"/>
    <mergeCell ref="LS62:LY62"/>
    <mergeCell ref="LS64:LY64"/>
    <mergeCell ref="LL62:LR62"/>
    <mergeCell ref="KX62:LD62"/>
    <mergeCell ref="LE62:LK62"/>
    <mergeCell ref="KX64:LD64"/>
    <mergeCell ref="LE64:LK64"/>
    <mergeCell ref="JH68:JN68"/>
    <mergeCell ref="IM68:IS68"/>
    <mergeCell ref="IT68:IZ68"/>
    <mergeCell ref="HK68:HQ68"/>
    <mergeCell ref="HD68:HJ68"/>
    <mergeCell ref="HY62:IE62"/>
    <mergeCell ref="IF62:IL62"/>
    <mergeCell ref="JH65:JN65"/>
    <mergeCell ref="JH64:JN64"/>
    <mergeCell ref="JH66:JN66"/>
    <mergeCell ref="IT66:IZ66"/>
    <mergeCell ref="IM66:IS66"/>
    <mergeCell ref="JA66:JG66"/>
    <mergeCell ref="HD66:HJ66"/>
    <mergeCell ref="HD65:HJ65"/>
    <mergeCell ref="HD64:HJ64"/>
    <mergeCell ref="LZ69:MF69"/>
    <mergeCell ref="LS69:LY69"/>
    <mergeCell ref="MG70:MM70"/>
    <mergeCell ref="LZ70:MF70"/>
    <mergeCell ref="MG69:MM69"/>
    <mergeCell ref="LZ59:MF59"/>
    <mergeCell ref="MG59:MM59"/>
    <mergeCell ref="LS72:LY72"/>
    <mergeCell ref="LZ60:MF60"/>
    <mergeCell ref="LZ71:MF71"/>
    <mergeCell ref="LZ72:MF72"/>
    <mergeCell ref="LZ62:MF62"/>
    <mergeCell ref="LZ64:MM64"/>
    <mergeCell ref="LS66:LY66"/>
    <mergeCell ref="KX66:LD66"/>
    <mergeCell ref="KX67:LD67"/>
    <mergeCell ref="KQ70:KW70"/>
    <mergeCell ref="KQ71:KW71"/>
    <mergeCell ref="KQ66:KW66"/>
    <mergeCell ref="KQ58:KW58"/>
    <mergeCell ref="KQ59:KW59"/>
    <mergeCell ref="MU59:ND59"/>
    <mergeCell ref="MN59:MT59"/>
    <mergeCell ref="LE73:LK73"/>
    <mergeCell ref="KX73:LD73"/>
    <mergeCell ref="LL72:LR72"/>
    <mergeCell ref="LE72:LK72"/>
    <mergeCell ref="KX72:LD72"/>
    <mergeCell ref="KQ74:KW74"/>
    <mergeCell ref="KQ73:KW73"/>
    <mergeCell ref="KX74:LD74"/>
    <mergeCell ref="KQ72:KW72"/>
    <mergeCell ref="MN72:MT72"/>
    <mergeCell ref="MN73:MT73"/>
    <mergeCell ref="LZ68:MF68"/>
    <mergeCell ref="MG67:MM67"/>
    <mergeCell ref="MN66:MT66"/>
    <mergeCell ref="MN65:MT65"/>
    <mergeCell ref="MG62:MT62"/>
    <mergeCell ref="MN64:MT64"/>
    <mergeCell ref="MG72:MM72"/>
    <mergeCell ref="MG71:MM71"/>
    <mergeCell ref="MN71:MT71"/>
    <mergeCell ref="MN70:MT70"/>
    <mergeCell ref="MN68:MT68"/>
    <mergeCell ref="MN69:MT69"/>
    <mergeCell ref="MG68:MM68"/>
    <mergeCell ref="JV66:KB66"/>
    <mergeCell ref="JO66:JU66"/>
    <mergeCell ref="JO64:JU64"/>
    <mergeCell ref="JO65:JU65"/>
    <mergeCell ref="JV64:KB64"/>
    <mergeCell ref="JV65:KB65"/>
    <mergeCell ref="JV67:KB67"/>
    <mergeCell ref="KC67:KI67"/>
    <mergeCell ref="KJ69:KP69"/>
    <mergeCell ref="KJ67:KP67"/>
    <mergeCell ref="JO71:JU71"/>
    <mergeCell ref="JO72:JU72"/>
    <mergeCell ref="JO73:JU73"/>
    <mergeCell ref="JO74:JU74"/>
    <mergeCell ref="MG65:MM65"/>
    <mergeCell ref="MG66:MM66"/>
    <mergeCell ref="KC64:KI64"/>
    <mergeCell ref="KC65:KI65"/>
    <mergeCell ref="KJ65:KP65"/>
    <mergeCell ref="KJ64:KP64"/>
    <mergeCell ref="LZ67:MF67"/>
    <mergeCell ref="LZ65:MF65"/>
    <mergeCell ref="LZ66:MF66"/>
    <mergeCell ref="JO68:JU68"/>
    <mergeCell ref="KJ68:KP68"/>
    <mergeCell ref="JV68:KB68"/>
    <mergeCell ref="KC68:KI68"/>
    <mergeCell ref="JO62:JU62"/>
    <mergeCell ref="JO61:JU61"/>
    <mergeCell ref="JO59:JU59"/>
    <mergeCell ref="JV59:KB59"/>
    <mergeCell ref="KC61:KI61"/>
    <mergeCell ref="JV61:KB61"/>
    <mergeCell ref="KC59:KI59"/>
    <mergeCell ref="KC58:KI58"/>
    <mergeCell ref="JV60:KB60"/>
    <mergeCell ref="KC60:KI60"/>
    <mergeCell ref="JV77:KB77"/>
    <mergeCell ref="KJ72:KP72"/>
    <mergeCell ref="JO67:JU67"/>
    <mergeCell ref="JO60:JU60"/>
    <mergeCell ref="KC66:KI66"/>
    <mergeCell ref="KJ66:KP66"/>
    <mergeCell ref="JV73:KB73"/>
    <mergeCell ref="MN78:MT78"/>
    <mergeCell ref="MG78:MM78"/>
    <mergeCell ref="LZ77:MF77"/>
    <mergeCell ref="LZ78:MF78"/>
    <mergeCell ref="KC77:KI77"/>
    <mergeCell ref="MN77:MT77"/>
    <mergeCell ref="KQ77:KW77"/>
    <mergeCell ref="KX77:LD77"/>
    <mergeCell ref="KJ77:KP77"/>
    <mergeCell ref="KJ78:KP78"/>
    <mergeCell ref="MU73:NA73"/>
    <mergeCell ref="MU74:NA74"/>
    <mergeCell ref="MU76:NA76"/>
    <mergeCell ref="MU77:NA77"/>
    <mergeCell ref="MN75:MT75"/>
    <mergeCell ref="MU75:NA75"/>
    <mergeCell ref="MU78:NA78"/>
    <mergeCell ref="KQ75:KW75"/>
    <mergeCell ref="KX75:LD75"/>
    <mergeCell ref="LS75:LY75"/>
    <mergeCell ref="MG75:MM75"/>
    <mergeCell ref="LE75:LK75"/>
    <mergeCell ref="LL75:LR75"/>
    <mergeCell ref="LZ75:MF75"/>
    <mergeCell ref="KQ76:KW76"/>
    <mergeCell ref="KJ76:KP76"/>
    <mergeCell ref="KC76:KI76"/>
    <mergeCell ref="JO76:JU76"/>
    <mergeCell ref="KX76:LD76"/>
    <mergeCell ref="JV76:KB76"/>
    <mergeCell ref="KJ75:KP75"/>
    <mergeCell ref="JO77:JU77"/>
    <mergeCell ref="JO75:JU75"/>
    <mergeCell ref="KJ73:KP73"/>
    <mergeCell ref="KJ74:KP74"/>
    <mergeCell ref="LE74:LK74"/>
    <mergeCell ref="LL74:LR74"/>
    <mergeCell ref="LS74:LY74"/>
    <mergeCell ref="KQ68:KW68"/>
    <mergeCell ref="KQ69:KW69"/>
    <mergeCell ref="KQ78:KW78"/>
    <mergeCell ref="JV78:KB78"/>
    <mergeCell ref="JO78:JU78"/>
    <mergeCell ref="KC78:KI7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
  </cols>
  <sheetData>
    <row r="1">
      <c r="A1" s="496" t="s">
        <v>2172</v>
      </c>
    </row>
    <row r="3">
      <c r="A3" s="58" t="s">
        <v>2173</v>
      </c>
      <c r="B3" s="58" t="s">
        <v>2174</v>
      </c>
    </row>
    <row r="4">
      <c r="A4" s="58" t="s">
        <v>2175</v>
      </c>
      <c r="B4" s="58" t="s">
        <v>2176</v>
      </c>
    </row>
    <row r="5">
      <c r="A5" s="58" t="s">
        <v>2177</v>
      </c>
      <c r="B5" s="58" t="s">
        <v>2178</v>
      </c>
    </row>
    <row r="6">
      <c r="A6" s="58" t="s">
        <v>2179</v>
      </c>
      <c r="B6" s="58" t="s">
        <v>2180</v>
      </c>
    </row>
    <row r="7">
      <c r="A7" s="58" t="s">
        <v>2181</v>
      </c>
      <c r="B7" s="58" t="s">
        <v>2182</v>
      </c>
    </row>
    <row r="8">
      <c r="A8" s="58" t="s">
        <v>2183</v>
      </c>
      <c r="B8" s="58" t="s">
        <v>2184</v>
      </c>
    </row>
    <row r="9">
      <c r="A9" s="58"/>
    </row>
    <row r="10">
      <c r="B10" s="58" t="s">
        <v>2185</v>
      </c>
    </row>
    <row r="34">
      <c r="B34" s="58" t="s">
        <v>2186</v>
      </c>
    </row>
    <row r="58">
      <c r="B58" s="58" t="s">
        <v>2177</v>
      </c>
    </row>
    <row r="83">
      <c r="B83" s="58" t="s">
        <v>2179</v>
      </c>
    </row>
    <row r="108">
      <c r="B108" s="58" t="s">
        <v>2181</v>
      </c>
    </row>
    <row r="153">
      <c r="B153" s="58" t="s">
        <v>2183</v>
      </c>
    </row>
    <row r="154">
      <c r="B154" s="58" t="s">
        <v>2187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86"/>
    <col customWidth="1" min="2" max="2" width="6.0"/>
    <col customWidth="1" min="3" max="3" width="10.0"/>
    <col customWidth="1" min="4" max="4" width="11.0"/>
    <col customWidth="1" min="5" max="5" width="10.71"/>
    <col customWidth="1" min="6" max="6" width="24.14"/>
    <col customWidth="1" min="7" max="7" width="28.57"/>
    <col customWidth="1" min="8" max="8" width="33.0"/>
    <col customWidth="1" min="9" max="9" width="45.43"/>
    <col customWidth="1" min="10" max="10" width="15.71"/>
    <col customWidth="1" min="11" max="11" width="39.0"/>
    <col customWidth="1" min="12" max="12" width="10.0"/>
    <col customWidth="1" min="13" max="13" width="15.14"/>
    <col customWidth="1" min="14" max="14" width="16.29"/>
    <col customWidth="1" min="15" max="15" width="15.71"/>
    <col customWidth="1" min="16" max="16" width="25.71"/>
    <col customWidth="1" min="17" max="17" width="24.29"/>
    <col customWidth="1" min="18" max="18" width="16.43"/>
    <col customWidth="1" min="19" max="19" width="44.0"/>
    <col customWidth="1" min="20" max="20" width="64.71"/>
  </cols>
  <sheetData>
    <row r="1">
      <c r="A1" s="497" t="str">
        <f>IFERROR(__xludf.DUMMYFUNCTION("IMPORTRANGE(""1bmAmh4ZnLu_Cetu9x-PfZjP0U06sjzWFlEzU0eHsdsA"",""Social - Contentkalender!A1:T1000"")"),"Maand")</f>
        <v>Maand</v>
      </c>
      <c r="B1" s="497" t="str">
        <f>IFERROR(__xludf.DUMMYFUNCTION("""COMPUTED_VALUE"""),"Week")</f>
        <v>Week</v>
      </c>
      <c r="C1" s="497" t="str">
        <f>IFERROR(__xludf.DUMMYFUNCTION("""COMPUTED_VALUE"""),"Dag ")</f>
        <v>Dag </v>
      </c>
      <c r="D1" s="497" t="str">
        <f>IFERROR(__xludf.DUMMYFUNCTION("""COMPUTED_VALUE"""),"Startdatum")</f>
        <v>Startdatum</v>
      </c>
      <c r="E1" s="497" t="str">
        <f>IFERROR(__xludf.DUMMYFUNCTION("""COMPUTED_VALUE"""),"Einddatum")</f>
        <v>Einddatum</v>
      </c>
      <c r="F1" s="497" t="str">
        <f>IFERROR(__xludf.DUMMYFUNCTION("""COMPUTED_VALUE"""),"Thema marketingkalender")</f>
        <v>Thema marketingkalender</v>
      </c>
      <c r="G1" s="498" t="str">
        <f>IFERROR(__xludf.DUMMYFUNCTION("""COMPUTED_VALUE"""),"Acties")</f>
        <v>Acties</v>
      </c>
      <c r="H1" s="497" t="str">
        <f>IFERROR(__xludf.DUMMYFUNCTION("""COMPUTED_VALUE"""),"Onderwerp/UTM input")</f>
        <v>Onderwerp/UTM input</v>
      </c>
      <c r="I1" s="498" t="str">
        <f>IFERROR(__xludf.DUMMYFUNCTION("""COMPUTED_VALUE"""),"Copy")</f>
        <v>Copy</v>
      </c>
      <c r="J1" s="497" t="str">
        <f>IFERROR(__xludf.DUMMYFUNCTION("""COMPUTED_VALUE"""),"Status")</f>
        <v>Status</v>
      </c>
      <c r="K1" s="498" t="str">
        <f>IFERROR(__xludf.DUMMYFUNCTION("""COMPUTED_VALUE"""),"Doelgroep")</f>
        <v>Doelgroep</v>
      </c>
      <c r="L1" s="499" t="str">
        <f>IFERROR(__xludf.DUMMYFUNCTION("""COMPUTED_VALUE"""),"Budget")</f>
        <v>Budget</v>
      </c>
      <c r="M1" s="500" t="str">
        <f>IFERROR(__xludf.DUMMYFUNCTION("""COMPUTED_VALUE"""),"Looptijd(dagen)")</f>
        <v>Looptijd(dagen)</v>
      </c>
      <c r="N1" s="497" t="str">
        <f>IFERROR(__xludf.DUMMYFUNCTION("""COMPUTED_VALUE"""),"Doel")</f>
        <v>Doel</v>
      </c>
      <c r="O1" s="497" t="str">
        <f>IFERROR(__xludf.DUMMYFUNCTION("""COMPUTED_VALUE"""),"Kanaal")</f>
        <v>Kanaal</v>
      </c>
      <c r="P1" s="498" t="str">
        <f>IFERROR(__xludf.DUMMYFUNCTION("""COMPUTED_VALUE"""),"Kanaal + Fase")</f>
        <v>Kanaal + Fase</v>
      </c>
      <c r="Q1" s="497" t="str">
        <f>IFERROR(__xludf.DUMMYFUNCTION("""COMPUTED_VALUE"""),"Doelstelling")</f>
        <v>Doelstelling</v>
      </c>
      <c r="R1" s="497" t="str">
        <f>IFERROR(__xludf.DUMMYFUNCTION("""COMPUTED_VALUE"""),"Timeline of dark?")</f>
        <v>Timeline of dark?</v>
      </c>
      <c r="S1" s="498" t="str">
        <f>IFERROR(__xludf.DUMMYFUNCTION("""COMPUTED_VALUE"""),"Design - briefing")</f>
        <v>Design - briefing</v>
      </c>
      <c r="T1" s="498" t="str">
        <f>IFERROR(__xludf.DUMMYFUNCTION("""COMPUTED_VALUE"""),"UTM")</f>
        <v>UTM</v>
      </c>
    </row>
    <row r="2">
      <c r="A2" s="501" t="str">
        <f>IFERROR(__xludf.DUMMYFUNCTION("""COMPUTED_VALUE"""),"januari")</f>
        <v>januari</v>
      </c>
      <c r="B2" s="501">
        <f>IFERROR(__xludf.DUMMYFUNCTION("""COMPUTED_VALUE"""),1.0)</f>
        <v>1</v>
      </c>
      <c r="C2" s="501" t="str">
        <f>IFERROR(__xludf.DUMMYFUNCTION("""COMPUTED_VALUE"""),"dinsdag")</f>
        <v>dinsdag</v>
      </c>
      <c r="D2" s="502">
        <f>IFERROR(__xludf.DUMMYFUNCTION("""COMPUTED_VALUE"""),43466.0)</f>
        <v>43466</v>
      </c>
      <c r="E2" s="502">
        <f>IFERROR(__xludf.DUMMYFUNCTION("""COMPUTED_VALUE"""),43466.0)</f>
        <v>43466</v>
      </c>
      <c r="F2" s="501" t="str">
        <f>IFERROR(__xludf.DUMMYFUNCTION("""COMPUTED_VALUE"""),"Nieuwjaar 🍾")</f>
        <v>Nieuwjaar 🍾</v>
      </c>
      <c r="G2" s="503" t="str">
        <f>IFERROR(__xludf.DUMMYFUNCTION("""COMPUTED_VALUE"""),"Actie: 20.19% korting op bubbels én nieuwjaarskaarten")</f>
        <v>Actie: 20.19% korting op bubbels én nieuwjaarskaarten</v>
      </c>
      <c r="H2" s="501" t="str">
        <f>IFERROR(__xludf.DUMMYFUNCTION("""COMPUTED_VALUE"""),"")</f>
        <v/>
      </c>
      <c r="I2" s="503" t="str">
        <f>IFERROR(__xludf.DUMMYFUNCTION("""COMPUTED_VALUE"""),"")</f>
        <v/>
      </c>
      <c r="J2" s="501" t="str">
        <f>IFERROR(__xludf.DUMMYFUNCTION("""COMPUTED_VALUE"""),"")</f>
        <v/>
      </c>
      <c r="K2" s="503" t="str">
        <f>IFERROR(__xludf.DUMMYFUNCTION("""COMPUTED_VALUE"""),"")</f>
        <v/>
      </c>
      <c r="L2" s="501" t="str">
        <f>IFERROR(__xludf.DUMMYFUNCTION("""COMPUTED_VALUE"""),"")</f>
        <v/>
      </c>
      <c r="M2" s="504">
        <f>IFERROR(__xludf.DUMMYFUNCTION("""COMPUTED_VALUE"""),1.0)</f>
        <v>1</v>
      </c>
      <c r="N2" s="501" t="str">
        <f>IFERROR(__xludf.DUMMYFUNCTION("""COMPUTED_VALUE"""),"")</f>
        <v/>
      </c>
      <c r="O2" s="501" t="str">
        <f>IFERROR(__xludf.DUMMYFUNCTION("""COMPUTED_VALUE"""),"")</f>
        <v/>
      </c>
      <c r="P2" s="503" t="str">
        <f>IFERROR(__xludf.DUMMYFUNCTION("""COMPUTED_VALUE"""),"")</f>
        <v/>
      </c>
      <c r="Q2" s="501" t="str">
        <f>IFERROR(__xludf.DUMMYFUNCTION("""COMPUTED_VALUE"""),"")</f>
        <v/>
      </c>
      <c r="R2" s="501" t="str">
        <f>IFERROR(__xludf.DUMMYFUNCTION("""COMPUTED_VALUE"""),"")</f>
        <v/>
      </c>
      <c r="S2" s="503" t="str">
        <f>IFERROR(__xludf.DUMMYFUNCTION("""COMPUTED_VALUE"""),"")</f>
        <v/>
      </c>
      <c r="T2" s="503" t="str">
        <f>IFERROR(__xludf.DUMMYFUNCTION("""COMPUTED_VALUE"""),"utm_source=facebook&amp;utm_medium=socialmedia&amp;utm_campaign=&amp;utm_content=&amp;referrer=facebook")</f>
        <v>utm_source=facebook&amp;utm_medium=socialmedia&amp;utm_campaign=&amp;utm_content=&amp;referrer=facebook</v>
      </c>
    </row>
    <row r="3">
      <c r="A3" s="501" t="str">
        <f>IFERROR(__xludf.DUMMYFUNCTION("""COMPUTED_VALUE"""),"januari")</f>
        <v>januari</v>
      </c>
      <c r="B3" s="501">
        <f>IFERROR(__xludf.DUMMYFUNCTION("""COMPUTED_VALUE"""),1.0)</f>
        <v>1</v>
      </c>
      <c r="C3" s="501" t="str">
        <f>IFERROR(__xludf.DUMMYFUNCTION("""COMPUTED_VALUE"""),"dinsdag")</f>
        <v>dinsdag</v>
      </c>
      <c r="D3" s="502">
        <f>IFERROR(__xludf.DUMMYFUNCTION("""COMPUTED_VALUE"""),43466.0)</f>
        <v>43466</v>
      </c>
      <c r="E3" s="502">
        <f>IFERROR(__xludf.DUMMYFUNCTION("""COMPUTED_VALUE"""),43496.0)</f>
        <v>43496</v>
      </c>
      <c r="F3" s="501" t="str">
        <f>IFERROR(__xludf.DUMMYFUNCTION("""COMPUTED_VALUE"""),"")</f>
        <v/>
      </c>
      <c r="G3" s="503" t="str">
        <f>IFERROR(__xludf.DUMMYFUNCTION("""COMPUTED_VALUE"""),"")</f>
        <v/>
      </c>
      <c r="H3" s="501" t="str">
        <f>IFERROR(__xludf.DUMMYFUNCTION("""COMPUTED_VALUE"""),"AOC verhuizen do")</f>
        <v>AOC verhuizen do</v>
      </c>
      <c r="I3" s="503" t="str">
        <f>IFERROR(__xludf.DUMMYFUNCTION("""COMPUTED_VALUE"""),"")</f>
        <v/>
      </c>
      <c r="J3" s="501" t="str">
        <f>IFERROR(__xludf.DUMMYFUNCTION("""COMPUTED_VALUE"""),"Staat klaar")</f>
        <v>Staat klaar</v>
      </c>
      <c r="K3" s="505" t="str">
        <f>IFERROR(__xludf.DUMMYFUNCTION("""COMPUTED_VALUE""")," URl bevat nieuwe woning 14 dagen ")</f>
        <v>URl bevat nieuwe woning 14 dagen</v>
      </c>
      <c r="L3" s="506">
        <f>IFERROR(__xludf.DUMMYFUNCTION("""COMPUTED_VALUE"""),330.0)</f>
        <v>330</v>
      </c>
      <c r="M3" s="504">
        <f>IFERROR(__xludf.DUMMYFUNCTION("""COMPUTED_VALUE"""),31.0)</f>
        <v>31</v>
      </c>
      <c r="N3" s="501" t="str">
        <f>IFERROR(__xludf.DUMMYFUNCTION("""COMPUTED_VALUE"""),"Product")</f>
        <v>Product</v>
      </c>
      <c r="O3" s="501" t="str">
        <f>IFERROR(__xludf.DUMMYFUNCTION("""COMPUTED_VALUE"""),"Facebook")</f>
        <v>Facebook</v>
      </c>
      <c r="P3" s="503" t="str">
        <f>IFERROR(__xludf.DUMMYFUNCTION("""COMPUTED_VALUE"""),"Facebook - Do - AOC")</f>
        <v>Facebook - Do - AOC</v>
      </c>
      <c r="Q3" s="501" t="str">
        <f>IFERROR(__xludf.DUMMYFUNCTION("""COMPUTED_VALUE"""),"Conversie - Waarde")</f>
        <v>Conversie - Waarde</v>
      </c>
      <c r="R3" s="501" t="str">
        <f>IFERROR(__xludf.DUMMYFUNCTION("""COMPUTED_VALUE"""),"Dark")</f>
        <v>Dark</v>
      </c>
      <c r="S3" s="503" t="str">
        <f>IFERROR(__xludf.DUMMYFUNCTION("""COMPUTED_VALUE"""),"")</f>
        <v/>
      </c>
      <c r="T3"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4">
      <c r="A4" s="501" t="str">
        <f>IFERROR(__xludf.DUMMYFUNCTION("""COMPUTED_VALUE"""),"januari")</f>
        <v>januari</v>
      </c>
      <c r="B4" s="501">
        <f>IFERROR(__xludf.DUMMYFUNCTION("""COMPUTED_VALUE"""),1.0)</f>
        <v>1</v>
      </c>
      <c r="C4" s="501" t="str">
        <f>IFERROR(__xludf.DUMMYFUNCTION("""COMPUTED_VALUE"""),"dinsdag")</f>
        <v>dinsdag</v>
      </c>
      <c r="D4" s="502">
        <f>IFERROR(__xludf.DUMMYFUNCTION("""COMPUTED_VALUE"""),43466.0)</f>
        <v>43466</v>
      </c>
      <c r="E4" s="502">
        <f>IFERROR(__xludf.DUMMYFUNCTION("""COMPUTED_VALUE"""),43496.0)</f>
        <v>43496</v>
      </c>
      <c r="F4" s="501" t="str">
        <f>IFERROR(__xludf.DUMMYFUNCTION("""COMPUTED_VALUE"""),"")</f>
        <v/>
      </c>
      <c r="G4" s="503" t="str">
        <f>IFERROR(__xludf.DUMMYFUNCTION("""COMPUTED_VALUE"""),"")</f>
        <v/>
      </c>
      <c r="H4" s="501" t="str">
        <f>IFERROR(__xludf.DUMMYFUNCTION("""COMPUTED_VALUE"""),"AOC verjaardag do")</f>
        <v>AOC verjaardag do</v>
      </c>
      <c r="I4" s="503" t="str">
        <f>IFERROR(__xludf.DUMMYFUNCTION("""COMPUTED_VALUE"""),"")</f>
        <v/>
      </c>
      <c r="J4" s="501" t="str">
        <f>IFERROR(__xludf.DUMMYFUNCTION("""COMPUTED_VALUE"""),"Staat klaar")</f>
        <v>Staat klaar</v>
      </c>
      <c r="K4" s="505" t="str">
        <f>IFERROR(__xludf.DUMMYFUNCTION("""COMPUTED_VALUE""")," Goeie vrienden van jarige 7-30 dagen ")</f>
        <v>Goeie vrienden van jarige 7-30 dagen</v>
      </c>
      <c r="L4" s="506">
        <f>IFERROR(__xludf.DUMMYFUNCTION("""COMPUTED_VALUE"""),770.0)</f>
        <v>770</v>
      </c>
      <c r="M4" s="504">
        <f>IFERROR(__xludf.DUMMYFUNCTION("""COMPUTED_VALUE"""),31.0)</f>
        <v>31</v>
      </c>
      <c r="N4" s="501" t="str">
        <f>IFERROR(__xludf.DUMMYFUNCTION("""COMPUTED_VALUE"""),"Product")</f>
        <v>Product</v>
      </c>
      <c r="O4" s="501" t="str">
        <f>IFERROR(__xludf.DUMMYFUNCTION("""COMPUTED_VALUE"""),"Facebook")</f>
        <v>Facebook</v>
      </c>
      <c r="P4" s="503" t="str">
        <f>IFERROR(__xludf.DUMMYFUNCTION("""COMPUTED_VALUE"""),"Facebook - Do - AOC")</f>
        <v>Facebook - Do - AOC</v>
      </c>
      <c r="Q4" s="501" t="str">
        <f>IFERROR(__xludf.DUMMYFUNCTION("""COMPUTED_VALUE"""),"Conversie - Waarde")</f>
        <v>Conversie - Waarde</v>
      </c>
      <c r="R4" s="501" t="str">
        <f>IFERROR(__xludf.DUMMYFUNCTION("""COMPUTED_VALUE"""),"Dark")</f>
        <v>Dark</v>
      </c>
      <c r="S4" s="503" t="str">
        <f>IFERROR(__xludf.DUMMYFUNCTION("""COMPUTED_VALUE"""),"")</f>
        <v/>
      </c>
      <c r="T4"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5">
      <c r="A5" s="501" t="str">
        <f>IFERROR(__xludf.DUMMYFUNCTION("""COMPUTED_VALUE"""),"januari")</f>
        <v>januari</v>
      </c>
      <c r="B5" s="501">
        <f>IFERROR(__xludf.DUMMYFUNCTION("""COMPUTED_VALUE"""),1.0)</f>
        <v>1</v>
      </c>
      <c r="C5" s="501" t="str">
        <f>IFERROR(__xludf.DUMMYFUNCTION("""COMPUTED_VALUE"""),"dinsdag")</f>
        <v>dinsdag</v>
      </c>
      <c r="D5" s="502">
        <f>IFERROR(__xludf.DUMMYFUNCTION("""COMPUTED_VALUE"""),43466.0)</f>
        <v>43466</v>
      </c>
      <c r="E5" s="502">
        <f>IFERROR(__xludf.DUMMYFUNCTION("""COMPUTED_VALUE"""),43496.0)</f>
        <v>43496</v>
      </c>
      <c r="F5" s="501" t="str">
        <f>IFERROR(__xludf.DUMMYFUNCTION("""COMPUTED_VALUE"""),"")</f>
        <v/>
      </c>
      <c r="G5" s="503" t="str">
        <f>IFERROR(__xludf.DUMMYFUNCTION("""COMPUTED_VALUE"""),"")</f>
        <v/>
      </c>
      <c r="H5" s="501" t="str">
        <f>IFERROR(__xludf.DUMMYFUNCTION("""COMPUTED_VALUE"""),"AOC verjaardag do")</f>
        <v>AOC verjaardag do</v>
      </c>
      <c r="I5" s="503" t="str">
        <f>IFERROR(__xludf.DUMMYFUNCTION("""COMPUTED_VALUE"""),"")</f>
        <v/>
      </c>
      <c r="J5" s="501" t="str">
        <f>IFERROR(__xludf.DUMMYFUNCTION("""COMPUTED_VALUE"""),"Staat klaar")</f>
        <v>Staat klaar</v>
      </c>
      <c r="K5" s="505" t="str">
        <f>IFERROR(__xludf.DUMMYFUNCTION("""COMPUTED_VALUE""")," URL bevat verjaardag 2-7 dagen ")</f>
        <v>URL bevat verjaardag 2-7 dagen</v>
      </c>
      <c r="L5" s="506">
        <f>IFERROR(__xludf.DUMMYFUNCTION("""COMPUTED_VALUE"""),1200.0)</f>
        <v>1200</v>
      </c>
      <c r="M5" s="504">
        <f>IFERROR(__xludf.DUMMYFUNCTION("""COMPUTED_VALUE"""),31.0)</f>
        <v>31</v>
      </c>
      <c r="N5" s="501" t="str">
        <f>IFERROR(__xludf.DUMMYFUNCTION("""COMPUTED_VALUE"""),"Product")</f>
        <v>Product</v>
      </c>
      <c r="O5" s="501" t="str">
        <f>IFERROR(__xludf.DUMMYFUNCTION("""COMPUTED_VALUE"""),"Facebook")</f>
        <v>Facebook</v>
      </c>
      <c r="P5" s="503" t="str">
        <f>IFERROR(__xludf.DUMMYFUNCTION("""COMPUTED_VALUE"""),"Facebook - Do - AOC")</f>
        <v>Facebook - Do - AOC</v>
      </c>
      <c r="Q5" s="501" t="str">
        <f>IFERROR(__xludf.DUMMYFUNCTION("""COMPUTED_VALUE"""),"Conversie - Waarde")</f>
        <v>Conversie - Waarde</v>
      </c>
      <c r="R5" s="501" t="str">
        <f>IFERROR(__xludf.DUMMYFUNCTION("""COMPUTED_VALUE"""),"Dark")</f>
        <v>Dark</v>
      </c>
      <c r="S5" s="503" t="str">
        <f>IFERROR(__xludf.DUMMYFUNCTION("""COMPUTED_VALUE"""),"")</f>
        <v/>
      </c>
      <c r="T5"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6">
      <c r="A6" s="501" t="str">
        <f>IFERROR(__xludf.DUMMYFUNCTION("""COMPUTED_VALUE"""),"januari")</f>
        <v>januari</v>
      </c>
      <c r="B6" s="501">
        <f>IFERROR(__xludf.DUMMYFUNCTION("""COMPUTED_VALUE"""),1.0)</f>
        <v>1</v>
      </c>
      <c r="C6" s="501" t="str">
        <f>IFERROR(__xludf.DUMMYFUNCTION("""COMPUTED_VALUE"""),"dinsdag")</f>
        <v>dinsdag</v>
      </c>
      <c r="D6" s="502">
        <f>IFERROR(__xludf.DUMMYFUNCTION("""COMPUTED_VALUE"""),43466.0)</f>
        <v>43466</v>
      </c>
      <c r="E6" s="502">
        <f>IFERROR(__xludf.DUMMYFUNCTION("""COMPUTED_VALUE"""),43496.0)</f>
        <v>43496</v>
      </c>
      <c r="F6" s="501" t="str">
        <f>IFERROR(__xludf.DUMMYFUNCTION("""COMPUTED_VALUE"""),"")</f>
        <v/>
      </c>
      <c r="G6" s="503" t="str">
        <f>IFERROR(__xludf.DUMMYFUNCTION("""COMPUTED_VALUE"""),"")</f>
        <v/>
      </c>
      <c r="H6" s="501" t="str">
        <f>IFERROR(__xludf.DUMMYFUNCTION("""COMPUTED_VALUE"""),"AOC geboorte do")</f>
        <v>AOC geboorte do</v>
      </c>
      <c r="I6" s="503" t="str">
        <f>IFERROR(__xludf.DUMMYFUNCTION("""COMPUTED_VALUE"""),"")</f>
        <v/>
      </c>
      <c r="J6" s="501" t="str">
        <f>IFERROR(__xludf.DUMMYFUNCTION("""COMPUTED_VALUE"""),"Staat klaar")</f>
        <v>Staat klaar</v>
      </c>
      <c r="K6" s="505" t="str">
        <f>IFERROR(__xludf.DUMMYFUNCTION("""COMPUTED_VALUE""")," URL bevat geboorte 2-7 dagen ")</f>
        <v>URL bevat geboorte 2-7 dagen</v>
      </c>
      <c r="L6" s="506">
        <f>IFERROR(__xludf.DUMMYFUNCTION("""COMPUTED_VALUE"""),1200.0)</f>
        <v>1200</v>
      </c>
      <c r="M6" s="504">
        <f>IFERROR(__xludf.DUMMYFUNCTION("""COMPUTED_VALUE"""),31.0)</f>
        <v>31</v>
      </c>
      <c r="N6" s="501" t="str">
        <f>IFERROR(__xludf.DUMMYFUNCTION("""COMPUTED_VALUE"""),"Product")</f>
        <v>Product</v>
      </c>
      <c r="O6" s="501" t="str">
        <f>IFERROR(__xludf.DUMMYFUNCTION("""COMPUTED_VALUE"""),"Facebook")</f>
        <v>Facebook</v>
      </c>
      <c r="P6" s="503" t="str">
        <f>IFERROR(__xludf.DUMMYFUNCTION("""COMPUTED_VALUE"""),"Facebook - Do - AOC")</f>
        <v>Facebook - Do - AOC</v>
      </c>
      <c r="Q6" s="501" t="str">
        <f>IFERROR(__xludf.DUMMYFUNCTION("""COMPUTED_VALUE"""),"Conversie - Waarde")</f>
        <v>Conversie - Waarde</v>
      </c>
      <c r="R6" s="501" t="str">
        <f>IFERROR(__xludf.DUMMYFUNCTION("""COMPUTED_VALUE"""),"Dark")</f>
        <v>Dark</v>
      </c>
      <c r="S6" s="503" t="str">
        <f>IFERROR(__xludf.DUMMYFUNCTION("""COMPUTED_VALUE"""),"")</f>
        <v/>
      </c>
      <c r="T6"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7">
      <c r="A7" s="501" t="str">
        <f>IFERROR(__xludf.DUMMYFUNCTION("""COMPUTED_VALUE"""),"januari")</f>
        <v>januari</v>
      </c>
      <c r="B7" s="501">
        <f>IFERROR(__xludf.DUMMYFUNCTION("""COMPUTED_VALUE"""),1.0)</f>
        <v>1</v>
      </c>
      <c r="C7" s="501" t="str">
        <f>IFERROR(__xludf.DUMMYFUNCTION("""COMPUTED_VALUE"""),"dinsdag")</f>
        <v>dinsdag</v>
      </c>
      <c r="D7" s="502">
        <f>IFERROR(__xludf.DUMMYFUNCTION("""COMPUTED_VALUE"""),43466.0)</f>
        <v>43466</v>
      </c>
      <c r="E7" s="502">
        <f>IFERROR(__xludf.DUMMYFUNCTION("""COMPUTED_VALUE"""),43496.0)</f>
        <v>43496</v>
      </c>
      <c r="F7" s="501" t="str">
        <f>IFERROR(__xludf.DUMMYFUNCTION("""COMPUTED_VALUE"""),"")</f>
        <v/>
      </c>
      <c r="G7" s="503" t="str">
        <f>IFERROR(__xludf.DUMMYFUNCTION("""COMPUTED_VALUE"""),"")</f>
        <v/>
      </c>
      <c r="H7" s="501" t="str">
        <f>IFERROR(__xludf.DUMMYFUNCTION("""COMPUTED_VALUE"""),"AOC verhuizen think")</f>
        <v>AOC verhuizen think</v>
      </c>
      <c r="I7" s="503" t="str">
        <f>IFERROR(__xludf.DUMMYFUNCTION("""COMPUTED_VALUE"""),"")</f>
        <v/>
      </c>
      <c r="J7" s="501" t="str">
        <f>IFERROR(__xludf.DUMMYFUNCTION("""COMPUTED_VALUE"""),"Staat klaar")</f>
        <v>Staat klaar</v>
      </c>
      <c r="K7" s="505" t="str">
        <f>IFERROR(__xludf.DUMMYFUNCTION("""COMPUTED_VALUE""")," Vrienden van recent verhuisd ")</f>
        <v>Vrienden van recent verhuisd</v>
      </c>
      <c r="L7" s="506">
        <f>IFERROR(__xludf.DUMMYFUNCTION("""COMPUTED_VALUE"""),300.0)</f>
        <v>300</v>
      </c>
      <c r="M7" s="504">
        <f>IFERROR(__xludf.DUMMYFUNCTION("""COMPUTED_VALUE"""),31.0)</f>
        <v>31</v>
      </c>
      <c r="N7" s="501" t="str">
        <f>IFERROR(__xludf.DUMMYFUNCTION("""COMPUTED_VALUE"""),"Geven/ontvangen")</f>
        <v>Geven/ontvangen</v>
      </c>
      <c r="O7" s="501" t="str">
        <f>IFERROR(__xludf.DUMMYFUNCTION("""COMPUTED_VALUE"""),"Facebook")</f>
        <v>Facebook</v>
      </c>
      <c r="P7" s="503" t="str">
        <f>IFERROR(__xludf.DUMMYFUNCTION("""COMPUTED_VALUE"""),"Facebook - Think - AOC")</f>
        <v>Facebook - Think - AOC</v>
      </c>
      <c r="Q7" s="501" t="str">
        <f>IFERROR(__xludf.DUMMYFUNCTION("""COMPUTED_VALUE"""),"Conversie - Landingspagina")</f>
        <v>Conversie - Landingspagina</v>
      </c>
      <c r="R7" s="501" t="str">
        <f>IFERROR(__xludf.DUMMYFUNCTION("""COMPUTED_VALUE"""),"Dark")</f>
        <v>Dark</v>
      </c>
      <c r="S7" s="503" t="str">
        <f>IFERROR(__xludf.DUMMYFUNCTION("""COMPUTED_VALUE"""),"")</f>
        <v/>
      </c>
      <c r="T7"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8">
      <c r="A8" s="501" t="str">
        <f>IFERROR(__xludf.DUMMYFUNCTION("""COMPUTED_VALUE"""),"januari")</f>
        <v>januari</v>
      </c>
      <c r="B8" s="501">
        <f>IFERROR(__xludf.DUMMYFUNCTION("""COMPUTED_VALUE"""),1.0)</f>
        <v>1</v>
      </c>
      <c r="C8" s="501" t="str">
        <f>IFERROR(__xludf.DUMMYFUNCTION("""COMPUTED_VALUE"""),"dinsdag")</f>
        <v>dinsdag</v>
      </c>
      <c r="D8" s="502">
        <f>IFERROR(__xludf.DUMMYFUNCTION("""COMPUTED_VALUE"""),43466.0)</f>
        <v>43466</v>
      </c>
      <c r="E8" s="502">
        <f>IFERROR(__xludf.DUMMYFUNCTION("""COMPUTED_VALUE"""),43496.0)</f>
        <v>43496</v>
      </c>
      <c r="F8" s="501" t="str">
        <f>IFERROR(__xludf.DUMMYFUNCTION("""COMPUTED_VALUE"""),"")</f>
        <v/>
      </c>
      <c r="G8" s="503" t="str">
        <f>IFERROR(__xludf.DUMMYFUNCTION("""COMPUTED_VALUE"""),"")</f>
        <v/>
      </c>
      <c r="H8" s="501" t="str">
        <f>IFERROR(__xludf.DUMMYFUNCTION("""COMPUTED_VALUE"""),"AOC verhuizen see")</f>
        <v>AOC verhuizen see</v>
      </c>
      <c r="I8" s="503" t="str">
        <f>IFERROR(__xludf.DUMMYFUNCTION("""COMPUTED_VALUE"""),"")</f>
        <v/>
      </c>
      <c r="J8" s="501" t="str">
        <f>IFERROR(__xludf.DUMMYFUNCTION("""COMPUTED_VALUE"""),"Staat klaar")</f>
        <v>Staat klaar</v>
      </c>
      <c r="K8" s="505" t="str">
        <f>IFERROR(__xludf.DUMMYFUNCTION("""COMPUTED_VALUE""")," Vrouw 25-64 (excl klanten, vrienden van verhuisde personen en fans) ")</f>
        <v>Vrouw 25-64 (excl klanten, vrienden van verhuisde personen en fans)</v>
      </c>
      <c r="L8" s="506">
        <f>IFERROR(__xludf.DUMMYFUNCTION("""COMPUTED_VALUE"""),450.0)</f>
        <v>450</v>
      </c>
      <c r="M8" s="504">
        <f>IFERROR(__xludf.DUMMYFUNCTION("""COMPUTED_VALUE"""),31.0)</f>
        <v>31</v>
      </c>
      <c r="N8" s="501" t="str">
        <f>IFERROR(__xludf.DUMMYFUNCTION("""COMPUTED_VALUE"""),"Merk")</f>
        <v>Merk</v>
      </c>
      <c r="O8" s="501" t="str">
        <f>IFERROR(__xludf.DUMMYFUNCTION("""COMPUTED_VALUE"""),"FB + Instagram")</f>
        <v>FB + Instagram</v>
      </c>
      <c r="P8" s="503" t="str">
        <f>IFERROR(__xludf.DUMMYFUNCTION("""COMPUTED_VALUE"""),"Facebook - See - AOC")</f>
        <v>Facebook - See - AOC</v>
      </c>
      <c r="Q8" s="501" t="str">
        <f>IFERROR(__xludf.DUMMYFUNCTION("""COMPUTED_VALUE"""),"Bereik")</f>
        <v>Bereik</v>
      </c>
      <c r="R8" s="501" t="str">
        <f>IFERROR(__xludf.DUMMYFUNCTION("""COMPUTED_VALUE"""),"Dark")</f>
        <v>Dark</v>
      </c>
      <c r="S8" s="503" t="str">
        <f>IFERROR(__xludf.DUMMYFUNCTION("""COMPUTED_VALUE"""),"")</f>
        <v/>
      </c>
      <c r="T8"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9">
      <c r="A9" s="501" t="str">
        <f>IFERROR(__xludf.DUMMYFUNCTION("""COMPUTED_VALUE"""),"januari")</f>
        <v>januari</v>
      </c>
      <c r="B9" s="501">
        <f>IFERROR(__xludf.DUMMYFUNCTION("""COMPUTED_VALUE"""),1.0)</f>
        <v>1</v>
      </c>
      <c r="C9" s="501" t="str">
        <f>IFERROR(__xludf.DUMMYFUNCTION("""COMPUTED_VALUE"""),"dinsdag")</f>
        <v>dinsdag</v>
      </c>
      <c r="D9" s="502">
        <f>IFERROR(__xludf.DUMMYFUNCTION("""COMPUTED_VALUE"""),43466.0)</f>
        <v>43466</v>
      </c>
      <c r="E9" s="502">
        <f>IFERROR(__xludf.DUMMYFUNCTION("""COMPUTED_VALUE"""),43496.0)</f>
        <v>43496</v>
      </c>
      <c r="F9" s="501" t="str">
        <f>IFERROR(__xludf.DUMMYFUNCTION("""COMPUTED_VALUE"""),"")</f>
        <v/>
      </c>
      <c r="G9" s="503" t="str">
        <f>IFERROR(__xludf.DUMMYFUNCTION("""COMPUTED_VALUE"""),"")</f>
        <v/>
      </c>
      <c r="H9" s="501" t="str">
        <f>IFERROR(__xludf.DUMMYFUNCTION("""COMPUTED_VALUE"""),"AOC verjaardag see")</f>
        <v>AOC verjaardag see</v>
      </c>
      <c r="I9" s="503" t="str">
        <f>IFERROR(__xludf.DUMMYFUNCTION("""COMPUTED_VALUE"""),"")</f>
        <v/>
      </c>
      <c r="J9" s="501" t="str">
        <f>IFERROR(__xludf.DUMMYFUNCTION("""COMPUTED_VALUE"""),"Staat klaar")</f>
        <v>Staat klaar</v>
      </c>
      <c r="K9" s="505" t="str">
        <f>IFERROR(__xludf.DUMMYFUNCTION("""COMPUTED_VALUE""")," See - Geboorte ")</f>
        <v>See - Geboorte</v>
      </c>
      <c r="L9" s="506">
        <f>IFERROR(__xludf.DUMMYFUNCTION("""COMPUTED_VALUE"""),1050.0)</f>
        <v>1050</v>
      </c>
      <c r="M9" s="504">
        <f>IFERROR(__xludf.DUMMYFUNCTION("""COMPUTED_VALUE"""),31.0)</f>
        <v>31</v>
      </c>
      <c r="N9" s="501" t="str">
        <f>IFERROR(__xludf.DUMMYFUNCTION("""COMPUTED_VALUE"""),"Merk")</f>
        <v>Merk</v>
      </c>
      <c r="O9" s="501" t="str">
        <f>IFERROR(__xludf.DUMMYFUNCTION("""COMPUTED_VALUE"""),"FB + Instagram")</f>
        <v>FB + Instagram</v>
      </c>
      <c r="P9" s="503" t="str">
        <f>IFERROR(__xludf.DUMMYFUNCTION("""COMPUTED_VALUE"""),"Facebook - See - AOC")</f>
        <v>Facebook - See - AOC</v>
      </c>
      <c r="Q9" s="501" t="str">
        <f>IFERROR(__xludf.DUMMYFUNCTION("""COMPUTED_VALUE"""),"Bereik")</f>
        <v>Bereik</v>
      </c>
      <c r="R9" s="501" t="str">
        <f>IFERROR(__xludf.DUMMYFUNCTION("""COMPUTED_VALUE"""),"Dark")</f>
        <v>Dark</v>
      </c>
      <c r="S9" s="503" t="str">
        <f>IFERROR(__xludf.DUMMYFUNCTION("""COMPUTED_VALUE"""),"")</f>
        <v/>
      </c>
      <c r="T9"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10">
      <c r="A10" s="501" t="str">
        <f>IFERROR(__xludf.DUMMYFUNCTION("""COMPUTED_VALUE"""),"januari")</f>
        <v>januari</v>
      </c>
      <c r="B10" s="501">
        <f>IFERROR(__xludf.DUMMYFUNCTION("""COMPUTED_VALUE"""),1.0)</f>
        <v>1</v>
      </c>
      <c r="C10" s="501" t="str">
        <f>IFERROR(__xludf.DUMMYFUNCTION("""COMPUTED_VALUE"""),"dinsdag")</f>
        <v>dinsdag</v>
      </c>
      <c r="D10" s="502">
        <f>IFERROR(__xludf.DUMMYFUNCTION("""COMPUTED_VALUE"""),43466.0)</f>
        <v>43466</v>
      </c>
      <c r="E10" s="502">
        <f>IFERROR(__xludf.DUMMYFUNCTION("""COMPUTED_VALUE"""),43496.0)</f>
        <v>43496</v>
      </c>
      <c r="F10" s="501" t="str">
        <f>IFERROR(__xludf.DUMMYFUNCTION("""COMPUTED_VALUE"""),"")</f>
        <v/>
      </c>
      <c r="G10" s="503" t="str">
        <f>IFERROR(__xludf.DUMMYFUNCTION("""COMPUTED_VALUE"""),"")</f>
        <v/>
      </c>
      <c r="H10" s="501" t="str">
        <f>IFERROR(__xludf.DUMMYFUNCTION("""COMPUTED_VALUE"""),"AOC geboorte see")</f>
        <v>AOC geboorte see</v>
      </c>
      <c r="I10" s="503" t="str">
        <f>IFERROR(__xludf.DUMMYFUNCTION("""COMPUTED_VALUE"""),"")</f>
        <v/>
      </c>
      <c r="J10" s="501" t="str">
        <f>IFERROR(__xludf.DUMMYFUNCTION("""COMPUTED_VALUE"""),"Staat klaar")</f>
        <v>Staat klaar</v>
      </c>
      <c r="K10" s="505" t="str">
        <f>IFERROR(__xludf.DUMMYFUNCTION("""COMPUTED_VALUE""")," See - Verjaardag ")</f>
        <v>See - Verjaardag</v>
      </c>
      <c r="L10" s="506">
        <f>IFERROR(__xludf.DUMMYFUNCTION("""COMPUTED_VALUE"""),2175.0)</f>
        <v>2175</v>
      </c>
      <c r="M10" s="504">
        <f>IFERROR(__xludf.DUMMYFUNCTION("""COMPUTED_VALUE"""),31.0)</f>
        <v>31</v>
      </c>
      <c r="N10" s="501" t="str">
        <f>IFERROR(__xludf.DUMMYFUNCTION("""COMPUTED_VALUE"""),"Merk")</f>
        <v>Merk</v>
      </c>
      <c r="O10" s="501" t="str">
        <f>IFERROR(__xludf.DUMMYFUNCTION("""COMPUTED_VALUE"""),"FB + Instagram")</f>
        <v>FB + Instagram</v>
      </c>
      <c r="P10" s="503" t="str">
        <f>IFERROR(__xludf.DUMMYFUNCTION("""COMPUTED_VALUE"""),"Facebook - See - AOC")</f>
        <v>Facebook - See - AOC</v>
      </c>
      <c r="Q10" s="501" t="str">
        <f>IFERROR(__xludf.DUMMYFUNCTION("""COMPUTED_VALUE"""),"Bereik")</f>
        <v>Bereik</v>
      </c>
      <c r="R10" s="501" t="str">
        <f>IFERROR(__xludf.DUMMYFUNCTION("""COMPUTED_VALUE"""),"Dark")</f>
        <v>Dark</v>
      </c>
      <c r="S10" s="503" t="str">
        <f>IFERROR(__xludf.DUMMYFUNCTION("""COMPUTED_VALUE"""),"")</f>
        <v/>
      </c>
      <c r="T10"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11">
      <c r="A11" s="501" t="str">
        <f>IFERROR(__xludf.DUMMYFUNCTION("""COMPUTED_VALUE"""),"januari")</f>
        <v>januari</v>
      </c>
      <c r="B11" s="501">
        <f>IFERROR(__xludf.DUMMYFUNCTION("""COMPUTED_VALUE"""),2.0)</f>
        <v>2</v>
      </c>
      <c r="C11" s="501" t="str">
        <f>IFERROR(__xludf.DUMMYFUNCTION("""COMPUTED_VALUE"""),"zondag")</f>
        <v>zondag</v>
      </c>
      <c r="D11" s="502">
        <f>IFERROR(__xludf.DUMMYFUNCTION("""COMPUTED_VALUE"""),43471.0)</f>
        <v>43471</v>
      </c>
      <c r="E11" s="502">
        <f>IFERROR(__xludf.DUMMYFUNCTION("""COMPUTED_VALUE"""),43471.0)</f>
        <v>43471</v>
      </c>
      <c r="F11" s="501" t="str">
        <f>IFERROR(__xludf.DUMMYFUNCTION("""COMPUTED_VALUE"""),"")</f>
        <v/>
      </c>
      <c r="G11" s="503" t="str">
        <f>IFERROR(__xludf.DUMMYFUNCTION("""COMPUTED_VALUE"""),"")</f>
        <v/>
      </c>
      <c r="H11" s="501" t="str">
        <f>IFERROR(__xludf.DUMMYFUNCTION("""COMPUTED_VALUE"""),"Actie 2019 korting champagne kaarten")</f>
        <v>Actie 2019 korting champagne kaarten</v>
      </c>
      <c r="I11" s="503" t="str">
        <f>IFERROR(__xludf.DUMMYFUNCTION("""COMPUTED_VALUE"""),"Ga met een knal het nieuwe jaar in (of het oude jaar uit)! 😉 Wie ga jij verrassen met een heerlijke fles bubbels en een vrolijk nieuwjaarskaartje? 🍾Wij vieren een feestje mee, want je krijgt nu 20,19% korting op jouw bestelling. Proost!")</f>
        <v>Ga met een knal het nieuwe jaar in (of het oude jaar uit)! 😉 Wie ga jij verrassen met een heerlijke fles bubbels en een vrolijk nieuwjaarskaartje? 🍾Wij vieren een feestje mee, want je krijgt nu 20,19% korting op jouw bestelling. Proost!</v>
      </c>
      <c r="J11" s="501" t="str">
        <f>IFERROR(__xludf.DUMMYFUNCTION("""COMPUTED_VALUE"""),"Staat klaar")</f>
        <v>Staat klaar</v>
      </c>
      <c r="K11" s="505" t="str">
        <f>IFERROR(__xludf.DUMMYFUNCTION("""COMPUTED_VALUE""")," Hoofddoelgroep &amp; klanten ")</f>
        <v>Hoofddoelgroep &amp; klanten</v>
      </c>
      <c r="L11" s="506">
        <f>IFERROR(__xludf.DUMMYFUNCTION("""COMPUTED_VALUE"""),500.0)</f>
        <v>500</v>
      </c>
      <c r="M11" s="504">
        <f>IFERROR(__xludf.DUMMYFUNCTION("""COMPUTED_VALUE"""),1.0)</f>
        <v>1</v>
      </c>
      <c r="N11" s="501" t="str">
        <f>IFERROR(__xludf.DUMMYFUNCTION("""COMPUTED_VALUE"""),"Product")</f>
        <v>Product</v>
      </c>
      <c r="O11" s="501" t="str">
        <f>IFERROR(__xludf.DUMMYFUNCTION("""COMPUTED_VALUE"""),"Facebook")</f>
        <v>Facebook</v>
      </c>
      <c r="P11" s="503" t="str">
        <f>IFERROR(__xludf.DUMMYFUNCTION("""COMPUTED_VALUE"""),"Facebook - Do - Retailcampaigning")</f>
        <v>Facebook - Do - Retailcampaigning</v>
      </c>
      <c r="Q11" s="501" t="str">
        <f>IFERROR(__xludf.DUMMYFUNCTION("""COMPUTED_VALUE"""),"Conversie - Waarde")</f>
        <v>Conversie - Waarde</v>
      </c>
      <c r="R11" s="501" t="str">
        <f>IFERROR(__xludf.DUMMYFUNCTION("""COMPUTED_VALUE"""),"Dark")</f>
        <v>Dark</v>
      </c>
      <c r="S11" s="503" t="str">
        <f>IFERROR(__xludf.DUMMYFUNCTION("""COMPUTED_VALUE"""),"")</f>
        <v/>
      </c>
      <c r="T11" s="503" t="str">
        <f>IFERROR(__xludf.DUMMYFUNCTION("""COMPUTED_VALUE"""),"utm_source=facebook&amp;utm_medium=socialmedia&amp;utm_campaign=facebook_-_do_-_retailcampaigning&amp;utm_content=actie2019kortingchampagnekaarten&amp;referrer=facebook")</f>
        <v>utm_source=facebook&amp;utm_medium=socialmedia&amp;utm_campaign=facebook_-_do_-_retailcampaigning&amp;utm_content=actie2019kortingchampagnekaarten&amp;referrer=facebook</v>
      </c>
    </row>
    <row r="12">
      <c r="A12" s="501" t="str">
        <f>IFERROR(__xludf.DUMMYFUNCTION("""COMPUTED_VALUE"""),"januari")</f>
        <v>januari</v>
      </c>
      <c r="B12" s="501">
        <f>IFERROR(__xludf.DUMMYFUNCTION("""COMPUTED_VALUE"""),1.0)</f>
        <v>1</v>
      </c>
      <c r="C12" s="501" t="str">
        <f>IFERROR(__xludf.DUMMYFUNCTION("""COMPUTED_VALUE"""),"woensdag")</f>
        <v>woensdag</v>
      </c>
      <c r="D12" s="502">
        <f>IFERROR(__xludf.DUMMYFUNCTION("""COMPUTED_VALUE"""),43467.0)</f>
        <v>43467</v>
      </c>
      <c r="E12" s="502">
        <f>IFERROR(__xludf.DUMMYFUNCTION("""COMPUTED_VALUE"""),43467.0)</f>
        <v>43467</v>
      </c>
      <c r="F12" s="501" t="str">
        <f>IFERROR(__xludf.DUMMYFUNCTION("""COMPUTED_VALUE"""),"")</f>
        <v/>
      </c>
      <c r="G12" s="503" t="str">
        <f>IFERROR(__xludf.DUMMYFUNCTION("""COMPUTED_VALUE"""),"")</f>
        <v/>
      </c>
      <c r="H12" s="501" t="str">
        <f>IFERROR(__xludf.DUMMYFUNCTION("""COMPUTED_VALUE"""),"Meet the Greetz Alwin")</f>
        <v>Meet the Greetz Alwin</v>
      </c>
      <c r="I12" s="503" t="str">
        <f>IFERROR(__xludf.DUMMYFUNCTION("""COMPUTED_VALUE"""),"")</f>
        <v/>
      </c>
      <c r="J12" s="501" t="str">
        <f>IFERROR(__xludf.DUMMYFUNCTION("""COMPUTED_VALUE"""),"")</f>
        <v/>
      </c>
      <c r="K12" s="503" t="str">
        <f>IFERROR(__xludf.DUMMYFUNCTION("""COMPUTED_VALUE"""),"")</f>
        <v/>
      </c>
      <c r="L12" s="501" t="str">
        <f>IFERROR(__xludf.DUMMYFUNCTION("""COMPUTED_VALUE"""),"")</f>
        <v/>
      </c>
      <c r="M12" s="504">
        <f>IFERROR(__xludf.DUMMYFUNCTION("""COMPUTED_VALUE"""),1.0)</f>
        <v>1</v>
      </c>
      <c r="N12" s="501" t="str">
        <f>IFERROR(__xludf.DUMMYFUNCTION("""COMPUTED_VALUE"""),"Geven/ontvangen")</f>
        <v>Geven/ontvangen</v>
      </c>
      <c r="O12" s="501" t="str">
        <f>IFERROR(__xludf.DUMMYFUNCTION("""COMPUTED_VALUE"""),"Instagram Feed")</f>
        <v>Instagram Feed</v>
      </c>
      <c r="P12" s="503" t="str">
        <f>IFERROR(__xludf.DUMMYFUNCTION("""COMPUTED_VALUE"""),"")</f>
        <v/>
      </c>
      <c r="Q12" s="501" t="str">
        <f>IFERROR(__xludf.DUMMYFUNCTION("""COMPUTED_VALUE"""),"")</f>
        <v/>
      </c>
      <c r="R12" s="501" t="str">
        <f>IFERROR(__xludf.DUMMYFUNCTION("""COMPUTED_VALUE"""),"Timeline")</f>
        <v>Timeline</v>
      </c>
      <c r="S12" s="503" t="str">
        <f>IFERROR(__xludf.DUMMYFUNCTION("""COMPUTED_VALUE"""),"")</f>
        <v/>
      </c>
      <c r="T12" s="503" t="str">
        <f>IFERROR(__xludf.DUMMYFUNCTION("""COMPUTED_VALUE"""),"utm_source=facebook&amp;utm_medium=socialmedia&amp;utm_campaign=&amp;utm_content=meetthegreetzalwin&amp;referrer=facebook")</f>
        <v>utm_source=facebook&amp;utm_medium=socialmedia&amp;utm_campaign=&amp;utm_content=meetthegreetzalwin&amp;referrer=facebook</v>
      </c>
    </row>
    <row r="13">
      <c r="A13" s="501" t="str">
        <f>IFERROR(__xludf.DUMMYFUNCTION("""COMPUTED_VALUE"""),"januari")</f>
        <v>januari</v>
      </c>
      <c r="B13" s="501">
        <f>IFERROR(__xludf.DUMMYFUNCTION("""COMPUTED_VALUE"""),1.0)</f>
        <v>1</v>
      </c>
      <c r="C13" s="501" t="str">
        <f>IFERROR(__xludf.DUMMYFUNCTION("""COMPUTED_VALUE"""),"donderdag")</f>
        <v>donderdag</v>
      </c>
      <c r="D13" s="502">
        <f>IFERROR(__xludf.DUMMYFUNCTION("""COMPUTED_VALUE"""),43468.0)</f>
        <v>43468</v>
      </c>
      <c r="E13" s="502">
        <f>IFERROR(__xludf.DUMMYFUNCTION("""COMPUTED_VALUE"""),43475.0)</f>
        <v>43475</v>
      </c>
      <c r="F13" s="501" t="str">
        <f>IFERROR(__xludf.DUMMYFUNCTION("""COMPUTED_VALUE"""),"")</f>
        <v/>
      </c>
      <c r="G13" s="503" t="str">
        <f>IFERROR(__xludf.DUMMYFUNCTION("""COMPUTED_VALUE"""),"")</f>
        <v/>
      </c>
      <c r="H13" s="501" t="str">
        <f>IFERROR(__xludf.DUMMYFUNCTION("""COMPUTED_VALUE"""),"Special Delivery")</f>
        <v>Special Delivery</v>
      </c>
      <c r="I13" s="503" t="str">
        <f>IFERROR(__xludf.DUMMYFUNCTION("""COMPUTED_VALUE"""),"")</f>
        <v/>
      </c>
      <c r="J13" s="501" t="str">
        <f>IFERROR(__xludf.DUMMYFUNCTION("""COMPUTED_VALUE"""),"Staat klaar")</f>
        <v>Staat klaar</v>
      </c>
      <c r="K13" s="503" t="str">
        <f>IFERROR(__xludf.DUMMYFUNCTION("""COMPUTED_VALUE"""),"")</f>
        <v/>
      </c>
      <c r="L13" s="506">
        <f>IFERROR(__xludf.DUMMYFUNCTION("""COMPUTED_VALUE"""),1500.0)</f>
        <v>1500</v>
      </c>
      <c r="M13" s="504">
        <f>IFERROR(__xludf.DUMMYFUNCTION("""COMPUTED_VALUE"""),8.0)</f>
        <v>8</v>
      </c>
      <c r="N13" s="501" t="str">
        <f>IFERROR(__xludf.DUMMYFUNCTION("""COMPUTED_VALUE"""),"Merk")</f>
        <v>Merk</v>
      </c>
      <c r="O13" s="501" t="str">
        <f>IFERROR(__xludf.DUMMYFUNCTION("""COMPUTED_VALUE"""),"YouTube")</f>
        <v>YouTube</v>
      </c>
      <c r="P13" s="503" t="str">
        <f>IFERROR(__xludf.DUMMYFUNCTION("""COMPUTED_VALUE"""),"Special delivery - YouTube")</f>
        <v>Special delivery - YouTube</v>
      </c>
      <c r="Q13" s="501" t="str">
        <f>IFERROR(__xludf.DUMMYFUNCTION("""COMPUTED_VALUE"""),"Video Views")</f>
        <v>Video Views</v>
      </c>
      <c r="R13" s="501" t="str">
        <f>IFERROR(__xludf.DUMMYFUNCTION("""COMPUTED_VALUE"""),"Timeline")</f>
        <v>Timeline</v>
      </c>
      <c r="S13" s="503" t="str">
        <f>IFERROR(__xludf.DUMMYFUNCTION("""COMPUTED_VALUE"""),"")</f>
        <v/>
      </c>
      <c r="T13" s="503" t="str">
        <f>IFERROR(__xludf.DUMMYFUNCTION("""COMPUTED_VALUE"""),"utm_source=facebook&amp;utm_medium=socialmedia&amp;utm_campaign=special_delivery_-_youtube&amp;utm_content=specialdelivery&amp;referrer=facebook")</f>
        <v>utm_source=facebook&amp;utm_medium=socialmedia&amp;utm_campaign=special_delivery_-_youtube&amp;utm_content=specialdelivery&amp;referrer=facebook</v>
      </c>
    </row>
    <row r="14">
      <c r="A14" s="501" t="str">
        <f>IFERROR(__xludf.DUMMYFUNCTION("""COMPUTED_VALUE"""),"januari")</f>
        <v>januari</v>
      </c>
      <c r="B14" s="501">
        <f>IFERROR(__xludf.DUMMYFUNCTION("""COMPUTED_VALUE"""),1.0)</f>
        <v>1</v>
      </c>
      <c r="C14" s="501" t="str">
        <f>IFERROR(__xludf.DUMMYFUNCTION("""COMPUTED_VALUE"""),"donderdag")</f>
        <v>donderdag</v>
      </c>
      <c r="D14" s="502">
        <f>IFERROR(__xludf.DUMMYFUNCTION("""COMPUTED_VALUE"""),43468.0)</f>
        <v>43468</v>
      </c>
      <c r="E14" s="502">
        <f>IFERROR(__xludf.DUMMYFUNCTION("""COMPUTED_VALUE"""),43475.0)</f>
        <v>43475</v>
      </c>
      <c r="F14" s="501" t="str">
        <f>IFERROR(__xludf.DUMMYFUNCTION("""COMPUTED_VALUE"""),"")</f>
        <v/>
      </c>
      <c r="G14" s="503" t="str">
        <f>IFERROR(__xludf.DUMMYFUNCTION("""COMPUTED_VALUE"""),"")</f>
        <v/>
      </c>
      <c r="H14" s="501" t="str">
        <f>IFERROR(__xludf.DUMMYFUNCTION("""COMPUTED_VALUE"""),"Special Delivery")</f>
        <v>Special Delivery</v>
      </c>
      <c r="I14" s="503" t="str">
        <f>IFERROR(__xludf.DUMMYFUNCTION("""COMPUTED_VALUE"""),"")</f>
        <v/>
      </c>
      <c r="J14" s="501" t="str">
        <f>IFERROR(__xludf.DUMMYFUNCTION("""COMPUTED_VALUE"""),"Staat klaar")</f>
        <v>Staat klaar</v>
      </c>
      <c r="K14" s="503" t="str">
        <f>IFERROR(__xludf.DUMMYFUNCTION("""COMPUTED_VALUE"""),"")</f>
        <v/>
      </c>
      <c r="L14" s="506">
        <f>IFERROR(__xludf.DUMMYFUNCTION("""COMPUTED_VALUE"""),1000.0)</f>
        <v>1000</v>
      </c>
      <c r="M14" s="501" t="str">
        <f>IFERROR(__xludf.DUMMYFUNCTION("""COMPUTED_VALUE"""),"")</f>
        <v/>
      </c>
      <c r="N14" s="501" t="str">
        <f>IFERROR(__xludf.DUMMYFUNCTION("""COMPUTED_VALUE"""),"Merk")</f>
        <v>Merk</v>
      </c>
      <c r="O14" s="501" t="str">
        <f>IFERROR(__xludf.DUMMYFUNCTION("""COMPUTED_VALUE"""),"FB + Instagram")</f>
        <v>FB + Instagram</v>
      </c>
      <c r="P14" s="503" t="str">
        <f>IFERROR(__xludf.DUMMYFUNCTION("""COMPUTED_VALUE"""),"Special delivery - FB &amp; IG")</f>
        <v>Special delivery - FB &amp; IG</v>
      </c>
      <c r="Q14" s="501" t="str">
        <f>IFERROR(__xludf.DUMMYFUNCTION("""COMPUTED_VALUE"""),"Video Views")</f>
        <v>Video Views</v>
      </c>
      <c r="R14" s="501" t="str">
        <f>IFERROR(__xludf.DUMMYFUNCTION("""COMPUTED_VALUE"""),"Timeline")</f>
        <v>Timeline</v>
      </c>
      <c r="S14" s="503" t="str">
        <f>IFERROR(__xludf.DUMMYFUNCTION("""COMPUTED_VALUE"""),"")</f>
        <v/>
      </c>
      <c r="T14" s="503" t="str">
        <f>IFERROR(__xludf.DUMMYFUNCTION("""COMPUTED_VALUE"""),"utm_source=facebook&amp;utm_medium=socialmedia&amp;utm_campaign=special_delivery_-_fb_&amp;_ig&amp;utm_content=specialdelivery&amp;referrer=facebook")</f>
        <v>utm_source=facebook&amp;utm_medium=socialmedia&amp;utm_campaign=special_delivery_-_fb_&amp;_ig&amp;utm_content=specialdelivery&amp;referrer=facebook</v>
      </c>
    </row>
    <row r="15">
      <c r="A15" s="501" t="str">
        <f>IFERROR(__xludf.DUMMYFUNCTION("""COMPUTED_VALUE"""),"januari")</f>
        <v>januari</v>
      </c>
      <c r="B15" s="501">
        <f>IFERROR(__xludf.DUMMYFUNCTION("""COMPUTED_VALUE"""),1.0)</f>
        <v>1</v>
      </c>
      <c r="C15" s="501" t="str">
        <f>IFERROR(__xludf.DUMMYFUNCTION("""COMPUTED_VALUE"""),"vrijdag")</f>
        <v>vrijdag</v>
      </c>
      <c r="D15" s="502">
        <f>IFERROR(__xludf.DUMMYFUNCTION("""COMPUTED_VALUE"""),43469.0)</f>
        <v>43469</v>
      </c>
      <c r="E15" s="502">
        <f>IFERROR(__xludf.DUMMYFUNCTION("""COMPUTED_VALUE"""),43469.0)</f>
        <v>43469</v>
      </c>
      <c r="F15" s="501" t="str">
        <f>IFERROR(__xludf.DUMMYFUNCTION("""COMPUTED_VALUE"""),"")</f>
        <v/>
      </c>
      <c r="G15" s="503" t="str">
        <f>IFERROR(__xludf.DUMMYFUNCTION("""COMPUTED_VALUE"""),"")</f>
        <v/>
      </c>
      <c r="H15" s="501" t="str">
        <f>IFERROR(__xludf.DUMMYFUNCTION("""COMPUTED_VALUE"""),"Verrassing vrijdag: the gift label")</f>
        <v>Verrassing vrijdag: the gift label</v>
      </c>
      <c r="I15" s="503" t="str">
        <f>IFERROR(__xludf.DUMMYFUNCTION("""COMPUTED_VALUE"""),"Start het nieuwe jaar goed en ontspannen met de bijzondere verzorgingsverrassingen van The Gift Label. Nieuw bij Greetz!")</f>
        <v>Start het nieuwe jaar goed en ontspannen met de bijzondere verzorgingsverrassingen van The Gift Label. Nieuw bij Greetz!</v>
      </c>
      <c r="J15" s="501" t="str">
        <f>IFERROR(__xludf.DUMMYFUNCTION("""COMPUTED_VALUE"""),"Staat klaar")</f>
        <v>Staat klaar</v>
      </c>
      <c r="K15" s="503" t="str">
        <f>IFERROR(__xludf.DUMMYFUNCTION("""COMPUTED_VALUE"""),"")</f>
        <v/>
      </c>
      <c r="L15" s="501" t="str">
        <f>IFERROR(__xludf.DUMMYFUNCTION("""COMPUTED_VALUE"""),"")</f>
        <v/>
      </c>
      <c r="M15" s="504">
        <f>IFERROR(__xludf.DUMMYFUNCTION("""COMPUTED_VALUE"""),1.0)</f>
        <v>1</v>
      </c>
      <c r="N15" s="501" t="str">
        <f>IFERROR(__xludf.DUMMYFUNCTION("""COMPUTED_VALUE"""),"Product")</f>
        <v>Product</v>
      </c>
      <c r="O15" s="501" t="str">
        <f>IFERROR(__xludf.DUMMYFUNCTION("""COMPUTED_VALUE"""),"Instagram Feed")</f>
        <v>Instagram Feed</v>
      </c>
      <c r="P15" s="503" t="str">
        <f>IFERROR(__xludf.DUMMYFUNCTION("""COMPUTED_VALUE"""),"")</f>
        <v/>
      </c>
      <c r="Q15" s="501" t="str">
        <f>IFERROR(__xludf.DUMMYFUNCTION("""COMPUTED_VALUE"""),"")</f>
        <v/>
      </c>
      <c r="R15" s="501" t="str">
        <f>IFERROR(__xludf.DUMMYFUNCTION("""COMPUTED_VALUE"""),"Timeline")</f>
        <v>Timeline</v>
      </c>
      <c r="S15" s="503" t="str">
        <f>IFERROR(__xludf.DUMMYFUNCTION("""COMPUTED_VALUE"""),"")</f>
        <v/>
      </c>
      <c r="T15" s="503" t="str">
        <f>IFERROR(__xludf.DUMMYFUNCTION("""COMPUTED_VALUE"""),"utm_source=facebook&amp;utm_medium=socialmedia&amp;utm_campaign=&amp;utm_content=verrassingvrijdag:thegiftlabel&amp;referrer=facebook")</f>
        <v>utm_source=facebook&amp;utm_medium=socialmedia&amp;utm_campaign=&amp;utm_content=verrassingvrijdag:thegiftlabel&amp;referrer=facebook</v>
      </c>
    </row>
    <row r="16">
      <c r="A16" s="501" t="str">
        <f>IFERROR(__xludf.DUMMYFUNCTION("""COMPUTED_VALUE"""),"januari")</f>
        <v>januari</v>
      </c>
      <c r="B16" s="501">
        <f>IFERROR(__xludf.DUMMYFUNCTION("""COMPUTED_VALUE"""),1.0)</f>
        <v>1</v>
      </c>
      <c r="C16" s="501" t="str">
        <f>IFERROR(__xludf.DUMMYFUNCTION("""COMPUTED_VALUE"""),"zaterdag")</f>
        <v>zaterdag</v>
      </c>
      <c r="D16" s="502">
        <f>IFERROR(__xludf.DUMMYFUNCTION("""COMPUTED_VALUE"""),43470.0)</f>
        <v>43470</v>
      </c>
      <c r="E16" s="502">
        <f>IFERROR(__xludf.DUMMYFUNCTION("""COMPUTED_VALUE"""),43470.0)</f>
        <v>43470</v>
      </c>
      <c r="F16" s="501" t="str">
        <f>IFERROR(__xludf.DUMMYFUNCTION("""COMPUTED_VALUE"""),"")</f>
        <v/>
      </c>
      <c r="G16" s="503" t="str">
        <f>IFERROR(__xludf.DUMMYFUNCTION("""COMPUTED_VALUE"""),"")</f>
        <v/>
      </c>
      <c r="H16" s="501" t="str">
        <f>IFERROR(__xludf.DUMMYFUNCTION("""COMPUTED_VALUE"""),"Slagroomdag")</f>
        <v>Slagroomdag</v>
      </c>
      <c r="I16" s="503" t="str">
        <f>IFERROR(__xludf.DUMMYFUNCTION("""COMPUTED_VALUE"""),"")</f>
        <v/>
      </c>
      <c r="J16" s="501" t="str">
        <f>IFERROR(__xludf.DUMMYFUNCTION("""COMPUTED_VALUE"""),"")</f>
        <v/>
      </c>
      <c r="K16" s="503" t="str">
        <f>IFERROR(__xludf.DUMMYFUNCTION("""COMPUTED_VALUE"""),"")</f>
        <v/>
      </c>
      <c r="L16" s="501" t="str">
        <f>IFERROR(__xludf.DUMMYFUNCTION("""COMPUTED_VALUE"""),"")</f>
        <v/>
      </c>
      <c r="M16" s="504">
        <f>IFERROR(__xludf.DUMMYFUNCTION("""COMPUTED_VALUE"""),1.0)</f>
        <v>1</v>
      </c>
      <c r="N16" s="501" t="str">
        <f>IFERROR(__xludf.DUMMYFUNCTION("""COMPUTED_VALUE"""),"")</f>
        <v/>
      </c>
      <c r="O16" s="501" t="str">
        <f>IFERROR(__xludf.DUMMYFUNCTION("""COMPUTED_VALUE"""),"")</f>
        <v/>
      </c>
      <c r="P16" s="503" t="str">
        <f>IFERROR(__xludf.DUMMYFUNCTION("""COMPUTED_VALUE"""),"")</f>
        <v/>
      </c>
      <c r="Q16" s="501" t="str">
        <f>IFERROR(__xludf.DUMMYFUNCTION("""COMPUTED_VALUE"""),"")</f>
        <v/>
      </c>
      <c r="R16" s="501" t="str">
        <f>IFERROR(__xludf.DUMMYFUNCTION("""COMPUTED_VALUE"""),"")</f>
        <v/>
      </c>
      <c r="S16" s="503" t="str">
        <f>IFERROR(__xludf.DUMMYFUNCTION("""COMPUTED_VALUE"""),"")</f>
        <v/>
      </c>
      <c r="T16" s="503" t="str">
        <f>IFERROR(__xludf.DUMMYFUNCTION("""COMPUTED_VALUE"""),"utm_source=facebook&amp;utm_medium=socialmedia&amp;utm_campaign=&amp;utm_content=slagroomdag&amp;referrer=facebook")</f>
        <v>utm_source=facebook&amp;utm_medium=socialmedia&amp;utm_campaign=&amp;utm_content=slagroomdag&amp;referrer=facebook</v>
      </c>
    </row>
    <row r="17">
      <c r="A17" s="501" t="str">
        <f>IFERROR(__xludf.DUMMYFUNCTION("""COMPUTED_VALUE"""),"januari")</f>
        <v>januari</v>
      </c>
      <c r="B17" s="501">
        <f>IFERROR(__xludf.DUMMYFUNCTION("""COMPUTED_VALUE"""),1.0)</f>
        <v>1</v>
      </c>
      <c r="C17" s="501" t="str">
        <f>IFERROR(__xludf.DUMMYFUNCTION("""COMPUTED_VALUE"""),"zaterdag")</f>
        <v>zaterdag</v>
      </c>
      <c r="D17" s="502">
        <f>IFERROR(__xludf.DUMMYFUNCTION("""COMPUTED_VALUE"""),43470.0)</f>
        <v>43470</v>
      </c>
      <c r="E17" s="502">
        <f>IFERROR(__xludf.DUMMYFUNCTION("""COMPUTED_VALUE"""),43470.0)</f>
        <v>43470</v>
      </c>
      <c r="F17" s="501" t="str">
        <f>IFERROR(__xludf.DUMMYFUNCTION("""COMPUTED_VALUE"""),"")</f>
        <v/>
      </c>
      <c r="G17" s="503" t="str">
        <f>IFERROR(__xludf.DUMMYFUNCTION("""COMPUTED_VALUE"""),"")</f>
        <v/>
      </c>
      <c r="H17" s="501" t="str">
        <f>IFERROR(__xludf.DUMMYFUNCTION("""COMPUTED_VALUE"""),"Greetzmoment")</f>
        <v>Greetzmoment</v>
      </c>
      <c r="I17" s="503" t="str">
        <f>IFERROR(__xludf.DUMMYFUNCTION("""COMPUTED_VALUE"""),"Greetzmoment Joelle Pekaar")</f>
        <v>Greetzmoment Joelle Pekaar</v>
      </c>
      <c r="J17" s="501" t="str">
        <f>IFERROR(__xludf.DUMMYFUNCTION("""COMPUTED_VALUE"""),"")</f>
        <v/>
      </c>
      <c r="K17" s="503" t="str">
        <f>IFERROR(__xludf.DUMMYFUNCTION("""COMPUTED_VALUE"""),"")</f>
        <v/>
      </c>
      <c r="L17" s="501" t="str">
        <f>IFERROR(__xludf.DUMMYFUNCTION("""COMPUTED_VALUE"""),"")</f>
        <v/>
      </c>
      <c r="M17" s="504">
        <f>IFERROR(__xludf.DUMMYFUNCTION("""COMPUTED_VALUE"""),1.0)</f>
        <v>1</v>
      </c>
      <c r="N17" s="501" t="str">
        <f>IFERROR(__xludf.DUMMYFUNCTION("""COMPUTED_VALUE"""),"Geven/ontvangen")</f>
        <v>Geven/ontvangen</v>
      </c>
      <c r="O17" s="501" t="str">
        <f>IFERROR(__xludf.DUMMYFUNCTION("""COMPUTED_VALUE"""),"Instagram Stories")</f>
        <v>Instagram Stories</v>
      </c>
      <c r="P17" s="503" t="str">
        <f>IFERROR(__xludf.DUMMYFUNCTION("""COMPUTED_VALUE"""),"")</f>
        <v/>
      </c>
      <c r="Q17" s="501" t="str">
        <f>IFERROR(__xludf.DUMMYFUNCTION("""COMPUTED_VALUE"""),"")</f>
        <v/>
      </c>
      <c r="R17" s="501" t="str">
        <f>IFERROR(__xludf.DUMMYFUNCTION("""COMPUTED_VALUE"""),"")</f>
        <v/>
      </c>
      <c r="S17" s="503" t="str">
        <f>IFERROR(__xludf.DUMMYFUNCTION("""COMPUTED_VALUE"""),"")</f>
        <v/>
      </c>
      <c r="T17" s="503" t="str">
        <f>IFERROR(__xludf.DUMMYFUNCTION("""COMPUTED_VALUE"""),"utm_source=facebook&amp;utm_medium=socialmedia&amp;utm_campaign=&amp;utm_content=greetzmoment&amp;referrer=facebook")</f>
        <v>utm_source=facebook&amp;utm_medium=socialmedia&amp;utm_campaign=&amp;utm_content=greetzmoment&amp;referrer=facebook</v>
      </c>
    </row>
    <row r="18">
      <c r="A18" s="501" t="str">
        <f>IFERROR(__xludf.DUMMYFUNCTION("""COMPUTED_VALUE"""),"januari")</f>
        <v>januari</v>
      </c>
      <c r="B18" s="501">
        <f>IFERROR(__xludf.DUMMYFUNCTION("""COMPUTED_VALUE"""),1.0)</f>
        <v>1</v>
      </c>
      <c r="C18" s="501" t="str">
        <f>IFERROR(__xludf.DUMMYFUNCTION("""COMPUTED_VALUE"""),"zaterdag")</f>
        <v>zaterdag</v>
      </c>
      <c r="D18" s="502">
        <f>IFERROR(__xludf.DUMMYFUNCTION("""COMPUTED_VALUE"""),43470.0)</f>
        <v>43470</v>
      </c>
      <c r="E18" s="502">
        <f>IFERROR(__xludf.DUMMYFUNCTION("""COMPUTED_VALUE"""),43470.0)</f>
        <v>43470</v>
      </c>
      <c r="F18" s="501" t="str">
        <f>IFERROR(__xludf.DUMMYFUNCTION("""COMPUTED_VALUE"""),"")</f>
        <v/>
      </c>
      <c r="G18" s="503" t="str">
        <f>IFERROR(__xludf.DUMMYFUNCTION("""COMPUTED_VALUE"""),"")</f>
        <v/>
      </c>
      <c r="H18" s="501" t="str">
        <f>IFERROR(__xludf.DUMMYFUNCTION("""COMPUTED_VALUE"""),"")</f>
        <v/>
      </c>
      <c r="I18" s="503" t="str">
        <f>IFERROR(__xludf.DUMMYFUNCTION("""COMPUTED_VALUE"""),"")</f>
        <v/>
      </c>
      <c r="J18" s="501" t="str">
        <f>IFERROR(__xludf.DUMMYFUNCTION("""COMPUTED_VALUE"""),"")</f>
        <v/>
      </c>
      <c r="K18" s="503" t="str">
        <f>IFERROR(__xludf.DUMMYFUNCTION("""COMPUTED_VALUE"""),"")</f>
        <v/>
      </c>
      <c r="L18" s="501" t="str">
        <f>IFERROR(__xludf.DUMMYFUNCTION("""COMPUTED_VALUE"""),"")</f>
        <v/>
      </c>
      <c r="M18" s="504">
        <f>IFERROR(__xludf.DUMMYFUNCTION("""COMPUTED_VALUE"""),1.0)</f>
        <v>1</v>
      </c>
      <c r="N18" s="501" t="str">
        <f>IFERROR(__xludf.DUMMYFUNCTION("""COMPUTED_VALUE"""),"")</f>
        <v/>
      </c>
      <c r="O18" s="501" t="str">
        <f>IFERROR(__xludf.DUMMYFUNCTION("""COMPUTED_VALUE"""),"")</f>
        <v/>
      </c>
      <c r="P18" s="503" t="str">
        <f>IFERROR(__xludf.DUMMYFUNCTION("""COMPUTED_VALUE"""),"")</f>
        <v/>
      </c>
      <c r="Q18" s="501" t="str">
        <f>IFERROR(__xludf.DUMMYFUNCTION("""COMPUTED_VALUE"""),"")</f>
        <v/>
      </c>
      <c r="R18" s="501" t="str">
        <f>IFERROR(__xludf.DUMMYFUNCTION("""COMPUTED_VALUE"""),"")</f>
        <v/>
      </c>
      <c r="S18" s="503" t="str">
        <f>IFERROR(__xludf.DUMMYFUNCTION("""COMPUTED_VALUE"""),"")</f>
        <v/>
      </c>
      <c r="T18" s="503" t="str">
        <f>IFERROR(__xludf.DUMMYFUNCTION("""COMPUTED_VALUE"""),"utm_source=facebook&amp;utm_medium=socialmedia&amp;utm_campaign=&amp;utm_content=&amp;referrer=facebook")</f>
        <v>utm_source=facebook&amp;utm_medium=socialmedia&amp;utm_campaign=&amp;utm_content=&amp;referrer=facebook</v>
      </c>
    </row>
    <row r="19">
      <c r="A19" s="501" t="str">
        <f>IFERROR(__xludf.DUMMYFUNCTION("""COMPUTED_VALUE"""),"januari")</f>
        <v>januari</v>
      </c>
      <c r="B19" s="501">
        <f>IFERROR(__xludf.DUMMYFUNCTION("""COMPUTED_VALUE"""),2.0)</f>
        <v>2</v>
      </c>
      <c r="C19" s="501" t="str">
        <f>IFERROR(__xludf.DUMMYFUNCTION("""COMPUTED_VALUE"""),"zondag")</f>
        <v>zondag</v>
      </c>
      <c r="D19" s="502">
        <f>IFERROR(__xludf.DUMMYFUNCTION("""COMPUTED_VALUE"""),43471.0)</f>
        <v>43471</v>
      </c>
      <c r="E19" s="502">
        <f>IFERROR(__xludf.DUMMYFUNCTION("""COMPUTED_VALUE"""),43471.0)</f>
        <v>43471</v>
      </c>
      <c r="F19" s="501" t="str">
        <f>IFERROR(__xludf.DUMMYFUNCTION("""COMPUTED_VALUE"""),"")</f>
        <v/>
      </c>
      <c r="G19" s="503" t="str">
        <f>IFERROR(__xludf.DUMMYFUNCTION("""COMPUTED_VALUE"""),"")</f>
        <v/>
      </c>
      <c r="H19" s="501" t="str">
        <f>IFERROR(__xludf.DUMMYFUNCTION("""COMPUTED_VALUE"""),"Planten")</f>
        <v>Planten</v>
      </c>
      <c r="I19" s="503" t="str">
        <f>IFERROR(__xludf.DUMMYFUNCTION("""COMPUTED_VALUE"""),"Dag kerstboom, hallo plant! 🌿😍 Heb je onze plantencollectie al gezien?")</f>
        <v>Dag kerstboom, hallo plant! 🌿😍 Heb je onze plantencollectie al gezien?</v>
      </c>
      <c r="J19" s="501" t="str">
        <f>IFERROR(__xludf.DUMMYFUNCTION("""COMPUTED_VALUE"""),"Staat klaar")</f>
        <v>Staat klaar</v>
      </c>
      <c r="K19" s="505" t="str">
        <f>IFERROR(__xludf.DUMMYFUNCTION("""COMPUTED_VALUE""")," Klanten ")</f>
        <v>Klanten</v>
      </c>
      <c r="L19" s="506">
        <f>IFERROR(__xludf.DUMMYFUNCTION("""COMPUTED_VALUE"""),300.0)</f>
        <v>300</v>
      </c>
      <c r="M19" s="504">
        <f>IFERROR(__xludf.DUMMYFUNCTION("""COMPUTED_VALUE"""),1.0)</f>
        <v>1</v>
      </c>
      <c r="N19" s="501" t="str">
        <f>IFERROR(__xludf.DUMMYFUNCTION("""COMPUTED_VALUE"""),"Product")</f>
        <v>Product</v>
      </c>
      <c r="O19" s="501" t="str">
        <f>IFERROR(__xludf.DUMMYFUNCTION("""COMPUTED_VALUE"""),"Facebook")</f>
        <v>Facebook</v>
      </c>
      <c r="P19" s="503" t="str">
        <f>IFERROR(__xludf.DUMMYFUNCTION("""COMPUTED_VALUE"""),"Facebook - See - Retailcampaigning &amp; contentkalender")</f>
        <v>Facebook - See - Retailcampaigning &amp; contentkalender</v>
      </c>
      <c r="Q19" s="501" t="str">
        <f>IFERROR(__xludf.DUMMYFUNCTION("""COMPUTED_VALUE"""),"Bereik")</f>
        <v>Bereik</v>
      </c>
      <c r="R19" s="501" t="str">
        <f>IFERROR(__xludf.DUMMYFUNCTION("""COMPUTED_VALUE"""),"Timeline")</f>
        <v>Timeline</v>
      </c>
      <c r="S19" s="503" t="str">
        <f>IFERROR(__xludf.DUMMYFUNCTION("""COMPUTED_VALUE"""),"")</f>
        <v/>
      </c>
      <c r="T19" s="503" t="str">
        <f>IFERROR(__xludf.DUMMYFUNCTION("""COMPUTED_VALUE"""),"utm_source=facebook&amp;utm_medium=socialmedia&amp;utm_campaign=facebook_-_see_-_retailcampaigning_&amp;_contentkalender&amp;utm_content=planten&amp;referrer=facebook")</f>
        <v>utm_source=facebook&amp;utm_medium=socialmedia&amp;utm_campaign=facebook_-_see_-_retailcampaigning_&amp;_contentkalender&amp;utm_content=planten&amp;referrer=facebook</v>
      </c>
    </row>
    <row r="20">
      <c r="A20" s="501" t="str">
        <f>IFERROR(__xludf.DUMMYFUNCTION("""COMPUTED_VALUE"""),"januari")</f>
        <v>januari</v>
      </c>
      <c r="B20" s="501">
        <f>IFERROR(__xludf.DUMMYFUNCTION("""COMPUTED_VALUE"""),2.0)</f>
        <v>2</v>
      </c>
      <c r="C20" s="501" t="str">
        <f>IFERROR(__xludf.DUMMYFUNCTION("""COMPUTED_VALUE"""),"maandag")</f>
        <v>maandag</v>
      </c>
      <c r="D20" s="502">
        <f>IFERROR(__xludf.DUMMYFUNCTION("""COMPUTED_VALUE"""),43472.0)</f>
        <v>43472</v>
      </c>
      <c r="E20" s="502">
        <f>IFERROR(__xludf.DUMMYFUNCTION("""COMPUTED_VALUE"""),43478.0)</f>
        <v>43478</v>
      </c>
      <c r="F20" s="501" t="str">
        <f>IFERROR(__xludf.DUMMYFUNCTION("""COMPUTED_VALUE"""),"Verjaardag 💌")</f>
        <v>Verjaardag 💌</v>
      </c>
      <c r="G20" s="503" t="str">
        <f>IFERROR(__xludf.DUMMYFUNCTION("""COMPUTED_VALUE"""),"Gratis postzegel")</f>
        <v>Gratis postzegel</v>
      </c>
      <c r="H20" s="501" t="str">
        <f>IFERROR(__xludf.DUMMYFUNCTION("""COMPUTED_VALUE"""),"Gratis postzegel")</f>
        <v>Gratis postzegel</v>
      </c>
      <c r="I20" s="503" t="str">
        <f>IFERROR(__xludf.DUMMYFUNCTION("""COMPUTED_VALUE"""),"Nieuw jaar, nieuwe jarigen! Wij helpen je met je goede voornemen om attent te zijn. Want zeg nou zelf, een verjaardag begint pas met verjaardagspost. Extra leuk: stuur je nu een verjaardagskaartje, dan is de postzegel gratis.  ")</f>
        <v>Nieuw jaar, nieuwe jarigen! Wij helpen je met je goede voornemen om attent te zijn. Want zeg nou zelf, een verjaardag begint pas met verjaardagspost. Extra leuk: stuur je nu een verjaardagskaartje, dan is de postzegel gratis.  </v>
      </c>
      <c r="J20" s="501" t="str">
        <f>IFERROR(__xludf.DUMMYFUNCTION("""COMPUTED_VALUE"""),"Staat klaar")</f>
        <v>Staat klaar</v>
      </c>
      <c r="K20" s="505" t="str">
        <f>IFERROR(__xludf.DUMMYFUNCTION("""COMPUTED_VALUE""")," Hoofddoelgroep, vrienden van jarige, Geboorte doelgroep ")</f>
        <v>Hoofddoelgroep, vrienden van jarige, Geboorte doelgroep</v>
      </c>
      <c r="L20" s="506">
        <f>IFERROR(__xludf.DUMMYFUNCTION("""COMPUTED_VALUE"""),1000.0)</f>
        <v>1000</v>
      </c>
      <c r="M20" s="504">
        <f>IFERROR(__xludf.DUMMYFUNCTION("""COMPUTED_VALUE"""),7.0)</f>
        <v>7</v>
      </c>
      <c r="N20" s="501" t="str">
        <f>IFERROR(__xludf.DUMMYFUNCTION("""COMPUTED_VALUE"""),"Product")</f>
        <v>Product</v>
      </c>
      <c r="O20" s="501" t="str">
        <f>IFERROR(__xludf.DUMMYFUNCTION("""COMPUTED_VALUE"""),"Facebook")</f>
        <v>Facebook</v>
      </c>
      <c r="P20" s="503" t="str">
        <f>IFERROR(__xludf.DUMMYFUNCTION("""COMPUTED_VALUE"""),"Facebook - Do - Retailcampaigning")</f>
        <v>Facebook - Do - Retailcampaigning</v>
      </c>
      <c r="Q20" s="501" t="str">
        <f>IFERROR(__xludf.DUMMYFUNCTION("""COMPUTED_VALUE"""),"Conversie - Conversie")</f>
        <v>Conversie - Conversie</v>
      </c>
      <c r="R20" s="501" t="str">
        <f>IFERROR(__xludf.DUMMYFUNCTION("""COMPUTED_VALUE"""),"Dark")</f>
        <v>Dark</v>
      </c>
      <c r="S20" s="503" t="str">
        <f>IFERROR(__xludf.DUMMYFUNCTION("""COMPUTED_VALUE"""),"")</f>
        <v/>
      </c>
      <c r="T20" s="503" t="str">
        <f>IFERROR(__xludf.DUMMYFUNCTION("""COMPUTED_VALUE"""),"utm_source=facebook&amp;utm_medium=socialmedia&amp;utm_campaign=facebook_-_do_-_retailcampaigning&amp;utm_content=gratispostzegel&amp;referrer=facebook")</f>
        <v>utm_source=facebook&amp;utm_medium=socialmedia&amp;utm_campaign=facebook_-_do_-_retailcampaigning&amp;utm_content=gratispostzegel&amp;referrer=facebook</v>
      </c>
    </row>
    <row r="21">
      <c r="A21" s="501" t="str">
        <f>IFERROR(__xludf.DUMMYFUNCTION("""COMPUTED_VALUE"""),"januari")</f>
        <v>januari</v>
      </c>
      <c r="B21" s="501">
        <f>IFERROR(__xludf.DUMMYFUNCTION("""COMPUTED_VALUE"""),2.0)</f>
        <v>2</v>
      </c>
      <c r="C21" s="501" t="str">
        <f>IFERROR(__xludf.DUMMYFUNCTION("""COMPUTED_VALUE"""),"maandag")</f>
        <v>maandag</v>
      </c>
      <c r="D21" s="502">
        <f>IFERROR(__xludf.DUMMYFUNCTION("""COMPUTED_VALUE"""),43472.0)</f>
        <v>43472</v>
      </c>
      <c r="E21" s="502">
        <f>IFERROR(__xludf.DUMMYFUNCTION("""COMPUTED_VALUE"""),43472.0)</f>
        <v>43472</v>
      </c>
      <c r="F21" s="501" t="str">
        <f>IFERROR(__xludf.DUMMYFUNCTION("""COMPUTED_VALUE"""),"")</f>
        <v/>
      </c>
      <c r="G21" s="503" t="str">
        <f>IFERROR(__xludf.DUMMYFUNCTION("""COMPUTED_VALUE"""),"")</f>
        <v/>
      </c>
      <c r="H21" s="501" t="str">
        <f>IFERROR(__xludf.DUMMYFUNCTION("""COMPUTED_VALUE"""),"Mooie maandag")</f>
        <v>Mooie maandag</v>
      </c>
      <c r="I21" s="503" t="str">
        <f>IFERROR(__xludf.DUMMYFUNCTION("""COMPUTED_VALUE"""),"Mooie maandag! ")</f>
        <v>Mooie maandag! </v>
      </c>
      <c r="J21" s="501" t="str">
        <f>IFERROR(__xludf.DUMMYFUNCTION("""COMPUTED_VALUE"""),"Staat klaar")</f>
        <v>Staat klaar</v>
      </c>
      <c r="K21" s="503" t="str">
        <f>IFERROR(__xludf.DUMMYFUNCTION("""COMPUTED_VALUE"""),"")</f>
        <v/>
      </c>
      <c r="L21" s="501" t="str">
        <f>IFERROR(__xludf.DUMMYFUNCTION("""COMPUTED_VALUE"""),"")</f>
        <v/>
      </c>
      <c r="M21" s="504">
        <f>IFERROR(__xludf.DUMMYFUNCTION("""COMPUTED_VALUE"""),1.0)</f>
        <v>1</v>
      </c>
      <c r="N21" s="501" t="str">
        <f>IFERROR(__xludf.DUMMYFUNCTION("""COMPUTED_VALUE"""),"Product")</f>
        <v>Product</v>
      </c>
      <c r="O21" s="501" t="str">
        <f>IFERROR(__xludf.DUMMYFUNCTION("""COMPUTED_VALUE"""),"Instagram Feed")</f>
        <v>Instagram Feed</v>
      </c>
      <c r="P21" s="503" t="str">
        <f>IFERROR(__xludf.DUMMYFUNCTION("""COMPUTED_VALUE"""),"")</f>
        <v/>
      </c>
      <c r="Q21" s="501" t="str">
        <f>IFERROR(__xludf.DUMMYFUNCTION("""COMPUTED_VALUE"""),"")</f>
        <v/>
      </c>
      <c r="R21" s="501" t="str">
        <f>IFERROR(__xludf.DUMMYFUNCTION("""COMPUTED_VALUE"""),"")</f>
        <v/>
      </c>
      <c r="S21" s="503" t="str">
        <f>IFERROR(__xludf.DUMMYFUNCTION("""COMPUTED_VALUE"""),"")</f>
        <v/>
      </c>
      <c r="T21" s="503" t="str">
        <f>IFERROR(__xludf.DUMMYFUNCTION("""COMPUTED_VALUE"""),"utm_source=facebook&amp;utm_medium=socialmedia&amp;utm_campaign=&amp;utm_content=mooiemaandag&amp;referrer=facebook")</f>
        <v>utm_source=facebook&amp;utm_medium=socialmedia&amp;utm_campaign=&amp;utm_content=mooiemaandag&amp;referrer=facebook</v>
      </c>
    </row>
    <row r="22">
      <c r="A22" s="501" t="str">
        <f>IFERROR(__xludf.DUMMYFUNCTION("""COMPUTED_VALUE"""),"januari")</f>
        <v>januari</v>
      </c>
      <c r="B22" s="501">
        <f>IFERROR(__xludf.DUMMYFUNCTION("""COMPUTED_VALUE"""),2.0)</f>
        <v>2</v>
      </c>
      <c r="C22" s="501" t="str">
        <f>IFERROR(__xludf.DUMMYFUNCTION("""COMPUTED_VALUE"""),"maandag")</f>
        <v>maandag</v>
      </c>
      <c r="D22" s="502">
        <f>IFERROR(__xludf.DUMMYFUNCTION("""COMPUTED_VALUE"""),43472.0)</f>
        <v>43472</v>
      </c>
      <c r="E22" s="502">
        <f>IFERROR(__xludf.DUMMYFUNCTION("""COMPUTED_VALUE"""),43485.0)</f>
        <v>43485</v>
      </c>
      <c r="F22" s="501" t="str">
        <f>IFERROR(__xludf.DUMMYFUNCTION("""COMPUTED_VALUE"""),"")</f>
        <v/>
      </c>
      <c r="G22" s="503" t="str">
        <f>IFERROR(__xludf.DUMMYFUNCTION("""COMPUTED_VALUE"""),"20% korting op snoeppotten")</f>
        <v>20% korting op snoeppotten</v>
      </c>
      <c r="H22" s="501" t="str">
        <f>IFERROR(__xludf.DUMMYFUNCTION("""COMPUTED_VALUE"""),"")</f>
        <v/>
      </c>
      <c r="I22" s="503" t="str">
        <f>IFERROR(__xludf.DUMMYFUNCTION("""COMPUTED_VALUE"""),"")</f>
        <v/>
      </c>
      <c r="J22" s="501" t="str">
        <f>IFERROR(__xludf.DUMMYFUNCTION("""COMPUTED_VALUE"""),"")</f>
        <v/>
      </c>
      <c r="K22" s="503" t="str">
        <f>IFERROR(__xludf.DUMMYFUNCTION("""COMPUTED_VALUE"""),"")</f>
        <v/>
      </c>
      <c r="L22" s="501" t="str">
        <f>IFERROR(__xludf.DUMMYFUNCTION("""COMPUTED_VALUE"""),"")</f>
        <v/>
      </c>
      <c r="M22" s="504">
        <f>IFERROR(__xludf.DUMMYFUNCTION("""COMPUTED_VALUE"""),14.0)</f>
        <v>14</v>
      </c>
      <c r="N22" s="501" t="str">
        <f>IFERROR(__xludf.DUMMYFUNCTION("""COMPUTED_VALUE"""),"")</f>
        <v/>
      </c>
      <c r="O22" s="501" t="str">
        <f>IFERROR(__xludf.DUMMYFUNCTION("""COMPUTED_VALUE"""),"")</f>
        <v/>
      </c>
      <c r="P22" s="503" t="str">
        <f>IFERROR(__xludf.DUMMYFUNCTION("""COMPUTED_VALUE"""),"")</f>
        <v/>
      </c>
      <c r="Q22" s="501" t="str">
        <f>IFERROR(__xludf.DUMMYFUNCTION("""COMPUTED_VALUE"""),"")</f>
        <v/>
      </c>
      <c r="R22" s="501" t="str">
        <f>IFERROR(__xludf.DUMMYFUNCTION("""COMPUTED_VALUE"""),"")</f>
        <v/>
      </c>
      <c r="S22" s="503" t="str">
        <f>IFERROR(__xludf.DUMMYFUNCTION("""COMPUTED_VALUE"""),"")</f>
        <v/>
      </c>
      <c r="T22" s="503" t="str">
        <f>IFERROR(__xludf.DUMMYFUNCTION("""COMPUTED_VALUE"""),"utm_source=facebook&amp;utm_medium=socialmedia&amp;utm_campaign=&amp;utm_content=&amp;referrer=facebook")</f>
        <v>utm_source=facebook&amp;utm_medium=socialmedia&amp;utm_campaign=&amp;utm_content=&amp;referrer=facebook</v>
      </c>
    </row>
    <row r="23">
      <c r="A23" s="501" t="str">
        <f>IFERROR(__xludf.DUMMYFUNCTION("""COMPUTED_VALUE"""),"januari")</f>
        <v>januari</v>
      </c>
      <c r="B23" s="501">
        <f>IFERROR(__xludf.DUMMYFUNCTION("""COMPUTED_VALUE"""),2.0)</f>
        <v>2</v>
      </c>
      <c r="C23" s="501" t="str">
        <f>IFERROR(__xludf.DUMMYFUNCTION("""COMPUTED_VALUE"""),"dinsdag")</f>
        <v>dinsdag</v>
      </c>
      <c r="D23" s="502">
        <f>IFERROR(__xludf.DUMMYFUNCTION("""COMPUTED_VALUE"""),43473.0)</f>
        <v>43473</v>
      </c>
      <c r="E23" s="502">
        <f>IFERROR(__xludf.DUMMYFUNCTION("""COMPUTED_VALUE"""),43473.0)</f>
        <v>43473</v>
      </c>
      <c r="F23" s="501" t="str">
        <f>IFERROR(__xludf.DUMMYFUNCTION("""COMPUTED_VALUE"""),"")</f>
        <v/>
      </c>
      <c r="G23" s="503" t="str">
        <f>IFERROR(__xludf.DUMMYFUNCTION("""COMPUTED_VALUE"""),"")</f>
        <v/>
      </c>
      <c r="H23" s="501" t="str">
        <f>IFERROR(__xludf.DUMMYFUNCTION("""COMPUTED_VALUE"""),"Verjaardagskaarten")</f>
        <v>Verjaardagskaarten</v>
      </c>
      <c r="I23" s="503" t="str">
        <f>IFERROR(__xludf.DUMMYFUNCTION("""COMPUTED_VALUE"""),"Nieuw jaar, nieuwe jarigen, nieuwe verjaardagskaartjes! Welke jarige stuur jij een leuk kaartje? ")</f>
        <v>Nieuw jaar, nieuwe jarigen, nieuwe verjaardagskaartjes! Welke jarige stuur jij een leuk kaartje? </v>
      </c>
      <c r="J23" s="501" t="str">
        <f>IFERROR(__xludf.DUMMYFUNCTION("""COMPUTED_VALUE"""),"Staat klaar")</f>
        <v>Staat klaar</v>
      </c>
      <c r="K23" s="505" t="str">
        <f>IFERROR(__xludf.DUMMYFUNCTION("""COMPUTED_VALUE""")," Klanten ")</f>
        <v>Klanten</v>
      </c>
      <c r="L23" s="506">
        <f>IFERROR(__xludf.DUMMYFUNCTION("""COMPUTED_VALUE"""),350.0)</f>
        <v>350</v>
      </c>
      <c r="M23" s="504">
        <f>IFERROR(__xludf.DUMMYFUNCTION("""COMPUTED_VALUE"""),1.0)</f>
        <v>1</v>
      </c>
      <c r="N23" s="501" t="str">
        <f>IFERROR(__xludf.DUMMYFUNCTION("""COMPUTED_VALUE"""),"")</f>
        <v/>
      </c>
      <c r="O23" s="501" t="str">
        <f>IFERROR(__xludf.DUMMYFUNCTION("""COMPUTED_VALUE"""),"")</f>
        <v/>
      </c>
      <c r="P23" s="503" t="str">
        <f>IFERROR(__xludf.DUMMYFUNCTION("""COMPUTED_VALUE"""),"Facebook - See - Retailcampaigning &amp; contentkalender")</f>
        <v>Facebook - See - Retailcampaigning &amp; contentkalender</v>
      </c>
      <c r="Q23" s="501" t="str">
        <f>IFERROR(__xludf.DUMMYFUNCTION("""COMPUTED_VALUE"""),"")</f>
        <v/>
      </c>
      <c r="R23" s="501" t="str">
        <f>IFERROR(__xludf.DUMMYFUNCTION("""COMPUTED_VALUE"""),"")</f>
        <v/>
      </c>
      <c r="S23" s="503" t="str">
        <f>IFERROR(__xludf.DUMMYFUNCTION("""COMPUTED_VALUE"""),"")</f>
        <v/>
      </c>
      <c r="T23" s="503" t="str">
        <f>IFERROR(__xludf.DUMMYFUNCTION("""COMPUTED_VALUE"""),"utm_source=facebook&amp;utm_medium=socialmedia&amp;utm_campaign=facebook_-_see_-_retailcampaigning_&amp;_contentkalender&amp;utm_content=verjaardagskaarten&amp;referrer=facebook")</f>
        <v>utm_source=facebook&amp;utm_medium=socialmedia&amp;utm_campaign=facebook_-_see_-_retailcampaigning_&amp;_contentkalender&amp;utm_content=verjaardagskaarten&amp;referrer=facebook</v>
      </c>
    </row>
    <row r="24">
      <c r="A24" s="501" t="str">
        <f>IFERROR(__xludf.DUMMYFUNCTION("""COMPUTED_VALUE"""),"januari")</f>
        <v>januari</v>
      </c>
      <c r="B24" s="501">
        <f>IFERROR(__xludf.DUMMYFUNCTION("""COMPUTED_VALUE"""),2.0)</f>
        <v>2</v>
      </c>
      <c r="C24" s="501" t="str">
        <f>IFERROR(__xludf.DUMMYFUNCTION("""COMPUTED_VALUE"""),"woensdag")</f>
        <v>woensdag</v>
      </c>
      <c r="D24" s="502">
        <f>IFERROR(__xludf.DUMMYFUNCTION("""COMPUTED_VALUE"""),43474.0)</f>
        <v>43474</v>
      </c>
      <c r="E24" s="502">
        <f>IFERROR(__xludf.DUMMYFUNCTION("""COMPUTED_VALUE"""),43474.0)</f>
        <v>43474</v>
      </c>
      <c r="F24" s="501" t="str">
        <f>IFERROR(__xludf.DUMMYFUNCTION("""COMPUTED_VALUE"""),"")</f>
        <v/>
      </c>
      <c r="G24" s="503" t="str">
        <f>IFERROR(__xludf.DUMMYFUNCTION("""COMPUTED_VALUE"""),"")</f>
        <v/>
      </c>
      <c r="H24" s="501" t="str">
        <f>IFERROR(__xludf.DUMMYFUNCTION("""COMPUTED_VALUE"""),"")</f>
        <v/>
      </c>
      <c r="I24" s="503" t="str">
        <f>IFERROR(__xludf.DUMMYFUNCTION("""COMPUTED_VALUE"""),"")</f>
        <v/>
      </c>
      <c r="J24" s="501" t="str">
        <f>IFERROR(__xludf.DUMMYFUNCTION("""COMPUTED_VALUE"""),"")</f>
        <v/>
      </c>
      <c r="K24" s="503" t="str">
        <f>IFERROR(__xludf.DUMMYFUNCTION("""COMPUTED_VALUE"""),"")</f>
        <v/>
      </c>
      <c r="L24" s="501" t="str">
        <f>IFERROR(__xludf.DUMMYFUNCTION("""COMPUTED_VALUE"""),"")</f>
        <v/>
      </c>
      <c r="M24" s="504">
        <f>IFERROR(__xludf.DUMMYFUNCTION("""COMPUTED_VALUE"""),1.0)</f>
        <v>1</v>
      </c>
      <c r="N24" s="501" t="str">
        <f>IFERROR(__xludf.DUMMYFUNCTION("""COMPUTED_VALUE"""),"")</f>
        <v/>
      </c>
      <c r="O24" s="501" t="str">
        <f>IFERROR(__xludf.DUMMYFUNCTION("""COMPUTED_VALUE"""),"")</f>
        <v/>
      </c>
      <c r="P24" s="503" t="str">
        <f>IFERROR(__xludf.DUMMYFUNCTION("""COMPUTED_VALUE"""),"")</f>
        <v/>
      </c>
      <c r="Q24" s="501" t="str">
        <f>IFERROR(__xludf.DUMMYFUNCTION("""COMPUTED_VALUE"""),"")</f>
        <v/>
      </c>
      <c r="R24" s="501" t="str">
        <f>IFERROR(__xludf.DUMMYFUNCTION("""COMPUTED_VALUE"""),"")</f>
        <v/>
      </c>
      <c r="S24" s="503" t="str">
        <f>IFERROR(__xludf.DUMMYFUNCTION("""COMPUTED_VALUE"""),"")</f>
        <v/>
      </c>
      <c r="T24" s="503" t="str">
        <f>IFERROR(__xludf.DUMMYFUNCTION("""COMPUTED_VALUE"""),"utm_source=facebook&amp;utm_medium=socialmedia&amp;utm_campaign=&amp;utm_content=&amp;referrer=facebook")</f>
        <v>utm_source=facebook&amp;utm_medium=socialmedia&amp;utm_campaign=&amp;utm_content=&amp;referrer=facebook</v>
      </c>
    </row>
    <row r="25">
      <c r="A25" s="501" t="str">
        <f>IFERROR(__xludf.DUMMYFUNCTION("""COMPUTED_VALUE"""),"januari")</f>
        <v>januari</v>
      </c>
      <c r="B25" s="501">
        <f>IFERROR(__xludf.DUMMYFUNCTION("""COMPUTED_VALUE"""),2.0)</f>
        <v>2</v>
      </c>
      <c r="C25" s="501" t="str">
        <f>IFERROR(__xludf.DUMMYFUNCTION("""COMPUTED_VALUE"""),"woensdag")</f>
        <v>woensdag</v>
      </c>
      <c r="D25" s="502">
        <f>IFERROR(__xludf.DUMMYFUNCTION("""COMPUTED_VALUE"""),43474.0)</f>
        <v>43474</v>
      </c>
      <c r="E25" s="502">
        <f>IFERROR(__xludf.DUMMYFUNCTION("""COMPUTED_VALUE"""),43474.0)</f>
        <v>43474</v>
      </c>
      <c r="F25" s="501" t="str">
        <f>IFERROR(__xludf.DUMMYFUNCTION("""COMPUTED_VALUE"""),"")</f>
        <v/>
      </c>
      <c r="G25" s="503" t="str">
        <f>IFERROR(__xludf.DUMMYFUNCTION("""COMPUTED_VALUE"""),"")</f>
        <v/>
      </c>
      <c r="H25" s="501" t="str">
        <f>IFERROR(__xludf.DUMMYFUNCTION("""COMPUTED_VALUE"""),"Poll Instagram Stories")</f>
        <v>Poll Instagram Stories</v>
      </c>
      <c r="I25" s="503" t="str">
        <f>IFERROR(__xludf.DUMMYFUNCTION("""COMPUTED_VALUE"""),"Welke verjaardagskaart ziet er het lekkerst uit?")</f>
        <v>Welke verjaardagskaart ziet er het lekkerst uit?</v>
      </c>
      <c r="J25" s="501" t="str">
        <f>IFERROR(__xludf.DUMMYFUNCTION("""COMPUTED_VALUE"""),"Staat klaar")</f>
        <v>Staat klaar</v>
      </c>
      <c r="K25" s="503" t="str">
        <f>IFERROR(__xludf.DUMMYFUNCTION("""COMPUTED_VALUE"""),"")</f>
        <v/>
      </c>
      <c r="L25" s="501" t="str">
        <f>IFERROR(__xludf.DUMMYFUNCTION("""COMPUTED_VALUE"""),"")</f>
        <v/>
      </c>
      <c r="M25" s="504">
        <f>IFERROR(__xludf.DUMMYFUNCTION("""COMPUTED_VALUE"""),1.0)</f>
        <v>1</v>
      </c>
      <c r="N25" s="501" t="str">
        <f>IFERROR(__xludf.DUMMYFUNCTION("""COMPUTED_VALUE"""),"Product")</f>
        <v>Product</v>
      </c>
      <c r="O25" s="501" t="str">
        <f>IFERROR(__xludf.DUMMYFUNCTION("""COMPUTED_VALUE"""),"Instagram stories")</f>
        <v>Instagram stories</v>
      </c>
      <c r="P25" s="503" t="str">
        <f>IFERROR(__xludf.DUMMYFUNCTION("""COMPUTED_VALUE"""),"")</f>
        <v/>
      </c>
      <c r="Q25" s="501" t="str">
        <f>IFERROR(__xludf.DUMMYFUNCTION("""COMPUTED_VALUE"""),"")</f>
        <v/>
      </c>
      <c r="R25" s="501" t="str">
        <f>IFERROR(__xludf.DUMMYFUNCTION("""COMPUTED_VALUE"""),"")</f>
        <v/>
      </c>
      <c r="S25" s="503" t="str">
        <f>IFERROR(__xludf.DUMMYFUNCTION("""COMPUTED_VALUE"""),"2 kaarten in verjaardagssfeerbeeld")</f>
        <v>2 kaarten in verjaardagssfeerbeeld</v>
      </c>
      <c r="T25" s="503" t="str">
        <f>IFERROR(__xludf.DUMMYFUNCTION("""COMPUTED_VALUE"""),"utm_source=facebook&amp;utm_medium=socialmedia&amp;utm_campaign=&amp;utm_content=pollinstagramstories&amp;referrer=facebook")</f>
        <v>utm_source=facebook&amp;utm_medium=socialmedia&amp;utm_campaign=&amp;utm_content=pollinstagramstories&amp;referrer=facebook</v>
      </c>
    </row>
    <row r="26">
      <c r="A26" s="501" t="str">
        <f>IFERROR(__xludf.DUMMYFUNCTION("""COMPUTED_VALUE"""),"januari")</f>
        <v>januari</v>
      </c>
      <c r="B26" s="501">
        <f>IFERROR(__xludf.DUMMYFUNCTION("""COMPUTED_VALUE"""),2.0)</f>
        <v>2</v>
      </c>
      <c r="C26" s="501" t="str">
        <f>IFERROR(__xludf.DUMMYFUNCTION("""COMPUTED_VALUE"""),"donderdag")</f>
        <v>donderdag</v>
      </c>
      <c r="D26" s="502">
        <f>IFERROR(__xludf.DUMMYFUNCTION("""COMPUTED_VALUE"""),43475.0)</f>
        <v>43475</v>
      </c>
      <c r="E26" s="502">
        <f>IFERROR(__xludf.DUMMYFUNCTION("""COMPUTED_VALUE"""),43475.0)</f>
        <v>43475</v>
      </c>
      <c r="F26" s="501" t="str">
        <f>IFERROR(__xludf.DUMMYFUNCTION("""COMPUTED_VALUE"""),"")</f>
        <v/>
      </c>
      <c r="G26" s="503" t="str">
        <f>IFERROR(__xludf.DUMMYFUNCTION("""COMPUTED_VALUE"""),"")</f>
        <v/>
      </c>
      <c r="H26" s="501" t="str">
        <f>IFERROR(__xludf.DUMMYFUNCTION("""COMPUTED_VALUE"""),"")</f>
        <v/>
      </c>
      <c r="I26" s="503" t="str">
        <f>IFERROR(__xludf.DUMMYFUNCTION("""COMPUTED_VALUE"""),"")</f>
        <v/>
      </c>
      <c r="J26" s="501" t="str">
        <f>IFERROR(__xludf.DUMMYFUNCTION("""COMPUTED_VALUE"""),"")</f>
        <v/>
      </c>
      <c r="K26" s="503" t="str">
        <f>IFERROR(__xludf.DUMMYFUNCTION("""COMPUTED_VALUE"""),"")</f>
        <v/>
      </c>
      <c r="L26" s="501" t="str">
        <f>IFERROR(__xludf.DUMMYFUNCTION("""COMPUTED_VALUE"""),"")</f>
        <v/>
      </c>
      <c r="M26" s="504">
        <f>IFERROR(__xludf.DUMMYFUNCTION("""COMPUTED_VALUE"""),1.0)</f>
        <v>1</v>
      </c>
      <c r="N26" s="501" t="str">
        <f>IFERROR(__xludf.DUMMYFUNCTION("""COMPUTED_VALUE"""),"")</f>
        <v/>
      </c>
      <c r="O26" s="501" t="str">
        <f>IFERROR(__xludf.DUMMYFUNCTION("""COMPUTED_VALUE"""),"")</f>
        <v/>
      </c>
      <c r="P26" s="503" t="str">
        <f>IFERROR(__xludf.DUMMYFUNCTION("""COMPUTED_VALUE"""),"")</f>
        <v/>
      </c>
      <c r="Q26" s="501" t="str">
        <f>IFERROR(__xludf.DUMMYFUNCTION("""COMPUTED_VALUE"""),"")</f>
        <v/>
      </c>
      <c r="R26" s="501" t="str">
        <f>IFERROR(__xludf.DUMMYFUNCTION("""COMPUTED_VALUE"""),"")</f>
        <v/>
      </c>
      <c r="S26" s="503" t="str">
        <f>IFERROR(__xludf.DUMMYFUNCTION("""COMPUTED_VALUE"""),"")</f>
        <v/>
      </c>
      <c r="T26" s="503" t="str">
        <f>IFERROR(__xludf.DUMMYFUNCTION("""COMPUTED_VALUE"""),"utm_source=facebook&amp;utm_medium=socialmedia&amp;utm_campaign=&amp;utm_content=&amp;referrer=facebook")</f>
        <v>utm_source=facebook&amp;utm_medium=socialmedia&amp;utm_campaign=&amp;utm_content=&amp;referrer=facebook</v>
      </c>
    </row>
    <row r="27">
      <c r="A27" s="501" t="str">
        <f>IFERROR(__xludf.DUMMYFUNCTION("""COMPUTED_VALUE"""),"januari")</f>
        <v>januari</v>
      </c>
      <c r="B27" s="501">
        <f>IFERROR(__xludf.DUMMYFUNCTION("""COMPUTED_VALUE"""),2.0)</f>
        <v>2</v>
      </c>
      <c r="C27" s="501" t="str">
        <f>IFERROR(__xludf.DUMMYFUNCTION("""COMPUTED_VALUE"""),"vrijdag")</f>
        <v>vrijdag</v>
      </c>
      <c r="D27" s="502">
        <f>IFERROR(__xludf.DUMMYFUNCTION("""COMPUTED_VALUE"""),43476.0)</f>
        <v>43476</v>
      </c>
      <c r="E27" s="502">
        <f>IFERROR(__xludf.DUMMYFUNCTION("""COMPUTED_VALUE"""),43476.0)</f>
        <v>43476</v>
      </c>
      <c r="F27" s="501" t="str">
        <f>IFERROR(__xludf.DUMMYFUNCTION("""COMPUTED_VALUE"""),"")</f>
        <v/>
      </c>
      <c r="G27" s="503" t="str">
        <f>IFERROR(__xludf.DUMMYFUNCTION("""COMPUTED_VALUE"""),"")</f>
        <v/>
      </c>
      <c r="H27" s="501" t="str">
        <f>IFERROR(__xludf.DUMMYFUNCTION("""COMPUTED_VALUE"""),"Nieuw bij Greetz: kleine snoeppotten ")</f>
        <v>Nieuw bij Greetz: kleine snoeppotten </v>
      </c>
      <c r="I27" s="503" t="str">
        <f>IFERROR(__xludf.DUMMYFUNCTION("""COMPUTED_VALUE"""),"Minder suiker als goed voornemen? Verras gewoon met een kleinere snoeppot ;-) Nieuw bij Greetz!")</f>
        <v>Minder suiker als goed voornemen? Verras gewoon met een kleinere snoeppot ;-) Nieuw bij Greetz!</v>
      </c>
      <c r="J27" s="501" t="str">
        <f>IFERROR(__xludf.DUMMYFUNCTION("""COMPUTED_VALUE"""),"Staat klaar")</f>
        <v>Staat klaar</v>
      </c>
      <c r="K27" s="505" t="str">
        <f>IFERROR(__xludf.DUMMYFUNCTION("""COMPUTED_VALUE""")," Klanten, hoofddoelgroep ")</f>
        <v>Klanten, hoofddoelgroep</v>
      </c>
      <c r="L27" s="506">
        <f>IFERROR(__xludf.DUMMYFUNCTION("""COMPUTED_VALUE"""),450.0)</f>
        <v>450</v>
      </c>
      <c r="M27" s="504">
        <f>IFERROR(__xludf.DUMMYFUNCTION("""COMPUTED_VALUE"""),1.0)</f>
        <v>1</v>
      </c>
      <c r="N27" s="501" t="str">
        <f>IFERROR(__xludf.DUMMYFUNCTION("""COMPUTED_VALUE"""),"Product")</f>
        <v>Product</v>
      </c>
      <c r="O27" s="501" t="str">
        <f>IFERROR(__xludf.DUMMYFUNCTION("""COMPUTED_VALUE"""),"Facebook")</f>
        <v>Facebook</v>
      </c>
      <c r="P27" s="503" t="str">
        <f>IFERROR(__xludf.DUMMYFUNCTION("""COMPUTED_VALUE"""),"Facebook - See - Retailcampaigning &amp; contentkalender")</f>
        <v>Facebook - See - Retailcampaigning &amp; contentkalender</v>
      </c>
      <c r="Q27" s="501" t="str">
        <f>IFERROR(__xludf.DUMMYFUNCTION("""COMPUTED_VALUE"""),"")</f>
        <v/>
      </c>
      <c r="R27" s="501" t="str">
        <f>IFERROR(__xludf.DUMMYFUNCTION("""COMPUTED_VALUE"""),"Timeline")</f>
        <v>Timeline</v>
      </c>
      <c r="S27" s="503" t="str">
        <f>IFERROR(__xludf.DUMMYFUNCTION("""COMPUTED_VALUE"""),"")</f>
        <v/>
      </c>
      <c r="T27" s="503" t="str">
        <f>IFERROR(__xludf.DUMMYFUNCTION("""COMPUTED_VALUE"""),"utm_source=facebook&amp;utm_medium=socialmedia&amp;utm_campaign=facebook_-_see_-_retailcampaigning_&amp;_contentkalender&amp;utm_content=nieuwbijgreetz:kleinesnoeppotten&amp;referrer=facebook")</f>
        <v>utm_source=facebook&amp;utm_medium=socialmedia&amp;utm_campaign=facebook_-_see_-_retailcampaigning_&amp;_contentkalender&amp;utm_content=nieuwbijgreetz:kleinesnoeppotten&amp;referrer=facebook</v>
      </c>
    </row>
    <row r="28">
      <c r="A28" s="501" t="str">
        <f>IFERROR(__xludf.DUMMYFUNCTION("""COMPUTED_VALUE"""),"januari")</f>
        <v>januari</v>
      </c>
      <c r="B28" s="501">
        <f>IFERROR(__xludf.DUMMYFUNCTION("""COMPUTED_VALUE"""),2.0)</f>
        <v>2</v>
      </c>
      <c r="C28" s="501" t="str">
        <f>IFERROR(__xludf.DUMMYFUNCTION("""COMPUTED_VALUE"""),"vrijdag")</f>
        <v>vrijdag</v>
      </c>
      <c r="D28" s="502">
        <f>IFERROR(__xludf.DUMMYFUNCTION("""COMPUTED_VALUE"""),43476.0)</f>
        <v>43476</v>
      </c>
      <c r="E28" s="502">
        <f>IFERROR(__xludf.DUMMYFUNCTION("""COMPUTED_VALUE"""),43479.0)</f>
        <v>43479</v>
      </c>
      <c r="F28" s="501" t="str">
        <f>IFERROR(__xludf.DUMMYFUNCTION("""COMPUTED_VALUE"""),"")</f>
        <v/>
      </c>
      <c r="G28" s="503" t="str">
        <f>IFERROR(__xludf.DUMMYFUNCTION("""COMPUTED_VALUE"""),"")</f>
        <v/>
      </c>
      <c r="H28" s="501" t="str">
        <f>IFERROR(__xludf.DUMMYFUNCTION("""COMPUTED_VALUE"""),"Valentijn")</f>
        <v>Valentijn</v>
      </c>
      <c r="I28" s="503" t="str">
        <f>IFERROR(__xludf.DUMMYFUNCTION("""COMPUTED_VALUE"""),"Weet jij al wie jij veel liefs wil sturen met Valentijnsdag? De liefde van je leven, beste vriendin, lieve moeder... En wil je hierover vertellen in een video van Greetz? Vertel het ons en wie weet tot vrijdag 18 januari bij ons in Amsterdam 😄")</f>
        <v>Weet jij al wie jij veel liefs wil sturen met Valentijnsdag? De liefde van je leven, beste vriendin, lieve moeder... En wil je hierover vertellen in een video van Greetz? Vertel het ons en wie weet tot vrijdag 18 januari bij ons in Amsterdam 😄</v>
      </c>
      <c r="J28" s="501" t="str">
        <f>IFERROR(__xludf.DUMMYFUNCTION("""COMPUTED_VALUE"""),"Staat klaar")</f>
        <v>Staat klaar</v>
      </c>
      <c r="K28" s="505" t="str">
        <f>IFERROR(__xludf.DUMMYFUNCTION("""COMPUTED_VALUE""")," Klanten ")</f>
        <v>Klanten</v>
      </c>
      <c r="L28" s="506">
        <f>IFERROR(__xludf.DUMMYFUNCTION("""COMPUTED_VALUE"""),500.0)</f>
        <v>500</v>
      </c>
      <c r="M28" s="501" t="str">
        <f>IFERROR(__xludf.DUMMYFUNCTION("""COMPUTED_VALUE"""),"")</f>
        <v/>
      </c>
      <c r="N28" s="501" t="str">
        <f>IFERROR(__xludf.DUMMYFUNCTION("""COMPUTED_VALUE"""),"Merk")</f>
        <v>Merk</v>
      </c>
      <c r="O28" s="501" t="str">
        <f>IFERROR(__xludf.DUMMYFUNCTION("""COMPUTED_VALUE"""),"Facebook")</f>
        <v>Facebook</v>
      </c>
      <c r="P28" s="503" t="str">
        <f>IFERROR(__xludf.DUMMYFUNCTION("""COMPUTED_VALUE"""),"Facebook - See - Retailcampaigning &amp; contentkalender")</f>
        <v>Facebook - See - Retailcampaigning &amp; contentkalender</v>
      </c>
      <c r="Q28" s="501" t="str">
        <f>IFERROR(__xludf.DUMMYFUNCTION("""COMPUTED_VALUE"""),"Engagement")</f>
        <v>Engagement</v>
      </c>
      <c r="R28" s="501" t="str">
        <f>IFERROR(__xludf.DUMMYFUNCTION("""COMPUTED_VALUE"""),"Timeline")</f>
        <v>Timeline</v>
      </c>
      <c r="S28" s="503" t="str">
        <f>IFERROR(__xludf.DUMMYFUNCTION("""COMPUTED_VALUE"""),"Foto van Terence al filmend")</f>
        <v>Foto van Terence al filmend</v>
      </c>
      <c r="T28" s="503" t="str">
        <f>IFERROR(__xludf.DUMMYFUNCTION("""COMPUTED_VALUE"""),"utm_source=facebook&amp;utm_medium=socialmedia&amp;utm_campaign=facebook_-_see_-_retailcampaigning_&amp;_contentkalender&amp;utm_content=valentijn&amp;referrer=facebook")</f>
        <v>utm_source=facebook&amp;utm_medium=socialmedia&amp;utm_campaign=facebook_-_see_-_retailcampaigning_&amp;_contentkalender&amp;utm_content=valentijn&amp;referrer=facebook</v>
      </c>
    </row>
    <row r="29">
      <c r="A29" s="501" t="str">
        <f>IFERROR(__xludf.DUMMYFUNCTION("""COMPUTED_VALUE"""),"januari")</f>
        <v>januari</v>
      </c>
      <c r="B29" s="501">
        <f>IFERROR(__xludf.DUMMYFUNCTION("""COMPUTED_VALUE"""),2.0)</f>
        <v>2</v>
      </c>
      <c r="C29" s="501" t="str">
        <f>IFERROR(__xludf.DUMMYFUNCTION("""COMPUTED_VALUE"""),"vrijdag")</f>
        <v>vrijdag</v>
      </c>
      <c r="D29" s="502">
        <f>IFERROR(__xludf.DUMMYFUNCTION("""COMPUTED_VALUE"""),43476.0)</f>
        <v>43476</v>
      </c>
      <c r="E29" s="502">
        <f>IFERROR(__xludf.DUMMYFUNCTION("""COMPUTED_VALUE"""),43476.0)</f>
        <v>43476</v>
      </c>
      <c r="F29" s="501" t="str">
        <f>IFERROR(__xludf.DUMMYFUNCTION("""COMPUTED_VALUE"""),"")</f>
        <v/>
      </c>
      <c r="G29" s="503" t="str">
        <f>IFERROR(__xludf.DUMMYFUNCTION("""COMPUTED_VALUE"""),"")</f>
        <v/>
      </c>
      <c r="H29" s="501" t="str">
        <f>IFERROR(__xludf.DUMMYFUNCTION("""COMPUTED_VALUE"""),"Verrassing vrijdag")</f>
        <v>Verrassing vrijdag</v>
      </c>
      <c r="I29" s="503" t="str">
        <f>IFERROR(__xludf.DUMMYFUNCTION("""COMPUTED_VALUE"""),"Sweets for mij sweet! Nieuw bij Greetz, kleine snoeppotten met superleuk etiket. Welke jarige zoetekauw ga jij verrassen?")</f>
        <v>Sweets for mij sweet! Nieuw bij Greetz, kleine snoeppotten met superleuk etiket. Welke jarige zoetekauw ga jij verrassen?</v>
      </c>
      <c r="J29" s="501" t="str">
        <f>IFERROR(__xludf.DUMMYFUNCTION("""COMPUTED_VALUE"""),"Staat klaar")</f>
        <v>Staat klaar</v>
      </c>
      <c r="K29" s="503" t="str">
        <f>IFERROR(__xludf.DUMMYFUNCTION("""COMPUTED_VALUE"""),"")</f>
        <v/>
      </c>
      <c r="L29" s="501" t="str">
        <f>IFERROR(__xludf.DUMMYFUNCTION("""COMPUTED_VALUE"""),"")</f>
        <v/>
      </c>
      <c r="M29" s="504">
        <f>IFERROR(__xludf.DUMMYFUNCTION("""COMPUTED_VALUE"""),1.0)</f>
        <v>1</v>
      </c>
      <c r="N29" s="501" t="str">
        <f>IFERROR(__xludf.DUMMYFUNCTION("""COMPUTED_VALUE"""),"Product")</f>
        <v>Product</v>
      </c>
      <c r="O29" s="501" t="str">
        <f>IFERROR(__xludf.DUMMYFUNCTION("""COMPUTED_VALUE"""),"Instagram Feed")</f>
        <v>Instagram Feed</v>
      </c>
      <c r="P29" s="503" t="str">
        <f>IFERROR(__xludf.DUMMYFUNCTION("""COMPUTED_VALUE"""),"")</f>
        <v/>
      </c>
      <c r="Q29" s="501" t="str">
        <f>IFERROR(__xludf.DUMMYFUNCTION("""COMPUTED_VALUE"""),"")</f>
        <v/>
      </c>
      <c r="R29" s="501" t="str">
        <f>IFERROR(__xludf.DUMMYFUNCTION("""COMPUTED_VALUE"""),"")</f>
        <v/>
      </c>
      <c r="S29" s="503" t="str">
        <f>IFERROR(__xludf.DUMMYFUNCTION("""COMPUTED_VALUE"""),"Passend verjaardagssfeerbeeld (met bijvoorbeeld getekende snoepjes en ballonnen) van drie verschillende kleine snoeppotten")</f>
        <v>Passend verjaardagssfeerbeeld (met bijvoorbeeld getekende snoepjes en ballonnen) van drie verschillende kleine snoeppotten</v>
      </c>
      <c r="T29"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30">
      <c r="A30" s="501" t="str">
        <f>IFERROR(__xludf.DUMMYFUNCTION("""COMPUTED_VALUE"""),"januari")</f>
        <v>januari</v>
      </c>
      <c r="B30" s="501">
        <f>IFERROR(__xludf.DUMMYFUNCTION("""COMPUTED_VALUE"""),2.0)</f>
        <v>2</v>
      </c>
      <c r="C30" s="501" t="str">
        <f>IFERROR(__xludf.DUMMYFUNCTION("""COMPUTED_VALUE"""),"zaterdag")</f>
        <v>zaterdag</v>
      </c>
      <c r="D30" s="502">
        <f>IFERROR(__xludf.DUMMYFUNCTION("""COMPUTED_VALUE"""),43477.0)</f>
        <v>43477</v>
      </c>
      <c r="E30" s="502">
        <f>IFERROR(__xludf.DUMMYFUNCTION("""COMPUTED_VALUE"""),43477.0)</f>
        <v>43477</v>
      </c>
      <c r="F30" s="501" t="str">
        <f>IFERROR(__xludf.DUMMYFUNCTION("""COMPUTED_VALUE"""),"")</f>
        <v/>
      </c>
      <c r="G30" s="503" t="str">
        <f>IFERROR(__xludf.DUMMYFUNCTION("""COMPUTED_VALUE"""),"")</f>
        <v/>
      </c>
      <c r="H30" s="501" t="str">
        <f>IFERROR(__xludf.DUMMYFUNCTION("""COMPUTED_VALUE"""),"Greetzmoment ")</f>
        <v>Greetzmoment </v>
      </c>
      <c r="I30" s="503" t="str">
        <f>IFERROR(__xludf.DUMMYFUNCTION("""COMPUTED_VALUE"""),"Greetzmoment :chantal_vaartjes")</f>
        <v>Greetzmoment :chantal_vaartjes</v>
      </c>
      <c r="J30" s="501" t="str">
        <f>IFERROR(__xludf.DUMMYFUNCTION("""COMPUTED_VALUE"""),"Staat klaar")</f>
        <v>Staat klaar</v>
      </c>
      <c r="K30" s="503" t="str">
        <f>IFERROR(__xludf.DUMMYFUNCTION("""COMPUTED_VALUE"""),"")</f>
        <v/>
      </c>
      <c r="L30" s="501" t="str">
        <f>IFERROR(__xludf.DUMMYFUNCTION("""COMPUTED_VALUE"""),"")</f>
        <v/>
      </c>
      <c r="M30" s="504">
        <f>IFERROR(__xludf.DUMMYFUNCTION("""COMPUTED_VALUE"""),1.0)</f>
        <v>1</v>
      </c>
      <c r="N30" s="501" t="str">
        <f>IFERROR(__xludf.DUMMYFUNCTION("""COMPUTED_VALUE"""),"Geven/ontvangen")</f>
        <v>Geven/ontvangen</v>
      </c>
      <c r="O30" s="501" t="str">
        <f>IFERROR(__xludf.DUMMYFUNCTION("""COMPUTED_VALUE"""),"Instagram Stories")</f>
        <v>Instagram Stories</v>
      </c>
      <c r="P30" s="503" t="str">
        <f>IFERROR(__xludf.DUMMYFUNCTION("""COMPUTED_VALUE"""),"")</f>
        <v/>
      </c>
      <c r="Q30" s="501" t="str">
        <f>IFERROR(__xludf.DUMMYFUNCTION("""COMPUTED_VALUE"""),"")</f>
        <v/>
      </c>
      <c r="R30" s="501" t="str">
        <f>IFERROR(__xludf.DUMMYFUNCTION("""COMPUTED_VALUE"""),"")</f>
        <v/>
      </c>
      <c r="S30" s="503" t="str">
        <f>IFERROR(__xludf.DUMMYFUNCTION("""COMPUTED_VALUE"""),"")</f>
        <v/>
      </c>
      <c r="T30" s="503" t="str">
        <f>IFERROR(__xludf.DUMMYFUNCTION("""COMPUTED_VALUE"""),"utm_source=facebook&amp;utm_medium=socialmedia&amp;utm_campaign=&amp;utm_content=greetzmoment&amp;referrer=facebook")</f>
        <v>utm_source=facebook&amp;utm_medium=socialmedia&amp;utm_campaign=&amp;utm_content=greetzmoment&amp;referrer=facebook</v>
      </c>
    </row>
    <row r="31">
      <c r="A31" s="501" t="str">
        <f>IFERROR(__xludf.DUMMYFUNCTION("""COMPUTED_VALUE"""),"januari")</f>
        <v>januari</v>
      </c>
      <c r="B31" s="501">
        <f>IFERROR(__xludf.DUMMYFUNCTION("""COMPUTED_VALUE"""),3.0)</f>
        <v>3</v>
      </c>
      <c r="C31" s="501" t="str">
        <f>IFERROR(__xludf.DUMMYFUNCTION("""COMPUTED_VALUE"""),"zondag")</f>
        <v>zondag</v>
      </c>
      <c r="D31" s="502">
        <f>IFERROR(__xludf.DUMMYFUNCTION("""COMPUTED_VALUE"""),43478.0)</f>
        <v>43478</v>
      </c>
      <c r="E31" s="502">
        <f>IFERROR(__xludf.DUMMYFUNCTION("""COMPUTED_VALUE"""),43478.0)</f>
        <v>43478</v>
      </c>
      <c r="F31" s="501" t="str">
        <f>IFERROR(__xludf.DUMMYFUNCTION("""COMPUTED_VALUE"""),"")</f>
        <v/>
      </c>
      <c r="G31" s="503" t="str">
        <f>IFERROR(__xludf.DUMMYFUNCTION("""COMPUTED_VALUE"""),"")</f>
        <v/>
      </c>
      <c r="H31" s="501" t="str">
        <f>IFERROR(__xludf.DUMMYFUNCTION("""COMPUTED_VALUE"""),"Greetzmoment ")</f>
        <v>Greetzmoment </v>
      </c>
      <c r="I31" s="503" t="str">
        <f>IFERROR(__xludf.DUMMYFUNCTION("""COMPUTED_VALUE"""),"Wat een leuke, lieve, grappige, feestelijke #greetzmomenten hebben we weer ontvangen")</f>
        <v>Wat een leuke, lieve, grappige, feestelijke #greetzmomenten hebben we weer ontvangen</v>
      </c>
      <c r="J31" s="501" t="str">
        <f>IFERROR(__xludf.DUMMYFUNCTION("""COMPUTED_VALUE"""),"")</f>
        <v/>
      </c>
      <c r="K31" s="505" t="str">
        <f>IFERROR(__xludf.DUMMYFUNCTION("""COMPUTED_VALUE""")," Klanten ")</f>
        <v>Klanten</v>
      </c>
      <c r="L31" s="506">
        <f>IFERROR(__xludf.DUMMYFUNCTION("""COMPUTED_VALUE"""),150.0)</f>
        <v>150</v>
      </c>
      <c r="M31" s="504">
        <f>IFERROR(__xludf.DUMMYFUNCTION("""COMPUTED_VALUE"""),1.0)</f>
        <v>1</v>
      </c>
      <c r="N31" s="501" t="str">
        <f>IFERROR(__xludf.DUMMYFUNCTION("""COMPUTED_VALUE"""),"Merk")</f>
        <v>Merk</v>
      </c>
      <c r="O31" s="501" t="str">
        <f>IFERROR(__xludf.DUMMYFUNCTION("""COMPUTED_VALUE"""),"Facebook")</f>
        <v>Facebook</v>
      </c>
      <c r="P31" s="503" t="str">
        <f>IFERROR(__xludf.DUMMYFUNCTION("""COMPUTED_VALUE"""),"Facebook - See - Retailcampaigning &amp; contentkalender")</f>
        <v>Facebook - See - Retailcampaigning &amp; contentkalender</v>
      </c>
      <c r="Q31" s="501" t="str">
        <f>IFERROR(__xludf.DUMMYFUNCTION("""COMPUTED_VALUE"""),"Bereik")</f>
        <v>Bereik</v>
      </c>
      <c r="R31" s="501" t="str">
        <f>IFERROR(__xludf.DUMMYFUNCTION("""COMPUTED_VALUE"""),"Timeline")</f>
        <v>Timeline</v>
      </c>
      <c r="S31" s="503" t="str">
        <f>IFERROR(__xludf.DUMMYFUNCTION("""COMPUTED_VALUE"""),"")</f>
        <v/>
      </c>
      <c r="T31" s="503" t="str">
        <f>IFERROR(__xludf.DUMMYFUNCTION("""COMPUTED_VALUE"""),"utm_source=facebook&amp;utm_medium=socialmedia&amp;utm_campaign=facebook_-_see_-_retailcampaigning_&amp;_contentkalender&amp;utm_content=greetzmoment&amp;referrer=facebook")</f>
        <v>utm_source=facebook&amp;utm_medium=socialmedia&amp;utm_campaign=facebook_-_see_-_retailcampaigning_&amp;_contentkalender&amp;utm_content=greetzmoment&amp;referrer=facebook</v>
      </c>
    </row>
    <row r="32">
      <c r="A32" s="501" t="str">
        <f>IFERROR(__xludf.DUMMYFUNCTION("""COMPUTED_VALUE"""),"januari")</f>
        <v>januari</v>
      </c>
      <c r="B32" s="501">
        <f>IFERROR(__xludf.DUMMYFUNCTION("""COMPUTED_VALUE"""),3.0)</f>
        <v>3</v>
      </c>
      <c r="C32" s="501" t="str">
        <f>IFERROR(__xludf.DUMMYFUNCTION("""COMPUTED_VALUE"""),"maandag")</f>
        <v>maandag</v>
      </c>
      <c r="D32" s="502">
        <f>IFERROR(__xludf.DUMMYFUNCTION("""COMPUTED_VALUE"""),43479.0)</f>
        <v>43479</v>
      </c>
      <c r="E32" s="502">
        <f>IFERROR(__xludf.DUMMYFUNCTION("""COMPUTED_VALUE"""),43485.0)</f>
        <v>43485</v>
      </c>
      <c r="F32" s="501" t="str">
        <f>IFERROR(__xludf.DUMMYFUNCTION("""COMPUTED_VALUE"""),"Verjaardag 🍭")</f>
        <v>Verjaardag 🍭</v>
      </c>
      <c r="G32" s="503" t="str">
        <f>IFERROR(__xludf.DUMMYFUNCTION("""COMPUTED_VALUE"""),"20% korting op snoeppotten")</f>
        <v>20% korting op snoeppotten</v>
      </c>
      <c r="H32" s="501" t="str">
        <f>IFERROR(__xludf.DUMMYFUNCTION("""COMPUTED_VALUE"""),"snoeppotten 20 procent korting")</f>
        <v>snoeppotten 20 procent korting</v>
      </c>
      <c r="I32" s="503" t="str">
        <f>IFERROR(__xludf.DUMMYFUNCTION("""COMPUTED_VALUE"""),"Sweets for my sweet! 🍭 We hebben grote en kleine snoeppotten met allerlei lekkere snoepjes die graag een (verjaardags)feestje meevieren ;-) Wie ga jij hiermee verrassen? 
Sweets for my sweet! 🍭 We hebben grote en kleine snoeppotten met allerlei lekkere"&amp;" snoepjes die graag een (verjaardags)feestje meevieren ;-) Wie ga jij hiermee verrassen? 
En bestel je nu een verrassing van minimaal €25,-, dan hebben wij een mooi cadeautje voor jou. Een gratis dag heerlijk ontspannen in een wellness, mmmh 😊💕")</f>
        <v>Sweets for my sweet! 🍭 We hebben grote en kleine snoeppotten met allerlei lekkere snoepjes die graag een (verjaardags)feestje meevieren ;-) Wie ga jij hiermee verrassen? 
Sweets for my sweet! 🍭 We hebben grote en kleine snoeppotten met allerlei lekkere snoepjes die graag een (verjaardags)feestje meevieren ;-) Wie ga jij hiermee verrassen? 
En bestel je nu een verrassing van minimaal €25,-, dan hebben wij een mooi cadeautje voor jou. Een gratis dag heerlijk ontspannen in een wellness, mmmh 😊💕</v>
      </c>
      <c r="J32" s="501" t="str">
        <f>IFERROR(__xludf.DUMMYFUNCTION("""COMPUTED_VALUE"""),"Staat klaar")</f>
        <v>Staat klaar</v>
      </c>
      <c r="K32" s="505" t="str">
        <f>IFERROR(__xludf.DUMMYFUNCTION("""COMPUTED_VALUE""")," Klanten ")</f>
        <v>Klanten</v>
      </c>
      <c r="L32" s="506">
        <f>IFERROR(__xludf.DUMMYFUNCTION("""COMPUTED_VALUE"""),600.0)</f>
        <v>600</v>
      </c>
      <c r="M32" s="504">
        <f>IFERROR(__xludf.DUMMYFUNCTION("""COMPUTED_VALUE"""),7.0)</f>
        <v>7</v>
      </c>
      <c r="N32" s="501" t="str">
        <f>IFERROR(__xludf.DUMMYFUNCTION("""COMPUTED_VALUE"""),"Product")</f>
        <v>Product</v>
      </c>
      <c r="O32" s="501" t="str">
        <f>IFERROR(__xludf.DUMMYFUNCTION("""COMPUTED_VALUE"""),"Facebook")</f>
        <v>Facebook</v>
      </c>
      <c r="P32" s="503" t="str">
        <f>IFERROR(__xludf.DUMMYFUNCTION("""COMPUTED_VALUE"""),"Facebook - Do - Retailcampaigning")</f>
        <v>Facebook - Do - Retailcampaigning</v>
      </c>
      <c r="Q32" s="501" t="str">
        <f>IFERROR(__xludf.DUMMYFUNCTION("""COMPUTED_VALUE"""),"Conversie - Conversie")</f>
        <v>Conversie - Conversie</v>
      </c>
      <c r="R32" s="501" t="str">
        <f>IFERROR(__xludf.DUMMYFUNCTION("""COMPUTED_VALUE"""),"Dark")</f>
        <v>Dark</v>
      </c>
      <c r="S32" s="503" t="str">
        <f>IFERROR(__xludf.DUMMYFUNCTION("""COMPUTED_VALUE"""),"
 ")</f>
        <v>
 </v>
      </c>
      <c r="T32" s="503" t="str">
        <f>IFERROR(__xludf.DUMMYFUNCTION("""COMPUTED_VALUE"""),"utm_source=facebook&amp;utm_medium=socialmedia&amp;utm_campaign=facebook_-_do_-_retailcampaigning&amp;utm_content=snoeppotten20procentkorting&amp;referrer=facebook")</f>
        <v>utm_source=facebook&amp;utm_medium=socialmedia&amp;utm_campaign=facebook_-_do_-_retailcampaigning&amp;utm_content=snoeppotten20procentkorting&amp;referrer=facebook</v>
      </c>
    </row>
    <row r="33">
      <c r="A33" s="501" t="str">
        <f>IFERROR(__xludf.DUMMYFUNCTION("""COMPUTED_VALUE"""),"januari")</f>
        <v>januari</v>
      </c>
      <c r="B33" s="501">
        <f>IFERROR(__xludf.DUMMYFUNCTION("""COMPUTED_VALUE"""),3.0)</f>
        <v>3</v>
      </c>
      <c r="C33" s="501" t="str">
        <f>IFERROR(__xludf.DUMMYFUNCTION("""COMPUTED_VALUE"""),"maandag")</f>
        <v>maandag</v>
      </c>
      <c r="D33" s="502">
        <f>IFERROR(__xludf.DUMMYFUNCTION("""COMPUTED_VALUE"""),43479.0)</f>
        <v>43479</v>
      </c>
      <c r="E33" s="502">
        <f>IFERROR(__xludf.DUMMYFUNCTION("""COMPUTED_VALUE"""),43479.0)</f>
        <v>43479</v>
      </c>
      <c r="F33" s="501" t="str">
        <f>IFERROR(__xludf.DUMMYFUNCTION("""COMPUTED_VALUE"""),"")</f>
        <v/>
      </c>
      <c r="G33" s="503" t="str">
        <f>IFERROR(__xludf.DUMMYFUNCTION("""COMPUTED_VALUE"""),"")</f>
        <v/>
      </c>
      <c r="H33" s="501" t="str">
        <f>IFERROR(__xludf.DUMMYFUNCTION("""COMPUTED_VALUE"""),"Mooie maandag")</f>
        <v>Mooie maandag</v>
      </c>
      <c r="I33" s="503" t="str">
        <f>IFERROR(__xludf.DUMMYFUNCTION("""COMPUTED_VALUE"""),"")</f>
        <v/>
      </c>
      <c r="J33" s="501" t="str">
        <f>IFERROR(__xludf.DUMMYFUNCTION("""COMPUTED_VALUE"""),"")</f>
        <v/>
      </c>
      <c r="K33" s="503" t="str">
        <f>IFERROR(__xludf.DUMMYFUNCTION("""COMPUTED_VALUE"""),"")</f>
        <v/>
      </c>
      <c r="L33" s="501" t="str">
        <f>IFERROR(__xludf.DUMMYFUNCTION("""COMPUTED_VALUE"""),"")</f>
        <v/>
      </c>
      <c r="M33" s="504">
        <f>IFERROR(__xludf.DUMMYFUNCTION("""COMPUTED_VALUE"""),1.0)</f>
        <v>1</v>
      </c>
      <c r="N33" s="501" t="str">
        <f>IFERROR(__xludf.DUMMYFUNCTION("""COMPUTED_VALUE"""),"Product")</f>
        <v>Product</v>
      </c>
      <c r="O33" s="501" t="str">
        <f>IFERROR(__xludf.DUMMYFUNCTION("""COMPUTED_VALUE"""),"Instagram Feed")</f>
        <v>Instagram Feed</v>
      </c>
      <c r="P33" s="503" t="str">
        <f>IFERROR(__xludf.DUMMYFUNCTION("""COMPUTED_VALUE"""),"")</f>
        <v/>
      </c>
      <c r="Q33" s="501" t="str">
        <f>IFERROR(__xludf.DUMMYFUNCTION("""COMPUTED_VALUE"""),"")</f>
        <v/>
      </c>
      <c r="R33" s="501" t="str">
        <f>IFERROR(__xludf.DUMMYFUNCTION("""COMPUTED_VALUE"""),"")</f>
        <v/>
      </c>
      <c r="S33" s="507" t="str">
        <f>IFERROR(__xludf.DUMMYFUNCTION("""COMPUTED_VALUE"""),"https://www.greetz.nl/kaart/detail/lucies-quote---pineapple/1142776312")</f>
        <v>https://www.greetz.nl/kaart/detail/lucies-quote---pineapple/1142776312</v>
      </c>
      <c r="T33" s="503" t="str">
        <f>IFERROR(__xludf.DUMMYFUNCTION("""COMPUTED_VALUE"""),"utm_source=facebook&amp;utm_medium=socialmedia&amp;utm_campaign=&amp;utm_content=mooiemaandag&amp;referrer=facebook")</f>
        <v>utm_source=facebook&amp;utm_medium=socialmedia&amp;utm_campaign=&amp;utm_content=mooiemaandag&amp;referrer=facebook</v>
      </c>
    </row>
    <row r="34">
      <c r="A34" s="501" t="str">
        <f>IFERROR(__xludf.DUMMYFUNCTION("""COMPUTED_VALUE"""),"januari")</f>
        <v>januari</v>
      </c>
      <c r="B34" s="501">
        <f>IFERROR(__xludf.DUMMYFUNCTION("""COMPUTED_VALUE"""),3.0)</f>
        <v>3</v>
      </c>
      <c r="C34" s="501" t="str">
        <f>IFERROR(__xludf.DUMMYFUNCTION("""COMPUTED_VALUE"""),"maandag")</f>
        <v>maandag</v>
      </c>
      <c r="D34" s="502">
        <f>IFERROR(__xludf.DUMMYFUNCTION("""COMPUTED_VALUE"""),43479.0)</f>
        <v>43479</v>
      </c>
      <c r="E34" s="502">
        <f>IFERROR(__xludf.DUMMYFUNCTION("""COMPUTED_VALUE"""),43479.0)</f>
        <v>43479</v>
      </c>
      <c r="F34" s="501" t="str">
        <f>IFERROR(__xludf.DUMMYFUNCTION("""COMPUTED_VALUE"""),"")</f>
        <v/>
      </c>
      <c r="G34" s="503" t="str">
        <f>IFERROR(__xludf.DUMMYFUNCTION("""COMPUTED_VALUE"""),"")</f>
        <v/>
      </c>
      <c r="H34" s="501" t="str">
        <f>IFERROR(__xludf.DUMMYFUNCTION("""COMPUTED_VALUE"""),"Valentijnsvideo oproep")</f>
        <v>Valentijnsvideo oproep</v>
      </c>
      <c r="I34" s="503" t="str">
        <f>IFERROR(__xludf.DUMMYFUNCTION("""COMPUTED_VALUE"""),"")</f>
        <v/>
      </c>
      <c r="J34" s="501" t="str">
        <f>IFERROR(__xludf.DUMMYFUNCTION("""COMPUTED_VALUE"""),"Staat klaar")</f>
        <v>Staat klaar</v>
      </c>
      <c r="K34" s="505" t="str">
        <f>IFERROR(__xludf.DUMMYFUNCTION("""COMPUTED_VALUE""")," Vrouwendoelgroep ")</f>
        <v>Vrouwendoelgroep</v>
      </c>
      <c r="L34" s="506">
        <f>IFERROR(__xludf.DUMMYFUNCTION("""COMPUTED_VALUE"""),100.0)</f>
        <v>100</v>
      </c>
      <c r="M34" s="504">
        <f>IFERROR(__xludf.DUMMYFUNCTION("""COMPUTED_VALUE"""),1.0)</f>
        <v>1</v>
      </c>
      <c r="N34" s="501" t="str">
        <f>IFERROR(__xludf.DUMMYFUNCTION("""COMPUTED_VALUE"""),"Merk")</f>
        <v>Merk</v>
      </c>
      <c r="O34" s="501" t="str">
        <f>IFERROR(__xludf.DUMMYFUNCTION("""COMPUTED_VALUE"""),"Instagram Feed")</f>
        <v>Instagram Feed</v>
      </c>
      <c r="P34" s="503" t="str">
        <f>IFERROR(__xludf.DUMMYFUNCTION("""COMPUTED_VALUE"""),"Facebook - See - Retailcampaigning &amp; contentkalender")</f>
        <v>Facebook - See - Retailcampaigning &amp; contentkalender</v>
      </c>
      <c r="Q34" s="501" t="str">
        <f>IFERROR(__xludf.DUMMYFUNCTION("""COMPUTED_VALUE"""),"Engagement")</f>
        <v>Engagement</v>
      </c>
      <c r="R34" s="501" t="str">
        <f>IFERROR(__xludf.DUMMYFUNCTION("""COMPUTED_VALUE"""),"Timeline")</f>
        <v>Timeline</v>
      </c>
      <c r="S34" s="503" t="str">
        <f>IFERROR(__xludf.DUMMYFUNCTION("""COMPUTED_VALUE"""),"")</f>
        <v/>
      </c>
      <c r="T34" s="503" t="str">
        <f>IFERROR(__xludf.DUMMYFUNCTION("""COMPUTED_VALUE"""),"utm_source=facebook&amp;utm_medium=socialmedia&amp;utm_campaign=facebook_-_see_-_retailcampaigning_&amp;_contentkalender&amp;utm_content=valentijnsvideooproep&amp;referrer=facebook")</f>
        <v>utm_source=facebook&amp;utm_medium=socialmedia&amp;utm_campaign=facebook_-_see_-_retailcampaigning_&amp;_contentkalender&amp;utm_content=valentijnsvideooproep&amp;referrer=facebook</v>
      </c>
    </row>
    <row r="35">
      <c r="A35" s="501" t="str">
        <f>IFERROR(__xludf.DUMMYFUNCTION("""COMPUTED_VALUE"""),"januari")</f>
        <v>januari</v>
      </c>
      <c r="B35" s="501">
        <f>IFERROR(__xludf.DUMMYFUNCTION("""COMPUTED_VALUE"""),3.0)</f>
        <v>3</v>
      </c>
      <c r="C35" s="501" t="str">
        <f>IFERROR(__xludf.DUMMYFUNCTION("""COMPUTED_VALUE"""),"dinsdag")</f>
        <v>dinsdag</v>
      </c>
      <c r="D35" s="502">
        <f>IFERROR(__xludf.DUMMYFUNCTION("""COMPUTED_VALUE"""),43480.0)</f>
        <v>43480</v>
      </c>
      <c r="E35" s="502">
        <f>IFERROR(__xludf.DUMMYFUNCTION("""COMPUTED_VALUE"""),43480.0)</f>
        <v>43480</v>
      </c>
      <c r="F35" s="501" t="str">
        <f>IFERROR(__xludf.DUMMYFUNCTION("""COMPUTED_VALUE"""),"")</f>
        <v/>
      </c>
      <c r="G35" s="503" t="str">
        <f>IFERROR(__xludf.DUMMYFUNCTION("""COMPUTED_VALUE"""),"")</f>
        <v/>
      </c>
      <c r="H35" s="501" t="str">
        <f>IFERROR(__xludf.DUMMYFUNCTION("""COMPUTED_VALUE"""),"Lekkers verjaardag")</f>
        <v>Lekkers verjaardag</v>
      </c>
      <c r="I35" s="503" t="str">
        <f>IFERROR(__xludf.DUMMYFUNCTION("""COMPUTED_VALUE"""),"Verjaardagscalorieen tellen niet ;-) Heb je al ons lekkers voor de jarige job of jet al gespot?")</f>
        <v>Verjaardagscalorieen tellen niet ;-) Heb je al ons lekkers voor de jarige job of jet al gespot?</v>
      </c>
      <c r="J35" s="501" t="str">
        <f>IFERROR(__xludf.DUMMYFUNCTION("""COMPUTED_VALUE"""),"Staat klaar")</f>
        <v>Staat klaar</v>
      </c>
      <c r="K35" s="505" t="str">
        <f>IFERROR(__xludf.DUMMYFUNCTION("""COMPUTED_VALUE""")," Klanten ")</f>
        <v>Klanten</v>
      </c>
      <c r="L35" s="506">
        <f>IFERROR(__xludf.DUMMYFUNCTION("""COMPUTED_VALUE"""),400.0)</f>
        <v>400</v>
      </c>
      <c r="M35" s="504">
        <f>IFERROR(__xludf.DUMMYFUNCTION("""COMPUTED_VALUE"""),1.0)</f>
        <v>1</v>
      </c>
      <c r="N35" s="501" t="str">
        <f>IFERROR(__xludf.DUMMYFUNCTION("""COMPUTED_VALUE"""),"Product")</f>
        <v>Product</v>
      </c>
      <c r="O35" s="501" t="str">
        <f>IFERROR(__xludf.DUMMYFUNCTION("""COMPUTED_VALUE"""),"Facebook")</f>
        <v>Facebook</v>
      </c>
      <c r="P35" s="503" t="str">
        <f>IFERROR(__xludf.DUMMYFUNCTION("""COMPUTED_VALUE"""),"Facebook - See - Retailcampaigning &amp; contentkalender")</f>
        <v>Facebook - See - Retailcampaigning &amp; contentkalender</v>
      </c>
      <c r="Q35" s="501" t="str">
        <f>IFERROR(__xludf.DUMMYFUNCTION("""COMPUTED_VALUE"""),"Bereik")</f>
        <v>Bereik</v>
      </c>
      <c r="R35" s="501" t="str">
        <f>IFERROR(__xludf.DUMMYFUNCTION("""COMPUTED_VALUE"""),"Timeline")</f>
        <v>Timeline</v>
      </c>
      <c r="S35" s="503" t="str">
        <f>IFERROR(__xludf.DUMMYFUNCTION("""COMPUTED_VALUE"""),"Modelfotografie met gebakjes")</f>
        <v>Modelfotografie met gebakjes</v>
      </c>
      <c r="T35" s="503" t="str">
        <f>IFERROR(__xludf.DUMMYFUNCTION("""COMPUTED_VALUE"""),"utm_source=facebook&amp;utm_medium=socialmedia&amp;utm_campaign=facebook_-_see_-_retailcampaigning_&amp;_contentkalender&amp;utm_content=lekkersverjaardag&amp;referrer=facebook")</f>
        <v>utm_source=facebook&amp;utm_medium=socialmedia&amp;utm_campaign=facebook_-_see_-_retailcampaigning_&amp;_contentkalender&amp;utm_content=lekkersverjaardag&amp;referrer=facebook</v>
      </c>
    </row>
    <row r="36">
      <c r="A36" s="501" t="str">
        <f>IFERROR(__xludf.DUMMYFUNCTION("""COMPUTED_VALUE"""),"januari")</f>
        <v>januari</v>
      </c>
      <c r="B36" s="501">
        <f>IFERROR(__xludf.DUMMYFUNCTION("""COMPUTED_VALUE"""),3.0)</f>
        <v>3</v>
      </c>
      <c r="C36" s="501" t="str">
        <f>IFERROR(__xludf.DUMMYFUNCTION("""COMPUTED_VALUE"""),"woensdag")</f>
        <v>woensdag</v>
      </c>
      <c r="D36" s="502">
        <f>IFERROR(__xludf.DUMMYFUNCTION("""COMPUTED_VALUE"""),43481.0)</f>
        <v>43481</v>
      </c>
      <c r="E36" s="502">
        <f>IFERROR(__xludf.DUMMYFUNCTION("""COMPUTED_VALUE"""),43481.0)</f>
        <v>43481</v>
      </c>
      <c r="F36" s="501" t="str">
        <f>IFERROR(__xludf.DUMMYFUNCTION("""COMPUTED_VALUE"""),"")</f>
        <v/>
      </c>
      <c r="G36" s="503" t="str">
        <f>IFERROR(__xludf.DUMMYFUNCTION("""COMPUTED_VALUE"""),"")</f>
        <v/>
      </c>
      <c r="H36" s="501" t="str">
        <f>IFERROR(__xludf.DUMMYFUNCTION("""COMPUTED_VALUE"""),"")</f>
        <v/>
      </c>
      <c r="I36" s="503" t="str">
        <f>IFERROR(__xludf.DUMMYFUNCTION("""COMPUTED_VALUE"""),"")</f>
        <v/>
      </c>
      <c r="J36" s="501" t="str">
        <f>IFERROR(__xludf.DUMMYFUNCTION("""COMPUTED_VALUE"""),"")</f>
        <v/>
      </c>
      <c r="K36" s="503" t="str">
        <f>IFERROR(__xludf.DUMMYFUNCTION("""COMPUTED_VALUE"""),"")</f>
        <v/>
      </c>
      <c r="L36" s="501" t="str">
        <f>IFERROR(__xludf.DUMMYFUNCTION("""COMPUTED_VALUE"""),"")</f>
        <v/>
      </c>
      <c r="M36" s="504">
        <f>IFERROR(__xludf.DUMMYFUNCTION("""COMPUTED_VALUE"""),1.0)</f>
        <v>1</v>
      </c>
      <c r="N36" s="501" t="str">
        <f>IFERROR(__xludf.DUMMYFUNCTION("""COMPUTED_VALUE"""),"")</f>
        <v/>
      </c>
      <c r="O36" s="501" t="str">
        <f>IFERROR(__xludf.DUMMYFUNCTION("""COMPUTED_VALUE"""),"")</f>
        <v/>
      </c>
      <c r="P36" s="503" t="str">
        <f>IFERROR(__xludf.DUMMYFUNCTION("""COMPUTED_VALUE"""),"")</f>
        <v/>
      </c>
      <c r="Q36" s="501" t="str">
        <f>IFERROR(__xludf.DUMMYFUNCTION("""COMPUTED_VALUE"""),"")</f>
        <v/>
      </c>
      <c r="R36" s="501" t="str">
        <f>IFERROR(__xludf.DUMMYFUNCTION("""COMPUTED_VALUE"""),"")</f>
        <v/>
      </c>
      <c r="S36" s="503" t="str">
        <f>IFERROR(__xludf.DUMMYFUNCTION("""COMPUTED_VALUE"""),"")</f>
        <v/>
      </c>
      <c r="T36" s="503" t="str">
        <f>IFERROR(__xludf.DUMMYFUNCTION("""COMPUTED_VALUE"""),"utm_source=facebook&amp;utm_medium=socialmedia&amp;utm_campaign=&amp;utm_content=&amp;referrer=facebook")</f>
        <v>utm_source=facebook&amp;utm_medium=socialmedia&amp;utm_campaign=&amp;utm_content=&amp;referrer=facebook</v>
      </c>
    </row>
    <row r="37">
      <c r="A37" s="501" t="str">
        <f>IFERROR(__xludf.DUMMYFUNCTION("""COMPUTED_VALUE"""),"januari")</f>
        <v>januari</v>
      </c>
      <c r="B37" s="501">
        <f>IFERROR(__xludf.DUMMYFUNCTION("""COMPUTED_VALUE"""),3.0)</f>
        <v>3</v>
      </c>
      <c r="C37" s="501" t="str">
        <f>IFERROR(__xludf.DUMMYFUNCTION("""COMPUTED_VALUE"""),"donderdag")</f>
        <v>donderdag</v>
      </c>
      <c r="D37" s="502">
        <f>IFERROR(__xludf.DUMMYFUNCTION("""COMPUTED_VALUE"""),43482.0)</f>
        <v>43482</v>
      </c>
      <c r="E37" s="502">
        <f>IFERROR(__xludf.DUMMYFUNCTION("""COMPUTED_VALUE"""),43490.0)</f>
        <v>43490</v>
      </c>
      <c r="F37" s="501" t="str">
        <f>IFERROR(__xludf.DUMMYFUNCTION("""COMPUTED_VALUE"""),"")</f>
        <v/>
      </c>
      <c r="G37" s="503" t="str">
        <f>IFERROR(__xludf.DUMMYFUNCTION("""COMPUTED_VALUE"""),"")</f>
        <v/>
      </c>
      <c r="H37" s="501" t="str">
        <f>IFERROR(__xludf.DUMMYFUNCTION("""COMPUTED_VALUE"""),"Special Delivery aflevering 29")</f>
        <v>Special Delivery aflevering 29</v>
      </c>
      <c r="I37" s="503" t="str">
        <f>IFERROR(__xludf.DUMMYFUNCTION("""COMPUTED_VALUE"""),"")</f>
        <v/>
      </c>
      <c r="J37" s="501" t="str">
        <f>IFERROR(__xludf.DUMMYFUNCTION("""COMPUTED_VALUE"""),"Staat klaar")</f>
        <v>Staat klaar</v>
      </c>
      <c r="K37" s="503" t="str">
        <f>IFERROR(__xludf.DUMMYFUNCTION("""COMPUTED_VALUE"""),"")</f>
        <v/>
      </c>
      <c r="L37" s="506">
        <f>IFERROR(__xludf.DUMMYFUNCTION("""COMPUTED_VALUE"""),500.0)</f>
        <v>500</v>
      </c>
      <c r="M37" s="504">
        <f>IFERROR(__xludf.DUMMYFUNCTION("""COMPUTED_VALUE"""),9.0)</f>
        <v>9</v>
      </c>
      <c r="N37" s="501" t="str">
        <f>IFERROR(__xludf.DUMMYFUNCTION("""COMPUTED_VALUE"""),"Merk")</f>
        <v>Merk</v>
      </c>
      <c r="O37" s="501" t="str">
        <f>IFERROR(__xludf.DUMMYFUNCTION("""COMPUTED_VALUE"""),"FB + Instagram")</f>
        <v>FB + Instagram</v>
      </c>
      <c r="P37" s="503" t="str">
        <f>IFERROR(__xludf.DUMMYFUNCTION("""COMPUTED_VALUE"""),"Special delivery - FB &amp; IG")</f>
        <v>Special delivery - FB &amp; IG</v>
      </c>
      <c r="Q37" s="501" t="str">
        <f>IFERROR(__xludf.DUMMYFUNCTION("""COMPUTED_VALUE"""),"Bereik")</f>
        <v>Bereik</v>
      </c>
      <c r="R37" s="501" t="str">
        <f>IFERROR(__xludf.DUMMYFUNCTION("""COMPUTED_VALUE"""),"Timeline")</f>
        <v>Timeline</v>
      </c>
      <c r="S37" s="503" t="str">
        <f>IFERROR(__xludf.DUMMYFUNCTION("""COMPUTED_VALUE"""),"Video")</f>
        <v>Video</v>
      </c>
      <c r="T37" s="503" t="str">
        <f>IFERROR(__xludf.DUMMYFUNCTION("""COMPUTED_VALUE"""),"utm_source=facebook&amp;utm_medium=socialmedia&amp;utm_campaign=special_delivery_-_fb_&amp;_ig&amp;utm_content=specialdeliveryaflevering29&amp;referrer=facebook")</f>
        <v>utm_source=facebook&amp;utm_medium=socialmedia&amp;utm_campaign=special_delivery_-_fb_&amp;_ig&amp;utm_content=specialdeliveryaflevering29&amp;referrer=facebook</v>
      </c>
    </row>
    <row r="38">
      <c r="A38" s="501" t="str">
        <f>IFERROR(__xludf.DUMMYFUNCTION("""COMPUTED_VALUE"""),"januari")</f>
        <v>januari</v>
      </c>
      <c r="B38" s="501">
        <f>IFERROR(__xludf.DUMMYFUNCTION("""COMPUTED_VALUE"""),3.0)</f>
        <v>3</v>
      </c>
      <c r="C38" s="501" t="str">
        <f>IFERROR(__xludf.DUMMYFUNCTION("""COMPUTED_VALUE"""),"donderdag")</f>
        <v>donderdag</v>
      </c>
      <c r="D38" s="502">
        <f>IFERROR(__xludf.DUMMYFUNCTION("""COMPUTED_VALUE"""),43482.0)</f>
        <v>43482</v>
      </c>
      <c r="E38" s="502">
        <f>IFERROR(__xludf.DUMMYFUNCTION("""COMPUTED_VALUE"""),43490.0)</f>
        <v>43490</v>
      </c>
      <c r="F38" s="501" t="str">
        <f>IFERROR(__xludf.DUMMYFUNCTION("""COMPUTED_VALUE"""),"")</f>
        <v/>
      </c>
      <c r="G38" s="503" t="str">
        <f>IFERROR(__xludf.DUMMYFUNCTION("""COMPUTED_VALUE"""),"")</f>
        <v/>
      </c>
      <c r="H38" s="501" t="str">
        <f>IFERROR(__xludf.DUMMYFUNCTION("""COMPUTED_VALUE"""),"Special Delivery aflevering 29")</f>
        <v>Special Delivery aflevering 29</v>
      </c>
      <c r="I38" s="503" t="str">
        <f>IFERROR(__xludf.DUMMYFUNCTION("""COMPUTED_VALUE"""),"")</f>
        <v/>
      </c>
      <c r="J38" s="501" t="str">
        <f>IFERROR(__xludf.DUMMYFUNCTION("""COMPUTED_VALUE"""),"Staat klaar")</f>
        <v>Staat klaar</v>
      </c>
      <c r="K38" s="503" t="str">
        <f>IFERROR(__xludf.DUMMYFUNCTION("""COMPUTED_VALUE"""),"")</f>
        <v/>
      </c>
      <c r="L38" s="506">
        <f>IFERROR(__xludf.DUMMYFUNCTION("""COMPUTED_VALUE"""),1000.0)</f>
        <v>1000</v>
      </c>
      <c r="M38" s="504">
        <f>IFERROR(__xludf.DUMMYFUNCTION("""COMPUTED_VALUE"""),9.0)</f>
        <v>9</v>
      </c>
      <c r="N38" s="501" t="str">
        <f>IFERROR(__xludf.DUMMYFUNCTION("""COMPUTED_VALUE"""),"Merk")</f>
        <v>Merk</v>
      </c>
      <c r="O38" s="501" t="str">
        <f>IFERROR(__xludf.DUMMYFUNCTION("""COMPUTED_VALUE"""),"YouTube")</f>
        <v>YouTube</v>
      </c>
      <c r="P38" s="503" t="str">
        <f>IFERROR(__xludf.DUMMYFUNCTION("""COMPUTED_VALUE"""),"Special delivery - YouTube")</f>
        <v>Special delivery - YouTube</v>
      </c>
      <c r="Q38" s="501" t="str">
        <f>IFERROR(__xludf.DUMMYFUNCTION("""COMPUTED_VALUE"""),"Bereik")</f>
        <v>Bereik</v>
      </c>
      <c r="R38" s="501" t="str">
        <f>IFERROR(__xludf.DUMMYFUNCTION("""COMPUTED_VALUE"""),"Timeline")</f>
        <v>Timeline</v>
      </c>
      <c r="S38" s="503" t="str">
        <f>IFERROR(__xludf.DUMMYFUNCTION("""COMPUTED_VALUE"""),"Video")</f>
        <v>Video</v>
      </c>
      <c r="T38" s="503" t="str">
        <f>IFERROR(__xludf.DUMMYFUNCTION("""COMPUTED_VALUE"""),"utm_source=facebook&amp;utm_medium=socialmedia&amp;utm_campaign=special_delivery_-_youtube&amp;utm_content=specialdeliveryaflevering29&amp;referrer=facebook")</f>
        <v>utm_source=facebook&amp;utm_medium=socialmedia&amp;utm_campaign=special_delivery_-_youtube&amp;utm_content=specialdeliveryaflevering29&amp;referrer=facebook</v>
      </c>
    </row>
    <row r="39">
      <c r="A39" s="501" t="str">
        <f>IFERROR(__xludf.DUMMYFUNCTION("""COMPUTED_VALUE"""),"januari")</f>
        <v>januari</v>
      </c>
      <c r="B39" s="501">
        <f>IFERROR(__xludf.DUMMYFUNCTION("""COMPUTED_VALUE"""),3.0)</f>
        <v>3</v>
      </c>
      <c r="C39" s="501" t="str">
        <f>IFERROR(__xludf.DUMMYFUNCTION("""COMPUTED_VALUE"""),"donderdag")</f>
        <v>donderdag</v>
      </c>
      <c r="D39" s="502">
        <f>IFERROR(__xludf.DUMMYFUNCTION("""COMPUTED_VALUE"""),43482.0)</f>
        <v>43482</v>
      </c>
      <c r="E39" s="502">
        <f>IFERROR(__xludf.DUMMYFUNCTION("""COMPUTED_VALUE"""),43485.0)</f>
        <v>43485</v>
      </c>
      <c r="F39" s="501" t="str">
        <f>IFERROR(__xludf.DUMMYFUNCTION("""COMPUTED_VALUE"""),"")</f>
        <v/>
      </c>
      <c r="G39" s="503" t="str">
        <f>IFERROR(__xludf.DUMMYFUNCTION("""COMPUTED_VALUE"""),"")</f>
        <v/>
      </c>
      <c r="H39" s="501" t="str">
        <f>IFERROR(__xludf.DUMMYFUNCTION("""COMPUTED_VALUE"""),"Oproep Special Delivery flight 5")</f>
        <v>Oproep Special Delivery flight 5</v>
      </c>
      <c r="I39" s="503" t="str">
        <f>IFERROR(__xludf.DUMMYFUNCTION("""COMPUTED_VALUE"""),"woonachtig in het midden van het land")</f>
        <v>woonachtig in het midden van het land</v>
      </c>
      <c r="J39" s="501" t="str">
        <f>IFERROR(__xludf.DUMMYFUNCTION("""COMPUTED_VALUE"""),"")</f>
        <v/>
      </c>
      <c r="K39" s="505" t="str">
        <f>IFERROR(__xludf.DUMMYFUNCTION("""COMPUTED_VALUE""")," Vrouwen van 18 - 55 jaar ")</f>
        <v>Vrouwen van 18 - 55 jaar</v>
      </c>
      <c r="L39" s="501" t="str">
        <f>IFERROR(__xludf.DUMMYFUNCTION("""COMPUTED_VALUE"""),"")</f>
        <v/>
      </c>
      <c r="M39" s="504">
        <f>IFERROR(__xludf.DUMMYFUNCTION("""COMPUTED_VALUE"""),4.0)</f>
        <v>4</v>
      </c>
      <c r="N39" s="501" t="str">
        <f>IFERROR(__xludf.DUMMYFUNCTION("""COMPUTED_VALUE"""),"Geven/ontvangen")</f>
        <v>Geven/ontvangen</v>
      </c>
      <c r="O39" s="501" t="str">
        <f>IFERROR(__xludf.DUMMYFUNCTION("""COMPUTED_VALUE"""),"FB + Instagram")</f>
        <v>FB + Instagram</v>
      </c>
      <c r="P39" s="503" t="str">
        <f>IFERROR(__xludf.DUMMYFUNCTION("""COMPUTED_VALUE"""),"Facebook - Think - Retailcampaigning")</f>
        <v>Facebook - Think - Retailcampaigning</v>
      </c>
      <c r="Q39" s="501" t="str">
        <f>IFERROR(__xludf.DUMMYFUNCTION("""COMPUTED_VALUE"""),"Traffic")</f>
        <v>Traffic</v>
      </c>
      <c r="R39" s="501" t="str">
        <f>IFERROR(__xludf.DUMMYFUNCTION("""COMPUTED_VALUE"""),"Dark")</f>
        <v>Dark</v>
      </c>
      <c r="S39" s="503" t="str">
        <f>IFERROR(__xludf.DUMMYFUNCTION("""COMPUTED_VALUE"""),"")</f>
        <v/>
      </c>
      <c r="T39" s="503" t="str">
        <f>IFERROR(__xludf.DUMMYFUNCTION("""COMPUTED_VALUE"""),"utm_source=facebook&amp;utm_medium=socialmedia&amp;utm_campaign=facebook_-_think_-_retailcampaigning&amp;utm_content=oproepspecialdeliveryflight5&amp;referrer=facebook")</f>
        <v>utm_source=facebook&amp;utm_medium=socialmedia&amp;utm_campaign=facebook_-_think_-_retailcampaigning&amp;utm_content=oproepspecialdeliveryflight5&amp;referrer=facebook</v>
      </c>
    </row>
    <row r="40">
      <c r="A40" s="501" t="str">
        <f>IFERROR(__xludf.DUMMYFUNCTION("""COMPUTED_VALUE"""),"januari")</f>
        <v>januari</v>
      </c>
      <c r="B40" s="501">
        <f>IFERROR(__xludf.DUMMYFUNCTION("""COMPUTED_VALUE"""),3.0)</f>
        <v>3</v>
      </c>
      <c r="C40" s="501" t="str">
        <f>IFERROR(__xludf.DUMMYFUNCTION("""COMPUTED_VALUE"""),"vrijdag")</f>
        <v>vrijdag</v>
      </c>
      <c r="D40" s="502">
        <f>IFERROR(__xludf.DUMMYFUNCTION("""COMPUTED_VALUE"""),43483.0)</f>
        <v>43483</v>
      </c>
      <c r="E40" s="502">
        <f>IFERROR(__xludf.DUMMYFUNCTION("""COMPUTED_VALUE"""),43486.0)</f>
        <v>43486</v>
      </c>
      <c r="F40" s="501" t="str">
        <f>IFERROR(__xludf.DUMMYFUNCTION("""COMPUTED_VALUE"""),"")</f>
        <v/>
      </c>
      <c r="G40" s="503" t="str">
        <f>IFERROR(__xludf.DUMMYFUNCTION("""COMPUTED_VALUE"""),"")</f>
        <v/>
      </c>
      <c r="H40" s="501" t="str">
        <f>IFERROR(__xludf.DUMMYFUNCTION("""COMPUTED_VALUE"""),"Winactie: BBQ boek")</f>
        <v>Winactie: BBQ boek</v>
      </c>
      <c r="I40" s="503" t="str">
        <f>IFERROR(__xludf.DUMMYFUNCTION("""COMPUTED_VALUE"""),"Nieuw bij Greetz: ultiem verjaardagscadeautje voor de BBQ-liefhebber. En wij geven nu 10 gesigneerde exemplaren weg. Wie wil jij daarmee verrassen?")</f>
        <v>Nieuw bij Greetz: ultiem verjaardagscadeautje voor de BBQ-liefhebber. En wij geven nu 10 gesigneerde exemplaren weg. Wie wil jij daarmee verrassen?</v>
      </c>
      <c r="J40" s="501" t="str">
        <f>IFERROR(__xludf.DUMMYFUNCTION("""COMPUTED_VALUE"""),"Designen")</f>
        <v>Designen</v>
      </c>
      <c r="K40" s="505" t="str">
        <f>IFERROR(__xludf.DUMMYFUNCTION("""COMPUTED_VALUE""")," Klanten + mannen en vrouwen van 25 - 45 jaar ")</f>
        <v>Klanten + mannen en vrouwen van 25 - 45 jaar</v>
      </c>
      <c r="L40" s="501" t="str">
        <f>IFERROR(__xludf.DUMMYFUNCTION("""COMPUTED_VALUE"""),"")</f>
        <v/>
      </c>
      <c r="M40" s="501" t="str">
        <f>IFERROR(__xludf.DUMMYFUNCTION("""COMPUTED_VALUE"""),"")</f>
        <v/>
      </c>
      <c r="N40" s="501" t="str">
        <f>IFERROR(__xludf.DUMMYFUNCTION("""COMPUTED_VALUE"""),"Geven/Ontvangen")</f>
        <v>Geven/Ontvangen</v>
      </c>
      <c r="O40" s="501" t="str">
        <f>IFERROR(__xludf.DUMMYFUNCTION("""COMPUTED_VALUE"""),"Facebook")</f>
        <v>Facebook</v>
      </c>
      <c r="P40" s="503" t="str">
        <f>IFERROR(__xludf.DUMMYFUNCTION("""COMPUTED_VALUE"""),"Facebook - See - Retailcampaigning &amp; contentkalender")</f>
        <v>Facebook - See - Retailcampaigning &amp; contentkalender</v>
      </c>
      <c r="Q40" s="501" t="str">
        <f>IFERROR(__xludf.DUMMYFUNCTION("""COMPUTED_VALUE"""),"Engagement")</f>
        <v>Engagement</v>
      </c>
      <c r="R40" s="501" t="str">
        <f>IFERROR(__xludf.DUMMYFUNCTION("""COMPUTED_VALUE"""),"Timeline")</f>
        <v>Timeline</v>
      </c>
      <c r="S40" s="503" t="str">
        <f>IFERROR(__xludf.DUMMYFUNCTION("""COMPUTED_VALUE"""),"Video Terence")</f>
        <v>Video Terence</v>
      </c>
      <c r="T40" s="503" t="str">
        <f>IFERROR(__xludf.DUMMYFUNCTION("""COMPUTED_VALUE"""),"utm_source=facebook&amp;utm_medium=socialmedia&amp;utm_campaign=facebook_-_see_-_retailcampaigning_&amp;_contentkalender&amp;utm_content=winactie:bbqboek&amp;referrer=facebook")</f>
        <v>utm_source=facebook&amp;utm_medium=socialmedia&amp;utm_campaign=facebook_-_see_-_retailcampaigning_&amp;_contentkalender&amp;utm_content=winactie:bbqboek&amp;referrer=facebook</v>
      </c>
    </row>
    <row r="41">
      <c r="A41" s="501" t="str">
        <f>IFERROR(__xludf.DUMMYFUNCTION("""COMPUTED_VALUE"""),"januari")</f>
        <v>januari</v>
      </c>
      <c r="B41" s="501">
        <f>IFERROR(__xludf.DUMMYFUNCTION("""COMPUTED_VALUE"""),3.0)</f>
        <v>3</v>
      </c>
      <c r="C41" s="501" t="str">
        <f>IFERROR(__xludf.DUMMYFUNCTION("""COMPUTED_VALUE"""),"vrijdag")</f>
        <v>vrijdag</v>
      </c>
      <c r="D41" s="502">
        <f>IFERROR(__xludf.DUMMYFUNCTION("""COMPUTED_VALUE"""),43483.0)</f>
        <v>43483</v>
      </c>
      <c r="E41" s="502">
        <f>IFERROR(__xludf.DUMMYFUNCTION("""COMPUTED_VALUE"""),43483.0)</f>
        <v>43483</v>
      </c>
      <c r="F41" s="501" t="str">
        <f>IFERROR(__xludf.DUMMYFUNCTION("""COMPUTED_VALUE"""),"")</f>
        <v/>
      </c>
      <c r="G41" s="503" t="str">
        <f>IFERROR(__xludf.DUMMYFUNCTION("""COMPUTED_VALUE"""),"")</f>
        <v/>
      </c>
      <c r="H41" s="501" t="str">
        <f>IFERROR(__xludf.DUMMYFUNCTION("""COMPUTED_VALUE"""),"Verrassing vrijdag ")</f>
        <v>Verrassing vrijdag </v>
      </c>
      <c r="I41" s="503" t="str">
        <f>IFERROR(__xludf.DUMMYFUNCTION("""COMPUTED_VALUE"""),"De jarige keukenprins of keukenprinses op een originele manier verrassen? Verras met bakmix voor heerlijke appelkaneel- of boerencake!")</f>
        <v>De jarige keukenprins of keukenprinses op een originele manier verrassen? Verras met bakmix voor heerlijke appelkaneel- of boerencake!</v>
      </c>
      <c r="J41" s="501" t="str">
        <f>IFERROR(__xludf.DUMMYFUNCTION("""COMPUTED_VALUE"""),"Staat klaar")</f>
        <v>Staat klaar</v>
      </c>
      <c r="K41" s="503" t="str">
        <f>IFERROR(__xludf.DUMMYFUNCTION("""COMPUTED_VALUE"""),"")</f>
        <v/>
      </c>
      <c r="L41" s="501" t="str">
        <f>IFERROR(__xludf.DUMMYFUNCTION("""COMPUTED_VALUE"""),"")</f>
        <v/>
      </c>
      <c r="M41" s="504">
        <f>IFERROR(__xludf.DUMMYFUNCTION("""COMPUTED_VALUE"""),1.0)</f>
        <v>1</v>
      </c>
      <c r="N41" s="501" t="str">
        <f>IFERROR(__xludf.DUMMYFUNCTION("""COMPUTED_VALUE"""),"Product")</f>
        <v>Product</v>
      </c>
      <c r="O41" s="501" t="str">
        <f>IFERROR(__xludf.DUMMYFUNCTION("""COMPUTED_VALUE"""),"Instagram Feed")</f>
        <v>Instagram Feed</v>
      </c>
      <c r="P41" s="503" t="str">
        <f>IFERROR(__xludf.DUMMYFUNCTION("""COMPUTED_VALUE"""),"")</f>
        <v/>
      </c>
      <c r="Q41" s="501" t="str">
        <f>IFERROR(__xludf.DUMMYFUNCTION("""COMPUTED_VALUE"""),"")</f>
        <v/>
      </c>
      <c r="R41" s="501" t="str">
        <f>IFERROR(__xludf.DUMMYFUNCTION("""COMPUTED_VALUE"""),"")</f>
        <v/>
      </c>
      <c r="S41" s="503" t="str">
        <f>IFERROR(__xludf.DUMMYFUNCTION("""COMPUTED_VALUE"""),"1. https://www.greetz.nl/taart-gebak/detail/cakemix-met-appelkaneelsmaak---hoera-jarig/1142799711
2. https://www.greetz.nl/taart-gebak/detail/cakemix-voor-boerencake---felicitatie/1142799717 
")</f>
        <v>1. https://www.greetz.nl/taart-gebak/detail/cakemix-met-appelkaneelsmaak---hoera-jarig/1142799711
2. https://www.greetz.nl/taart-gebak/detail/cakemix-voor-boerencake---felicitatie/1142799717 
</v>
      </c>
      <c r="T41"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42">
      <c r="A42" s="501" t="str">
        <f>IFERROR(__xludf.DUMMYFUNCTION("""COMPUTED_VALUE"""),"januari")</f>
        <v>januari</v>
      </c>
      <c r="B42" s="501">
        <f>IFERROR(__xludf.DUMMYFUNCTION("""COMPUTED_VALUE"""),3.0)</f>
        <v>3</v>
      </c>
      <c r="C42" s="501" t="str">
        <f>IFERROR(__xludf.DUMMYFUNCTION("""COMPUTED_VALUE"""),"zaterdag")</f>
        <v>zaterdag</v>
      </c>
      <c r="D42" s="502">
        <f>IFERROR(__xludf.DUMMYFUNCTION("""COMPUTED_VALUE"""),43484.0)</f>
        <v>43484</v>
      </c>
      <c r="E42" s="502">
        <f>IFERROR(__xludf.DUMMYFUNCTION("""COMPUTED_VALUE"""),43484.0)</f>
        <v>43484</v>
      </c>
      <c r="F42" s="501" t="str">
        <f>IFERROR(__xludf.DUMMYFUNCTION("""COMPUTED_VALUE"""),"")</f>
        <v/>
      </c>
      <c r="G42" s="503" t="str">
        <f>IFERROR(__xludf.DUMMYFUNCTION("""COMPUTED_VALUE"""),"")</f>
        <v/>
      </c>
      <c r="H42" s="501" t="str">
        <f>IFERROR(__xludf.DUMMYFUNCTION("""COMPUTED_VALUE"""),"Nationale tulpendag")</f>
        <v>Nationale tulpendag</v>
      </c>
      <c r="I42" s="503" t="str">
        <f>IFERROR(__xludf.DUMMYFUNCTION("""COMPUTED_VALUE"""),"Van de kweker naar de gelukkige ontvanger. Wist je dat onze tulpen met liefde bij elkaar worden gezocht door onze bloemiste Bettine? #happytulpendag!")</f>
        <v>Van de kweker naar de gelukkige ontvanger. Wist je dat onze tulpen met liefde bij elkaar worden gezocht door onze bloemiste Bettine? #happytulpendag!</v>
      </c>
      <c r="J42" s="501" t="str">
        <f>IFERROR(__xludf.DUMMYFUNCTION("""COMPUTED_VALUE"""),"In systeem zetten")</f>
        <v>In systeem zetten</v>
      </c>
      <c r="K42" s="505" t="str">
        <f>IFERROR(__xludf.DUMMYFUNCTION("""COMPUTED_VALUE""")," Klanten ")</f>
        <v>Klanten</v>
      </c>
      <c r="L42" s="501" t="str">
        <f>IFERROR(__xludf.DUMMYFUNCTION("""COMPUTED_VALUE"""),"")</f>
        <v/>
      </c>
      <c r="M42" s="504">
        <f>IFERROR(__xludf.DUMMYFUNCTION("""COMPUTED_VALUE"""),1.0)</f>
        <v>1</v>
      </c>
      <c r="N42" s="501" t="str">
        <f>IFERROR(__xludf.DUMMYFUNCTION("""COMPUTED_VALUE"""),"Merk")</f>
        <v>Merk</v>
      </c>
      <c r="O42" s="501" t="str">
        <f>IFERROR(__xludf.DUMMYFUNCTION("""COMPUTED_VALUE"""),"Facebook")</f>
        <v>Facebook</v>
      </c>
      <c r="P42" s="503" t="str">
        <f>IFERROR(__xludf.DUMMYFUNCTION("""COMPUTED_VALUE"""),"Facebook - See - Retailcampaigning &amp; contentkalender")</f>
        <v>Facebook - See - Retailcampaigning &amp; contentkalender</v>
      </c>
      <c r="Q42" s="501" t="str">
        <f>IFERROR(__xludf.DUMMYFUNCTION("""COMPUTED_VALUE"""),"Bereik")</f>
        <v>Bereik</v>
      </c>
      <c r="R42" s="501" t="str">
        <f>IFERROR(__xludf.DUMMYFUNCTION("""COMPUTED_VALUE"""),"Timeline")</f>
        <v>Timeline</v>
      </c>
      <c r="S42" s="503" t="str">
        <f>IFERROR(__xludf.DUMMYFUNCTION("""COMPUTED_VALUE"""),"GIF")</f>
        <v>GIF</v>
      </c>
      <c r="T42" s="503" t="str">
        <f>IFERROR(__xludf.DUMMYFUNCTION("""COMPUTED_VALUE"""),"utm_source=facebook&amp;utm_medium=socialmedia&amp;utm_campaign=facebook_-_see_-_retailcampaigning_&amp;_contentkalender&amp;utm_content=nationaletulpendag&amp;referrer=facebook")</f>
        <v>utm_source=facebook&amp;utm_medium=socialmedia&amp;utm_campaign=facebook_-_see_-_retailcampaigning_&amp;_contentkalender&amp;utm_content=nationaletulpendag&amp;referrer=facebook</v>
      </c>
    </row>
    <row r="43">
      <c r="A43" s="501" t="str">
        <f>IFERROR(__xludf.DUMMYFUNCTION("""COMPUTED_VALUE"""),"januari")</f>
        <v>januari</v>
      </c>
      <c r="B43" s="501">
        <f>IFERROR(__xludf.DUMMYFUNCTION("""COMPUTED_VALUE"""),3.0)</f>
        <v>3</v>
      </c>
      <c r="C43" s="501" t="str">
        <f>IFERROR(__xludf.DUMMYFUNCTION("""COMPUTED_VALUE"""),"zaterdag")</f>
        <v>zaterdag</v>
      </c>
      <c r="D43" s="502">
        <f>IFERROR(__xludf.DUMMYFUNCTION("""COMPUTED_VALUE"""),43484.0)</f>
        <v>43484</v>
      </c>
      <c r="E43" s="502">
        <f>IFERROR(__xludf.DUMMYFUNCTION("""COMPUTED_VALUE"""),43484.0)</f>
        <v>43484</v>
      </c>
      <c r="F43" s="501" t="str">
        <f>IFERROR(__xludf.DUMMYFUNCTION("""COMPUTED_VALUE"""),"")</f>
        <v/>
      </c>
      <c r="G43" s="503" t="str">
        <f>IFERROR(__xludf.DUMMYFUNCTION("""COMPUTED_VALUE"""),"")</f>
        <v/>
      </c>
      <c r="H43" s="501" t="str">
        <f>IFERROR(__xludf.DUMMYFUNCTION("""COMPUTED_VALUE"""),"Greetzmoment")</f>
        <v>Greetzmoment</v>
      </c>
      <c r="I43" s="503" t="str">
        <f>IFERROR(__xludf.DUMMYFUNCTION("""COMPUTED_VALUE"""),"Greetzmoment @emmilyloveslife")</f>
        <v>Greetzmoment @emmilyloveslife</v>
      </c>
      <c r="J43" s="501" t="str">
        <f>IFERROR(__xludf.DUMMYFUNCTION("""COMPUTED_VALUE"""),"Staat klaar")</f>
        <v>Staat klaar</v>
      </c>
      <c r="K43" s="503" t="str">
        <f>IFERROR(__xludf.DUMMYFUNCTION("""COMPUTED_VALUE"""),"")</f>
        <v/>
      </c>
      <c r="L43" s="501" t="str">
        <f>IFERROR(__xludf.DUMMYFUNCTION("""COMPUTED_VALUE"""),"")</f>
        <v/>
      </c>
      <c r="M43" s="504">
        <f>IFERROR(__xludf.DUMMYFUNCTION("""COMPUTED_VALUE"""),1.0)</f>
        <v>1</v>
      </c>
      <c r="N43" s="501" t="str">
        <f>IFERROR(__xludf.DUMMYFUNCTION("""COMPUTED_VALUE"""),"Geven/ontvangen")</f>
        <v>Geven/ontvangen</v>
      </c>
      <c r="O43" s="501" t="str">
        <f>IFERROR(__xludf.DUMMYFUNCTION("""COMPUTED_VALUE"""),"Instagram Stories")</f>
        <v>Instagram Stories</v>
      </c>
      <c r="P43" s="503" t="str">
        <f>IFERROR(__xludf.DUMMYFUNCTION("""COMPUTED_VALUE"""),"")</f>
        <v/>
      </c>
      <c r="Q43" s="501" t="str">
        <f>IFERROR(__xludf.DUMMYFUNCTION("""COMPUTED_VALUE"""),"")</f>
        <v/>
      </c>
      <c r="R43" s="501" t="str">
        <f>IFERROR(__xludf.DUMMYFUNCTION("""COMPUTED_VALUE"""),"")</f>
        <v/>
      </c>
      <c r="S43" s="503" t="str">
        <f>IFERROR(__xludf.DUMMYFUNCTION("""COMPUTED_VALUE"""),"")</f>
        <v/>
      </c>
      <c r="T43" s="503" t="str">
        <f>IFERROR(__xludf.DUMMYFUNCTION("""COMPUTED_VALUE"""),"utm_source=facebook&amp;utm_medium=socialmedia&amp;utm_campaign=&amp;utm_content=greetzmoment&amp;referrer=facebook")</f>
        <v>utm_source=facebook&amp;utm_medium=socialmedia&amp;utm_campaign=&amp;utm_content=greetzmoment&amp;referrer=facebook</v>
      </c>
    </row>
    <row r="44">
      <c r="A44" s="501" t="str">
        <f>IFERROR(__xludf.DUMMYFUNCTION("""COMPUTED_VALUE"""),"januari")</f>
        <v>januari</v>
      </c>
      <c r="B44" s="501">
        <f>IFERROR(__xludf.DUMMYFUNCTION("""COMPUTED_VALUE"""),4.0)</f>
        <v>4</v>
      </c>
      <c r="C44" s="501" t="str">
        <f>IFERROR(__xludf.DUMMYFUNCTION("""COMPUTED_VALUE"""),"zondag")</f>
        <v>zondag</v>
      </c>
      <c r="D44" s="502">
        <f>IFERROR(__xludf.DUMMYFUNCTION("""COMPUTED_VALUE"""),43485.0)</f>
        <v>43485</v>
      </c>
      <c r="E44" s="502">
        <f>IFERROR(__xludf.DUMMYFUNCTION("""COMPUTED_VALUE"""),43485.0)</f>
        <v>43485</v>
      </c>
      <c r="F44" s="501" t="str">
        <f>IFERROR(__xludf.DUMMYFUNCTION("""COMPUTED_VALUE"""),"")</f>
        <v/>
      </c>
      <c r="G44" s="503" t="str">
        <f>IFERROR(__xludf.DUMMYFUNCTION("""COMPUTED_VALUE"""),"")</f>
        <v/>
      </c>
      <c r="H44" s="501" t="str">
        <f>IFERROR(__xludf.DUMMYFUNCTION("""COMPUTED_VALUE"""),"")</f>
        <v/>
      </c>
      <c r="I44" s="503" t="str">
        <f>IFERROR(__xludf.DUMMYFUNCTION("""COMPUTED_VALUE"""),"")</f>
        <v/>
      </c>
      <c r="J44" s="501" t="str">
        <f>IFERROR(__xludf.DUMMYFUNCTION("""COMPUTED_VALUE"""),"")</f>
        <v/>
      </c>
      <c r="K44" s="503" t="str">
        <f>IFERROR(__xludf.DUMMYFUNCTION("""COMPUTED_VALUE"""),"")</f>
        <v/>
      </c>
      <c r="L44" s="501" t="str">
        <f>IFERROR(__xludf.DUMMYFUNCTION("""COMPUTED_VALUE"""),"")</f>
        <v/>
      </c>
      <c r="M44" s="504">
        <f>IFERROR(__xludf.DUMMYFUNCTION("""COMPUTED_VALUE"""),1.0)</f>
        <v>1</v>
      </c>
      <c r="N44" s="501" t="str">
        <f>IFERROR(__xludf.DUMMYFUNCTION("""COMPUTED_VALUE"""),"")</f>
        <v/>
      </c>
      <c r="O44" s="501" t="str">
        <f>IFERROR(__xludf.DUMMYFUNCTION("""COMPUTED_VALUE"""),"")</f>
        <v/>
      </c>
      <c r="P44" s="503" t="str">
        <f>IFERROR(__xludf.DUMMYFUNCTION("""COMPUTED_VALUE"""),"")</f>
        <v/>
      </c>
      <c r="Q44" s="501" t="str">
        <f>IFERROR(__xludf.DUMMYFUNCTION("""COMPUTED_VALUE"""),"")</f>
        <v/>
      </c>
      <c r="R44" s="501" t="str">
        <f>IFERROR(__xludf.DUMMYFUNCTION("""COMPUTED_VALUE"""),"")</f>
        <v/>
      </c>
      <c r="S44" s="503" t="str">
        <f>IFERROR(__xludf.DUMMYFUNCTION("""COMPUTED_VALUE"""),"")</f>
        <v/>
      </c>
      <c r="T44" s="503" t="str">
        <f>IFERROR(__xludf.DUMMYFUNCTION("""COMPUTED_VALUE"""),"utm_source=facebook&amp;utm_medium=socialmedia&amp;utm_campaign=&amp;utm_content=&amp;referrer=facebook")</f>
        <v>utm_source=facebook&amp;utm_medium=socialmedia&amp;utm_campaign=&amp;utm_content=&amp;referrer=facebook</v>
      </c>
    </row>
    <row r="45">
      <c r="A45" s="501" t="str">
        <f>IFERROR(__xludf.DUMMYFUNCTION("""COMPUTED_VALUE"""),"januari")</f>
        <v>januari</v>
      </c>
      <c r="B45" s="501">
        <f>IFERROR(__xludf.DUMMYFUNCTION("""COMPUTED_VALUE"""),4.0)</f>
        <v>4</v>
      </c>
      <c r="C45" s="501" t="str">
        <f>IFERROR(__xludf.DUMMYFUNCTION("""COMPUTED_VALUE"""),"maandag")</f>
        <v>maandag</v>
      </c>
      <c r="D45" s="502">
        <f>IFERROR(__xludf.DUMMYFUNCTION("""COMPUTED_VALUE"""),43486.0)</f>
        <v>43486</v>
      </c>
      <c r="E45" s="502">
        <f>IFERROR(__xludf.DUMMYFUNCTION("""COMPUTED_VALUE"""),43486.0)</f>
        <v>43486</v>
      </c>
      <c r="F45" s="501" t="str">
        <f>IFERROR(__xludf.DUMMYFUNCTION("""COMPUTED_VALUE"""),"Verjaardag 💐")</f>
        <v>Verjaardag 💐</v>
      </c>
      <c r="G45" s="503" t="str">
        <f>IFERROR(__xludf.DUMMYFUNCTION("""COMPUTED_VALUE"""),"Free Shipment bloemen")</f>
        <v>Free Shipment bloemen</v>
      </c>
      <c r="H45" s="501" t="str">
        <f>IFERROR(__xludf.DUMMYFUNCTION("""COMPUTED_VALUE"""),"Blue Monday (B2B)")</f>
        <v>Blue Monday (B2B)</v>
      </c>
      <c r="I45" s="503" t="str">
        <f>IFERROR(__xludf.DUMMYFUNCTION("""COMPUTED_VALUE"""),"Heerst er bij jou op het werk een Blue Monday dip en kunnen jij en je collega’s daarom wel wat lekkers gebruiken? 🙂 Vertel het ons en wie weet win je heerlijke chocolade om uit te delen, speciaal gehuld in een blauw jasje 😉🍫              ")</f>
        <v>Heerst er bij jou op het werk een Blue Monday dip en kunnen jij en je collega’s daarom wel wat lekkers gebruiken? 🙂 Vertel het ons en wie weet win je heerlijke chocolade om uit te delen, speciaal gehuld in een blauw jasje 😉🍫              </v>
      </c>
      <c r="J45" s="501" t="str">
        <f>IFERROR(__xludf.DUMMYFUNCTION("""COMPUTED_VALUE"""),"Staat klaar")</f>
        <v>Staat klaar</v>
      </c>
      <c r="K45" s="505" t="str">
        <f>IFERROR(__xludf.DUMMYFUNCTION("""COMPUTED_VALUE""")," B2B doelgroep, Office Managers, mensen die werkzaam zijn binnen de zorg en scholen ")</f>
        <v>B2B doelgroep, Office Managers, mensen die werkzaam zijn binnen de zorg en scholen</v>
      </c>
      <c r="L45" s="506">
        <f>IFERROR(__xludf.DUMMYFUNCTION("""COMPUTED_VALUE"""),21.38)</f>
        <v>21.38</v>
      </c>
      <c r="M45" s="504">
        <f>IFERROR(__xludf.DUMMYFUNCTION("""COMPUTED_VALUE"""),1.0)</f>
        <v>1</v>
      </c>
      <c r="N45" s="501" t="str">
        <f>IFERROR(__xludf.DUMMYFUNCTION("""COMPUTED_VALUE"""),"Geven/ontvangen")</f>
        <v>Geven/ontvangen</v>
      </c>
      <c r="O45" s="501" t="str">
        <f>IFERROR(__xludf.DUMMYFUNCTION("""COMPUTED_VALUE"""),"Facebook")</f>
        <v>Facebook</v>
      </c>
      <c r="P45" s="503" t="str">
        <f>IFERROR(__xludf.DUMMYFUNCTION("""COMPUTED_VALUE"""),"Facebook - B2B")</f>
        <v>Facebook - B2B</v>
      </c>
      <c r="Q45" s="501" t="str">
        <f>IFERROR(__xludf.DUMMYFUNCTION("""COMPUTED_VALUE"""),"Engagement")</f>
        <v>Engagement</v>
      </c>
      <c r="R45" s="501" t="str">
        <f>IFERROR(__xludf.DUMMYFUNCTION("""COMPUTED_VALUE"""),"Timeline")</f>
        <v>Timeline</v>
      </c>
      <c r="S45" s="503" t="str">
        <f>IFERROR(__xludf.DUMMYFUNCTION("""COMPUTED_VALUE"""),"https://www.greetz.nl/chocolade/detail/leonidas-bonbons---bedrijfsnaam-met-foto/2142771981 --&gt; tekst op doosje mag zijn 'Je bent een topper, Hanan!' Win button mag rechts bovenin")</f>
        <v>https://www.greetz.nl/chocolade/detail/leonidas-bonbons---bedrijfsnaam-met-foto/2142771981 --&gt; tekst op doosje mag zijn 'Je bent een topper, Hanan!' Win button mag rechts bovenin</v>
      </c>
      <c r="T45" s="503" t="str">
        <f>IFERROR(__xludf.DUMMYFUNCTION("""COMPUTED_VALUE"""),"utm_source=facebook&amp;utm_medium=socialmedia&amp;utm_campaign=facebook_-_b2b&amp;utm_content=bluemonday(b2b)&amp;referrer=facebook")</f>
        <v>utm_source=facebook&amp;utm_medium=socialmedia&amp;utm_campaign=facebook_-_b2b&amp;utm_content=bluemonday(b2b)&amp;referrer=facebook</v>
      </c>
    </row>
    <row r="46">
      <c r="A46" s="501" t="str">
        <f>IFERROR(__xludf.DUMMYFUNCTION("""COMPUTED_VALUE"""),"januari")</f>
        <v>januari</v>
      </c>
      <c r="B46" s="501">
        <f>IFERROR(__xludf.DUMMYFUNCTION("""COMPUTED_VALUE"""),4.0)</f>
        <v>4</v>
      </c>
      <c r="C46" s="501" t="str">
        <f>IFERROR(__xludf.DUMMYFUNCTION("""COMPUTED_VALUE"""),"maandag")</f>
        <v>maandag</v>
      </c>
      <c r="D46" s="502">
        <f>IFERROR(__xludf.DUMMYFUNCTION("""COMPUTED_VALUE"""),43486.0)</f>
        <v>43486</v>
      </c>
      <c r="E46" s="502">
        <f>IFERROR(__xludf.DUMMYFUNCTION("""COMPUTED_VALUE"""),43493.0)</f>
        <v>43493</v>
      </c>
      <c r="F46" s="501" t="str">
        <f>IFERROR(__xludf.DUMMYFUNCTION("""COMPUTED_VALUE"""),"")</f>
        <v/>
      </c>
      <c r="G46" s="503" t="str">
        <f>IFERROR(__xludf.DUMMYFUNCTION("""COMPUTED_VALUE"""),"")</f>
        <v/>
      </c>
      <c r="H46" s="501" t="str">
        <f>IFERROR(__xludf.DUMMYFUNCTION("""COMPUTED_VALUE"""),"Free Shipment bloemen")</f>
        <v>Free Shipment bloemen</v>
      </c>
      <c r="I46" s="503" t="str">
        <f>IFERROR(__xludf.DUMMYFUNCTION("""COMPUTED_VALUE"""),"Bloemenfeestje bij Greetz! 🌸🌼 Verras je deze week met een kleurrijk boeket, prachtige plant of een jutezakje vol zaadjes om zelf bloemetjes te kweken, dan is de bezorging helemaal gratis 🙂 ")</f>
        <v>Bloemenfeestje bij Greetz! 🌸🌼 Verras je deze week met een kleurrijk boeket, prachtige plant of een jutezakje vol zaadjes om zelf bloemetjes te kweken, dan is de bezorging helemaal gratis 🙂 </v>
      </c>
      <c r="J46" s="501" t="str">
        <f>IFERROR(__xludf.DUMMYFUNCTION("""COMPUTED_VALUE"""),"Staat klaar")</f>
        <v>Staat klaar</v>
      </c>
      <c r="K46" s="505" t="str">
        <f>IFERROR(__xludf.DUMMYFUNCTION("""COMPUTED_VALUE""")," Hoofddoelgroep, klanten, bloemen interesse ")</f>
        <v>Hoofddoelgroep, klanten, bloemen interesse</v>
      </c>
      <c r="L46" s="506">
        <f>IFERROR(__xludf.DUMMYFUNCTION("""COMPUTED_VALUE"""),1750.0)</f>
        <v>1750</v>
      </c>
      <c r="M46" s="504">
        <f>IFERROR(__xludf.DUMMYFUNCTION("""COMPUTED_VALUE"""),8.0)</f>
        <v>8</v>
      </c>
      <c r="N46" s="501" t="str">
        <f>IFERROR(__xludf.DUMMYFUNCTION("""COMPUTED_VALUE"""),"Product")</f>
        <v>Product</v>
      </c>
      <c r="O46" s="501" t="str">
        <f>IFERROR(__xludf.DUMMYFUNCTION("""COMPUTED_VALUE"""),"Facebook")</f>
        <v>Facebook</v>
      </c>
      <c r="P46" s="503" t="str">
        <f>IFERROR(__xludf.DUMMYFUNCTION("""COMPUTED_VALUE"""),"Facebook - Do - Retailcampaigning")</f>
        <v>Facebook - Do - Retailcampaigning</v>
      </c>
      <c r="Q46" s="501" t="str">
        <f>IFERROR(__xludf.DUMMYFUNCTION("""COMPUTED_VALUE"""),"Conversie - Conversie")</f>
        <v>Conversie - Conversie</v>
      </c>
      <c r="R46" s="501" t="str">
        <f>IFERROR(__xludf.DUMMYFUNCTION("""COMPUTED_VALUE"""),"Dark")</f>
        <v>Dark</v>
      </c>
      <c r="S46" s="503" t="str">
        <f>IFERROR(__xludf.DUMMYFUNCTION("""COMPUTED_VALUE"""),"")</f>
        <v/>
      </c>
      <c r="T46" s="503" t="str">
        <f>IFERROR(__xludf.DUMMYFUNCTION("""COMPUTED_VALUE"""),"utm_source=facebook&amp;utm_medium=socialmedia&amp;utm_campaign=facebook_-_do_-_retailcampaigning&amp;utm_content=freeshipmentbloemen&amp;referrer=facebook")</f>
        <v>utm_source=facebook&amp;utm_medium=socialmedia&amp;utm_campaign=facebook_-_do_-_retailcampaigning&amp;utm_content=freeshipmentbloemen&amp;referrer=facebook</v>
      </c>
    </row>
    <row r="47">
      <c r="A47" s="501" t="str">
        <f>IFERROR(__xludf.DUMMYFUNCTION("""COMPUTED_VALUE"""),"januari")</f>
        <v>januari</v>
      </c>
      <c r="B47" s="501">
        <f>IFERROR(__xludf.DUMMYFUNCTION("""COMPUTED_VALUE"""),4.0)</f>
        <v>4</v>
      </c>
      <c r="C47" s="501" t="str">
        <f>IFERROR(__xludf.DUMMYFUNCTION("""COMPUTED_VALUE"""),"maandag")</f>
        <v>maandag</v>
      </c>
      <c r="D47" s="502">
        <f>IFERROR(__xludf.DUMMYFUNCTION("""COMPUTED_VALUE"""),43486.0)</f>
        <v>43486</v>
      </c>
      <c r="E47" s="502">
        <f>IFERROR(__xludf.DUMMYFUNCTION("""COMPUTED_VALUE"""),43486.0)</f>
        <v>43486</v>
      </c>
      <c r="F47" s="501" t="str">
        <f>IFERROR(__xludf.DUMMYFUNCTION("""COMPUTED_VALUE"""),"")</f>
        <v/>
      </c>
      <c r="G47" s="503" t="str">
        <f>IFERROR(__xludf.DUMMYFUNCTION("""COMPUTED_VALUE"""),"")</f>
        <v/>
      </c>
      <c r="H47" s="501" t="str">
        <f>IFERROR(__xludf.DUMMYFUNCTION("""COMPUTED_VALUE""")," Wereld Knuffeldag")</f>
        <v> Wereld Knuffeldag</v>
      </c>
      <c r="I47" s="503" t="str">
        <f>IFERROR(__xludf.DUMMYFUNCTION("""COMPUTED_VALUE"""),"")</f>
        <v/>
      </c>
      <c r="J47" s="501" t="str">
        <f>IFERROR(__xludf.DUMMYFUNCTION("""COMPUTED_VALUE"""),"")</f>
        <v/>
      </c>
      <c r="K47" s="503" t="str">
        <f>IFERROR(__xludf.DUMMYFUNCTION("""COMPUTED_VALUE"""),"")</f>
        <v/>
      </c>
      <c r="L47" s="501" t="str">
        <f>IFERROR(__xludf.DUMMYFUNCTION("""COMPUTED_VALUE"""),"")</f>
        <v/>
      </c>
      <c r="M47" s="504">
        <f>IFERROR(__xludf.DUMMYFUNCTION("""COMPUTED_VALUE"""),1.0)</f>
        <v>1</v>
      </c>
      <c r="N47" s="501" t="str">
        <f>IFERROR(__xludf.DUMMYFUNCTION("""COMPUTED_VALUE"""),"")</f>
        <v/>
      </c>
      <c r="O47" s="501" t="str">
        <f>IFERROR(__xludf.DUMMYFUNCTION("""COMPUTED_VALUE"""),"")</f>
        <v/>
      </c>
      <c r="P47" s="503" t="str">
        <f>IFERROR(__xludf.DUMMYFUNCTION("""COMPUTED_VALUE"""),"")</f>
        <v/>
      </c>
      <c r="Q47" s="501" t="str">
        <f>IFERROR(__xludf.DUMMYFUNCTION("""COMPUTED_VALUE"""),"")</f>
        <v/>
      </c>
      <c r="R47" s="501" t="str">
        <f>IFERROR(__xludf.DUMMYFUNCTION("""COMPUTED_VALUE"""),"")</f>
        <v/>
      </c>
      <c r="S47" s="503" t="str">
        <f>IFERROR(__xludf.DUMMYFUNCTION("""COMPUTED_VALUE"""),"")</f>
        <v/>
      </c>
      <c r="T47" s="503" t="str">
        <f>IFERROR(__xludf.DUMMYFUNCTION("""COMPUTED_VALUE"""),"utm_source=facebook&amp;utm_medium=socialmedia&amp;utm_campaign=&amp;utm_content=wereldknuffeldag&amp;referrer=facebook")</f>
        <v>utm_source=facebook&amp;utm_medium=socialmedia&amp;utm_campaign=&amp;utm_content=wereldknuffeldag&amp;referrer=facebook</v>
      </c>
    </row>
    <row r="48">
      <c r="A48" s="501" t="str">
        <f>IFERROR(__xludf.DUMMYFUNCTION("""COMPUTED_VALUE"""),"januari")</f>
        <v>januari</v>
      </c>
      <c r="B48" s="501">
        <f>IFERROR(__xludf.DUMMYFUNCTION("""COMPUTED_VALUE"""),4.0)</f>
        <v>4</v>
      </c>
      <c r="C48" s="501" t="str">
        <f>IFERROR(__xludf.DUMMYFUNCTION("""COMPUTED_VALUE"""),"maandag")</f>
        <v>maandag</v>
      </c>
      <c r="D48" s="502">
        <f>IFERROR(__xludf.DUMMYFUNCTION("""COMPUTED_VALUE"""),-620525.0)</f>
        <v>-620525</v>
      </c>
      <c r="E48" s="502">
        <f>IFERROR(__xludf.DUMMYFUNCTION("""COMPUTED_VALUE"""),43486.0)</f>
        <v>43486</v>
      </c>
      <c r="F48" s="501" t="str">
        <f>IFERROR(__xludf.DUMMYFUNCTION("""COMPUTED_VALUE"""),"")</f>
        <v/>
      </c>
      <c r="G48" s="503" t="str">
        <f>IFERROR(__xludf.DUMMYFUNCTION("""COMPUTED_VALUE"""),"")</f>
        <v/>
      </c>
      <c r="H48" s="501" t="str">
        <f>IFERROR(__xludf.DUMMYFUNCTION("""COMPUTED_VALUE"""),"Mooie maandag")</f>
        <v>Mooie maandag</v>
      </c>
      <c r="I48" s="503" t="str">
        <f>IFERROR(__xludf.DUMMYFUNCTION("""COMPUTED_VALUE"""),"Geen blue monday maar een mooie maandag!")</f>
        <v>Geen blue monday maar een mooie maandag!</v>
      </c>
      <c r="J48" s="501" t="str">
        <f>IFERROR(__xludf.DUMMYFUNCTION("""COMPUTED_VALUE"""),"Staat klaar")</f>
        <v>Staat klaar</v>
      </c>
      <c r="K48" s="503" t="str">
        <f>IFERROR(__xludf.DUMMYFUNCTION("""COMPUTED_VALUE"""),"")</f>
        <v/>
      </c>
      <c r="L48" s="501" t="str">
        <f>IFERROR(__xludf.DUMMYFUNCTION("""COMPUTED_VALUE"""),"")</f>
        <v/>
      </c>
      <c r="M48" s="504">
        <f>IFERROR(__xludf.DUMMYFUNCTION("""COMPUTED_VALUE"""),1.0)</f>
        <v>1</v>
      </c>
      <c r="N48" s="501" t="str">
        <f>IFERROR(__xludf.DUMMYFUNCTION("""COMPUTED_VALUE"""),"Product")</f>
        <v>Product</v>
      </c>
      <c r="O48" s="501" t="str">
        <f>IFERROR(__xludf.DUMMYFUNCTION("""COMPUTED_VALUE"""),"Instagram Feed")</f>
        <v>Instagram Feed</v>
      </c>
      <c r="P48" s="503" t="str">
        <f>IFERROR(__xludf.DUMMYFUNCTION("""COMPUTED_VALUE"""),"")</f>
        <v/>
      </c>
      <c r="Q48" s="501" t="str">
        <f>IFERROR(__xludf.DUMMYFUNCTION("""COMPUTED_VALUE"""),"")</f>
        <v/>
      </c>
      <c r="R48" s="501" t="str">
        <f>IFERROR(__xludf.DUMMYFUNCTION("""COMPUTED_VALUE"""),"")</f>
        <v/>
      </c>
      <c r="S48" s="507" t="str">
        <f>IFERROR(__xludf.DUMMYFUNCTION("""COMPUTED_VALUE"""),"https://www.greetz.nl/kaart/detail/kaarten-met-quotes---carpe-diem---positief/1142755178")</f>
        <v>https://www.greetz.nl/kaart/detail/kaarten-met-quotes---carpe-diem---positief/1142755178</v>
      </c>
      <c r="T48" s="503" t="str">
        <f>IFERROR(__xludf.DUMMYFUNCTION("""COMPUTED_VALUE"""),"utm_source=facebook&amp;utm_medium=socialmedia&amp;utm_campaign=&amp;utm_content=mooiemaandag&amp;referrer=facebook")</f>
        <v>utm_source=facebook&amp;utm_medium=socialmedia&amp;utm_campaign=&amp;utm_content=mooiemaandag&amp;referrer=facebook</v>
      </c>
    </row>
    <row r="49">
      <c r="A49" s="501" t="str">
        <f>IFERROR(__xludf.DUMMYFUNCTION("""COMPUTED_VALUE"""),"januari")</f>
        <v>januari</v>
      </c>
      <c r="B49" s="501">
        <f>IFERROR(__xludf.DUMMYFUNCTION("""COMPUTED_VALUE"""),4.0)</f>
        <v>4</v>
      </c>
      <c r="C49" s="501" t="str">
        <f>IFERROR(__xludf.DUMMYFUNCTION("""COMPUTED_VALUE"""),"woensdag")</f>
        <v>woensdag</v>
      </c>
      <c r="D49" s="502">
        <f>IFERROR(__xludf.DUMMYFUNCTION("""COMPUTED_VALUE"""),43488.0)</f>
        <v>43488</v>
      </c>
      <c r="E49" s="502">
        <f>IFERROR(__xludf.DUMMYFUNCTION("""COMPUTED_VALUE"""),43488.0)</f>
        <v>43488</v>
      </c>
      <c r="F49" s="501" t="str">
        <f>IFERROR(__xludf.DUMMYFUNCTION("""COMPUTED_VALUE"""),"")</f>
        <v/>
      </c>
      <c r="G49" s="503" t="str">
        <f>IFERROR(__xludf.DUMMYFUNCTION("""COMPUTED_VALUE"""),"")</f>
        <v/>
      </c>
      <c r="H49" s="501" t="str">
        <f>IFERROR(__xludf.DUMMYFUNCTION("""COMPUTED_VALUE"""),"Valentijnsshoot")</f>
        <v>Valentijnsshoot</v>
      </c>
      <c r="I49" s="503" t="str">
        <f>IFERROR(__xludf.DUMMYFUNCTION("""COMPUTED_VALUE"""),"Al zin in Valentijnsdag? De voorpret begint natuurlijk met een fotoshoot. We hebben met veel liefde wat foto's op een rijtje gezet")</f>
        <v>Al zin in Valentijnsdag? De voorpret begint natuurlijk met een fotoshoot. We hebben met veel liefde wat foto's op een rijtje gezet</v>
      </c>
      <c r="J49" s="501" t="str">
        <f>IFERROR(__xludf.DUMMYFUNCTION("""COMPUTED_VALUE"""),"In systeem zetten")</f>
        <v>In systeem zetten</v>
      </c>
      <c r="K49" s="505" t="str">
        <f>IFERROR(__xludf.DUMMYFUNCTION("""COMPUTED_VALUE""")," Klanten ")</f>
        <v>Klanten</v>
      </c>
      <c r="L49" s="501" t="str">
        <f>IFERROR(__xludf.DUMMYFUNCTION("""COMPUTED_VALUE"""),"")</f>
        <v/>
      </c>
      <c r="M49" s="504">
        <f>IFERROR(__xludf.DUMMYFUNCTION("""COMPUTED_VALUE"""),1.0)</f>
        <v>1</v>
      </c>
      <c r="N49" s="501" t="str">
        <f>IFERROR(__xludf.DUMMYFUNCTION("""COMPUTED_VALUE"""),"Merk")</f>
        <v>Merk</v>
      </c>
      <c r="O49" s="501" t="str">
        <f>IFERROR(__xludf.DUMMYFUNCTION("""COMPUTED_VALUE"""),"Facebook")</f>
        <v>Facebook</v>
      </c>
      <c r="P49" s="503" t="str">
        <f>IFERROR(__xludf.DUMMYFUNCTION("""COMPUTED_VALUE"""),"Facebook - See - Retailcampaigning &amp; contentkalender")</f>
        <v>Facebook - See - Retailcampaigning &amp; contentkalender</v>
      </c>
      <c r="Q49" s="501" t="str">
        <f>IFERROR(__xludf.DUMMYFUNCTION("""COMPUTED_VALUE"""),"Bereik")</f>
        <v>Bereik</v>
      </c>
      <c r="R49" s="501" t="str">
        <f>IFERROR(__xludf.DUMMYFUNCTION("""COMPUTED_VALUE"""),"Timeline")</f>
        <v>Timeline</v>
      </c>
      <c r="S49" s="503" t="str">
        <f>IFERROR(__xludf.DUMMYFUNCTION("""COMPUTED_VALUE"""),"K:\Greetz Photography\01 - CAMPAIGN PHOTOGRAPHY\02 - SOCIAL\2018\Valentijn\Social")</f>
        <v>K:\Greetz Photography\01 - CAMPAIGN PHOTOGRAPHY\02 - SOCIAL\2018\Valentijn\Social</v>
      </c>
      <c r="T49" s="503" t="str">
        <f>IFERROR(__xludf.DUMMYFUNCTION("""COMPUTED_VALUE"""),"utm_source=facebook&amp;utm_medium=socialmedia&amp;utm_campaign=facebook_-_see_-_retailcampaigning_&amp;_contentkalender&amp;utm_content=valentijnsshoot&amp;referrer=facebook")</f>
        <v>utm_source=facebook&amp;utm_medium=socialmedia&amp;utm_campaign=facebook_-_see_-_retailcampaigning_&amp;_contentkalender&amp;utm_content=valentijnsshoot&amp;referrer=facebook</v>
      </c>
    </row>
    <row r="50">
      <c r="A50" s="501" t="str">
        <f>IFERROR(__xludf.DUMMYFUNCTION("""COMPUTED_VALUE"""),"januari")</f>
        <v>januari</v>
      </c>
      <c r="B50" s="501">
        <f>IFERROR(__xludf.DUMMYFUNCTION("""COMPUTED_VALUE"""),4.0)</f>
        <v>4</v>
      </c>
      <c r="C50" s="501" t="str">
        <f>IFERROR(__xludf.DUMMYFUNCTION("""COMPUTED_VALUE"""),"woensdag")</f>
        <v>woensdag</v>
      </c>
      <c r="D50" s="502">
        <f>IFERROR(__xludf.DUMMYFUNCTION("""COMPUTED_VALUE"""),43488.0)</f>
        <v>43488</v>
      </c>
      <c r="E50" s="502">
        <f>IFERROR(__xludf.DUMMYFUNCTION("""COMPUTED_VALUE"""),43492.0)</f>
        <v>43492</v>
      </c>
      <c r="F50" s="501" t="str">
        <f>IFERROR(__xludf.DUMMYFUNCTION("""COMPUTED_VALUE"""),"")</f>
        <v/>
      </c>
      <c r="G50" s="503" t="str">
        <f>IFERROR(__xludf.DUMMYFUNCTION("""COMPUTED_VALUE"""),"")</f>
        <v/>
      </c>
      <c r="H50" s="501" t="str">
        <f>IFERROR(__xludf.DUMMYFUNCTION("""COMPUTED_VALUE"""),"Oproep stage Greetz")</f>
        <v>Oproep stage Greetz</v>
      </c>
      <c r="I50" s="503" t="str">
        <f>IFERROR(__xludf.DUMMYFUNCTION("""COMPUTED_VALUE"""),"Ben jij die gezellige en talentvolle stagiair, bijvoorbeeld op het gebied van fotografie, graphic design of social media &amp; communicatie? Join us :-) Solliciteer snel via  ")</f>
        <v>Ben jij die gezellige en talentvolle stagiair, bijvoorbeeld op het gebied van fotografie, graphic design of social media &amp; communicatie? Join us :-) Solliciteer snel via  </v>
      </c>
      <c r="J50" s="501" t="str">
        <f>IFERROR(__xludf.DUMMYFUNCTION("""COMPUTED_VALUE"""),"Staat klaar")</f>
        <v>Staat klaar</v>
      </c>
      <c r="K50" s="505" t="str">
        <f>IFERROR(__xludf.DUMMYFUNCTION("""COMPUTED_VALUE""")," Mannen &amp; Vrouwen tussen de 18 - 25 jaar ")</f>
        <v>Mannen &amp; Vrouwen tussen de 18 - 25 jaar</v>
      </c>
      <c r="L50" s="506">
        <f>IFERROR(__xludf.DUMMYFUNCTION("""COMPUTED_VALUE"""),1154.59)</f>
        <v>1154.59</v>
      </c>
      <c r="M50" s="504">
        <f>IFERROR(__xludf.DUMMYFUNCTION("""COMPUTED_VALUE"""),5.0)</f>
        <v>5</v>
      </c>
      <c r="N50" s="501" t="str">
        <f>IFERROR(__xludf.DUMMYFUNCTION("""COMPUTED_VALUE"""),"Merk")</f>
        <v>Merk</v>
      </c>
      <c r="O50" s="501" t="str">
        <f>IFERROR(__xludf.DUMMYFUNCTION("""COMPUTED_VALUE"""),"FB + Instagram")</f>
        <v>FB + Instagram</v>
      </c>
      <c r="P50" s="503" t="str">
        <f>IFERROR(__xludf.DUMMYFUNCTION("""COMPUTED_VALUE"""),"Facebook - Think - Retailcampaigning")</f>
        <v>Facebook - Think - Retailcampaigning</v>
      </c>
      <c r="Q50" s="501" t="str">
        <f>IFERROR(__xludf.DUMMYFUNCTION("""COMPUTED_VALUE"""),"Traffic")</f>
        <v>Traffic</v>
      </c>
      <c r="R50" s="501" t="str">
        <f>IFERROR(__xludf.DUMMYFUNCTION("""COMPUTED_VALUE"""),"Dark")</f>
        <v>Dark</v>
      </c>
      <c r="S50" s="503" t="str">
        <f>IFERROR(__xludf.DUMMYFUNCTION("""COMPUTED_VALUE"""),"K:\Greetz NL\GREETZ NL - Banners\2018\FB Posts  Instagram (Marit)\2018\06. juni\Teamfoto")</f>
        <v>K:\Greetz NL\GREETZ NL - Banners\2018\FB Posts  Instagram (Marit)\2018\06. juni\Teamfoto</v>
      </c>
      <c r="T50" s="503" t="str">
        <f>IFERROR(__xludf.DUMMYFUNCTION("""COMPUTED_VALUE"""),"utm_source=facebook&amp;utm_medium=socialmedia&amp;utm_campaign=facebook_-_think_-_retailcampaigning&amp;utm_content=oproepstagegreetz&amp;referrer=facebook")</f>
        <v>utm_source=facebook&amp;utm_medium=socialmedia&amp;utm_campaign=facebook_-_think_-_retailcampaigning&amp;utm_content=oproepstagegreetz&amp;referrer=facebook</v>
      </c>
    </row>
    <row r="51">
      <c r="A51" s="501" t="str">
        <f>IFERROR(__xludf.DUMMYFUNCTION("""COMPUTED_VALUE"""),"januari")</f>
        <v>januari</v>
      </c>
      <c r="B51" s="501">
        <f>IFERROR(__xludf.DUMMYFUNCTION("""COMPUTED_VALUE"""),4.0)</f>
        <v>4</v>
      </c>
      <c r="C51" s="501" t="str">
        <f>IFERROR(__xludf.DUMMYFUNCTION("""COMPUTED_VALUE"""),"woensdag")</f>
        <v>woensdag</v>
      </c>
      <c r="D51" s="502">
        <f>IFERROR(__xludf.DUMMYFUNCTION("""COMPUTED_VALUE"""),43488.0)</f>
        <v>43488</v>
      </c>
      <c r="E51" s="502">
        <f>IFERROR(__xludf.DUMMYFUNCTION("""COMPUTED_VALUE"""),43492.0)</f>
        <v>43492</v>
      </c>
      <c r="F51" s="501" t="str">
        <f>IFERROR(__xludf.DUMMYFUNCTION("""COMPUTED_VALUE"""),"")</f>
        <v/>
      </c>
      <c r="G51" s="503" t="str">
        <f>IFERROR(__xludf.DUMMYFUNCTION("""COMPUTED_VALUE"""),"")</f>
        <v/>
      </c>
      <c r="H51" s="501" t="str">
        <f>IFERROR(__xludf.DUMMYFUNCTION("""COMPUTED_VALUE"""),"Greetz Zakelijk ")</f>
        <v>Greetz Zakelijk </v>
      </c>
      <c r="I51" s="503" t="str">
        <f>IFERROR(__xludf.DUMMYFUNCTION("""COMPUTED_VALUE"""),"Bloemenfeestje bij Greetz Zakelijk! 🌸 Verras je deze week die net verhuiste collega of jarige zakelijke relatie met een kleurrijk boeket of prachtige plant, dan is de bezorging helemaal gratis 🙂 ")</f>
        <v>Bloemenfeestje bij Greetz Zakelijk! 🌸 Verras je deze week die net verhuiste collega of jarige zakelijke relatie met een kleurrijk boeket of prachtige plant, dan is de bezorging helemaal gratis 🙂 </v>
      </c>
      <c r="J51" s="501" t="str">
        <f>IFERROR(__xludf.DUMMYFUNCTION("""COMPUTED_VALUE"""),"Staat klaar")</f>
        <v>Staat klaar</v>
      </c>
      <c r="K51" s="505" t="str">
        <f>IFERROR(__xludf.DUMMYFUNCTION("""COMPUTED_VALUE""")," Eerder gemaakte B2B doelgroep + ZZP'ers ")</f>
        <v>Eerder gemaakte B2B doelgroep + ZZP'ers</v>
      </c>
      <c r="L51" s="506">
        <f>IFERROR(__xludf.DUMMYFUNCTION("""COMPUTED_VALUE"""),478.62)</f>
        <v>478.62</v>
      </c>
      <c r="M51" s="501" t="str">
        <f>IFERROR(__xludf.DUMMYFUNCTION("""COMPUTED_VALUE"""),"")</f>
        <v/>
      </c>
      <c r="N51" s="501" t="str">
        <f>IFERROR(__xludf.DUMMYFUNCTION("""COMPUTED_VALUE"""),"Product")</f>
        <v>Product</v>
      </c>
      <c r="O51" s="501" t="str">
        <f>IFERROR(__xludf.DUMMYFUNCTION("""COMPUTED_VALUE"""),"Facebook")</f>
        <v>Facebook</v>
      </c>
      <c r="P51" s="503" t="str">
        <f>IFERROR(__xludf.DUMMYFUNCTION("""COMPUTED_VALUE"""),"Facebook - B2B")</f>
        <v>Facebook - B2B</v>
      </c>
      <c r="Q51" s="501" t="str">
        <f>IFERROR(__xludf.DUMMYFUNCTION("""COMPUTED_VALUE"""),"Conversie - Conversie")</f>
        <v>Conversie - Conversie</v>
      </c>
      <c r="R51" s="501" t="str">
        <f>IFERROR(__xludf.DUMMYFUNCTION("""COMPUTED_VALUE"""),"Dark")</f>
        <v>Dark</v>
      </c>
      <c r="S51" s="503" t="str">
        <f>IFERROR(__xludf.DUMMYFUNCTION("""COMPUTED_VALUE"""),"K:\Greetz NL\GREETZ NL - Banners\2019\Social - Marit\Facebook\1. Januari\B2B - gratis bezorging bloemen")</f>
        <v>K:\Greetz NL\GREETZ NL - Banners\2019\Social - Marit\Facebook\1. Januari\B2B - gratis bezorging bloemen</v>
      </c>
      <c r="T51" s="503" t="str">
        <f>IFERROR(__xludf.DUMMYFUNCTION("""COMPUTED_VALUE"""),"utm_source=facebook&amp;utm_medium=socialmedia&amp;utm_campaign=facebook_-_b2b&amp;utm_content=greetzzakelijk&amp;referrer=facebook")</f>
        <v>utm_source=facebook&amp;utm_medium=socialmedia&amp;utm_campaign=facebook_-_b2b&amp;utm_content=greetzzakelijk&amp;referrer=facebook</v>
      </c>
    </row>
    <row r="52">
      <c r="A52" s="501" t="str">
        <f>IFERROR(__xludf.DUMMYFUNCTION("""COMPUTED_VALUE"""),"januari")</f>
        <v>januari</v>
      </c>
      <c r="B52" s="501">
        <f>IFERROR(__xludf.DUMMYFUNCTION("""COMPUTED_VALUE"""),4.0)</f>
        <v>4</v>
      </c>
      <c r="C52" s="501" t="str">
        <f>IFERROR(__xludf.DUMMYFUNCTION("""COMPUTED_VALUE"""),"woensdag")</f>
        <v>woensdag</v>
      </c>
      <c r="D52" s="502">
        <f>IFERROR(__xludf.DUMMYFUNCTION("""COMPUTED_VALUE"""),43488.0)</f>
        <v>43488</v>
      </c>
      <c r="E52" s="502">
        <f>IFERROR(__xludf.DUMMYFUNCTION("""COMPUTED_VALUE"""),43488.0)</f>
        <v>43488</v>
      </c>
      <c r="F52" s="501" t="str">
        <f>IFERROR(__xludf.DUMMYFUNCTION("""COMPUTED_VALUE"""),"")</f>
        <v/>
      </c>
      <c r="G52" s="503" t="str">
        <f>IFERROR(__xludf.DUMMYFUNCTION("""COMPUTED_VALUE"""),"")</f>
        <v/>
      </c>
      <c r="H52" s="501" t="str">
        <f>IFERROR(__xludf.DUMMYFUNCTION("""COMPUTED_VALUE"""),"Meet The Greetz Jeroen")</f>
        <v>Meet The Greetz Jeroen</v>
      </c>
      <c r="I52" s="503" t="str">
        <f>IFERROR(__xludf.DUMMYFUNCTION("""COMPUTED_VALUE"""),"Meet the Greetz Jeroen")</f>
        <v>Meet the Greetz Jeroen</v>
      </c>
      <c r="J52" s="501" t="str">
        <f>IFERROR(__xludf.DUMMYFUNCTION("""COMPUTED_VALUE"""),"")</f>
        <v/>
      </c>
      <c r="K52" s="503" t="str">
        <f>IFERROR(__xludf.DUMMYFUNCTION("""COMPUTED_VALUE"""),"")</f>
        <v/>
      </c>
      <c r="L52" s="501" t="str">
        <f>IFERROR(__xludf.DUMMYFUNCTION("""COMPUTED_VALUE"""),"")</f>
        <v/>
      </c>
      <c r="M52" s="504">
        <f>IFERROR(__xludf.DUMMYFUNCTION("""COMPUTED_VALUE"""),1.0)</f>
        <v>1</v>
      </c>
      <c r="N52" s="501" t="str">
        <f>IFERROR(__xludf.DUMMYFUNCTION("""COMPUTED_VALUE"""),"Geven/ontvangen")</f>
        <v>Geven/ontvangen</v>
      </c>
      <c r="O52" s="501" t="str">
        <f>IFERROR(__xludf.DUMMYFUNCTION("""COMPUTED_VALUE"""),"Instagram Stories")</f>
        <v>Instagram Stories</v>
      </c>
      <c r="P52" s="503" t="str">
        <f>IFERROR(__xludf.DUMMYFUNCTION("""COMPUTED_VALUE"""),"")</f>
        <v/>
      </c>
      <c r="Q52" s="501" t="str">
        <f>IFERROR(__xludf.DUMMYFUNCTION("""COMPUTED_VALUE"""),"")</f>
        <v/>
      </c>
      <c r="R52" s="501" t="str">
        <f>IFERROR(__xludf.DUMMYFUNCTION("""COMPUTED_VALUE"""),"")</f>
        <v/>
      </c>
      <c r="S52" s="503" t="str">
        <f>IFERROR(__xludf.DUMMYFUNCTION("""COMPUTED_VALUE"""),"")</f>
        <v/>
      </c>
      <c r="T52" s="503" t="str">
        <f>IFERROR(__xludf.DUMMYFUNCTION("""COMPUTED_VALUE"""),"utm_source=facebook&amp;utm_medium=socialmedia&amp;utm_campaign=&amp;utm_content=meetthegreetzjeroen&amp;referrer=facebook")</f>
        <v>utm_source=facebook&amp;utm_medium=socialmedia&amp;utm_campaign=&amp;utm_content=meetthegreetzjeroen&amp;referrer=facebook</v>
      </c>
    </row>
    <row r="53">
      <c r="A53" s="501" t="str">
        <f>IFERROR(__xludf.DUMMYFUNCTION("""COMPUTED_VALUE"""),"januari")</f>
        <v>januari</v>
      </c>
      <c r="B53" s="501">
        <f>IFERROR(__xludf.DUMMYFUNCTION("""COMPUTED_VALUE"""),4.0)</f>
        <v>4</v>
      </c>
      <c r="C53" s="501" t="str">
        <f>IFERROR(__xludf.DUMMYFUNCTION("""COMPUTED_VALUE"""),"donderdag")</f>
        <v>donderdag</v>
      </c>
      <c r="D53" s="502">
        <f>IFERROR(__xludf.DUMMYFUNCTION("""COMPUTED_VALUE"""),43489.0)</f>
        <v>43489</v>
      </c>
      <c r="E53" s="502">
        <f>IFERROR(__xludf.DUMMYFUNCTION("""COMPUTED_VALUE"""),43489.0)</f>
        <v>43489</v>
      </c>
      <c r="F53" s="501" t="str">
        <f>IFERROR(__xludf.DUMMYFUNCTION("""COMPUTED_VALUE"""),"")</f>
        <v/>
      </c>
      <c r="G53" s="503" t="str">
        <f>IFERROR(__xludf.DUMMYFUNCTION("""COMPUTED_VALUE"""),"")</f>
        <v/>
      </c>
      <c r="H53" s="501" t="str">
        <f>IFERROR(__xludf.DUMMYFUNCTION("""COMPUTED_VALUE"""),"Bloemen")</f>
        <v>Bloemen</v>
      </c>
      <c r="I53" s="503" t="str">
        <f>IFERROR(__xludf.DUMMYFUNCTION("""COMPUTED_VALUE"""),"Nieuwe boeketten")</f>
        <v>Nieuwe boeketten</v>
      </c>
      <c r="J53" s="501" t="str">
        <f>IFERROR(__xludf.DUMMYFUNCTION("""COMPUTED_VALUE"""),"Staat klaar")</f>
        <v>Staat klaar</v>
      </c>
      <c r="K53" s="505" t="str">
        <f>IFERROR(__xludf.DUMMYFUNCTION("""COMPUTED_VALUE""")," Klanten ")</f>
        <v>Klanten</v>
      </c>
      <c r="L53" s="506">
        <f>IFERROR(__xludf.DUMMYFUNCTION("""COMPUTED_VALUE"""),200.0)</f>
        <v>200</v>
      </c>
      <c r="M53" s="504">
        <f>IFERROR(__xludf.DUMMYFUNCTION("""COMPUTED_VALUE"""),1.0)</f>
        <v>1</v>
      </c>
      <c r="N53" s="501" t="str">
        <f>IFERROR(__xludf.DUMMYFUNCTION("""COMPUTED_VALUE"""),"Product")</f>
        <v>Product</v>
      </c>
      <c r="O53" s="501" t="str">
        <f>IFERROR(__xludf.DUMMYFUNCTION("""COMPUTED_VALUE"""),"Facebook")</f>
        <v>Facebook</v>
      </c>
      <c r="P53" s="503" t="str">
        <f>IFERROR(__xludf.DUMMYFUNCTION("""COMPUTED_VALUE"""),"Facebook - See - Retailcampaigning &amp; contentkalender")</f>
        <v>Facebook - See - Retailcampaigning &amp; contentkalender</v>
      </c>
      <c r="Q53" s="501" t="str">
        <f>IFERROR(__xludf.DUMMYFUNCTION("""COMPUTED_VALUE"""),"Bereik")</f>
        <v>Bereik</v>
      </c>
      <c r="R53" s="501" t="str">
        <f>IFERROR(__xludf.DUMMYFUNCTION("""COMPUTED_VALUE"""),"Timeline")</f>
        <v>Timeline</v>
      </c>
      <c r="S53" s="503" t="str">
        <f>IFERROR(__xludf.DUMMYFUNCTION("""COMPUTED_VALUE"""),"GIF bloemen")</f>
        <v>GIF bloemen</v>
      </c>
      <c r="T53" s="503" t="str">
        <f>IFERROR(__xludf.DUMMYFUNCTION("""COMPUTED_VALUE"""),"utm_source=facebook&amp;utm_medium=socialmedia&amp;utm_campaign=facebook_-_see_-_retailcampaigning_&amp;_contentkalender&amp;utm_content=bloemen&amp;referrer=facebook")</f>
        <v>utm_source=facebook&amp;utm_medium=socialmedia&amp;utm_campaign=facebook_-_see_-_retailcampaigning_&amp;_contentkalender&amp;utm_content=bloemen&amp;referrer=facebook</v>
      </c>
    </row>
    <row r="54">
      <c r="A54" s="501" t="str">
        <f>IFERROR(__xludf.DUMMYFUNCTION("""COMPUTED_VALUE"""),"januari")</f>
        <v>januari</v>
      </c>
      <c r="B54" s="501">
        <f>IFERROR(__xludf.DUMMYFUNCTION("""COMPUTED_VALUE"""),4.0)</f>
        <v>4</v>
      </c>
      <c r="C54" s="501" t="str">
        <f>IFERROR(__xludf.DUMMYFUNCTION("""COMPUTED_VALUE"""),"vrijdag")</f>
        <v>vrijdag</v>
      </c>
      <c r="D54" s="502">
        <f>IFERROR(__xludf.DUMMYFUNCTION("""COMPUTED_VALUE"""),43490.0)</f>
        <v>43490</v>
      </c>
      <c r="E54" s="502">
        <f>IFERROR(__xludf.DUMMYFUNCTION("""COMPUTED_VALUE"""),43490.0)</f>
        <v>43490</v>
      </c>
      <c r="F54" s="501" t="str">
        <f>IFERROR(__xludf.DUMMYFUNCTION("""COMPUTED_VALUE"""),"")</f>
        <v/>
      </c>
      <c r="G54" s="503" t="str">
        <f>IFERROR(__xludf.DUMMYFUNCTION("""COMPUTED_VALUE"""),"")</f>
        <v/>
      </c>
      <c r="H54" s="501" t="str">
        <f>IFERROR(__xludf.DUMMYFUNCTION("""COMPUTED_VALUE"""),"Verrassing vrijdag")</f>
        <v>Verrassing vrijdag</v>
      </c>
      <c r="I54" s="503" t="str">
        <f>IFERROR(__xludf.DUMMYFUNCTION("""COMPUTED_VALUE"""),"Verrassing vrijdag; cadeaubonnen? ")</f>
        <v>Verrassing vrijdag; cadeaubonnen? </v>
      </c>
      <c r="J54" s="501" t="str">
        <f>IFERROR(__xludf.DUMMYFUNCTION("""COMPUTED_VALUE"""),"Staat klaar")</f>
        <v>Staat klaar</v>
      </c>
      <c r="K54" s="503" t="str">
        <f>IFERROR(__xludf.DUMMYFUNCTION("""COMPUTED_VALUE"""),"")</f>
        <v/>
      </c>
      <c r="L54" s="501" t="str">
        <f>IFERROR(__xludf.DUMMYFUNCTION("""COMPUTED_VALUE"""),"")</f>
        <v/>
      </c>
      <c r="M54" s="504">
        <f>IFERROR(__xludf.DUMMYFUNCTION("""COMPUTED_VALUE"""),1.0)</f>
        <v>1</v>
      </c>
      <c r="N54" s="501" t="str">
        <f>IFERROR(__xludf.DUMMYFUNCTION("""COMPUTED_VALUE"""),"Product")</f>
        <v>Product</v>
      </c>
      <c r="O54" s="501" t="str">
        <f>IFERROR(__xludf.DUMMYFUNCTION("""COMPUTED_VALUE"""),"Instagram Feed")</f>
        <v>Instagram Feed</v>
      </c>
      <c r="P54" s="503" t="str">
        <f>IFERROR(__xludf.DUMMYFUNCTION("""COMPUTED_VALUE"""),"")</f>
        <v/>
      </c>
      <c r="Q54" s="501" t="str">
        <f>IFERROR(__xludf.DUMMYFUNCTION("""COMPUTED_VALUE"""),"")</f>
        <v/>
      </c>
      <c r="R54" s="501" t="str">
        <f>IFERROR(__xludf.DUMMYFUNCTION("""COMPUTED_VALUE"""),"")</f>
        <v/>
      </c>
      <c r="S54" s="503" t="str">
        <f>IFERROR(__xludf.DUMMYFUNCTION("""COMPUTED_VALUE"""),"")</f>
        <v/>
      </c>
      <c r="T54"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55">
      <c r="A55" s="501" t="str">
        <f>IFERROR(__xludf.DUMMYFUNCTION("""COMPUTED_VALUE"""),"januari")</f>
        <v>januari</v>
      </c>
      <c r="B55" s="501">
        <f>IFERROR(__xludf.DUMMYFUNCTION("""COMPUTED_VALUE"""),4.0)</f>
        <v>4</v>
      </c>
      <c r="C55" s="501" t="str">
        <f>IFERROR(__xludf.DUMMYFUNCTION("""COMPUTED_VALUE"""),"vrijdag")</f>
        <v>vrijdag</v>
      </c>
      <c r="D55" s="502">
        <f>IFERROR(__xludf.DUMMYFUNCTION("""COMPUTED_VALUE"""),43490.0)</f>
        <v>43490</v>
      </c>
      <c r="E55" s="502">
        <f>IFERROR(__xludf.DUMMYFUNCTION("""COMPUTED_VALUE"""),43494.0)</f>
        <v>43494</v>
      </c>
      <c r="F55" s="501" t="str">
        <f>IFERROR(__xludf.DUMMYFUNCTION("""COMPUTED_VALUE"""),"")</f>
        <v/>
      </c>
      <c r="G55" s="503" t="str">
        <f>IFERROR(__xludf.DUMMYFUNCTION("""COMPUTED_VALUE"""),"")</f>
        <v/>
      </c>
      <c r="H55" s="501" t="str">
        <f>IFERROR(__xludf.DUMMYFUNCTION("""COMPUTED_VALUE"""),"Oproep merkcampagne")</f>
        <v>Oproep merkcampagne</v>
      </c>
      <c r="I55" s="503" t="str">
        <f>IFERROR(__xludf.DUMMYFUNCTION("""COMPUTED_VALUE"""),"Wil jij iemand feliciteren, bedanken of een hart onder de riem steken? 6, 7 en 9 februari gaan we weer op pad met allerlei (gratis) verrassingen. Geef de gelukkige ontvanger stilletjes op via www.greetz.nl/specialdelivery ")</f>
        <v>Wil jij iemand feliciteren, bedanken of een hart onder de riem steken? 6, 7 en 9 februari gaan we weer op pad met allerlei (gratis) verrassingen. Geef de gelukkige ontvanger stilletjes op via www.greetz.nl/specialdelivery </v>
      </c>
      <c r="J55" s="501" t="str">
        <f>IFERROR(__xludf.DUMMYFUNCTION("""COMPUTED_VALUE"""),"Staat klaar")</f>
        <v>Staat klaar</v>
      </c>
      <c r="K55" s="505" t="str">
        <f>IFERROR(__xludf.DUMMYFUNCTION("""COMPUTED_VALUE""")," Vrouwen van 18 - 55 jaar, woonachtig in Nederland (provincies Groningen, Friesland, Drenthe, Zeeland en Limburg uitsluiten!)(500 euro) + klanten (200 euro) ")</f>
        <v>Vrouwen van 18 - 55 jaar, woonachtig in Nederland (provincies Groningen, Friesland, Drenthe, Zeeland en Limburg uitsluiten!)(500 euro) + klanten (200 euro)</v>
      </c>
      <c r="L55" s="506">
        <f>IFERROR(__xludf.DUMMYFUNCTION("""COMPUTED_VALUE"""),700.0)</f>
        <v>700</v>
      </c>
      <c r="M55" s="504">
        <f>IFERROR(__xludf.DUMMYFUNCTION("""COMPUTED_VALUE"""),5.0)</f>
        <v>5</v>
      </c>
      <c r="N55" s="501" t="str">
        <f>IFERROR(__xludf.DUMMYFUNCTION("""COMPUTED_VALUE"""),"Geven/ontvangen")</f>
        <v>Geven/ontvangen</v>
      </c>
      <c r="O55" s="501" t="str">
        <f>IFERROR(__xludf.DUMMYFUNCTION("""COMPUTED_VALUE"""),"FB + Instagram")</f>
        <v>FB + Instagram</v>
      </c>
      <c r="P55" s="503" t="str">
        <f>IFERROR(__xludf.DUMMYFUNCTION("""COMPUTED_VALUE"""),"Facebook - Think - Retailcampaigning")</f>
        <v>Facebook - Think - Retailcampaigning</v>
      </c>
      <c r="Q55" s="501" t="str">
        <f>IFERROR(__xludf.DUMMYFUNCTION("""COMPUTED_VALUE"""),"Traffic")</f>
        <v>Traffic</v>
      </c>
      <c r="R55" s="501" t="str">
        <f>IFERROR(__xludf.DUMMYFUNCTION("""COMPUTED_VALUE"""),"Timeline")</f>
        <v>Timeline</v>
      </c>
      <c r="S55" s="503" t="str">
        <f>IFERROR(__xludf.DUMMYFUNCTION("""COMPUTED_VALUE"""),"")</f>
        <v/>
      </c>
      <c r="T55" s="503" t="str">
        <f>IFERROR(__xludf.DUMMYFUNCTION("""COMPUTED_VALUE"""),"utm_source=facebook&amp;utm_medium=socialmedia&amp;utm_campaign=facebook_-_think_-_retailcampaigning&amp;utm_content=oproepmerkcampagne&amp;referrer=facebook")</f>
        <v>utm_source=facebook&amp;utm_medium=socialmedia&amp;utm_campaign=facebook_-_think_-_retailcampaigning&amp;utm_content=oproepmerkcampagne&amp;referrer=facebook</v>
      </c>
    </row>
    <row r="56">
      <c r="A56" s="501" t="str">
        <f>IFERROR(__xludf.DUMMYFUNCTION("""COMPUTED_VALUE"""),"januari")</f>
        <v>januari</v>
      </c>
      <c r="B56" s="501">
        <f>IFERROR(__xludf.DUMMYFUNCTION("""COMPUTED_VALUE"""),4.0)</f>
        <v>4</v>
      </c>
      <c r="C56" s="501" t="str">
        <f>IFERROR(__xludf.DUMMYFUNCTION("""COMPUTED_VALUE"""),"zaterdag")</f>
        <v>zaterdag</v>
      </c>
      <c r="D56" s="502">
        <f>IFERROR(__xludf.DUMMYFUNCTION("""COMPUTED_VALUE"""),43491.0)</f>
        <v>43491</v>
      </c>
      <c r="E56" s="502">
        <f>IFERROR(__xludf.DUMMYFUNCTION("""COMPUTED_VALUE"""),43491.0)</f>
        <v>43491</v>
      </c>
      <c r="F56" s="501" t="str">
        <f>IFERROR(__xludf.DUMMYFUNCTION("""COMPUTED_VALUE"""),"")</f>
        <v/>
      </c>
      <c r="G56" s="503" t="str">
        <f>IFERROR(__xludf.DUMMYFUNCTION("""COMPUTED_VALUE"""),"")</f>
        <v/>
      </c>
      <c r="H56" s="501" t="str">
        <f>IFERROR(__xludf.DUMMYFUNCTION("""COMPUTED_VALUE"""),"Greetzmoment")</f>
        <v>Greetzmoment</v>
      </c>
      <c r="I56" s="503" t="str">
        <f>IFERROR(__xludf.DUMMYFUNCTION("""COMPUTED_VALUE"""),"Greetzmoment @femkekamps")</f>
        <v>Greetzmoment @femkekamps</v>
      </c>
      <c r="J56" s="501" t="str">
        <f>IFERROR(__xludf.DUMMYFUNCTION("""COMPUTED_VALUE"""),"Staat klaar")</f>
        <v>Staat klaar</v>
      </c>
      <c r="K56" s="503" t="str">
        <f>IFERROR(__xludf.DUMMYFUNCTION("""COMPUTED_VALUE"""),"")</f>
        <v/>
      </c>
      <c r="L56" s="501" t="str">
        <f>IFERROR(__xludf.DUMMYFUNCTION("""COMPUTED_VALUE"""),"")</f>
        <v/>
      </c>
      <c r="M56" s="504">
        <f>IFERROR(__xludf.DUMMYFUNCTION("""COMPUTED_VALUE"""),1.0)</f>
        <v>1</v>
      </c>
      <c r="N56" s="501" t="str">
        <f>IFERROR(__xludf.DUMMYFUNCTION("""COMPUTED_VALUE"""),"geven/ontvangen")</f>
        <v>geven/ontvangen</v>
      </c>
      <c r="O56" s="501" t="str">
        <f>IFERROR(__xludf.DUMMYFUNCTION("""COMPUTED_VALUE"""),"Instagram Stories")</f>
        <v>Instagram Stories</v>
      </c>
      <c r="P56" s="503" t="str">
        <f>IFERROR(__xludf.DUMMYFUNCTION("""COMPUTED_VALUE"""),"")</f>
        <v/>
      </c>
      <c r="Q56" s="501" t="str">
        <f>IFERROR(__xludf.DUMMYFUNCTION("""COMPUTED_VALUE"""),"")</f>
        <v/>
      </c>
      <c r="R56" s="501" t="str">
        <f>IFERROR(__xludf.DUMMYFUNCTION("""COMPUTED_VALUE"""),"")</f>
        <v/>
      </c>
      <c r="S56" s="503" t="str">
        <f>IFERROR(__xludf.DUMMYFUNCTION("""COMPUTED_VALUE"""),"")</f>
        <v/>
      </c>
      <c r="T56" s="503" t="str">
        <f>IFERROR(__xludf.DUMMYFUNCTION("""COMPUTED_VALUE"""),"utm_source=facebook&amp;utm_medium=socialmedia&amp;utm_campaign=&amp;utm_content=greetzmoment&amp;referrer=facebook")</f>
        <v>utm_source=facebook&amp;utm_medium=socialmedia&amp;utm_campaign=&amp;utm_content=greetzmoment&amp;referrer=facebook</v>
      </c>
    </row>
    <row r="57">
      <c r="A57" s="501" t="str">
        <f>IFERROR(__xludf.DUMMYFUNCTION("""COMPUTED_VALUE"""),"januari")</f>
        <v>januari</v>
      </c>
      <c r="B57" s="501">
        <f>IFERROR(__xludf.DUMMYFUNCTION("""COMPUTED_VALUE"""),5.0)</f>
        <v>5</v>
      </c>
      <c r="C57" s="501" t="str">
        <f>IFERROR(__xludf.DUMMYFUNCTION("""COMPUTED_VALUE"""),"zondag")</f>
        <v>zondag</v>
      </c>
      <c r="D57" s="502">
        <f>IFERROR(__xludf.DUMMYFUNCTION("""COMPUTED_VALUE"""),43492.0)</f>
        <v>43492</v>
      </c>
      <c r="E57" s="502">
        <f>IFERROR(__xludf.DUMMYFUNCTION("""COMPUTED_VALUE"""),43492.0)</f>
        <v>43492</v>
      </c>
      <c r="F57" s="501" t="str">
        <f>IFERROR(__xludf.DUMMYFUNCTION("""COMPUTED_VALUE"""),"")</f>
        <v/>
      </c>
      <c r="G57" s="503" t="str">
        <f>IFERROR(__xludf.DUMMYFUNCTION("""COMPUTED_VALUE"""),"")</f>
        <v/>
      </c>
      <c r="H57" s="501" t="str">
        <f>IFERROR(__xludf.DUMMYFUNCTION("""COMPUTED_VALUE"""),"Chocoladecake dag")</f>
        <v>Chocoladecake dag</v>
      </c>
      <c r="I57" s="503" t="str">
        <f>IFERROR(__xludf.DUMMYFUNCTION("""COMPUTED_VALUE"""),"Hi beauty! ;-) Heb je onze nieuwe verzorgingsverrassingen al gespot?")</f>
        <v>Hi beauty! ;-) Heb je onze nieuwe verzorgingsverrassingen al gespot?</v>
      </c>
      <c r="J57" s="501" t="str">
        <f>IFERROR(__xludf.DUMMYFUNCTION("""COMPUTED_VALUE"""),"")</f>
        <v/>
      </c>
      <c r="K57" s="505" t="str">
        <f>IFERROR(__xludf.DUMMYFUNCTION("""COMPUTED_VALUE""")," Hoofddoelgroep ")</f>
        <v>Hoofddoelgroep</v>
      </c>
      <c r="L57" s="501" t="str">
        <f>IFERROR(__xludf.DUMMYFUNCTION("""COMPUTED_VALUE"""),"")</f>
        <v/>
      </c>
      <c r="M57" s="504">
        <f>IFERROR(__xludf.DUMMYFUNCTION("""COMPUTED_VALUE"""),1.0)</f>
        <v>1</v>
      </c>
      <c r="N57" s="501" t="str">
        <f>IFERROR(__xludf.DUMMYFUNCTION("""COMPUTED_VALUE"""),"Product")</f>
        <v>Product</v>
      </c>
      <c r="O57" s="501" t="str">
        <f>IFERROR(__xludf.DUMMYFUNCTION("""COMPUTED_VALUE"""),"Facebook")</f>
        <v>Facebook</v>
      </c>
      <c r="P57" s="503" t="str">
        <f>IFERROR(__xludf.DUMMYFUNCTION("""COMPUTED_VALUE"""),"")</f>
        <v/>
      </c>
      <c r="Q57" s="501" t="str">
        <f>IFERROR(__xludf.DUMMYFUNCTION("""COMPUTED_VALUE"""),"Bereik")</f>
        <v>Bereik</v>
      </c>
      <c r="R57" s="501" t="str">
        <f>IFERROR(__xludf.DUMMYFUNCTION("""COMPUTED_VALUE"""),"Timeline")</f>
        <v>Timeline</v>
      </c>
      <c r="S57" s="503" t="str">
        <f>IFERROR(__xludf.DUMMYFUNCTION("""COMPUTED_VALUE"""),"")</f>
        <v/>
      </c>
      <c r="T57" s="503" t="str">
        <f>IFERROR(__xludf.DUMMYFUNCTION("""COMPUTED_VALUE"""),"utm_source=facebook&amp;utm_medium=socialmedia&amp;utm_campaign=&amp;utm_content=chocoladecakedag&amp;referrer=facebook")</f>
        <v>utm_source=facebook&amp;utm_medium=socialmedia&amp;utm_campaign=&amp;utm_content=chocoladecakedag&amp;referrer=facebook</v>
      </c>
    </row>
    <row r="58">
      <c r="A58" s="501" t="str">
        <f>IFERROR(__xludf.DUMMYFUNCTION("""COMPUTED_VALUE"""),"januari")</f>
        <v>januari</v>
      </c>
      <c r="B58" s="501">
        <f>IFERROR(__xludf.DUMMYFUNCTION("""COMPUTED_VALUE"""),5.0)</f>
        <v>5</v>
      </c>
      <c r="C58" s="501" t="str">
        <f>IFERROR(__xludf.DUMMYFUNCTION("""COMPUTED_VALUE"""),"maandag")</f>
        <v>maandag</v>
      </c>
      <c r="D58" s="502">
        <f>IFERROR(__xludf.DUMMYFUNCTION("""COMPUTED_VALUE"""),43493.0)</f>
        <v>43493</v>
      </c>
      <c r="E58" s="502">
        <f>IFERROR(__xludf.DUMMYFUNCTION("""COMPUTED_VALUE"""),43493.0)</f>
        <v>43493</v>
      </c>
      <c r="F58" s="501" t="str">
        <f>IFERROR(__xludf.DUMMYFUNCTION("""COMPUTED_VALUE"""),"Verjaardag ️🎈")</f>
        <v>Verjaardag ️🎈</v>
      </c>
      <c r="G58" s="503" t="str">
        <f>IFERROR(__xludf.DUMMYFUNCTION("""COMPUTED_VALUE"""),"2,50 korting op alle ballonnen ")</f>
        <v>2,50 korting op alle ballonnen </v>
      </c>
      <c r="H58" s="501" t="str">
        <f>IFERROR(__xludf.DUMMYFUNCTION("""COMPUTED_VALUE"""),"Mooie maandag")</f>
        <v>Mooie maandag</v>
      </c>
      <c r="I58" s="503" t="str">
        <f>IFERROR(__xludf.DUMMYFUNCTION("""COMPUTED_VALUE"""),"Mooie maandag! Zijn jullie ook alweer een beetje toe aan zon, zee en strand?")</f>
        <v>Mooie maandag! Zijn jullie ook alweer een beetje toe aan zon, zee en strand?</v>
      </c>
      <c r="J58" s="501" t="str">
        <f>IFERROR(__xludf.DUMMYFUNCTION("""COMPUTED_VALUE"""),"Staat klaar")</f>
        <v>Staat klaar</v>
      </c>
      <c r="K58" s="503" t="str">
        <f>IFERROR(__xludf.DUMMYFUNCTION("""COMPUTED_VALUE"""),"")</f>
        <v/>
      </c>
      <c r="L58" s="501" t="str">
        <f>IFERROR(__xludf.DUMMYFUNCTION("""COMPUTED_VALUE"""),"")</f>
        <v/>
      </c>
      <c r="M58" s="504">
        <f>IFERROR(__xludf.DUMMYFUNCTION("""COMPUTED_VALUE"""),1.0)</f>
        <v>1</v>
      </c>
      <c r="N58" s="501" t="str">
        <f>IFERROR(__xludf.DUMMYFUNCTION("""COMPUTED_VALUE"""),"Product")</f>
        <v>Product</v>
      </c>
      <c r="O58" s="501" t="str">
        <f>IFERROR(__xludf.DUMMYFUNCTION("""COMPUTED_VALUE"""),"Instagram Feed")</f>
        <v>Instagram Feed</v>
      </c>
      <c r="P58" s="503" t="str">
        <f>IFERROR(__xludf.DUMMYFUNCTION("""COMPUTED_VALUE"""),"")</f>
        <v/>
      </c>
      <c r="Q58" s="501" t="str">
        <f>IFERROR(__xludf.DUMMYFUNCTION("""COMPUTED_VALUE"""),"")</f>
        <v/>
      </c>
      <c r="R58" s="501" t="str">
        <f>IFERROR(__xludf.DUMMYFUNCTION("""COMPUTED_VALUE"""),"")</f>
        <v/>
      </c>
      <c r="S58" s="507" t="str">
        <f>IFERROR(__xludf.DUMMYFUNCTION("""COMPUTED_VALUE"""),"https://www.greetz.nl/kaart/detail/i-need-vitamin-sea/1142760655")</f>
        <v>https://www.greetz.nl/kaart/detail/i-need-vitamin-sea/1142760655</v>
      </c>
      <c r="T58" s="503" t="str">
        <f>IFERROR(__xludf.DUMMYFUNCTION("""COMPUTED_VALUE"""),"utm_source=facebook&amp;utm_medium=socialmedia&amp;utm_campaign=&amp;utm_content=mooiemaandag&amp;referrer=facebook")</f>
        <v>utm_source=facebook&amp;utm_medium=socialmedia&amp;utm_campaign=&amp;utm_content=mooiemaandag&amp;referrer=facebook</v>
      </c>
    </row>
    <row r="59">
      <c r="A59" s="501" t="str">
        <f>IFERROR(__xludf.DUMMYFUNCTION("""COMPUTED_VALUE"""),"januari")</f>
        <v>januari</v>
      </c>
      <c r="B59" s="501">
        <f>IFERROR(__xludf.DUMMYFUNCTION("""COMPUTED_VALUE"""),5.0)</f>
        <v>5</v>
      </c>
      <c r="C59" s="501" t="str">
        <f>IFERROR(__xludf.DUMMYFUNCTION("""COMPUTED_VALUE"""),"maandag")</f>
        <v>maandag</v>
      </c>
      <c r="D59" s="502">
        <f>IFERROR(__xludf.DUMMYFUNCTION("""COMPUTED_VALUE"""),43494.0)</f>
        <v>43494</v>
      </c>
      <c r="E59" s="502">
        <f>IFERROR(__xludf.DUMMYFUNCTION("""COMPUTED_VALUE"""),43499.0)</f>
        <v>43499</v>
      </c>
      <c r="F59" s="501" t="str">
        <f>IFERROR(__xludf.DUMMYFUNCTION("""COMPUTED_VALUE"""),"")</f>
        <v/>
      </c>
      <c r="G59" s="503" t="str">
        <f>IFERROR(__xludf.DUMMYFUNCTION("""COMPUTED_VALUE"""),"2,50 korting op alle ballonnen ")</f>
        <v>2,50 korting op alle ballonnen </v>
      </c>
      <c r="H59" s="501" t="str">
        <f>IFERROR(__xludf.DUMMYFUNCTION("""COMPUTED_VALUE"""),"2 50 korting op alle ballonnen ")</f>
        <v>2 50 korting op alle ballonnen </v>
      </c>
      <c r="I59" s="503" t="str">
        <f>IFERROR(__xludf.DUMMYFUNCTION("""COMPUTED_VALUE"""),"Hoera! Welke jarige job of jet stuur jij een hoogvliegende verrassing? 😉 Deze week krijg je 2,50 korting op al onze ballonnen ️🎈
Feestje, bedanken, beterschap wensen? Verras eens met een hoogvliegende verrassing 😉 Deze week krijg je 2,50 korting op al"&amp;" onze ballonnen ️🎈")</f>
        <v>Hoera! Welke jarige job of jet stuur jij een hoogvliegende verrassing? 😉 Deze week krijg je 2,50 korting op al onze ballonnen ️🎈
Feestje, bedanken, beterschap wensen? Verras eens met een hoogvliegende verrassing 😉 Deze week krijg je 2,50 korting op al onze ballonnen ️🎈</v>
      </c>
      <c r="J59" s="501" t="str">
        <f>IFERROR(__xludf.DUMMYFUNCTION("""COMPUTED_VALUE"""),"Staat klaar")</f>
        <v>Staat klaar</v>
      </c>
      <c r="K59" s="505" t="str">
        <f>IFERROR(__xludf.DUMMYFUNCTION("""COMPUTED_VALUE""")," Hoofddoelgroep, vrienden van jarige ")</f>
        <v>Hoofddoelgroep, vrienden van jarige</v>
      </c>
      <c r="L59" s="506">
        <f>IFERROR(__xludf.DUMMYFUNCTION("""COMPUTED_VALUE"""),500.0)</f>
        <v>500</v>
      </c>
      <c r="M59" s="504">
        <f>IFERROR(__xludf.DUMMYFUNCTION("""COMPUTED_VALUE"""),6.0)</f>
        <v>6</v>
      </c>
      <c r="N59" s="501" t="str">
        <f>IFERROR(__xludf.DUMMYFUNCTION("""COMPUTED_VALUE"""),"Product")</f>
        <v>Product</v>
      </c>
      <c r="O59" s="501" t="str">
        <f>IFERROR(__xludf.DUMMYFUNCTION("""COMPUTED_VALUE"""),"Facebook")</f>
        <v>Facebook</v>
      </c>
      <c r="P59" s="503" t="str">
        <f>IFERROR(__xludf.DUMMYFUNCTION("""COMPUTED_VALUE"""),"Facebook - Do - Retailcampaigning")</f>
        <v>Facebook - Do - Retailcampaigning</v>
      </c>
      <c r="Q59" s="501" t="str">
        <f>IFERROR(__xludf.DUMMYFUNCTION("""COMPUTED_VALUE"""),"Conversie - Waarde")</f>
        <v>Conversie - Waarde</v>
      </c>
      <c r="R59" s="501" t="str">
        <f>IFERROR(__xludf.DUMMYFUNCTION("""COMPUTED_VALUE"""),"Dark")</f>
        <v>Dark</v>
      </c>
      <c r="S59" s="503" t="str">
        <f>IFERROR(__xludf.DUMMYFUNCTION("""COMPUTED_VALUE"""),"A/B test verjaardag vs multimoment")</f>
        <v>A/B test verjaardag vs multimoment</v>
      </c>
      <c r="T59" s="503" t="str">
        <f>IFERROR(__xludf.DUMMYFUNCTION("""COMPUTED_VALUE"""),"utm_source=facebook&amp;utm_medium=socialmedia&amp;utm_campaign=facebook_-_do_-_retailcampaigning&amp;utm_content=250kortingopalleballonnen&amp;referrer=facebook")</f>
        <v>utm_source=facebook&amp;utm_medium=socialmedia&amp;utm_campaign=facebook_-_do_-_retailcampaigning&amp;utm_content=250kortingopalleballonnen&amp;referrer=facebook</v>
      </c>
    </row>
    <row r="60">
      <c r="A60" s="501" t="str">
        <f>IFERROR(__xludf.DUMMYFUNCTION("""COMPUTED_VALUE"""),"januari")</f>
        <v>januari</v>
      </c>
      <c r="B60" s="501">
        <f>IFERROR(__xludf.DUMMYFUNCTION("""COMPUTED_VALUE"""),5.0)</f>
        <v>5</v>
      </c>
      <c r="C60" s="501" t="str">
        <f>IFERROR(__xludf.DUMMYFUNCTION("""COMPUTED_VALUE"""),"dinsdag")</f>
        <v>dinsdag</v>
      </c>
      <c r="D60" s="502">
        <f>IFERROR(__xludf.DUMMYFUNCTION("""COMPUTED_VALUE"""),43494.0)</f>
        <v>43494</v>
      </c>
      <c r="E60" s="502">
        <f>IFERROR(__xludf.DUMMYFUNCTION("""COMPUTED_VALUE"""),43494.0)</f>
        <v>43494</v>
      </c>
      <c r="F60" s="501" t="str">
        <f>IFERROR(__xludf.DUMMYFUNCTION("""COMPUTED_VALUE"""),"")</f>
        <v/>
      </c>
      <c r="G60" s="503" t="str">
        <f>IFERROR(__xludf.DUMMYFUNCTION("""COMPUTED_VALUE"""),"")</f>
        <v/>
      </c>
      <c r="H60" s="501" t="str">
        <f>IFERROR(__xludf.DUMMYFUNCTION("""COMPUTED_VALUE"""),"Verjaardagsballonnen")</f>
        <v>Verjaardagsballonnen</v>
      </c>
      <c r="I60" s="503" t="str">
        <f>IFERROR(__xludf.DUMMYFUNCTION("""COMPUTED_VALUE"""),"Feestje? Een vrolijke ballon, dát is nog eens een hoogvliegende verrassing voor de jarige 😉🎈
")</f>
        <v>Feestje? Een vrolijke ballon, dát is nog eens een hoogvliegende verrassing voor de jarige 😉🎈
</v>
      </c>
      <c r="J60" s="501" t="str">
        <f>IFERROR(__xludf.DUMMYFUNCTION("""COMPUTED_VALUE"""),"Staat klaar")</f>
        <v>Staat klaar</v>
      </c>
      <c r="K60" s="505" t="str">
        <f>IFERROR(__xludf.DUMMYFUNCTION("""COMPUTED_VALUE""")," Klanten ")</f>
        <v>Klanten</v>
      </c>
      <c r="L60" s="506">
        <f>IFERROR(__xludf.DUMMYFUNCTION("""COMPUTED_VALUE"""),300.0)</f>
        <v>300</v>
      </c>
      <c r="M60" s="504">
        <f>IFERROR(__xludf.DUMMYFUNCTION("""COMPUTED_VALUE"""),1.0)</f>
        <v>1</v>
      </c>
      <c r="N60" s="501" t="str">
        <f>IFERROR(__xludf.DUMMYFUNCTION("""COMPUTED_VALUE"""),"Product")</f>
        <v>Product</v>
      </c>
      <c r="O60" s="501" t="str">
        <f>IFERROR(__xludf.DUMMYFUNCTION("""COMPUTED_VALUE"""),"Facebook")</f>
        <v>Facebook</v>
      </c>
      <c r="P60" s="503" t="str">
        <f>IFERROR(__xludf.DUMMYFUNCTION("""COMPUTED_VALUE"""),"Facebook - See - Retailcampaigning &amp; contentkalender")</f>
        <v>Facebook - See - Retailcampaigning &amp; contentkalender</v>
      </c>
      <c r="Q60" s="501" t="str">
        <f>IFERROR(__xludf.DUMMYFUNCTION("""COMPUTED_VALUE"""),"Bereik")</f>
        <v>Bereik</v>
      </c>
      <c r="R60" s="501" t="str">
        <f>IFERROR(__xludf.DUMMYFUNCTION("""COMPUTED_VALUE"""),"Timeline")</f>
        <v>Timeline</v>
      </c>
      <c r="S60" s="503" t="str">
        <f>IFERROR(__xludf.DUMMYFUNCTION("""COMPUTED_VALUE"""),"Cinemagraph")</f>
        <v>Cinemagraph</v>
      </c>
      <c r="T60" s="503" t="str">
        <f>IFERROR(__xludf.DUMMYFUNCTION("""COMPUTED_VALUE"""),"utm_source=facebook&amp;utm_medium=socialmedia&amp;utm_campaign=facebook_-_see_-_retailcampaigning_&amp;_contentkalender&amp;utm_content=verjaardagsballonnen&amp;referrer=facebook")</f>
        <v>utm_source=facebook&amp;utm_medium=socialmedia&amp;utm_campaign=facebook_-_see_-_retailcampaigning_&amp;_contentkalender&amp;utm_content=verjaardagsballonnen&amp;referrer=facebook</v>
      </c>
    </row>
    <row r="61">
      <c r="A61" s="501" t="str">
        <f>IFERROR(__xludf.DUMMYFUNCTION("""COMPUTED_VALUE"""),"januari")</f>
        <v>januari</v>
      </c>
      <c r="B61" s="501">
        <f>IFERROR(__xludf.DUMMYFUNCTION("""COMPUTED_VALUE"""),5.0)</f>
        <v>5</v>
      </c>
      <c r="C61" s="501" t="str">
        <f>IFERROR(__xludf.DUMMYFUNCTION("""COMPUTED_VALUE"""),"woensdag")</f>
        <v>woensdag</v>
      </c>
      <c r="D61" s="502">
        <f>IFERROR(__xludf.DUMMYFUNCTION("""COMPUTED_VALUE"""),43495.0)</f>
        <v>43495</v>
      </c>
      <c r="E61" s="502">
        <f>IFERROR(__xludf.DUMMYFUNCTION("""COMPUTED_VALUE"""),43495.0)</f>
        <v>43495</v>
      </c>
      <c r="F61" s="501" t="str">
        <f>IFERROR(__xludf.DUMMYFUNCTION("""COMPUTED_VALUE"""),"")</f>
        <v/>
      </c>
      <c r="G61" s="503" t="str">
        <f>IFERROR(__xludf.DUMMYFUNCTION("""COMPUTED_VALUE"""),"")</f>
        <v/>
      </c>
      <c r="H61" s="501" t="str">
        <f>IFERROR(__xludf.DUMMYFUNCTION("""COMPUTED_VALUE"""),"Instagram Poll")</f>
        <v>Instagram Poll</v>
      </c>
      <c r="I61" s="503" t="str">
        <f>IFERROR(__xludf.DUMMYFUNCTION("""COMPUTED_VALUE"""),"Met welke ballon zou jij de jarige job of jet verrassen?")</f>
        <v>Met welke ballon zou jij de jarige job of jet verrassen?</v>
      </c>
      <c r="J61" s="501" t="str">
        <f>IFERROR(__xludf.DUMMYFUNCTION("""COMPUTED_VALUE"""),"Staat klaar")</f>
        <v>Staat klaar</v>
      </c>
      <c r="K61" s="503" t="str">
        <f>IFERROR(__xludf.DUMMYFUNCTION("""COMPUTED_VALUE"""),"")</f>
        <v/>
      </c>
      <c r="L61" s="501" t="str">
        <f>IFERROR(__xludf.DUMMYFUNCTION("""COMPUTED_VALUE"""),"")</f>
        <v/>
      </c>
      <c r="M61" s="504">
        <f>IFERROR(__xludf.DUMMYFUNCTION("""COMPUTED_VALUE"""),1.0)</f>
        <v>1</v>
      </c>
      <c r="N61" s="501" t="str">
        <f>IFERROR(__xludf.DUMMYFUNCTION("""COMPUTED_VALUE"""),"Product")</f>
        <v>Product</v>
      </c>
      <c r="O61" s="501" t="str">
        <f>IFERROR(__xludf.DUMMYFUNCTION("""COMPUTED_VALUE"""),"Instagram Stories")</f>
        <v>Instagram Stories</v>
      </c>
      <c r="P61" s="503" t="str">
        <f>IFERROR(__xludf.DUMMYFUNCTION("""COMPUTED_VALUE"""),"")</f>
        <v/>
      </c>
      <c r="Q61" s="501" t="str">
        <f>IFERROR(__xludf.DUMMYFUNCTION("""COMPUTED_VALUE"""),"")</f>
        <v/>
      </c>
      <c r="R61" s="501" t="str">
        <f>IFERROR(__xludf.DUMMYFUNCTION("""COMPUTED_VALUE"""),"")</f>
        <v/>
      </c>
      <c r="S61" s="503" t="str">
        <f>IFERROR(__xludf.DUMMYFUNCTION("""COMPUTED_VALUE"""),"A: https://www.greetz.nl/ballonnen/detail/ballon-met-eigen-naam/2142771350 
B: https://www.greetz.nl/ballonnen/detail/ballon-met-eigen-naam/2142771356 
")</f>
        <v>A: https://www.greetz.nl/ballonnen/detail/ballon-met-eigen-naam/2142771350 
B: https://www.greetz.nl/ballonnen/detail/ballon-met-eigen-naam/2142771356 
</v>
      </c>
      <c r="T61" s="503" t="str">
        <f>IFERROR(__xludf.DUMMYFUNCTION("""COMPUTED_VALUE"""),"utm_source=facebook&amp;utm_medium=socialmedia&amp;utm_campaign=&amp;utm_content=instagrampoll&amp;referrer=facebook")</f>
        <v>utm_source=facebook&amp;utm_medium=socialmedia&amp;utm_campaign=&amp;utm_content=instagrampoll&amp;referrer=facebook</v>
      </c>
    </row>
    <row r="62">
      <c r="A62" s="501" t="str">
        <f>IFERROR(__xludf.DUMMYFUNCTION("""COMPUTED_VALUE"""),"januari")</f>
        <v>januari</v>
      </c>
      <c r="B62" s="501">
        <f>IFERROR(__xludf.DUMMYFUNCTION("""COMPUTED_VALUE"""),5.0)</f>
        <v>5</v>
      </c>
      <c r="C62" s="501" t="str">
        <f>IFERROR(__xludf.DUMMYFUNCTION("""COMPUTED_VALUE"""),"donderdag")</f>
        <v>donderdag</v>
      </c>
      <c r="D62" s="502">
        <f>IFERROR(__xludf.DUMMYFUNCTION("""COMPUTED_VALUE"""),43496.0)</f>
        <v>43496</v>
      </c>
      <c r="E62" s="502">
        <f>IFERROR(__xludf.DUMMYFUNCTION("""COMPUTED_VALUE"""),43496.0)</f>
        <v>43496</v>
      </c>
      <c r="F62" s="501" t="str">
        <f>IFERROR(__xludf.DUMMYFUNCTION("""COMPUTED_VALUE"""),"")</f>
        <v/>
      </c>
      <c r="G62" s="503" t="str">
        <f>IFERROR(__xludf.DUMMYFUNCTION("""COMPUTED_VALUE"""),"")</f>
        <v/>
      </c>
      <c r="H62" s="501" t="str">
        <f>IFERROR(__xludf.DUMMYFUNCTION("""COMPUTED_VALUE"""),"Gedichtendag")</f>
        <v>Gedichtendag</v>
      </c>
      <c r="I62" s="503" t="str">
        <f>IFERROR(__xludf.DUMMYFUNCTION("""COMPUTED_VALUE"""),"")</f>
        <v/>
      </c>
      <c r="J62" s="501" t="str">
        <f>IFERROR(__xludf.DUMMYFUNCTION("""COMPUTED_VALUE"""),"")</f>
        <v/>
      </c>
      <c r="K62" s="503" t="str">
        <f>IFERROR(__xludf.DUMMYFUNCTION("""COMPUTED_VALUE"""),"")</f>
        <v/>
      </c>
      <c r="L62" s="501" t="str">
        <f>IFERROR(__xludf.DUMMYFUNCTION("""COMPUTED_VALUE"""),"")</f>
        <v/>
      </c>
      <c r="M62" s="504">
        <f>IFERROR(__xludf.DUMMYFUNCTION("""COMPUTED_VALUE"""),1.0)</f>
        <v>1</v>
      </c>
      <c r="N62" s="501" t="str">
        <f>IFERROR(__xludf.DUMMYFUNCTION("""COMPUTED_VALUE"""),"")</f>
        <v/>
      </c>
      <c r="O62" s="501" t="str">
        <f>IFERROR(__xludf.DUMMYFUNCTION("""COMPUTED_VALUE"""),"")</f>
        <v/>
      </c>
      <c r="P62" s="503" t="str">
        <f>IFERROR(__xludf.DUMMYFUNCTION("""COMPUTED_VALUE"""),"")</f>
        <v/>
      </c>
      <c r="Q62" s="501" t="str">
        <f>IFERROR(__xludf.DUMMYFUNCTION("""COMPUTED_VALUE"""),"")</f>
        <v/>
      </c>
      <c r="R62" s="501" t="str">
        <f>IFERROR(__xludf.DUMMYFUNCTION("""COMPUTED_VALUE"""),"")</f>
        <v/>
      </c>
      <c r="S62" s="503" t="str">
        <f>IFERROR(__xludf.DUMMYFUNCTION("""COMPUTED_VALUE"""),"")</f>
        <v/>
      </c>
      <c r="T62" s="503" t="str">
        <f>IFERROR(__xludf.DUMMYFUNCTION("""COMPUTED_VALUE"""),"utm_source=facebook&amp;utm_medium=socialmedia&amp;utm_campaign=&amp;utm_content=gedichtendag&amp;referrer=facebook")</f>
        <v>utm_source=facebook&amp;utm_medium=socialmedia&amp;utm_campaign=&amp;utm_content=gedichtendag&amp;referrer=facebook</v>
      </c>
    </row>
    <row r="63">
      <c r="A63" s="501" t="str">
        <f>IFERROR(__xludf.DUMMYFUNCTION("""COMPUTED_VALUE"""),"februari")</f>
        <v>februari</v>
      </c>
      <c r="B63" s="501">
        <f>IFERROR(__xludf.DUMMYFUNCTION("""COMPUTED_VALUE"""),5.0)</f>
        <v>5</v>
      </c>
      <c r="C63" s="501" t="str">
        <f>IFERROR(__xludf.DUMMYFUNCTION("""COMPUTED_VALUE"""),"vrijdag")</f>
        <v>vrijdag</v>
      </c>
      <c r="D63" s="502">
        <f>IFERROR(__xludf.DUMMYFUNCTION("""COMPUTED_VALUE"""),43497.0)</f>
        <v>43497</v>
      </c>
      <c r="E63" s="502">
        <f>IFERROR(__xludf.DUMMYFUNCTION("""COMPUTED_VALUE"""),43524.0)</f>
        <v>43524</v>
      </c>
      <c r="F63" s="501" t="str">
        <f>IFERROR(__xludf.DUMMYFUNCTION("""COMPUTED_VALUE"""),"")</f>
        <v/>
      </c>
      <c r="G63" s="503" t="str">
        <f>IFERROR(__xludf.DUMMYFUNCTION("""COMPUTED_VALUE"""),"")</f>
        <v/>
      </c>
      <c r="H63" s="501" t="str">
        <f>IFERROR(__xludf.DUMMYFUNCTION("""COMPUTED_VALUE"""),"AOC verhuizen do")</f>
        <v>AOC verhuizen do</v>
      </c>
      <c r="I63" s="503" t="str">
        <f>IFERROR(__xludf.DUMMYFUNCTION("""COMPUTED_VALUE"""),"")</f>
        <v/>
      </c>
      <c r="J63" s="501" t="str">
        <f>IFERROR(__xludf.DUMMYFUNCTION("""COMPUTED_VALUE"""),"Briefen")</f>
        <v>Briefen</v>
      </c>
      <c r="K63" s="505" t="str">
        <f>IFERROR(__xludf.DUMMYFUNCTION("""COMPUTED_VALUE""")," URl bevat nieuwe woning 14 dagen ")</f>
        <v>URl bevat nieuwe woning 14 dagen</v>
      </c>
      <c r="L63" s="506">
        <f>IFERROR(__xludf.DUMMYFUNCTION("""COMPUTED_VALUE"""),300.0)</f>
        <v>300</v>
      </c>
      <c r="M63" s="504">
        <f>IFERROR(__xludf.DUMMYFUNCTION("""COMPUTED_VALUE"""),28.0)</f>
        <v>28</v>
      </c>
      <c r="N63" s="501" t="str">
        <f>IFERROR(__xludf.DUMMYFUNCTION("""COMPUTED_VALUE"""),"Product")</f>
        <v>Product</v>
      </c>
      <c r="O63" s="501" t="str">
        <f>IFERROR(__xludf.DUMMYFUNCTION("""COMPUTED_VALUE"""),"Facebook")</f>
        <v>Facebook</v>
      </c>
      <c r="P63" s="503" t="str">
        <f>IFERROR(__xludf.DUMMYFUNCTION("""COMPUTED_VALUE"""),"Facebook - Do - AOC")</f>
        <v>Facebook - Do - AOC</v>
      </c>
      <c r="Q63" s="501" t="str">
        <f>IFERROR(__xludf.DUMMYFUNCTION("""COMPUTED_VALUE"""),"Conversie - Waarde")</f>
        <v>Conversie - Waarde</v>
      </c>
      <c r="R63" s="501" t="str">
        <f>IFERROR(__xludf.DUMMYFUNCTION("""COMPUTED_VALUE"""),"Dark")</f>
        <v>Dark</v>
      </c>
      <c r="S63" s="503" t="str">
        <f>IFERROR(__xludf.DUMMYFUNCTION("""COMPUTED_VALUE"""),"")</f>
        <v/>
      </c>
      <c r="T63"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64">
      <c r="A64" s="501" t="str">
        <f>IFERROR(__xludf.DUMMYFUNCTION("""COMPUTED_VALUE"""),"februari")</f>
        <v>februari</v>
      </c>
      <c r="B64" s="501">
        <f>IFERROR(__xludf.DUMMYFUNCTION("""COMPUTED_VALUE"""),5.0)</f>
        <v>5</v>
      </c>
      <c r="C64" s="501" t="str">
        <f>IFERROR(__xludf.DUMMYFUNCTION("""COMPUTED_VALUE"""),"vrijdag")</f>
        <v>vrijdag</v>
      </c>
      <c r="D64" s="502">
        <f>IFERROR(__xludf.DUMMYFUNCTION("""COMPUTED_VALUE"""),43497.0)</f>
        <v>43497</v>
      </c>
      <c r="E64" s="502">
        <f>IFERROR(__xludf.DUMMYFUNCTION("""COMPUTED_VALUE"""),43524.0)</f>
        <v>43524</v>
      </c>
      <c r="F64" s="501" t="str">
        <f>IFERROR(__xludf.DUMMYFUNCTION("""COMPUTED_VALUE"""),"")</f>
        <v/>
      </c>
      <c r="G64" s="503" t="str">
        <f>IFERROR(__xludf.DUMMYFUNCTION("""COMPUTED_VALUE"""),"")</f>
        <v/>
      </c>
      <c r="H64" s="501" t="str">
        <f>IFERROR(__xludf.DUMMYFUNCTION("""COMPUTED_VALUE"""),"AOC verjaardag do")</f>
        <v>AOC verjaardag do</v>
      </c>
      <c r="I64" s="503" t="str">
        <f>IFERROR(__xludf.DUMMYFUNCTION("""COMPUTED_VALUE"""),"")</f>
        <v/>
      </c>
      <c r="J64" s="501" t="str">
        <f>IFERROR(__xludf.DUMMYFUNCTION("""COMPUTED_VALUE"""),"Briefen")</f>
        <v>Briefen</v>
      </c>
      <c r="K64" s="505" t="str">
        <f>IFERROR(__xludf.DUMMYFUNCTION("""COMPUTED_VALUE""")," Goeie vrienden van jarige 7-30 dagen ")</f>
        <v>Goeie vrienden van jarige 7-30 dagen</v>
      </c>
      <c r="L64" s="506">
        <f>IFERROR(__xludf.DUMMYFUNCTION("""COMPUTED_VALUE"""),750.0)</f>
        <v>750</v>
      </c>
      <c r="M64" s="504">
        <f>IFERROR(__xludf.DUMMYFUNCTION("""COMPUTED_VALUE"""),28.0)</f>
        <v>28</v>
      </c>
      <c r="N64" s="501" t="str">
        <f>IFERROR(__xludf.DUMMYFUNCTION("""COMPUTED_VALUE"""),"Product")</f>
        <v>Product</v>
      </c>
      <c r="O64" s="501" t="str">
        <f>IFERROR(__xludf.DUMMYFUNCTION("""COMPUTED_VALUE"""),"Facebook")</f>
        <v>Facebook</v>
      </c>
      <c r="P64" s="503" t="str">
        <f>IFERROR(__xludf.DUMMYFUNCTION("""COMPUTED_VALUE"""),"Facebook - Do - AOC")</f>
        <v>Facebook - Do - AOC</v>
      </c>
      <c r="Q64" s="501" t="str">
        <f>IFERROR(__xludf.DUMMYFUNCTION("""COMPUTED_VALUE"""),"Conversie - Waarde")</f>
        <v>Conversie - Waarde</v>
      </c>
      <c r="R64" s="501" t="str">
        <f>IFERROR(__xludf.DUMMYFUNCTION("""COMPUTED_VALUE"""),"Dark")</f>
        <v>Dark</v>
      </c>
      <c r="S64" s="503" t="str">
        <f>IFERROR(__xludf.DUMMYFUNCTION("""COMPUTED_VALUE"""),"")</f>
        <v/>
      </c>
      <c r="T64"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65">
      <c r="A65" s="501" t="str">
        <f>IFERROR(__xludf.DUMMYFUNCTION("""COMPUTED_VALUE"""),"februari")</f>
        <v>februari</v>
      </c>
      <c r="B65" s="501">
        <f>IFERROR(__xludf.DUMMYFUNCTION("""COMPUTED_VALUE"""),5.0)</f>
        <v>5</v>
      </c>
      <c r="C65" s="501" t="str">
        <f>IFERROR(__xludf.DUMMYFUNCTION("""COMPUTED_VALUE"""),"vrijdag")</f>
        <v>vrijdag</v>
      </c>
      <c r="D65" s="502">
        <f>IFERROR(__xludf.DUMMYFUNCTION("""COMPUTED_VALUE"""),43497.0)</f>
        <v>43497</v>
      </c>
      <c r="E65" s="502">
        <f>IFERROR(__xludf.DUMMYFUNCTION("""COMPUTED_VALUE"""),43524.0)</f>
        <v>43524</v>
      </c>
      <c r="F65" s="501" t="str">
        <f>IFERROR(__xludf.DUMMYFUNCTION("""COMPUTED_VALUE"""),"")</f>
        <v/>
      </c>
      <c r="G65" s="503" t="str">
        <f>IFERROR(__xludf.DUMMYFUNCTION("""COMPUTED_VALUE"""),"")</f>
        <v/>
      </c>
      <c r="H65" s="501" t="str">
        <f>IFERROR(__xludf.DUMMYFUNCTION("""COMPUTED_VALUE"""),"AOC verjaardag do")</f>
        <v>AOC verjaardag do</v>
      </c>
      <c r="I65" s="503" t="str">
        <f>IFERROR(__xludf.DUMMYFUNCTION("""COMPUTED_VALUE"""),"")</f>
        <v/>
      </c>
      <c r="J65" s="501" t="str">
        <f>IFERROR(__xludf.DUMMYFUNCTION("""COMPUTED_VALUE"""),"Briefen")</f>
        <v>Briefen</v>
      </c>
      <c r="K65" s="505" t="str">
        <f>IFERROR(__xludf.DUMMYFUNCTION("""COMPUTED_VALUE""")," URL bevat verjaardag 2-7 dagen ")</f>
        <v>URL bevat verjaardag 2-7 dagen</v>
      </c>
      <c r="L65" s="506">
        <f>IFERROR(__xludf.DUMMYFUNCTION("""COMPUTED_VALUE"""),750.0)</f>
        <v>750</v>
      </c>
      <c r="M65" s="504">
        <f>IFERROR(__xludf.DUMMYFUNCTION("""COMPUTED_VALUE"""),28.0)</f>
        <v>28</v>
      </c>
      <c r="N65" s="501" t="str">
        <f>IFERROR(__xludf.DUMMYFUNCTION("""COMPUTED_VALUE"""),"Product")</f>
        <v>Product</v>
      </c>
      <c r="O65" s="501" t="str">
        <f>IFERROR(__xludf.DUMMYFUNCTION("""COMPUTED_VALUE"""),"Facebook")</f>
        <v>Facebook</v>
      </c>
      <c r="P65" s="503" t="str">
        <f>IFERROR(__xludf.DUMMYFUNCTION("""COMPUTED_VALUE"""),"Facebook - Do - AOC")</f>
        <v>Facebook - Do - AOC</v>
      </c>
      <c r="Q65" s="501" t="str">
        <f>IFERROR(__xludf.DUMMYFUNCTION("""COMPUTED_VALUE"""),"Conversie - Waarde")</f>
        <v>Conversie - Waarde</v>
      </c>
      <c r="R65" s="501" t="str">
        <f>IFERROR(__xludf.DUMMYFUNCTION("""COMPUTED_VALUE"""),"Dark")</f>
        <v>Dark</v>
      </c>
      <c r="S65" s="503" t="str">
        <f>IFERROR(__xludf.DUMMYFUNCTION("""COMPUTED_VALUE"""),"")</f>
        <v/>
      </c>
      <c r="T65"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66">
      <c r="A66" s="501" t="str">
        <f>IFERROR(__xludf.DUMMYFUNCTION("""COMPUTED_VALUE"""),"februari")</f>
        <v>februari</v>
      </c>
      <c r="B66" s="501">
        <f>IFERROR(__xludf.DUMMYFUNCTION("""COMPUTED_VALUE"""),5.0)</f>
        <v>5</v>
      </c>
      <c r="C66" s="501" t="str">
        <f>IFERROR(__xludf.DUMMYFUNCTION("""COMPUTED_VALUE"""),"vrijdag")</f>
        <v>vrijdag</v>
      </c>
      <c r="D66" s="502">
        <f>IFERROR(__xludf.DUMMYFUNCTION("""COMPUTED_VALUE"""),43497.0)</f>
        <v>43497</v>
      </c>
      <c r="E66" s="502">
        <f>IFERROR(__xludf.DUMMYFUNCTION("""COMPUTED_VALUE"""),43524.0)</f>
        <v>43524</v>
      </c>
      <c r="F66" s="501" t="str">
        <f>IFERROR(__xludf.DUMMYFUNCTION("""COMPUTED_VALUE"""),"")</f>
        <v/>
      </c>
      <c r="G66" s="503" t="str">
        <f>IFERROR(__xludf.DUMMYFUNCTION("""COMPUTED_VALUE"""),"")</f>
        <v/>
      </c>
      <c r="H66" s="501" t="str">
        <f>IFERROR(__xludf.DUMMYFUNCTION("""COMPUTED_VALUE"""),"AOC geboorte do")</f>
        <v>AOC geboorte do</v>
      </c>
      <c r="I66" s="503" t="str">
        <f>IFERROR(__xludf.DUMMYFUNCTION("""COMPUTED_VALUE"""),"")</f>
        <v/>
      </c>
      <c r="J66" s="501" t="str">
        <f>IFERROR(__xludf.DUMMYFUNCTION("""COMPUTED_VALUE"""),"Briefen")</f>
        <v>Briefen</v>
      </c>
      <c r="K66" s="505" t="str">
        <f>IFERROR(__xludf.DUMMYFUNCTION("""COMPUTED_VALUE""")," URL bevat geboorte 2-7 dagen ")</f>
        <v>URL bevat geboorte 2-7 dagen</v>
      </c>
      <c r="L66" s="506">
        <f>IFERROR(__xludf.DUMMYFUNCTION("""COMPUTED_VALUE"""),1200.0)</f>
        <v>1200</v>
      </c>
      <c r="M66" s="504">
        <f>IFERROR(__xludf.DUMMYFUNCTION("""COMPUTED_VALUE"""),28.0)</f>
        <v>28</v>
      </c>
      <c r="N66" s="501" t="str">
        <f>IFERROR(__xludf.DUMMYFUNCTION("""COMPUTED_VALUE"""),"Product")</f>
        <v>Product</v>
      </c>
      <c r="O66" s="501" t="str">
        <f>IFERROR(__xludf.DUMMYFUNCTION("""COMPUTED_VALUE"""),"Facebook")</f>
        <v>Facebook</v>
      </c>
      <c r="P66" s="503" t="str">
        <f>IFERROR(__xludf.DUMMYFUNCTION("""COMPUTED_VALUE"""),"Facebook - Do - AOC")</f>
        <v>Facebook - Do - AOC</v>
      </c>
      <c r="Q66" s="501" t="str">
        <f>IFERROR(__xludf.DUMMYFUNCTION("""COMPUTED_VALUE"""),"Conversie - Waarde")</f>
        <v>Conversie - Waarde</v>
      </c>
      <c r="R66" s="501" t="str">
        <f>IFERROR(__xludf.DUMMYFUNCTION("""COMPUTED_VALUE"""),"Dark")</f>
        <v>Dark</v>
      </c>
      <c r="S66" s="503" t="str">
        <f>IFERROR(__xludf.DUMMYFUNCTION("""COMPUTED_VALUE"""),"")</f>
        <v/>
      </c>
      <c r="T66"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67">
      <c r="A67" s="501" t="str">
        <f>IFERROR(__xludf.DUMMYFUNCTION("""COMPUTED_VALUE"""),"februari")</f>
        <v>februari</v>
      </c>
      <c r="B67" s="501">
        <f>IFERROR(__xludf.DUMMYFUNCTION("""COMPUTED_VALUE"""),5.0)</f>
        <v>5</v>
      </c>
      <c r="C67" s="501" t="str">
        <f>IFERROR(__xludf.DUMMYFUNCTION("""COMPUTED_VALUE"""),"vrijdag")</f>
        <v>vrijdag</v>
      </c>
      <c r="D67" s="502">
        <f>IFERROR(__xludf.DUMMYFUNCTION("""COMPUTED_VALUE"""),43497.0)</f>
        <v>43497</v>
      </c>
      <c r="E67" s="502">
        <f>IFERROR(__xludf.DUMMYFUNCTION("""COMPUTED_VALUE"""),43524.0)</f>
        <v>43524</v>
      </c>
      <c r="F67" s="501" t="str">
        <f>IFERROR(__xludf.DUMMYFUNCTION("""COMPUTED_VALUE"""),"")</f>
        <v/>
      </c>
      <c r="G67" s="503" t="str">
        <f>IFERROR(__xludf.DUMMYFUNCTION("""COMPUTED_VALUE"""),"")</f>
        <v/>
      </c>
      <c r="H67" s="501" t="str">
        <f>IFERROR(__xludf.DUMMYFUNCTION("""COMPUTED_VALUE"""),"AOC verhuizen think")</f>
        <v>AOC verhuizen think</v>
      </c>
      <c r="I67" s="503" t="str">
        <f>IFERROR(__xludf.DUMMYFUNCTION("""COMPUTED_VALUE"""),"")</f>
        <v/>
      </c>
      <c r="J67" s="501" t="str">
        <f>IFERROR(__xludf.DUMMYFUNCTION("""COMPUTED_VALUE"""),"Briefen")</f>
        <v>Briefen</v>
      </c>
      <c r="K67" s="505" t="str">
        <f>IFERROR(__xludf.DUMMYFUNCTION("""COMPUTED_VALUE""")," Vrienden van recent verhuisd ")</f>
        <v>Vrienden van recent verhuisd</v>
      </c>
      <c r="L67" s="506">
        <f>IFERROR(__xludf.DUMMYFUNCTION("""COMPUTED_VALUE"""),300.0)</f>
        <v>300</v>
      </c>
      <c r="M67" s="504">
        <f>IFERROR(__xludf.DUMMYFUNCTION("""COMPUTED_VALUE"""),28.0)</f>
        <v>28</v>
      </c>
      <c r="N67" s="501" t="str">
        <f>IFERROR(__xludf.DUMMYFUNCTION("""COMPUTED_VALUE"""),"Geven/ontvangen")</f>
        <v>Geven/ontvangen</v>
      </c>
      <c r="O67" s="501" t="str">
        <f>IFERROR(__xludf.DUMMYFUNCTION("""COMPUTED_VALUE"""),"Facebook")</f>
        <v>Facebook</v>
      </c>
      <c r="P67" s="503" t="str">
        <f>IFERROR(__xludf.DUMMYFUNCTION("""COMPUTED_VALUE"""),"Facebook - Think - AOC")</f>
        <v>Facebook - Think - AOC</v>
      </c>
      <c r="Q67" s="501" t="str">
        <f>IFERROR(__xludf.DUMMYFUNCTION("""COMPUTED_VALUE"""),"Conversie - Landingspagina")</f>
        <v>Conversie - Landingspagina</v>
      </c>
      <c r="R67" s="501" t="str">
        <f>IFERROR(__xludf.DUMMYFUNCTION("""COMPUTED_VALUE"""),"Dark")</f>
        <v>Dark</v>
      </c>
      <c r="S67" s="503" t="str">
        <f>IFERROR(__xludf.DUMMYFUNCTION("""COMPUTED_VALUE"""),"")</f>
        <v/>
      </c>
      <c r="T67"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68">
      <c r="A68" s="501" t="str">
        <f>IFERROR(__xludf.DUMMYFUNCTION("""COMPUTED_VALUE"""),"februari")</f>
        <v>februari</v>
      </c>
      <c r="B68" s="501">
        <f>IFERROR(__xludf.DUMMYFUNCTION("""COMPUTED_VALUE"""),5.0)</f>
        <v>5</v>
      </c>
      <c r="C68" s="501" t="str">
        <f>IFERROR(__xludf.DUMMYFUNCTION("""COMPUTED_VALUE"""),"vrijdag")</f>
        <v>vrijdag</v>
      </c>
      <c r="D68" s="502">
        <f>IFERROR(__xludf.DUMMYFUNCTION("""COMPUTED_VALUE"""),43497.0)</f>
        <v>43497</v>
      </c>
      <c r="E68" s="502">
        <f>IFERROR(__xludf.DUMMYFUNCTION("""COMPUTED_VALUE"""),43524.0)</f>
        <v>43524</v>
      </c>
      <c r="F68" s="501" t="str">
        <f>IFERROR(__xludf.DUMMYFUNCTION("""COMPUTED_VALUE"""),"")</f>
        <v/>
      </c>
      <c r="G68" s="503" t="str">
        <f>IFERROR(__xludf.DUMMYFUNCTION("""COMPUTED_VALUE"""),"")</f>
        <v/>
      </c>
      <c r="H68" s="501" t="str">
        <f>IFERROR(__xludf.DUMMYFUNCTION("""COMPUTED_VALUE"""),"AOC verhuizen see")</f>
        <v>AOC verhuizen see</v>
      </c>
      <c r="I68" s="503" t="str">
        <f>IFERROR(__xludf.DUMMYFUNCTION("""COMPUTED_VALUE"""),"")</f>
        <v/>
      </c>
      <c r="J68" s="501" t="str">
        <f>IFERROR(__xludf.DUMMYFUNCTION("""COMPUTED_VALUE"""),"Briefen")</f>
        <v>Briefen</v>
      </c>
      <c r="K68" s="505" t="str">
        <f>IFERROR(__xludf.DUMMYFUNCTION("""COMPUTED_VALUE""")," Vrouw 25-64 (excl klanten, vrienden van verhuisde personen en fans) ")</f>
        <v>Vrouw 25-64 (excl klanten, vrienden van verhuisde personen en fans)</v>
      </c>
      <c r="L68" s="506">
        <f>IFERROR(__xludf.DUMMYFUNCTION("""COMPUTED_VALUE"""),600.0)</f>
        <v>600</v>
      </c>
      <c r="M68" s="504">
        <f>IFERROR(__xludf.DUMMYFUNCTION("""COMPUTED_VALUE"""),28.0)</f>
        <v>28</v>
      </c>
      <c r="N68" s="501" t="str">
        <f>IFERROR(__xludf.DUMMYFUNCTION("""COMPUTED_VALUE"""),"Merk")</f>
        <v>Merk</v>
      </c>
      <c r="O68" s="501" t="str">
        <f>IFERROR(__xludf.DUMMYFUNCTION("""COMPUTED_VALUE"""),"FB + Instagram")</f>
        <v>FB + Instagram</v>
      </c>
      <c r="P68" s="503" t="str">
        <f>IFERROR(__xludf.DUMMYFUNCTION("""COMPUTED_VALUE"""),"Facebook - See - AOC")</f>
        <v>Facebook - See - AOC</v>
      </c>
      <c r="Q68" s="501" t="str">
        <f>IFERROR(__xludf.DUMMYFUNCTION("""COMPUTED_VALUE"""),"Bereik")</f>
        <v>Bereik</v>
      </c>
      <c r="R68" s="501" t="str">
        <f>IFERROR(__xludf.DUMMYFUNCTION("""COMPUTED_VALUE"""),"Dark")</f>
        <v>Dark</v>
      </c>
      <c r="S68" s="503" t="str">
        <f>IFERROR(__xludf.DUMMYFUNCTION("""COMPUTED_VALUE"""),"")</f>
        <v/>
      </c>
      <c r="T68"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69">
      <c r="A69" s="501" t="str">
        <f>IFERROR(__xludf.DUMMYFUNCTION("""COMPUTED_VALUE"""),"februari")</f>
        <v>februari</v>
      </c>
      <c r="B69" s="501">
        <f>IFERROR(__xludf.DUMMYFUNCTION("""COMPUTED_VALUE"""),5.0)</f>
        <v>5</v>
      </c>
      <c r="C69" s="501" t="str">
        <f>IFERROR(__xludf.DUMMYFUNCTION("""COMPUTED_VALUE"""),"vrijdag")</f>
        <v>vrijdag</v>
      </c>
      <c r="D69" s="502">
        <f>IFERROR(__xludf.DUMMYFUNCTION("""COMPUTED_VALUE"""),43497.0)</f>
        <v>43497</v>
      </c>
      <c r="E69" s="502">
        <f>IFERROR(__xludf.DUMMYFUNCTION("""COMPUTED_VALUE"""),43524.0)</f>
        <v>43524</v>
      </c>
      <c r="F69" s="501" t="str">
        <f>IFERROR(__xludf.DUMMYFUNCTION("""COMPUTED_VALUE"""),"")</f>
        <v/>
      </c>
      <c r="G69" s="503" t="str">
        <f>IFERROR(__xludf.DUMMYFUNCTION("""COMPUTED_VALUE"""),"")</f>
        <v/>
      </c>
      <c r="H69" s="501" t="str">
        <f>IFERROR(__xludf.DUMMYFUNCTION("""COMPUTED_VALUE"""),"AOC verjaardag see")</f>
        <v>AOC verjaardag see</v>
      </c>
      <c r="I69" s="503" t="str">
        <f>IFERROR(__xludf.DUMMYFUNCTION("""COMPUTED_VALUE"""),"")</f>
        <v/>
      </c>
      <c r="J69" s="501" t="str">
        <f>IFERROR(__xludf.DUMMYFUNCTION("""COMPUTED_VALUE"""),"Briefen")</f>
        <v>Briefen</v>
      </c>
      <c r="K69" s="505" t="str">
        <f>IFERROR(__xludf.DUMMYFUNCTION("""COMPUTED_VALUE""")," See - Geboorte ")</f>
        <v>See - Geboorte</v>
      </c>
      <c r="L69" s="506">
        <f>IFERROR(__xludf.DUMMYFUNCTION("""COMPUTED_VALUE"""),1200.0)</f>
        <v>1200</v>
      </c>
      <c r="M69" s="504">
        <f>IFERROR(__xludf.DUMMYFUNCTION("""COMPUTED_VALUE"""),28.0)</f>
        <v>28</v>
      </c>
      <c r="N69" s="501" t="str">
        <f>IFERROR(__xludf.DUMMYFUNCTION("""COMPUTED_VALUE"""),"Merk")</f>
        <v>Merk</v>
      </c>
      <c r="O69" s="501" t="str">
        <f>IFERROR(__xludf.DUMMYFUNCTION("""COMPUTED_VALUE"""),"FB + Instagram")</f>
        <v>FB + Instagram</v>
      </c>
      <c r="P69" s="503" t="str">
        <f>IFERROR(__xludf.DUMMYFUNCTION("""COMPUTED_VALUE"""),"Facebook - See - AOC")</f>
        <v>Facebook - See - AOC</v>
      </c>
      <c r="Q69" s="501" t="str">
        <f>IFERROR(__xludf.DUMMYFUNCTION("""COMPUTED_VALUE"""),"Bereik")</f>
        <v>Bereik</v>
      </c>
      <c r="R69" s="501" t="str">
        <f>IFERROR(__xludf.DUMMYFUNCTION("""COMPUTED_VALUE"""),"Dark")</f>
        <v>Dark</v>
      </c>
      <c r="S69" s="503" t="str">
        <f>IFERROR(__xludf.DUMMYFUNCTION("""COMPUTED_VALUE"""),"")</f>
        <v/>
      </c>
      <c r="T69"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70">
      <c r="A70" s="501" t="str">
        <f>IFERROR(__xludf.DUMMYFUNCTION("""COMPUTED_VALUE"""),"februari")</f>
        <v>februari</v>
      </c>
      <c r="B70" s="501">
        <f>IFERROR(__xludf.DUMMYFUNCTION("""COMPUTED_VALUE"""),5.0)</f>
        <v>5</v>
      </c>
      <c r="C70" s="501" t="str">
        <f>IFERROR(__xludf.DUMMYFUNCTION("""COMPUTED_VALUE"""),"vrijdag")</f>
        <v>vrijdag</v>
      </c>
      <c r="D70" s="502">
        <f>IFERROR(__xludf.DUMMYFUNCTION("""COMPUTED_VALUE"""),43497.0)</f>
        <v>43497</v>
      </c>
      <c r="E70" s="502">
        <f>IFERROR(__xludf.DUMMYFUNCTION("""COMPUTED_VALUE"""),43524.0)</f>
        <v>43524</v>
      </c>
      <c r="F70" s="501" t="str">
        <f>IFERROR(__xludf.DUMMYFUNCTION("""COMPUTED_VALUE"""),"")</f>
        <v/>
      </c>
      <c r="G70" s="503" t="str">
        <f>IFERROR(__xludf.DUMMYFUNCTION("""COMPUTED_VALUE"""),"")</f>
        <v/>
      </c>
      <c r="H70" s="501" t="str">
        <f>IFERROR(__xludf.DUMMYFUNCTION("""COMPUTED_VALUE"""),"AOC geboorte see")</f>
        <v>AOC geboorte see</v>
      </c>
      <c r="I70" s="503" t="str">
        <f>IFERROR(__xludf.DUMMYFUNCTION("""COMPUTED_VALUE"""),"")</f>
        <v/>
      </c>
      <c r="J70" s="501" t="str">
        <f>IFERROR(__xludf.DUMMYFUNCTION("""COMPUTED_VALUE"""),"Briefen")</f>
        <v>Briefen</v>
      </c>
      <c r="K70" s="505" t="str">
        <f>IFERROR(__xludf.DUMMYFUNCTION("""COMPUTED_VALUE""")," See - Verjaardag ")</f>
        <v>See - Verjaardag</v>
      </c>
      <c r="L70" s="506">
        <f>IFERROR(__xludf.DUMMYFUNCTION("""COMPUTED_VALUE"""),2400.0)</f>
        <v>2400</v>
      </c>
      <c r="M70" s="504">
        <f>IFERROR(__xludf.DUMMYFUNCTION("""COMPUTED_VALUE"""),28.0)</f>
        <v>28</v>
      </c>
      <c r="N70" s="501" t="str">
        <f>IFERROR(__xludf.DUMMYFUNCTION("""COMPUTED_VALUE"""),"Merk")</f>
        <v>Merk</v>
      </c>
      <c r="O70" s="501" t="str">
        <f>IFERROR(__xludf.DUMMYFUNCTION("""COMPUTED_VALUE"""),"FB + Instagram")</f>
        <v>FB + Instagram</v>
      </c>
      <c r="P70" s="503" t="str">
        <f>IFERROR(__xludf.DUMMYFUNCTION("""COMPUTED_VALUE"""),"Facebook - See - AOC")</f>
        <v>Facebook - See - AOC</v>
      </c>
      <c r="Q70" s="501" t="str">
        <f>IFERROR(__xludf.DUMMYFUNCTION("""COMPUTED_VALUE"""),"Bereik")</f>
        <v>Bereik</v>
      </c>
      <c r="R70" s="501" t="str">
        <f>IFERROR(__xludf.DUMMYFUNCTION("""COMPUTED_VALUE"""),"Dark")</f>
        <v>Dark</v>
      </c>
      <c r="S70" s="503" t="str">
        <f>IFERROR(__xludf.DUMMYFUNCTION("""COMPUTED_VALUE"""),"")</f>
        <v/>
      </c>
      <c r="T70"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71">
      <c r="A71" s="501" t="str">
        <f>IFERROR(__xludf.DUMMYFUNCTION("""COMPUTED_VALUE"""),"februari")</f>
        <v>februari</v>
      </c>
      <c r="B71" s="501">
        <f>IFERROR(__xludf.DUMMYFUNCTION("""COMPUTED_VALUE"""),5.0)</f>
        <v>5</v>
      </c>
      <c r="C71" s="501" t="str">
        <f>IFERROR(__xludf.DUMMYFUNCTION("""COMPUTED_VALUE"""),"vrijdag")</f>
        <v>vrijdag</v>
      </c>
      <c r="D71" s="502">
        <f>IFERROR(__xludf.DUMMYFUNCTION("""COMPUTED_VALUE"""),43497.0)</f>
        <v>43497</v>
      </c>
      <c r="E71" s="502">
        <f>IFERROR(__xludf.DUMMYFUNCTION("""COMPUTED_VALUE"""),43497.0)</f>
        <v>43497</v>
      </c>
      <c r="F71" s="501" t="str">
        <f>IFERROR(__xludf.DUMMYFUNCTION("""COMPUTED_VALUE"""),"")</f>
        <v/>
      </c>
      <c r="G71" s="503" t="str">
        <f>IFERROR(__xludf.DUMMYFUNCTION("""COMPUTED_VALUE"""),"")</f>
        <v/>
      </c>
      <c r="H71" s="501" t="str">
        <f>IFERROR(__xludf.DUMMYFUNCTION("""COMPUTED_VALUE"""),"Verrassing vrijdag")</f>
        <v>Verrassing vrijdag</v>
      </c>
      <c r="I71" s="503" t="str">
        <f>IFERROR(__xludf.DUMMYFUNCTION("""COMPUTED_VALUE"""),"Over twee weken is het Valentijn! Heb jij onze liefdevolle valentijnsverrassingen al gezien")</f>
        <v>Over twee weken is het Valentijn! Heb jij onze liefdevolle valentijnsverrassingen al gezien</v>
      </c>
      <c r="J71" s="501" t="str">
        <f>IFERROR(__xludf.DUMMYFUNCTION("""COMPUTED_VALUE"""),"Staat klaar")</f>
        <v>Staat klaar</v>
      </c>
      <c r="K71" s="503" t="str">
        <f>IFERROR(__xludf.DUMMYFUNCTION("""COMPUTED_VALUE"""),"")</f>
        <v/>
      </c>
      <c r="L71" s="501" t="str">
        <f>IFERROR(__xludf.DUMMYFUNCTION("""COMPUTED_VALUE"""),"")</f>
        <v/>
      </c>
      <c r="M71" s="504">
        <f>IFERROR(__xludf.DUMMYFUNCTION("""COMPUTED_VALUE"""),1.0)</f>
        <v>1</v>
      </c>
      <c r="N71" s="501" t="str">
        <f>IFERROR(__xludf.DUMMYFUNCTION("""COMPUTED_VALUE"""),"Product")</f>
        <v>Product</v>
      </c>
      <c r="O71" s="501" t="str">
        <f>IFERROR(__xludf.DUMMYFUNCTION("""COMPUTED_VALUE"""),"Instagram Feed")</f>
        <v>Instagram Feed</v>
      </c>
      <c r="P71" s="503" t="str">
        <f>IFERROR(__xludf.DUMMYFUNCTION("""COMPUTED_VALUE"""),"")</f>
        <v/>
      </c>
      <c r="Q71" s="501" t="str">
        <f>IFERROR(__xludf.DUMMYFUNCTION("""COMPUTED_VALUE"""),"")</f>
        <v/>
      </c>
      <c r="R71" s="501" t="str">
        <f>IFERROR(__xludf.DUMMYFUNCTION("""COMPUTED_VALUE"""),"")</f>
        <v/>
      </c>
      <c r="S71" s="503" t="str">
        <f>IFERROR(__xludf.DUMMYFUNCTION("""COMPUTED_VALUE"""),"Carroussel van verschillende Valentijnsverrassingen")</f>
        <v>Carroussel van verschillende Valentijnsverrassingen</v>
      </c>
      <c r="T71"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72">
      <c r="A72" s="501" t="str">
        <f>IFERROR(__xludf.DUMMYFUNCTION("""COMPUTED_VALUE"""),"februari")</f>
        <v>februari</v>
      </c>
      <c r="B72" s="501">
        <f>IFERROR(__xludf.DUMMYFUNCTION("""COMPUTED_VALUE"""),5.0)</f>
        <v>5</v>
      </c>
      <c r="C72" s="501" t="str">
        <f>IFERROR(__xludf.DUMMYFUNCTION("""COMPUTED_VALUE"""),"vrijdag")</f>
        <v>vrijdag</v>
      </c>
      <c r="D72" s="502">
        <f>IFERROR(__xludf.DUMMYFUNCTION("""COMPUTED_VALUE"""),43497.0)</f>
        <v>43497</v>
      </c>
      <c r="E72" s="502">
        <f>IFERROR(__xludf.DUMMYFUNCTION("""COMPUTED_VALUE"""),43497.0)</f>
        <v>43497</v>
      </c>
      <c r="F72" s="501" t="str">
        <f>IFERROR(__xludf.DUMMYFUNCTION("""COMPUTED_VALUE"""),"")</f>
        <v/>
      </c>
      <c r="G72" s="503" t="str">
        <f>IFERROR(__xludf.DUMMYFUNCTION("""COMPUTED_VALUE"""),"")</f>
        <v/>
      </c>
      <c r="H72" s="501" t="str">
        <f>IFERROR(__xludf.DUMMYFUNCTION("""COMPUTED_VALUE"""),"Valentijnsshoot")</f>
        <v>Valentijnsshoot</v>
      </c>
      <c r="I72" s="503" t="str">
        <f>IFERROR(__xludf.DUMMYFUNCTION("""COMPUTED_VALUE"""),"Al zin in Valentijnsdag? De voorpret begint natuurlijk met een fotoshoot. We hebben met veel liefde wat foto's op een rijtje gezet")</f>
        <v>Al zin in Valentijnsdag? De voorpret begint natuurlijk met een fotoshoot. We hebben met veel liefde wat foto's op een rijtje gezet</v>
      </c>
      <c r="J72" s="501" t="str">
        <f>IFERROR(__xludf.DUMMYFUNCTION("""COMPUTED_VALUE"""),"Staat klaar")</f>
        <v>Staat klaar</v>
      </c>
      <c r="K72" s="505" t="str">
        <f>IFERROR(__xludf.DUMMYFUNCTION("""COMPUTED_VALUE""")," Klanten ")</f>
        <v>Klanten</v>
      </c>
      <c r="L72" s="506">
        <f>IFERROR(__xludf.DUMMYFUNCTION("""COMPUTED_VALUE"""),200.0)</f>
        <v>200</v>
      </c>
      <c r="M72" s="504">
        <f>IFERROR(__xludf.DUMMYFUNCTION("""COMPUTED_VALUE"""),1.0)</f>
        <v>1</v>
      </c>
      <c r="N72" s="501" t="str">
        <f>IFERROR(__xludf.DUMMYFUNCTION("""COMPUTED_VALUE"""),"Merk")</f>
        <v>Merk</v>
      </c>
      <c r="O72" s="501" t="str">
        <f>IFERROR(__xludf.DUMMYFUNCTION("""COMPUTED_VALUE"""),"Facebook")</f>
        <v>Facebook</v>
      </c>
      <c r="P72" s="503" t="str">
        <f>IFERROR(__xludf.DUMMYFUNCTION("""COMPUTED_VALUE"""),"Facebook - See - Retailcampaigning &amp; contentkalender")</f>
        <v>Facebook - See - Retailcampaigning &amp; contentkalender</v>
      </c>
      <c r="Q72" s="501" t="str">
        <f>IFERROR(__xludf.DUMMYFUNCTION("""COMPUTED_VALUE"""),"Bereik")</f>
        <v>Bereik</v>
      </c>
      <c r="R72" s="501" t="str">
        <f>IFERROR(__xludf.DUMMYFUNCTION("""COMPUTED_VALUE"""),"Timeline")</f>
        <v>Timeline</v>
      </c>
      <c r="S72" s="503" t="str">
        <f>IFERROR(__xludf.DUMMYFUNCTION("""COMPUTED_VALUE"""),"K:\Greetz Photography\01 - CAMPAIGN PHOTOGRAPHY\02 - SOCIAL\2018\Valentijn\Social")</f>
        <v>K:\Greetz Photography\01 - CAMPAIGN PHOTOGRAPHY\02 - SOCIAL\2018\Valentijn\Social</v>
      </c>
      <c r="T72" s="503" t="str">
        <f>IFERROR(__xludf.DUMMYFUNCTION("""COMPUTED_VALUE"""),"utm_source=facebook&amp;utm_medium=socialmedia&amp;utm_campaign=facebook_-_see_-_retailcampaigning_&amp;_contentkalender&amp;utm_content=valentijnsshoot&amp;referrer=facebook")</f>
        <v>utm_source=facebook&amp;utm_medium=socialmedia&amp;utm_campaign=facebook_-_see_-_retailcampaigning_&amp;_contentkalender&amp;utm_content=valentijnsshoot&amp;referrer=facebook</v>
      </c>
    </row>
    <row r="73">
      <c r="A73" s="501" t="str">
        <f>IFERROR(__xludf.DUMMYFUNCTION("""COMPUTED_VALUE"""),"februari")</f>
        <v>februari</v>
      </c>
      <c r="B73" s="501">
        <f>IFERROR(__xludf.DUMMYFUNCTION("""COMPUTED_VALUE"""),5.0)</f>
        <v>5</v>
      </c>
      <c r="C73" s="501" t="str">
        <f>IFERROR(__xludf.DUMMYFUNCTION("""COMPUTED_VALUE"""),"zaterdag")</f>
        <v>zaterdag</v>
      </c>
      <c r="D73" s="502">
        <f>IFERROR(__xludf.DUMMYFUNCTION("""COMPUTED_VALUE"""),43498.0)</f>
        <v>43498</v>
      </c>
      <c r="E73" s="502">
        <f>IFERROR(__xludf.DUMMYFUNCTION("""COMPUTED_VALUE"""),43498.0)</f>
        <v>43498</v>
      </c>
      <c r="F73" s="501" t="str">
        <f>IFERROR(__xludf.DUMMYFUNCTION("""COMPUTED_VALUE"""),"")</f>
        <v/>
      </c>
      <c r="G73" s="503" t="str">
        <f>IFERROR(__xludf.DUMMYFUNCTION("""COMPUTED_VALUE"""),"")</f>
        <v/>
      </c>
      <c r="H73" s="501" t="str">
        <f>IFERROR(__xludf.DUMMYFUNCTION("""COMPUTED_VALUE"""),"Greetzmoment")</f>
        <v>Greetzmoment</v>
      </c>
      <c r="I73" s="503" t="str">
        <f>IFERROR(__xludf.DUMMYFUNCTION("""COMPUTED_VALUE"""),"Greetzmoment @mom.of.2.girlss")</f>
        <v>Greetzmoment @mom.of.2.girlss</v>
      </c>
      <c r="J73" s="501" t="str">
        <f>IFERROR(__xludf.DUMMYFUNCTION("""COMPUTED_VALUE"""),"Staat klaar")</f>
        <v>Staat klaar</v>
      </c>
      <c r="K73" s="503" t="str">
        <f>IFERROR(__xludf.DUMMYFUNCTION("""COMPUTED_VALUE"""),"")</f>
        <v/>
      </c>
      <c r="L73" s="501" t="str">
        <f>IFERROR(__xludf.DUMMYFUNCTION("""COMPUTED_VALUE"""),"")</f>
        <v/>
      </c>
      <c r="M73" s="504">
        <f>IFERROR(__xludf.DUMMYFUNCTION("""COMPUTED_VALUE"""),1.0)</f>
        <v>1</v>
      </c>
      <c r="N73" s="501" t="str">
        <f>IFERROR(__xludf.DUMMYFUNCTION("""COMPUTED_VALUE"""),"Geven/ontvangen")</f>
        <v>Geven/ontvangen</v>
      </c>
      <c r="O73" s="501" t="str">
        <f>IFERROR(__xludf.DUMMYFUNCTION("""COMPUTED_VALUE"""),"Instagram Stories")</f>
        <v>Instagram Stories</v>
      </c>
      <c r="P73" s="503" t="str">
        <f>IFERROR(__xludf.DUMMYFUNCTION("""COMPUTED_VALUE"""),"")</f>
        <v/>
      </c>
      <c r="Q73" s="501" t="str">
        <f>IFERROR(__xludf.DUMMYFUNCTION("""COMPUTED_VALUE"""),"")</f>
        <v/>
      </c>
      <c r="R73" s="501" t="str">
        <f>IFERROR(__xludf.DUMMYFUNCTION("""COMPUTED_VALUE"""),"")</f>
        <v/>
      </c>
      <c r="S73" s="503" t="str">
        <f>IFERROR(__xludf.DUMMYFUNCTION("""COMPUTED_VALUE"""),"")</f>
        <v/>
      </c>
      <c r="T73" s="503" t="str">
        <f>IFERROR(__xludf.DUMMYFUNCTION("""COMPUTED_VALUE"""),"utm_source=facebook&amp;utm_medium=socialmedia&amp;utm_campaign=&amp;utm_content=greetzmoment&amp;referrer=facebook")</f>
        <v>utm_source=facebook&amp;utm_medium=socialmedia&amp;utm_campaign=&amp;utm_content=greetzmoment&amp;referrer=facebook</v>
      </c>
    </row>
    <row r="74">
      <c r="A74" s="501" t="str">
        <f>IFERROR(__xludf.DUMMYFUNCTION("""COMPUTED_VALUE"""),"februari")</f>
        <v>februari</v>
      </c>
      <c r="B74" s="501">
        <f>IFERROR(__xludf.DUMMYFUNCTION("""COMPUTED_VALUE"""),5.0)</f>
        <v>5</v>
      </c>
      <c r="C74" s="501" t="str">
        <f>IFERROR(__xludf.DUMMYFUNCTION("""COMPUTED_VALUE"""),"zondag")</f>
        <v>zondag</v>
      </c>
      <c r="D74" s="502">
        <f>IFERROR(__xludf.DUMMYFUNCTION("""COMPUTED_VALUE"""),43499.0)</f>
        <v>43499</v>
      </c>
      <c r="E74" s="502">
        <f>IFERROR(__xludf.DUMMYFUNCTION("""COMPUTED_VALUE"""),43499.0)</f>
        <v>43499</v>
      </c>
      <c r="F74" s="501" t="str">
        <f>IFERROR(__xludf.DUMMYFUNCTION("""COMPUTED_VALUE"""),"")</f>
        <v/>
      </c>
      <c r="G74" s="503" t="str">
        <f>IFERROR(__xludf.DUMMYFUNCTION("""COMPUTED_VALUE"""),"")</f>
        <v/>
      </c>
      <c r="H74" s="501" t="str">
        <f>IFERROR(__xludf.DUMMYFUNCTION("""COMPUTED_VALUE"""),"")</f>
        <v/>
      </c>
      <c r="I74" s="503" t="str">
        <f>IFERROR(__xludf.DUMMYFUNCTION("""COMPUTED_VALUE"""),"")</f>
        <v/>
      </c>
      <c r="J74" s="501" t="str">
        <f>IFERROR(__xludf.DUMMYFUNCTION("""COMPUTED_VALUE"""),"")</f>
        <v/>
      </c>
      <c r="K74" s="503" t="str">
        <f>IFERROR(__xludf.DUMMYFUNCTION("""COMPUTED_VALUE"""),"")</f>
        <v/>
      </c>
      <c r="L74" s="501" t="str">
        <f>IFERROR(__xludf.DUMMYFUNCTION("""COMPUTED_VALUE"""),"")</f>
        <v/>
      </c>
      <c r="M74" s="504">
        <f>IFERROR(__xludf.DUMMYFUNCTION("""COMPUTED_VALUE"""),1.0)</f>
        <v>1</v>
      </c>
      <c r="N74" s="501" t="str">
        <f>IFERROR(__xludf.DUMMYFUNCTION("""COMPUTED_VALUE"""),"")</f>
        <v/>
      </c>
      <c r="O74" s="501" t="str">
        <f>IFERROR(__xludf.DUMMYFUNCTION("""COMPUTED_VALUE"""),"")</f>
        <v/>
      </c>
      <c r="P74" s="503" t="str">
        <f>IFERROR(__xludf.DUMMYFUNCTION("""COMPUTED_VALUE"""),"")</f>
        <v/>
      </c>
      <c r="Q74" s="501" t="str">
        <f>IFERROR(__xludf.DUMMYFUNCTION("""COMPUTED_VALUE"""),"")</f>
        <v/>
      </c>
      <c r="R74" s="501" t="str">
        <f>IFERROR(__xludf.DUMMYFUNCTION("""COMPUTED_VALUE"""),"")</f>
        <v/>
      </c>
      <c r="S74" s="503" t="str">
        <f>IFERROR(__xludf.DUMMYFUNCTION("""COMPUTED_VALUE"""),"")</f>
        <v/>
      </c>
      <c r="T74" s="503" t="str">
        <f>IFERROR(__xludf.DUMMYFUNCTION("""COMPUTED_VALUE"""),"utm_source=facebook&amp;utm_medium=socialmedia&amp;utm_campaign=&amp;utm_content=&amp;referrer=facebook")</f>
        <v>utm_source=facebook&amp;utm_medium=socialmedia&amp;utm_campaign=&amp;utm_content=&amp;referrer=facebook</v>
      </c>
    </row>
    <row r="75">
      <c r="A75" s="501" t="str">
        <f>IFERROR(__xludf.DUMMYFUNCTION("""COMPUTED_VALUE"""),"februari")</f>
        <v>februari</v>
      </c>
      <c r="B75" s="501">
        <f>IFERROR(__xludf.DUMMYFUNCTION("""COMPUTED_VALUE"""),6.0)</f>
        <v>6</v>
      </c>
      <c r="C75" s="501" t="str">
        <f>IFERROR(__xludf.DUMMYFUNCTION("""COMPUTED_VALUE"""),"maandag")</f>
        <v>maandag</v>
      </c>
      <c r="D75" s="502">
        <f>IFERROR(__xludf.DUMMYFUNCTION("""COMPUTED_VALUE"""),43500.0)</f>
        <v>43500</v>
      </c>
      <c r="E75" s="502">
        <f>IFERROR(__xludf.DUMMYFUNCTION("""COMPUTED_VALUE"""),43500.0)</f>
        <v>43500</v>
      </c>
      <c r="F75" s="501" t="str">
        <f>IFERROR(__xludf.DUMMYFUNCTION("""COMPUTED_VALUE"""),"Liefde ♥️")</f>
        <v>Liefde ♥️</v>
      </c>
      <c r="G75" s="503" t="str">
        <f>IFERROR(__xludf.DUMMYFUNCTION("""COMPUTED_VALUE"""),"Gratis kaart bij chocolade")</f>
        <v>Gratis kaart bij chocolade</v>
      </c>
      <c r="H75" s="501" t="str">
        <f>IFERROR(__xludf.DUMMYFUNCTION("""COMPUTED_VALUE"""),"Mooie maandag ")</f>
        <v>Mooie maandag </v>
      </c>
      <c r="I75" s="503" t="str">
        <f>IFERROR(__xludf.DUMMYFUNCTION("""COMPUTED_VALUE"""),"Mooie maandag! ")</f>
        <v>Mooie maandag! </v>
      </c>
      <c r="J75" s="501" t="str">
        <f>IFERROR(__xludf.DUMMYFUNCTION("""COMPUTED_VALUE"""),"Staat klaar")</f>
        <v>Staat klaar</v>
      </c>
      <c r="K75" s="503" t="str">
        <f>IFERROR(__xludf.DUMMYFUNCTION("""COMPUTED_VALUE"""),"")</f>
        <v/>
      </c>
      <c r="L75" s="501" t="str">
        <f>IFERROR(__xludf.DUMMYFUNCTION("""COMPUTED_VALUE"""),"")</f>
        <v/>
      </c>
      <c r="M75" s="504">
        <f>IFERROR(__xludf.DUMMYFUNCTION("""COMPUTED_VALUE"""),1.0)</f>
        <v>1</v>
      </c>
      <c r="N75" s="501" t="str">
        <f>IFERROR(__xludf.DUMMYFUNCTION("""COMPUTED_VALUE"""),"Product")</f>
        <v>Product</v>
      </c>
      <c r="O75" s="501" t="str">
        <f>IFERROR(__xludf.DUMMYFUNCTION("""COMPUTED_VALUE"""),"Instagram Feed")</f>
        <v>Instagram Feed</v>
      </c>
      <c r="P75" s="503" t="str">
        <f>IFERROR(__xludf.DUMMYFUNCTION("""COMPUTED_VALUE"""),"")</f>
        <v/>
      </c>
      <c r="Q75" s="501" t="str">
        <f>IFERROR(__xludf.DUMMYFUNCTION("""COMPUTED_VALUE"""),"")</f>
        <v/>
      </c>
      <c r="R75" s="501" t="str">
        <f>IFERROR(__xludf.DUMMYFUNCTION("""COMPUTED_VALUE"""),"")</f>
        <v/>
      </c>
      <c r="S75" s="507" t="str">
        <f>IFERROR(__xludf.DUMMYFUNCTION("""COMPUTED_VALUE"""),"https://www.greetz.nl/kaart/detail/mag-ik-jouw-wereld-leuker-maken-/1142765632")</f>
        <v>https://www.greetz.nl/kaart/detail/mag-ik-jouw-wereld-leuker-maken-/1142765632</v>
      </c>
      <c r="T75" s="503" t="str">
        <f>IFERROR(__xludf.DUMMYFUNCTION("""COMPUTED_VALUE"""),"utm_source=facebook&amp;utm_medium=socialmedia&amp;utm_campaign=&amp;utm_content=mooiemaandag&amp;referrer=facebook")</f>
        <v>utm_source=facebook&amp;utm_medium=socialmedia&amp;utm_campaign=&amp;utm_content=mooiemaandag&amp;referrer=facebook</v>
      </c>
    </row>
    <row r="76">
      <c r="A76" s="501" t="str">
        <f>IFERROR(__xludf.DUMMYFUNCTION("""COMPUTED_VALUE"""),"februari")</f>
        <v>februari</v>
      </c>
      <c r="B76" s="501">
        <f>IFERROR(__xludf.DUMMYFUNCTION("""COMPUTED_VALUE"""),6.0)</f>
        <v>6</v>
      </c>
      <c r="C76" s="501" t="str">
        <f>IFERROR(__xludf.DUMMYFUNCTION("""COMPUTED_VALUE"""),"maandag")</f>
        <v>maandag</v>
      </c>
      <c r="D76" s="502">
        <f>IFERROR(__xludf.DUMMYFUNCTION("""COMPUTED_VALUE"""),43500.0)</f>
        <v>43500</v>
      </c>
      <c r="E76" s="502">
        <f>IFERROR(__xludf.DUMMYFUNCTION("""COMPUTED_VALUE"""),43509.0)</f>
        <v>43509</v>
      </c>
      <c r="F76" s="501" t="str">
        <f>IFERROR(__xludf.DUMMYFUNCTION("""COMPUTED_VALUE"""),"")</f>
        <v/>
      </c>
      <c r="G76" s="503" t="str">
        <f>IFERROR(__xludf.DUMMYFUNCTION("""COMPUTED_VALUE"""),"")</f>
        <v/>
      </c>
      <c r="H76" s="501" t="str">
        <f>IFERROR(__xludf.DUMMYFUNCTION("""COMPUTED_VALUE"""),"Bumper ads")</f>
        <v>Bumper ads</v>
      </c>
      <c r="I76" s="503" t="str">
        <f>IFERROR(__xludf.DUMMYFUNCTION("""COMPUTED_VALUE"""),"NVT")</f>
        <v>NVT</v>
      </c>
      <c r="J76" s="501" t="str">
        <f>IFERROR(__xludf.DUMMYFUNCTION("""COMPUTED_VALUE"""),"Staat klaar")</f>
        <v>Staat klaar</v>
      </c>
      <c r="K76" s="505" t="str">
        <f>IFERROR(__xludf.DUMMYFUNCTION("""COMPUTED_VALUE""")," V 25-45 ")</f>
        <v>V 25-45</v>
      </c>
      <c r="L76" s="506">
        <f>IFERROR(__xludf.DUMMYFUNCTION("""COMPUTED_VALUE"""),5000.0)</f>
        <v>5000</v>
      </c>
      <c r="M76" s="504">
        <f>IFERROR(__xludf.DUMMYFUNCTION("""COMPUTED_VALUE"""),10.0)</f>
        <v>10</v>
      </c>
      <c r="N76" s="501" t="str">
        <f>IFERROR(__xludf.DUMMYFUNCTION("""COMPUTED_VALUE"""),"Merk")</f>
        <v>Merk</v>
      </c>
      <c r="O76" s="501" t="str">
        <f>IFERROR(__xludf.DUMMYFUNCTION("""COMPUTED_VALUE"""),"YouTube")</f>
        <v>YouTube</v>
      </c>
      <c r="P76" s="503" t="str">
        <f>IFERROR(__xludf.DUMMYFUNCTION("""COMPUTED_VALUE"""),"YouTube - Retailcampaigning ")</f>
        <v>YouTube - Retailcampaigning </v>
      </c>
      <c r="Q76" s="501" t="str">
        <f>IFERROR(__xludf.DUMMYFUNCTION("""COMPUTED_VALUE"""),"Bereik")</f>
        <v>Bereik</v>
      </c>
      <c r="R76" s="501" t="str">
        <f>IFERROR(__xludf.DUMMYFUNCTION("""COMPUTED_VALUE"""),"")</f>
        <v/>
      </c>
      <c r="S76" s="503" t="str">
        <f>IFERROR(__xludf.DUMMYFUNCTION("""COMPUTED_VALUE"""),"")</f>
        <v/>
      </c>
      <c r="T76" s="503" t="str">
        <f>IFERROR(__xludf.DUMMYFUNCTION("""COMPUTED_VALUE"""),"utm_source=facebook&amp;utm_medium=socialmedia&amp;utm_campaign=youtube_-_retailcampaigning_&amp;utm_content=bumperads&amp;referrer=facebook")</f>
        <v>utm_source=facebook&amp;utm_medium=socialmedia&amp;utm_campaign=youtube_-_retailcampaigning_&amp;utm_content=bumperads&amp;referrer=facebook</v>
      </c>
    </row>
    <row r="77">
      <c r="A77" s="501" t="str">
        <f>IFERROR(__xludf.DUMMYFUNCTION("""COMPUTED_VALUE"""),"februari")</f>
        <v>februari</v>
      </c>
      <c r="B77" s="501">
        <f>IFERROR(__xludf.DUMMYFUNCTION("""COMPUTED_VALUE"""),6.0)</f>
        <v>6</v>
      </c>
      <c r="C77" s="501" t="str">
        <f>IFERROR(__xludf.DUMMYFUNCTION("""COMPUTED_VALUE"""),"maandag")</f>
        <v>maandag</v>
      </c>
      <c r="D77" s="502">
        <f>IFERROR(__xludf.DUMMYFUNCTION("""COMPUTED_VALUE"""),43500.0)</f>
        <v>43500</v>
      </c>
      <c r="E77" s="502">
        <f>IFERROR(__xludf.DUMMYFUNCTION("""COMPUTED_VALUE"""),43506.0)</f>
        <v>43506</v>
      </c>
      <c r="F77" s="501" t="str">
        <f>IFERROR(__xludf.DUMMYFUNCTION("""COMPUTED_VALUE"""),"")</f>
        <v/>
      </c>
      <c r="G77" s="503" t="str">
        <f>IFERROR(__xludf.DUMMYFUNCTION("""COMPUTED_VALUE"""),"")</f>
        <v/>
      </c>
      <c r="H77" s="501" t="str">
        <f>IFERROR(__xludf.DUMMYFUNCTION("""COMPUTED_VALUE"""),"Valentijnsvideo")</f>
        <v>Valentijnsvideo</v>
      </c>
      <c r="I77" s="503" t="str">
        <f>IFERROR(__xludf.DUMMYFUNCTION("""COMPUTED_VALUE"""),"Wie wil jij veel liefs sturen deze Valentijnsdag? ♥️ De liefde van je leven, allerbeste vriendin, zorgzame moeder... Verras diegene op jouw manier. Met Greetz 💌🎁")</f>
        <v>Wie wil jij veel liefs sturen deze Valentijnsdag? ♥️ De liefde van je leven, allerbeste vriendin, zorgzame moeder... Verras diegene op jouw manier. Met Greetz 💌🎁</v>
      </c>
      <c r="J77" s="501" t="str">
        <f>IFERROR(__xludf.DUMMYFUNCTION("""COMPUTED_VALUE"""),"Staat klaar")</f>
        <v>Staat klaar</v>
      </c>
      <c r="K77" s="505" t="str">
        <f>IFERROR(__xludf.DUMMYFUNCTION("""COMPUTED_VALUE""")," Klanten(100) - Hoofddoelgroep V 18-45(600)- Hoofddoelgroep man 25-45(150) ")</f>
        <v>Klanten(100) - Hoofddoelgroep V 18-45(600)- Hoofddoelgroep man 25-45(150)</v>
      </c>
      <c r="L77" s="506">
        <f>IFERROR(__xludf.DUMMYFUNCTION("""COMPUTED_VALUE"""),850.0)</f>
        <v>850</v>
      </c>
      <c r="M77" s="504">
        <f>IFERROR(__xludf.DUMMYFUNCTION("""COMPUTED_VALUE"""),1.0)</f>
        <v>1</v>
      </c>
      <c r="N77" s="501" t="str">
        <f>IFERROR(__xludf.DUMMYFUNCTION("""COMPUTED_VALUE"""),"Geven/ontvangen")</f>
        <v>Geven/ontvangen</v>
      </c>
      <c r="O77" s="501" t="str">
        <f>IFERROR(__xludf.DUMMYFUNCTION("""COMPUTED_VALUE"""),"FB + Instagram")</f>
        <v>FB + Instagram</v>
      </c>
      <c r="P77" s="503" t="str">
        <f>IFERROR(__xludf.DUMMYFUNCTION("""COMPUTED_VALUE"""),"Facebook - See - Retailcampaigning &amp; contentkalender")</f>
        <v>Facebook - See - Retailcampaigning &amp; contentkalender</v>
      </c>
      <c r="Q77" s="501" t="str">
        <f>IFERROR(__xludf.DUMMYFUNCTION("""COMPUTED_VALUE"""),"Bereik")</f>
        <v>Bereik</v>
      </c>
      <c r="R77" s="501" t="str">
        <f>IFERROR(__xludf.DUMMYFUNCTION("""COMPUTED_VALUE"""),"Timeline")</f>
        <v>Timeline</v>
      </c>
      <c r="S77" s="503" t="str">
        <f>IFERROR(__xludf.DUMMYFUNCTION("""COMPUTED_VALUE"""),"Video Terence")</f>
        <v>Video Terence</v>
      </c>
      <c r="T77" s="503" t="str">
        <f>IFERROR(__xludf.DUMMYFUNCTION("""COMPUTED_VALUE"""),"utm_source=facebook&amp;utm_medium=socialmedia&amp;utm_campaign=facebook_-_see_-_retailcampaigning_&amp;_contentkalender&amp;utm_content=valentijnsvideo&amp;referrer=facebook")</f>
        <v>utm_source=facebook&amp;utm_medium=socialmedia&amp;utm_campaign=facebook_-_see_-_retailcampaigning_&amp;_contentkalender&amp;utm_content=valentijnsvideo&amp;referrer=facebook</v>
      </c>
    </row>
    <row r="78">
      <c r="A78" s="501" t="str">
        <f>IFERROR(__xludf.DUMMYFUNCTION("""COMPUTED_VALUE"""),"februari")</f>
        <v>februari</v>
      </c>
      <c r="B78" s="501">
        <f>IFERROR(__xludf.DUMMYFUNCTION("""COMPUTED_VALUE"""),6.0)</f>
        <v>6</v>
      </c>
      <c r="C78" s="501" t="str">
        <f>IFERROR(__xludf.DUMMYFUNCTION("""COMPUTED_VALUE"""),"maandag")</f>
        <v>maandag</v>
      </c>
      <c r="D78" s="502">
        <f>IFERROR(__xludf.DUMMYFUNCTION("""COMPUTED_VALUE"""),43500.0)</f>
        <v>43500</v>
      </c>
      <c r="E78" s="502">
        <f>IFERROR(__xludf.DUMMYFUNCTION("""COMPUTED_VALUE"""),43503.0)</f>
        <v>43503</v>
      </c>
      <c r="F78" s="501" t="str">
        <f>IFERROR(__xludf.DUMMYFUNCTION("""COMPUTED_VALUE"""),"")</f>
        <v/>
      </c>
      <c r="G78" s="503" t="str">
        <f>IFERROR(__xludf.DUMMYFUNCTION("""COMPUTED_VALUE"""),"")</f>
        <v/>
      </c>
      <c r="H78" s="501" t="str">
        <f>IFERROR(__xludf.DUMMYFUNCTION("""COMPUTED_VALUE"""),"gratis kaart bij chocolade")</f>
        <v>gratis kaart bij chocolade</v>
      </c>
      <c r="I78" s="503" t="str">
        <f>IFERROR(__xludf.DUMMYFUNCTION("""COMPUTED_VALUE"""),"Liefde gaat door de maag 😉 Verras je daarom nu met lekkere valentijnschocolade, dan krijg je de kaart gratis! Tip van ons: bestel nu en kies voor bezorging op Valentijnsdag 💕🎁
Feestje, bedanken, nieuwe woning... chocolade is áltijd een goed idee 😉 Ve"&amp;"rras je nu met lekkere chocolade, dan krijg je de kaart helemaal gratis! 💕🎁")</f>
        <v>Liefde gaat door de maag 😉 Verras je daarom nu met lekkere valentijnschocolade, dan krijg je de kaart gratis! Tip van ons: bestel nu en kies voor bezorging op Valentijnsdag 💕🎁
Feestje, bedanken, nieuwe woning... chocolade is áltijd een goed idee 😉 Verras je nu met lekkere chocolade, dan krijg je de kaart helemaal gratis! 💕🎁</v>
      </c>
      <c r="J78" s="501" t="str">
        <f>IFERROR(__xludf.DUMMYFUNCTION("""COMPUTED_VALUE"""),"Staat klaar")</f>
        <v>Staat klaar</v>
      </c>
      <c r="K78" s="505" t="str">
        <f>IFERROR(__xludf.DUMMYFUNCTION("""COMPUTED_VALUE""")," Jongeren hoofddoelgroep en/of chocolade interesse ")</f>
        <v>Jongeren hoofddoelgroep en/of chocolade interesse</v>
      </c>
      <c r="L78" s="506">
        <f>IFERROR(__xludf.DUMMYFUNCTION("""COMPUTED_VALUE"""),1000.0)</f>
        <v>1000</v>
      </c>
      <c r="M78" s="504">
        <f>IFERROR(__xludf.DUMMYFUNCTION("""COMPUTED_VALUE"""),1.0)</f>
        <v>1</v>
      </c>
      <c r="N78" s="501" t="str">
        <f>IFERROR(__xludf.DUMMYFUNCTION("""COMPUTED_VALUE"""),"Product")</f>
        <v>Product</v>
      </c>
      <c r="O78" s="501" t="str">
        <f>IFERROR(__xludf.DUMMYFUNCTION("""COMPUTED_VALUE"""),"Facebook")</f>
        <v>Facebook</v>
      </c>
      <c r="P78" s="503" t="str">
        <f>IFERROR(__xludf.DUMMYFUNCTION("""COMPUTED_VALUE"""),"Facebook - Do - Retailcampaigning")</f>
        <v>Facebook - Do - Retailcampaigning</v>
      </c>
      <c r="Q78" s="501" t="str">
        <f>IFERROR(__xludf.DUMMYFUNCTION("""COMPUTED_VALUE"""),"Conversie - Waarde")</f>
        <v>Conversie - Waarde</v>
      </c>
      <c r="R78" s="501" t="str">
        <f>IFERROR(__xludf.DUMMYFUNCTION("""COMPUTED_VALUE"""),"Dark")</f>
        <v>Dark</v>
      </c>
      <c r="S78" s="503" t="str">
        <f>IFERROR(__xludf.DUMMYFUNCTION("""COMPUTED_VALUE"""),"A/B test Valentijn design vs standaard design. Content merken")</f>
        <v>A/B test Valentijn design vs standaard design. Content merken</v>
      </c>
      <c r="T78" s="503" t="str">
        <f>IFERROR(__xludf.DUMMYFUNCTION("""COMPUTED_VALUE"""),"utm_source=facebook&amp;utm_medium=socialmedia&amp;utm_campaign=facebook_-_do_-_retailcampaigning&amp;utm_content=gratiskaartbijchocolade&amp;referrer=facebook")</f>
        <v>utm_source=facebook&amp;utm_medium=socialmedia&amp;utm_campaign=facebook_-_do_-_retailcampaigning&amp;utm_content=gratiskaartbijchocolade&amp;referrer=facebook</v>
      </c>
    </row>
    <row r="79">
      <c r="A79" s="501" t="str">
        <f>IFERROR(__xludf.DUMMYFUNCTION("""COMPUTED_VALUE"""),"februari")</f>
        <v>februari</v>
      </c>
      <c r="B79" s="501">
        <f>IFERROR(__xludf.DUMMYFUNCTION("""COMPUTED_VALUE"""),6.0)</f>
        <v>6</v>
      </c>
      <c r="C79" s="501" t="str">
        <f>IFERROR(__xludf.DUMMYFUNCTION("""COMPUTED_VALUE"""),"maandag")</f>
        <v>maandag</v>
      </c>
      <c r="D79" s="502">
        <f>IFERROR(__xludf.DUMMYFUNCTION("""COMPUTED_VALUE"""),43500.0)</f>
        <v>43500</v>
      </c>
      <c r="E79" s="502">
        <f>IFERROR(__xludf.DUMMYFUNCTION("""COMPUTED_VALUE"""),43501.0)</f>
        <v>43501</v>
      </c>
      <c r="F79" s="501" t="str">
        <f>IFERROR(__xludf.DUMMYFUNCTION("""COMPUTED_VALUE"""),"")</f>
        <v/>
      </c>
      <c r="G79" s="503" t="str">
        <f>IFERROR(__xludf.DUMMYFUNCTION("""COMPUTED_VALUE"""),"")</f>
        <v/>
      </c>
      <c r="H79" s="501" t="str">
        <f>IFERROR(__xludf.DUMMYFUNCTION("""COMPUTED_VALUE"""),"Oproep merkcampagne - kindje")</f>
        <v>Oproep merkcampagne - kindje</v>
      </c>
      <c r="I79" s="503" t="str">
        <f>IFERROR(__xludf.DUMMYFUNCTION("""COMPUTED_VALUE"""),"Wil jij een kindje feliciteren met een verjaardag en denk je dat de papa en mama het leuk vinden dat hij of zij in beeld komt? 6, 7 en 9 februari gaan we weer op pad met allerlei (gratis) verrassingen. Geef hem of haar stilletjes op via www.greetz.nl/spec"&amp;"ialdelivery ")</f>
        <v>Wil jij een kindje feliciteren met een verjaardag en denk je dat de papa en mama het leuk vinden dat hij of zij in beeld komt? 6, 7 en 9 februari gaan we weer op pad met allerlei (gratis) verrassingen. Geef hem of haar stilletjes op via www.greetz.nl/specialdelivery </v>
      </c>
      <c r="J79" s="501" t="str">
        <f>IFERROR(__xludf.DUMMYFUNCTION("""COMPUTED_VALUE"""),"")</f>
        <v/>
      </c>
      <c r="K79" s="505" t="str">
        <f>IFERROR(__xludf.DUMMYFUNCTION("""COMPUTED_VALUE""")," Klanten ")</f>
        <v>Klanten</v>
      </c>
      <c r="L79" s="506">
        <f>IFERROR(__xludf.DUMMYFUNCTION("""COMPUTED_VALUE"""),300.0)</f>
        <v>300</v>
      </c>
      <c r="M79" s="501" t="str">
        <f>IFERROR(__xludf.DUMMYFUNCTION("""COMPUTED_VALUE"""),"")</f>
        <v/>
      </c>
      <c r="N79" s="501" t="str">
        <f>IFERROR(__xludf.DUMMYFUNCTION("""COMPUTED_VALUE"""),"Merk")</f>
        <v>Merk</v>
      </c>
      <c r="O79" s="501" t="str">
        <f>IFERROR(__xludf.DUMMYFUNCTION("""COMPUTED_VALUE"""),"Facebook")</f>
        <v>Facebook</v>
      </c>
      <c r="P79" s="503" t="str">
        <f>IFERROR(__xludf.DUMMYFUNCTION("""COMPUTED_VALUE"""),"Facebook - See - Retailcampaigning &amp; contentkalender")</f>
        <v>Facebook - See - Retailcampaigning &amp; contentkalender</v>
      </c>
      <c r="Q79" s="501" t="str">
        <f>IFERROR(__xludf.DUMMYFUNCTION("""COMPUTED_VALUE"""),"Traffic")</f>
        <v>Traffic</v>
      </c>
      <c r="R79" s="501" t="str">
        <f>IFERROR(__xludf.DUMMYFUNCTION("""COMPUTED_VALUE"""),"Timeline")</f>
        <v>Timeline</v>
      </c>
      <c r="S79" s="503" t="str">
        <f>IFERROR(__xludf.DUMMYFUNCTION("""COMPUTED_VALUE"""),"")</f>
        <v/>
      </c>
      <c r="T79" s="503" t="str">
        <f>IFERROR(__xludf.DUMMYFUNCTION("""COMPUTED_VALUE"""),"utm_source=facebook&amp;utm_medium=socialmedia&amp;utm_campaign=facebook_-_see_-_retailcampaigning_&amp;_contentkalender&amp;utm_content=oproepmerkcampagne-kindje&amp;referrer=facebook")</f>
        <v>utm_source=facebook&amp;utm_medium=socialmedia&amp;utm_campaign=facebook_-_see_-_retailcampaigning_&amp;_contentkalender&amp;utm_content=oproepmerkcampagne-kindje&amp;referrer=facebook</v>
      </c>
    </row>
    <row r="80">
      <c r="A80" s="501" t="str">
        <f>IFERROR(__xludf.DUMMYFUNCTION("""COMPUTED_VALUE"""),"februari")</f>
        <v>februari</v>
      </c>
      <c r="B80" s="501">
        <f>IFERROR(__xludf.DUMMYFUNCTION("""COMPUTED_VALUE"""),6.0)</f>
        <v>6</v>
      </c>
      <c r="C80" s="501" t="str">
        <f>IFERROR(__xludf.DUMMYFUNCTION("""COMPUTED_VALUE"""),"dinsdag")</f>
        <v>dinsdag</v>
      </c>
      <c r="D80" s="502">
        <f>IFERROR(__xludf.DUMMYFUNCTION("""COMPUTED_VALUE"""),43501.0)</f>
        <v>43501</v>
      </c>
      <c r="E80" s="502">
        <f>IFERROR(__xludf.DUMMYFUNCTION("""COMPUTED_VALUE"""),43501.0)</f>
        <v>43501</v>
      </c>
      <c r="F80" s="501" t="str">
        <f>IFERROR(__xludf.DUMMYFUNCTION("""COMPUTED_VALUE"""),"")</f>
        <v/>
      </c>
      <c r="G80" s="503" t="str">
        <f>IFERROR(__xludf.DUMMYFUNCTION("""COMPUTED_VALUE"""),"Wie draag jij op afstand een warm hart toe? (gratis kaart/single roos voor militairen aan geliefden)")</f>
        <v>Wie draag jij op afstand een warm hart toe? (gratis kaart/single roos voor militairen aan geliefden)</v>
      </c>
      <c r="H80" s="501" t="str">
        <f>IFERROR(__xludf.DUMMYFUNCTION("""COMPUTED_VALUE"""),"Greetz roept militairen op")</f>
        <v>Greetz roept militairen op</v>
      </c>
      <c r="I80" s="503" t="str">
        <f>IFERROR(__xludf.DUMMYFUNCTION("""COMPUTED_VALUE"""),"")</f>
        <v/>
      </c>
      <c r="J80" s="501" t="str">
        <f>IFERROR(__xludf.DUMMYFUNCTION("""COMPUTED_VALUE"""),"")</f>
        <v/>
      </c>
      <c r="K80" s="503" t="str">
        <f>IFERROR(__xludf.DUMMYFUNCTION("""COMPUTED_VALUE"""),"")</f>
        <v/>
      </c>
      <c r="L80" s="501" t="str">
        <f>IFERROR(__xludf.DUMMYFUNCTION("""COMPUTED_VALUE"""),"")</f>
        <v/>
      </c>
      <c r="M80" s="504">
        <f>IFERROR(__xludf.DUMMYFUNCTION("""COMPUTED_VALUE"""),1.0)</f>
        <v>1</v>
      </c>
      <c r="N80" s="501" t="str">
        <f>IFERROR(__xludf.DUMMYFUNCTION("""COMPUTED_VALUE"""),"")</f>
        <v/>
      </c>
      <c r="O80" s="501" t="str">
        <f>IFERROR(__xludf.DUMMYFUNCTION("""COMPUTED_VALUE"""),"")</f>
        <v/>
      </c>
      <c r="P80" s="503" t="str">
        <f>IFERROR(__xludf.DUMMYFUNCTION("""COMPUTED_VALUE"""),"")</f>
        <v/>
      </c>
      <c r="Q80" s="501" t="str">
        <f>IFERROR(__xludf.DUMMYFUNCTION("""COMPUTED_VALUE"""),"")</f>
        <v/>
      </c>
      <c r="R80" s="501" t="str">
        <f>IFERROR(__xludf.DUMMYFUNCTION("""COMPUTED_VALUE"""),"")</f>
        <v/>
      </c>
      <c r="S80" s="503" t="str">
        <f>IFERROR(__xludf.DUMMYFUNCTION("""COMPUTED_VALUE"""),"")</f>
        <v/>
      </c>
      <c r="T80" s="503" t="str">
        <f>IFERROR(__xludf.DUMMYFUNCTION("""COMPUTED_VALUE"""),"utm_source=facebook&amp;utm_medium=socialmedia&amp;utm_campaign=&amp;utm_content=greetzroeptmilitairenop&amp;referrer=facebook")</f>
        <v>utm_source=facebook&amp;utm_medium=socialmedia&amp;utm_campaign=&amp;utm_content=greetzroeptmilitairenop&amp;referrer=facebook</v>
      </c>
    </row>
    <row r="81">
      <c r="A81" s="501" t="str">
        <f>IFERROR(__xludf.DUMMYFUNCTION("""COMPUTED_VALUE"""),"februari")</f>
        <v>februari</v>
      </c>
      <c r="B81" s="501">
        <f>IFERROR(__xludf.DUMMYFUNCTION("""COMPUTED_VALUE"""),6.0)</f>
        <v>6</v>
      </c>
      <c r="C81" s="501" t="str">
        <f>IFERROR(__xludf.DUMMYFUNCTION("""COMPUTED_VALUE"""),"woensdag")</f>
        <v>woensdag</v>
      </c>
      <c r="D81" s="502">
        <f>IFERROR(__xludf.DUMMYFUNCTION("""COMPUTED_VALUE"""),43502.0)</f>
        <v>43502</v>
      </c>
      <c r="E81" s="502">
        <f>IFERROR(__xludf.DUMMYFUNCTION("""COMPUTED_VALUE"""),43502.0)</f>
        <v>43502</v>
      </c>
      <c r="F81" s="501" t="str">
        <f>IFERROR(__xludf.DUMMYFUNCTION("""COMPUTED_VALUE"""),"")</f>
        <v/>
      </c>
      <c r="G81" s="503" t="str">
        <f>IFERROR(__xludf.DUMMYFUNCTION("""COMPUTED_VALUE"""),"")</f>
        <v/>
      </c>
      <c r="H81" s="501" t="str">
        <f>IFERROR(__xludf.DUMMYFUNCTION("""COMPUTED_VALUE"""),"Instagram Poll")</f>
        <v>Instagram Poll</v>
      </c>
      <c r="I81" s="503" t="str">
        <f>IFERROR(__xludf.DUMMYFUNCTION("""COMPUTED_VALUE"""),"Welk Valentijnsboeket is jouw favoriet")</f>
        <v>Welk Valentijnsboeket is jouw favoriet</v>
      </c>
      <c r="J81" s="501" t="str">
        <f>IFERROR(__xludf.DUMMYFUNCTION("""COMPUTED_VALUE"""),"Staat klaar")</f>
        <v>Staat klaar</v>
      </c>
      <c r="K81" s="503" t="str">
        <f>IFERROR(__xludf.DUMMYFUNCTION("""COMPUTED_VALUE"""),"")</f>
        <v/>
      </c>
      <c r="L81" s="501" t="str">
        <f>IFERROR(__xludf.DUMMYFUNCTION("""COMPUTED_VALUE"""),"")</f>
        <v/>
      </c>
      <c r="M81" s="504">
        <f>IFERROR(__xludf.DUMMYFUNCTION("""COMPUTED_VALUE"""),1.0)</f>
        <v>1</v>
      </c>
      <c r="N81" s="501" t="str">
        <f>IFERROR(__xludf.DUMMYFUNCTION("""COMPUTED_VALUE"""),"Product")</f>
        <v>Product</v>
      </c>
      <c r="O81" s="501" t="str">
        <f>IFERROR(__xludf.DUMMYFUNCTION("""COMPUTED_VALUE"""),"Instagram Stories")</f>
        <v>Instagram Stories</v>
      </c>
      <c r="P81" s="503" t="str">
        <f>IFERROR(__xludf.DUMMYFUNCTION("""COMPUTED_VALUE"""),"")</f>
        <v/>
      </c>
      <c r="Q81" s="501" t="str">
        <f>IFERROR(__xludf.DUMMYFUNCTION("""COMPUTED_VALUE"""),"")</f>
        <v/>
      </c>
      <c r="R81" s="501" t="str">
        <f>IFERROR(__xludf.DUMMYFUNCTION("""COMPUTED_VALUE"""),"")</f>
        <v/>
      </c>
      <c r="S81" s="503" t="str">
        <f>IFERROR(__xludf.DUMMYFUNCTION("""COMPUTED_VALUE"""),"Afbeelding met 2 Valentijnsboeketten")</f>
        <v>Afbeelding met 2 Valentijnsboeketten</v>
      </c>
      <c r="T81" s="503" t="str">
        <f>IFERROR(__xludf.DUMMYFUNCTION("""COMPUTED_VALUE"""),"utm_source=facebook&amp;utm_medium=socialmedia&amp;utm_campaign=&amp;utm_content=instagrampoll&amp;referrer=facebook")</f>
        <v>utm_source=facebook&amp;utm_medium=socialmedia&amp;utm_campaign=&amp;utm_content=instagrampoll&amp;referrer=facebook</v>
      </c>
    </row>
    <row r="82">
      <c r="A82" s="501" t="str">
        <f>IFERROR(__xludf.DUMMYFUNCTION("""COMPUTED_VALUE"""),"februari")</f>
        <v>februari</v>
      </c>
      <c r="B82" s="501">
        <f>IFERROR(__xludf.DUMMYFUNCTION("""COMPUTED_VALUE"""),6.0)</f>
        <v>6</v>
      </c>
      <c r="C82" s="501" t="str">
        <f>IFERROR(__xludf.DUMMYFUNCTION("""COMPUTED_VALUE"""),"donderdag")</f>
        <v>donderdag</v>
      </c>
      <c r="D82" s="502">
        <f>IFERROR(__xludf.DUMMYFUNCTION("""COMPUTED_VALUE"""),43503.0)</f>
        <v>43503</v>
      </c>
      <c r="E82" s="502">
        <f>IFERROR(__xludf.DUMMYFUNCTION("""COMPUTED_VALUE"""),43503.0)</f>
        <v>43503</v>
      </c>
      <c r="F82" s="501" t="str">
        <f>IFERROR(__xludf.DUMMYFUNCTION("""COMPUTED_VALUE"""),"")</f>
        <v/>
      </c>
      <c r="G82" s="503" t="str">
        <f>IFERROR(__xludf.DUMMYFUNCTION("""COMPUTED_VALUE"""),"")</f>
        <v/>
      </c>
      <c r="H82" s="501" t="str">
        <f>IFERROR(__xludf.DUMMYFUNCTION("""COMPUTED_VALUE"""),"Winactie gouden rozen")</f>
        <v>Winactie gouden rozen</v>
      </c>
      <c r="I82" s="503" t="str">
        <f>IFERROR(__xludf.DUMMYFUNCTION("""COMPUTED_VALUE"""),"Welk valentijntje is wat jou betreft goud waard? Vertel het ons en misschien verrassen wij diegene met een bos gouden rozen ")</f>
        <v>Welk valentijntje is wat jou betreft goud waard? Vertel het ons en misschien verrassen wij diegene met een bos gouden rozen </v>
      </c>
      <c r="J82" s="501" t="str">
        <f>IFERROR(__xludf.DUMMYFUNCTION("""COMPUTED_VALUE"""),"Staat klaar")</f>
        <v>Staat klaar</v>
      </c>
      <c r="K82" s="505" t="str">
        <f>IFERROR(__xludf.DUMMYFUNCTION("""COMPUTED_VALUE""")," Klanten ")</f>
        <v>Klanten</v>
      </c>
      <c r="L82" s="506">
        <f>IFERROR(__xludf.DUMMYFUNCTION("""COMPUTED_VALUE"""),300.0)</f>
        <v>300</v>
      </c>
      <c r="M82" s="504">
        <f>IFERROR(__xludf.DUMMYFUNCTION("""COMPUTED_VALUE"""),1.0)</f>
        <v>1</v>
      </c>
      <c r="N82" s="501" t="str">
        <f>IFERROR(__xludf.DUMMYFUNCTION("""COMPUTED_VALUE"""),"Geven/ontvangen")</f>
        <v>Geven/ontvangen</v>
      </c>
      <c r="O82" s="501" t="str">
        <f>IFERROR(__xludf.DUMMYFUNCTION("""COMPUTED_VALUE"""),"FB + Instagram")</f>
        <v>FB + Instagram</v>
      </c>
      <c r="P82" s="503" t="str">
        <f>IFERROR(__xludf.DUMMYFUNCTION("""COMPUTED_VALUE"""),"Facebook - See - Retailcampaigning &amp; contentkalender")</f>
        <v>Facebook - See - Retailcampaigning &amp; contentkalender</v>
      </c>
      <c r="Q82" s="501" t="str">
        <f>IFERROR(__xludf.DUMMYFUNCTION("""COMPUTED_VALUE"""),"Engagement")</f>
        <v>Engagement</v>
      </c>
      <c r="R82" s="501" t="str">
        <f>IFERROR(__xludf.DUMMYFUNCTION("""COMPUTED_VALUE"""),"Timeline")</f>
        <v>Timeline</v>
      </c>
      <c r="S82" s="503" t="str">
        <f>IFERROR(__xludf.DUMMYFUNCTION("""COMPUTED_VALUE"""),"Foto van Bettine met boeket gouden rozen")</f>
        <v>Foto van Bettine met boeket gouden rozen</v>
      </c>
      <c r="T82" s="503" t="str">
        <f>IFERROR(__xludf.DUMMYFUNCTION("""COMPUTED_VALUE"""),"utm_source=facebook&amp;utm_medium=socialmedia&amp;utm_campaign=facebook_-_see_-_retailcampaigning_&amp;_contentkalender&amp;utm_content=winactiegoudenrozen&amp;referrer=facebook")</f>
        <v>utm_source=facebook&amp;utm_medium=socialmedia&amp;utm_campaign=facebook_-_see_-_retailcampaigning_&amp;_contentkalender&amp;utm_content=winactiegoudenrozen&amp;referrer=facebook</v>
      </c>
    </row>
    <row r="83">
      <c r="A83" s="501" t="str">
        <f>IFERROR(__xludf.DUMMYFUNCTION("""COMPUTED_VALUE"""),"februari")</f>
        <v>februari</v>
      </c>
      <c r="B83" s="501">
        <f>IFERROR(__xludf.DUMMYFUNCTION("""COMPUTED_VALUE"""),6.0)</f>
        <v>6</v>
      </c>
      <c r="C83" s="501" t="str">
        <f>IFERROR(__xludf.DUMMYFUNCTION("""COMPUTED_VALUE"""),"vrijdag")</f>
        <v>vrijdag</v>
      </c>
      <c r="D83" s="502">
        <f>IFERROR(__xludf.DUMMYFUNCTION("""COMPUTED_VALUE"""),43504.0)</f>
        <v>43504</v>
      </c>
      <c r="E83" s="502">
        <f>IFERROR(__xludf.DUMMYFUNCTION("""COMPUTED_VALUE"""),43508.0)</f>
        <v>43508</v>
      </c>
      <c r="F83" s="501" t="str">
        <f>IFERROR(__xludf.DUMMYFUNCTION("""COMPUTED_VALUE"""),"")</f>
        <v/>
      </c>
      <c r="G83" s="503" t="str">
        <f>IFERROR(__xludf.DUMMYFUNCTION("""COMPUTED_VALUE"""),"")</f>
        <v/>
      </c>
      <c r="H83" s="501" t="str">
        <f>IFERROR(__xludf.DUMMYFUNCTION("""COMPUTED_VALUE"""),"Special Delivery - valentijnseditie")</f>
        <v>Special Delivery - valentijnseditie</v>
      </c>
      <c r="I83" s="503" t="str">
        <f>IFERROR(__xludf.DUMMYFUNCTION("""COMPUTED_VALUE"""),"")</f>
        <v/>
      </c>
      <c r="J83" s="501" t="str">
        <f>IFERROR(__xludf.DUMMYFUNCTION("""COMPUTED_VALUE"""),"Staat klaar")</f>
        <v>Staat klaar</v>
      </c>
      <c r="K83" s="503" t="str">
        <f>IFERROR(__xludf.DUMMYFUNCTION("""COMPUTED_VALUE"""),"")</f>
        <v/>
      </c>
      <c r="L83" s="506">
        <f>IFERROR(__xludf.DUMMYFUNCTION("""COMPUTED_VALUE"""),1500.0)</f>
        <v>1500</v>
      </c>
      <c r="M83" s="504">
        <f>IFERROR(__xludf.DUMMYFUNCTION("""COMPUTED_VALUE"""),5.0)</f>
        <v>5</v>
      </c>
      <c r="N83" s="501" t="str">
        <f>IFERROR(__xludf.DUMMYFUNCTION("""COMPUTED_VALUE"""),"Geven/ontvangen")</f>
        <v>Geven/ontvangen</v>
      </c>
      <c r="O83" s="501" t="str">
        <f>IFERROR(__xludf.DUMMYFUNCTION("""COMPUTED_VALUE"""),"YouTube")</f>
        <v>YouTube</v>
      </c>
      <c r="P83" s="503" t="str">
        <f>IFERROR(__xludf.DUMMYFUNCTION("""COMPUTED_VALUE"""),"Special delivery - YouTube")</f>
        <v>Special delivery - YouTube</v>
      </c>
      <c r="Q83" s="501" t="str">
        <f>IFERROR(__xludf.DUMMYFUNCTION("""COMPUTED_VALUE"""),"Video Views")</f>
        <v>Video Views</v>
      </c>
      <c r="R83" s="501" t="str">
        <f>IFERROR(__xludf.DUMMYFUNCTION("""COMPUTED_VALUE"""),"Timeline")</f>
        <v>Timeline</v>
      </c>
      <c r="S83" s="503" t="str">
        <f>IFERROR(__xludf.DUMMYFUNCTION("""COMPUTED_VALUE"""),"")</f>
        <v/>
      </c>
      <c r="T83" s="503" t="str">
        <f>IFERROR(__xludf.DUMMYFUNCTION("""COMPUTED_VALUE"""),"utm_source=facebook&amp;utm_medium=socialmedia&amp;utm_campaign=special_delivery_-_youtube&amp;utm_content=specialdelivery-valentijnseditie&amp;referrer=facebook")</f>
        <v>utm_source=facebook&amp;utm_medium=socialmedia&amp;utm_campaign=special_delivery_-_youtube&amp;utm_content=specialdelivery-valentijnseditie&amp;referrer=facebook</v>
      </c>
    </row>
    <row r="84">
      <c r="A84" s="501" t="str">
        <f>IFERROR(__xludf.DUMMYFUNCTION("""COMPUTED_VALUE"""),"februari")</f>
        <v>februari</v>
      </c>
      <c r="B84" s="501">
        <f>IFERROR(__xludf.DUMMYFUNCTION("""COMPUTED_VALUE"""),6.0)</f>
        <v>6</v>
      </c>
      <c r="C84" s="501" t="str">
        <f>IFERROR(__xludf.DUMMYFUNCTION("""COMPUTED_VALUE"""),"vrijdag")</f>
        <v>vrijdag</v>
      </c>
      <c r="D84" s="502">
        <f>IFERROR(__xludf.DUMMYFUNCTION("""COMPUTED_VALUE"""),43504.0)</f>
        <v>43504</v>
      </c>
      <c r="E84" s="502">
        <f>IFERROR(__xludf.DUMMYFUNCTION("""COMPUTED_VALUE"""),43508.0)</f>
        <v>43508</v>
      </c>
      <c r="F84" s="501" t="str">
        <f>IFERROR(__xludf.DUMMYFUNCTION("""COMPUTED_VALUE"""),"")</f>
        <v/>
      </c>
      <c r="G84" s="503" t="str">
        <f>IFERROR(__xludf.DUMMYFUNCTION("""COMPUTED_VALUE"""),"")</f>
        <v/>
      </c>
      <c r="H84" s="501" t="str">
        <f>IFERROR(__xludf.DUMMYFUNCTION("""COMPUTED_VALUE"""),"Special Delivery - valentijnseditie")</f>
        <v>Special Delivery - valentijnseditie</v>
      </c>
      <c r="I84" s="503" t="str">
        <f>IFERROR(__xludf.DUMMYFUNCTION("""COMPUTED_VALUE"""),"Het is bijna Valentijnsdag en dat betekent een speciale en éxtra liefdevolle Special Delivery aflevering. Kijk je mee?")</f>
        <v>Het is bijna Valentijnsdag en dat betekent een speciale en éxtra liefdevolle Special Delivery aflevering. Kijk je mee?</v>
      </c>
      <c r="J84" s="501" t="str">
        <f>IFERROR(__xludf.DUMMYFUNCTION("""COMPUTED_VALUE"""),"Staat klaar")</f>
        <v>Staat klaar</v>
      </c>
      <c r="K84" s="505" t="str">
        <f>IFERROR(__xludf.DUMMYFUNCTION("""COMPUTED_VALUE""")," Let op: IGTV op Instagram (via story) 700 IG en 800 FB ")</f>
        <v>Let op: IGTV op Instagram (via story) 700 IG en 800 FB</v>
      </c>
      <c r="L84" s="506">
        <f>IFERROR(__xludf.DUMMYFUNCTION("""COMPUTED_VALUE"""),1500.0)</f>
        <v>1500</v>
      </c>
      <c r="M84" s="504">
        <f>IFERROR(__xludf.DUMMYFUNCTION("""COMPUTED_VALUE"""),5.0)</f>
        <v>5</v>
      </c>
      <c r="N84" s="501" t="str">
        <f>IFERROR(__xludf.DUMMYFUNCTION("""COMPUTED_VALUE"""),"Geven/ontvangen")</f>
        <v>Geven/ontvangen</v>
      </c>
      <c r="O84" s="501" t="str">
        <f>IFERROR(__xludf.DUMMYFUNCTION("""COMPUTED_VALUE"""),"FB + Instagram")</f>
        <v>FB + Instagram</v>
      </c>
      <c r="P84" s="503" t="str">
        <f>IFERROR(__xludf.DUMMYFUNCTION("""COMPUTED_VALUE"""),"Special delivery - FB &amp; IG")</f>
        <v>Special delivery - FB &amp; IG</v>
      </c>
      <c r="Q84" s="501" t="str">
        <f>IFERROR(__xludf.DUMMYFUNCTION("""COMPUTED_VALUE"""),"Video Views")</f>
        <v>Video Views</v>
      </c>
      <c r="R84" s="501" t="str">
        <f>IFERROR(__xludf.DUMMYFUNCTION("""COMPUTED_VALUE"""),"Timeline")</f>
        <v>Timeline</v>
      </c>
      <c r="S84" s="503" t="str">
        <f>IFERROR(__xludf.DUMMYFUNCTION("""COMPUTED_VALUE"""),"")</f>
        <v/>
      </c>
      <c r="T84" s="503" t="str">
        <f>IFERROR(__xludf.DUMMYFUNCTION("""COMPUTED_VALUE"""),"utm_source=facebook&amp;utm_medium=socialmedia&amp;utm_campaign=special_delivery_-_fb_&amp;_ig&amp;utm_content=specialdelivery-valentijnseditie&amp;referrer=facebook")</f>
        <v>utm_source=facebook&amp;utm_medium=socialmedia&amp;utm_campaign=special_delivery_-_fb_&amp;_ig&amp;utm_content=specialdelivery-valentijnseditie&amp;referrer=facebook</v>
      </c>
    </row>
    <row r="85">
      <c r="A85" s="501" t="str">
        <f>IFERROR(__xludf.DUMMYFUNCTION("""COMPUTED_VALUE"""),"februari")</f>
        <v>februari</v>
      </c>
      <c r="B85" s="501">
        <f>IFERROR(__xludf.DUMMYFUNCTION("""COMPUTED_VALUE"""),6.0)</f>
        <v>6</v>
      </c>
      <c r="C85" s="501" t="str">
        <f>IFERROR(__xludf.DUMMYFUNCTION("""COMPUTED_VALUE"""),"vrijdag")</f>
        <v>vrijdag</v>
      </c>
      <c r="D85" s="502">
        <f>IFERROR(__xludf.DUMMYFUNCTION("""COMPUTED_VALUE"""),43504.0)</f>
        <v>43504</v>
      </c>
      <c r="E85" s="502">
        <f>IFERROR(__xludf.DUMMYFUNCTION("""COMPUTED_VALUE"""),43507.0)</f>
        <v>43507</v>
      </c>
      <c r="F85" s="501" t="str">
        <f>IFERROR(__xludf.DUMMYFUNCTION("""COMPUTED_VALUE"""),"")</f>
        <v/>
      </c>
      <c r="G85" s="503" t="str">
        <f>IFERROR(__xludf.DUMMYFUNCTION("""COMPUTED_VALUE"""),"")</f>
        <v/>
      </c>
      <c r="H85" s="501" t="str">
        <f>IFERROR(__xludf.DUMMYFUNCTION("""COMPUTED_VALUE"""),"Valentijn retargeting gratis kaart")</f>
        <v>Valentijn retargeting gratis kaart</v>
      </c>
      <c r="I85" s="503" t="str">
        <f>IFERROR(__xludf.DUMMYFUNCTION("""COMPUTED_VALUE"""),"")</f>
        <v/>
      </c>
      <c r="J85" s="501" t="str">
        <f>IFERROR(__xludf.DUMMYFUNCTION("""COMPUTED_VALUE"""),"Staat klaar")</f>
        <v>Staat klaar</v>
      </c>
      <c r="K85" s="505" t="str">
        <f>IFERROR(__xludf.DUMMYFUNCTION("""COMPUTED_VALUE""")," See engagement &amp; URl 7 dagen ")</f>
        <v>See engagement &amp; URl 7 dagen</v>
      </c>
      <c r="L85" s="506">
        <f>IFERROR(__xludf.DUMMYFUNCTION("""COMPUTED_VALUE"""),500.0)</f>
        <v>500</v>
      </c>
      <c r="M85" s="504">
        <f>IFERROR(__xludf.DUMMYFUNCTION("""COMPUTED_VALUE"""),1.0)</f>
        <v>1</v>
      </c>
      <c r="N85" s="501" t="str">
        <f>IFERROR(__xludf.DUMMYFUNCTION("""COMPUTED_VALUE"""),"Geven/ontvangen")</f>
        <v>Geven/ontvangen</v>
      </c>
      <c r="O85" s="501" t="str">
        <f>IFERROR(__xludf.DUMMYFUNCTION("""COMPUTED_VALUE"""),"Facebook")</f>
        <v>Facebook</v>
      </c>
      <c r="P85" s="503" t="str">
        <f>IFERROR(__xludf.DUMMYFUNCTION("""COMPUTED_VALUE"""),"Facebook - Do - Retailcampaigning")</f>
        <v>Facebook - Do - Retailcampaigning</v>
      </c>
      <c r="Q85" s="501" t="str">
        <f>IFERROR(__xludf.DUMMYFUNCTION("""COMPUTED_VALUE"""),"Conversie - Conversie")</f>
        <v>Conversie - Conversie</v>
      </c>
      <c r="R85" s="501" t="str">
        <f>IFERROR(__xludf.DUMMYFUNCTION("""COMPUTED_VALUE"""),"Dark")</f>
        <v>Dark</v>
      </c>
      <c r="S85" s="503" t="str">
        <f>IFERROR(__xludf.DUMMYFUNCTION("""COMPUTED_VALUE"""),"Collection ad ingericht op ontvangers - Let op 2 ads --&gt; personalised en niet personalised")</f>
        <v>Collection ad ingericht op ontvangers - Let op 2 ads --&gt; personalised en niet personalised</v>
      </c>
      <c r="T85" s="503" t="str">
        <f>IFERROR(__xludf.DUMMYFUNCTION("""COMPUTED_VALUE"""),"utm_source=facebook&amp;utm_medium=socialmedia&amp;utm_campaign=facebook_-_do_-_retailcampaigning&amp;utm_content=valentijnretargetinggratiskaart&amp;referrer=facebook")</f>
        <v>utm_source=facebook&amp;utm_medium=socialmedia&amp;utm_campaign=facebook_-_do_-_retailcampaigning&amp;utm_content=valentijnretargetinggratiskaart&amp;referrer=facebook</v>
      </c>
    </row>
    <row r="86">
      <c r="A86" s="501" t="str">
        <f>IFERROR(__xludf.DUMMYFUNCTION("""COMPUTED_VALUE"""),"februari")</f>
        <v>februari</v>
      </c>
      <c r="B86" s="501">
        <f>IFERROR(__xludf.DUMMYFUNCTION("""COMPUTED_VALUE"""),6.0)</f>
        <v>6</v>
      </c>
      <c r="C86" s="501" t="str">
        <f>IFERROR(__xludf.DUMMYFUNCTION("""COMPUTED_VALUE"""),"vrijdag")</f>
        <v>vrijdag</v>
      </c>
      <c r="D86" s="502">
        <f>IFERROR(__xludf.DUMMYFUNCTION("""COMPUTED_VALUE"""),43504.0)</f>
        <v>43504</v>
      </c>
      <c r="E86" s="502">
        <f>IFERROR(__xludf.DUMMYFUNCTION("""COMPUTED_VALUE"""),43504.0)</f>
        <v>43504</v>
      </c>
      <c r="F86" s="501" t="str">
        <f>IFERROR(__xludf.DUMMYFUNCTION("""COMPUTED_VALUE"""),"")</f>
        <v/>
      </c>
      <c r="G86" s="503" t="str">
        <f>IFERROR(__xludf.DUMMYFUNCTION("""COMPUTED_VALUE"""),"")</f>
        <v/>
      </c>
      <c r="H86" s="501" t="str">
        <f>IFERROR(__xludf.DUMMYFUNCTION("""COMPUTED_VALUE"""),"Verrassing vrijdag")</f>
        <v>Verrassing vrijdag</v>
      </c>
      <c r="I86" s="503" t="str">
        <f>IFERROR(__xludf.DUMMYFUNCTION("""COMPUTED_VALUE"""),"Dit kozen jullie als favoriete boeket!")</f>
        <v>Dit kozen jullie als favoriete boeket!</v>
      </c>
      <c r="J86" s="501" t="str">
        <f>IFERROR(__xludf.DUMMYFUNCTION("""COMPUTED_VALUE"""),"")</f>
        <v/>
      </c>
      <c r="K86" s="503" t="str">
        <f>IFERROR(__xludf.DUMMYFUNCTION("""COMPUTED_VALUE"""),"")</f>
        <v/>
      </c>
      <c r="L86" s="501" t="str">
        <f>IFERROR(__xludf.DUMMYFUNCTION("""COMPUTED_VALUE"""),"")</f>
        <v/>
      </c>
      <c r="M86" s="504">
        <f>IFERROR(__xludf.DUMMYFUNCTION("""COMPUTED_VALUE"""),1.0)</f>
        <v>1</v>
      </c>
      <c r="N86" s="501" t="str">
        <f>IFERROR(__xludf.DUMMYFUNCTION("""COMPUTED_VALUE"""),"Product")</f>
        <v>Product</v>
      </c>
      <c r="O86" s="501" t="str">
        <f>IFERROR(__xludf.DUMMYFUNCTION("""COMPUTED_VALUE"""),"Instagram Feed")</f>
        <v>Instagram Feed</v>
      </c>
      <c r="P86" s="503" t="str">
        <f>IFERROR(__xludf.DUMMYFUNCTION("""COMPUTED_VALUE"""),"")</f>
        <v/>
      </c>
      <c r="Q86" s="501" t="str">
        <f>IFERROR(__xludf.DUMMYFUNCTION("""COMPUTED_VALUE"""),"")</f>
        <v/>
      </c>
      <c r="R86" s="501" t="str">
        <f>IFERROR(__xludf.DUMMYFUNCTION("""COMPUTED_VALUE"""),"")</f>
        <v/>
      </c>
      <c r="S86" s="503" t="str">
        <f>IFERROR(__xludf.DUMMYFUNCTION("""COMPUTED_VALUE"""),"Afbeelding van model + boeket")</f>
        <v>Afbeelding van model + boeket</v>
      </c>
      <c r="T86"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87">
      <c r="A87" s="501" t="str">
        <f>IFERROR(__xludf.DUMMYFUNCTION("""COMPUTED_VALUE"""),"februari")</f>
        <v>februari</v>
      </c>
      <c r="B87" s="501">
        <f>IFERROR(__xludf.DUMMYFUNCTION("""COMPUTED_VALUE"""),6.0)</f>
        <v>6</v>
      </c>
      <c r="C87" s="501" t="str">
        <f>IFERROR(__xludf.DUMMYFUNCTION("""COMPUTED_VALUE"""),"vrijdag")</f>
        <v>vrijdag</v>
      </c>
      <c r="D87" s="502">
        <f>IFERROR(__xludf.DUMMYFUNCTION("""COMPUTED_VALUE"""),43504.0)</f>
        <v>43504</v>
      </c>
      <c r="E87" s="502">
        <f>IFERROR(__xludf.DUMMYFUNCTION("""COMPUTED_VALUE"""),43504.0)</f>
        <v>43504</v>
      </c>
      <c r="F87" s="501" t="str">
        <f>IFERROR(__xludf.DUMMYFUNCTION("""COMPUTED_VALUE"""),"")</f>
        <v/>
      </c>
      <c r="G87" s="503" t="str">
        <f>IFERROR(__xludf.DUMMYFUNCTION("""COMPUTED_VALUE"""),"")</f>
        <v/>
      </c>
      <c r="H87" s="501" t="str">
        <f>IFERROR(__xludf.DUMMYFUNCTION("""COMPUTED_VALUE"""),"Wrapping Valentijn")</f>
        <v>Wrapping Valentijn</v>
      </c>
      <c r="I87" s="503" t="str">
        <f>IFERROR(__xludf.DUMMYFUNCTION("""COMPUTED_VALUE"""),"Wat vind jij van dit cadeaupapier voor jouw Valentijn")</f>
        <v>Wat vind jij van dit cadeaupapier voor jouw Valentijn</v>
      </c>
      <c r="J87" s="501" t="str">
        <f>IFERROR(__xludf.DUMMYFUNCTION("""COMPUTED_VALUE"""),"")</f>
        <v/>
      </c>
      <c r="K87" s="503" t="str">
        <f>IFERROR(__xludf.DUMMYFUNCTION("""COMPUTED_VALUE"""),"")</f>
        <v/>
      </c>
      <c r="L87" s="501" t="str">
        <f>IFERROR(__xludf.DUMMYFUNCTION("""COMPUTED_VALUE"""),"")</f>
        <v/>
      </c>
      <c r="M87" s="504">
        <f>IFERROR(__xludf.DUMMYFUNCTION("""COMPUTED_VALUE"""),1.0)</f>
        <v>1</v>
      </c>
      <c r="N87" s="501" t="str">
        <f>IFERROR(__xludf.DUMMYFUNCTION("""COMPUTED_VALUE"""),"Product")</f>
        <v>Product</v>
      </c>
      <c r="O87" s="501" t="str">
        <f>IFERROR(__xludf.DUMMYFUNCTION("""COMPUTED_VALUE"""),"Instagram Stories")</f>
        <v>Instagram Stories</v>
      </c>
      <c r="P87" s="503" t="str">
        <f>IFERROR(__xludf.DUMMYFUNCTION("""COMPUTED_VALUE"""),"")</f>
        <v/>
      </c>
      <c r="Q87" s="501" t="str">
        <f>IFERROR(__xludf.DUMMYFUNCTION("""COMPUTED_VALUE"""),"")</f>
        <v/>
      </c>
      <c r="R87" s="501" t="str">
        <f>IFERROR(__xludf.DUMMYFUNCTION("""COMPUTED_VALUE"""),"")</f>
        <v/>
      </c>
      <c r="S87" s="503" t="str">
        <f>IFERROR(__xludf.DUMMYFUNCTION("""COMPUTED_VALUE"""),"Fotografie van model met product in Valentijnscadeaupapier")</f>
        <v>Fotografie van model met product in Valentijnscadeaupapier</v>
      </c>
      <c r="T87" s="503" t="str">
        <f>IFERROR(__xludf.DUMMYFUNCTION("""COMPUTED_VALUE"""),"utm_source=facebook&amp;utm_medium=socialmedia&amp;utm_campaign=&amp;utm_content=wrappingvalentijn&amp;referrer=facebook")</f>
        <v>utm_source=facebook&amp;utm_medium=socialmedia&amp;utm_campaign=&amp;utm_content=wrappingvalentijn&amp;referrer=facebook</v>
      </c>
    </row>
    <row r="88">
      <c r="A88" s="501" t="str">
        <f>IFERROR(__xludf.DUMMYFUNCTION("""COMPUTED_VALUE"""),"februari")</f>
        <v>februari</v>
      </c>
      <c r="B88" s="501">
        <f>IFERROR(__xludf.DUMMYFUNCTION("""COMPUTED_VALUE"""),6.0)</f>
        <v>6</v>
      </c>
      <c r="C88" s="501" t="str">
        <f>IFERROR(__xludf.DUMMYFUNCTION("""COMPUTED_VALUE"""),"zaterdag")</f>
        <v>zaterdag</v>
      </c>
      <c r="D88" s="502">
        <f>IFERROR(__xludf.DUMMYFUNCTION("""COMPUTED_VALUE"""),43505.0)</f>
        <v>43505</v>
      </c>
      <c r="E88" s="502">
        <f>IFERROR(__xludf.DUMMYFUNCTION("""COMPUTED_VALUE"""),43505.0)</f>
        <v>43505</v>
      </c>
      <c r="F88" s="501" t="str">
        <f>IFERROR(__xludf.DUMMYFUNCTION("""COMPUTED_VALUE"""),"")</f>
        <v/>
      </c>
      <c r="G88" s="503" t="str">
        <f>IFERROR(__xludf.DUMMYFUNCTION("""COMPUTED_VALUE"""),"")</f>
        <v/>
      </c>
      <c r="H88" s="501" t="str">
        <f>IFERROR(__xludf.DUMMYFUNCTION("""COMPUTED_VALUE"""),"Greetzmoment")</f>
        <v>Greetzmoment</v>
      </c>
      <c r="I88" s="503" t="str">
        <f>IFERROR(__xludf.DUMMYFUNCTION("""COMPUTED_VALUE"""),"Greetzmoment aisha_kromowitono")</f>
        <v>Greetzmoment aisha_kromowitono</v>
      </c>
      <c r="J88" s="501" t="str">
        <f>IFERROR(__xludf.DUMMYFUNCTION("""COMPUTED_VALUE"""),"Staat klaar")</f>
        <v>Staat klaar</v>
      </c>
      <c r="K88" s="503" t="str">
        <f>IFERROR(__xludf.DUMMYFUNCTION("""COMPUTED_VALUE"""),"")</f>
        <v/>
      </c>
      <c r="L88" s="501" t="str">
        <f>IFERROR(__xludf.DUMMYFUNCTION("""COMPUTED_VALUE"""),"")</f>
        <v/>
      </c>
      <c r="M88" s="504">
        <f>IFERROR(__xludf.DUMMYFUNCTION("""COMPUTED_VALUE"""),1.0)</f>
        <v>1</v>
      </c>
      <c r="N88" s="501" t="str">
        <f>IFERROR(__xludf.DUMMYFUNCTION("""COMPUTED_VALUE"""),"Geven/ontvangen")</f>
        <v>Geven/ontvangen</v>
      </c>
      <c r="O88" s="501" t="str">
        <f>IFERROR(__xludf.DUMMYFUNCTION("""COMPUTED_VALUE"""),"Instagram Stories")</f>
        <v>Instagram Stories</v>
      </c>
      <c r="P88" s="503" t="str">
        <f>IFERROR(__xludf.DUMMYFUNCTION("""COMPUTED_VALUE"""),"")</f>
        <v/>
      </c>
      <c r="Q88" s="501" t="str">
        <f>IFERROR(__xludf.DUMMYFUNCTION("""COMPUTED_VALUE"""),"")</f>
        <v/>
      </c>
      <c r="R88" s="501" t="str">
        <f>IFERROR(__xludf.DUMMYFUNCTION("""COMPUTED_VALUE"""),"")</f>
        <v/>
      </c>
      <c r="S88" s="503" t="str">
        <f>IFERROR(__xludf.DUMMYFUNCTION("""COMPUTED_VALUE"""),"")</f>
        <v/>
      </c>
      <c r="T88" s="503" t="str">
        <f>IFERROR(__xludf.DUMMYFUNCTION("""COMPUTED_VALUE"""),"utm_source=facebook&amp;utm_medium=socialmedia&amp;utm_campaign=&amp;utm_content=greetzmoment&amp;referrer=facebook")</f>
        <v>utm_source=facebook&amp;utm_medium=socialmedia&amp;utm_campaign=&amp;utm_content=greetzmoment&amp;referrer=facebook</v>
      </c>
    </row>
    <row r="89">
      <c r="A89" s="501" t="str">
        <f>IFERROR(__xludf.DUMMYFUNCTION("""COMPUTED_VALUE"""),"februari")</f>
        <v>februari</v>
      </c>
      <c r="B89" s="501">
        <f>IFERROR(__xludf.DUMMYFUNCTION("""COMPUTED_VALUE"""),6.0)</f>
        <v>6</v>
      </c>
      <c r="C89" s="501" t="str">
        <f>IFERROR(__xludf.DUMMYFUNCTION("""COMPUTED_VALUE"""),"zondag")</f>
        <v>zondag</v>
      </c>
      <c r="D89" s="502">
        <f>IFERROR(__xludf.DUMMYFUNCTION("""COMPUTED_VALUE"""),43506.0)</f>
        <v>43506</v>
      </c>
      <c r="E89" s="502">
        <f>IFERROR(__xludf.DUMMYFUNCTION("""COMPUTED_VALUE"""),43507.0)</f>
        <v>43507</v>
      </c>
      <c r="F89" s="501" t="str">
        <f>IFERROR(__xludf.DUMMYFUNCTION("""COMPUTED_VALUE"""),"Let op: tot 20:00 uur")</f>
        <v>Let op: tot 20:00 uur</v>
      </c>
      <c r="G89" s="503" t="str">
        <f>IFERROR(__xludf.DUMMYFUNCTION("""COMPUTED_VALUE"""),"")</f>
        <v/>
      </c>
      <c r="H89" s="501" t="str">
        <f>IFERROR(__xludf.DUMMYFUNCTION("""COMPUTED_VALUE"""),"Valentijnsverrassingen")</f>
        <v>Valentijnsverrassingen</v>
      </c>
      <c r="I89" s="503" t="str">
        <f>IFERROR(__xludf.DUMMYFUNCTION("""COMPUTED_VALUE"""),"De liefde van je leven, geheime crush, leuke single lady, allerbeste vriendin... Hoe verras jij die leuke valentijn?")</f>
        <v>De liefde van je leven, geheime crush, leuke single lady, allerbeste vriendin... Hoe verras jij die leuke valentijn?</v>
      </c>
      <c r="J89" s="501" t="str">
        <f>IFERROR(__xludf.DUMMYFUNCTION("""COMPUTED_VALUE"""),"Staat klaar")</f>
        <v>Staat klaar</v>
      </c>
      <c r="K89" s="505" t="str">
        <f>IFERROR(__xludf.DUMMYFUNCTION("""COMPUTED_VALUE""")," Hoofddoelgroep (vrouwen 18 - 45)(700) + klanten(200) ")</f>
        <v>Hoofddoelgroep (vrouwen 18 - 45)(700) + klanten(200)</v>
      </c>
      <c r="L89" s="506">
        <f>IFERROR(__xludf.DUMMYFUNCTION("""COMPUTED_VALUE"""),900.0)</f>
        <v>900</v>
      </c>
      <c r="M89" s="504">
        <f>IFERROR(__xludf.DUMMYFUNCTION("""COMPUTED_VALUE"""),2.0)</f>
        <v>2</v>
      </c>
      <c r="N89" s="501" t="str">
        <f>IFERROR(__xludf.DUMMYFUNCTION("""COMPUTED_VALUE"""),"Product")</f>
        <v>Product</v>
      </c>
      <c r="O89" s="501" t="str">
        <f>IFERROR(__xludf.DUMMYFUNCTION("""COMPUTED_VALUE"""),"Facebook")</f>
        <v>Facebook</v>
      </c>
      <c r="P89" s="503" t="str">
        <f>IFERROR(__xludf.DUMMYFUNCTION("""COMPUTED_VALUE"""),"Facebook - See - Retailcampaigning &amp; contentkalender")</f>
        <v>Facebook - See - Retailcampaigning &amp; contentkalender</v>
      </c>
      <c r="Q89" s="501" t="str">
        <f>IFERROR(__xludf.DUMMYFUNCTION("""COMPUTED_VALUE"""),"Bereik")</f>
        <v>Bereik</v>
      </c>
      <c r="R89" s="501" t="str">
        <f>IFERROR(__xludf.DUMMYFUNCTION("""COMPUTED_VALUE"""),"Timeline")</f>
        <v>Timeline</v>
      </c>
      <c r="S89" s="503" t="str">
        <f>IFERROR(__xludf.DUMMYFUNCTION("""COMPUTED_VALUE"""),"GIF van verrassingen (opgedeeld in vriendschap &amp; houden van)")</f>
        <v>GIF van verrassingen (opgedeeld in vriendschap &amp; houden van)</v>
      </c>
      <c r="T89" s="503" t="str">
        <f>IFERROR(__xludf.DUMMYFUNCTION("""COMPUTED_VALUE"""),"utm_source=facebook&amp;utm_medium=socialmedia&amp;utm_campaign=facebook_-_see_-_retailcampaigning_&amp;_contentkalender&amp;utm_content=valentijnsverrassingen&amp;referrer=facebook")</f>
        <v>utm_source=facebook&amp;utm_medium=socialmedia&amp;utm_campaign=facebook_-_see_-_retailcampaigning_&amp;_contentkalender&amp;utm_content=valentijnsverrassingen&amp;referrer=facebook</v>
      </c>
    </row>
    <row r="90">
      <c r="A90" s="501" t="str">
        <f>IFERROR(__xludf.DUMMYFUNCTION("""COMPUTED_VALUE"""),"februari")</f>
        <v>februari</v>
      </c>
      <c r="B90" s="501">
        <f>IFERROR(__xludf.DUMMYFUNCTION("""COMPUTED_VALUE"""),6.0)</f>
        <v>6</v>
      </c>
      <c r="C90" s="501" t="str">
        <f>IFERROR(__xludf.DUMMYFUNCTION("""COMPUTED_VALUE"""),"zondag")</f>
        <v>zondag</v>
      </c>
      <c r="D90" s="502">
        <f>IFERROR(__xludf.DUMMYFUNCTION("""COMPUTED_VALUE"""),43506.0)</f>
        <v>43506</v>
      </c>
      <c r="E90" s="502">
        <f>IFERROR(__xludf.DUMMYFUNCTION("""COMPUTED_VALUE"""),43507.0)</f>
        <v>43507</v>
      </c>
      <c r="F90" s="501" t="str">
        <f>IFERROR(__xludf.DUMMYFUNCTION("""COMPUTED_VALUE"""),"Let op: tot 20:00 uur")</f>
        <v>Let op: tot 20:00 uur</v>
      </c>
      <c r="G90" s="503" t="str">
        <f>IFERROR(__xludf.DUMMYFUNCTION("""COMPUTED_VALUE"""),"")</f>
        <v/>
      </c>
      <c r="H90" s="501" t="str">
        <f>IFERROR(__xludf.DUMMYFUNCTION("""COMPUTED_VALUE"""),"Valentijnsverrassingen")</f>
        <v>Valentijnsverrassingen</v>
      </c>
      <c r="I90" s="503" t="str">
        <f>IFERROR(__xludf.DUMMYFUNCTION("""COMPUTED_VALUE"""),"Love is (bijna) in the air! Laat deze Valentijnsdag een onvergetelijke indruk achter bij de liefde van je leven met een mooie kaart en valentijnscadeautje.
Pssst, ben je op zoek naar wat tekstinspiratie voor op de kaart? Je bent niet de enige ;-) Wij hel"&amp;"pen je met wat voorbeeldtekstjes, bedacht door vrouwen zelf")</f>
        <v>Love is (bijna) in the air! Laat deze Valentijnsdag een onvergetelijke indruk achter bij de liefde van je leven met een mooie kaart en valentijnscadeautje.
Pssst, ben je op zoek naar wat tekstinspiratie voor op de kaart? Je bent niet de enige ;-) Wij helpen je met wat voorbeeldtekstjes, bedacht door vrouwen zelf</v>
      </c>
      <c r="J90" s="501" t="str">
        <f>IFERROR(__xludf.DUMMYFUNCTION("""COMPUTED_VALUE"""),"Staat klaar")</f>
        <v>Staat klaar</v>
      </c>
      <c r="K90" s="505" t="str">
        <f>IFERROR(__xludf.DUMMYFUNCTION("""COMPUTED_VALUE""")," Mannen van 25 - 45 jaar ")</f>
        <v>Mannen van 25 - 45 jaar</v>
      </c>
      <c r="L90" s="506">
        <f>IFERROR(__xludf.DUMMYFUNCTION("""COMPUTED_VALUE"""),300.0)</f>
        <v>300</v>
      </c>
      <c r="M90" s="504">
        <f>IFERROR(__xludf.DUMMYFUNCTION("""COMPUTED_VALUE"""),2.0)</f>
        <v>2</v>
      </c>
      <c r="N90" s="501" t="str">
        <f>IFERROR(__xludf.DUMMYFUNCTION("""COMPUTED_VALUE"""),"Product")</f>
        <v>Product</v>
      </c>
      <c r="O90" s="501" t="str">
        <f>IFERROR(__xludf.DUMMYFUNCTION("""COMPUTED_VALUE"""),"Facebook")</f>
        <v>Facebook</v>
      </c>
      <c r="P90" s="503" t="str">
        <f>IFERROR(__xludf.DUMMYFUNCTION("""COMPUTED_VALUE"""),"Facebook - See - Retailcampaigning &amp; contentkalender")</f>
        <v>Facebook - See - Retailcampaigning &amp; contentkalender</v>
      </c>
      <c r="Q90" s="501" t="str">
        <f>IFERROR(__xludf.DUMMYFUNCTION("""COMPUTED_VALUE"""),"Bereik")</f>
        <v>Bereik</v>
      </c>
      <c r="R90" s="501" t="str">
        <f>IFERROR(__xludf.DUMMYFUNCTION("""COMPUTED_VALUE"""),"Dark")</f>
        <v>Dark</v>
      </c>
      <c r="S90" s="503" t="str">
        <f>IFERROR(__xludf.DUMMYFUNCTION("""COMPUTED_VALUE"""),"Caroussel van afbeeldingen")</f>
        <v>Caroussel van afbeeldingen</v>
      </c>
      <c r="T90" s="503" t="str">
        <f>IFERROR(__xludf.DUMMYFUNCTION("""COMPUTED_VALUE"""),"utm_source=facebook&amp;utm_medium=socialmedia&amp;utm_campaign=facebook_-_see_-_retailcampaigning_&amp;_contentkalender&amp;utm_content=valentijnsverrassingen&amp;referrer=facebook")</f>
        <v>utm_source=facebook&amp;utm_medium=socialmedia&amp;utm_campaign=facebook_-_see_-_retailcampaigning_&amp;_contentkalender&amp;utm_content=valentijnsverrassingen&amp;referrer=facebook</v>
      </c>
    </row>
    <row r="91">
      <c r="A91" s="501" t="str">
        <f>IFERROR(__xludf.DUMMYFUNCTION("""COMPUTED_VALUE"""),"februari")</f>
        <v>februari</v>
      </c>
      <c r="B91" s="501">
        <f>IFERROR(__xludf.DUMMYFUNCTION("""COMPUTED_VALUE"""),7.0)</f>
        <v>7</v>
      </c>
      <c r="C91" s="501" t="str">
        <f>IFERROR(__xludf.DUMMYFUNCTION("""COMPUTED_VALUE"""),"zondag")</f>
        <v>zondag</v>
      </c>
      <c r="D91" s="502">
        <f>IFERROR(__xludf.DUMMYFUNCTION("""COMPUTED_VALUE"""),43506.0)</f>
        <v>43506</v>
      </c>
      <c r="E91" s="502">
        <f>IFERROR(__xludf.DUMMYFUNCTION("""COMPUTED_VALUE"""),43506.0)</f>
        <v>43506</v>
      </c>
      <c r="F91" s="501" t="str">
        <f>IFERROR(__xludf.DUMMYFUNCTION("""COMPUTED_VALUE"""),"")</f>
        <v/>
      </c>
      <c r="G91" s="503" t="str">
        <f>IFERROR(__xludf.DUMMYFUNCTION("""COMPUTED_VALUE"""),"")</f>
        <v/>
      </c>
      <c r="H91" s="501" t="str">
        <f>IFERROR(__xludf.DUMMYFUNCTION("""COMPUTED_VALUE"""),"Behind the scenes")</f>
        <v>Behind the scenes</v>
      </c>
      <c r="I91" s="503" t="str">
        <f>IFERROR(__xludf.DUMMYFUNCTION("""COMPUTED_VALUE"""),"Een kijkje achter de schermen bij onze Valentijnsshoot")</f>
        <v>Een kijkje achter de schermen bij onze Valentijnsshoot</v>
      </c>
      <c r="J91" s="501" t="str">
        <f>IFERROR(__xludf.DUMMYFUNCTION("""COMPUTED_VALUE"""),"")</f>
        <v/>
      </c>
      <c r="K91" s="503" t="str">
        <f>IFERROR(__xludf.DUMMYFUNCTION("""COMPUTED_VALUE"""),"")</f>
        <v/>
      </c>
      <c r="L91" s="501" t="str">
        <f>IFERROR(__xludf.DUMMYFUNCTION("""COMPUTED_VALUE"""),"")</f>
        <v/>
      </c>
      <c r="M91" s="504">
        <f>IFERROR(__xludf.DUMMYFUNCTION("""COMPUTED_VALUE"""),1.0)</f>
        <v>1</v>
      </c>
      <c r="N91" s="501" t="str">
        <f>IFERROR(__xludf.DUMMYFUNCTION("""COMPUTED_VALUE"""),"Merk")</f>
        <v>Merk</v>
      </c>
      <c r="O91" s="501" t="str">
        <f>IFERROR(__xludf.DUMMYFUNCTION("""COMPUTED_VALUE"""),"Instagram Stories")</f>
        <v>Instagram Stories</v>
      </c>
      <c r="P91" s="503" t="str">
        <f>IFERROR(__xludf.DUMMYFUNCTION("""COMPUTED_VALUE"""),"")</f>
        <v/>
      </c>
      <c r="Q91" s="501" t="str">
        <f>IFERROR(__xludf.DUMMYFUNCTION("""COMPUTED_VALUE"""),"")</f>
        <v/>
      </c>
      <c r="R91" s="501" t="str">
        <f>IFERROR(__xludf.DUMMYFUNCTION("""COMPUTED_VALUE"""),"")</f>
        <v/>
      </c>
      <c r="S91" s="503" t="str">
        <f>IFERROR(__xludf.DUMMYFUNCTION("""COMPUTED_VALUE"""),"BTS fotos van de valentijnsshoot")</f>
        <v>BTS fotos van de valentijnsshoot</v>
      </c>
      <c r="T91" s="503" t="str">
        <f>IFERROR(__xludf.DUMMYFUNCTION("""COMPUTED_VALUE"""),"utm_source=facebook&amp;utm_medium=socialmedia&amp;utm_campaign=&amp;utm_content=behindthescenes&amp;referrer=facebook")</f>
        <v>utm_source=facebook&amp;utm_medium=socialmedia&amp;utm_campaign=&amp;utm_content=behindthescenes&amp;referrer=facebook</v>
      </c>
    </row>
    <row r="92">
      <c r="A92" s="501" t="str">
        <f>IFERROR(__xludf.DUMMYFUNCTION("""COMPUTED_VALUE"""),"februari")</f>
        <v>februari</v>
      </c>
      <c r="B92" s="501">
        <f>IFERROR(__xludf.DUMMYFUNCTION("""COMPUTED_VALUE"""),7.0)</f>
        <v>7</v>
      </c>
      <c r="C92" s="501" t="str">
        <f>IFERROR(__xludf.DUMMYFUNCTION("""COMPUTED_VALUE"""),"maandag")</f>
        <v>maandag</v>
      </c>
      <c r="D92" s="502">
        <f>IFERROR(__xludf.DUMMYFUNCTION("""COMPUTED_VALUE"""),43507.0)</f>
        <v>43507</v>
      </c>
      <c r="E92" s="502">
        <f>IFERROR(__xludf.DUMMYFUNCTION("""COMPUTED_VALUE"""),43507.0)</f>
        <v>43507</v>
      </c>
      <c r="F92" s="501" t="str">
        <f>IFERROR(__xludf.DUMMYFUNCTION("""COMPUTED_VALUE"""),"")</f>
        <v/>
      </c>
      <c r="G92" s="503" t="str">
        <f>IFERROR(__xludf.DUMMYFUNCTION("""COMPUTED_VALUE"""),"")</f>
        <v/>
      </c>
      <c r="H92" s="501" t="str">
        <f>IFERROR(__xludf.DUMMYFUNCTION("""COMPUTED_VALUE"""),"Mooie maandag")</f>
        <v>Mooie maandag</v>
      </c>
      <c r="I92" s="503" t="str">
        <f>IFERROR(__xludf.DUMMYFUNCTION("""COMPUTED_VALUE"""),"Mooie maandag! Nog maar 3 dagen tot Valentijnsdag")</f>
        <v>Mooie maandag! Nog maar 3 dagen tot Valentijnsdag</v>
      </c>
      <c r="J92" s="501" t="str">
        <f>IFERROR(__xludf.DUMMYFUNCTION("""COMPUTED_VALUE"""),"Staat klaar")</f>
        <v>Staat klaar</v>
      </c>
      <c r="K92" s="503" t="str">
        <f>IFERROR(__xludf.DUMMYFUNCTION("""COMPUTED_VALUE"""),"")</f>
        <v/>
      </c>
      <c r="L92" s="501" t="str">
        <f>IFERROR(__xludf.DUMMYFUNCTION("""COMPUTED_VALUE"""),"")</f>
        <v/>
      </c>
      <c r="M92" s="504">
        <f>IFERROR(__xludf.DUMMYFUNCTION("""COMPUTED_VALUE"""),1.0)</f>
        <v>1</v>
      </c>
      <c r="N92" s="501" t="str">
        <f>IFERROR(__xludf.DUMMYFUNCTION("""COMPUTED_VALUE"""),"Product")</f>
        <v>Product</v>
      </c>
      <c r="O92" s="501" t="str">
        <f>IFERROR(__xludf.DUMMYFUNCTION("""COMPUTED_VALUE"""),"Instagram Feed")</f>
        <v>Instagram Feed</v>
      </c>
      <c r="P92" s="503" t="str">
        <f>IFERROR(__xludf.DUMMYFUNCTION("""COMPUTED_VALUE"""),"")</f>
        <v/>
      </c>
      <c r="Q92" s="501" t="str">
        <f>IFERROR(__xludf.DUMMYFUNCTION("""COMPUTED_VALUE"""),"")</f>
        <v/>
      </c>
      <c r="R92" s="501" t="str">
        <f>IFERROR(__xludf.DUMMYFUNCTION("""COMPUTED_VALUE"""),"")</f>
        <v/>
      </c>
      <c r="S92" s="507" t="str">
        <f>IFERROR(__xludf.DUMMYFUNCTION("""COMPUTED_VALUE"""),"https://www.greetz.nl/kaart/detail/liefde-kaart---loesje---wit---spreuk---zwart/1142746361")</f>
        <v>https://www.greetz.nl/kaart/detail/liefde-kaart---loesje---wit---spreuk---zwart/1142746361</v>
      </c>
      <c r="T92" s="503" t="str">
        <f>IFERROR(__xludf.DUMMYFUNCTION("""COMPUTED_VALUE"""),"utm_source=facebook&amp;utm_medium=socialmedia&amp;utm_campaign=&amp;utm_content=mooiemaandag&amp;referrer=facebook")</f>
        <v>utm_source=facebook&amp;utm_medium=socialmedia&amp;utm_campaign=&amp;utm_content=mooiemaandag&amp;referrer=facebook</v>
      </c>
    </row>
    <row r="93">
      <c r="A93" s="501" t="str">
        <f>IFERROR(__xludf.DUMMYFUNCTION("""COMPUTED_VALUE"""),"februari")</f>
        <v>februari</v>
      </c>
      <c r="B93" s="501">
        <f>IFERROR(__xludf.DUMMYFUNCTION("""COMPUTED_VALUE"""),7.0)</f>
        <v>7</v>
      </c>
      <c r="C93" s="501" t="str">
        <f>IFERROR(__xludf.DUMMYFUNCTION("""COMPUTED_VALUE"""),"dinsdag")</f>
        <v>dinsdag</v>
      </c>
      <c r="D93" s="502">
        <f>IFERROR(__xludf.DUMMYFUNCTION("""COMPUTED_VALUE"""),43508.0)</f>
        <v>43508</v>
      </c>
      <c r="E93" s="502">
        <f>IFERROR(__xludf.DUMMYFUNCTION("""COMPUTED_VALUE"""),43509.0)</f>
        <v>43509</v>
      </c>
      <c r="F93" s="501" t="str">
        <f>IFERROR(__xludf.DUMMYFUNCTION("""COMPUTED_VALUE"""),"Let op: tot 20:00 uur")</f>
        <v>Let op: tot 20:00 uur</v>
      </c>
      <c r="G93" s="503" t="str">
        <f>IFERROR(__xludf.DUMMYFUNCTION("""COMPUTED_VALUE"""),"")</f>
        <v/>
      </c>
      <c r="H93" s="501" t="str">
        <f>IFERROR(__xludf.DUMMYFUNCTION("""COMPUTED_VALUE"""),"Valentijn carousel")</f>
        <v>Valentijn carousel</v>
      </c>
      <c r="I93" s="503" t="str">
        <f>IFERROR(__xludf.DUMMYFUNCTION("""COMPUTED_VALUE"""),"Een mooie bos rozen🌹, een leuke kaart met een foto van jullie samen, heerlijke chocolade of snoep of toch een leuke ballon? Genoeg keuze om je partner, crush of beste vriendin mee te verrassen 💕
Let op, je hebt tot woensdag 20.00u om te bestellen!")</f>
        <v>Een mooie bos rozen🌹, een leuke kaart met een foto van jullie samen, heerlijke chocolade of snoep of toch een leuke ballon? Genoeg keuze om je partner, crush of beste vriendin mee te verrassen 💕
Let op, je hebt tot woensdag 20.00u om te bestellen!</v>
      </c>
      <c r="J93" s="501" t="str">
        <f>IFERROR(__xludf.DUMMYFUNCTION("""COMPUTED_VALUE"""),"Staat klaar")</f>
        <v>Staat klaar</v>
      </c>
      <c r="K93" s="505" t="str">
        <f>IFERROR(__xludf.DUMMYFUNCTION("""COMPUTED_VALUE""")," Hoofddoelgroep M/V splitsing en engagement see/think fase ")</f>
        <v>Hoofddoelgroep M/V splitsing en engagement see/think fase</v>
      </c>
      <c r="L93" s="506">
        <f>IFERROR(__xludf.DUMMYFUNCTION("""COMPUTED_VALUE"""),1000.0)</f>
        <v>1000</v>
      </c>
      <c r="M93" s="504">
        <f>IFERROR(__xludf.DUMMYFUNCTION("""COMPUTED_VALUE"""),2.0)</f>
        <v>2</v>
      </c>
      <c r="N93" s="501" t="str">
        <f>IFERROR(__xludf.DUMMYFUNCTION("""COMPUTED_VALUE"""),"Product")</f>
        <v>Product</v>
      </c>
      <c r="O93" s="501" t="str">
        <f>IFERROR(__xludf.DUMMYFUNCTION("""COMPUTED_VALUE"""),"Facebook")</f>
        <v>Facebook</v>
      </c>
      <c r="P93" s="503" t="str">
        <f>IFERROR(__xludf.DUMMYFUNCTION("""COMPUTED_VALUE"""),"Facebook - Do - Retailcampaigning")</f>
        <v>Facebook - Do - Retailcampaigning</v>
      </c>
      <c r="Q93" s="501" t="str">
        <f>IFERROR(__xludf.DUMMYFUNCTION("""COMPUTED_VALUE"""),"Conversie - Conversie")</f>
        <v>Conversie - Conversie</v>
      </c>
      <c r="R93" s="501" t="str">
        <f>IFERROR(__xludf.DUMMYFUNCTION("""COMPUTED_VALUE"""),"Dark")</f>
        <v>Dark</v>
      </c>
      <c r="S93" s="503" t="str">
        <f>IFERROR(__xludf.DUMMYFUNCTION("""COMPUTED_VALUE"""),"")</f>
        <v/>
      </c>
      <c r="T93" s="503" t="str">
        <f>IFERROR(__xludf.DUMMYFUNCTION("""COMPUTED_VALUE"""),"utm_source=facebook&amp;utm_medium=socialmedia&amp;utm_campaign=facebook_-_do_-_retailcampaigning&amp;utm_content=valentijncarousel&amp;referrer=facebook")</f>
        <v>utm_source=facebook&amp;utm_medium=socialmedia&amp;utm_campaign=facebook_-_do_-_retailcampaigning&amp;utm_content=valentijncarousel&amp;referrer=facebook</v>
      </c>
    </row>
    <row r="94">
      <c r="A94" s="501" t="str">
        <f>IFERROR(__xludf.DUMMYFUNCTION("""COMPUTED_VALUE"""),"februari")</f>
        <v>februari</v>
      </c>
      <c r="B94" s="501">
        <f>IFERROR(__xludf.DUMMYFUNCTION("""COMPUTED_VALUE"""),7.0)</f>
        <v>7</v>
      </c>
      <c r="C94" s="501" t="str">
        <f>IFERROR(__xludf.DUMMYFUNCTION("""COMPUTED_VALUE"""),"maandag")</f>
        <v>maandag</v>
      </c>
      <c r="D94" s="502">
        <f>IFERROR(__xludf.DUMMYFUNCTION("""COMPUTED_VALUE"""),43507.0)</f>
        <v>43507</v>
      </c>
      <c r="E94" s="502">
        <f>IFERROR(__xludf.DUMMYFUNCTION("""COMPUTED_VALUE"""),43508.0)</f>
        <v>43508</v>
      </c>
      <c r="F94" s="501" t="str">
        <f>IFERROR(__xludf.DUMMYFUNCTION("""COMPUTED_VALUE"""),"")</f>
        <v/>
      </c>
      <c r="G94" s="503" t="str">
        <f>IFERROR(__xludf.DUMMYFUNCTION("""COMPUTED_VALUE"""),"")</f>
        <v/>
      </c>
      <c r="H94" s="501" t="str">
        <f>IFERROR(__xludf.DUMMYFUNCTION("""COMPUTED_VALUE"""),"Winactie kaarten - wanna date?")</f>
        <v>Winactie kaarten - wanna date?</v>
      </c>
      <c r="I94" s="503" t="str">
        <f>IFERROR(__xludf.DUMMYFUNCTION("""COMPUTED_VALUE"""),"Altijd al cupido willen spelen? ️🏹 Vertel ons welke twee leukerds je samen op date wil sturen! Tien koppels matchen we met deze kaartjes en één stel maakt kans op een avondje gratis dineren 😍
")</f>
        <v>Altijd al cupido willen spelen? ️🏹 Vertel ons welke twee leukerds je samen op date wil sturen! Tien koppels matchen we met deze kaartjes en één stel maakt kans op een avondje gratis dineren 😍
</v>
      </c>
      <c r="J94" s="501" t="str">
        <f>IFERROR(__xludf.DUMMYFUNCTION("""COMPUTED_VALUE"""),"Staat klaar")</f>
        <v>Staat klaar</v>
      </c>
      <c r="K94" s="505" t="str">
        <f>IFERROR(__xludf.DUMMYFUNCTION("""COMPUTED_VALUE""")," Vrouwen 18 - 35 jaar ")</f>
        <v>Vrouwen 18 - 35 jaar</v>
      </c>
      <c r="L94" s="506">
        <f>IFERROR(__xludf.DUMMYFUNCTION("""COMPUTED_VALUE"""),400.0)</f>
        <v>400</v>
      </c>
      <c r="M94" s="504">
        <f>IFERROR(__xludf.DUMMYFUNCTION("""COMPUTED_VALUE"""),2.0)</f>
        <v>2</v>
      </c>
      <c r="N94" s="501" t="str">
        <f>IFERROR(__xludf.DUMMYFUNCTION("""COMPUTED_VALUE"""),"Geven/ontvangen")</f>
        <v>Geven/ontvangen</v>
      </c>
      <c r="O94" s="501" t="str">
        <f>IFERROR(__xludf.DUMMYFUNCTION("""COMPUTED_VALUE"""),"FB + Instagram")</f>
        <v>FB + Instagram</v>
      </c>
      <c r="P94" s="503" t="str">
        <f>IFERROR(__xludf.DUMMYFUNCTION("""COMPUTED_VALUE"""),"Facebook - See - Retailcampaigning &amp; contentkalender")</f>
        <v>Facebook - See - Retailcampaigning &amp; contentkalender</v>
      </c>
      <c r="Q94" s="501" t="str">
        <f>IFERROR(__xludf.DUMMYFUNCTION("""COMPUTED_VALUE"""),"Engagement")</f>
        <v>Engagement</v>
      </c>
      <c r="R94" s="501" t="str">
        <f>IFERROR(__xludf.DUMMYFUNCTION("""COMPUTED_VALUE"""),"Timeline")</f>
        <v>Timeline</v>
      </c>
      <c r="S94" s="503" t="str">
        <f>IFERROR(__xludf.DUMMYFUNCTION("""COMPUTED_VALUE"""),"Kaart in hand, beetje geheime liefde achtig design")</f>
        <v>Kaart in hand, beetje geheime liefde achtig design</v>
      </c>
      <c r="T94" s="503" t="str">
        <f>IFERROR(__xludf.DUMMYFUNCTION("""COMPUTED_VALUE"""),"utm_source=facebook&amp;utm_medium=socialmedia&amp;utm_campaign=facebook_-_see_-_retailcampaigning_&amp;_contentkalender&amp;utm_content=winactiekaarten-wannadate?&amp;referrer=facebook")</f>
        <v>utm_source=facebook&amp;utm_medium=socialmedia&amp;utm_campaign=facebook_-_see_-_retailcampaigning_&amp;_contentkalender&amp;utm_content=winactiekaarten-wannadate?&amp;referrer=facebook</v>
      </c>
    </row>
    <row r="95">
      <c r="A95" s="501" t="str">
        <f>IFERROR(__xludf.DUMMYFUNCTION("""COMPUTED_VALUE"""),"februari")</f>
        <v>februari</v>
      </c>
      <c r="B95" s="501">
        <f>IFERROR(__xludf.DUMMYFUNCTION("""COMPUTED_VALUE"""),7.0)</f>
        <v>7</v>
      </c>
      <c r="C95" s="501" t="str">
        <f>IFERROR(__xludf.DUMMYFUNCTION("""COMPUTED_VALUE"""),"dinsdag")</f>
        <v>dinsdag</v>
      </c>
      <c r="D95" s="502">
        <f>IFERROR(__xludf.DUMMYFUNCTION("""COMPUTED_VALUE"""),43508.0)</f>
        <v>43508</v>
      </c>
      <c r="E95" s="502">
        <f>IFERROR(__xludf.DUMMYFUNCTION("""COMPUTED_VALUE"""),43508.0)</f>
        <v>43508</v>
      </c>
      <c r="F95" s="501" t="str">
        <f>IFERROR(__xludf.DUMMYFUNCTION("""COMPUTED_VALUE"""),"")</f>
        <v/>
      </c>
      <c r="G95" s="503" t="str">
        <f>IFERROR(__xludf.DUMMYFUNCTION("""COMPUTED_VALUE"""),"")</f>
        <v/>
      </c>
      <c r="H95" s="501" t="str">
        <f>IFERROR(__xludf.DUMMYFUNCTION("""COMPUTED_VALUE"""),"Meet the Greetz")</f>
        <v>Meet the Greetz</v>
      </c>
      <c r="I95" s="503" t="str">
        <f>IFERROR(__xludf.DUMMYFUNCTION("""COMPUTED_VALUE"""),"Meet the Greetz Simone")</f>
        <v>Meet the Greetz Simone</v>
      </c>
      <c r="J95" s="501" t="str">
        <f>IFERROR(__xludf.DUMMYFUNCTION("""COMPUTED_VALUE"""),"Staat klaar")</f>
        <v>Staat klaar</v>
      </c>
      <c r="K95" s="503" t="str">
        <f>IFERROR(__xludf.DUMMYFUNCTION("""COMPUTED_VALUE"""),"")</f>
        <v/>
      </c>
      <c r="L95" s="501" t="str">
        <f>IFERROR(__xludf.DUMMYFUNCTION("""COMPUTED_VALUE"""),"")</f>
        <v/>
      </c>
      <c r="M95" s="504">
        <f>IFERROR(__xludf.DUMMYFUNCTION("""COMPUTED_VALUE"""),1.0)</f>
        <v>1</v>
      </c>
      <c r="N95" s="501" t="str">
        <f>IFERROR(__xludf.DUMMYFUNCTION("""COMPUTED_VALUE"""),"Merk")</f>
        <v>Merk</v>
      </c>
      <c r="O95" s="501" t="str">
        <f>IFERROR(__xludf.DUMMYFUNCTION("""COMPUTED_VALUE"""),"Instagram Feed")</f>
        <v>Instagram Feed</v>
      </c>
      <c r="P95" s="503" t="str">
        <f>IFERROR(__xludf.DUMMYFUNCTION("""COMPUTED_VALUE"""),"")</f>
        <v/>
      </c>
      <c r="Q95" s="501" t="str">
        <f>IFERROR(__xludf.DUMMYFUNCTION("""COMPUTED_VALUE"""),"")</f>
        <v/>
      </c>
      <c r="R95" s="501" t="str">
        <f>IFERROR(__xludf.DUMMYFUNCTION("""COMPUTED_VALUE"""),"")</f>
        <v/>
      </c>
      <c r="S95" s="503" t="str">
        <f>IFERROR(__xludf.DUMMYFUNCTION("""COMPUTED_VALUE"""),"")</f>
        <v/>
      </c>
      <c r="T95" s="503" t="str">
        <f>IFERROR(__xludf.DUMMYFUNCTION("""COMPUTED_VALUE"""),"utm_source=facebook&amp;utm_medium=socialmedia&amp;utm_campaign=&amp;utm_content=meetthegreetz&amp;referrer=facebook")</f>
        <v>utm_source=facebook&amp;utm_medium=socialmedia&amp;utm_campaign=&amp;utm_content=meetthegreetz&amp;referrer=facebook</v>
      </c>
    </row>
    <row r="96">
      <c r="A96" s="501" t="str">
        <f>IFERROR(__xludf.DUMMYFUNCTION("""COMPUTED_VALUE"""),"februari")</f>
        <v>februari</v>
      </c>
      <c r="B96" s="501">
        <f>IFERROR(__xludf.DUMMYFUNCTION("""COMPUTED_VALUE"""),7.0)</f>
        <v>7</v>
      </c>
      <c r="C96" s="501" t="str">
        <f>IFERROR(__xludf.DUMMYFUNCTION("""COMPUTED_VALUE"""),"dinsdag")</f>
        <v>dinsdag</v>
      </c>
      <c r="D96" s="502">
        <f>IFERROR(__xludf.DUMMYFUNCTION("""COMPUTED_VALUE"""),43508.0)</f>
        <v>43508</v>
      </c>
      <c r="E96" s="502">
        <f>IFERROR(__xludf.DUMMYFUNCTION("""COMPUTED_VALUE"""),43508.0)</f>
        <v>43508</v>
      </c>
      <c r="F96" s="501" t="str">
        <f>IFERROR(__xludf.DUMMYFUNCTION("""COMPUTED_VALUE"""),"")</f>
        <v/>
      </c>
      <c r="G96" s="503" t="str">
        <f>IFERROR(__xludf.DUMMYFUNCTION("""COMPUTED_VALUE"""),"")</f>
        <v/>
      </c>
      <c r="H96" s="501" t="str">
        <f>IFERROR(__xludf.DUMMYFUNCTION("""COMPUTED_VALUE"""),"Live video fulfilment")</f>
        <v>Live video fulfilment</v>
      </c>
      <c r="I96" s="503" t="str">
        <f>IFERROR(__xludf.DUMMYFUNCTION("""COMPUTED_VALUE"""),"")</f>
        <v/>
      </c>
      <c r="J96" s="501" t="str">
        <f>IFERROR(__xludf.DUMMYFUNCTION("""COMPUTED_VALUE"""),"")</f>
        <v/>
      </c>
      <c r="K96" s="503" t="str">
        <f>IFERROR(__xludf.DUMMYFUNCTION("""COMPUTED_VALUE"""),"")</f>
        <v/>
      </c>
      <c r="L96" s="501" t="str">
        <f>IFERROR(__xludf.DUMMYFUNCTION("""COMPUTED_VALUE"""),"")</f>
        <v/>
      </c>
      <c r="M96" s="504">
        <f>IFERROR(__xludf.DUMMYFUNCTION("""COMPUTED_VALUE"""),1.0)</f>
        <v>1</v>
      </c>
      <c r="N96" s="501" t="str">
        <f>IFERROR(__xludf.DUMMYFUNCTION("""COMPUTED_VALUE"""),"Merk")</f>
        <v>Merk</v>
      </c>
      <c r="O96" s="501" t="str">
        <f>IFERROR(__xludf.DUMMYFUNCTION("""COMPUTED_VALUE"""),"Instagram Stories")</f>
        <v>Instagram Stories</v>
      </c>
      <c r="P96" s="503" t="str">
        <f>IFERROR(__xludf.DUMMYFUNCTION("""COMPUTED_VALUE"""),"")</f>
        <v/>
      </c>
      <c r="Q96" s="501" t="str">
        <f>IFERROR(__xludf.DUMMYFUNCTION("""COMPUTED_VALUE"""),"")</f>
        <v/>
      </c>
      <c r="R96" s="501" t="str">
        <f>IFERROR(__xludf.DUMMYFUNCTION("""COMPUTED_VALUE"""),"Timeline")</f>
        <v>Timeline</v>
      </c>
      <c r="S96" s="503" t="str">
        <f>IFERROR(__xludf.DUMMYFUNCTION("""COMPUTED_VALUE"""),"Live video van fulfilment: lopende band / ballonnen opblazen /  cadeautjes inpakken")</f>
        <v>Live video van fulfilment: lopende band / ballonnen opblazen /  cadeautjes inpakken</v>
      </c>
      <c r="T96" s="503" t="str">
        <f>IFERROR(__xludf.DUMMYFUNCTION("""COMPUTED_VALUE"""),"utm_source=facebook&amp;utm_medium=socialmedia&amp;utm_campaign=&amp;utm_content=livevideofulfilment&amp;referrer=facebook")</f>
        <v>utm_source=facebook&amp;utm_medium=socialmedia&amp;utm_campaign=&amp;utm_content=livevideofulfilment&amp;referrer=facebook</v>
      </c>
    </row>
    <row r="97">
      <c r="A97" s="501" t="str">
        <f>IFERROR(__xludf.DUMMYFUNCTION("""COMPUTED_VALUE"""),"februari")</f>
        <v>februari</v>
      </c>
      <c r="B97" s="501">
        <f>IFERROR(__xludf.DUMMYFUNCTION("""COMPUTED_VALUE"""),7.0)</f>
        <v>7</v>
      </c>
      <c r="C97" s="501" t="str">
        <f>IFERROR(__xludf.DUMMYFUNCTION("""COMPUTED_VALUE"""),"woensdag")</f>
        <v>woensdag</v>
      </c>
      <c r="D97" s="502">
        <f>IFERROR(__xludf.DUMMYFUNCTION("""COMPUTED_VALUE"""),43509.0)</f>
        <v>43509</v>
      </c>
      <c r="E97" s="502">
        <f>IFERROR(__xludf.DUMMYFUNCTION("""COMPUTED_VALUE"""),43509.0)</f>
        <v>43509</v>
      </c>
      <c r="F97" s="501" t="str">
        <f>IFERROR(__xludf.DUMMYFUNCTION("""COMPUTED_VALUE"""),"")</f>
        <v/>
      </c>
      <c r="G97" s="503" t="str">
        <f>IFERROR(__xludf.DUMMYFUNCTION("""COMPUTED_VALUE"""),"")</f>
        <v/>
      </c>
      <c r="H97" s="501" t="str">
        <f>IFERROR(__xludf.DUMMYFUNCTION("""COMPUTED_VALUE"""),"")</f>
        <v/>
      </c>
      <c r="I97" s="503" t="str">
        <f>IFERROR(__xludf.DUMMYFUNCTION("""COMPUTED_VALUE"""),"")</f>
        <v/>
      </c>
      <c r="J97" s="501" t="str">
        <f>IFERROR(__xludf.DUMMYFUNCTION("""COMPUTED_VALUE"""),"")</f>
        <v/>
      </c>
      <c r="K97" s="503" t="str">
        <f>IFERROR(__xludf.DUMMYFUNCTION("""COMPUTED_VALUE"""),"")</f>
        <v/>
      </c>
      <c r="L97" s="501" t="str">
        <f>IFERROR(__xludf.DUMMYFUNCTION("""COMPUTED_VALUE"""),"")</f>
        <v/>
      </c>
      <c r="M97" s="504">
        <f>IFERROR(__xludf.DUMMYFUNCTION("""COMPUTED_VALUE"""),1.0)</f>
        <v>1</v>
      </c>
      <c r="N97" s="501" t="str">
        <f>IFERROR(__xludf.DUMMYFUNCTION("""COMPUTED_VALUE"""),"")</f>
        <v/>
      </c>
      <c r="O97" s="501" t="str">
        <f>IFERROR(__xludf.DUMMYFUNCTION("""COMPUTED_VALUE"""),"")</f>
        <v/>
      </c>
      <c r="P97" s="503" t="str">
        <f>IFERROR(__xludf.DUMMYFUNCTION("""COMPUTED_VALUE"""),"")</f>
        <v/>
      </c>
      <c r="Q97" s="501" t="str">
        <f>IFERROR(__xludf.DUMMYFUNCTION("""COMPUTED_VALUE"""),"")</f>
        <v/>
      </c>
      <c r="R97" s="501" t="str">
        <f>IFERROR(__xludf.DUMMYFUNCTION("""COMPUTED_VALUE"""),"")</f>
        <v/>
      </c>
      <c r="S97" s="503" t="str">
        <f>IFERROR(__xludf.DUMMYFUNCTION("""COMPUTED_VALUE"""),"")</f>
        <v/>
      </c>
      <c r="T97" s="503" t="str">
        <f>IFERROR(__xludf.DUMMYFUNCTION("""COMPUTED_VALUE"""),"utm_source=facebook&amp;utm_medium=socialmedia&amp;utm_campaign=&amp;utm_content=&amp;referrer=facebook")</f>
        <v>utm_source=facebook&amp;utm_medium=socialmedia&amp;utm_campaign=&amp;utm_content=&amp;referrer=facebook</v>
      </c>
    </row>
    <row r="98">
      <c r="A98" s="501" t="str">
        <f>IFERROR(__xludf.DUMMYFUNCTION("""COMPUTED_VALUE"""),"februari")</f>
        <v>februari</v>
      </c>
      <c r="B98" s="501">
        <f>IFERROR(__xludf.DUMMYFUNCTION("""COMPUTED_VALUE"""),7.0)</f>
        <v>7</v>
      </c>
      <c r="C98" s="501" t="str">
        <f>IFERROR(__xludf.DUMMYFUNCTION("""COMPUTED_VALUE"""),"donderdag")</f>
        <v>donderdag</v>
      </c>
      <c r="D98" s="502">
        <f>IFERROR(__xludf.DUMMYFUNCTION("""COMPUTED_VALUE"""),43510.0)</f>
        <v>43510</v>
      </c>
      <c r="E98" s="502">
        <f>IFERROR(__xludf.DUMMYFUNCTION("""COMPUTED_VALUE"""),43510.0)</f>
        <v>43510</v>
      </c>
      <c r="F98" s="501" t="str">
        <f>IFERROR(__xludf.DUMMYFUNCTION("""COMPUTED_VALUE"""),"")</f>
        <v/>
      </c>
      <c r="G98" s="503" t="str">
        <f>IFERROR(__xludf.DUMMYFUNCTION("""COMPUTED_VALUE"""),"")</f>
        <v/>
      </c>
      <c r="H98" s="501" t="str">
        <f>IFERROR(__xludf.DUMMYFUNCTION("""COMPUTED_VALUE"""),"Valentijn")</f>
        <v>Valentijn</v>
      </c>
      <c r="I98" s="503" t="str">
        <f>IFERROR(__xludf.DUMMYFUNCTION("""COMPUTED_VALUE"""),"")</f>
        <v/>
      </c>
      <c r="J98" s="501" t="str">
        <f>IFERROR(__xludf.DUMMYFUNCTION("""COMPUTED_VALUE"""),"")</f>
        <v/>
      </c>
      <c r="K98" s="503" t="str">
        <f>IFERROR(__xludf.DUMMYFUNCTION("""COMPUTED_VALUE"""),"")</f>
        <v/>
      </c>
      <c r="L98" s="501" t="str">
        <f>IFERROR(__xludf.DUMMYFUNCTION("""COMPUTED_VALUE"""),"")</f>
        <v/>
      </c>
      <c r="M98" s="504">
        <f>IFERROR(__xludf.DUMMYFUNCTION("""COMPUTED_VALUE"""),1.0)</f>
        <v>1</v>
      </c>
      <c r="N98" s="501" t="str">
        <f>IFERROR(__xludf.DUMMYFUNCTION("""COMPUTED_VALUE"""),"")</f>
        <v/>
      </c>
      <c r="O98" s="501" t="str">
        <f>IFERROR(__xludf.DUMMYFUNCTION("""COMPUTED_VALUE"""),"")</f>
        <v/>
      </c>
      <c r="P98" s="503" t="str">
        <f>IFERROR(__xludf.DUMMYFUNCTION("""COMPUTED_VALUE"""),"")</f>
        <v/>
      </c>
      <c r="Q98" s="501" t="str">
        <f>IFERROR(__xludf.DUMMYFUNCTION("""COMPUTED_VALUE"""),"")</f>
        <v/>
      </c>
      <c r="R98" s="501" t="str">
        <f>IFERROR(__xludf.DUMMYFUNCTION("""COMPUTED_VALUE"""),"")</f>
        <v/>
      </c>
      <c r="S98" s="503" t="str">
        <f>IFERROR(__xludf.DUMMYFUNCTION("""COMPUTED_VALUE"""),"")</f>
        <v/>
      </c>
      <c r="T98" s="503" t="str">
        <f>IFERROR(__xludf.DUMMYFUNCTION("""COMPUTED_VALUE"""),"utm_source=facebook&amp;utm_medium=socialmedia&amp;utm_campaign=&amp;utm_content=valentijn&amp;referrer=facebook")</f>
        <v>utm_source=facebook&amp;utm_medium=socialmedia&amp;utm_campaign=&amp;utm_content=valentijn&amp;referrer=facebook</v>
      </c>
    </row>
    <row r="99">
      <c r="A99" s="501" t="str">
        <f>IFERROR(__xludf.DUMMYFUNCTION("""COMPUTED_VALUE"""),"februari")</f>
        <v>februari</v>
      </c>
      <c r="B99" s="501">
        <f>IFERROR(__xludf.DUMMYFUNCTION("""COMPUTED_VALUE"""),7.0)</f>
        <v>7</v>
      </c>
      <c r="C99" s="501" t="str">
        <f>IFERROR(__xludf.DUMMYFUNCTION("""COMPUTED_VALUE"""),"vrijdag")</f>
        <v>vrijdag</v>
      </c>
      <c r="D99" s="502">
        <f>IFERROR(__xludf.DUMMYFUNCTION("""COMPUTED_VALUE"""),43511.0)</f>
        <v>43511</v>
      </c>
      <c r="E99" s="502">
        <f>IFERROR(__xludf.DUMMYFUNCTION("""COMPUTED_VALUE"""),43511.0)</f>
        <v>43511</v>
      </c>
      <c r="F99" s="501" t="str">
        <f>IFERROR(__xludf.DUMMYFUNCTION("""COMPUTED_VALUE"""),"Vriendschap")</f>
        <v>Vriendschap</v>
      </c>
      <c r="G99" s="503" t="str">
        <f>IFERROR(__xludf.DUMMYFUNCTION("""COMPUTED_VALUE"""),"")</f>
        <v/>
      </c>
      <c r="H99" s="501" t="str">
        <f>IFERROR(__xludf.DUMMYFUNCTION("""COMPUTED_VALUE"""),"Verrassing vrijdag ")</f>
        <v>Verrassing vrijdag </v>
      </c>
      <c r="I99" s="503" t="str">
        <f>IFERROR(__xludf.DUMMYFUNCTION("""COMPUTED_VALUE"""),"Vriendschap moet je vieren! Verras jouw beste vriend of vriendin met een van deze vriendelijke cadeaus")</f>
        <v>Vriendschap moet je vieren! Verras jouw beste vriend of vriendin met een van deze vriendelijke cadeaus</v>
      </c>
      <c r="J99" s="501" t="str">
        <f>IFERROR(__xludf.DUMMYFUNCTION("""COMPUTED_VALUE"""),"Staat klaar")</f>
        <v>Staat klaar</v>
      </c>
      <c r="K99" s="503" t="str">
        <f>IFERROR(__xludf.DUMMYFUNCTION("""COMPUTED_VALUE"""),"")</f>
        <v/>
      </c>
      <c r="L99" s="501" t="str">
        <f>IFERROR(__xludf.DUMMYFUNCTION("""COMPUTED_VALUE"""),"")</f>
        <v/>
      </c>
      <c r="M99" s="504">
        <f>IFERROR(__xludf.DUMMYFUNCTION("""COMPUTED_VALUE"""),1.0)</f>
        <v>1</v>
      </c>
      <c r="N99" s="501" t="str">
        <f>IFERROR(__xludf.DUMMYFUNCTION("""COMPUTED_VALUE"""),"Product")</f>
        <v>Product</v>
      </c>
      <c r="O99" s="501" t="str">
        <f>IFERROR(__xludf.DUMMYFUNCTION("""COMPUTED_VALUE"""),"Instagram Feed")</f>
        <v>Instagram Feed</v>
      </c>
      <c r="P99" s="503" t="str">
        <f>IFERROR(__xludf.DUMMYFUNCTION("""COMPUTED_VALUE"""),"")</f>
        <v/>
      </c>
      <c r="Q99" s="501" t="str">
        <f>IFERROR(__xludf.DUMMYFUNCTION("""COMPUTED_VALUE"""),"")</f>
        <v/>
      </c>
      <c r="R99" s="501" t="str">
        <f>IFERROR(__xludf.DUMMYFUNCTION("""COMPUTED_VALUE"""),"Timeline")</f>
        <v>Timeline</v>
      </c>
      <c r="S99" s="503" t="str">
        <f>IFERROR(__xludf.DUMMYFUNCTION("""COMPUTED_VALUE"""),"Carrousel van meerdere producten met het thema 'vriendschap'")</f>
        <v>Carrousel van meerdere producten met het thema 'vriendschap'</v>
      </c>
      <c r="T99"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100">
      <c r="A100" s="501" t="str">
        <f>IFERROR(__xludf.DUMMYFUNCTION("""COMPUTED_VALUE"""),"februari")</f>
        <v>februari</v>
      </c>
      <c r="B100" s="501">
        <f>IFERROR(__xludf.DUMMYFUNCTION("""COMPUTED_VALUE"""),7.0)</f>
        <v>7</v>
      </c>
      <c r="C100" s="501" t="str">
        <f>IFERROR(__xludf.DUMMYFUNCTION("""COMPUTED_VALUE"""),"zaterdag")</f>
        <v>zaterdag</v>
      </c>
      <c r="D100" s="502">
        <f>IFERROR(__xludf.DUMMYFUNCTION("""COMPUTED_VALUE"""),43512.0)</f>
        <v>43512</v>
      </c>
      <c r="E100" s="502">
        <f>IFERROR(__xludf.DUMMYFUNCTION("""COMPUTED_VALUE"""),43512.0)</f>
        <v>43512</v>
      </c>
      <c r="F100" s="501" t="str">
        <f>IFERROR(__xludf.DUMMYFUNCTION("""COMPUTED_VALUE"""),"")</f>
        <v/>
      </c>
      <c r="G100" s="503" t="str">
        <f>IFERROR(__xludf.DUMMYFUNCTION("""COMPUTED_VALUE"""),"")</f>
        <v/>
      </c>
      <c r="H100" s="501" t="str">
        <f>IFERROR(__xludf.DUMMYFUNCTION("""COMPUTED_VALUE"""),"Greetzmoment")</f>
        <v>Greetzmoment</v>
      </c>
      <c r="I100" s="503" t="str">
        <f>IFERROR(__xludf.DUMMYFUNCTION("""COMPUTED_VALUE"""),"")</f>
        <v/>
      </c>
      <c r="J100" s="501" t="str">
        <f>IFERROR(__xludf.DUMMYFUNCTION("""COMPUTED_VALUE"""),"")</f>
        <v/>
      </c>
      <c r="K100" s="503" t="str">
        <f>IFERROR(__xludf.DUMMYFUNCTION("""COMPUTED_VALUE"""),"")</f>
        <v/>
      </c>
      <c r="L100" s="501" t="str">
        <f>IFERROR(__xludf.DUMMYFUNCTION("""COMPUTED_VALUE"""),"")</f>
        <v/>
      </c>
      <c r="M100" s="504">
        <f>IFERROR(__xludf.DUMMYFUNCTION("""COMPUTED_VALUE"""),1.0)</f>
        <v>1</v>
      </c>
      <c r="N100" s="501" t="str">
        <f>IFERROR(__xludf.DUMMYFUNCTION("""COMPUTED_VALUE"""),"Geven/ontvangen")</f>
        <v>Geven/ontvangen</v>
      </c>
      <c r="O100" s="501" t="str">
        <f>IFERROR(__xludf.DUMMYFUNCTION("""COMPUTED_VALUE"""),"Instagram Stories")</f>
        <v>Instagram Stories</v>
      </c>
      <c r="P100" s="503" t="str">
        <f>IFERROR(__xludf.DUMMYFUNCTION("""COMPUTED_VALUE"""),"")</f>
        <v/>
      </c>
      <c r="Q100" s="501" t="str">
        <f>IFERROR(__xludf.DUMMYFUNCTION("""COMPUTED_VALUE"""),"")</f>
        <v/>
      </c>
      <c r="R100" s="501" t="str">
        <f>IFERROR(__xludf.DUMMYFUNCTION("""COMPUTED_VALUE"""),"Timeline")</f>
        <v>Timeline</v>
      </c>
      <c r="S100" s="503" t="str">
        <f>IFERROR(__xludf.DUMMYFUNCTION("""COMPUTED_VALUE"""),"Greetzmoment met Valentijnsthema")</f>
        <v>Greetzmoment met Valentijnsthema</v>
      </c>
      <c r="T100" s="503" t="str">
        <f>IFERROR(__xludf.DUMMYFUNCTION("""COMPUTED_VALUE"""),"utm_source=facebook&amp;utm_medium=socialmedia&amp;utm_campaign=&amp;utm_content=greetzmoment&amp;referrer=facebook")</f>
        <v>utm_source=facebook&amp;utm_medium=socialmedia&amp;utm_campaign=&amp;utm_content=greetzmoment&amp;referrer=facebook</v>
      </c>
    </row>
    <row r="101">
      <c r="A101" s="501" t="str">
        <f>IFERROR(__xludf.DUMMYFUNCTION("""COMPUTED_VALUE"""),"februari")</f>
        <v>februari</v>
      </c>
      <c r="B101" s="501">
        <f>IFERROR(__xludf.DUMMYFUNCTION("""COMPUTED_VALUE"""),8.0)</f>
        <v>8</v>
      </c>
      <c r="C101" s="501" t="str">
        <f>IFERROR(__xludf.DUMMYFUNCTION("""COMPUTED_VALUE"""),"zondag")</f>
        <v>zondag</v>
      </c>
      <c r="D101" s="502">
        <f>IFERROR(__xludf.DUMMYFUNCTION("""COMPUTED_VALUE"""),43513.0)</f>
        <v>43513</v>
      </c>
      <c r="E101" s="502">
        <f>IFERROR(__xludf.DUMMYFUNCTION("""COMPUTED_VALUE"""),43513.0)</f>
        <v>43513</v>
      </c>
      <c r="F101" s="501" t="str">
        <f>IFERROR(__xludf.DUMMYFUNCTION("""COMPUTED_VALUE"""),"")</f>
        <v/>
      </c>
      <c r="G101" s="503" t="str">
        <f>IFERROR(__xludf.DUMMYFUNCTION("""COMPUTED_VALUE"""),"")</f>
        <v/>
      </c>
      <c r="H101" s="501" t="str">
        <f>IFERROR(__xludf.DUMMYFUNCTION("""COMPUTED_VALUE"""),"Doe vriendelijk dag")</f>
        <v>Doe vriendelijk dag</v>
      </c>
      <c r="I101" s="503" t="str">
        <f>IFERROR(__xludf.DUMMYFUNCTION("""COMPUTED_VALUE"""),"")</f>
        <v/>
      </c>
      <c r="J101" s="501" t="str">
        <f>IFERROR(__xludf.DUMMYFUNCTION("""COMPUTED_VALUE"""),"")</f>
        <v/>
      </c>
      <c r="K101" s="503" t="str">
        <f>IFERROR(__xludf.DUMMYFUNCTION("""COMPUTED_VALUE"""),"")</f>
        <v/>
      </c>
      <c r="L101" s="501" t="str">
        <f>IFERROR(__xludf.DUMMYFUNCTION("""COMPUTED_VALUE"""),"")</f>
        <v/>
      </c>
      <c r="M101" s="504">
        <f>IFERROR(__xludf.DUMMYFUNCTION("""COMPUTED_VALUE"""),1.0)</f>
        <v>1</v>
      </c>
      <c r="N101" s="501" t="str">
        <f>IFERROR(__xludf.DUMMYFUNCTION("""COMPUTED_VALUE"""),"")</f>
        <v/>
      </c>
      <c r="O101" s="501" t="str">
        <f>IFERROR(__xludf.DUMMYFUNCTION("""COMPUTED_VALUE"""),"")</f>
        <v/>
      </c>
      <c r="P101" s="503" t="str">
        <f>IFERROR(__xludf.DUMMYFUNCTION("""COMPUTED_VALUE"""),"")</f>
        <v/>
      </c>
      <c r="Q101" s="501" t="str">
        <f>IFERROR(__xludf.DUMMYFUNCTION("""COMPUTED_VALUE"""),"")</f>
        <v/>
      </c>
      <c r="R101" s="501" t="str">
        <f>IFERROR(__xludf.DUMMYFUNCTION("""COMPUTED_VALUE"""),"")</f>
        <v/>
      </c>
      <c r="S101" s="503" t="str">
        <f>IFERROR(__xludf.DUMMYFUNCTION("""COMPUTED_VALUE"""),"")</f>
        <v/>
      </c>
      <c r="T101" s="503" t="str">
        <f>IFERROR(__xludf.DUMMYFUNCTION("""COMPUTED_VALUE"""),"utm_source=facebook&amp;utm_medium=socialmedia&amp;utm_campaign=&amp;utm_content=doevriendelijkdag&amp;referrer=facebook")</f>
        <v>utm_source=facebook&amp;utm_medium=socialmedia&amp;utm_campaign=&amp;utm_content=doevriendelijkdag&amp;referrer=facebook</v>
      </c>
    </row>
    <row r="102">
      <c r="A102" s="501" t="str">
        <f>IFERROR(__xludf.DUMMYFUNCTION("""COMPUTED_VALUE"""),"februari")</f>
        <v>februari</v>
      </c>
      <c r="B102" s="501">
        <f>IFERROR(__xludf.DUMMYFUNCTION("""COMPUTED_VALUE"""),8.0)</f>
        <v>8</v>
      </c>
      <c r="C102" s="501" t="str">
        <f>IFERROR(__xludf.DUMMYFUNCTION("""COMPUTED_VALUE"""),"maandag")</f>
        <v>maandag</v>
      </c>
      <c r="D102" s="502">
        <f>IFERROR(__xludf.DUMMYFUNCTION("""COMPUTED_VALUE"""),43514.0)</f>
        <v>43514</v>
      </c>
      <c r="E102" s="502">
        <f>IFERROR(__xludf.DUMMYFUNCTION("""COMPUTED_VALUE"""),43514.0)</f>
        <v>43514</v>
      </c>
      <c r="F102" s="501" t="str">
        <f>IFERROR(__xludf.DUMMYFUNCTION("""COMPUTED_VALUE"""),"")</f>
        <v/>
      </c>
      <c r="G102" s="503" t="str">
        <f>IFERROR(__xludf.DUMMYFUNCTION("""COMPUTED_VALUE"""),"1+1 gratis kaart")</f>
        <v>1+1 gratis kaart</v>
      </c>
      <c r="H102" s="501" t="str">
        <f>IFERROR(__xludf.DUMMYFUNCTION("""COMPUTED_VALUE"""),"Drink wijn dag ")</f>
        <v>Drink wijn dag </v>
      </c>
      <c r="I102" s="503" t="str">
        <f>IFERROR(__xludf.DUMMYFUNCTION("""COMPUTED_VALUE"""),"")</f>
        <v/>
      </c>
      <c r="J102" s="501" t="str">
        <f>IFERROR(__xludf.DUMMYFUNCTION("""COMPUTED_VALUE"""),"")</f>
        <v/>
      </c>
      <c r="K102" s="503" t="str">
        <f>IFERROR(__xludf.DUMMYFUNCTION("""COMPUTED_VALUE"""),"")</f>
        <v/>
      </c>
      <c r="L102" s="501" t="str">
        <f>IFERROR(__xludf.DUMMYFUNCTION("""COMPUTED_VALUE"""),"")</f>
        <v/>
      </c>
      <c r="M102" s="504">
        <f>IFERROR(__xludf.DUMMYFUNCTION("""COMPUTED_VALUE"""),1.0)</f>
        <v>1</v>
      </c>
      <c r="N102" s="501" t="str">
        <f>IFERROR(__xludf.DUMMYFUNCTION("""COMPUTED_VALUE"""),"")</f>
        <v/>
      </c>
      <c r="O102" s="501" t="str">
        <f>IFERROR(__xludf.DUMMYFUNCTION("""COMPUTED_VALUE"""),"")</f>
        <v/>
      </c>
      <c r="P102" s="503" t="str">
        <f>IFERROR(__xludf.DUMMYFUNCTION("""COMPUTED_VALUE"""),"")</f>
        <v/>
      </c>
      <c r="Q102" s="501" t="str">
        <f>IFERROR(__xludf.DUMMYFUNCTION("""COMPUTED_VALUE"""),"")</f>
        <v/>
      </c>
      <c r="R102" s="501" t="str">
        <f>IFERROR(__xludf.DUMMYFUNCTION("""COMPUTED_VALUE"""),"")</f>
        <v/>
      </c>
      <c r="S102" s="503" t="str">
        <f>IFERROR(__xludf.DUMMYFUNCTION("""COMPUTED_VALUE"""),"")</f>
        <v/>
      </c>
      <c r="T102" s="503" t="str">
        <f>IFERROR(__xludf.DUMMYFUNCTION("""COMPUTED_VALUE"""),"utm_source=facebook&amp;utm_medium=socialmedia&amp;utm_campaign=&amp;utm_content=drinkwijndag&amp;referrer=facebook")</f>
        <v>utm_source=facebook&amp;utm_medium=socialmedia&amp;utm_campaign=&amp;utm_content=drinkwijndag&amp;referrer=facebook</v>
      </c>
    </row>
    <row r="103">
      <c r="A103" s="501" t="str">
        <f>IFERROR(__xludf.DUMMYFUNCTION("""COMPUTED_VALUE"""),"februari")</f>
        <v>februari</v>
      </c>
      <c r="B103" s="501">
        <f>IFERROR(__xludf.DUMMYFUNCTION("""COMPUTED_VALUE"""),7.0)</f>
        <v>7</v>
      </c>
      <c r="C103" s="501" t="str">
        <f>IFERROR(__xludf.DUMMYFUNCTION("""COMPUTED_VALUE"""),"maandag")</f>
        <v>maandag</v>
      </c>
      <c r="D103" s="502">
        <f>IFERROR(__xludf.DUMMYFUNCTION("""COMPUTED_VALUE"""),43514.0)</f>
        <v>43514</v>
      </c>
      <c r="E103" s="502">
        <f>IFERROR(__xludf.DUMMYFUNCTION("""COMPUTED_VALUE"""),43516.0)</f>
        <v>43516</v>
      </c>
      <c r="F103" s="501" t="str">
        <f>IFERROR(__xludf.DUMMYFUNCTION("""COMPUTED_VALUE"""),"")</f>
        <v/>
      </c>
      <c r="G103" s="503" t="str">
        <f>IFERROR(__xludf.DUMMYFUNCTION("""COMPUTED_VALUE"""),"")</f>
        <v/>
      </c>
      <c r="H103" s="501" t="str">
        <f>IFERROR(__xludf.DUMMYFUNCTION("""COMPUTED_VALUE"""),"Winactie: BBQ boek")</f>
        <v>Winactie: BBQ boek</v>
      </c>
      <c r="I103" s="503" t="str">
        <f>IFERROR(__xludf.DUMMYFUNCTION("""COMPUTED_VALUE"""),"Greetz verklaart het barbecueseizoen voor geopend 😉 En speciaal daarom geven wij 10 van onze 'Smokey Goodness - Winter BBQ' boeken weg 🍴😍 Gesigneerd door barbecue-wereldkampioen Jord Althuizen himself! Vertel ons wie je wil verrassen en maak kans. http"&amp;"://bit.ly/greetz-winterbbq
")</f>
        <v>Greetz verklaart het barbecueseizoen voor geopend 😉 En speciaal daarom geven wij 10 van onze 'Smokey Goodness - Winter BBQ' boeken weg 🍴😍 Gesigneerd door barbecue-wereldkampioen Jord Althuizen himself! Vertel ons wie je wil verrassen en maak kans. http://bit.ly/greetz-winterbbq
</v>
      </c>
      <c r="J103" s="501" t="str">
        <f>IFERROR(__xludf.DUMMYFUNCTION("""COMPUTED_VALUE"""),"Staat klaar")</f>
        <v>Staat klaar</v>
      </c>
      <c r="K103" s="505" t="str">
        <f>IFERROR(__xludf.DUMMYFUNCTION("""COMPUTED_VALUE""")," Mannen en vrouwen van 25 - 45 jaar ")</f>
        <v>Mannen en vrouwen van 25 - 45 jaar</v>
      </c>
      <c r="L103" s="506">
        <f>IFERROR(__xludf.DUMMYFUNCTION("""COMPUTED_VALUE"""),400.0)</f>
        <v>400</v>
      </c>
      <c r="M103" s="501" t="str">
        <f>IFERROR(__xludf.DUMMYFUNCTION("""COMPUTED_VALUE"""),"")</f>
        <v/>
      </c>
      <c r="N103" s="501" t="str">
        <f>IFERROR(__xludf.DUMMYFUNCTION("""COMPUTED_VALUE"""),"Geven/Ontvangen")</f>
        <v>Geven/Ontvangen</v>
      </c>
      <c r="O103" s="501" t="str">
        <f>IFERROR(__xludf.DUMMYFUNCTION("""COMPUTED_VALUE"""),"Facebook")</f>
        <v>Facebook</v>
      </c>
      <c r="P103" s="503" t="str">
        <f>IFERROR(__xludf.DUMMYFUNCTION("""COMPUTED_VALUE"""),"Facebook - See - Retailcampaigning &amp; contentkalender")</f>
        <v>Facebook - See - Retailcampaigning &amp; contentkalender</v>
      </c>
      <c r="Q103" s="501" t="str">
        <f>IFERROR(__xludf.DUMMYFUNCTION("""COMPUTED_VALUE"""),"Engagement")</f>
        <v>Engagement</v>
      </c>
      <c r="R103" s="501" t="str">
        <f>IFERROR(__xludf.DUMMYFUNCTION("""COMPUTED_VALUE"""),"Timeline")</f>
        <v>Timeline</v>
      </c>
      <c r="S103" s="503" t="str">
        <f>IFERROR(__xludf.DUMMYFUNCTION("""COMPUTED_VALUE"""),"Video Terence")</f>
        <v>Video Terence</v>
      </c>
      <c r="T103" s="503" t="str">
        <f>IFERROR(__xludf.DUMMYFUNCTION("""COMPUTED_VALUE"""),"utm_source=facebook&amp;utm_medium=socialmedia&amp;utm_campaign=facebook_-_see_-_retailcampaigning_&amp;_contentkalender&amp;utm_content=winactie:bbqboek&amp;referrer=facebook")</f>
        <v>utm_source=facebook&amp;utm_medium=socialmedia&amp;utm_campaign=facebook_-_see_-_retailcampaigning_&amp;_contentkalender&amp;utm_content=winactie:bbqboek&amp;referrer=facebook</v>
      </c>
    </row>
    <row r="104">
      <c r="A104" s="501" t="str">
        <f>IFERROR(__xludf.DUMMYFUNCTION("""COMPUTED_VALUE"""),"februari")</f>
        <v>februari</v>
      </c>
      <c r="B104" s="501">
        <f>IFERROR(__xludf.DUMMYFUNCTION("""COMPUTED_VALUE"""),8.0)</f>
        <v>8</v>
      </c>
      <c r="C104" s="501" t="str">
        <f>IFERROR(__xludf.DUMMYFUNCTION("""COMPUTED_VALUE"""),"maandag")</f>
        <v>maandag</v>
      </c>
      <c r="D104" s="502">
        <f>IFERROR(__xludf.DUMMYFUNCTION("""COMPUTED_VALUE"""),43514.0)</f>
        <v>43514</v>
      </c>
      <c r="E104" s="502">
        <f>IFERROR(__xludf.DUMMYFUNCTION("""COMPUTED_VALUE"""),43514.0)</f>
        <v>43514</v>
      </c>
      <c r="F104" s="501" t="str">
        <f>IFERROR(__xludf.DUMMYFUNCTION("""COMPUTED_VALUE"""),"")</f>
        <v/>
      </c>
      <c r="G104" s="503" t="str">
        <f>IFERROR(__xludf.DUMMYFUNCTION("""COMPUTED_VALUE"""),"")</f>
        <v/>
      </c>
      <c r="H104" s="501" t="str">
        <f>IFERROR(__xludf.DUMMYFUNCTION("""COMPUTED_VALUE"""),"Mooie maandag / drink wijn dag")</f>
        <v>Mooie maandag / drink wijn dag</v>
      </c>
      <c r="I104" s="503" t="str">
        <f>IFERROR(__xludf.DUMMYFUNCTION("""COMPUTED_VALUE"""),"Het is nationale drink wijn dag! Met wie ga jij proosten vanavond?")</f>
        <v>Het is nationale drink wijn dag! Met wie ga jij proosten vanavond?</v>
      </c>
      <c r="J104" s="501" t="str">
        <f>IFERROR(__xludf.DUMMYFUNCTION("""COMPUTED_VALUE"""),"")</f>
        <v/>
      </c>
      <c r="K104" s="503" t="str">
        <f>IFERROR(__xludf.DUMMYFUNCTION("""COMPUTED_VALUE"""),"")</f>
        <v/>
      </c>
      <c r="L104" s="501" t="str">
        <f>IFERROR(__xludf.DUMMYFUNCTION("""COMPUTED_VALUE"""),"")</f>
        <v/>
      </c>
      <c r="M104" s="504">
        <f>IFERROR(__xludf.DUMMYFUNCTION("""COMPUTED_VALUE"""),1.0)</f>
        <v>1</v>
      </c>
      <c r="N104" s="501" t="str">
        <f>IFERROR(__xludf.DUMMYFUNCTION("""COMPUTED_VALUE"""),"Product")</f>
        <v>Product</v>
      </c>
      <c r="O104" s="501" t="str">
        <f>IFERROR(__xludf.DUMMYFUNCTION("""COMPUTED_VALUE"""),"Instagram Feed")</f>
        <v>Instagram Feed</v>
      </c>
      <c r="P104" s="503" t="str">
        <f>IFERROR(__xludf.DUMMYFUNCTION("""COMPUTED_VALUE"""),"")</f>
        <v/>
      </c>
      <c r="Q104" s="501" t="str">
        <f>IFERROR(__xludf.DUMMYFUNCTION("""COMPUTED_VALUE"""),"")</f>
        <v/>
      </c>
      <c r="R104" s="501" t="str">
        <f>IFERROR(__xludf.DUMMYFUNCTION("""COMPUTED_VALUE"""),"Timeline")</f>
        <v>Timeline</v>
      </c>
      <c r="S104" s="507" t="str">
        <f>IFERROR(__xludf.DUMMYFUNCTION("""COMPUTED_VALUE"""),"https://www.greetz.nl/kaart/detail/ik-denk-dat-wij-samen-heel-goed-wijn-kunnen--/1142765581")</f>
        <v>https://www.greetz.nl/kaart/detail/ik-denk-dat-wij-samen-heel-goed-wijn-kunnen--/1142765581</v>
      </c>
      <c r="T104" s="503" t="str">
        <f>IFERROR(__xludf.DUMMYFUNCTION("""COMPUTED_VALUE"""),"utm_source=facebook&amp;utm_medium=socialmedia&amp;utm_campaign=&amp;utm_content=mooiemaandag/drinkwijndag&amp;referrer=facebook")</f>
        <v>utm_source=facebook&amp;utm_medium=socialmedia&amp;utm_campaign=&amp;utm_content=mooiemaandag/drinkwijndag&amp;referrer=facebook</v>
      </c>
    </row>
    <row r="105">
      <c r="A105" s="501" t="str">
        <f>IFERROR(__xludf.DUMMYFUNCTION("""COMPUTED_VALUE"""),"februari")</f>
        <v>februari</v>
      </c>
      <c r="B105" s="501">
        <f>IFERROR(__xludf.DUMMYFUNCTION("""COMPUTED_VALUE"""),8.0)</f>
        <v>8</v>
      </c>
      <c r="C105" s="501" t="str">
        <f>IFERROR(__xludf.DUMMYFUNCTION("""COMPUTED_VALUE"""),"maandag")</f>
        <v>maandag</v>
      </c>
      <c r="D105" s="502">
        <f>IFERROR(__xludf.DUMMYFUNCTION("""COMPUTED_VALUE"""),43514.0)</f>
        <v>43514</v>
      </c>
      <c r="E105" s="502">
        <f>IFERROR(__xludf.DUMMYFUNCTION("""COMPUTED_VALUE"""),43520.0)</f>
        <v>43520</v>
      </c>
      <c r="F105" s="501" t="str">
        <f>IFERROR(__xludf.DUMMYFUNCTION("""COMPUTED_VALUE"""),"")</f>
        <v/>
      </c>
      <c r="G105" s="503" t="str">
        <f>IFERROR(__xludf.DUMMYFUNCTION("""COMPUTED_VALUE"""),"")</f>
        <v/>
      </c>
      <c r="H105" s="501" t="str">
        <f>IFERROR(__xludf.DUMMYFUNCTION("""COMPUTED_VALUE"""),"1 plus 1 kaart")</f>
        <v>1 plus 1 kaart</v>
      </c>
      <c r="I105" s="503" t="str">
        <f>IFERROR(__xludf.DUMMYFUNCTION("""COMPUTED_VALUE"""),"Niet één, maar twee blije gezichten 😀 Stuur je deze week namelijk een kaart, dan krijg je de tweede gratis! Wie verras jij? 
Niet één, maar twee blije jarigen 😀 Stuur je deze week namelijk een verjaardagskaart naar een jarige job of jet, dan krijg je d"&amp;"e tweede gratis! Wie verras jij? 
Niet één, maar twee blije kersverse papa's en/of mama's  😀 Stuur je deze week namelijk een kaart om te feliciteren, dan krijg je de tweede gratis! Wie verras jij? 
")</f>
        <v>Niet één, maar twee blije gezichten 😀 Stuur je deze week namelijk een kaart, dan krijg je de tweede gratis! Wie verras jij? 
Niet één, maar twee blije jarigen 😀 Stuur je deze week namelijk een verjaardagskaart naar een jarige job of jet, dan krijg je de tweede gratis! Wie verras jij? 
Niet één, maar twee blije kersverse papa's en/of mama's  😀 Stuur je deze week namelijk een kaart om te feliciteren, dan krijg je de tweede gratis! Wie verras jij? 
</v>
      </c>
      <c r="J105" s="501" t="str">
        <f>IFERROR(__xludf.DUMMYFUNCTION("""COMPUTED_VALUE"""),"Staat klaar")</f>
        <v>Staat klaar</v>
      </c>
      <c r="K105" s="505" t="str">
        <f>IFERROR(__xludf.DUMMYFUNCTION("""COMPUTED_VALUE""")," Hoofddoelgroep ")</f>
        <v>Hoofddoelgroep</v>
      </c>
      <c r="L105" s="506">
        <f>IFERROR(__xludf.DUMMYFUNCTION("""COMPUTED_VALUE"""),750.0)</f>
        <v>750</v>
      </c>
      <c r="M105" s="504">
        <f>IFERROR(__xludf.DUMMYFUNCTION("""COMPUTED_VALUE"""),7.0)</f>
        <v>7</v>
      </c>
      <c r="N105" s="501" t="str">
        <f>IFERROR(__xludf.DUMMYFUNCTION("""COMPUTED_VALUE"""),"Product")</f>
        <v>Product</v>
      </c>
      <c r="O105" s="501" t="str">
        <f>IFERROR(__xludf.DUMMYFUNCTION("""COMPUTED_VALUE"""),"Facebook")</f>
        <v>Facebook</v>
      </c>
      <c r="P105" s="503" t="str">
        <f>IFERROR(__xludf.DUMMYFUNCTION("""COMPUTED_VALUE"""),"Facebook - Do - Retailcampaigning")</f>
        <v>Facebook - Do - Retailcampaigning</v>
      </c>
      <c r="Q105" s="501" t="str">
        <f>IFERROR(__xludf.DUMMYFUNCTION("""COMPUTED_VALUE"""),"Conversie - Waarde")</f>
        <v>Conversie - Waarde</v>
      </c>
      <c r="R105" s="501" t="str">
        <f>IFERROR(__xludf.DUMMYFUNCTION("""COMPUTED_VALUE"""),"Dark")</f>
        <v>Dark</v>
      </c>
      <c r="S105" s="503" t="str">
        <f>IFERROR(__xludf.DUMMYFUNCTION("""COMPUTED_VALUE"""),"Collection ad (verschillende momenten)")</f>
        <v>Collection ad (verschillende momenten)</v>
      </c>
      <c r="T105" s="503" t="str">
        <f>IFERROR(__xludf.DUMMYFUNCTION("""COMPUTED_VALUE"""),"utm_source=facebook&amp;utm_medium=socialmedia&amp;utm_campaign=facebook_-_do_-_retailcampaigning&amp;utm_content=1plus1kaart&amp;referrer=facebook")</f>
        <v>utm_source=facebook&amp;utm_medium=socialmedia&amp;utm_campaign=facebook_-_do_-_retailcampaigning&amp;utm_content=1plus1kaart&amp;referrer=facebook</v>
      </c>
    </row>
    <row r="106">
      <c r="A106" s="501" t="str">
        <f>IFERROR(__xludf.DUMMYFUNCTION("""COMPUTED_VALUE"""),"februari")</f>
        <v>februari</v>
      </c>
      <c r="B106" s="501">
        <f>IFERROR(__xludf.DUMMYFUNCTION("""COMPUTED_VALUE"""),8.0)</f>
        <v>8</v>
      </c>
      <c r="C106" s="501" t="str">
        <f>IFERROR(__xludf.DUMMYFUNCTION("""COMPUTED_VALUE"""),"dinsdag")</f>
        <v>dinsdag</v>
      </c>
      <c r="D106" s="502">
        <f>IFERROR(__xludf.DUMMYFUNCTION("""COMPUTED_VALUE"""),43515.0)</f>
        <v>43515</v>
      </c>
      <c r="E106" s="502">
        <f>IFERROR(__xludf.DUMMYFUNCTION("""COMPUTED_VALUE"""),43515.0)</f>
        <v>43515</v>
      </c>
      <c r="F106" s="501" t="str">
        <f>IFERROR(__xludf.DUMMYFUNCTION("""COMPUTED_VALUE"""),"")</f>
        <v/>
      </c>
      <c r="G106" s="503" t="str">
        <f>IFERROR(__xludf.DUMMYFUNCTION("""COMPUTED_VALUE"""),"")</f>
        <v/>
      </c>
      <c r="H106" s="501" t="str">
        <f>IFERROR(__xludf.DUMMYFUNCTION("""COMPUTED_VALUE"""),"Milner")</f>
        <v>Milner</v>
      </c>
      <c r="I106" s="503" t="str">
        <f>IFERROR(__xludf.DUMMYFUNCTION("""COMPUTED_VALUE"""),"Say cheese! ")</f>
        <v>Say cheese! </v>
      </c>
      <c r="J106" s="501" t="str">
        <f>IFERROR(__xludf.DUMMYFUNCTION("""COMPUTED_VALUE"""),"Staat klaar")</f>
        <v>Staat klaar</v>
      </c>
      <c r="K106" s="505" t="str">
        <f>IFERROR(__xludf.DUMMYFUNCTION("""COMPUTED_VALUE""")," Milner fans ")</f>
        <v>Milner fans</v>
      </c>
      <c r="L106" s="506">
        <f>IFERROR(__xludf.DUMMYFUNCTION("""COMPUTED_VALUE"""),50.0)</f>
        <v>50</v>
      </c>
      <c r="M106" s="504">
        <f>IFERROR(__xludf.DUMMYFUNCTION("""COMPUTED_VALUE"""),1.0)</f>
        <v>1</v>
      </c>
      <c r="N106" s="501" t="str">
        <f>IFERROR(__xludf.DUMMYFUNCTION("""COMPUTED_VALUE"""),"Product")</f>
        <v>Product</v>
      </c>
      <c r="O106" s="501" t="str">
        <f>IFERROR(__xludf.DUMMYFUNCTION("""COMPUTED_VALUE"""),"Facebook")</f>
        <v>Facebook</v>
      </c>
      <c r="P106" s="503" t="str">
        <f>IFERROR(__xludf.DUMMYFUNCTION("""COMPUTED_VALUE"""),"Facebook - Think - Retailcampaigning")</f>
        <v>Facebook - Think - Retailcampaigning</v>
      </c>
      <c r="Q106" s="501" t="str">
        <f>IFERROR(__xludf.DUMMYFUNCTION("""COMPUTED_VALUE"""),"Conversie - Landingspagina")</f>
        <v>Conversie - Landingspagina</v>
      </c>
      <c r="R106" s="501" t="str">
        <f>IFERROR(__xludf.DUMMYFUNCTION("""COMPUTED_VALUE"""),"Dark")</f>
        <v>Dark</v>
      </c>
      <c r="S106" s="503" t="str">
        <f>IFERROR(__xludf.DUMMYFUNCTION("""COMPUTED_VALUE"""),"")</f>
        <v/>
      </c>
      <c r="T106" s="503" t="str">
        <f>IFERROR(__xludf.DUMMYFUNCTION("""COMPUTED_VALUE"""),"utm_source=facebook&amp;utm_medium=socialmedia&amp;utm_campaign=facebook_-_think_-_retailcampaigning&amp;utm_content=milner&amp;referrer=facebook")</f>
        <v>utm_source=facebook&amp;utm_medium=socialmedia&amp;utm_campaign=facebook_-_think_-_retailcampaigning&amp;utm_content=milner&amp;referrer=facebook</v>
      </c>
    </row>
    <row r="107">
      <c r="A107" s="501" t="str">
        <f>IFERROR(__xludf.DUMMYFUNCTION("""COMPUTED_VALUE"""),"februari")</f>
        <v>februari</v>
      </c>
      <c r="B107" s="501">
        <f>IFERROR(__xludf.DUMMYFUNCTION("""COMPUTED_VALUE"""),8.0)</f>
        <v>8</v>
      </c>
      <c r="C107" s="501" t="str">
        <f>IFERROR(__xludf.DUMMYFUNCTION("""COMPUTED_VALUE"""),"woensdag")</f>
        <v>woensdag</v>
      </c>
      <c r="D107" s="502">
        <f>IFERROR(__xludf.DUMMYFUNCTION("""COMPUTED_VALUE"""),43516.0)</f>
        <v>43516</v>
      </c>
      <c r="E107" s="502">
        <f>IFERROR(__xludf.DUMMYFUNCTION("""COMPUTED_VALUE"""),43516.0)</f>
        <v>43516</v>
      </c>
      <c r="F107" s="501" t="str">
        <f>IFERROR(__xludf.DUMMYFUNCTION("""COMPUTED_VALUE"""),"")</f>
        <v/>
      </c>
      <c r="G107" s="503" t="str">
        <f>IFERROR(__xludf.DUMMYFUNCTION("""COMPUTED_VALUE"""),"")</f>
        <v/>
      </c>
      <c r="H107" s="501" t="str">
        <f>IFERROR(__xludf.DUMMYFUNCTION("""COMPUTED_VALUE"""),"")</f>
        <v/>
      </c>
      <c r="I107" s="503" t="str">
        <f>IFERROR(__xludf.DUMMYFUNCTION("""COMPUTED_VALUE"""),"")</f>
        <v/>
      </c>
      <c r="J107" s="501" t="str">
        <f>IFERROR(__xludf.DUMMYFUNCTION("""COMPUTED_VALUE"""),"")</f>
        <v/>
      </c>
      <c r="K107" s="503" t="str">
        <f>IFERROR(__xludf.DUMMYFUNCTION("""COMPUTED_VALUE"""),"")</f>
        <v/>
      </c>
      <c r="L107" s="501" t="str">
        <f>IFERROR(__xludf.DUMMYFUNCTION("""COMPUTED_VALUE"""),"")</f>
        <v/>
      </c>
      <c r="M107" s="504">
        <f>IFERROR(__xludf.DUMMYFUNCTION("""COMPUTED_VALUE"""),1.0)</f>
        <v>1</v>
      </c>
      <c r="N107" s="501" t="str">
        <f>IFERROR(__xludf.DUMMYFUNCTION("""COMPUTED_VALUE"""),"")</f>
        <v/>
      </c>
      <c r="O107" s="501" t="str">
        <f>IFERROR(__xludf.DUMMYFUNCTION("""COMPUTED_VALUE"""),"")</f>
        <v/>
      </c>
      <c r="P107" s="503" t="str">
        <f>IFERROR(__xludf.DUMMYFUNCTION("""COMPUTED_VALUE"""),"")</f>
        <v/>
      </c>
      <c r="Q107" s="501" t="str">
        <f>IFERROR(__xludf.DUMMYFUNCTION("""COMPUTED_VALUE"""),"")</f>
        <v/>
      </c>
      <c r="R107" s="501" t="str">
        <f>IFERROR(__xludf.DUMMYFUNCTION("""COMPUTED_VALUE"""),"")</f>
        <v/>
      </c>
      <c r="S107" s="503" t="str">
        <f>IFERROR(__xludf.DUMMYFUNCTION("""COMPUTED_VALUE"""),"")</f>
        <v/>
      </c>
      <c r="T107" s="503" t="str">
        <f>IFERROR(__xludf.DUMMYFUNCTION("""COMPUTED_VALUE"""),"utm_source=facebook&amp;utm_medium=socialmedia&amp;utm_campaign=&amp;utm_content=&amp;referrer=facebook")</f>
        <v>utm_source=facebook&amp;utm_medium=socialmedia&amp;utm_campaign=&amp;utm_content=&amp;referrer=facebook</v>
      </c>
    </row>
    <row r="108">
      <c r="A108" s="501" t="str">
        <f>IFERROR(__xludf.DUMMYFUNCTION("""COMPUTED_VALUE"""),"februari")</f>
        <v>februari</v>
      </c>
      <c r="B108" s="501">
        <f>IFERROR(__xludf.DUMMYFUNCTION("""COMPUTED_VALUE"""),8.0)</f>
        <v>8</v>
      </c>
      <c r="C108" s="501" t="str">
        <f>IFERROR(__xludf.DUMMYFUNCTION("""COMPUTED_VALUE"""),"woensdag")</f>
        <v>woensdag</v>
      </c>
      <c r="D108" s="502">
        <f>IFERROR(__xludf.DUMMYFUNCTION("""COMPUTED_VALUE"""),43516.0)</f>
        <v>43516</v>
      </c>
      <c r="E108" s="502">
        <f>IFERROR(__xludf.DUMMYFUNCTION("""COMPUTED_VALUE"""),43516.0)</f>
        <v>43516</v>
      </c>
      <c r="F108" s="501" t="str">
        <f>IFERROR(__xludf.DUMMYFUNCTION("""COMPUTED_VALUE"""),"")</f>
        <v/>
      </c>
      <c r="G108" s="503" t="str">
        <f>IFERROR(__xludf.DUMMYFUNCTION("""COMPUTED_VALUE"""),"")</f>
        <v/>
      </c>
      <c r="H108" s="501" t="str">
        <f>IFERROR(__xludf.DUMMYFUNCTION("""COMPUTED_VALUE"""),"Instagram Poll")</f>
        <v>Instagram Poll</v>
      </c>
      <c r="I108" s="503" t="str">
        <f>IFERROR(__xludf.DUMMYFUNCTION("""COMPUTED_VALUE"""),"Met welk boek verras jij jouw beste vriend of vriendin?")</f>
        <v>Met welk boek verras jij jouw beste vriend of vriendin?</v>
      </c>
      <c r="J108" s="501" t="str">
        <f>IFERROR(__xludf.DUMMYFUNCTION("""COMPUTED_VALUE"""),"")</f>
        <v/>
      </c>
      <c r="K108" s="503" t="str">
        <f>IFERROR(__xludf.DUMMYFUNCTION("""COMPUTED_VALUE"""),"")</f>
        <v/>
      </c>
      <c r="L108" s="501" t="str">
        <f>IFERROR(__xludf.DUMMYFUNCTION("""COMPUTED_VALUE"""),"")</f>
        <v/>
      </c>
      <c r="M108" s="504">
        <f>IFERROR(__xludf.DUMMYFUNCTION("""COMPUTED_VALUE"""),1.0)</f>
        <v>1</v>
      </c>
      <c r="N108" s="501" t="str">
        <f>IFERROR(__xludf.DUMMYFUNCTION("""COMPUTED_VALUE"""),"product")</f>
        <v>product</v>
      </c>
      <c r="O108" s="501" t="str">
        <f>IFERROR(__xludf.DUMMYFUNCTION("""COMPUTED_VALUE"""),"Instagram Stories")</f>
        <v>Instagram Stories</v>
      </c>
      <c r="P108" s="503" t="str">
        <f>IFERROR(__xludf.DUMMYFUNCTION("""COMPUTED_VALUE"""),"")</f>
        <v/>
      </c>
      <c r="Q108" s="501" t="str">
        <f>IFERROR(__xludf.DUMMYFUNCTION("""COMPUTED_VALUE"""),"")</f>
        <v/>
      </c>
      <c r="R108" s="501" t="str">
        <f>IFERROR(__xludf.DUMMYFUNCTION("""COMPUTED_VALUE"""),"Timeline")</f>
        <v>Timeline</v>
      </c>
      <c r="S108" s="503" t="str">
        <f>IFERROR(__xludf.DUMMYFUNCTION("""COMPUTED_VALUE"""),"Twee boeken in sfeerbeeld.
A: https://www.greetz.nl/cadeaus/detail/het-bucketlistboek-voor-vrienden/1142800764 
B: https://www.greetz.nl/cadeaus/detail/vertel-eens-vrienden-quiz/1142800773 ")</f>
        <v>Twee boeken in sfeerbeeld.
A: https://www.greetz.nl/cadeaus/detail/het-bucketlistboek-voor-vrienden/1142800764 
B: https://www.greetz.nl/cadeaus/detail/vertel-eens-vrienden-quiz/1142800773 </v>
      </c>
      <c r="T108" s="503" t="str">
        <f>IFERROR(__xludf.DUMMYFUNCTION("""COMPUTED_VALUE"""),"utm_source=facebook&amp;utm_medium=socialmedia&amp;utm_campaign=&amp;utm_content=instagrampoll&amp;referrer=facebook")</f>
        <v>utm_source=facebook&amp;utm_medium=socialmedia&amp;utm_campaign=&amp;utm_content=instagrampoll&amp;referrer=facebook</v>
      </c>
    </row>
    <row r="109">
      <c r="A109" s="501" t="str">
        <f>IFERROR(__xludf.DUMMYFUNCTION("""COMPUTED_VALUE"""),"februari")</f>
        <v>februari</v>
      </c>
      <c r="B109" s="501">
        <f>IFERROR(__xludf.DUMMYFUNCTION("""COMPUTED_VALUE"""),8.0)</f>
        <v>8</v>
      </c>
      <c r="C109" s="501" t="str">
        <f>IFERROR(__xludf.DUMMYFUNCTION("""COMPUTED_VALUE"""),"donderdag")</f>
        <v>donderdag</v>
      </c>
      <c r="D109" s="502">
        <f>IFERROR(__xludf.DUMMYFUNCTION("""COMPUTED_VALUE"""),43517.0)</f>
        <v>43517</v>
      </c>
      <c r="E109" s="502">
        <f>IFERROR(__xludf.DUMMYFUNCTION("""COMPUTED_VALUE"""),43517.0)</f>
        <v>43517</v>
      </c>
      <c r="F109" s="501" t="str">
        <f>IFERROR(__xludf.DUMMYFUNCTION("""COMPUTED_VALUE"""),"")</f>
        <v/>
      </c>
      <c r="G109" s="503" t="str">
        <f>IFERROR(__xludf.DUMMYFUNCTION("""COMPUTED_VALUE"""),"")</f>
        <v/>
      </c>
      <c r="H109" s="501" t="str">
        <f>IFERROR(__xludf.DUMMYFUNCTION("""COMPUTED_VALUE"""),"")</f>
        <v/>
      </c>
      <c r="I109" s="503" t="str">
        <f>IFERROR(__xludf.DUMMYFUNCTION("""COMPUTED_VALUE"""),"")</f>
        <v/>
      </c>
      <c r="J109" s="501" t="str">
        <f>IFERROR(__xludf.DUMMYFUNCTION("""COMPUTED_VALUE"""),"")</f>
        <v/>
      </c>
      <c r="K109" s="503" t="str">
        <f>IFERROR(__xludf.DUMMYFUNCTION("""COMPUTED_VALUE"""),"")</f>
        <v/>
      </c>
      <c r="L109" s="501" t="str">
        <f>IFERROR(__xludf.DUMMYFUNCTION("""COMPUTED_VALUE"""),"")</f>
        <v/>
      </c>
      <c r="M109" s="504">
        <f>IFERROR(__xludf.DUMMYFUNCTION("""COMPUTED_VALUE"""),1.0)</f>
        <v>1</v>
      </c>
      <c r="N109" s="501" t="str">
        <f>IFERROR(__xludf.DUMMYFUNCTION("""COMPUTED_VALUE"""),"")</f>
        <v/>
      </c>
      <c r="O109" s="501" t="str">
        <f>IFERROR(__xludf.DUMMYFUNCTION("""COMPUTED_VALUE"""),"")</f>
        <v/>
      </c>
      <c r="P109" s="503" t="str">
        <f>IFERROR(__xludf.DUMMYFUNCTION("""COMPUTED_VALUE"""),"")</f>
        <v/>
      </c>
      <c r="Q109" s="501" t="str">
        <f>IFERROR(__xludf.DUMMYFUNCTION("""COMPUTED_VALUE"""),"")</f>
        <v/>
      </c>
      <c r="R109" s="501" t="str">
        <f>IFERROR(__xludf.DUMMYFUNCTION("""COMPUTED_VALUE"""),"")</f>
        <v/>
      </c>
      <c r="S109" s="503" t="str">
        <f>IFERROR(__xludf.DUMMYFUNCTION("""COMPUTED_VALUE"""),"")</f>
        <v/>
      </c>
      <c r="T109" s="503" t="str">
        <f>IFERROR(__xludf.DUMMYFUNCTION("""COMPUTED_VALUE"""),"utm_source=facebook&amp;utm_medium=socialmedia&amp;utm_campaign=&amp;utm_content=&amp;referrer=facebook")</f>
        <v>utm_source=facebook&amp;utm_medium=socialmedia&amp;utm_campaign=&amp;utm_content=&amp;referrer=facebook</v>
      </c>
    </row>
    <row r="110">
      <c r="A110" s="501" t="str">
        <f>IFERROR(__xludf.DUMMYFUNCTION("""COMPUTED_VALUE"""),"februari")</f>
        <v>februari</v>
      </c>
      <c r="B110" s="501">
        <f>IFERROR(__xludf.DUMMYFUNCTION("""COMPUTED_VALUE"""),8.0)</f>
        <v>8</v>
      </c>
      <c r="C110" s="501" t="str">
        <f>IFERROR(__xludf.DUMMYFUNCTION("""COMPUTED_VALUE"""),"vrijdag")</f>
        <v>vrijdag</v>
      </c>
      <c r="D110" s="502">
        <f>IFERROR(__xludf.DUMMYFUNCTION("""COMPUTED_VALUE"""),43518.0)</f>
        <v>43518</v>
      </c>
      <c r="E110" s="502">
        <f>IFERROR(__xludf.DUMMYFUNCTION("""COMPUTED_VALUE"""),43523.0)</f>
        <v>43523</v>
      </c>
      <c r="F110" s="501" t="str">
        <f>IFERROR(__xludf.DUMMYFUNCTION("""COMPUTED_VALUE"""),"")</f>
        <v/>
      </c>
      <c r="G110" s="503" t="str">
        <f>IFERROR(__xludf.DUMMYFUNCTION("""COMPUTED_VALUE"""),"")</f>
        <v/>
      </c>
      <c r="H110" s="501" t="str">
        <f>IFERROR(__xludf.DUMMYFUNCTION("""COMPUTED_VALUE"""),"Special Delivery")</f>
        <v>Special Delivery</v>
      </c>
      <c r="I110" s="503" t="str">
        <f>IFERROR(__xludf.DUMMYFUNCTION("""COMPUTED_VALUE"""),"")</f>
        <v/>
      </c>
      <c r="J110" s="501" t="str">
        <f>IFERROR(__xludf.DUMMYFUNCTION("""COMPUTED_VALUE"""),"Staat klaar")</f>
        <v>Staat klaar</v>
      </c>
      <c r="K110" s="503" t="str">
        <f>IFERROR(__xludf.DUMMYFUNCTION("""COMPUTED_VALUE"""),"")</f>
        <v/>
      </c>
      <c r="L110" s="506">
        <f>IFERROR(__xludf.DUMMYFUNCTION("""COMPUTED_VALUE"""),1000.0)</f>
        <v>1000</v>
      </c>
      <c r="M110" s="501" t="str">
        <f>IFERROR(__xludf.DUMMYFUNCTION("""COMPUTED_VALUE"""),"")</f>
        <v/>
      </c>
      <c r="N110" s="501" t="str">
        <f>IFERROR(__xludf.DUMMYFUNCTION("""COMPUTED_VALUE"""),"Geven/ontvangen")</f>
        <v>Geven/ontvangen</v>
      </c>
      <c r="O110" s="501" t="str">
        <f>IFERROR(__xludf.DUMMYFUNCTION("""COMPUTED_VALUE"""),"FB + Instagram")</f>
        <v>FB + Instagram</v>
      </c>
      <c r="P110" s="503" t="str">
        <f>IFERROR(__xludf.DUMMYFUNCTION("""COMPUTED_VALUE"""),"Special delivery - FB &amp; IG")</f>
        <v>Special delivery - FB &amp; IG</v>
      </c>
      <c r="Q110" s="501" t="str">
        <f>IFERROR(__xludf.DUMMYFUNCTION("""COMPUTED_VALUE"""),"Bereik")</f>
        <v>Bereik</v>
      </c>
      <c r="R110" s="501" t="str">
        <f>IFERROR(__xludf.DUMMYFUNCTION("""COMPUTED_VALUE"""),"Timeline")</f>
        <v>Timeline</v>
      </c>
      <c r="S110" s="503" t="str">
        <f>IFERROR(__xludf.DUMMYFUNCTION("""COMPUTED_VALUE"""),"")</f>
        <v/>
      </c>
      <c r="T110" s="503" t="str">
        <f>IFERROR(__xludf.DUMMYFUNCTION("""COMPUTED_VALUE"""),"")</f>
        <v/>
      </c>
    </row>
    <row r="111">
      <c r="A111" s="501" t="str">
        <f>IFERROR(__xludf.DUMMYFUNCTION("""COMPUTED_VALUE"""),"februari")</f>
        <v>februari</v>
      </c>
      <c r="B111" s="501">
        <f>IFERROR(__xludf.DUMMYFUNCTION("""COMPUTED_VALUE"""),8.0)</f>
        <v>8</v>
      </c>
      <c r="C111" s="501" t="str">
        <f>IFERROR(__xludf.DUMMYFUNCTION("""COMPUTED_VALUE"""),"vrijdag")</f>
        <v>vrijdag</v>
      </c>
      <c r="D111" s="502">
        <f>IFERROR(__xludf.DUMMYFUNCTION("""COMPUTED_VALUE"""),43518.0)</f>
        <v>43518</v>
      </c>
      <c r="E111" s="502">
        <f>IFERROR(__xludf.DUMMYFUNCTION("""COMPUTED_VALUE"""),43523.0)</f>
        <v>43523</v>
      </c>
      <c r="F111" s="501" t="str">
        <f>IFERROR(__xludf.DUMMYFUNCTION("""COMPUTED_VALUE"""),"")</f>
        <v/>
      </c>
      <c r="G111" s="503" t="str">
        <f>IFERROR(__xludf.DUMMYFUNCTION("""COMPUTED_VALUE"""),"")</f>
        <v/>
      </c>
      <c r="H111" s="501" t="str">
        <f>IFERROR(__xludf.DUMMYFUNCTION("""COMPUTED_VALUE"""),"Special Delivery")</f>
        <v>Special Delivery</v>
      </c>
      <c r="I111" s="503" t="str">
        <f>IFERROR(__xludf.DUMMYFUNCTION("""COMPUTED_VALUE"""),"")</f>
        <v/>
      </c>
      <c r="J111" s="501" t="str">
        <f>IFERROR(__xludf.DUMMYFUNCTION("""COMPUTED_VALUE"""),"Staat klaar")</f>
        <v>Staat klaar</v>
      </c>
      <c r="K111" s="503" t="str">
        <f>IFERROR(__xludf.DUMMYFUNCTION("""COMPUTED_VALUE"""),"")</f>
        <v/>
      </c>
      <c r="L111" s="506">
        <f>IFERROR(__xludf.DUMMYFUNCTION("""COMPUTED_VALUE"""),1000.0)</f>
        <v>1000</v>
      </c>
      <c r="M111" s="501" t="str">
        <f>IFERROR(__xludf.DUMMYFUNCTION("""COMPUTED_VALUE"""),"")</f>
        <v/>
      </c>
      <c r="N111" s="501" t="str">
        <f>IFERROR(__xludf.DUMMYFUNCTION("""COMPUTED_VALUE"""),"Geven/ontvangen")</f>
        <v>Geven/ontvangen</v>
      </c>
      <c r="O111" s="501" t="str">
        <f>IFERROR(__xludf.DUMMYFUNCTION("""COMPUTED_VALUE"""),"YouTube")</f>
        <v>YouTube</v>
      </c>
      <c r="P111" s="503" t="str">
        <f>IFERROR(__xludf.DUMMYFUNCTION("""COMPUTED_VALUE"""),"Special delivery - YouTube")</f>
        <v>Special delivery - YouTube</v>
      </c>
      <c r="Q111" s="501" t="str">
        <f>IFERROR(__xludf.DUMMYFUNCTION("""COMPUTED_VALUE"""),"Video Views")</f>
        <v>Video Views</v>
      </c>
      <c r="R111" s="501" t="str">
        <f>IFERROR(__xludf.DUMMYFUNCTION("""COMPUTED_VALUE"""),"")</f>
        <v/>
      </c>
      <c r="S111" s="503" t="str">
        <f>IFERROR(__xludf.DUMMYFUNCTION("""COMPUTED_VALUE"""),"")</f>
        <v/>
      </c>
      <c r="T111" s="503" t="str">
        <f>IFERROR(__xludf.DUMMYFUNCTION("""COMPUTED_VALUE"""),"")</f>
        <v/>
      </c>
    </row>
    <row r="112">
      <c r="A112" s="501" t="str">
        <f>IFERROR(__xludf.DUMMYFUNCTION("""COMPUTED_VALUE"""),"februari")</f>
        <v>februari</v>
      </c>
      <c r="B112" s="501">
        <f>IFERROR(__xludf.DUMMYFUNCTION("""COMPUTED_VALUE"""),8.0)</f>
        <v>8</v>
      </c>
      <c r="C112" s="501" t="str">
        <f>IFERROR(__xludf.DUMMYFUNCTION("""COMPUTED_VALUE"""),"vrijdag")</f>
        <v>vrijdag</v>
      </c>
      <c r="D112" s="502">
        <f>IFERROR(__xludf.DUMMYFUNCTION("""COMPUTED_VALUE"""),43518.0)</f>
        <v>43518</v>
      </c>
      <c r="E112" s="502">
        <f>IFERROR(__xludf.DUMMYFUNCTION("""COMPUTED_VALUE"""),43518.0)</f>
        <v>43518</v>
      </c>
      <c r="F112" s="501" t="str">
        <f>IFERROR(__xludf.DUMMYFUNCTION("""COMPUTED_VALUE"""),"")</f>
        <v/>
      </c>
      <c r="G112" s="503" t="str">
        <f>IFERROR(__xludf.DUMMYFUNCTION("""COMPUTED_VALUE"""),"")</f>
        <v/>
      </c>
      <c r="H112" s="501" t="str">
        <f>IFERROR(__xludf.DUMMYFUNCTION("""COMPUTED_VALUE"""),"Verrassing vrijdag")</f>
        <v>Verrassing vrijdag</v>
      </c>
      <c r="I112" s="503" t="str">
        <f>IFERROR(__xludf.DUMMYFUNCTION("""COMPUTED_VALUE"""),"Nieuw bij Greetz, de heerlijke feel good producten van Me &amp; Mats.")</f>
        <v>Nieuw bij Greetz, de heerlijke feel good producten van Me &amp; Mats.</v>
      </c>
      <c r="J112" s="501" t="str">
        <f>IFERROR(__xludf.DUMMYFUNCTION("""COMPUTED_VALUE"""),"")</f>
        <v/>
      </c>
      <c r="K112" s="503" t="str">
        <f>IFERROR(__xludf.DUMMYFUNCTION("""COMPUTED_VALUE"""),"")</f>
        <v/>
      </c>
      <c r="L112" s="501" t="str">
        <f>IFERROR(__xludf.DUMMYFUNCTION("""COMPUTED_VALUE"""),"")</f>
        <v/>
      </c>
      <c r="M112" s="504">
        <f>IFERROR(__xludf.DUMMYFUNCTION("""COMPUTED_VALUE"""),1.0)</f>
        <v>1</v>
      </c>
      <c r="N112" s="501" t="str">
        <f>IFERROR(__xludf.DUMMYFUNCTION("""COMPUTED_VALUE"""),"Product")</f>
        <v>Product</v>
      </c>
      <c r="O112" s="501" t="str">
        <f>IFERROR(__xludf.DUMMYFUNCTION("""COMPUTED_VALUE"""),"Instagram Feed")</f>
        <v>Instagram Feed</v>
      </c>
      <c r="P112" s="503" t="str">
        <f>IFERROR(__xludf.DUMMYFUNCTION("""COMPUTED_VALUE"""),"")</f>
        <v/>
      </c>
      <c r="Q112" s="501" t="str">
        <f>IFERROR(__xludf.DUMMYFUNCTION("""COMPUTED_VALUE"""),"")</f>
        <v/>
      </c>
      <c r="R112" s="501" t="str">
        <f>IFERROR(__xludf.DUMMYFUNCTION("""COMPUTED_VALUE"""),"Timeline")</f>
        <v>Timeline</v>
      </c>
      <c r="S112" s="503" t="str">
        <f>IFERROR(__xludf.DUMMYFUNCTION("""COMPUTED_VALUE"""),"Sfeerbeeld van meerdere Me &amp; Mats producten: ")</f>
        <v>Sfeerbeeld van meerdere Me &amp; Mats producten: </v>
      </c>
      <c r="T112"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113">
      <c r="A113" s="501" t="str">
        <f>IFERROR(__xludf.DUMMYFUNCTION("""COMPUTED_VALUE"""),"februari")</f>
        <v>februari</v>
      </c>
      <c r="B113" s="501">
        <f>IFERROR(__xludf.DUMMYFUNCTION("""COMPUTED_VALUE"""),8.0)</f>
        <v>8</v>
      </c>
      <c r="C113" s="501" t="str">
        <f>IFERROR(__xludf.DUMMYFUNCTION("""COMPUTED_VALUE"""),"zaterdag")</f>
        <v>zaterdag</v>
      </c>
      <c r="D113" s="502">
        <f>IFERROR(__xludf.DUMMYFUNCTION("""COMPUTED_VALUE"""),43519.0)</f>
        <v>43519</v>
      </c>
      <c r="E113" s="502">
        <f>IFERROR(__xludf.DUMMYFUNCTION("""COMPUTED_VALUE"""),43519.0)</f>
        <v>43519</v>
      </c>
      <c r="F113" s="501" t="str">
        <f>IFERROR(__xludf.DUMMYFUNCTION("""COMPUTED_VALUE"""),"")</f>
        <v/>
      </c>
      <c r="G113" s="503" t="str">
        <f>IFERROR(__xludf.DUMMYFUNCTION("""COMPUTED_VALUE"""),"")</f>
        <v/>
      </c>
      <c r="H113" s="501" t="str">
        <f>IFERROR(__xludf.DUMMYFUNCTION("""COMPUTED_VALUE"""),"Vriendschapskaarten")</f>
        <v>Vriendschapskaarten</v>
      </c>
      <c r="I113" s="503" t="str">
        <f>IFERROR(__xludf.DUMMYFUNCTION("""COMPUTED_VALUE"""),"Chicks before dicks, toch? ;-) Vriendschap moet je vieren en hoe kan dat beter dan met een kaartenfeestje :-) ")</f>
        <v>Chicks before dicks, toch? ;-) Vriendschap moet je vieren en hoe kan dat beter dan met een kaartenfeestje :-) </v>
      </c>
      <c r="J113" s="501" t="str">
        <f>IFERROR(__xludf.DUMMYFUNCTION("""COMPUTED_VALUE"""),"Staat klaar")</f>
        <v>Staat klaar</v>
      </c>
      <c r="K113" s="505" t="str">
        <f>IFERROR(__xludf.DUMMYFUNCTION("""COMPUTED_VALUE""")," Vrouwendoelgroep ")</f>
        <v>Vrouwendoelgroep</v>
      </c>
      <c r="L113" s="506">
        <f>IFERROR(__xludf.DUMMYFUNCTION("""COMPUTED_VALUE"""),300.0)</f>
        <v>300</v>
      </c>
      <c r="M113" s="504">
        <f>IFERROR(__xludf.DUMMYFUNCTION("""COMPUTED_VALUE"""),1.0)</f>
        <v>1</v>
      </c>
      <c r="N113" s="501" t="str">
        <f>IFERROR(__xludf.DUMMYFUNCTION("""COMPUTED_VALUE"""),"Product")</f>
        <v>Product</v>
      </c>
      <c r="O113" s="501" t="str">
        <f>IFERROR(__xludf.DUMMYFUNCTION("""COMPUTED_VALUE"""),"Facebook")</f>
        <v>Facebook</v>
      </c>
      <c r="P113" s="503" t="str">
        <f>IFERROR(__xludf.DUMMYFUNCTION("""COMPUTED_VALUE"""),"Facebook - See - Retailcampaigning &amp; contentkalender")</f>
        <v>Facebook - See - Retailcampaigning &amp; contentkalender</v>
      </c>
      <c r="Q113" s="501" t="str">
        <f>IFERROR(__xludf.DUMMYFUNCTION("""COMPUTED_VALUE"""),"Bereik")</f>
        <v>Bereik</v>
      </c>
      <c r="R113" s="501" t="str">
        <f>IFERROR(__xludf.DUMMYFUNCTION("""COMPUTED_VALUE"""),"Timeline")</f>
        <v>Timeline</v>
      </c>
      <c r="S113" s="503" t="str">
        <f>IFERROR(__xludf.DUMMYFUNCTION("""COMPUTED_VALUE"""),"")</f>
        <v/>
      </c>
      <c r="T113" s="503" t="str">
        <f>IFERROR(__xludf.DUMMYFUNCTION("""COMPUTED_VALUE"""),"utm_source=facebook&amp;utm_medium=socialmedia&amp;utm_campaign=facebook_-_see_-_retailcampaigning_&amp;_contentkalender&amp;utm_content=vriendschapskaarten&amp;referrer=facebook")</f>
        <v>utm_source=facebook&amp;utm_medium=socialmedia&amp;utm_campaign=facebook_-_see_-_retailcampaigning_&amp;_contentkalender&amp;utm_content=vriendschapskaarten&amp;referrer=facebook</v>
      </c>
    </row>
    <row r="114">
      <c r="A114" s="501" t="str">
        <f>IFERROR(__xludf.DUMMYFUNCTION("""COMPUTED_VALUE"""),"februari")</f>
        <v>februari</v>
      </c>
      <c r="B114" s="501">
        <f>IFERROR(__xludf.DUMMYFUNCTION("""COMPUTED_VALUE"""),9.0)</f>
        <v>9</v>
      </c>
      <c r="C114" s="501" t="str">
        <f>IFERROR(__xludf.DUMMYFUNCTION("""COMPUTED_VALUE"""),"zondag")</f>
        <v>zondag</v>
      </c>
      <c r="D114" s="502">
        <f>IFERROR(__xludf.DUMMYFUNCTION("""COMPUTED_VALUE"""),43520.0)</f>
        <v>43520</v>
      </c>
      <c r="E114" s="502">
        <f>IFERROR(__xludf.DUMMYFUNCTION("""COMPUTED_VALUE"""),43520.0)</f>
        <v>43520</v>
      </c>
      <c r="F114" s="501" t="str">
        <f>IFERROR(__xludf.DUMMYFUNCTION("""COMPUTED_VALUE"""),"")</f>
        <v/>
      </c>
      <c r="G114" s="503" t="str">
        <f>IFERROR(__xludf.DUMMYFUNCTION("""COMPUTED_VALUE"""),"")</f>
        <v/>
      </c>
      <c r="H114" s="501" t="str">
        <f>IFERROR(__xludf.DUMMYFUNCTION("""COMPUTED_VALUE"""),"")</f>
        <v/>
      </c>
      <c r="I114" s="503" t="str">
        <f>IFERROR(__xludf.DUMMYFUNCTION("""COMPUTED_VALUE"""),"")</f>
        <v/>
      </c>
      <c r="J114" s="501" t="str">
        <f>IFERROR(__xludf.DUMMYFUNCTION("""COMPUTED_VALUE"""),"")</f>
        <v/>
      </c>
      <c r="K114" s="503" t="str">
        <f>IFERROR(__xludf.DUMMYFUNCTION("""COMPUTED_VALUE"""),"")</f>
        <v/>
      </c>
      <c r="L114" s="501" t="str">
        <f>IFERROR(__xludf.DUMMYFUNCTION("""COMPUTED_VALUE"""),"")</f>
        <v/>
      </c>
      <c r="M114" s="504">
        <f>IFERROR(__xludf.DUMMYFUNCTION("""COMPUTED_VALUE"""),1.0)</f>
        <v>1</v>
      </c>
      <c r="N114" s="501" t="str">
        <f>IFERROR(__xludf.DUMMYFUNCTION("""COMPUTED_VALUE"""),"")</f>
        <v/>
      </c>
      <c r="O114" s="501" t="str">
        <f>IFERROR(__xludf.DUMMYFUNCTION("""COMPUTED_VALUE"""),"")</f>
        <v/>
      </c>
      <c r="P114" s="503" t="str">
        <f>IFERROR(__xludf.DUMMYFUNCTION("""COMPUTED_VALUE"""),"")</f>
        <v/>
      </c>
      <c r="Q114" s="501" t="str">
        <f>IFERROR(__xludf.DUMMYFUNCTION("""COMPUTED_VALUE"""),"")</f>
        <v/>
      </c>
      <c r="R114" s="501" t="str">
        <f>IFERROR(__xludf.DUMMYFUNCTION("""COMPUTED_VALUE"""),"")</f>
        <v/>
      </c>
      <c r="S114" s="503" t="str">
        <f>IFERROR(__xludf.DUMMYFUNCTION("""COMPUTED_VALUE"""),"")</f>
        <v/>
      </c>
      <c r="T114" s="503" t="str">
        <f>IFERROR(__xludf.DUMMYFUNCTION("""COMPUTED_VALUE"""),"utm_source=facebook&amp;utm_medium=socialmedia&amp;utm_campaign=&amp;utm_content=&amp;referrer=facebook")</f>
        <v>utm_source=facebook&amp;utm_medium=socialmedia&amp;utm_campaign=&amp;utm_content=&amp;referrer=facebook</v>
      </c>
    </row>
    <row r="115">
      <c r="A115" s="501" t="str">
        <f>IFERROR(__xludf.DUMMYFUNCTION("""COMPUTED_VALUE"""),"februari")</f>
        <v>februari</v>
      </c>
      <c r="B115" s="501">
        <f>IFERROR(__xludf.DUMMYFUNCTION("""COMPUTED_VALUE"""),9.0)</f>
        <v>9</v>
      </c>
      <c r="C115" s="501" t="str">
        <f>IFERROR(__xludf.DUMMYFUNCTION("""COMPUTED_VALUE"""),"donderdag")</f>
        <v>donderdag</v>
      </c>
      <c r="D115" s="502">
        <f>IFERROR(__xludf.DUMMYFUNCTION("""COMPUTED_VALUE"""),43524.0)</f>
        <v>43524</v>
      </c>
      <c r="E115" s="502">
        <f>IFERROR(__xludf.DUMMYFUNCTION("""COMPUTED_VALUE"""),43527.0)</f>
        <v>43527</v>
      </c>
      <c r="F115" s="501" t="str">
        <f>IFERROR(__xludf.DUMMYFUNCTION("""COMPUTED_VALUE"""),"Kidsweek")</f>
        <v>Kidsweek</v>
      </c>
      <c r="G115" s="503" t="str">
        <f>IFERROR(__xludf.DUMMYFUNCTION("""COMPUTED_VALUE"""),"2,50 korting op kids gifts en ballonnen")</f>
        <v>2,50 korting op kids gifts en ballonnen</v>
      </c>
      <c r="H115" s="501" t="str">
        <f>IFERROR(__xludf.DUMMYFUNCTION("""COMPUTED_VALUE"""),"2 50 korting kids categorieen vs merken")</f>
        <v>2 50 korting kids categorieen vs merken</v>
      </c>
      <c r="I115" s="503" t="str">
        <f>IFERROR(__xludf.DUMMYFUNCTION("""COMPUTED_VALUE"""),"Verras die kleintjes groots 😉 Deze week krijg je met code XXXXX 2,50 korting op alle verrassingen voor baby-tjes en kids 🎁️🎈")</f>
        <v>Verras die kleintjes groots 😉 Deze week krijg je met code XXXXX 2,50 korting op alle verrassingen voor baby-tjes en kids 🎁️🎈</v>
      </c>
      <c r="J115" s="501" t="str">
        <f>IFERROR(__xludf.DUMMYFUNCTION("""COMPUTED_VALUE"""),"Staat klaar")</f>
        <v>Staat klaar</v>
      </c>
      <c r="K115" s="505" t="str">
        <f>IFERROR(__xludf.DUMMYFUNCTION("""COMPUTED_VALUE""")," Geboorte doelgroep ")</f>
        <v>Geboorte doelgroep</v>
      </c>
      <c r="L115" s="506">
        <f>IFERROR(__xludf.DUMMYFUNCTION("""COMPUTED_VALUE"""),1250.0)</f>
        <v>1250</v>
      </c>
      <c r="M115" s="504">
        <f>IFERROR(__xludf.DUMMYFUNCTION("""COMPUTED_VALUE"""),4.0)</f>
        <v>4</v>
      </c>
      <c r="N115" s="501" t="str">
        <f>IFERROR(__xludf.DUMMYFUNCTION("""COMPUTED_VALUE"""),"Product")</f>
        <v>Product</v>
      </c>
      <c r="O115" s="501" t="str">
        <f>IFERROR(__xludf.DUMMYFUNCTION("""COMPUTED_VALUE"""),"Facebook")</f>
        <v>Facebook</v>
      </c>
      <c r="P115" s="503" t="str">
        <f>IFERROR(__xludf.DUMMYFUNCTION("""COMPUTED_VALUE"""),"Facebook - Do - Retailcampaigning")</f>
        <v>Facebook - Do - Retailcampaigning</v>
      </c>
      <c r="Q115" s="501" t="str">
        <f>IFERROR(__xludf.DUMMYFUNCTION("""COMPUTED_VALUE"""),"Conversie - Waarde")</f>
        <v>Conversie - Waarde</v>
      </c>
      <c r="R115" s="501" t="str">
        <f>IFERROR(__xludf.DUMMYFUNCTION("""COMPUTED_VALUE"""),"Dark")</f>
        <v>Dark</v>
      </c>
      <c r="S115" s="503" t="str">
        <f>IFERROR(__xludf.DUMMYFUNCTION("""COMPUTED_VALUE"""),"a/b test categorieën vs bestsellers")</f>
        <v>a/b test categorieën vs bestsellers</v>
      </c>
      <c r="T115" s="503" t="str">
        <f>IFERROR(__xludf.DUMMYFUNCTION("""COMPUTED_VALUE"""),"utm_source=facebook&amp;utm_medium=socialmedia&amp;utm_campaign=facebook_-_do_-_retailcampaigning&amp;utm_content=250kortingkidscategorieenvsmerken&amp;referrer=facebook")</f>
        <v>utm_source=facebook&amp;utm_medium=socialmedia&amp;utm_campaign=facebook_-_do_-_retailcampaigning&amp;utm_content=250kortingkidscategorieenvsmerken&amp;referrer=facebook</v>
      </c>
    </row>
    <row r="116">
      <c r="A116" s="501" t="str">
        <f>IFERROR(__xludf.DUMMYFUNCTION("""COMPUTED_VALUE"""),"februari")</f>
        <v>februari</v>
      </c>
      <c r="B116" s="501">
        <f>IFERROR(__xludf.DUMMYFUNCTION("""COMPUTED_VALUE"""),9.0)</f>
        <v>9</v>
      </c>
      <c r="C116" s="501" t="str">
        <f>IFERROR(__xludf.DUMMYFUNCTION("""COMPUTED_VALUE"""),"maandag")</f>
        <v>maandag</v>
      </c>
      <c r="D116" s="502">
        <f>IFERROR(__xludf.DUMMYFUNCTION("""COMPUTED_VALUE"""),43521.0)</f>
        <v>43521</v>
      </c>
      <c r="E116" s="502">
        <f>IFERROR(__xludf.DUMMYFUNCTION("""COMPUTED_VALUE"""),43521.0)</f>
        <v>43521</v>
      </c>
      <c r="F116" s="501" t="str">
        <f>IFERROR(__xludf.DUMMYFUNCTION("""COMPUTED_VALUE"""),"")</f>
        <v/>
      </c>
      <c r="G116" s="503" t="str">
        <f>IFERROR(__xludf.DUMMYFUNCTION("""COMPUTED_VALUE"""),"")</f>
        <v/>
      </c>
      <c r="H116" s="501" t="str">
        <f>IFERROR(__xludf.DUMMYFUNCTION("""COMPUTED_VALUE"""),"Mooie maandag")</f>
        <v>Mooie maandag</v>
      </c>
      <c r="I116" s="503" t="str">
        <f>IFERROR(__xludf.DUMMYFUNCTION("""COMPUTED_VALUE"""),"Mooie maandag!")</f>
        <v>Mooie maandag!</v>
      </c>
      <c r="J116" s="501" t="str">
        <f>IFERROR(__xludf.DUMMYFUNCTION("""COMPUTED_VALUE"""),"Designen")</f>
        <v>Designen</v>
      </c>
      <c r="K116" s="503" t="str">
        <f>IFERROR(__xludf.DUMMYFUNCTION("""COMPUTED_VALUE"""),"")</f>
        <v/>
      </c>
      <c r="L116" s="501" t="str">
        <f>IFERROR(__xludf.DUMMYFUNCTION("""COMPUTED_VALUE"""),"")</f>
        <v/>
      </c>
      <c r="M116" s="504">
        <f>IFERROR(__xludf.DUMMYFUNCTION("""COMPUTED_VALUE"""),1.0)</f>
        <v>1</v>
      </c>
      <c r="N116" s="501" t="str">
        <f>IFERROR(__xludf.DUMMYFUNCTION("""COMPUTED_VALUE"""),"Product")</f>
        <v>Product</v>
      </c>
      <c r="O116" s="501" t="str">
        <f>IFERROR(__xludf.DUMMYFUNCTION("""COMPUTED_VALUE"""),"Instagram Feed")</f>
        <v>Instagram Feed</v>
      </c>
      <c r="P116" s="503" t="str">
        <f>IFERROR(__xludf.DUMMYFUNCTION("""COMPUTED_VALUE"""),"")</f>
        <v/>
      </c>
      <c r="Q116" s="501" t="str">
        <f>IFERROR(__xludf.DUMMYFUNCTION("""COMPUTED_VALUE"""),"")</f>
        <v/>
      </c>
      <c r="R116" s="501" t="str">
        <f>IFERROR(__xludf.DUMMYFUNCTION("""COMPUTED_VALUE"""),"Timeline")</f>
        <v>Timeline</v>
      </c>
      <c r="S116" s="503" t="str">
        <f>IFERROR(__xludf.DUMMYFUNCTION("""COMPUTED_VALUE"""),"")</f>
        <v/>
      </c>
      <c r="T116" s="503" t="str">
        <f>IFERROR(__xludf.DUMMYFUNCTION("""COMPUTED_VALUE"""),"utm_source=facebook&amp;utm_medium=socialmedia&amp;utm_campaign=&amp;utm_content=mooiemaandag&amp;referrer=facebook")</f>
        <v>utm_source=facebook&amp;utm_medium=socialmedia&amp;utm_campaign=&amp;utm_content=mooiemaandag&amp;referrer=facebook</v>
      </c>
    </row>
    <row r="117">
      <c r="A117" s="501" t="str">
        <f>IFERROR(__xludf.DUMMYFUNCTION("""COMPUTED_VALUE"""),"februari")</f>
        <v>februari</v>
      </c>
      <c r="B117" s="501">
        <f>IFERROR(__xludf.DUMMYFUNCTION("""COMPUTED_VALUE"""),9.0)</f>
        <v>9</v>
      </c>
      <c r="C117" s="501" t="str">
        <f>IFERROR(__xludf.DUMMYFUNCTION("""COMPUTED_VALUE"""),"dinsdag")</f>
        <v>dinsdag</v>
      </c>
      <c r="D117" s="502">
        <f>IFERROR(__xludf.DUMMYFUNCTION("""COMPUTED_VALUE"""),43522.0)</f>
        <v>43522</v>
      </c>
      <c r="E117" s="502">
        <f>IFERROR(__xludf.DUMMYFUNCTION("""COMPUTED_VALUE"""),43522.0)</f>
        <v>43522</v>
      </c>
      <c r="F117" s="501" t="str">
        <f>IFERROR(__xludf.DUMMYFUNCTION("""COMPUTED_VALUE"""),"")</f>
        <v/>
      </c>
      <c r="G117" s="503" t="str">
        <f>IFERROR(__xludf.DUMMYFUNCTION("""COMPUTED_VALUE"""),"")</f>
        <v/>
      </c>
      <c r="H117" s="501" t="str">
        <f>IFERROR(__xludf.DUMMYFUNCTION("""COMPUTED_VALUE"""),"Knuffels")</f>
        <v>Knuffels</v>
      </c>
      <c r="I117" s="503" t="str">
        <f>IFERROR(__xludf.DUMMYFUNCTION("""COMPUTED_VALUE"""),"Een dikke knuffel van ons ;-) Wist je dat we grootse verrassingen hebben voor de allerkleinsten?")</f>
        <v>Een dikke knuffel van ons ;-) Wist je dat we grootse verrassingen hebben voor de allerkleinsten?</v>
      </c>
      <c r="J117" s="501" t="str">
        <f>IFERROR(__xludf.DUMMYFUNCTION("""COMPUTED_VALUE"""),"In systeem zetten")</f>
        <v>In systeem zetten</v>
      </c>
      <c r="K117" s="505" t="str">
        <f>IFERROR(__xludf.DUMMYFUNCTION("""COMPUTED_VALUE""")," Hoofddoelgroep ")</f>
        <v>Hoofddoelgroep</v>
      </c>
      <c r="L117" s="506">
        <f>IFERROR(__xludf.DUMMYFUNCTION("""COMPUTED_VALUE"""),300.0)</f>
        <v>300</v>
      </c>
      <c r="M117" s="504">
        <f>IFERROR(__xludf.DUMMYFUNCTION("""COMPUTED_VALUE"""),1.0)</f>
        <v>1</v>
      </c>
      <c r="N117" s="501" t="str">
        <f>IFERROR(__xludf.DUMMYFUNCTION("""COMPUTED_VALUE"""),"Product")</f>
        <v>Product</v>
      </c>
      <c r="O117" s="501" t="str">
        <f>IFERROR(__xludf.DUMMYFUNCTION("""COMPUTED_VALUE"""),"Facebook")</f>
        <v>Facebook</v>
      </c>
      <c r="P117" s="503" t="str">
        <f>IFERROR(__xludf.DUMMYFUNCTION("""COMPUTED_VALUE"""),"Facebook - See - Retailcampaigning &amp; contentkalender")</f>
        <v>Facebook - See - Retailcampaigning &amp; contentkalender</v>
      </c>
      <c r="Q117" s="501" t="str">
        <f>IFERROR(__xludf.DUMMYFUNCTION("""COMPUTED_VALUE"""),"Bereik")</f>
        <v>Bereik</v>
      </c>
      <c r="R117" s="501" t="str">
        <f>IFERROR(__xludf.DUMMYFUNCTION("""COMPUTED_VALUE"""),"Timeline")</f>
        <v>Timeline</v>
      </c>
      <c r="S117" s="503" t="str">
        <f>IFERROR(__xludf.DUMMYFUNCTION("""COMPUTED_VALUE"""),"")</f>
        <v/>
      </c>
      <c r="T117" s="503" t="str">
        <f>IFERROR(__xludf.DUMMYFUNCTION("""COMPUTED_VALUE"""),"utm_source=facebook&amp;utm_medium=socialmedia&amp;utm_campaign=facebook_-_see_-_retailcampaigning_&amp;_contentkalender&amp;utm_content=knuffels&amp;referrer=facebook")</f>
        <v>utm_source=facebook&amp;utm_medium=socialmedia&amp;utm_campaign=facebook_-_see_-_retailcampaigning_&amp;_contentkalender&amp;utm_content=knuffels&amp;referrer=facebook</v>
      </c>
    </row>
    <row r="118">
      <c r="A118" s="501" t="str">
        <f>IFERROR(__xludf.DUMMYFUNCTION("""COMPUTED_VALUE"""),"februari")</f>
        <v>februari</v>
      </c>
      <c r="B118" s="501">
        <f>IFERROR(__xludf.DUMMYFUNCTION("""COMPUTED_VALUE"""),9.0)</f>
        <v>9</v>
      </c>
      <c r="C118" s="501" t="str">
        <f>IFERROR(__xludf.DUMMYFUNCTION("""COMPUTED_VALUE"""),"woensdag")</f>
        <v>woensdag</v>
      </c>
      <c r="D118" s="502">
        <f>IFERROR(__xludf.DUMMYFUNCTION("""COMPUTED_VALUE"""),43523.0)</f>
        <v>43523</v>
      </c>
      <c r="E118" s="502">
        <f>IFERROR(__xludf.DUMMYFUNCTION("""COMPUTED_VALUE"""),43523.0)</f>
        <v>43523</v>
      </c>
      <c r="F118" s="501" t="str">
        <f>IFERROR(__xludf.DUMMYFUNCTION("""COMPUTED_VALUE"""),"")</f>
        <v/>
      </c>
      <c r="G118" s="503" t="str">
        <f>IFERROR(__xludf.DUMMYFUNCTION("""COMPUTED_VALUE"""),"")</f>
        <v/>
      </c>
      <c r="H118" s="501" t="str">
        <f>IFERROR(__xludf.DUMMYFUNCTION("""COMPUTED_VALUE"""),"Instagram Poll")</f>
        <v>Instagram Poll</v>
      </c>
      <c r="I118" s="503" t="str">
        <f>IFERROR(__xludf.DUMMYFUNCTION("""COMPUTED_VALUE"""),"")</f>
        <v/>
      </c>
      <c r="J118" s="501" t="str">
        <f>IFERROR(__xludf.DUMMYFUNCTION("""COMPUTED_VALUE"""),"")</f>
        <v/>
      </c>
      <c r="K118" s="503" t="str">
        <f>IFERROR(__xludf.DUMMYFUNCTION("""COMPUTED_VALUE"""),"")</f>
        <v/>
      </c>
      <c r="L118" s="501" t="str">
        <f>IFERROR(__xludf.DUMMYFUNCTION("""COMPUTED_VALUE"""),"")</f>
        <v/>
      </c>
      <c r="M118" s="504">
        <f>IFERROR(__xludf.DUMMYFUNCTION("""COMPUTED_VALUE"""),1.0)</f>
        <v>1</v>
      </c>
      <c r="N118" s="501" t="str">
        <f>IFERROR(__xludf.DUMMYFUNCTION("""COMPUTED_VALUE"""),"Geven/ontvangen")</f>
        <v>Geven/ontvangen</v>
      </c>
      <c r="O118" s="501" t="str">
        <f>IFERROR(__xludf.DUMMYFUNCTION("""COMPUTED_VALUE"""),"Instagram Stories")</f>
        <v>Instagram Stories</v>
      </c>
      <c r="P118" s="503" t="str">
        <f>IFERROR(__xludf.DUMMYFUNCTION("""COMPUTED_VALUE"""),"")</f>
        <v/>
      </c>
      <c r="Q118" s="501" t="str">
        <f>IFERROR(__xludf.DUMMYFUNCTION("""COMPUTED_VALUE"""),"")</f>
        <v/>
      </c>
      <c r="R118" s="501" t="str">
        <f>IFERROR(__xludf.DUMMYFUNCTION("""COMPUTED_VALUE"""),"Timeline")</f>
        <v>Timeline</v>
      </c>
      <c r="S118" s="503" t="str">
        <f>IFERROR(__xludf.DUMMYFUNCTION("""COMPUTED_VALUE"""),"")</f>
        <v/>
      </c>
      <c r="T118" s="503" t="str">
        <f>IFERROR(__xludf.DUMMYFUNCTION("""COMPUTED_VALUE"""),"utm_source=facebook&amp;utm_medium=socialmedia&amp;utm_campaign=&amp;utm_content=instagrampoll&amp;referrer=facebook")</f>
        <v>utm_source=facebook&amp;utm_medium=socialmedia&amp;utm_campaign=&amp;utm_content=instagrampoll&amp;referrer=facebook</v>
      </c>
    </row>
    <row r="119">
      <c r="A119" s="501" t="str">
        <f>IFERROR(__xludf.DUMMYFUNCTION("""COMPUTED_VALUE"""),"februari")</f>
        <v>februari</v>
      </c>
      <c r="B119" s="501">
        <f>IFERROR(__xludf.DUMMYFUNCTION("""COMPUTED_VALUE"""),9.0)</f>
        <v>9</v>
      </c>
      <c r="C119" s="501" t="str">
        <f>IFERROR(__xludf.DUMMYFUNCTION("""COMPUTED_VALUE"""),"donderdag")</f>
        <v>donderdag</v>
      </c>
      <c r="D119" s="502">
        <f>IFERROR(__xludf.DUMMYFUNCTION("""COMPUTED_VALUE"""),43524.0)</f>
        <v>43524</v>
      </c>
      <c r="E119" s="502">
        <f>IFERROR(__xludf.DUMMYFUNCTION("""COMPUTED_VALUE"""),43524.0)</f>
        <v>43524</v>
      </c>
      <c r="F119" s="501" t="str">
        <f>IFERROR(__xludf.DUMMYFUNCTION("""COMPUTED_VALUE"""),"")</f>
        <v/>
      </c>
      <c r="G119" s="503" t="str">
        <f>IFERROR(__xludf.DUMMYFUNCTION("""COMPUTED_VALUE"""),"")</f>
        <v/>
      </c>
      <c r="H119" s="501" t="str">
        <f>IFERROR(__xludf.DUMMYFUNCTION("""COMPUTED_VALUE"""),"Nationale complimentendag")</f>
        <v>Nationale complimentendag</v>
      </c>
      <c r="I119" s="503" t="str">
        <f>IFERROR(__xludf.DUMMYFUNCTION("""COMPUTED_VALUE"""),"Morgen is het nationale complimentendag. Wie ga jij een complimentje sturen? ;)")</f>
        <v>Morgen is het nationale complimentendag. Wie ga jij een complimentje sturen? ;)</v>
      </c>
      <c r="J119" s="501" t="str">
        <f>IFERROR(__xludf.DUMMYFUNCTION("""COMPUTED_VALUE"""),"Designen")</f>
        <v>Designen</v>
      </c>
      <c r="K119" s="503" t="str">
        <f>IFERROR(__xludf.DUMMYFUNCTION("""COMPUTED_VALUE"""),"")</f>
        <v/>
      </c>
      <c r="L119" s="501" t="str">
        <f>IFERROR(__xludf.DUMMYFUNCTION("""COMPUTED_VALUE"""),"")</f>
        <v/>
      </c>
      <c r="M119" s="504">
        <f>IFERROR(__xludf.DUMMYFUNCTION("""COMPUTED_VALUE"""),1.0)</f>
        <v>1</v>
      </c>
      <c r="N119" s="501" t="str">
        <f>IFERROR(__xludf.DUMMYFUNCTION("""COMPUTED_VALUE"""),"Geven/ontvangen")</f>
        <v>Geven/ontvangen</v>
      </c>
      <c r="O119" s="501" t="str">
        <f>IFERROR(__xludf.DUMMYFUNCTION("""COMPUTED_VALUE"""),"Instagram Feed")</f>
        <v>Instagram Feed</v>
      </c>
      <c r="P119" s="503" t="str">
        <f>IFERROR(__xludf.DUMMYFUNCTION("""COMPUTED_VALUE"""),"")</f>
        <v/>
      </c>
      <c r="Q119" s="501" t="str">
        <f>IFERROR(__xludf.DUMMYFUNCTION("""COMPUTED_VALUE"""),"Conversie - Conversie")</f>
        <v>Conversie - Conversie</v>
      </c>
      <c r="R119" s="501" t="str">
        <f>IFERROR(__xludf.DUMMYFUNCTION("""COMPUTED_VALUE"""),"Timeline")</f>
        <v>Timeline</v>
      </c>
      <c r="S119" s="503" t="str">
        <f>IFERROR(__xludf.DUMMYFUNCTION("""COMPUTED_VALUE"""),"Deze kaart: https://www.greetz.nl/kaart/detail/hallo-knapperd/1142761069 
Graag in een beeld uit deze map : K:\Greetz Photography\Seizoensfotografie\2019\Valentijn - evd januari 2019\kaarten")</f>
        <v>Deze kaart: https://www.greetz.nl/kaart/detail/hallo-knapperd/1142761069 
Graag in een beeld uit deze map : K:\Greetz Photography\Seizoensfotografie\2019\Valentijn - evd januari 2019\kaarten</v>
      </c>
      <c r="T119" s="503" t="str">
        <f>IFERROR(__xludf.DUMMYFUNCTION("""COMPUTED_VALUE"""),"utm_source=facebook&amp;utm_medium=socialmedia&amp;utm_campaign=&amp;utm_content=nationalecomplimentendag&amp;referrer=facebook")</f>
        <v>utm_source=facebook&amp;utm_medium=socialmedia&amp;utm_campaign=&amp;utm_content=nationalecomplimentendag&amp;referrer=facebook</v>
      </c>
    </row>
    <row r="120">
      <c r="A120" s="501" t="str">
        <f>IFERROR(__xludf.DUMMYFUNCTION("""COMPUTED_VALUE"""),"februari")</f>
        <v>februari</v>
      </c>
      <c r="B120" s="501">
        <f>IFERROR(__xludf.DUMMYFUNCTION("""COMPUTED_VALUE"""),9.0)</f>
        <v>9</v>
      </c>
      <c r="C120" s="501" t="str">
        <f>IFERROR(__xludf.DUMMYFUNCTION("""COMPUTED_VALUE"""),"donderdag")</f>
        <v>donderdag</v>
      </c>
      <c r="D120" s="502">
        <f>IFERROR(__xludf.DUMMYFUNCTION("""COMPUTED_VALUE"""),43524.0)</f>
        <v>43524</v>
      </c>
      <c r="E120" s="502">
        <f>IFERROR(__xludf.DUMMYFUNCTION("""COMPUTED_VALUE"""),43524.0)</f>
        <v>43524</v>
      </c>
      <c r="F120" s="501" t="str">
        <f>IFERROR(__xludf.DUMMYFUNCTION("""COMPUTED_VALUE"""),"")</f>
        <v/>
      </c>
      <c r="G120" s="503" t="str">
        <f>IFERROR(__xludf.DUMMYFUNCTION("""COMPUTED_VALUE"""),"")</f>
        <v/>
      </c>
      <c r="H120" s="501" t="str">
        <f>IFERROR(__xludf.DUMMYFUNCTION("""COMPUTED_VALUE"""),"Nationale complimentendag - Greetz Zakelijk")</f>
        <v>Nationale complimentendag - Greetz Zakelijk</v>
      </c>
      <c r="I120" s="503" t="str">
        <f>IFERROR(__xludf.DUMMYFUNCTION("""COMPUTED_VALUE"""),"Welke parel van een collega wil jij verrassen morgen op complimentendag? Het zakelijke zusje van Greetz geeft 5 keer het boeket 'Parel' weg, speciaal voor die harde werkers. ")</f>
        <v>Welke parel van een collega wil jij verrassen morgen op complimentendag? Het zakelijke zusje van Greetz geeft 5 keer het boeket 'Parel' weg, speciaal voor die harde werkers. </v>
      </c>
      <c r="J120" s="501" t="str">
        <f>IFERROR(__xludf.DUMMYFUNCTION("""COMPUTED_VALUE"""),"In systeem zetten")</f>
        <v>In systeem zetten</v>
      </c>
      <c r="K120" s="505" t="str">
        <f>IFERROR(__xludf.DUMMYFUNCTION("""COMPUTED_VALUE""")," B2B Doelgroep ")</f>
        <v>B2B Doelgroep</v>
      </c>
      <c r="L120" s="506">
        <f>IFERROR(__xludf.DUMMYFUNCTION("""COMPUTED_VALUE"""),500.0)</f>
        <v>500</v>
      </c>
      <c r="M120" s="504">
        <f>IFERROR(__xludf.DUMMYFUNCTION("""COMPUTED_VALUE"""),1.0)</f>
        <v>1</v>
      </c>
      <c r="N120" s="501" t="str">
        <f>IFERROR(__xludf.DUMMYFUNCTION("""COMPUTED_VALUE"""),"Geven/ontvangen")</f>
        <v>Geven/ontvangen</v>
      </c>
      <c r="O120" s="501" t="str">
        <f>IFERROR(__xludf.DUMMYFUNCTION("""COMPUTED_VALUE"""),"Facebook")</f>
        <v>Facebook</v>
      </c>
      <c r="P120" s="503" t="str">
        <f>IFERROR(__xludf.DUMMYFUNCTION("""COMPUTED_VALUE"""),"Facebook - B2B")</f>
        <v>Facebook - B2B</v>
      </c>
      <c r="Q120" s="501" t="str">
        <f>IFERROR(__xludf.DUMMYFUNCTION("""COMPUTED_VALUE"""),"Engagement")</f>
        <v>Engagement</v>
      </c>
      <c r="R120" s="501" t="str">
        <f>IFERROR(__xludf.DUMMYFUNCTION("""COMPUTED_VALUE"""),"Dark")</f>
        <v>Dark</v>
      </c>
      <c r="S120" s="503" t="str">
        <f>IFERROR(__xludf.DUMMYFUNCTION("""COMPUTED_VALUE"""),"Foto van Bettine met gouden roos")</f>
        <v>Foto van Bettine met gouden roos</v>
      </c>
      <c r="T120" s="503" t="str">
        <f>IFERROR(__xludf.DUMMYFUNCTION("""COMPUTED_VALUE"""),"utm_source=facebook&amp;utm_medium=socialmedia&amp;utm_campaign=facebook_-_b2b&amp;utm_content=nationalecomplimentendag-greetzzakelijk&amp;referrer=facebook")</f>
        <v>utm_source=facebook&amp;utm_medium=socialmedia&amp;utm_campaign=facebook_-_b2b&amp;utm_content=nationalecomplimentendag-greetzzakelijk&amp;referrer=facebook</v>
      </c>
    </row>
    <row r="121">
      <c r="A121" s="501" t="str">
        <f>IFERROR(__xludf.DUMMYFUNCTION("""COMPUTED_VALUE"""),"maart")</f>
        <v>maart</v>
      </c>
      <c r="B121" s="501">
        <f>IFERROR(__xludf.DUMMYFUNCTION("""COMPUTED_VALUE"""),9.0)</f>
        <v>9</v>
      </c>
      <c r="C121" s="501" t="str">
        <f>IFERROR(__xludf.DUMMYFUNCTION("""COMPUTED_VALUE"""),"vrijdag")</f>
        <v>vrijdag</v>
      </c>
      <c r="D121" s="502">
        <f>IFERROR(__xludf.DUMMYFUNCTION("""COMPUTED_VALUE"""),43525.0)</f>
        <v>43525</v>
      </c>
      <c r="E121" s="502">
        <f>IFERROR(__xludf.DUMMYFUNCTION("""COMPUTED_VALUE"""),43555.0)</f>
        <v>43555</v>
      </c>
      <c r="F121" s="501" t="str">
        <f>IFERROR(__xludf.DUMMYFUNCTION("""COMPUTED_VALUE"""),"")</f>
        <v/>
      </c>
      <c r="G121" s="503" t="str">
        <f>IFERROR(__xludf.DUMMYFUNCTION("""COMPUTED_VALUE"""),"")</f>
        <v/>
      </c>
      <c r="H121" s="501" t="str">
        <f>IFERROR(__xludf.DUMMYFUNCTION("""COMPUTED_VALUE"""),"AOC verhuizen do")</f>
        <v>AOC verhuizen do</v>
      </c>
      <c r="I121" s="503" t="str">
        <f>IFERROR(__xludf.DUMMYFUNCTION("""COMPUTED_VALUE"""),"")</f>
        <v/>
      </c>
      <c r="J121" s="501" t="str">
        <f>IFERROR(__xludf.DUMMYFUNCTION("""COMPUTED_VALUE"""),"Staat klaar")</f>
        <v>Staat klaar</v>
      </c>
      <c r="K121" s="505" t="str">
        <f>IFERROR(__xludf.DUMMYFUNCTION("""COMPUTED_VALUE""")," URl bevat nieuwe woning 14 dagen ")</f>
        <v>URl bevat nieuwe woning 14 dagen</v>
      </c>
      <c r="L121" s="506">
        <f>IFERROR(__xludf.DUMMYFUNCTION("""COMPUTED_VALUE"""),300.0)</f>
        <v>300</v>
      </c>
      <c r="M121" s="504">
        <f>IFERROR(__xludf.DUMMYFUNCTION("""COMPUTED_VALUE"""),31.0)</f>
        <v>31</v>
      </c>
      <c r="N121" s="501" t="str">
        <f>IFERROR(__xludf.DUMMYFUNCTION("""COMPUTED_VALUE"""),"Product")</f>
        <v>Product</v>
      </c>
      <c r="O121" s="501" t="str">
        <f>IFERROR(__xludf.DUMMYFUNCTION("""COMPUTED_VALUE"""),"Facebook")</f>
        <v>Facebook</v>
      </c>
      <c r="P121" s="503" t="str">
        <f>IFERROR(__xludf.DUMMYFUNCTION("""COMPUTED_VALUE"""),"Facebook - Do - AOC")</f>
        <v>Facebook - Do - AOC</v>
      </c>
      <c r="Q121" s="501" t="str">
        <f>IFERROR(__xludf.DUMMYFUNCTION("""COMPUTED_VALUE"""),"Conversie - Waarde")</f>
        <v>Conversie - Waarde</v>
      </c>
      <c r="R121" s="501" t="str">
        <f>IFERROR(__xludf.DUMMYFUNCTION("""COMPUTED_VALUE"""),"Dark")</f>
        <v>Dark</v>
      </c>
      <c r="S121" s="503" t="str">
        <f>IFERROR(__xludf.DUMMYFUNCTION("""COMPUTED_VALUE"""),"")</f>
        <v/>
      </c>
      <c r="T121"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122">
      <c r="A122" s="501" t="str">
        <f>IFERROR(__xludf.DUMMYFUNCTION("""COMPUTED_VALUE"""),"maart")</f>
        <v>maart</v>
      </c>
      <c r="B122" s="501">
        <f>IFERROR(__xludf.DUMMYFUNCTION("""COMPUTED_VALUE"""),9.0)</f>
        <v>9</v>
      </c>
      <c r="C122" s="501" t="str">
        <f>IFERROR(__xludf.DUMMYFUNCTION("""COMPUTED_VALUE"""),"vrijdag")</f>
        <v>vrijdag</v>
      </c>
      <c r="D122" s="502">
        <f>IFERROR(__xludf.DUMMYFUNCTION("""COMPUTED_VALUE"""),43525.0)</f>
        <v>43525</v>
      </c>
      <c r="E122" s="502">
        <f>IFERROR(__xludf.DUMMYFUNCTION("""COMPUTED_VALUE"""),43555.0)</f>
        <v>43555</v>
      </c>
      <c r="F122" s="501" t="str">
        <f>IFERROR(__xludf.DUMMYFUNCTION("""COMPUTED_VALUE"""),"")</f>
        <v/>
      </c>
      <c r="G122" s="503" t="str">
        <f>IFERROR(__xludf.DUMMYFUNCTION("""COMPUTED_VALUE"""),"")</f>
        <v/>
      </c>
      <c r="H122" s="501" t="str">
        <f>IFERROR(__xludf.DUMMYFUNCTION("""COMPUTED_VALUE"""),"AOC verjaardag do")</f>
        <v>AOC verjaardag do</v>
      </c>
      <c r="I122" s="503" t="str">
        <f>IFERROR(__xludf.DUMMYFUNCTION("""COMPUTED_VALUE"""),"")</f>
        <v/>
      </c>
      <c r="J122" s="501" t="str">
        <f>IFERROR(__xludf.DUMMYFUNCTION("""COMPUTED_VALUE"""),"Staat klaar")</f>
        <v>Staat klaar</v>
      </c>
      <c r="K122" s="505" t="str">
        <f>IFERROR(__xludf.DUMMYFUNCTION("""COMPUTED_VALUE""")," Goeie vrienden van jarige 7-30 dagen ")</f>
        <v>Goeie vrienden van jarige 7-30 dagen</v>
      </c>
      <c r="L122" s="506">
        <f>IFERROR(__xludf.DUMMYFUNCTION("""COMPUTED_VALUE"""),300.0)</f>
        <v>300</v>
      </c>
      <c r="M122" s="504">
        <f>IFERROR(__xludf.DUMMYFUNCTION("""COMPUTED_VALUE"""),31.0)</f>
        <v>31</v>
      </c>
      <c r="N122" s="501" t="str">
        <f>IFERROR(__xludf.DUMMYFUNCTION("""COMPUTED_VALUE"""),"Product")</f>
        <v>Product</v>
      </c>
      <c r="O122" s="501" t="str">
        <f>IFERROR(__xludf.DUMMYFUNCTION("""COMPUTED_VALUE"""),"Facebook")</f>
        <v>Facebook</v>
      </c>
      <c r="P122" s="503" t="str">
        <f>IFERROR(__xludf.DUMMYFUNCTION("""COMPUTED_VALUE"""),"Facebook - Do - AOC")</f>
        <v>Facebook - Do - AOC</v>
      </c>
      <c r="Q122" s="501" t="str">
        <f>IFERROR(__xludf.DUMMYFUNCTION("""COMPUTED_VALUE"""),"Conversie - Waarde")</f>
        <v>Conversie - Waarde</v>
      </c>
      <c r="R122" s="501" t="str">
        <f>IFERROR(__xludf.DUMMYFUNCTION("""COMPUTED_VALUE"""),"Dark")</f>
        <v>Dark</v>
      </c>
      <c r="S122" s="503" t="str">
        <f>IFERROR(__xludf.DUMMYFUNCTION("""COMPUTED_VALUE"""),"")</f>
        <v/>
      </c>
      <c r="T122"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123">
      <c r="A123" s="501" t="str">
        <f>IFERROR(__xludf.DUMMYFUNCTION("""COMPUTED_VALUE"""),"maart")</f>
        <v>maart</v>
      </c>
      <c r="B123" s="501">
        <f>IFERROR(__xludf.DUMMYFUNCTION("""COMPUTED_VALUE"""),9.0)</f>
        <v>9</v>
      </c>
      <c r="C123" s="501" t="str">
        <f>IFERROR(__xludf.DUMMYFUNCTION("""COMPUTED_VALUE"""),"vrijdag")</f>
        <v>vrijdag</v>
      </c>
      <c r="D123" s="502">
        <f>IFERROR(__xludf.DUMMYFUNCTION("""COMPUTED_VALUE"""),43525.0)</f>
        <v>43525</v>
      </c>
      <c r="E123" s="502">
        <f>IFERROR(__xludf.DUMMYFUNCTION("""COMPUTED_VALUE"""),43555.0)</f>
        <v>43555</v>
      </c>
      <c r="F123" s="501" t="str">
        <f>IFERROR(__xludf.DUMMYFUNCTION("""COMPUTED_VALUE"""),"")</f>
        <v/>
      </c>
      <c r="G123" s="503" t="str">
        <f>IFERROR(__xludf.DUMMYFUNCTION("""COMPUTED_VALUE"""),"")</f>
        <v/>
      </c>
      <c r="H123" s="501" t="str">
        <f>IFERROR(__xludf.DUMMYFUNCTION("""COMPUTED_VALUE"""),"AOC verjaardag do")</f>
        <v>AOC verjaardag do</v>
      </c>
      <c r="I123" s="503" t="str">
        <f>IFERROR(__xludf.DUMMYFUNCTION("""COMPUTED_VALUE"""),"")</f>
        <v/>
      </c>
      <c r="J123" s="501" t="str">
        <f>IFERROR(__xludf.DUMMYFUNCTION("""COMPUTED_VALUE"""),"Staat klaar")</f>
        <v>Staat klaar</v>
      </c>
      <c r="K123" s="505" t="str">
        <f>IFERROR(__xludf.DUMMYFUNCTION("""COMPUTED_VALUE""")," URL bevat verjaardag 2-7 dagen ")</f>
        <v>URL bevat verjaardag 2-7 dagen</v>
      </c>
      <c r="L123" s="506">
        <f>IFERROR(__xludf.DUMMYFUNCTION("""COMPUTED_VALUE"""),1200.0)</f>
        <v>1200</v>
      </c>
      <c r="M123" s="504">
        <f>IFERROR(__xludf.DUMMYFUNCTION("""COMPUTED_VALUE"""),31.0)</f>
        <v>31</v>
      </c>
      <c r="N123" s="501" t="str">
        <f>IFERROR(__xludf.DUMMYFUNCTION("""COMPUTED_VALUE"""),"Product")</f>
        <v>Product</v>
      </c>
      <c r="O123" s="501" t="str">
        <f>IFERROR(__xludf.DUMMYFUNCTION("""COMPUTED_VALUE"""),"Facebook")</f>
        <v>Facebook</v>
      </c>
      <c r="P123" s="503" t="str">
        <f>IFERROR(__xludf.DUMMYFUNCTION("""COMPUTED_VALUE"""),"Facebook - Do - AOC")</f>
        <v>Facebook - Do - AOC</v>
      </c>
      <c r="Q123" s="501" t="str">
        <f>IFERROR(__xludf.DUMMYFUNCTION("""COMPUTED_VALUE"""),"Conversie - Waarde")</f>
        <v>Conversie - Waarde</v>
      </c>
      <c r="R123" s="501" t="str">
        <f>IFERROR(__xludf.DUMMYFUNCTION("""COMPUTED_VALUE"""),"Dark")</f>
        <v>Dark</v>
      </c>
      <c r="S123" s="503" t="str">
        <f>IFERROR(__xludf.DUMMYFUNCTION("""COMPUTED_VALUE"""),"")</f>
        <v/>
      </c>
      <c r="T123"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124">
      <c r="A124" s="501" t="str">
        <f>IFERROR(__xludf.DUMMYFUNCTION("""COMPUTED_VALUE"""),"maart")</f>
        <v>maart</v>
      </c>
      <c r="B124" s="501">
        <f>IFERROR(__xludf.DUMMYFUNCTION("""COMPUTED_VALUE"""),9.0)</f>
        <v>9</v>
      </c>
      <c r="C124" s="501" t="str">
        <f>IFERROR(__xludf.DUMMYFUNCTION("""COMPUTED_VALUE"""),"vrijdag")</f>
        <v>vrijdag</v>
      </c>
      <c r="D124" s="502">
        <f>IFERROR(__xludf.DUMMYFUNCTION("""COMPUTED_VALUE"""),43525.0)</f>
        <v>43525</v>
      </c>
      <c r="E124" s="502">
        <f>IFERROR(__xludf.DUMMYFUNCTION("""COMPUTED_VALUE"""),43555.0)</f>
        <v>43555</v>
      </c>
      <c r="F124" s="501" t="str">
        <f>IFERROR(__xludf.DUMMYFUNCTION("""COMPUTED_VALUE"""),"")</f>
        <v/>
      </c>
      <c r="G124" s="503" t="str">
        <f>IFERROR(__xludf.DUMMYFUNCTION("""COMPUTED_VALUE"""),"")</f>
        <v/>
      </c>
      <c r="H124" s="501" t="str">
        <f>IFERROR(__xludf.DUMMYFUNCTION("""COMPUTED_VALUE"""),"AOC geboorte do")</f>
        <v>AOC geboorte do</v>
      </c>
      <c r="I124" s="503" t="str">
        <f>IFERROR(__xludf.DUMMYFUNCTION("""COMPUTED_VALUE"""),"")</f>
        <v/>
      </c>
      <c r="J124" s="501" t="str">
        <f>IFERROR(__xludf.DUMMYFUNCTION("""COMPUTED_VALUE"""),"Staat klaar")</f>
        <v>Staat klaar</v>
      </c>
      <c r="K124" s="505" t="str">
        <f>IFERROR(__xludf.DUMMYFUNCTION("""COMPUTED_VALUE""")," URL bevat geboorte 2-7 dagen ")</f>
        <v>URL bevat geboorte 2-7 dagen</v>
      </c>
      <c r="L124" s="506">
        <f>IFERROR(__xludf.DUMMYFUNCTION("""COMPUTED_VALUE"""),1200.0)</f>
        <v>1200</v>
      </c>
      <c r="M124" s="504">
        <f>IFERROR(__xludf.DUMMYFUNCTION("""COMPUTED_VALUE"""),31.0)</f>
        <v>31</v>
      </c>
      <c r="N124" s="501" t="str">
        <f>IFERROR(__xludf.DUMMYFUNCTION("""COMPUTED_VALUE"""),"Product")</f>
        <v>Product</v>
      </c>
      <c r="O124" s="501" t="str">
        <f>IFERROR(__xludf.DUMMYFUNCTION("""COMPUTED_VALUE"""),"Facebook")</f>
        <v>Facebook</v>
      </c>
      <c r="P124" s="503" t="str">
        <f>IFERROR(__xludf.DUMMYFUNCTION("""COMPUTED_VALUE"""),"Facebook - Do - AOC")</f>
        <v>Facebook - Do - AOC</v>
      </c>
      <c r="Q124" s="501" t="str">
        <f>IFERROR(__xludf.DUMMYFUNCTION("""COMPUTED_VALUE"""),"Conversie - Waarde")</f>
        <v>Conversie - Waarde</v>
      </c>
      <c r="R124" s="501" t="str">
        <f>IFERROR(__xludf.DUMMYFUNCTION("""COMPUTED_VALUE"""),"Dark")</f>
        <v>Dark</v>
      </c>
      <c r="S124" s="503" t="str">
        <f>IFERROR(__xludf.DUMMYFUNCTION("""COMPUTED_VALUE"""),"")</f>
        <v/>
      </c>
      <c r="T124"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125">
      <c r="A125" s="501" t="str">
        <f>IFERROR(__xludf.DUMMYFUNCTION("""COMPUTED_VALUE"""),"maart")</f>
        <v>maart</v>
      </c>
      <c r="B125" s="501">
        <f>IFERROR(__xludf.DUMMYFUNCTION("""COMPUTED_VALUE"""),9.0)</f>
        <v>9</v>
      </c>
      <c r="C125" s="501" t="str">
        <f>IFERROR(__xludf.DUMMYFUNCTION("""COMPUTED_VALUE"""),"vrijdag")</f>
        <v>vrijdag</v>
      </c>
      <c r="D125" s="502">
        <f>IFERROR(__xludf.DUMMYFUNCTION("""COMPUTED_VALUE"""),43525.0)</f>
        <v>43525</v>
      </c>
      <c r="E125" s="502">
        <f>IFERROR(__xludf.DUMMYFUNCTION("""COMPUTED_VALUE"""),43555.0)</f>
        <v>43555</v>
      </c>
      <c r="F125" s="501" t="str">
        <f>IFERROR(__xludf.DUMMYFUNCTION("""COMPUTED_VALUE"""),"")</f>
        <v/>
      </c>
      <c r="G125" s="503" t="str">
        <f>IFERROR(__xludf.DUMMYFUNCTION("""COMPUTED_VALUE"""),"")</f>
        <v/>
      </c>
      <c r="H125" s="501" t="str">
        <f>IFERROR(__xludf.DUMMYFUNCTION("""COMPUTED_VALUE"""),"AOC verhuizen think")</f>
        <v>AOC verhuizen think</v>
      </c>
      <c r="I125" s="503" t="str">
        <f>IFERROR(__xludf.DUMMYFUNCTION("""COMPUTED_VALUE"""),"")</f>
        <v/>
      </c>
      <c r="J125" s="501" t="str">
        <f>IFERROR(__xludf.DUMMYFUNCTION("""COMPUTED_VALUE"""),"Staat klaar")</f>
        <v>Staat klaar</v>
      </c>
      <c r="K125" s="505" t="str">
        <f>IFERROR(__xludf.DUMMYFUNCTION("""COMPUTED_VALUE""")," Vrienden van recent verhuisd ")</f>
        <v>Vrienden van recent verhuisd</v>
      </c>
      <c r="L125" s="506">
        <f>IFERROR(__xludf.DUMMYFUNCTION("""COMPUTED_VALUE"""),300.0)</f>
        <v>300</v>
      </c>
      <c r="M125" s="504">
        <f>IFERROR(__xludf.DUMMYFUNCTION("""COMPUTED_VALUE"""),31.0)</f>
        <v>31</v>
      </c>
      <c r="N125" s="501" t="str">
        <f>IFERROR(__xludf.DUMMYFUNCTION("""COMPUTED_VALUE"""),"Geven/ontvangen")</f>
        <v>Geven/ontvangen</v>
      </c>
      <c r="O125" s="501" t="str">
        <f>IFERROR(__xludf.DUMMYFUNCTION("""COMPUTED_VALUE"""),"Facebook")</f>
        <v>Facebook</v>
      </c>
      <c r="P125" s="503" t="str">
        <f>IFERROR(__xludf.DUMMYFUNCTION("""COMPUTED_VALUE"""),"Facebook - Think - AOC")</f>
        <v>Facebook - Think - AOC</v>
      </c>
      <c r="Q125" s="501" t="str">
        <f>IFERROR(__xludf.DUMMYFUNCTION("""COMPUTED_VALUE"""),"Conversie - Landingspagina")</f>
        <v>Conversie - Landingspagina</v>
      </c>
      <c r="R125" s="501" t="str">
        <f>IFERROR(__xludf.DUMMYFUNCTION("""COMPUTED_VALUE"""),"Dark")</f>
        <v>Dark</v>
      </c>
      <c r="S125" s="503" t="str">
        <f>IFERROR(__xludf.DUMMYFUNCTION("""COMPUTED_VALUE"""),"")</f>
        <v/>
      </c>
      <c r="T125"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126">
      <c r="A126" s="501" t="str">
        <f>IFERROR(__xludf.DUMMYFUNCTION("""COMPUTED_VALUE"""),"maart")</f>
        <v>maart</v>
      </c>
      <c r="B126" s="501">
        <f>IFERROR(__xludf.DUMMYFUNCTION("""COMPUTED_VALUE"""),9.0)</f>
        <v>9</v>
      </c>
      <c r="C126" s="501" t="str">
        <f>IFERROR(__xludf.DUMMYFUNCTION("""COMPUTED_VALUE"""),"vrijdag")</f>
        <v>vrijdag</v>
      </c>
      <c r="D126" s="502">
        <f>IFERROR(__xludf.DUMMYFUNCTION("""COMPUTED_VALUE"""),43525.0)</f>
        <v>43525</v>
      </c>
      <c r="E126" s="502">
        <f>IFERROR(__xludf.DUMMYFUNCTION("""COMPUTED_VALUE"""),43555.0)</f>
        <v>43555</v>
      </c>
      <c r="F126" s="501" t="str">
        <f>IFERROR(__xludf.DUMMYFUNCTION("""COMPUTED_VALUE"""),"")</f>
        <v/>
      </c>
      <c r="G126" s="503" t="str">
        <f>IFERROR(__xludf.DUMMYFUNCTION("""COMPUTED_VALUE"""),"")</f>
        <v/>
      </c>
      <c r="H126" s="501" t="str">
        <f>IFERROR(__xludf.DUMMYFUNCTION("""COMPUTED_VALUE"""),"AOC verhuizen see")</f>
        <v>AOC verhuizen see</v>
      </c>
      <c r="I126" s="503" t="str">
        <f>IFERROR(__xludf.DUMMYFUNCTION("""COMPUTED_VALUE"""),"")</f>
        <v/>
      </c>
      <c r="J126" s="501" t="str">
        <f>IFERROR(__xludf.DUMMYFUNCTION("""COMPUTED_VALUE"""),"Staat klaar")</f>
        <v>Staat klaar</v>
      </c>
      <c r="K126" s="505" t="str">
        <f>IFERROR(__xludf.DUMMYFUNCTION("""COMPUTED_VALUE""")," Vrouw 25-64 (excl klanten, vrienden van verhuisde personen en fans) ")</f>
        <v>Vrouw 25-64 (excl klanten, vrienden van verhuisde personen en fans)</v>
      </c>
      <c r="L126" s="506">
        <f>IFERROR(__xludf.DUMMYFUNCTION("""COMPUTED_VALUE"""),900.0)</f>
        <v>900</v>
      </c>
      <c r="M126" s="504">
        <f>IFERROR(__xludf.DUMMYFUNCTION("""COMPUTED_VALUE"""),31.0)</f>
        <v>31</v>
      </c>
      <c r="N126" s="501" t="str">
        <f>IFERROR(__xludf.DUMMYFUNCTION("""COMPUTED_VALUE"""),"Merk")</f>
        <v>Merk</v>
      </c>
      <c r="O126" s="501" t="str">
        <f>IFERROR(__xludf.DUMMYFUNCTION("""COMPUTED_VALUE"""),"FB + Instagram")</f>
        <v>FB + Instagram</v>
      </c>
      <c r="P126" s="503" t="str">
        <f>IFERROR(__xludf.DUMMYFUNCTION("""COMPUTED_VALUE"""),"Facebook - See - AOC")</f>
        <v>Facebook - See - AOC</v>
      </c>
      <c r="Q126" s="501" t="str">
        <f>IFERROR(__xludf.DUMMYFUNCTION("""COMPUTED_VALUE"""),"Bereik")</f>
        <v>Bereik</v>
      </c>
      <c r="R126" s="501" t="str">
        <f>IFERROR(__xludf.DUMMYFUNCTION("""COMPUTED_VALUE"""),"Dark")</f>
        <v>Dark</v>
      </c>
      <c r="S126" s="503" t="str">
        <f>IFERROR(__xludf.DUMMYFUNCTION("""COMPUTED_VALUE"""),"")</f>
        <v/>
      </c>
      <c r="T126"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127">
      <c r="A127" s="501" t="str">
        <f>IFERROR(__xludf.DUMMYFUNCTION("""COMPUTED_VALUE"""),"maart")</f>
        <v>maart</v>
      </c>
      <c r="B127" s="501">
        <f>IFERROR(__xludf.DUMMYFUNCTION("""COMPUTED_VALUE"""),9.0)</f>
        <v>9</v>
      </c>
      <c r="C127" s="501" t="str">
        <f>IFERROR(__xludf.DUMMYFUNCTION("""COMPUTED_VALUE"""),"vrijdag")</f>
        <v>vrijdag</v>
      </c>
      <c r="D127" s="502">
        <f>IFERROR(__xludf.DUMMYFUNCTION("""COMPUTED_VALUE"""),43525.0)</f>
        <v>43525</v>
      </c>
      <c r="E127" s="502">
        <f>IFERROR(__xludf.DUMMYFUNCTION("""COMPUTED_VALUE"""),43555.0)</f>
        <v>43555</v>
      </c>
      <c r="F127" s="501" t="str">
        <f>IFERROR(__xludf.DUMMYFUNCTION("""COMPUTED_VALUE"""),"")</f>
        <v/>
      </c>
      <c r="G127" s="503" t="str">
        <f>IFERROR(__xludf.DUMMYFUNCTION("""COMPUTED_VALUE"""),"")</f>
        <v/>
      </c>
      <c r="H127" s="501" t="str">
        <f>IFERROR(__xludf.DUMMYFUNCTION("""COMPUTED_VALUE"""),"AOC verjaardag see")</f>
        <v>AOC verjaardag see</v>
      </c>
      <c r="I127" s="503" t="str">
        <f>IFERROR(__xludf.DUMMYFUNCTION("""COMPUTED_VALUE"""),"")</f>
        <v/>
      </c>
      <c r="J127" s="501" t="str">
        <f>IFERROR(__xludf.DUMMYFUNCTION("""COMPUTED_VALUE"""),"Staat klaar")</f>
        <v>Staat klaar</v>
      </c>
      <c r="K127" s="505" t="str">
        <f>IFERROR(__xludf.DUMMYFUNCTION("""COMPUTED_VALUE""")," See - Geboorte ")</f>
        <v>See - Geboorte</v>
      </c>
      <c r="L127" s="506">
        <f>IFERROR(__xludf.DUMMYFUNCTION("""COMPUTED_VALUE"""),1600.0)</f>
        <v>1600</v>
      </c>
      <c r="M127" s="504">
        <f>IFERROR(__xludf.DUMMYFUNCTION("""COMPUTED_VALUE"""),31.0)</f>
        <v>31</v>
      </c>
      <c r="N127" s="501" t="str">
        <f>IFERROR(__xludf.DUMMYFUNCTION("""COMPUTED_VALUE"""),"Merk")</f>
        <v>Merk</v>
      </c>
      <c r="O127" s="501" t="str">
        <f>IFERROR(__xludf.DUMMYFUNCTION("""COMPUTED_VALUE"""),"FB + Instagram")</f>
        <v>FB + Instagram</v>
      </c>
      <c r="P127" s="503" t="str">
        <f>IFERROR(__xludf.DUMMYFUNCTION("""COMPUTED_VALUE"""),"Facebook - See - AOC")</f>
        <v>Facebook - See - AOC</v>
      </c>
      <c r="Q127" s="501" t="str">
        <f>IFERROR(__xludf.DUMMYFUNCTION("""COMPUTED_VALUE"""),"Bereik")</f>
        <v>Bereik</v>
      </c>
      <c r="R127" s="501" t="str">
        <f>IFERROR(__xludf.DUMMYFUNCTION("""COMPUTED_VALUE"""),"Dark")</f>
        <v>Dark</v>
      </c>
      <c r="S127" s="503" t="str">
        <f>IFERROR(__xludf.DUMMYFUNCTION("""COMPUTED_VALUE"""),"")</f>
        <v/>
      </c>
      <c r="T127"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128">
      <c r="A128" s="501" t="str">
        <f>IFERROR(__xludf.DUMMYFUNCTION("""COMPUTED_VALUE"""),"maart")</f>
        <v>maart</v>
      </c>
      <c r="B128" s="501">
        <f>IFERROR(__xludf.DUMMYFUNCTION("""COMPUTED_VALUE"""),9.0)</f>
        <v>9</v>
      </c>
      <c r="C128" s="501" t="str">
        <f>IFERROR(__xludf.DUMMYFUNCTION("""COMPUTED_VALUE"""),"vrijdag")</f>
        <v>vrijdag</v>
      </c>
      <c r="D128" s="502">
        <f>IFERROR(__xludf.DUMMYFUNCTION("""COMPUTED_VALUE"""),43525.0)</f>
        <v>43525</v>
      </c>
      <c r="E128" s="502">
        <f>IFERROR(__xludf.DUMMYFUNCTION("""COMPUTED_VALUE"""),43555.0)</f>
        <v>43555</v>
      </c>
      <c r="F128" s="501" t="str">
        <f>IFERROR(__xludf.DUMMYFUNCTION("""COMPUTED_VALUE"""),"")</f>
        <v/>
      </c>
      <c r="G128" s="503" t="str">
        <f>IFERROR(__xludf.DUMMYFUNCTION("""COMPUTED_VALUE"""),"")</f>
        <v/>
      </c>
      <c r="H128" s="501" t="str">
        <f>IFERROR(__xludf.DUMMYFUNCTION("""COMPUTED_VALUE"""),"AOC geboorte see")</f>
        <v>AOC geboorte see</v>
      </c>
      <c r="I128" s="503" t="str">
        <f>IFERROR(__xludf.DUMMYFUNCTION("""COMPUTED_VALUE"""),"")</f>
        <v/>
      </c>
      <c r="J128" s="501" t="str">
        <f>IFERROR(__xludf.DUMMYFUNCTION("""COMPUTED_VALUE"""),"Staat klaar")</f>
        <v>Staat klaar</v>
      </c>
      <c r="K128" s="505" t="str">
        <f>IFERROR(__xludf.DUMMYFUNCTION("""COMPUTED_VALUE""")," See - Verjaardag ")</f>
        <v>See - Verjaardag</v>
      </c>
      <c r="L128" s="506">
        <f>IFERROR(__xludf.DUMMYFUNCTION("""COMPUTED_VALUE"""),3200.0)</f>
        <v>3200</v>
      </c>
      <c r="M128" s="504">
        <f>IFERROR(__xludf.DUMMYFUNCTION("""COMPUTED_VALUE"""),31.0)</f>
        <v>31</v>
      </c>
      <c r="N128" s="501" t="str">
        <f>IFERROR(__xludf.DUMMYFUNCTION("""COMPUTED_VALUE"""),"Merk")</f>
        <v>Merk</v>
      </c>
      <c r="O128" s="501" t="str">
        <f>IFERROR(__xludf.DUMMYFUNCTION("""COMPUTED_VALUE"""),"FB + Instagram")</f>
        <v>FB + Instagram</v>
      </c>
      <c r="P128" s="503" t="str">
        <f>IFERROR(__xludf.DUMMYFUNCTION("""COMPUTED_VALUE"""),"Facebook - See - AOC")</f>
        <v>Facebook - See - AOC</v>
      </c>
      <c r="Q128" s="501" t="str">
        <f>IFERROR(__xludf.DUMMYFUNCTION("""COMPUTED_VALUE"""),"Bereik")</f>
        <v>Bereik</v>
      </c>
      <c r="R128" s="501" t="str">
        <f>IFERROR(__xludf.DUMMYFUNCTION("""COMPUTED_VALUE"""),"Dark")</f>
        <v>Dark</v>
      </c>
      <c r="S128" s="503" t="str">
        <f>IFERROR(__xludf.DUMMYFUNCTION("""COMPUTED_VALUE"""),"")</f>
        <v/>
      </c>
      <c r="T128"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129">
      <c r="A129" s="501" t="str">
        <f>IFERROR(__xludf.DUMMYFUNCTION("""COMPUTED_VALUE"""),"maart")</f>
        <v>maart</v>
      </c>
      <c r="B129" s="501">
        <f>IFERROR(__xludf.DUMMYFUNCTION("""COMPUTED_VALUE"""),9.0)</f>
        <v>9</v>
      </c>
      <c r="C129" s="501" t="str">
        <f>IFERROR(__xludf.DUMMYFUNCTION("""COMPUTED_VALUE"""),"vrijdag")</f>
        <v>vrijdag</v>
      </c>
      <c r="D129" s="502">
        <f>IFERROR(__xludf.DUMMYFUNCTION("""COMPUTED_VALUE"""),43525.0)</f>
        <v>43525</v>
      </c>
      <c r="E129" s="502">
        <f>IFERROR(__xludf.DUMMYFUNCTION("""COMPUTED_VALUE"""),43525.0)</f>
        <v>43525</v>
      </c>
      <c r="F129" s="501" t="str">
        <f>IFERROR(__xludf.DUMMYFUNCTION("""COMPUTED_VALUE"""),"")</f>
        <v/>
      </c>
      <c r="G129" s="503" t="str">
        <f>IFERROR(__xludf.DUMMYFUNCTION("""COMPUTED_VALUE"""),"")</f>
        <v/>
      </c>
      <c r="H129" s="501" t="str">
        <f>IFERROR(__xludf.DUMMYFUNCTION("""COMPUTED_VALUE"""),"Verrassing vrijdag")</f>
        <v>Verrassing vrijdag</v>
      </c>
      <c r="I129" s="503" t="str">
        <f>IFERROR(__xludf.DUMMYFUNCTION("""COMPUTED_VALUE"""),"Een dikke knuffel van ons")</f>
        <v>Een dikke knuffel van ons</v>
      </c>
      <c r="J129" s="501" t="str">
        <f>IFERROR(__xludf.DUMMYFUNCTION("""COMPUTED_VALUE"""),"Designen")</f>
        <v>Designen</v>
      </c>
      <c r="K129" s="503" t="str">
        <f>IFERROR(__xludf.DUMMYFUNCTION("""COMPUTED_VALUE"""),"")</f>
        <v/>
      </c>
      <c r="L129" s="501" t="str">
        <f>IFERROR(__xludf.DUMMYFUNCTION("""COMPUTED_VALUE"""),"")</f>
        <v/>
      </c>
      <c r="M129" s="504">
        <f>IFERROR(__xludf.DUMMYFUNCTION("""COMPUTED_VALUE"""),1.0)</f>
        <v>1</v>
      </c>
      <c r="N129" s="501" t="str">
        <f>IFERROR(__xludf.DUMMYFUNCTION("""COMPUTED_VALUE"""),"Product")</f>
        <v>Product</v>
      </c>
      <c r="O129" s="501" t="str">
        <f>IFERROR(__xludf.DUMMYFUNCTION("""COMPUTED_VALUE"""),"Instagram Feed")</f>
        <v>Instagram Feed</v>
      </c>
      <c r="P129" s="503" t="str">
        <f>IFERROR(__xludf.DUMMYFUNCTION("""COMPUTED_VALUE"""),"")</f>
        <v/>
      </c>
      <c r="Q129" s="501" t="str">
        <f>IFERROR(__xludf.DUMMYFUNCTION("""COMPUTED_VALUE"""),"")</f>
        <v/>
      </c>
      <c r="R129" s="501" t="str">
        <f>IFERROR(__xludf.DUMMYFUNCTION("""COMPUTED_VALUE"""),"Timeline")</f>
        <v>Timeline</v>
      </c>
      <c r="S129" s="503" t="str">
        <f>IFERROR(__xludf.DUMMYFUNCTION("""COMPUTED_VALUE"""),"K:\Greetz Photography\01 - CAMPAIGN PHOTOGRAPHY\baby kids\2018\mix afbeelding DSC_1249. In juiste formaat met kader")</f>
        <v>K:\Greetz Photography\01 - CAMPAIGN PHOTOGRAPHY\baby kids\2018\mix afbeelding DSC_1249. In juiste formaat met kader</v>
      </c>
      <c r="T129"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130">
      <c r="A130" s="501" t="str">
        <f>IFERROR(__xludf.DUMMYFUNCTION("""COMPUTED_VALUE"""),"maart")</f>
        <v>maart</v>
      </c>
      <c r="B130" s="501">
        <f>IFERROR(__xludf.DUMMYFUNCTION("""COMPUTED_VALUE"""),9.0)</f>
        <v>9</v>
      </c>
      <c r="C130" s="501" t="str">
        <f>IFERROR(__xludf.DUMMYFUNCTION("""COMPUTED_VALUE"""),"vrijdag")</f>
        <v>vrijdag</v>
      </c>
      <c r="D130" s="502">
        <f>IFERROR(__xludf.DUMMYFUNCTION("""COMPUTED_VALUE"""),43525.0)</f>
        <v>43525</v>
      </c>
      <c r="E130" s="502">
        <f>IFERROR(__xludf.DUMMYFUNCTION("""COMPUTED_VALUE"""),43525.0)</f>
        <v>43525</v>
      </c>
      <c r="F130" s="501" t="str">
        <f>IFERROR(__xludf.DUMMYFUNCTION("""COMPUTED_VALUE"""),"")</f>
        <v/>
      </c>
      <c r="G130" s="503" t="str">
        <f>IFERROR(__xludf.DUMMYFUNCTION("""COMPUTED_VALUE"""),"")</f>
        <v/>
      </c>
      <c r="H130" s="501" t="str">
        <f>IFERROR(__xludf.DUMMYFUNCTION("""COMPUTED_VALUE"""),"Nationale complimentendag")</f>
        <v>Nationale complimentendag</v>
      </c>
      <c r="I130" s="503" t="str">
        <f>IFERROR(__xludf.DUMMYFUNCTION("""COMPUTED_VALUE"""),"Heb jij vandaag al iemand een complimentje gegeven?")</f>
        <v>Heb jij vandaag al iemand een complimentje gegeven?</v>
      </c>
      <c r="J130" s="501" t="str">
        <f>IFERROR(__xludf.DUMMYFUNCTION("""COMPUTED_VALUE"""),"Staat klaar")</f>
        <v>Staat klaar</v>
      </c>
      <c r="K130" s="505" t="str">
        <f>IFERROR(__xludf.DUMMYFUNCTION("""COMPUTED_VALUE""")," Loesje fans ")</f>
        <v>Loesje fans</v>
      </c>
      <c r="L130" s="506">
        <f>IFERROR(__xludf.DUMMYFUNCTION("""COMPUTED_VALUE"""),200.0)</f>
        <v>200</v>
      </c>
      <c r="M130" s="504">
        <f>IFERROR(__xludf.DUMMYFUNCTION("""COMPUTED_VALUE"""),1.0)</f>
        <v>1</v>
      </c>
      <c r="N130" s="501" t="str">
        <f>IFERROR(__xludf.DUMMYFUNCTION("""COMPUTED_VALUE"""),"Geven/ontvangen")</f>
        <v>Geven/ontvangen</v>
      </c>
      <c r="O130" s="501" t="str">
        <f>IFERROR(__xludf.DUMMYFUNCTION("""COMPUTED_VALUE"""),"Facebook")</f>
        <v>Facebook</v>
      </c>
      <c r="P130" s="503" t="str">
        <f>IFERROR(__xludf.DUMMYFUNCTION("""COMPUTED_VALUE"""),"Facebook - See - Retailcampaigning &amp; contentkalender")</f>
        <v>Facebook - See - Retailcampaigning &amp; contentkalender</v>
      </c>
      <c r="Q130" s="501" t="str">
        <f>IFERROR(__xludf.DUMMYFUNCTION("""COMPUTED_VALUE"""),"Bereik")</f>
        <v>Bereik</v>
      </c>
      <c r="R130" s="501" t="str">
        <f>IFERROR(__xludf.DUMMYFUNCTION("""COMPUTED_VALUE"""),"Timeline")</f>
        <v>Timeline</v>
      </c>
      <c r="S130" s="503" t="str">
        <f>IFERROR(__xludf.DUMMYFUNCTION("""COMPUTED_VALUE"""),"")</f>
        <v/>
      </c>
      <c r="T130" s="503" t="str">
        <f>IFERROR(__xludf.DUMMYFUNCTION("""COMPUTED_VALUE"""),"utm_source=facebook&amp;utm_medium=socialmedia&amp;utm_campaign=facebook_-_see_-_retailcampaigning_&amp;_contentkalender&amp;utm_content=nationalecomplimentendag&amp;referrer=facebook")</f>
        <v>utm_source=facebook&amp;utm_medium=socialmedia&amp;utm_campaign=facebook_-_see_-_retailcampaigning_&amp;_contentkalender&amp;utm_content=nationalecomplimentendag&amp;referrer=facebook</v>
      </c>
    </row>
    <row r="131">
      <c r="A131" s="501" t="str">
        <f>IFERROR(__xludf.DUMMYFUNCTION("""COMPUTED_VALUE"""),"maart")</f>
        <v>maart</v>
      </c>
      <c r="B131" s="501">
        <f>IFERROR(__xludf.DUMMYFUNCTION("""COMPUTED_VALUE"""),9.0)</f>
        <v>9</v>
      </c>
      <c r="C131" s="501" t="str">
        <f>IFERROR(__xludf.DUMMYFUNCTION("""COMPUTED_VALUE"""),"zaterdag")</f>
        <v>zaterdag</v>
      </c>
      <c r="D131" s="502">
        <f>IFERROR(__xludf.DUMMYFUNCTION("""COMPUTED_VALUE"""),43526.0)</f>
        <v>43526</v>
      </c>
      <c r="E131" s="502">
        <f>IFERROR(__xludf.DUMMYFUNCTION("""COMPUTED_VALUE"""),43526.0)</f>
        <v>43526</v>
      </c>
      <c r="F131" s="501" t="str">
        <f>IFERROR(__xludf.DUMMYFUNCTION("""COMPUTED_VALUE"""),"")</f>
        <v/>
      </c>
      <c r="G131" s="503" t="str">
        <f>IFERROR(__xludf.DUMMYFUNCTION("""COMPUTED_VALUE"""),"")</f>
        <v/>
      </c>
      <c r="H131" s="501" t="str">
        <f>IFERROR(__xludf.DUMMYFUNCTION("""COMPUTED_VALUE"""),"")</f>
        <v/>
      </c>
      <c r="I131" s="503" t="str">
        <f>IFERROR(__xludf.DUMMYFUNCTION("""COMPUTED_VALUE"""),"")</f>
        <v/>
      </c>
      <c r="J131" s="501" t="str">
        <f>IFERROR(__xludf.DUMMYFUNCTION("""COMPUTED_VALUE"""),"")</f>
        <v/>
      </c>
      <c r="K131" s="503" t="str">
        <f>IFERROR(__xludf.DUMMYFUNCTION("""COMPUTED_VALUE"""),"")</f>
        <v/>
      </c>
      <c r="L131" s="501" t="str">
        <f>IFERROR(__xludf.DUMMYFUNCTION("""COMPUTED_VALUE"""),"")</f>
        <v/>
      </c>
      <c r="M131" s="504">
        <f>IFERROR(__xludf.DUMMYFUNCTION("""COMPUTED_VALUE"""),1.0)</f>
        <v>1</v>
      </c>
      <c r="N131" s="501" t="str">
        <f>IFERROR(__xludf.DUMMYFUNCTION("""COMPUTED_VALUE"""),"")</f>
        <v/>
      </c>
      <c r="O131" s="501" t="str">
        <f>IFERROR(__xludf.DUMMYFUNCTION("""COMPUTED_VALUE"""),"")</f>
        <v/>
      </c>
      <c r="P131" s="503" t="str">
        <f>IFERROR(__xludf.DUMMYFUNCTION("""COMPUTED_VALUE"""),"")</f>
        <v/>
      </c>
      <c r="Q131" s="501" t="str">
        <f>IFERROR(__xludf.DUMMYFUNCTION("""COMPUTED_VALUE"""),"")</f>
        <v/>
      </c>
      <c r="R131" s="501" t="str">
        <f>IFERROR(__xludf.DUMMYFUNCTION("""COMPUTED_VALUE"""),"")</f>
        <v/>
      </c>
      <c r="S131" s="503" t="str">
        <f>IFERROR(__xludf.DUMMYFUNCTION("""COMPUTED_VALUE"""),"")</f>
        <v/>
      </c>
      <c r="T131" s="503" t="str">
        <f>IFERROR(__xludf.DUMMYFUNCTION("""COMPUTED_VALUE"""),"utm_source=facebook&amp;utm_medium=socialmedia&amp;utm_campaign=&amp;utm_content=&amp;referrer=facebook")</f>
        <v>utm_source=facebook&amp;utm_medium=socialmedia&amp;utm_campaign=&amp;utm_content=&amp;referrer=facebook</v>
      </c>
    </row>
    <row r="132">
      <c r="A132" s="501" t="str">
        <f>IFERROR(__xludf.DUMMYFUNCTION("""COMPUTED_VALUE"""),"maart")</f>
        <v>maart</v>
      </c>
      <c r="B132" s="501">
        <f>IFERROR(__xludf.DUMMYFUNCTION("""COMPUTED_VALUE"""),10.0)</f>
        <v>10</v>
      </c>
      <c r="C132" s="501" t="str">
        <f>IFERROR(__xludf.DUMMYFUNCTION("""COMPUTED_VALUE"""),"zondag")</f>
        <v>zondag</v>
      </c>
      <c r="D132" s="502">
        <f>IFERROR(__xludf.DUMMYFUNCTION("""COMPUTED_VALUE"""),43527.0)</f>
        <v>43527</v>
      </c>
      <c r="E132" s="502">
        <f>IFERROR(__xludf.DUMMYFUNCTION("""COMPUTED_VALUE"""),43527.0)</f>
        <v>43527</v>
      </c>
      <c r="F132" s="501" t="str">
        <f>IFERROR(__xludf.DUMMYFUNCTION("""COMPUTED_VALUE"""),"")</f>
        <v/>
      </c>
      <c r="G132" s="503" t="str">
        <f>IFERROR(__xludf.DUMMYFUNCTION("""COMPUTED_VALUE"""),"")</f>
        <v/>
      </c>
      <c r="H132" s="501" t="str">
        <f>IFERROR(__xludf.DUMMYFUNCTION("""COMPUTED_VALUE"""),"")</f>
        <v/>
      </c>
      <c r="I132" s="503" t="str">
        <f>IFERROR(__xludf.DUMMYFUNCTION("""COMPUTED_VALUE"""),"")</f>
        <v/>
      </c>
      <c r="J132" s="501" t="str">
        <f>IFERROR(__xludf.DUMMYFUNCTION("""COMPUTED_VALUE"""),"")</f>
        <v/>
      </c>
      <c r="K132" s="503" t="str">
        <f>IFERROR(__xludf.DUMMYFUNCTION("""COMPUTED_VALUE"""),"")</f>
        <v/>
      </c>
      <c r="L132" s="501" t="str">
        <f>IFERROR(__xludf.DUMMYFUNCTION("""COMPUTED_VALUE"""),"")</f>
        <v/>
      </c>
      <c r="M132" s="504">
        <f>IFERROR(__xludf.DUMMYFUNCTION("""COMPUTED_VALUE"""),1.0)</f>
        <v>1</v>
      </c>
      <c r="N132" s="501" t="str">
        <f>IFERROR(__xludf.DUMMYFUNCTION("""COMPUTED_VALUE"""),"")</f>
        <v/>
      </c>
      <c r="O132" s="501" t="str">
        <f>IFERROR(__xludf.DUMMYFUNCTION("""COMPUTED_VALUE"""),"")</f>
        <v/>
      </c>
      <c r="P132" s="503" t="str">
        <f>IFERROR(__xludf.DUMMYFUNCTION("""COMPUTED_VALUE"""),"")</f>
        <v/>
      </c>
      <c r="Q132" s="501" t="str">
        <f>IFERROR(__xludf.DUMMYFUNCTION("""COMPUTED_VALUE"""),"")</f>
        <v/>
      </c>
      <c r="R132" s="501" t="str">
        <f>IFERROR(__xludf.DUMMYFUNCTION("""COMPUTED_VALUE"""),"")</f>
        <v/>
      </c>
      <c r="S132" s="503" t="str">
        <f>IFERROR(__xludf.DUMMYFUNCTION("""COMPUTED_VALUE"""),"")</f>
        <v/>
      </c>
      <c r="T132" s="503" t="str">
        <f>IFERROR(__xludf.DUMMYFUNCTION("""COMPUTED_VALUE"""),"utm_source=facebook&amp;utm_medium=socialmedia&amp;utm_campaign=&amp;utm_content=&amp;referrer=facebook")</f>
        <v>utm_source=facebook&amp;utm_medium=socialmedia&amp;utm_campaign=&amp;utm_content=&amp;referrer=facebook</v>
      </c>
    </row>
    <row r="133">
      <c r="A133" s="501" t="str">
        <f>IFERROR(__xludf.DUMMYFUNCTION("""COMPUTED_VALUE"""),"maart")</f>
        <v>maart</v>
      </c>
      <c r="B133" s="501">
        <f>IFERROR(__xludf.DUMMYFUNCTION("""COMPUTED_VALUE"""),10.0)</f>
        <v>10</v>
      </c>
      <c r="C133" s="501" t="str">
        <f>IFERROR(__xludf.DUMMYFUNCTION("""COMPUTED_VALUE"""),"maandag")</f>
        <v>maandag</v>
      </c>
      <c r="D133" s="502">
        <f>IFERROR(__xludf.DUMMYFUNCTION("""COMPUTED_VALUE"""),43528.0)</f>
        <v>43528</v>
      </c>
      <c r="E133" s="502">
        <f>IFERROR(__xludf.DUMMYFUNCTION("""COMPUTED_VALUE"""),43528.0)</f>
        <v>43528</v>
      </c>
      <c r="F133" s="501" t="str">
        <f>IFERROR(__xludf.DUMMYFUNCTION("""COMPUTED_VALUE"""),"Een beetje extra aandacht doet een ieder goed")</f>
        <v>Een beetje extra aandacht doet een ieder goed</v>
      </c>
      <c r="G133" s="503" t="str">
        <f>IFERROR(__xludf.DUMMYFUNCTION("""COMPUTED_VALUE"""),"Free shipment beauty")</f>
        <v>Free shipment beauty</v>
      </c>
      <c r="H133" s="501" t="str">
        <f>IFERROR(__xludf.DUMMYFUNCTION("""COMPUTED_VALUE"""),"Mooie maandag ")</f>
        <v>Mooie maandag </v>
      </c>
      <c r="I133" s="503" t="str">
        <f>IFERROR(__xludf.DUMMYFUNCTION("""COMPUTED_VALUE"""),"")</f>
        <v/>
      </c>
      <c r="J133" s="501" t="str">
        <f>IFERROR(__xludf.DUMMYFUNCTION("""COMPUTED_VALUE"""),"Designen")</f>
        <v>Designen</v>
      </c>
      <c r="K133" s="503" t="str">
        <f>IFERROR(__xludf.DUMMYFUNCTION("""COMPUTED_VALUE"""),"")</f>
        <v/>
      </c>
      <c r="L133" s="501" t="str">
        <f>IFERROR(__xludf.DUMMYFUNCTION("""COMPUTED_VALUE"""),"")</f>
        <v/>
      </c>
      <c r="M133" s="504">
        <f>IFERROR(__xludf.DUMMYFUNCTION("""COMPUTED_VALUE"""),1.0)</f>
        <v>1</v>
      </c>
      <c r="N133" s="501" t="str">
        <f>IFERROR(__xludf.DUMMYFUNCTION("""COMPUTED_VALUE"""),"Product")</f>
        <v>Product</v>
      </c>
      <c r="O133" s="501" t="str">
        <f>IFERROR(__xludf.DUMMYFUNCTION("""COMPUTED_VALUE"""),"Instagram Feed")</f>
        <v>Instagram Feed</v>
      </c>
      <c r="P133" s="503" t="str">
        <f>IFERROR(__xludf.DUMMYFUNCTION("""COMPUTED_VALUE"""),"")</f>
        <v/>
      </c>
      <c r="Q133" s="501" t="str">
        <f>IFERROR(__xludf.DUMMYFUNCTION("""COMPUTED_VALUE"""),"")</f>
        <v/>
      </c>
      <c r="R133" s="501" t="str">
        <f>IFERROR(__xludf.DUMMYFUNCTION("""COMPUTED_VALUE"""),"Timeline")</f>
        <v>Timeline</v>
      </c>
      <c r="S133" s="507" t="str">
        <f>IFERROR(__xludf.DUMMYFUNCTION("""COMPUTED_VALUE"""),"https://www.greetz.nl/kaart/detail/put-on-your-positive-pants/1142760038")</f>
        <v>https://www.greetz.nl/kaart/detail/put-on-your-positive-pants/1142760038</v>
      </c>
      <c r="T133" s="503" t="str">
        <f>IFERROR(__xludf.DUMMYFUNCTION("""COMPUTED_VALUE"""),"utm_source=facebook&amp;utm_medium=socialmedia&amp;utm_campaign=&amp;utm_content=mooiemaandag&amp;referrer=facebook")</f>
        <v>utm_source=facebook&amp;utm_medium=socialmedia&amp;utm_campaign=&amp;utm_content=mooiemaandag&amp;referrer=facebook</v>
      </c>
    </row>
    <row r="134">
      <c r="A134" s="501" t="str">
        <f>IFERROR(__xludf.DUMMYFUNCTION("""COMPUTED_VALUE"""),"maart")</f>
        <v>maart</v>
      </c>
      <c r="B134" s="501">
        <f>IFERROR(__xludf.DUMMYFUNCTION("""COMPUTED_VALUE"""),10.0)</f>
        <v>10</v>
      </c>
      <c r="C134" s="501" t="str">
        <f>IFERROR(__xludf.DUMMYFUNCTION("""COMPUTED_VALUE"""),"maandag")</f>
        <v>maandag</v>
      </c>
      <c r="D134" s="502">
        <f>IFERROR(__xludf.DUMMYFUNCTION("""COMPUTED_VALUE"""),43528.0)</f>
        <v>43528</v>
      </c>
      <c r="E134" s="502">
        <f>IFERROR(__xludf.DUMMYFUNCTION("""COMPUTED_VALUE"""),43534.0)</f>
        <v>43534</v>
      </c>
      <c r="F134" s="501" t="str">
        <f>IFERROR(__xludf.DUMMYFUNCTION("""COMPUTED_VALUE"""),"")</f>
        <v/>
      </c>
      <c r="G134" s="503" t="str">
        <f>IFERROR(__xludf.DUMMYFUNCTION("""COMPUTED_VALUE"""),"")</f>
        <v/>
      </c>
      <c r="H134" s="501" t="str">
        <f>IFERROR(__xludf.DUMMYFUNCTION("""COMPUTED_VALUE"""),"free shipment beauty")</f>
        <v>free shipment beauty</v>
      </c>
      <c r="I134" s="503" t="str">
        <f>IFERROR(__xludf.DUMMYFUNCTION("""COMPUTED_VALUE"""),"Hi beauty! 😉 Bodylotion, geurstokjes, handzeep, kaarsen... Wie verras jij met een relaxed momentje? Deze week is met code MOOI de bezorging van al onze beautyverrassingen gratis 😍")</f>
        <v>Hi beauty! 😉 Bodylotion, geurstokjes, handzeep, kaarsen... Wie verras jij met een relaxed momentje? Deze week is met code MOOI de bezorging van al onze beautyverrassingen gratis 😍</v>
      </c>
      <c r="J134" s="501" t="str">
        <f>IFERROR(__xludf.DUMMYFUNCTION("""COMPUTED_VALUE"""),"Staat klaar")</f>
        <v>Staat klaar</v>
      </c>
      <c r="K134" s="505" t="str">
        <f>IFERROR(__xludf.DUMMYFUNCTION("""COMPUTED_VALUE""")," beauty merken interesse groep ")</f>
        <v>beauty merken interesse groep</v>
      </c>
      <c r="L134" s="506">
        <f>IFERROR(__xludf.DUMMYFUNCTION("""COMPUTED_VALUE"""),1000.0)</f>
        <v>1000</v>
      </c>
      <c r="M134" s="504">
        <f>IFERROR(__xludf.DUMMYFUNCTION("""COMPUTED_VALUE"""),7.0)</f>
        <v>7</v>
      </c>
      <c r="N134" s="501" t="str">
        <f>IFERROR(__xludf.DUMMYFUNCTION("""COMPUTED_VALUE"""),"Product")</f>
        <v>Product</v>
      </c>
      <c r="O134" s="501" t="str">
        <f>IFERROR(__xludf.DUMMYFUNCTION("""COMPUTED_VALUE"""),"Facebook")</f>
        <v>Facebook</v>
      </c>
      <c r="P134" s="503" t="str">
        <f>IFERROR(__xludf.DUMMYFUNCTION("""COMPUTED_VALUE"""),"Facebook - Do - Retailcampaigning")</f>
        <v>Facebook - Do - Retailcampaigning</v>
      </c>
      <c r="Q134" s="501" t="str">
        <f>IFERROR(__xludf.DUMMYFUNCTION("""COMPUTED_VALUE"""),"Conversie - Conversie")</f>
        <v>Conversie - Conversie</v>
      </c>
      <c r="R134" s="501" t="str">
        <f>IFERROR(__xludf.DUMMYFUNCTION("""COMPUTED_VALUE"""),"Dark")</f>
        <v>Dark</v>
      </c>
      <c r="S134" s="503" t="str">
        <f>IFERROR(__xludf.DUMMYFUNCTION("""COMPUTED_VALUE"""),"a/b test content - Rituals / Gift label")</f>
        <v>a/b test content - Rituals / Gift label</v>
      </c>
      <c r="T134" s="503" t="str">
        <f>IFERROR(__xludf.DUMMYFUNCTION("""COMPUTED_VALUE"""),"utm_source=facebook&amp;utm_medium=socialmedia&amp;utm_campaign=facebook_-_do_-_retailcampaigning&amp;utm_content=freeshipmentbeauty&amp;referrer=facebook")</f>
        <v>utm_source=facebook&amp;utm_medium=socialmedia&amp;utm_campaign=facebook_-_do_-_retailcampaigning&amp;utm_content=freeshipmentbeauty&amp;referrer=facebook</v>
      </c>
    </row>
    <row r="135">
      <c r="A135" s="501" t="str">
        <f>IFERROR(__xludf.DUMMYFUNCTION("""COMPUTED_VALUE"""),"maart")</f>
        <v>maart</v>
      </c>
      <c r="B135" s="501">
        <f>IFERROR(__xludf.DUMMYFUNCTION("""COMPUTED_VALUE"""),10.0)</f>
        <v>10</v>
      </c>
      <c r="C135" s="501" t="str">
        <f>IFERROR(__xludf.DUMMYFUNCTION("""COMPUTED_VALUE"""),"dinsdag")</f>
        <v>dinsdag</v>
      </c>
      <c r="D135" s="502">
        <f>IFERROR(__xludf.DUMMYFUNCTION("""COMPUTED_VALUE"""),43529.0)</f>
        <v>43529</v>
      </c>
      <c r="E135" s="502">
        <f>IFERROR(__xludf.DUMMYFUNCTION("""COMPUTED_VALUE"""),43529.0)</f>
        <v>43529</v>
      </c>
      <c r="F135" s="501" t="str">
        <f>IFERROR(__xludf.DUMMYFUNCTION("""COMPUTED_VALUE"""),"")</f>
        <v/>
      </c>
      <c r="G135" s="503" t="str">
        <f>IFERROR(__xludf.DUMMYFUNCTION("""COMPUTED_VALUE"""),"")</f>
        <v/>
      </c>
      <c r="H135" s="501" t="str">
        <f>IFERROR(__xludf.DUMMYFUNCTION("""COMPUTED_VALUE"""),"Nieuwe beautyverrassingen")</f>
        <v>Nieuwe beautyverrassingen</v>
      </c>
      <c r="I135" s="503" t="str">
        <f>IFERROR(__xludf.DUMMYFUNCTION("""COMPUTED_VALUE"""),"Hi beauty! ;-) Heb je onze nieuwe verzorgingsverrassingen al gespot?")</f>
        <v>Hi beauty! ;-) Heb je onze nieuwe verzorgingsverrassingen al gespot?</v>
      </c>
      <c r="J135" s="501" t="str">
        <f>IFERROR(__xludf.DUMMYFUNCTION("""COMPUTED_VALUE"""),"Staat klaar")</f>
        <v>Staat klaar</v>
      </c>
      <c r="K135" s="505" t="str">
        <f>IFERROR(__xludf.DUMMYFUNCTION("""COMPUTED_VALUE""")," Hoofddoelgroep ")</f>
        <v>Hoofddoelgroep</v>
      </c>
      <c r="L135" s="506">
        <f>IFERROR(__xludf.DUMMYFUNCTION("""COMPUTED_VALUE"""),400.0)</f>
        <v>400</v>
      </c>
      <c r="M135" s="504">
        <f>IFERROR(__xludf.DUMMYFUNCTION("""COMPUTED_VALUE"""),1.0)</f>
        <v>1</v>
      </c>
      <c r="N135" s="501" t="str">
        <f>IFERROR(__xludf.DUMMYFUNCTION("""COMPUTED_VALUE"""),"Product")</f>
        <v>Product</v>
      </c>
      <c r="O135" s="501" t="str">
        <f>IFERROR(__xludf.DUMMYFUNCTION("""COMPUTED_VALUE"""),"Facebook")</f>
        <v>Facebook</v>
      </c>
      <c r="P135" s="503" t="str">
        <f>IFERROR(__xludf.DUMMYFUNCTION("""COMPUTED_VALUE"""),"Facebook - See - Retailcampaigning &amp; contentkalender")</f>
        <v>Facebook - See - Retailcampaigning &amp; contentkalender</v>
      </c>
      <c r="Q135" s="501" t="str">
        <f>IFERROR(__xludf.DUMMYFUNCTION("""COMPUTED_VALUE"""),"Bereik")</f>
        <v>Bereik</v>
      </c>
      <c r="R135" s="501" t="str">
        <f>IFERROR(__xludf.DUMMYFUNCTION("""COMPUTED_VALUE"""),"Timeline")</f>
        <v>Timeline</v>
      </c>
      <c r="S135" s="503" t="str">
        <f>IFERROR(__xludf.DUMMYFUNCTION("""COMPUTED_VALUE"""),"")</f>
        <v/>
      </c>
      <c r="T135" s="503" t="str">
        <f>IFERROR(__xludf.DUMMYFUNCTION("""COMPUTED_VALUE"""),"utm_source=facebook&amp;utm_medium=socialmedia&amp;utm_campaign=facebook_-_see_-_retailcampaigning_&amp;_contentkalender&amp;utm_content=nieuwebeautyverrassingen&amp;referrer=facebook")</f>
        <v>utm_source=facebook&amp;utm_medium=socialmedia&amp;utm_campaign=facebook_-_see_-_retailcampaigning_&amp;_contentkalender&amp;utm_content=nieuwebeautyverrassingen&amp;referrer=facebook</v>
      </c>
    </row>
    <row r="136">
      <c r="A136" s="501" t="str">
        <f>IFERROR(__xludf.DUMMYFUNCTION("""COMPUTED_VALUE"""),"maart")</f>
        <v>maart</v>
      </c>
      <c r="B136" s="501">
        <f>IFERROR(__xludf.DUMMYFUNCTION("""COMPUTED_VALUE"""),10.0)</f>
        <v>10</v>
      </c>
      <c r="C136" s="501" t="str">
        <f>IFERROR(__xludf.DUMMYFUNCTION("""COMPUTED_VALUE"""),"woensdag")</f>
        <v>woensdag</v>
      </c>
      <c r="D136" s="502">
        <f>IFERROR(__xludf.DUMMYFUNCTION("""COMPUTED_VALUE"""),43530.0)</f>
        <v>43530</v>
      </c>
      <c r="E136" s="502">
        <f>IFERROR(__xludf.DUMMYFUNCTION("""COMPUTED_VALUE"""),43530.0)</f>
        <v>43530</v>
      </c>
      <c r="F136" s="501" t="str">
        <f>IFERROR(__xludf.DUMMYFUNCTION("""COMPUTED_VALUE"""),"")</f>
        <v/>
      </c>
      <c r="G136" s="503" t="str">
        <f>IFERROR(__xludf.DUMMYFUNCTION("""COMPUTED_VALUE"""),"")</f>
        <v/>
      </c>
      <c r="H136" s="501" t="str">
        <f>IFERROR(__xludf.DUMMYFUNCTION("""COMPUTED_VALUE"""),"Meet the Greetz")</f>
        <v>Meet the Greetz</v>
      </c>
      <c r="I136" s="503" t="str">
        <f>IFERROR(__xludf.DUMMYFUNCTION("""COMPUTED_VALUE"""),"Meet the Greetz Marjon")</f>
        <v>Meet the Greetz Marjon</v>
      </c>
      <c r="J136" s="501" t="str">
        <f>IFERROR(__xludf.DUMMYFUNCTION("""COMPUTED_VALUE"""),"Staat klaar")</f>
        <v>Staat klaar</v>
      </c>
      <c r="K136" s="503" t="str">
        <f>IFERROR(__xludf.DUMMYFUNCTION("""COMPUTED_VALUE"""),"")</f>
        <v/>
      </c>
      <c r="L136" s="501" t="str">
        <f>IFERROR(__xludf.DUMMYFUNCTION("""COMPUTED_VALUE"""),"")</f>
        <v/>
      </c>
      <c r="M136" s="504">
        <f>IFERROR(__xludf.DUMMYFUNCTION("""COMPUTED_VALUE"""),1.0)</f>
        <v>1</v>
      </c>
      <c r="N136" s="501" t="str">
        <f>IFERROR(__xludf.DUMMYFUNCTION("""COMPUTED_VALUE"""),"Merk")</f>
        <v>Merk</v>
      </c>
      <c r="O136" s="501" t="str">
        <f>IFERROR(__xludf.DUMMYFUNCTION("""COMPUTED_VALUE"""),"Instagram Feed")</f>
        <v>Instagram Feed</v>
      </c>
      <c r="P136" s="503" t="str">
        <f>IFERROR(__xludf.DUMMYFUNCTION("""COMPUTED_VALUE"""),"")</f>
        <v/>
      </c>
      <c r="Q136" s="501" t="str">
        <f>IFERROR(__xludf.DUMMYFUNCTION("""COMPUTED_VALUE"""),"")</f>
        <v/>
      </c>
      <c r="R136" s="501" t="str">
        <f>IFERROR(__xludf.DUMMYFUNCTION("""COMPUTED_VALUE"""),"")</f>
        <v/>
      </c>
      <c r="S136" s="503" t="str">
        <f>IFERROR(__xludf.DUMMYFUNCTION("""COMPUTED_VALUE"""),"")</f>
        <v/>
      </c>
      <c r="T136" s="503" t="str">
        <f>IFERROR(__xludf.DUMMYFUNCTION("""COMPUTED_VALUE"""),"utm_source=facebook&amp;utm_medium=socialmedia&amp;utm_campaign=&amp;utm_content=meetthegreetz&amp;referrer=facebook")</f>
        <v>utm_source=facebook&amp;utm_medium=socialmedia&amp;utm_campaign=&amp;utm_content=meetthegreetz&amp;referrer=facebook</v>
      </c>
    </row>
    <row r="137">
      <c r="A137" s="501" t="str">
        <f>IFERROR(__xludf.DUMMYFUNCTION("""COMPUTED_VALUE"""),"maart")</f>
        <v>maart</v>
      </c>
      <c r="B137" s="501">
        <f>IFERROR(__xludf.DUMMYFUNCTION("""COMPUTED_VALUE"""),10.0)</f>
        <v>10</v>
      </c>
      <c r="C137" s="501" t="str">
        <f>IFERROR(__xludf.DUMMYFUNCTION("""COMPUTED_VALUE"""),"woensdag")</f>
        <v>woensdag</v>
      </c>
      <c r="D137" s="502">
        <f>IFERROR(__xludf.DUMMYFUNCTION("""COMPUTED_VALUE"""),43530.0)</f>
        <v>43530</v>
      </c>
      <c r="E137" s="502">
        <f>IFERROR(__xludf.DUMMYFUNCTION("""COMPUTED_VALUE"""),43530.0)</f>
        <v>43530</v>
      </c>
      <c r="F137" s="501" t="str">
        <f>IFERROR(__xludf.DUMMYFUNCTION("""COMPUTED_VALUE"""),"")</f>
        <v/>
      </c>
      <c r="G137" s="503" t="str">
        <f>IFERROR(__xludf.DUMMYFUNCTION("""COMPUTED_VALUE"""),"")</f>
        <v/>
      </c>
      <c r="H137" s="501" t="str">
        <f>IFERROR(__xludf.DUMMYFUNCTION("""COMPUTED_VALUE"""),"Luizendag")</f>
        <v>Luizendag</v>
      </c>
      <c r="I137" s="503" t="str">
        <f>IFERROR(__xludf.DUMMYFUNCTION("""COMPUTED_VALUE"""),"")</f>
        <v/>
      </c>
      <c r="J137" s="501" t="str">
        <f>IFERROR(__xludf.DUMMYFUNCTION("""COMPUTED_VALUE"""),"Briefen")</f>
        <v>Briefen</v>
      </c>
      <c r="K137" s="503" t="str">
        <f>IFERROR(__xludf.DUMMYFUNCTION("""COMPUTED_VALUE"""),"")</f>
        <v/>
      </c>
      <c r="L137" s="501" t="str">
        <f>IFERROR(__xludf.DUMMYFUNCTION("""COMPUTED_VALUE"""),"")</f>
        <v/>
      </c>
      <c r="M137" s="501" t="str">
        <f>IFERROR(__xludf.DUMMYFUNCTION("""COMPUTED_VALUE"""),"")</f>
        <v/>
      </c>
      <c r="N137" s="501" t="str">
        <f>IFERROR(__xludf.DUMMYFUNCTION("""COMPUTED_VALUE"""),"")</f>
        <v/>
      </c>
      <c r="O137" s="501" t="str">
        <f>IFERROR(__xludf.DUMMYFUNCTION("""COMPUTED_VALUE"""),"")</f>
        <v/>
      </c>
      <c r="P137" s="503" t="str">
        <f>IFERROR(__xludf.DUMMYFUNCTION("""COMPUTED_VALUE"""),"")</f>
        <v/>
      </c>
      <c r="Q137" s="501" t="str">
        <f>IFERROR(__xludf.DUMMYFUNCTION("""COMPUTED_VALUE"""),"")</f>
        <v/>
      </c>
      <c r="R137" s="501" t="str">
        <f>IFERROR(__xludf.DUMMYFUNCTION("""COMPUTED_VALUE"""),"")</f>
        <v/>
      </c>
      <c r="S137" s="503" t="str">
        <f>IFERROR(__xludf.DUMMYFUNCTION("""COMPUTED_VALUE"""),"")</f>
        <v/>
      </c>
      <c r="T137" s="503" t="str">
        <f>IFERROR(__xludf.DUMMYFUNCTION("""COMPUTED_VALUE"""),"utm_source=facebook&amp;utm_medium=socialmedia&amp;utm_campaign=&amp;utm_content=luizendag&amp;referrer=facebook")</f>
        <v>utm_source=facebook&amp;utm_medium=socialmedia&amp;utm_campaign=&amp;utm_content=luizendag&amp;referrer=facebook</v>
      </c>
    </row>
    <row r="138">
      <c r="A138" s="501" t="str">
        <f>IFERROR(__xludf.DUMMYFUNCTION("""COMPUTED_VALUE"""),"maart")</f>
        <v>maart</v>
      </c>
      <c r="B138" s="501">
        <f>IFERROR(__xludf.DUMMYFUNCTION("""COMPUTED_VALUE"""),10.0)</f>
        <v>10</v>
      </c>
      <c r="C138" s="501" t="str">
        <f>IFERROR(__xludf.DUMMYFUNCTION("""COMPUTED_VALUE"""),"donderdag")</f>
        <v>donderdag</v>
      </c>
      <c r="D138" s="502">
        <f>IFERROR(__xludf.DUMMYFUNCTION("""COMPUTED_VALUE"""),43531.0)</f>
        <v>43531</v>
      </c>
      <c r="E138" s="502">
        <f>IFERROR(__xludf.DUMMYFUNCTION("""COMPUTED_VALUE"""),43536.0)</f>
        <v>43536</v>
      </c>
      <c r="F138" s="501" t="str">
        <f>IFERROR(__xludf.DUMMYFUNCTION("""COMPUTED_VALUE"""),"")</f>
        <v/>
      </c>
      <c r="G138" s="503" t="str">
        <f>IFERROR(__xludf.DUMMYFUNCTION("""COMPUTED_VALUE"""),"")</f>
        <v/>
      </c>
      <c r="H138" s="501" t="str">
        <f>IFERROR(__xludf.DUMMYFUNCTION("""COMPUTED_VALUE"""),"Special Delivery")</f>
        <v>Special Delivery</v>
      </c>
      <c r="I138" s="503" t="str">
        <f>IFERROR(__xludf.DUMMYFUNCTION("""COMPUTED_VALUE"""),"")</f>
        <v/>
      </c>
      <c r="J138" s="501" t="str">
        <f>IFERROR(__xludf.DUMMYFUNCTION("""COMPUTED_VALUE"""),"Briefen")</f>
        <v>Briefen</v>
      </c>
      <c r="K138" s="503" t="str">
        <f>IFERROR(__xludf.DUMMYFUNCTION("""COMPUTED_VALUE"""),"")</f>
        <v/>
      </c>
      <c r="L138" s="506">
        <f>IFERROR(__xludf.DUMMYFUNCTION("""COMPUTED_VALUE"""),1000.0)</f>
        <v>1000</v>
      </c>
      <c r="M138" s="504">
        <f>IFERROR(__xludf.DUMMYFUNCTION("""COMPUTED_VALUE"""),6.0)</f>
        <v>6</v>
      </c>
      <c r="N138" s="501" t="str">
        <f>IFERROR(__xludf.DUMMYFUNCTION("""COMPUTED_VALUE"""),"Geven/ontvangen")</f>
        <v>Geven/ontvangen</v>
      </c>
      <c r="O138" s="501" t="str">
        <f>IFERROR(__xludf.DUMMYFUNCTION("""COMPUTED_VALUE"""),"FB + Instagram")</f>
        <v>FB + Instagram</v>
      </c>
      <c r="P138" s="503" t="str">
        <f>IFERROR(__xludf.DUMMYFUNCTION("""COMPUTED_VALUE"""),"Special delivery - FB &amp; IG")</f>
        <v>Special delivery - FB &amp; IG</v>
      </c>
      <c r="Q138" s="501" t="str">
        <f>IFERROR(__xludf.DUMMYFUNCTION("""COMPUTED_VALUE"""),"Bereik")</f>
        <v>Bereik</v>
      </c>
      <c r="R138" s="501" t="str">
        <f>IFERROR(__xludf.DUMMYFUNCTION("""COMPUTED_VALUE"""),"Timeline")</f>
        <v>Timeline</v>
      </c>
      <c r="S138" s="503" t="str">
        <f>IFERROR(__xludf.DUMMYFUNCTION("""COMPUTED_VALUE"""),"")</f>
        <v/>
      </c>
      <c r="T138" s="503" t="str">
        <f>IFERROR(__xludf.DUMMYFUNCTION("""COMPUTED_VALUE"""),"utm_source=facebook&amp;utm_medium=socialmedia&amp;utm_campaign=special_delivery_-_fb_&amp;_ig&amp;utm_content=specialdelivery&amp;referrer=facebook")</f>
        <v>utm_source=facebook&amp;utm_medium=socialmedia&amp;utm_campaign=special_delivery_-_fb_&amp;_ig&amp;utm_content=specialdelivery&amp;referrer=facebook</v>
      </c>
    </row>
    <row r="139">
      <c r="A139" s="501" t="str">
        <f>IFERROR(__xludf.DUMMYFUNCTION("""COMPUTED_VALUE"""),"maart")</f>
        <v>maart</v>
      </c>
      <c r="B139" s="501">
        <f>IFERROR(__xludf.DUMMYFUNCTION("""COMPUTED_VALUE"""),10.0)</f>
        <v>10</v>
      </c>
      <c r="C139" s="501" t="str">
        <f>IFERROR(__xludf.DUMMYFUNCTION("""COMPUTED_VALUE"""),"donderdag")</f>
        <v>donderdag</v>
      </c>
      <c r="D139" s="502">
        <f>IFERROR(__xludf.DUMMYFUNCTION("""COMPUTED_VALUE"""),43531.0)</f>
        <v>43531</v>
      </c>
      <c r="E139" s="502">
        <f>IFERROR(__xludf.DUMMYFUNCTION("""COMPUTED_VALUE"""),43536.0)</f>
        <v>43536</v>
      </c>
      <c r="F139" s="501" t="str">
        <f>IFERROR(__xludf.DUMMYFUNCTION("""COMPUTED_VALUE"""),"")</f>
        <v/>
      </c>
      <c r="G139" s="503" t="str">
        <f>IFERROR(__xludf.DUMMYFUNCTION("""COMPUTED_VALUE"""),"")</f>
        <v/>
      </c>
      <c r="H139" s="501" t="str">
        <f>IFERROR(__xludf.DUMMYFUNCTION("""COMPUTED_VALUE"""),"Special Delivery")</f>
        <v>Special Delivery</v>
      </c>
      <c r="I139" s="503" t="str">
        <f>IFERROR(__xludf.DUMMYFUNCTION("""COMPUTED_VALUE"""),"")</f>
        <v/>
      </c>
      <c r="J139" s="501" t="str">
        <f>IFERROR(__xludf.DUMMYFUNCTION("""COMPUTED_VALUE"""),"Briefen")</f>
        <v>Briefen</v>
      </c>
      <c r="K139" s="503" t="str">
        <f>IFERROR(__xludf.DUMMYFUNCTION("""COMPUTED_VALUE"""),"")</f>
        <v/>
      </c>
      <c r="L139" s="506">
        <f>IFERROR(__xludf.DUMMYFUNCTION("""COMPUTED_VALUE"""),1000.0)</f>
        <v>1000</v>
      </c>
      <c r="M139" s="501" t="str">
        <f>IFERROR(__xludf.DUMMYFUNCTION("""COMPUTED_VALUE"""),"")</f>
        <v/>
      </c>
      <c r="N139" s="501" t="str">
        <f>IFERROR(__xludf.DUMMYFUNCTION("""COMPUTED_VALUE"""),"Geven/ontvangen")</f>
        <v>Geven/ontvangen</v>
      </c>
      <c r="O139" s="501" t="str">
        <f>IFERROR(__xludf.DUMMYFUNCTION("""COMPUTED_VALUE"""),"YouTube")</f>
        <v>YouTube</v>
      </c>
      <c r="P139" s="503" t="str">
        <f>IFERROR(__xludf.DUMMYFUNCTION("""COMPUTED_VALUE"""),"Special delivery - YouTube")</f>
        <v>Special delivery - YouTube</v>
      </c>
      <c r="Q139" s="501" t="str">
        <f>IFERROR(__xludf.DUMMYFUNCTION("""COMPUTED_VALUE"""),"Video Views")</f>
        <v>Video Views</v>
      </c>
      <c r="R139" s="501" t="str">
        <f>IFERROR(__xludf.DUMMYFUNCTION("""COMPUTED_VALUE"""),"")</f>
        <v/>
      </c>
      <c r="S139" s="503" t="str">
        <f>IFERROR(__xludf.DUMMYFUNCTION("""COMPUTED_VALUE"""),"")</f>
        <v/>
      </c>
      <c r="T139" s="503" t="str">
        <f>IFERROR(__xludf.DUMMYFUNCTION("""COMPUTED_VALUE"""),"")</f>
        <v/>
      </c>
    </row>
    <row r="140">
      <c r="A140" s="501" t="str">
        <f>IFERROR(__xludf.DUMMYFUNCTION("""COMPUTED_VALUE"""),"maart")</f>
        <v>maart</v>
      </c>
      <c r="B140" s="501">
        <f>IFERROR(__xludf.DUMMYFUNCTION("""COMPUTED_VALUE"""),10.0)</f>
        <v>10</v>
      </c>
      <c r="C140" s="501" t="str">
        <f>IFERROR(__xludf.DUMMYFUNCTION("""COMPUTED_VALUE"""),"vrijdag")</f>
        <v>vrijdag</v>
      </c>
      <c r="D140" s="502">
        <f>IFERROR(__xludf.DUMMYFUNCTION("""COMPUTED_VALUE"""),43532.0)</f>
        <v>43532</v>
      </c>
      <c r="E140" s="502">
        <f>IFERROR(__xludf.DUMMYFUNCTION("""COMPUTED_VALUE"""),43532.0)</f>
        <v>43532</v>
      </c>
      <c r="F140" s="501" t="str">
        <f>IFERROR(__xludf.DUMMYFUNCTION("""COMPUTED_VALUE"""),"")</f>
        <v/>
      </c>
      <c r="G140" s="503" t="str">
        <f>IFERROR(__xludf.DUMMYFUNCTION("""COMPUTED_VALUE"""),"")</f>
        <v/>
      </c>
      <c r="H140" s="501" t="str">
        <f>IFERROR(__xludf.DUMMYFUNCTION("""COMPUTED_VALUE"""),"Verrassing vrijdag")</f>
        <v>Verrassing vrijdag</v>
      </c>
      <c r="I140" s="503" t="str">
        <f>IFERROR(__xludf.DUMMYFUNCTION("""COMPUTED_VALUE"""),"")</f>
        <v/>
      </c>
      <c r="J140" s="501" t="str">
        <f>IFERROR(__xludf.DUMMYFUNCTION("""COMPUTED_VALUE"""),"Designen")</f>
        <v>Designen</v>
      </c>
      <c r="K140" s="503" t="str">
        <f>IFERROR(__xludf.DUMMYFUNCTION("""COMPUTED_VALUE"""),"")</f>
        <v/>
      </c>
      <c r="L140" s="501" t="str">
        <f>IFERROR(__xludf.DUMMYFUNCTION("""COMPUTED_VALUE"""),"")</f>
        <v/>
      </c>
      <c r="M140" s="504">
        <f>IFERROR(__xludf.DUMMYFUNCTION("""COMPUTED_VALUE"""),1.0)</f>
        <v>1</v>
      </c>
      <c r="N140" s="501" t="str">
        <f>IFERROR(__xludf.DUMMYFUNCTION("""COMPUTED_VALUE"""),"Product")</f>
        <v>Product</v>
      </c>
      <c r="O140" s="501" t="str">
        <f>IFERROR(__xludf.DUMMYFUNCTION("""COMPUTED_VALUE"""),"Instagram Feed")</f>
        <v>Instagram Feed</v>
      </c>
      <c r="P140" s="503" t="str">
        <f>IFERROR(__xludf.DUMMYFUNCTION("""COMPUTED_VALUE"""),"")</f>
        <v/>
      </c>
      <c r="Q140" s="501" t="str">
        <f>IFERROR(__xludf.DUMMYFUNCTION("""COMPUTED_VALUE"""),"Conversie - Conversie")</f>
        <v>Conversie - Conversie</v>
      </c>
      <c r="R140" s="501" t="str">
        <f>IFERROR(__xludf.DUMMYFUNCTION("""COMPUTED_VALUE"""),"Timeline")</f>
        <v>Timeline</v>
      </c>
      <c r="S140" s="503" t="str">
        <f>IFERROR(__xludf.DUMMYFUNCTION("""COMPUTED_VALUE"""),"K:\Greetz Photography\01 - CAMPAIGN PHOTOGRAPHY\02 - SOCIAL\2018\Beauty\Meraki Afbeelding: detail 9 van 11")</f>
        <v>K:\Greetz Photography\01 - CAMPAIGN PHOTOGRAPHY\02 - SOCIAL\2018\Beauty\Meraki Afbeelding: detail 9 van 11</v>
      </c>
      <c r="T140" s="503" t="str">
        <f>IFERROR(__xludf.DUMMYFUNCTION("""COMPUTED_VALUE"""),"utm_source=facebook&amp;utm_medium=socialmedia&amp;utm_campaign=&amp;utm_content=verrassingvrijdag&amp;referrer=facebook")</f>
        <v>utm_source=facebook&amp;utm_medium=socialmedia&amp;utm_campaign=&amp;utm_content=verrassingvrijdag&amp;referrer=facebook</v>
      </c>
    </row>
    <row r="141">
      <c r="A141" s="501" t="str">
        <f>IFERROR(__xludf.DUMMYFUNCTION("""COMPUTED_VALUE"""),"maart")</f>
        <v>maart</v>
      </c>
      <c r="B141" s="501">
        <f>IFERROR(__xludf.DUMMYFUNCTION("""COMPUTED_VALUE"""),10.0)</f>
        <v>10</v>
      </c>
      <c r="C141" s="501" t="str">
        <f>IFERROR(__xludf.DUMMYFUNCTION("""COMPUTED_VALUE"""),"vrijdag")</f>
        <v>vrijdag</v>
      </c>
      <c r="D141" s="502">
        <f>IFERROR(__xludf.DUMMYFUNCTION("""COMPUTED_VALUE"""),43532.0)</f>
        <v>43532</v>
      </c>
      <c r="E141" s="502">
        <f>IFERROR(__xludf.DUMMYFUNCTION("""COMPUTED_VALUE"""),43532.0)</f>
        <v>43532</v>
      </c>
      <c r="F141" s="501" t="str">
        <f>IFERROR(__xludf.DUMMYFUNCTION("""COMPUTED_VALUE"""),"")</f>
        <v/>
      </c>
      <c r="G141" s="503" t="str">
        <f>IFERROR(__xludf.DUMMYFUNCTION("""COMPUTED_VALUE"""),"")</f>
        <v/>
      </c>
      <c r="H141" s="501" t="str">
        <f>IFERROR(__xludf.DUMMYFUNCTION("""COMPUTED_VALUE"""),"Internationale Vrouwendag")</f>
        <v>Internationale Vrouwendag</v>
      </c>
      <c r="I141" s="503" t="str">
        <f>IFERROR(__xludf.DUMMYFUNCTION("""COMPUTED_VALUE"""),"Welke lieve, mooie, zorgzame en bijzondere vrouw wil jij vandaag, op internationale vrouwendag, in het zonnetje zetten? Laat het ons weten en maak kans op een heerlijk beautypakket om haar mee te verrassen")</f>
        <v>Welke lieve, mooie, zorgzame en bijzondere vrouw wil jij vandaag, op internationale vrouwendag, in het zonnetje zetten? Laat het ons weten en maak kans op een heerlijk beautypakket om haar mee te verrassen</v>
      </c>
      <c r="J141" s="501" t="str">
        <f>IFERROR(__xludf.DUMMYFUNCTION("""COMPUTED_VALUE"""),"Briefen")</f>
        <v>Briefen</v>
      </c>
      <c r="K141" s="505" t="str">
        <f>IFERROR(__xludf.DUMMYFUNCTION("""COMPUTED_VALUE""")," Klanten ")</f>
        <v>Klanten</v>
      </c>
      <c r="L141" s="501" t="str">
        <f>IFERROR(__xludf.DUMMYFUNCTION("""COMPUTED_VALUE"""),"")</f>
        <v/>
      </c>
      <c r="M141" s="501" t="str">
        <f>IFERROR(__xludf.DUMMYFUNCTION("""COMPUTED_VALUE"""),"")</f>
        <v/>
      </c>
      <c r="N141" s="501" t="str">
        <f>IFERROR(__xludf.DUMMYFUNCTION("""COMPUTED_VALUE"""),"Geven/ontvangen")</f>
        <v>Geven/ontvangen</v>
      </c>
      <c r="O141" s="501" t="str">
        <f>IFERROR(__xludf.DUMMYFUNCTION("""COMPUTED_VALUE"""),"Facebook")</f>
        <v>Facebook</v>
      </c>
      <c r="P141" s="503" t="str">
        <f>IFERROR(__xludf.DUMMYFUNCTION("""COMPUTED_VALUE"""),"")</f>
        <v/>
      </c>
      <c r="Q141" s="501" t="str">
        <f>IFERROR(__xludf.DUMMYFUNCTION("""COMPUTED_VALUE"""),"Engagement")</f>
        <v>Engagement</v>
      </c>
      <c r="R141" s="501" t="str">
        <f>IFERROR(__xludf.DUMMYFUNCTION("""COMPUTED_VALUE"""),"Timeline")</f>
        <v>Timeline</v>
      </c>
      <c r="S141" s="503" t="str">
        <f>IFERROR(__xludf.DUMMYFUNCTION("""COMPUTED_VALUE"""),"")</f>
        <v/>
      </c>
      <c r="T141" s="503" t="str">
        <f>IFERROR(__xludf.DUMMYFUNCTION("""COMPUTED_VALUE"""),"utm_source=facebook&amp;utm_medium=socialmedia&amp;utm_campaign=&amp;utm_content=internationalevrouwendag&amp;referrer=facebook")</f>
        <v>utm_source=facebook&amp;utm_medium=socialmedia&amp;utm_campaign=&amp;utm_content=internationalevrouwendag&amp;referrer=facebook</v>
      </c>
    </row>
    <row r="142">
      <c r="A142" s="501" t="str">
        <f>IFERROR(__xludf.DUMMYFUNCTION("""COMPUTED_VALUE"""),"maart")</f>
        <v>maart</v>
      </c>
      <c r="B142" s="501">
        <f>IFERROR(__xludf.DUMMYFUNCTION("""COMPUTED_VALUE"""),10.0)</f>
        <v>10</v>
      </c>
      <c r="C142" s="501" t="str">
        <f>IFERROR(__xludf.DUMMYFUNCTION("""COMPUTED_VALUE"""),"zaterdag")</f>
        <v>zaterdag</v>
      </c>
      <c r="D142" s="502">
        <f>IFERROR(__xludf.DUMMYFUNCTION("""COMPUTED_VALUE"""),43533.0)</f>
        <v>43533</v>
      </c>
      <c r="E142" s="502">
        <f>IFERROR(__xludf.DUMMYFUNCTION("""COMPUTED_VALUE"""),43533.0)</f>
        <v>43533</v>
      </c>
      <c r="F142" s="501" t="str">
        <f>IFERROR(__xludf.DUMMYFUNCTION("""COMPUTED_VALUE"""),"")</f>
        <v/>
      </c>
      <c r="G142" s="503" t="str">
        <f>IFERROR(__xludf.DUMMYFUNCTION("""COMPUTED_VALUE"""),"")</f>
        <v/>
      </c>
      <c r="H142" s="501" t="str">
        <f>IFERROR(__xludf.DUMMYFUNCTION("""COMPUTED_VALUE"""),"")</f>
        <v/>
      </c>
      <c r="I142" s="503" t="str">
        <f>IFERROR(__xludf.DUMMYFUNCTION("""COMPUTED_VALUE"""),"")</f>
        <v/>
      </c>
      <c r="J142" s="501" t="str">
        <f>IFERROR(__xludf.DUMMYFUNCTION("""COMPUTED_VALUE"""),"")</f>
        <v/>
      </c>
      <c r="K142" s="503" t="str">
        <f>IFERROR(__xludf.DUMMYFUNCTION("""COMPUTED_VALUE"""),"")</f>
        <v/>
      </c>
      <c r="L142" s="501" t="str">
        <f>IFERROR(__xludf.DUMMYFUNCTION("""COMPUTED_VALUE"""),"")</f>
        <v/>
      </c>
      <c r="M142" s="504">
        <f>IFERROR(__xludf.DUMMYFUNCTION("""COMPUTED_VALUE"""),1.0)</f>
        <v>1</v>
      </c>
      <c r="N142" s="501" t="str">
        <f>IFERROR(__xludf.DUMMYFUNCTION("""COMPUTED_VALUE"""),"")</f>
        <v/>
      </c>
      <c r="O142" s="501" t="str">
        <f>IFERROR(__xludf.DUMMYFUNCTION("""COMPUTED_VALUE"""),"")</f>
        <v/>
      </c>
      <c r="P142" s="503" t="str">
        <f>IFERROR(__xludf.DUMMYFUNCTION("""COMPUTED_VALUE"""),"")</f>
        <v/>
      </c>
      <c r="Q142" s="501" t="str">
        <f>IFERROR(__xludf.DUMMYFUNCTION("""COMPUTED_VALUE"""),"")</f>
        <v/>
      </c>
      <c r="R142" s="501" t="str">
        <f>IFERROR(__xludf.DUMMYFUNCTION("""COMPUTED_VALUE"""),"")</f>
        <v/>
      </c>
      <c r="S142" s="503" t="str">
        <f>IFERROR(__xludf.DUMMYFUNCTION("""COMPUTED_VALUE"""),"")</f>
        <v/>
      </c>
      <c r="T142" s="503" t="str">
        <f>IFERROR(__xludf.DUMMYFUNCTION("""COMPUTED_VALUE"""),"utm_source=facebook&amp;utm_medium=socialmedia&amp;utm_campaign=&amp;utm_content=&amp;referrer=facebook")</f>
        <v>utm_source=facebook&amp;utm_medium=socialmedia&amp;utm_campaign=&amp;utm_content=&amp;referrer=facebook</v>
      </c>
    </row>
    <row r="143">
      <c r="A143" s="501" t="str">
        <f>IFERROR(__xludf.DUMMYFUNCTION("""COMPUTED_VALUE"""),"maart")</f>
        <v>maart</v>
      </c>
      <c r="B143" s="501">
        <f>IFERROR(__xludf.DUMMYFUNCTION("""COMPUTED_VALUE"""),11.0)</f>
        <v>11</v>
      </c>
      <c r="C143" s="501" t="str">
        <f>IFERROR(__xludf.DUMMYFUNCTION("""COMPUTED_VALUE"""),"zondag")</f>
        <v>zondag</v>
      </c>
      <c r="D143" s="502">
        <f>IFERROR(__xludf.DUMMYFUNCTION("""COMPUTED_VALUE"""),43534.0)</f>
        <v>43534</v>
      </c>
      <c r="E143" s="502">
        <f>IFERROR(__xludf.DUMMYFUNCTION("""COMPUTED_VALUE"""),43534.0)</f>
        <v>43534</v>
      </c>
      <c r="F143" s="501" t="str">
        <f>IFERROR(__xludf.DUMMYFUNCTION("""COMPUTED_VALUE"""),"")</f>
        <v/>
      </c>
      <c r="G143" s="503" t="str">
        <f>IFERROR(__xludf.DUMMYFUNCTION("""COMPUTED_VALUE"""),"")</f>
        <v/>
      </c>
      <c r="H143" s="501" t="str">
        <f>IFERROR(__xludf.DUMMYFUNCTION("""COMPUTED_VALUE"""),"")</f>
        <v/>
      </c>
      <c r="I143" s="503" t="str">
        <f>IFERROR(__xludf.DUMMYFUNCTION("""COMPUTED_VALUE"""),"")</f>
        <v/>
      </c>
      <c r="J143" s="501" t="str">
        <f>IFERROR(__xludf.DUMMYFUNCTION("""COMPUTED_VALUE"""),"")</f>
        <v/>
      </c>
      <c r="K143" s="503" t="str">
        <f>IFERROR(__xludf.DUMMYFUNCTION("""COMPUTED_VALUE"""),"")</f>
        <v/>
      </c>
      <c r="L143" s="501" t="str">
        <f>IFERROR(__xludf.DUMMYFUNCTION("""COMPUTED_VALUE"""),"")</f>
        <v/>
      </c>
      <c r="M143" s="504">
        <f>IFERROR(__xludf.DUMMYFUNCTION("""COMPUTED_VALUE"""),1.0)</f>
        <v>1</v>
      </c>
      <c r="N143" s="501" t="str">
        <f>IFERROR(__xludf.DUMMYFUNCTION("""COMPUTED_VALUE"""),"")</f>
        <v/>
      </c>
      <c r="O143" s="501" t="str">
        <f>IFERROR(__xludf.DUMMYFUNCTION("""COMPUTED_VALUE"""),"")</f>
        <v/>
      </c>
      <c r="P143" s="503" t="str">
        <f>IFERROR(__xludf.DUMMYFUNCTION("""COMPUTED_VALUE"""),"")</f>
        <v/>
      </c>
      <c r="Q143" s="501" t="str">
        <f>IFERROR(__xludf.DUMMYFUNCTION("""COMPUTED_VALUE"""),"")</f>
        <v/>
      </c>
      <c r="R143" s="501" t="str">
        <f>IFERROR(__xludf.DUMMYFUNCTION("""COMPUTED_VALUE"""),"")</f>
        <v/>
      </c>
      <c r="S143" s="503" t="str">
        <f>IFERROR(__xludf.DUMMYFUNCTION("""COMPUTED_VALUE"""),"")</f>
        <v/>
      </c>
      <c r="T143" s="503" t="str">
        <f>IFERROR(__xludf.DUMMYFUNCTION("""COMPUTED_VALUE"""),"utm_source=facebook&amp;utm_medium=socialmedia&amp;utm_campaign=&amp;utm_content=&amp;referrer=facebook")</f>
        <v>utm_source=facebook&amp;utm_medium=socialmedia&amp;utm_campaign=&amp;utm_content=&amp;referrer=facebook</v>
      </c>
    </row>
    <row r="144">
      <c r="A144" s="501" t="str">
        <f>IFERROR(__xludf.DUMMYFUNCTION("""COMPUTED_VALUE"""),"maart")</f>
        <v>maart</v>
      </c>
      <c r="B144" s="501">
        <f>IFERROR(__xludf.DUMMYFUNCTION("""COMPUTED_VALUE"""),11.0)</f>
        <v>11</v>
      </c>
      <c r="C144" s="501" t="str">
        <f>IFERROR(__xludf.DUMMYFUNCTION("""COMPUTED_VALUE"""),"maandag")</f>
        <v>maandag</v>
      </c>
      <c r="D144" s="502">
        <f>IFERROR(__xludf.DUMMYFUNCTION("""COMPUTED_VALUE"""),43535.0)</f>
        <v>43535</v>
      </c>
      <c r="E144" s="502">
        <f>IFERROR(__xludf.DUMMYFUNCTION("""COMPUTED_VALUE"""),43541.0)</f>
        <v>43541</v>
      </c>
      <c r="F144" s="501" t="str">
        <f>IFERROR(__xludf.DUMMYFUNCTION("""COMPUTED_VALUE"""),"Een beetje extra aandacht doet een ieder goed")</f>
        <v>Een beetje extra aandacht doet een ieder goed</v>
      </c>
      <c r="G144" s="503" t="str">
        <f>IFERROR(__xludf.DUMMYFUNCTION("""COMPUTED_VALUE"""),"Personalised in the picture. Inspiratie: de mooiste foto én tekstcadeaus, wrapping én wijnkistjes.")</f>
        <v>Personalised in the picture. Inspiratie: de mooiste foto én tekstcadeaus, wrapping én wijnkistjes.</v>
      </c>
      <c r="H144" s="501" t="str">
        <f>IFERROR(__xludf.DUMMYFUNCTION("""COMPUTED_VALUE"""),"25 procent korting merci")</f>
        <v>25 procent korting merci</v>
      </c>
      <c r="I144" s="503" t="str">
        <f>IFERROR(__xludf.DUMMYFUNCTION("""COMPUTED_VALUE"""),"Bedankt, thank you, gracias, merci 🤗 Wie wil jij bedanken, feliciteren of zomaar verrassen? Met code XXXX ontvang je nu 25% korting op alle héélijke Merci chocolade, ook op die met eigen foto en tekst 😍")</f>
        <v>Bedankt, thank you, gracias, merci 🤗 Wie wil jij bedanken, feliciteren of zomaar verrassen? Met code XXXX ontvang je nu 25% korting op alle héélijke Merci chocolade, ook op die met eigen foto en tekst 😍</v>
      </c>
      <c r="J144" s="501" t="str">
        <f>IFERROR(__xludf.DUMMYFUNCTION("""COMPUTED_VALUE"""),"In systeem zetten")</f>
        <v>In systeem zetten</v>
      </c>
      <c r="K144" s="505" t="str">
        <f>IFERROR(__xludf.DUMMYFUNCTION("""COMPUTED_VALUE""")," Chocolade interesse ")</f>
        <v>Chocolade interesse</v>
      </c>
      <c r="L144" s="506">
        <f>IFERROR(__xludf.DUMMYFUNCTION("""COMPUTED_VALUE"""),500.0)</f>
        <v>500</v>
      </c>
      <c r="M144" s="504">
        <f>IFERROR(__xludf.DUMMYFUNCTION("""COMPUTED_VALUE"""),7.0)</f>
        <v>7</v>
      </c>
      <c r="N144" s="501" t="str">
        <f>IFERROR(__xludf.DUMMYFUNCTION("""COMPUTED_VALUE"""),"Product")</f>
        <v>Product</v>
      </c>
      <c r="O144" s="501" t="str">
        <f>IFERROR(__xludf.DUMMYFUNCTION("""COMPUTED_VALUE"""),"Facebook")</f>
        <v>Facebook</v>
      </c>
      <c r="P144" s="503" t="str">
        <f>IFERROR(__xludf.DUMMYFUNCTION("""COMPUTED_VALUE"""),"Facebook - Do - Retailcampaigning")</f>
        <v>Facebook - Do - Retailcampaigning</v>
      </c>
      <c r="Q144" s="501" t="str">
        <f>IFERROR(__xludf.DUMMYFUNCTION("""COMPUTED_VALUE"""),"Conversie - Conversie")</f>
        <v>Conversie - Conversie</v>
      </c>
      <c r="R144" s="501" t="str">
        <f>IFERROR(__xludf.DUMMYFUNCTION("""COMPUTED_VALUE"""),"Dark")</f>
        <v>Dark</v>
      </c>
      <c r="S144" s="503" t="str">
        <f>IFERROR(__xludf.DUMMYFUNCTION("""COMPUTED_VALUE"""),"a/b test doelgroepen")</f>
        <v>a/b test doelgroepen</v>
      </c>
      <c r="T144" s="503" t="str">
        <f>IFERROR(__xludf.DUMMYFUNCTION("""COMPUTED_VALUE"""),"utm_source=facebook&amp;utm_medium=socialmedia&amp;utm_campaign=facebook_-_do_-_retailcampaigning&amp;utm_content=25procentkortingmerci&amp;referrer=facebook")</f>
        <v>utm_source=facebook&amp;utm_medium=socialmedia&amp;utm_campaign=facebook_-_do_-_retailcampaigning&amp;utm_content=25procentkortingmerci&amp;referrer=facebook</v>
      </c>
    </row>
    <row r="145">
      <c r="A145" s="501" t="str">
        <f>IFERROR(__xludf.DUMMYFUNCTION("""COMPUTED_VALUE"""),"maart")</f>
        <v>maart</v>
      </c>
      <c r="B145" s="501">
        <f>IFERROR(__xludf.DUMMYFUNCTION("""COMPUTED_VALUE"""),11.0)</f>
        <v>11</v>
      </c>
      <c r="C145" s="501" t="str">
        <f>IFERROR(__xludf.DUMMYFUNCTION("""COMPUTED_VALUE"""),"dinsdag")</f>
        <v>dinsdag</v>
      </c>
      <c r="D145" s="502">
        <f>IFERROR(__xludf.DUMMYFUNCTION("""COMPUTED_VALUE"""),43536.0)</f>
        <v>43536</v>
      </c>
      <c r="E145" s="502">
        <f>IFERROR(__xludf.DUMMYFUNCTION("""COMPUTED_VALUE"""),43536.0)</f>
        <v>43536</v>
      </c>
      <c r="F145" s="501" t="str">
        <f>IFERROR(__xludf.DUMMYFUNCTION("""COMPUTED_VALUE"""),"")</f>
        <v/>
      </c>
      <c r="G145" s="503" t="str">
        <f>IFERROR(__xludf.DUMMYFUNCTION("""COMPUTED_VALUE"""),"")</f>
        <v/>
      </c>
      <c r="H145" s="501" t="str">
        <f>IFERROR(__xludf.DUMMYFUNCTION("""COMPUTED_VALUE"""),"Gepersonaliseerd wijnkistje")</f>
        <v>Gepersonaliseerd wijnkistje</v>
      </c>
      <c r="I145" s="503" t="str">
        <f>IFERROR(__xludf.DUMMYFUNCTION("""COMPUTED_VALUE"""),"De leukste foto's ontstaan met een drankje 😉🥂 Perfecte combinatie dan zo, toch? Bekijk hier hoe je jouw unieke houten kistje maakt: http://bit.ly/kistje-dranken
")</f>
        <v>De leukste foto's ontstaan met een drankje 😉🥂 Perfecte combinatie dan zo, toch? Bekijk hier hoe je jouw unieke houten kistje maakt: http://bit.ly/kistje-dranken
</v>
      </c>
      <c r="J145" s="501" t="str">
        <f>IFERROR(__xludf.DUMMYFUNCTION("""COMPUTED_VALUE"""),"Designen")</f>
        <v>Designen</v>
      </c>
      <c r="K145" s="505" t="str">
        <f>IFERROR(__xludf.DUMMYFUNCTION("""COMPUTED_VALUE""")," Hoofddoelgroep + klanten ")</f>
        <v>Hoofddoelgroep + klanten</v>
      </c>
      <c r="L145" s="501" t="str">
        <f>IFERROR(__xludf.DUMMYFUNCTION("""COMPUTED_VALUE"""),"")</f>
        <v/>
      </c>
      <c r="M145" s="504">
        <f>IFERROR(__xludf.DUMMYFUNCTION("""COMPUTED_VALUE"""),1.0)</f>
        <v>1</v>
      </c>
      <c r="N145" s="501" t="str">
        <f>IFERROR(__xludf.DUMMYFUNCTION("""COMPUTED_VALUE"""),"Product")</f>
        <v>Product</v>
      </c>
      <c r="O145" s="501" t="str">
        <f>IFERROR(__xludf.DUMMYFUNCTION("""COMPUTED_VALUE"""),"")</f>
        <v/>
      </c>
      <c r="P145" s="503" t="str">
        <f>IFERROR(__xludf.DUMMYFUNCTION("""COMPUTED_VALUE"""),"Facebook - See - Retailcampaigning &amp; contentkalender")</f>
        <v>Facebook - See - Retailcampaigning &amp; contentkalender</v>
      </c>
      <c r="Q145" s="501" t="str">
        <f>IFERROR(__xludf.DUMMYFUNCTION("""COMPUTED_VALUE"""),"")</f>
        <v/>
      </c>
      <c r="R145" s="501" t="str">
        <f>IFERROR(__xludf.DUMMYFUNCTION("""COMPUTED_VALUE"""),"")</f>
        <v/>
      </c>
      <c r="S145" s="503" t="str">
        <f>IFERROR(__xludf.DUMMYFUNCTION("""COMPUTED_VALUE"""),"")</f>
        <v/>
      </c>
      <c r="T145" s="503" t="str">
        <f>IFERROR(__xludf.DUMMYFUNCTION("""COMPUTED_VALUE"""),"utm_source=facebook&amp;utm_medium=socialmedia&amp;utm_campaign=facebook_-_see_-_retailcampaigning_&amp;_contentkalender&amp;utm_content=gepersonaliseerdwijnkistje&amp;referrer=facebook")</f>
        <v>utm_source=facebook&amp;utm_medium=socialmedia&amp;utm_campaign=facebook_-_see_-_retailcampaigning_&amp;_contentkalender&amp;utm_content=gepersonaliseerdwijnkistje&amp;referrer=facebook</v>
      </c>
    </row>
    <row r="146">
      <c r="A146" s="501" t="str">
        <f>IFERROR(__xludf.DUMMYFUNCTION("""COMPUTED_VALUE"""),"maart")</f>
        <v>maart</v>
      </c>
      <c r="B146" s="501">
        <f>IFERROR(__xludf.DUMMYFUNCTION("""COMPUTED_VALUE"""),11.0)</f>
        <v>11</v>
      </c>
      <c r="C146" s="501" t="str">
        <f>IFERROR(__xludf.DUMMYFUNCTION("""COMPUTED_VALUE"""),"woensdag")</f>
        <v>woensdag</v>
      </c>
      <c r="D146" s="502">
        <f>IFERROR(__xludf.DUMMYFUNCTION("""COMPUTED_VALUE"""),43537.0)</f>
        <v>43537</v>
      </c>
      <c r="E146" s="502">
        <f>IFERROR(__xludf.DUMMYFUNCTION("""COMPUTED_VALUE"""),43537.0)</f>
        <v>43537</v>
      </c>
      <c r="F146" s="501" t="str">
        <f>IFERROR(__xludf.DUMMYFUNCTION("""COMPUTED_VALUE"""),"")</f>
        <v/>
      </c>
      <c r="G146" s="503" t="str">
        <f>IFERROR(__xludf.DUMMYFUNCTION("""COMPUTED_VALUE"""),"")</f>
        <v/>
      </c>
      <c r="H146" s="501" t="str">
        <f>IFERROR(__xludf.DUMMYFUNCTION("""COMPUTED_VALUE"""),"")</f>
        <v/>
      </c>
      <c r="I146" s="503" t="str">
        <f>IFERROR(__xludf.DUMMYFUNCTION("""COMPUTED_VALUE"""),"")</f>
        <v/>
      </c>
      <c r="J146" s="501" t="str">
        <f>IFERROR(__xludf.DUMMYFUNCTION("""COMPUTED_VALUE"""),"")</f>
        <v/>
      </c>
      <c r="K146" s="503" t="str">
        <f>IFERROR(__xludf.DUMMYFUNCTION("""COMPUTED_VALUE"""),"")</f>
        <v/>
      </c>
      <c r="L146" s="501" t="str">
        <f>IFERROR(__xludf.DUMMYFUNCTION("""COMPUTED_VALUE"""),"")</f>
        <v/>
      </c>
      <c r="M146" s="504">
        <f>IFERROR(__xludf.DUMMYFUNCTION("""COMPUTED_VALUE"""),1.0)</f>
        <v>1</v>
      </c>
      <c r="N146" s="501" t="str">
        <f>IFERROR(__xludf.DUMMYFUNCTION("""COMPUTED_VALUE"""),"")</f>
        <v/>
      </c>
      <c r="O146" s="501" t="str">
        <f>IFERROR(__xludf.DUMMYFUNCTION("""COMPUTED_VALUE"""),"")</f>
        <v/>
      </c>
      <c r="P146" s="503" t="str">
        <f>IFERROR(__xludf.DUMMYFUNCTION("""COMPUTED_VALUE"""),"")</f>
        <v/>
      </c>
      <c r="Q146" s="501" t="str">
        <f>IFERROR(__xludf.DUMMYFUNCTION("""COMPUTED_VALUE"""),"")</f>
        <v/>
      </c>
      <c r="R146" s="501" t="str">
        <f>IFERROR(__xludf.DUMMYFUNCTION("""COMPUTED_VALUE"""),"")</f>
        <v/>
      </c>
      <c r="S146" s="503" t="str">
        <f>IFERROR(__xludf.DUMMYFUNCTION("""COMPUTED_VALUE"""),"")</f>
        <v/>
      </c>
      <c r="T146" s="503" t="str">
        <f>IFERROR(__xludf.DUMMYFUNCTION("""COMPUTED_VALUE"""),"utm_source=facebook&amp;utm_medium=socialmedia&amp;utm_campaign=&amp;utm_content=&amp;referrer=facebook")</f>
        <v>utm_source=facebook&amp;utm_medium=socialmedia&amp;utm_campaign=&amp;utm_content=&amp;referrer=facebook</v>
      </c>
    </row>
    <row r="147">
      <c r="A147" s="501" t="str">
        <f>IFERROR(__xludf.DUMMYFUNCTION("""COMPUTED_VALUE"""),"maart")</f>
        <v>maart</v>
      </c>
      <c r="B147" s="501">
        <f>IFERROR(__xludf.DUMMYFUNCTION("""COMPUTED_VALUE"""),11.0)</f>
        <v>11</v>
      </c>
      <c r="C147" s="501" t="str">
        <f>IFERROR(__xludf.DUMMYFUNCTION("""COMPUTED_VALUE"""),"donderdag")</f>
        <v>donderdag</v>
      </c>
      <c r="D147" s="502">
        <f>IFERROR(__xludf.DUMMYFUNCTION("""COMPUTED_VALUE"""),43538.0)</f>
        <v>43538</v>
      </c>
      <c r="E147" s="502">
        <f>IFERROR(__xludf.DUMMYFUNCTION("""COMPUTED_VALUE"""),43538.0)</f>
        <v>43538</v>
      </c>
      <c r="F147" s="501" t="str">
        <f>IFERROR(__xludf.DUMMYFUNCTION("""COMPUTED_VALUE"""),"")</f>
        <v/>
      </c>
      <c r="G147" s="503" t="str">
        <f>IFERROR(__xludf.DUMMYFUNCTION("""COMPUTED_VALUE"""),"")</f>
        <v/>
      </c>
      <c r="H147" s="501" t="str">
        <f>IFERROR(__xludf.DUMMYFUNCTION("""COMPUTED_VALUE"""),"")</f>
        <v/>
      </c>
      <c r="I147" s="503" t="str">
        <f>IFERROR(__xludf.DUMMYFUNCTION("""COMPUTED_VALUE"""),"")</f>
        <v/>
      </c>
      <c r="J147" s="501" t="str">
        <f>IFERROR(__xludf.DUMMYFUNCTION("""COMPUTED_VALUE"""),"")</f>
        <v/>
      </c>
      <c r="K147" s="503" t="str">
        <f>IFERROR(__xludf.DUMMYFUNCTION("""COMPUTED_VALUE"""),"")</f>
        <v/>
      </c>
      <c r="L147" s="501" t="str">
        <f>IFERROR(__xludf.DUMMYFUNCTION("""COMPUTED_VALUE"""),"")</f>
        <v/>
      </c>
      <c r="M147" s="504">
        <f>IFERROR(__xludf.DUMMYFUNCTION("""COMPUTED_VALUE"""),1.0)</f>
        <v>1</v>
      </c>
      <c r="N147" s="501" t="str">
        <f>IFERROR(__xludf.DUMMYFUNCTION("""COMPUTED_VALUE"""),"")</f>
        <v/>
      </c>
      <c r="O147" s="501" t="str">
        <f>IFERROR(__xludf.DUMMYFUNCTION("""COMPUTED_VALUE"""),"")</f>
        <v/>
      </c>
      <c r="P147" s="503" t="str">
        <f>IFERROR(__xludf.DUMMYFUNCTION("""COMPUTED_VALUE"""),"")</f>
        <v/>
      </c>
      <c r="Q147" s="501" t="str">
        <f>IFERROR(__xludf.DUMMYFUNCTION("""COMPUTED_VALUE"""),"")</f>
        <v/>
      </c>
      <c r="R147" s="501" t="str">
        <f>IFERROR(__xludf.DUMMYFUNCTION("""COMPUTED_VALUE"""),"")</f>
        <v/>
      </c>
      <c r="S147" s="503" t="str">
        <f>IFERROR(__xludf.DUMMYFUNCTION("""COMPUTED_VALUE"""),"")</f>
        <v/>
      </c>
      <c r="T147" s="503" t="str">
        <f>IFERROR(__xludf.DUMMYFUNCTION("""COMPUTED_VALUE"""),"utm_source=facebook&amp;utm_medium=socialmedia&amp;utm_campaign=&amp;utm_content=&amp;referrer=facebook")</f>
        <v>utm_source=facebook&amp;utm_medium=socialmedia&amp;utm_campaign=&amp;utm_content=&amp;referrer=facebook</v>
      </c>
    </row>
    <row r="148">
      <c r="A148" s="501" t="str">
        <f>IFERROR(__xludf.DUMMYFUNCTION("""COMPUTED_VALUE"""),"maart")</f>
        <v>maart</v>
      </c>
      <c r="B148" s="501">
        <f>IFERROR(__xludf.DUMMYFUNCTION("""COMPUTED_VALUE"""),11.0)</f>
        <v>11</v>
      </c>
      <c r="C148" s="501" t="str">
        <f>IFERROR(__xludf.DUMMYFUNCTION("""COMPUTED_VALUE"""),"vrijdag")</f>
        <v>vrijdag</v>
      </c>
      <c r="D148" s="502">
        <f>IFERROR(__xludf.DUMMYFUNCTION("""COMPUTED_VALUE"""),43539.0)</f>
        <v>43539</v>
      </c>
      <c r="E148" s="502">
        <f>IFERROR(__xludf.DUMMYFUNCTION("""COMPUTED_VALUE"""),43539.0)</f>
        <v>43539</v>
      </c>
      <c r="F148" s="501" t="str">
        <f>IFERROR(__xludf.DUMMYFUNCTION("""COMPUTED_VALUE"""),"")</f>
        <v/>
      </c>
      <c r="G148" s="503" t="str">
        <f>IFERROR(__xludf.DUMMYFUNCTION("""COMPUTED_VALUE"""),"")</f>
        <v/>
      </c>
      <c r="H148" s="501" t="str">
        <f>IFERROR(__xludf.DUMMYFUNCTION("""COMPUTED_VALUE"""),"Weg van verrassen - personalised wrapping")</f>
        <v>Weg van verrassen - personalised wrapping</v>
      </c>
      <c r="I148" s="503" t="str">
        <f>IFERROR(__xludf.DUMMYFUNCTION("""COMPUTED_VALUE"""),"Wist je met hoeveel liefde jouw verrassing wordt ingepakt in wel heel speciaal en uniek cadeaupapier? ❤️")</f>
        <v>Wist je met hoeveel liefde jouw verrassing wordt ingepakt in wel heel speciaal en uniek cadeaupapier? ❤️</v>
      </c>
      <c r="J148" s="501" t="str">
        <f>IFERROR(__xludf.DUMMYFUNCTION("""COMPUTED_VALUE"""),"In systeem zetten")</f>
        <v>In systeem zetten</v>
      </c>
      <c r="K148" s="505" t="str">
        <f>IFERROR(__xludf.DUMMYFUNCTION("""COMPUTED_VALUE""")," Klanten ")</f>
        <v>Klanten</v>
      </c>
      <c r="L148" s="501" t="str">
        <f>IFERROR(__xludf.DUMMYFUNCTION("""COMPUTED_VALUE"""),"")</f>
        <v/>
      </c>
      <c r="M148" s="504">
        <f>IFERROR(__xludf.DUMMYFUNCTION("""COMPUTED_VALUE"""),1.0)</f>
        <v>1</v>
      </c>
      <c r="N148" s="501" t="str">
        <f>IFERROR(__xludf.DUMMYFUNCTION("""COMPUTED_VALUE"""),"Merk")</f>
        <v>Merk</v>
      </c>
      <c r="O148" s="501" t="str">
        <f>IFERROR(__xludf.DUMMYFUNCTION("""COMPUTED_VALUE"""),"")</f>
        <v/>
      </c>
      <c r="P148" s="503" t="str">
        <f>IFERROR(__xludf.DUMMYFUNCTION("""COMPUTED_VALUE"""),"Facebook - See - Retailcampaigning &amp; contentkalender")</f>
        <v>Facebook - See - Retailcampaigning &amp; contentkalender</v>
      </c>
      <c r="Q148" s="501" t="str">
        <f>IFERROR(__xludf.DUMMYFUNCTION("""COMPUTED_VALUE"""),"")</f>
        <v/>
      </c>
      <c r="R148" s="501" t="str">
        <f>IFERROR(__xludf.DUMMYFUNCTION("""COMPUTED_VALUE"""),"")</f>
        <v/>
      </c>
      <c r="S148" s="503" t="str">
        <f>IFERROR(__xludf.DUMMYFUNCTION("""COMPUTED_VALUE"""),"")</f>
        <v/>
      </c>
      <c r="T148" s="503" t="str">
        <f>IFERROR(__xludf.DUMMYFUNCTION("""COMPUTED_VALUE"""),"utm_source=facebook&amp;utm_medium=socialmedia&amp;utm_campaign=facebook_-_see_-_retailcampaigning_&amp;_contentkalender&amp;utm_content=wegvanverrassen-personalisedwrapping&amp;referrer=facebook")</f>
        <v>utm_source=facebook&amp;utm_medium=socialmedia&amp;utm_campaign=facebook_-_see_-_retailcampaigning_&amp;_contentkalender&amp;utm_content=wegvanverrassen-personalisedwrapping&amp;referrer=facebook</v>
      </c>
    </row>
    <row r="149">
      <c r="A149" s="501" t="str">
        <f>IFERROR(__xludf.DUMMYFUNCTION("""COMPUTED_VALUE"""),"maart")</f>
        <v>maart</v>
      </c>
      <c r="B149" s="501">
        <f>IFERROR(__xludf.DUMMYFUNCTION("""COMPUTED_VALUE"""),11.0)</f>
        <v>11</v>
      </c>
      <c r="C149" s="501" t="str">
        <f>IFERROR(__xludf.DUMMYFUNCTION("""COMPUTED_VALUE"""),"zaterdag")</f>
        <v>zaterdag</v>
      </c>
      <c r="D149" s="502">
        <f>IFERROR(__xludf.DUMMYFUNCTION("""COMPUTED_VALUE"""),43540.0)</f>
        <v>43540</v>
      </c>
      <c r="E149" s="502">
        <f>IFERROR(__xludf.DUMMYFUNCTION("""COMPUTED_VALUE"""),43540.0)</f>
        <v>43540</v>
      </c>
      <c r="F149" s="501" t="str">
        <f>IFERROR(__xludf.DUMMYFUNCTION("""COMPUTED_VALUE"""),"")</f>
        <v/>
      </c>
      <c r="G149" s="503" t="str">
        <f>IFERROR(__xludf.DUMMYFUNCTION("""COMPUTED_VALUE"""),"")</f>
        <v/>
      </c>
      <c r="H149" s="501" t="str">
        <f>IFERROR(__xludf.DUMMYFUNCTION("""COMPUTED_VALUE"""),"")</f>
        <v/>
      </c>
      <c r="I149" s="503" t="str">
        <f>IFERROR(__xludf.DUMMYFUNCTION("""COMPUTED_VALUE"""),"")</f>
        <v/>
      </c>
      <c r="J149" s="501" t="str">
        <f>IFERROR(__xludf.DUMMYFUNCTION("""COMPUTED_VALUE"""),"")</f>
        <v/>
      </c>
      <c r="K149" s="503" t="str">
        <f>IFERROR(__xludf.DUMMYFUNCTION("""COMPUTED_VALUE"""),"")</f>
        <v/>
      </c>
      <c r="L149" s="501" t="str">
        <f>IFERROR(__xludf.DUMMYFUNCTION("""COMPUTED_VALUE"""),"")</f>
        <v/>
      </c>
      <c r="M149" s="504">
        <f>IFERROR(__xludf.DUMMYFUNCTION("""COMPUTED_VALUE"""),1.0)</f>
        <v>1</v>
      </c>
      <c r="N149" s="501" t="str">
        <f>IFERROR(__xludf.DUMMYFUNCTION("""COMPUTED_VALUE"""),"")</f>
        <v/>
      </c>
      <c r="O149" s="501" t="str">
        <f>IFERROR(__xludf.DUMMYFUNCTION("""COMPUTED_VALUE"""),"")</f>
        <v/>
      </c>
      <c r="P149" s="503" t="str">
        <f>IFERROR(__xludf.DUMMYFUNCTION("""COMPUTED_VALUE"""),"")</f>
        <v/>
      </c>
      <c r="Q149" s="501" t="str">
        <f>IFERROR(__xludf.DUMMYFUNCTION("""COMPUTED_VALUE"""),"")</f>
        <v/>
      </c>
      <c r="R149" s="501" t="str">
        <f>IFERROR(__xludf.DUMMYFUNCTION("""COMPUTED_VALUE"""),"")</f>
        <v/>
      </c>
      <c r="S149" s="503" t="str">
        <f>IFERROR(__xludf.DUMMYFUNCTION("""COMPUTED_VALUE"""),"")</f>
        <v/>
      </c>
      <c r="T149" s="503" t="str">
        <f>IFERROR(__xludf.DUMMYFUNCTION("""COMPUTED_VALUE"""),"utm_source=facebook&amp;utm_medium=socialmedia&amp;utm_campaign=&amp;utm_content=&amp;referrer=facebook")</f>
        <v>utm_source=facebook&amp;utm_medium=socialmedia&amp;utm_campaign=&amp;utm_content=&amp;referrer=facebook</v>
      </c>
    </row>
    <row r="150">
      <c r="A150" s="501" t="str">
        <f>IFERROR(__xludf.DUMMYFUNCTION("""COMPUTED_VALUE"""),"maart")</f>
        <v>maart</v>
      </c>
      <c r="B150" s="501">
        <f>IFERROR(__xludf.DUMMYFUNCTION("""COMPUTED_VALUE"""),12.0)</f>
        <v>12</v>
      </c>
      <c r="C150" s="501" t="str">
        <f>IFERROR(__xludf.DUMMYFUNCTION("""COMPUTED_VALUE"""),"zondag")</f>
        <v>zondag</v>
      </c>
      <c r="D150" s="502">
        <f>IFERROR(__xludf.DUMMYFUNCTION("""COMPUTED_VALUE"""),43541.0)</f>
        <v>43541</v>
      </c>
      <c r="E150" s="502">
        <f>IFERROR(__xludf.DUMMYFUNCTION("""COMPUTED_VALUE"""),43541.0)</f>
        <v>43541</v>
      </c>
      <c r="F150" s="501" t="str">
        <f>IFERROR(__xludf.DUMMYFUNCTION("""COMPUTED_VALUE"""),"")</f>
        <v/>
      </c>
      <c r="G150" s="503" t="str">
        <f>IFERROR(__xludf.DUMMYFUNCTION("""COMPUTED_VALUE"""),"")</f>
        <v/>
      </c>
      <c r="H150" s="501" t="str">
        <f>IFERROR(__xludf.DUMMYFUNCTION("""COMPUTED_VALUE"""),"")</f>
        <v/>
      </c>
      <c r="I150" s="503" t="str">
        <f>IFERROR(__xludf.DUMMYFUNCTION("""COMPUTED_VALUE"""),"")</f>
        <v/>
      </c>
      <c r="J150" s="501" t="str">
        <f>IFERROR(__xludf.DUMMYFUNCTION("""COMPUTED_VALUE"""),"")</f>
        <v/>
      </c>
      <c r="K150" s="503" t="str">
        <f>IFERROR(__xludf.DUMMYFUNCTION("""COMPUTED_VALUE"""),"")</f>
        <v/>
      </c>
      <c r="L150" s="501" t="str">
        <f>IFERROR(__xludf.DUMMYFUNCTION("""COMPUTED_VALUE"""),"")</f>
        <v/>
      </c>
      <c r="M150" s="504">
        <f>IFERROR(__xludf.DUMMYFUNCTION("""COMPUTED_VALUE"""),1.0)</f>
        <v>1</v>
      </c>
      <c r="N150" s="501" t="str">
        <f>IFERROR(__xludf.DUMMYFUNCTION("""COMPUTED_VALUE"""),"")</f>
        <v/>
      </c>
      <c r="O150" s="501" t="str">
        <f>IFERROR(__xludf.DUMMYFUNCTION("""COMPUTED_VALUE"""),"")</f>
        <v/>
      </c>
      <c r="P150" s="503" t="str">
        <f>IFERROR(__xludf.DUMMYFUNCTION("""COMPUTED_VALUE"""),"")</f>
        <v/>
      </c>
      <c r="Q150" s="501" t="str">
        <f>IFERROR(__xludf.DUMMYFUNCTION("""COMPUTED_VALUE"""),"")</f>
        <v/>
      </c>
      <c r="R150" s="501" t="str">
        <f>IFERROR(__xludf.DUMMYFUNCTION("""COMPUTED_VALUE"""),"")</f>
        <v/>
      </c>
      <c r="S150" s="503" t="str">
        <f>IFERROR(__xludf.DUMMYFUNCTION("""COMPUTED_VALUE"""),"")</f>
        <v/>
      </c>
      <c r="T150" s="503" t="str">
        <f>IFERROR(__xludf.DUMMYFUNCTION("""COMPUTED_VALUE"""),"utm_source=facebook&amp;utm_medium=socialmedia&amp;utm_campaign=&amp;utm_content=&amp;referrer=facebook")</f>
        <v>utm_source=facebook&amp;utm_medium=socialmedia&amp;utm_campaign=&amp;utm_content=&amp;referrer=facebook</v>
      </c>
    </row>
    <row r="151">
      <c r="A151" s="501" t="str">
        <f>IFERROR(__xludf.DUMMYFUNCTION("""COMPUTED_VALUE"""),"maart")</f>
        <v>maart</v>
      </c>
      <c r="B151" s="501">
        <f>IFERROR(__xludf.DUMMYFUNCTION("""COMPUTED_VALUE"""),12.0)</f>
        <v>12</v>
      </c>
      <c r="C151" s="501" t="str">
        <f>IFERROR(__xludf.DUMMYFUNCTION("""COMPUTED_VALUE"""),"maandag")</f>
        <v>maandag</v>
      </c>
      <c r="D151" s="502">
        <f>IFERROR(__xludf.DUMMYFUNCTION("""COMPUTED_VALUE"""),43542.0)</f>
        <v>43542</v>
      </c>
      <c r="E151" s="502">
        <f>IFERROR(__xludf.DUMMYFUNCTION("""COMPUTED_VALUE"""),43548.0)</f>
        <v>43548</v>
      </c>
      <c r="F151" s="501" t="str">
        <f>IFERROR(__xludf.DUMMYFUNCTION("""COMPUTED_VALUE"""),"Nieuwe merkcampagne")</f>
        <v>Nieuwe merkcampagne</v>
      </c>
      <c r="G151" s="503" t="str">
        <f>IFERROR(__xludf.DUMMYFUNCTION("""COMPUTED_VALUE"""),"Gratis kaart bij gift")</f>
        <v>Gratis kaart bij gift</v>
      </c>
      <c r="H151" s="501" t="str">
        <f>IFERROR(__xludf.DUMMYFUNCTION("""COMPUTED_VALUE"""),"gratis kaart bij gift")</f>
        <v>gratis kaart bij gift</v>
      </c>
      <c r="I151" s="503" t="str">
        <f>IFERROR(__xludf.DUMMYFUNCTION("""COMPUTED_VALUE"""),"Hoera! Vier het feestje mee en verras de jarige met een mooi boeket, vrolijke ballon of lekkere chocolade. Voor jouw lieve woorden krijg je met code XXXXX een gratis kaart bij je verrassing.
Kindje geboren? Verras de kersverse papa en/of mama met een vro"&amp;"lijke ballon, lief knuffeltje met eigen naam of mooi kraampakket. Voor jouw lieve woorden krijg je met code XXXXX een gratis kaart bij je verrassing.")</f>
        <v>Hoera! Vier het feestje mee en verras de jarige met een mooi boeket, vrolijke ballon of lekkere chocolade. Voor jouw lieve woorden krijg je met code XXXXX een gratis kaart bij je verrassing.
Kindje geboren? Verras de kersverse papa en/of mama met een vrolijke ballon, lief knuffeltje met eigen naam of mooi kraampakket. Voor jouw lieve woorden krijg je met code XXXXX een gratis kaart bij je verrassing.</v>
      </c>
      <c r="J151" s="501" t="str">
        <f>IFERROR(__xludf.DUMMYFUNCTION("""COMPUTED_VALUE"""),"In systeem zetten")</f>
        <v>In systeem zetten</v>
      </c>
      <c r="K151" s="505" t="str">
        <f>IFERROR(__xludf.DUMMYFUNCTION("""COMPUTED_VALUE""")," Verjaardag doelgroep, geboorte doelgroep ")</f>
        <v>Verjaardag doelgroep, geboorte doelgroep</v>
      </c>
      <c r="L151" s="506">
        <f>IFERROR(__xludf.DUMMYFUNCTION("""COMPUTED_VALUE"""),1000.0)</f>
        <v>1000</v>
      </c>
      <c r="M151" s="504">
        <f>IFERROR(__xludf.DUMMYFUNCTION("""COMPUTED_VALUE"""),7.0)</f>
        <v>7</v>
      </c>
      <c r="N151" s="501" t="str">
        <f>IFERROR(__xludf.DUMMYFUNCTION("""COMPUTED_VALUE"""),"Product")</f>
        <v>Product</v>
      </c>
      <c r="O151" s="501" t="str">
        <f>IFERROR(__xludf.DUMMYFUNCTION("""COMPUTED_VALUE"""),"Facebook")</f>
        <v>Facebook</v>
      </c>
      <c r="P151" s="503" t="str">
        <f>IFERROR(__xludf.DUMMYFUNCTION("""COMPUTED_VALUE"""),"Facebook - Do - Retailcampaigning")</f>
        <v>Facebook - Do - Retailcampaigning</v>
      </c>
      <c r="Q151" s="501" t="str">
        <f>IFERROR(__xludf.DUMMYFUNCTION("""COMPUTED_VALUE"""),"Conversie - Conversie")</f>
        <v>Conversie - Conversie</v>
      </c>
      <c r="R151" s="501" t="str">
        <f>IFERROR(__xludf.DUMMYFUNCTION("""COMPUTED_VALUE"""),"Dark")</f>
        <v>Dark</v>
      </c>
      <c r="S151" s="503" t="str">
        <f>IFERROR(__xludf.DUMMYFUNCTION("""COMPUTED_VALUE"""),"2 verschillende ads op 2 verschillende doelgroepen")</f>
        <v>2 verschillende ads op 2 verschillende doelgroepen</v>
      </c>
      <c r="T151" s="503" t="str">
        <f>IFERROR(__xludf.DUMMYFUNCTION("""COMPUTED_VALUE"""),"utm_source=facebook&amp;utm_medium=socialmedia&amp;utm_campaign=facebook_-_do_-_retailcampaigning&amp;utm_content=gratiskaartbijgift&amp;referrer=facebook")</f>
        <v>utm_source=facebook&amp;utm_medium=socialmedia&amp;utm_campaign=facebook_-_do_-_retailcampaigning&amp;utm_content=gratiskaartbijgift&amp;referrer=facebook</v>
      </c>
    </row>
    <row r="152">
      <c r="A152" s="501" t="str">
        <f>IFERROR(__xludf.DUMMYFUNCTION("""COMPUTED_VALUE"""),"maart")</f>
        <v>maart</v>
      </c>
      <c r="B152" s="501">
        <f>IFERROR(__xludf.DUMMYFUNCTION("""COMPUTED_VALUE"""),12.0)</f>
        <v>12</v>
      </c>
      <c r="C152" s="501" t="str">
        <f>IFERROR(__xludf.DUMMYFUNCTION("""COMPUTED_VALUE"""),"maandag")</f>
        <v>maandag</v>
      </c>
      <c r="D152" s="502">
        <f>IFERROR(__xludf.DUMMYFUNCTION("""COMPUTED_VALUE"""),43542.0)</f>
        <v>43542</v>
      </c>
      <c r="E152" s="502">
        <f>IFERROR(__xludf.DUMMYFUNCTION("""COMPUTED_VALUE"""),43555.0)</f>
        <v>43555</v>
      </c>
      <c r="F152" s="501" t="str">
        <f>IFERROR(__xludf.DUMMYFUNCTION("""COMPUTED_VALUE"""),"")</f>
        <v/>
      </c>
      <c r="G152" s="503" t="str">
        <f>IFERROR(__xludf.DUMMYFUNCTION("""COMPUTED_VALUE"""),"")</f>
        <v/>
      </c>
      <c r="H152" s="501" t="str">
        <f>IFERROR(__xludf.DUMMYFUNCTION("""COMPUTED_VALUE"""),"klantenwerving collection ad")</f>
        <v>klantenwerving collection ad</v>
      </c>
      <c r="I152" s="503" t="str">
        <f>IFERROR(__xludf.DUMMYFUNCTION("""COMPUTED_VALUE"""),"")</f>
        <v/>
      </c>
      <c r="J152" s="501" t="str">
        <f>IFERROR(__xludf.DUMMYFUNCTION("""COMPUTED_VALUE"""),"Staat klaar")</f>
        <v>Staat klaar</v>
      </c>
      <c r="K152" s="505" t="str">
        <f>IFERROR(__xludf.DUMMYFUNCTION("""COMPUTED_VALUE""")," Hoofddoelgroep ")</f>
        <v>Hoofddoelgroep</v>
      </c>
      <c r="L152" s="506">
        <f>IFERROR(__xludf.DUMMYFUNCTION("""COMPUTED_VALUE"""),1000.0)</f>
        <v>1000</v>
      </c>
      <c r="M152" s="504">
        <f>IFERROR(__xludf.DUMMYFUNCTION("""COMPUTED_VALUE"""),14.0)</f>
        <v>14</v>
      </c>
      <c r="N152" s="501" t="str">
        <f>IFERROR(__xludf.DUMMYFUNCTION("""COMPUTED_VALUE"""),"Merk")</f>
        <v>Merk</v>
      </c>
      <c r="O152" s="501" t="str">
        <f>IFERROR(__xludf.DUMMYFUNCTION("""COMPUTED_VALUE"""),"FB + Instagram")</f>
        <v>FB + Instagram</v>
      </c>
      <c r="P152" s="503" t="str">
        <f>IFERROR(__xludf.DUMMYFUNCTION("""COMPUTED_VALUE"""),"Facebook - See - Retailcampaigning &amp; contentkalender")</f>
        <v>Facebook - See - Retailcampaigning &amp; contentkalender</v>
      </c>
      <c r="Q152" s="501" t="str">
        <f>IFERROR(__xludf.DUMMYFUNCTION("""COMPUTED_VALUE"""),"Bereik")</f>
        <v>Bereik</v>
      </c>
      <c r="R152" s="501" t="str">
        <f>IFERROR(__xludf.DUMMYFUNCTION("""COMPUTED_VALUE"""),"Dark")</f>
        <v>Dark</v>
      </c>
      <c r="S152" s="503" t="str">
        <f>IFERROR(__xludf.DUMMYFUNCTION("""COMPUTED_VALUE"""),"")</f>
        <v/>
      </c>
      <c r="T152" s="503" t="str">
        <f>IFERROR(__xludf.DUMMYFUNCTION("""COMPUTED_VALUE"""),"")</f>
        <v/>
      </c>
    </row>
    <row r="153">
      <c r="A153" s="501" t="str">
        <f>IFERROR(__xludf.DUMMYFUNCTION("""COMPUTED_VALUE"""),"maart")</f>
        <v>maart</v>
      </c>
      <c r="B153" s="501">
        <f>IFERROR(__xludf.DUMMYFUNCTION("""COMPUTED_VALUE"""),12.0)</f>
        <v>12</v>
      </c>
      <c r="C153" s="501" t="str">
        <f>IFERROR(__xludf.DUMMYFUNCTION("""COMPUTED_VALUE"""),"maandag")</f>
        <v>maandag</v>
      </c>
      <c r="D153" s="502">
        <f>IFERROR(__xludf.DUMMYFUNCTION("""COMPUTED_VALUE"""),43542.0)</f>
        <v>43542</v>
      </c>
      <c r="E153" s="502">
        <f>IFERROR(__xludf.DUMMYFUNCTION("""COMPUTED_VALUE"""),43543.0)</f>
        <v>43543</v>
      </c>
      <c r="F153" s="501" t="str">
        <f>IFERROR(__xludf.DUMMYFUNCTION("""COMPUTED_VALUE"""),"")</f>
        <v/>
      </c>
      <c r="G153" s="503" t="str">
        <f>IFERROR(__xludf.DUMMYFUNCTION("""COMPUTED_VALUE"""),"")</f>
        <v/>
      </c>
      <c r="H153" s="501" t="str">
        <f>IFERROR(__xludf.DUMMYFUNCTION("""COMPUTED_VALUE"""),"Nieuwe merkcampagne")</f>
        <v>Nieuwe merkcampagne</v>
      </c>
      <c r="I153" s="503" t="str">
        <f>IFERROR(__xludf.DUMMYFUNCTION("""COMPUTED_VALUE"""),"Echte mensen, echte verhalen 💕 We zijn heel trots op onze nieuwe tv-commercial met daarin een hoofdrol voor onze lieve klanten. Heb jij 'm al gezien? 🙂")</f>
        <v>Echte mensen, echte verhalen 💕 We zijn heel trots op onze nieuwe tv-commercial met daarin een hoofdrol voor onze lieve klanten. Heb jij 'm al gezien? 🙂</v>
      </c>
      <c r="J153" s="501" t="str">
        <f>IFERROR(__xludf.DUMMYFUNCTION("""COMPUTED_VALUE"""),"Staat klaar")</f>
        <v>Staat klaar</v>
      </c>
      <c r="K153" s="505" t="str">
        <f>IFERROR(__xludf.DUMMYFUNCTION("""COMPUTED_VALUE""")," Klanten ")</f>
        <v>Klanten</v>
      </c>
      <c r="L153" s="506">
        <f>IFERROR(__xludf.DUMMYFUNCTION("""COMPUTED_VALUE"""),500.0)</f>
        <v>500</v>
      </c>
      <c r="M153" s="504">
        <f>IFERROR(__xludf.DUMMYFUNCTION("""COMPUTED_VALUE"""),2.0)</f>
        <v>2</v>
      </c>
      <c r="N153" s="501" t="str">
        <f>IFERROR(__xludf.DUMMYFUNCTION("""COMPUTED_VALUE"""),"Merk")</f>
        <v>Merk</v>
      </c>
      <c r="O153" s="501" t="str">
        <f>IFERROR(__xludf.DUMMYFUNCTION("""COMPUTED_VALUE"""),"")</f>
        <v/>
      </c>
      <c r="P153" s="503" t="str">
        <f>IFERROR(__xludf.DUMMYFUNCTION("""COMPUTED_VALUE"""),"Facebook - See - Retailcampaigning &amp; contentkalender")</f>
        <v>Facebook - See - Retailcampaigning &amp; contentkalender</v>
      </c>
      <c r="Q153" s="501" t="str">
        <f>IFERROR(__xludf.DUMMYFUNCTION("""COMPUTED_VALUE"""),"Bereik")</f>
        <v>Bereik</v>
      </c>
      <c r="R153" s="501" t="str">
        <f>IFERROR(__xludf.DUMMYFUNCTION("""COMPUTED_VALUE"""),"Dark")</f>
        <v>Dark</v>
      </c>
      <c r="S153" s="503" t="str">
        <f>IFERROR(__xludf.DUMMYFUNCTION("""COMPUTED_VALUE"""),"")</f>
        <v/>
      </c>
      <c r="T153" s="503" t="str">
        <f>IFERROR(__xludf.DUMMYFUNCTION("""COMPUTED_VALUE"""),"utm_source=facebook&amp;utm_medium=socialmedia&amp;utm_campaign=facebook_-_see_-_retailcampaigning_&amp;_contentkalender&amp;utm_content=nieuwemerkcampagne&amp;referrer=facebook")</f>
        <v>utm_source=facebook&amp;utm_medium=socialmedia&amp;utm_campaign=facebook_-_see_-_retailcampaigning_&amp;_contentkalender&amp;utm_content=nieuwemerkcampagne&amp;referrer=facebook</v>
      </c>
    </row>
    <row r="154">
      <c r="A154" s="501" t="str">
        <f>IFERROR(__xludf.DUMMYFUNCTION("""COMPUTED_VALUE"""),"maart")</f>
        <v>maart</v>
      </c>
      <c r="B154" s="501">
        <f>IFERROR(__xludf.DUMMYFUNCTION("""COMPUTED_VALUE"""),12.0)</f>
        <v>12</v>
      </c>
      <c r="C154" s="501" t="str">
        <f>IFERROR(__xludf.DUMMYFUNCTION("""COMPUTED_VALUE"""),"maandag")</f>
        <v>maandag</v>
      </c>
      <c r="D154" s="502">
        <f>IFERROR(__xludf.DUMMYFUNCTION("""COMPUTED_VALUE"""),43542.0)</f>
        <v>43542</v>
      </c>
      <c r="E154" s="502">
        <f>IFERROR(__xludf.DUMMYFUNCTION("""COMPUTED_VALUE"""),43555.0)</f>
        <v>43555</v>
      </c>
      <c r="F154" s="501" t="str">
        <f>IFERROR(__xludf.DUMMYFUNCTION("""COMPUTED_VALUE"""),"")</f>
        <v/>
      </c>
      <c r="G154" s="503" t="str">
        <f>IFERROR(__xludf.DUMMYFUNCTION("""COMPUTED_VALUE"""),"")</f>
        <v/>
      </c>
      <c r="H154" s="501" t="str">
        <f>IFERROR(__xludf.DUMMYFUNCTION("""COMPUTED_VALUE"""),"YouTube prerolls &amp; bumper ads")</f>
        <v>YouTube prerolls &amp; bumper ads</v>
      </c>
      <c r="I154" s="503" t="str">
        <f>IFERROR(__xludf.DUMMYFUNCTION("""COMPUTED_VALUE"""),"")</f>
        <v/>
      </c>
      <c r="J154" s="501" t="str">
        <f>IFERROR(__xludf.DUMMYFUNCTION("""COMPUTED_VALUE"""),"Staat klaar")</f>
        <v>Staat klaar</v>
      </c>
      <c r="K154" s="503" t="str">
        <f>IFERROR(__xludf.DUMMYFUNCTION("""COMPUTED_VALUE"""),"")</f>
        <v/>
      </c>
      <c r="L154" s="506">
        <f>IFERROR(__xludf.DUMMYFUNCTION("""COMPUTED_VALUE"""),8500.0)</f>
        <v>8500</v>
      </c>
      <c r="M154" s="504">
        <f>IFERROR(__xludf.DUMMYFUNCTION("""COMPUTED_VALUE"""),14.0)</f>
        <v>14</v>
      </c>
      <c r="N154" s="501" t="str">
        <f>IFERROR(__xludf.DUMMYFUNCTION("""COMPUTED_VALUE"""),"Merk")</f>
        <v>Merk</v>
      </c>
      <c r="O154" s="501" t="str">
        <f>IFERROR(__xludf.DUMMYFUNCTION("""COMPUTED_VALUE"""),"YouTube")</f>
        <v>YouTube</v>
      </c>
      <c r="P154" s="503" t="str">
        <f>IFERROR(__xludf.DUMMYFUNCTION("""COMPUTED_VALUE"""),"YouTube - Retailcampaigning ")</f>
        <v>YouTube - Retailcampaigning </v>
      </c>
      <c r="Q154" s="501" t="str">
        <f>IFERROR(__xludf.DUMMYFUNCTION("""COMPUTED_VALUE"""),"Bereik")</f>
        <v>Bereik</v>
      </c>
      <c r="R154" s="501" t="str">
        <f>IFERROR(__xludf.DUMMYFUNCTION("""COMPUTED_VALUE"""),"Dark")</f>
        <v>Dark</v>
      </c>
      <c r="S154" s="503" t="str">
        <f>IFERROR(__xludf.DUMMYFUNCTION("""COMPUTED_VALUE"""),"")</f>
        <v/>
      </c>
      <c r="T154" s="503" t="str">
        <f>IFERROR(__xludf.DUMMYFUNCTION("""COMPUTED_VALUE"""),"")</f>
        <v/>
      </c>
    </row>
    <row r="155">
      <c r="A155" s="501" t="str">
        <f>IFERROR(__xludf.DUMMYFUNCTION("""COMPUTED_VALUE"""),"maart")</f>
        <v>maart</v>
      </c>
      <c r="B155" s="501">
        <f>IFERROR(__xludf.DUMMYFUNCTION("""COMPUTED_VALUE"""),12.0)</f>
        <v>12</v>
      </c>
      <c r="C155" s="501" t="str">
        <f>IFERROR(__xludf.DUMMYFUNCTION("""COMPUTED_VALUE"""),"dinsdag")</f>
        <v>dinsdag</v>
      </c>
      <c r="D155" s="502">
        <f>IFERROR(__xludf.DUMMYFUNCTION("""COMPUTED_VALUE"""),43543.0)</f>
        <v>43543</v>
      </c>
      <c r="E155" s="502">
        <f>IFERROR(__xludf.DUMMYFUNCTION("""COMPUTED_VALUE"""),43543.0)</f>
        <v>43543</v>
      </c>
      <c r="F155" s="501" t="str">
        <f>IFERROR(__xludf.DUMMYFUNCTION("""COMPUTED_VALUE"""),"")</f>
        <v/>
      </c>
      <c r="G155" s="503" t="str">
        <f>IFERROR(__xludf.DUMMYFUNCTION("""COMPUTED_VALUE"""),"")</f>
        <v/>
      </c>
      <c r="H155" s="501" t="str">
        <f>IFERROR(__xludf.DUMMYFUNCTION("""COMPUTED_VALUE"""),"Nieuwe merkcampagne")</f>
        <v>Nieuwe merkcampagne</v>
      </c>
      <c r="I155" s="503" t="str">
        <f>IFERROR(__xludf.DUMMYFUNCTION("""COMPUTED_VALUE"""),"Zie A/B test en briefing input")</f>
        <v>Zie A/B test en briefing input</v>
      </c>
      <c r="J155" s="501" t="str">
        <f>IFERROR(__xludf.DUMMYFUNCTION("""COMPUTED_VALUE"""),"Staat klaar")</f>
        <v>Staat klaar</v>
      </c>
      <c r="K155" s="505" t="str">
        <f>IFERROR(__xludf.DUMMYFUNCTION("""COMPUTED_VALUE""")," Hoofddoelgroep ")</f>
        <v>Hoofddoelgroep</v>
      </c>
      <c r="L155" s="506">
        <f>IFERROR(__xludf.DUMMYFUNCTION("""COMPUTED_VALUE"""),1000.0)</f>
        <v>1000</v>
      </c>
      <c r="M155" s="504">
        <f>IFERROR(__xludf.DUMMYFUNCTION("""COMPUTED_VALUE"""),1.0)</f>
        <v>1</v>
      </c>
      <c r="N155" s="501" t="str">
        <f>IFERROR(__xludf.DUMMYFUNCTION("""COMPUTED_VALUE"""),"")</f>
        <v/>
      </c>
      <c r="O155" s="501" t="str">
        <f>IFERROR(__xludf.DUMMYFUNCTION("""COMPUTED_VALUE"""),"")</f>
        <v/>
      </c>
      <c r="P155" s="503" t="str">
        <f>IFERROR(__xludf.DUMMYFUNCTION("""COMPUTED_VALUE"""),"")</f>
        <v/>
      </c>
      <c r="Q155" s="501" t="str">
        <f>IFERROR(__xludf.DUMMYFUNCTION("""COMPUTED_VALUE"""),"")</f>
        <v/>
      </c>
      <c r="R155" s="501" t="str">
        <f>IFERROR(__xludf.DUMMYFUNCTION("""COMPUTED_VALUE"""),"")</f>
        <v/>
      </c>
      <c r="S155" s="503" t="str">
        <f>IFERROR(__xludf.DUMMYFUNCTION("""COMPUTED_VALUE"""),"")</f>
        <v/>
      </c>
      <c r="T155" s="503" t="str">
        <f>IFERROR(__xludf.DUMMYFUNCTION("""COMPUTED_VALUE"""),"utm_source=facebook&amp;utm_medium=socialmedia&amp;utm_campaign=&amp;utm_content=nieuwemerkcampagne&amp;referrer=facebook")</f>
        <v>utm_source=facebook&amp;utm_medium=socialmedia&amp;utm_campaign=&amp;utm_content=nieuwemerkcampagne&amp;referrer=facebook</v>
      </c>
    </row>
    <row r="156">
      <c r="A156" s="501" t="str">
        <f>IFERROR(__xludf.DUMMYFUNCTION("""COMPUTED_VALUE"""),"maart")</f>
        <v>maart</v>
      </c>
      <c r="B156" s="501">
        <f>IFERROR(__xludf.DUMMYFUNCTION("""COMPUTED_VALUE"""),12.0)</f>
        <v>12</v>
      </c>
      <c r="C156" s="501" t="str">
        <f>IFERROR(__xludf.DUMMYFUNCTION("""COMPUTED_VALUE"""),"woensdag")</f>
        <v>woensdag</v>
      </c>
      <c r="D156" s="502">
        <f>IFERROR(__xludf.DUMMYFUNCTION("""COMPUTED_VALUE"""),43544.0)</f>
        <v>43544</v>
      </c>
      <c r="E156" s="502">
        <f>IFERROR(__xludf.DUMMYFUNCTION("""COMPUTED_VALUE"""),43544.0)</f>
        <v>43544</v>
      </c>
      <c r="F156" s="501" t="str">
        <f>IFERROR(__xludf.DUMMYFUNCTION("""COMPUTED_VALUE"""),"")</f>
        <v/>
      </c>
      <c r="G156" s="503" t="str">
        <f>IFERROR(__xludf.DUMMYFUNCTION("""COMPUTED_VALUE"""),"")</f>
        <v/>
      </c>
      <c r="H156" s="501" t="str">
        <f>IFERROR(__xludf.DUMMYFUNCTION("""COMPUTED_VALUE"""),"Start van de lente")</f>
        <v>Start van de lente</v>
      </c>
      <c r="I156" s="503" t="str">
        <f>IFERROR(__xludf.DUMMYFUNCTION("""COMPUTED_VALUE"""),"")</f>
        <v/>
      </c>
      <c r="J156" s="501" t="str">
        <f>IFERROR(__xludf.DUMMYFUNCTION("""COMPUTED_VALUE"""),"Briefen")</f>
        <v>Briefen</v>
      </c>
      <c r="K156" s="503" t="str">
        <f>IFERROR(__xludf.DUMMYFUNCTION("""COMPUTED_VALUE"""),"")</f>
        <v/>
      </c>
      <c r="L156" s="501" t="str">
        <f>IFERROR(__xludf.DUMMYFUNCTION("""COMPUTED_VALUE"""),"")</f>
        <v/>
      </c>
      <c r="M156" s="504">
        <f>IFERROR(__xludf.DUMMYFUNCTION("""COMPUTED_VALUE"""),1.0)</f>
        <v>1</v>
      </c>
      <c r="N156" s="501" t="str">
        <f>IFERROR(__xludf.DUMMYFUNCTION("""COMPUTED_VALUE"""),"")</f>
        <v/>
      </c>
      <c r="O156" s="501" t="str">
        <f>IFERROR(__xludf.DUMMYFUNCTION("""COMPUTED_VALUE"""),"")</f>
        <v/>
      </c>
      <c r="P156" s="503" t="str">
        <f>IFERROR(__xludf.DUMMYFUNCTION("""COMPUTED_VALUE"""),"")</f>
        <v/>
      </c>
      <c r="Q156" s="501" t="str">
        <f>IFERROR(__xludf.DUMMYFUNCTION("""COMPUTED_VALUE"""),"")</f>
        <v/>
      </c>
      <c r="R156" s="501" t="str">
        <f>IFERROR(__xludf.DUMMYFUNCTION("""COMPUTED_VALUE"""),"")</f>
        <v/>
      </c>
      <c r="S156" s="503" t="str">
        <f>IFERROR(__xludf.DUMMYFUNCTION("""COMPUTED_VALUE"""),"")</f>
        <v/>
      </c>
      <c r="T156" s="503" t="str">
        <f>IFERROR(__xludf.DUMMYFUNCTION("""COMPUTED_VALUE"""),"utm_source=facebook&amp;utm_medium=socialmedia&amp;utm_campaign=&amp;utm_content=startvandelente&amp;referrer=facebook")</f>
        <v>utm_source=facebook&amp;utm_medium=socialmedia&amp;utm_campaign=&amp;utm_content=startvandelente&amp;referrer=facebook</v>
      </c>
    </row>
    <row r="157">
      <c r="A157" s="501" t="str">
        <f>IFERROR(__xludf.DUMMYFUNCTION("""COMPUTED_VALUE"""),"maart")</f>
        <v>maart</v>
      </c>
      <c r="B157" s="501">
        <f>IFERROR(__xludf.DUMMYFUNCTION("""COMPUTED_VALUE"""),12.0)</f>
        <v>12</v>
      </c>
      <c r="C157" s="501" t="str">
        <f>IFERROR(__xludf.DUMMYFUNCTION("""COMPUTED_VALUE"""),"donderdag")</f>
        <v>donderdag</v>
      </c>
      <c r="D157" s="502">
        <f>IFERROR(__xludf.DUMMYFUNCTION("""COMPUTED_VALUE"""),43545.0)</f>
        <v>43545</v>
      </c>
      <c r="E157" s="502">
        <f>IFERROR(__xludf.DUMMYFUNCTION("""COMPUTED_VALUE"""),43545.0)</f>
        <v>43545</v>
      </c>
      <c r="F157" s="501" t="str">
        <f>IFERROR(__xludf.DUMMYFUNCTION("""COMPUTED_VALUE"""),"")</f>
        <v/>
      </c>
      <c r="G157" s="503" t="str">
        <f>IFERROR(__xludf.DUMMYFUNCTION("""COMPUTED_VALUE"""),"AndC kaartjes")</f>
        <v>AndC kaartjes</v>
      </c>
      <c r="H157" s="501" t="str">
        <f>IFERROR(__xludf.DUMMYFUNCTION("""COMPUTED_VALUE"""),"AndC kaartjes")</f>
        <v>AndC kaartjes</v>
      </c>
      <c r="I157" s="503" t="str">
        <f>IFERROR(__xludf.DUMMYFUNCTION("""COMPUTED_VALUE"""),"Wat leuk! AndC heeft een speciale kaartencollectie ontwikkeld, te bestellen bij Greetz")</f>
        <v>Wat leuk! AndC heeft een speciale kaartencollectie ontwikkeld, te bestellen bij Greetz</v>
      </c>
      <c r="J157" s="501" t="str">
        <f>IFERROR(__xludf.DUMMYFUNCTION("""COMPUTED_VALUE"""),"Briefen")</f>
        <v>Briefen</v>
      </c>
      <c r="K157" s="503" t="str">
        <f>IFERROR(__xludf.DUMMYFUNCTION("""COMPUTED_VALUE"""),"")</f>
        <v/>
      </c>
      <c r="L157" s="506">
        <f>IFERROR(__xludf.DUMMYFUNCTION("""COMPUTED_VALUE"""),100.0)</f>
        <v>100</v>
      </c>
      <c r="M157" s="501" t="str">
        <f>IFERROR(__xludf.DUMMYFUNCTION("""COMPUTED_VALUE"""),"")</f>
        <v/>
      </c>
      <c r="N157" s="501" t="str">
        <f>IFERROR(__xludf.DUMMYFUNCTION("""COMPUTED_VALUE"""),"Product")</f>
        <v>Product</v>
      </c>
      <c r="O157" s="501" t="str">
        <f>IFERROR(__xludf.DUMMYFUNCTION("""COMPUTED_VALUE"""),"")</f>
        <v/>
      </c>
      <c r="P157" s="503" t="str">
        <f>IFERROR(__xludf.DUMMYFUNCTION("""COMPUTED_VALUE"""),"Facebook - See - Retailcampaigning &amp; contentkalender")</f>
        <v>Facebook - See - Retailcampaigning &amp; contentkalender</v>
      </c>
      <c r="Q157" s="501" t="str">
        <f>IFERROR(__xludf.DUMMYFUNCTION("""COMPUTED_VALUE"""),"")</f>
        <v/>
      </c>
      <c r="R157" s="501" t="str">
        <f>IFERROR(__xludf.DUMMYFUNCTION("""COMPUTED_VALUE"""),"")</f>
        <v/>
      </c>
      <c r="S157" s="503" t="str">
        <f>IFERROR(__xludf.DUMMYFUNCTION("""COMPUTED_VALUE"""),"")</f>
        <v/>
      </c>
      <c r="T157" s="503" t="str">
        <f>IFERROR(__xludf.DUMMYFUNCTION("""COMPUTED_VALUE"""),"utm_source=facebook&amp;utm_medium=socialmedia&amp;utm_campaign=facebook_-_see_-_retailcampaigning_&amp;_contentkalender&amp;utm_content=andckaartjes&amp;referrer=facebook")</f>
        <v>utm_source=facebook&amp;utm_medium=socialmedia&amp;utm_campaign=facebook_-_see_-_retailcampaigning_&amp;_contentkalender&amp;utm_content=andckaartjes&amp;referrer=facebook</v>
      </c>
    </row>
    <row r="158">
      <c r="A158" s="501" t="str">
        <f>IFERROR(__xludf.DUMMYFUNCTION("""COMPUTED_VALUE"""),"maart")</f>
        <v>maart</v>
      </c>
      <c r="B158" s="501">
        <f>IFERROR(__xludf.DUMMYFUNCTION("""COMPUTED_VALUE"""),12.0)</f>
        <v>12</v>
      </c>
      <c r="C158" s="501" t="str">
        <f>IFERROR(__xludf.DUMMYFUNCTION("""COMPUTED_VALUE"""),"donderdag")</f>
        <v>donderdag</v>
      </c>
      <c r="D158" s="502">
        <f>IFERROR(__xludf.DUMMYFUNCTION("""COMPUTED_VALUE"""),43545.0)</f>
        <v>43545</v>
      </c>
      <c r="E158" s="502">
        <f>IFERROR(__xludf.DUMMYFUNCTION("""COMPUTED_VALUE"""),43545.0)</f>
        <v>43545</v>
      </c>
      <c r="F158" s="501" t="str">
        <f>IFERROR(__xludf.DUMMYFUNCTION("""COMPUTED_VALUE"""),"")</f>
        <v/>
      </c>
      <c r="G158" s="503" t="str">
        <f>IFERROR(__xludf.DUMMYFUNCTION("""COMPUTED_VALUE"""),"")</f>
        <v/>
      </c>
      <c r="H158" s="501" t="str">
        <f>IFERROR(__xludf.DUMMYFUNCTION("""COMPUTED_VALUE"""),"#greetzmoment")</f>
        <v>#greetzmoment</v>
      </c>
      <c r="I158" s="503" t="str">
        <f>IFERROR(__xludf.DUMMYFUNCTION("""COMPUTED_VALUE"""),"Deze leuke foto van XXX mochten we delen en daar worden we zo blij van! ")</f>
        <v>Deze leuke foto van XXX mochten we delen en daar worden we zo blij van! </v>
      </c>
      <c r="J158" s="501" t="str">
        <f>IFERROR(__xludf.DUMMYFUNCTION("""COMPUTED_VALUE"""),"Briefen")</f>
        <v>Briefen</v>
      </c>
      <c r="K158" s="505" t="str">
        <f>IFERROR(__xludf.DUMMYFUNCTION("""COMPUTED_VALUE""")," Klanten ")</f>
        <v>Klanten</v>
      </c>
      <c r="L158" s="506">
        <f>IFERROR(__xludf.DUMMYFUNCTION("""COMPUTED_VALUE"""),200.0)</f>
        <v>200</v>
      </c>
      <c r="M158" s="504">
        <f>IFERROR(__xludf.DUMMYFUNCTION("""COMPUTED_VALUE"""),1.0)</f>
        <v>1</v>
      </c>
      <c r="N158" s="501" t="str">
        <f>IFERROR(__xludf.DUMMYFUNCTION("""COMPUTED_VALUE"""),"Merk")</f>
        <v>Merk</v>
      </c>
      <c r="O158" s="501" t="str">
        <f>IFERROR(__xludf.DUMMYFUNCTION("""COMPUTED_VALUE"""),"")</f>
        <v/>
      </c>
      <c r="P158" s="503" t="str">
        <f>IFERROR(__xludf.DUMMYFUNCTION("""COMPUTED_VALUE"""),"Facebook - See - Retailcampaigning &amp; contentkalender")</f>
        <v>Facebook - See - Retailcampaigning &amp; contentkalender</v>
      </c>
      <c r="Q158" s="501" t="str">
        <f>IFERROR(__xludf.DUMMYFUNCTION("""COMPUTED_VALUE"""),"Bereik")</f>
        <v>Bereik</v>
      </c>
      <c r="R158" s="501" t="str">
        <f>IFERROR(__xludf.DUMMYFUNCTION("""COMPUTED_VALUE"""),"")</f>
        <v/>
      </c>
      <c r="S158" s="503" t="str">
        <f>IFERROR(__xludf.DUMMYFUNCTION("""COMPUTED_VALUE"""),"")</f>
        <v/>
      </c>
      <c r="T158" s="503" t="str">
        <f>IFERROR(__xludf.DUMMYFUNCTION("""COMPUTED_VALUE"""),"utm_source=facebook&amp;utm_medium=socialmedia&amp;utm_campaign=facebook_-_see_-_retailcampaigning_&amp;_contentkalender&amp;utm_content=#greetzmoment&amp;referrer=facebook")</f>
        <v>utm_source=facebook&amp;utm_medium=socialmedia&amp;utm_campaign=facebook_-_see_-_retailcampaigning_&amp;_contentkalender&amp;utm_content=#greetzmoment&amp;referrer=facebook</v>
      </c>
    </row>
    <row r="159">
      <c r="A159" s="501" t="str">
        <f>IFERROR(__xludf.DUMMYFUNCTION("""COMPUTED_VALUE"""),"maart")</f>
        <v>maart</v>
      </c>
      <c r="B159" s="501">
        <f>IFERROR(__xludf.DUMMYFUNCTION("""COMPUTED_VALUE"""),12.0)</f>
        <v>12</v>
      </c>
      <c r="C159" s="501" t="str">
        <f>IFERROR(__xludf.DUMMYFUNCTION("""COMPUTED_VALUE"""),"vrijdag")</f>
        <v>vrijdag</v>
      </c>
      <c r="D159" s="502">
        <f>IFERROR(__xludf.DUMMYFUNCTION("""COMPUTED_VALUE"""),43546.0)</f>
        <v>43546</v>
      </c>
      <c r="E159" s="502">
        <f>IFERROR(__xludf.DUMMYFUNCTION("""COMPUTED_VALUE"""),43546.0)</f>
        <v>43546</v>
      </c>
      <c r="F159" s="501" t="str">
        <f>IFERROR(__xludf.DUMMYFUNCTION("""COMPUTED_VALUE"""),"")</f>
        <v/>
      </c>
      <c r="G159" s="503" t="str">
        <f>IFERROR(__xludf.DUMMYFUNCTION("""COMPUTED_VALUE"""),"")</f>
        <v/>
      </c>
      <c r="H159" s="501" t="str">
        <f>IFERROR(__xludf.DUMMYFUNCTION("""COMPUTED_VALUE"""),"")</f>
        <v/>
      </c>
      <c r="I159" s="503" t="str">
        <f>IFERROR(__xludf.DUMMYFUNCTION("""COMPUTED_VALUE"""),"")</f>
        <v/>
      </c>
      <c r="J159" s="501" t="str">
        <f>IFERROR(__xludf.DUMMYFUNCTION("""COMPUTED_VALUE"""),"")</f>
        <v/>
      </c>
      <c r="K159" s="503" t="str">
        <f>IFERROR(__xludf.DUMMYFUNCTION("""COMPUTED_VALUE"""),"")</f>
        <v/>
      </c>
      <c r="L159" s="501" t="str">
        <f>IFERROR(__xludf.DUMMYFUNCTION("""COMPUTED_VALUE"""),"")</f>
        <v/>
      </c>
      <c r="M159" s="504">
        <f>IFERROR(__xludf.DUMMYFUNCTION("""COMPUTED_VALUE"""),1.0)</f>
        <v>1</v>
      </c>
      <c r="N159" s="501" t="str">
        <f>IFERROR(__xludf.DUMMYFUNCTION("""COMPUTED_VALUE"""),"")</f>
        <v/>
      </c>
      <c r="O159" s="501" t="str">
        <f>IFERROR(__xludf.DUMMYFUNCTION("""COMPUTED_VALUE"""),"")</f>
        <v/>
      </c>
      <c r="P159" s="503" t="str">
        <f>IFERROR(__xludf.DUMMYFUNCTION("""COMPUTED_VALUE"""),"")</f>
        <v/>
      </c>
      <c r="Q159" s="501" t="str">
        <f>IFERROR(__xludf.DUMMYFUNCTION("""COMPUTED_VALUE"""),"")</f>
        <v/>
      </c>
      <c r="R159" s="501" t="str">
        <f>IFERROR(__xludf.DUMMYFUNCTION("""COMPUTED_VALUE"""),"")</f>
        <v/>
      </c>
      <c r="S159" s="503" t="str">
        <f>IFERROR(__xludf.DUMMYFUNCTION("""COMPUTED_VALUE"""),"")</f>
        <v/>
      </c>
      <c r="T159" s="503" t="str">
        <f>IFERROR(__xludf.DUMMYFUNCTION("""COMPUTED_VALUE"""),"utm_source=facebook&amp;utm_medium=socialmedia&amp;utm_campaign=&amp;utm_content=&amp;referrer=facebook")</f>
        <v>utm_source=facebook&amp;utm_medium=socialmedia&amp;utm_campaign=&amp;utm_content=&amp;referrer=facebook</v>
      </c>
    </row>
    <row r="160">
      <c r="A160" s="501" t="str">
        <f>IFERROR(__xludf.DUMMYFUNCTION("""COMPUTED_VALUE"""),"maart")</f>
        <v>maart</v>
      </c>
      <c r="B160" s="501">
        <f>IFERROR(__xludf.DUMMYFUNCTION("""COMPUTED_VALUE"""),12.0)</f>
        <v>12</v>
      </c>
      <c r="C160" s="501" t="str">
        <f>IFERROR(__xludf.DUMMYFUNCTION("""COMPUTED_VALUE"""),"zaterdag")</f>
        <v>zaterdag</v>
      </c>
      <c r="D160" s="502">
        <f>IFERROR(__xludf.DUMMYFUNCTION("""COMPUTED_VALUE"""),43547.0)</f>
        <v>43547</v>
      </c>
      <c r="E160" s="502">
        <f>IFERROR(__xludf.DUMMYFUNCTION("""COMPUTED_VALUE"""),43547.0)</f>
        <v>43547</v>
      </c>
      <c r="F160" s="501" t="str">
        <f>IFERROR(__xludf.DUMMYFUNCTION("""COMPUTED_VALUE"""),"")</f>
        <v/>
      </c>
      <c r="G160" s="503" t="str">
        <f>IFERROR(__xludf.DUMMYFUNCTION("""COMPUTED_VALUE"""),"")</f>
        <v/>
      </c>
      <c r="H160" s="501" t="str">
        <f>IFERROR(__xludf.DUMMYFUNCTION("""COMPUTED_VALUE"""),"Start boekenweek")</f>
        <v>Start boekenweek</v>
      </c>
      <c r="I160" s="503" t="str">
        <f>IFERROR(__xludf.DUMMYFUNCTION("""COMPUTED_VALUE"""),"Vandaag gaat de boekenweek van start! Welke boekenwurm ga jij verrassen?")</f>
        <v>Vandaag gaat de boekenweek van start! Welke boekenwurm ga jij verrassen?</v>
      </c>
      <c r="J160" s="501" t="str">
        <f>IFERROR(__xludf.DUMMYFUNCTION("""COMPUTED_VALUE"""),"Briefen")</f>
        <v>Briefen</v>
      </c>
      <c r="K160" s="505" t="str">
        <f>IFERROR(__xludf.DUMMYFUNCTION("""COMPUTED_VALUE""")," Targeten op boekenweek? ")</f>
        <v>Targeten op boekenweek?</v>
      </c>
      <c r="L160" s="501" t="str">
        <f>IFERROR(__xludf.DUMMYFUNCTION("""COMPUTED_VALUE"""),"")</f>
        <v/>
      </c>
      <c r="M160" s="504">
        <f>IFERROR(__xludf.DUMMYFUNCTION("""COMPUTED_VALUE"""),1.0)</f>
        <v>1</v>
      </c>
      <c r="N160" s="501" t="str">
        <f>IFERROR(__xludf.DUMMYFUNCTION("""COMPUTED_VALUE"""),"Geven/ontvangen")</f>
        <v>Geven/ontvangen</v>
      </c>
      <c r="O160" s="501" t="str">
        <f>IFERROR(__xludf.DUMMYFUNCTION("""COMPUTED_VALUE"""),"")</f>
        <v/>
      </c>
      <c r="P160" s="503" t="str">
        <f>IFERROR(__xludf.DUMMYFUNCTION("""COMPUTED_VALUE"""),"Facebook - See - Retailcampaigning &amp; contentkalender")</f>
        <v>Facebook - See - Retailcampaigning &amp; contentkalender</v>
      </c>
      <c r="Q160" s="501" t="str">
        <f>IFERROR(__xludf.DUMMYFUNCTION("""COMPUTED_VALUE"""),"Bereik")</f>
        <v>Bereik</v>
      </c>
      <c r="R160" s="501" t="str">
        <f>IFERROR(__xludf.DUMMYFUNCTION("""COMPUTED_VALUE"""),"")</f>
        <v/>
      </c>
      <c r="S160" s="503" t="str">
        <f>IFERROR(__xludf.DUMMYFUNCTION("""COMPUTED_VALUE"""),"")</f>
        <v/>
      </c>
      <c r="T160" s="503" t="str">
        <f>IFERROR(__xludf.DUMMYFUNCTION("""COMPUTED_VALUE"""),"utm_source=facebook&amp;utm_medium=socialmedia&amp;utm_campaign=facebook_-_see_-_retailcampaigning_&amp;_contentkalender&amp;utm_content=startboekenweek&amp;referrer=facebook")</f>
        <v>utm_source=facebook&amp;utm_medium=socialmedia&amp;utm_campaign=facebook_-_see_-_retailcampaigning_&amp;_contentkalender&amp;utm_content=startboekenweek&amp;referrer=facebook</v>
      </c>
    </row>
    <row r="161">
      <c r="A161" s="501" t="str">
        <f>IFERROR(__xludf.DUMMYFUNCTION("""COMPUTED_VALUE"""),"maart")</f>
        <v>maart</v>
      </c>
      <c r="B161" s="501">
        <f>IFERROR(__xludf.DUMMYFUNCTION("""COMPUTED_VALUE"""),13.0)</f>
        <v>13</v>
      </c>
      <c r="C161" s="501" t="str">
        <f>IFERROR(__xludf.DUMMYFUNCTION("""COMPUTED_VALUE"""),"zondag")</f>
        <v>zondag</v>
      </c>
      <c r="D161" s="502">
        <f>IFERROR(__xludf.DUMMYFUNCTION("""COMPUTED_VALUE"""),43548.0)</f>
        <v>43548</v>
      </c>
      <c r="E161" s="502">
        <f>IFERROR(__xludf.DUMMYFUNCTION("""COMPUTED_VALUE"""),43548.0)</f>
        <v>43548</v>
      </c>
      <c r="F161" s="501" t="str">
        <f>IFERROR(__xludf.DUMMYFUNCTION("""COMPUTED_VALUE"""),"")</f>
        <v/>
      </c>
      <c r="G161" s="503" t="str">
        <f>IFERROR(__xludf.DUMMYFUNCTION("""COMPUTED_VALUE"""),"")</f>
        <v/>
      </c>
      <c r="H161" s="501" t="str">
        <f>IFERROR(__xludf.DUMMYFUNCTION("""COMPUTED_VALUE"""),"")</f>
        <v/>
      </c>
      <c r="I161" s="503" t="str">
        <f>IFERROR(__xludf.DUMMYFUNCTION("""COMPUTED_VALUE"""),"")</f>
        <v/>
      </c>
      <c r="J161" s="501" t="str">
        <f>IFERROR(__xludf.DUMMYFUNCTION("""COMPUTED_VALUE"""),"")</f>
        <v/>
      </c>
      <c r="K161" s="503" t="str">
        <f>IFERROR(__xludf.DUMMYFUNCTION("""COMPUTED_VALUE"""),"")</f>
        <v/>
      </c>
      <c r="L161" s="501" t="str">
        <f>IFERROR(__xludf.DUMMYFUNCTION("""COMPUTED_VALUE"""),"")</f>
        <v/>
      </c>
      <c r="M161" s="504">
        <f>IFERROR(__xludf.DUMMYFUNCTION("""COMPUTED_VALUE"""),1.0)</f>
        <v>1</v>
      </c>
      <c r="N161" s="501" t="str">
        <f>IFERROR(__xludf.DUMMYFUNCTION("""COMPUTED_VALUE"""),"")</f>
        <v/>
      </c>
      <c r="O161" s="501" t="str">
        <f>IFERROR(__xludf.DUMMYFUNCTION("""COMPUTED_VALUE"""),"")</f>
        <v/>
      </c>
      <c r="P161" s="503" t="str">
        <f>IFERROR(__xludf.DUMMYFUNCTION("""COMPUTED_VALUE"""),"")</f>
        <v/>
      </c>
      <c r="Q161" s="501" t="str">
        <f>IFERROR(__xludf.DUMMYFUNCTION("""COMPUTED_VALUE"""),"")</f>
        <v/>
      </c>
      <c r="R161" s="501" t="str">
        <f>IFERROR(__xludf.DUMMYFUNCTION("""COMPUTED_VALUE"""),"")</f>
        <v/>
      </c>
      <c r="S161" s="503" t="str">
        <f>IFERROR(__xludf.DUMMYFUNCTION("""COMPUTED_VALUE"""),"")</f>
        <v/>
      </c>
      <c r="T161" s="503" t="str">
        <f>IFERROR(__xludf.DUMMYFUNCTION("""COMPUTED_VALUE"""),"utm_source=facebook&amp;utm_medium=socialmedia&amp;utm_campaign=&amp;utm_content=&amp;referrer=facebook")</f>
        <v>utm_source=facebook&amp;utm_medium=socialmedia&amp;utm_campaign=&amp;utm_content=&amp;referrer=facebook</v>
      </c>
    </row>
    <row r="162">
      <c r="A162" s="501" t="str">
        <f>IFERROR(__xludf.DUMMYFUNCTION("""COMPUTED_VALUE"""),"maart")</f>
        <v>maart</v>
      </c>
      <c r="B162" s="501">
        <f>IFERROR(__xludf.DUMMYFUNCTION("""COMPUTED_VALUE"""),13.0)</f>
        <v>13</v>
      </c>
      <c r="C162" s="501" t="str">
        <f>IFERROR(__xludf.DUMMYFUNCTION("""COMPUTED_VALUE"""),"maandag")</f>
        <v>maandag</v>
      </c>
      <c r="D162" s="502">
        <f>IFERROR(__xludf.DUMMYFUNCTION("""COMPUTED_VALUE"""),43549.0)</f>
        <v>43549</v>
      </c>
      <c r="E162" s="502">
        <f>IFERROR(__xludf.DUMMYFUNCTION("""COMPUTED_VALUE"""),43556.0)</f>
        <v>43556</v>
      </c>
      <c r="F162" s="501" t="str">
        <f>IFERROR(__xludf.DUMMYFUNCTION("""COMPUTED_VALUE"""),"")</f>
        <v/>
      </c>
      <c r="G162" s="503" t="str">
        <f>IFERROR(__xludf.DUMMYFUNCTION("""COMPUTED_VALUE"""),"Free shipment bloemen")</f>
        <v>Free shipment bloemen</v>
      </c>
      <c r="H162" s="501" t="str">
        <f>IFERROR(__xludf.DUMMYFUNCTION("""COMPUTED_VALUE"""),"Free shipment bloemen")</f>
        <v>Free shipment bloemen</v>
      </c>
      <c r="I162" s="503" t="str">
        <f>IFERROR(__xludf.DUMMYFUNCTION("""COMPUTED_VALUE"""),"Wie stuur jij een b(l)oeiend cadeautje? 🌼 Verras je deze week met een prachtig boeket of mooie plant dan is met code XXXX de bezorging helemaal gratis 🙂🎁")</f>
        <v>Wie stuur jij een b(l)oeiend cadeautje? 🌼 Verras je deze week met een prachtig boeket of mooie plant dan is met code XXXX de bezorging helemaal gratis 🙂🎁</v>
      </c>
      <c r="J162" s="501" t="str">
        <f>IFERROR(__xludf.DUMMYFUNCTION("""COMPUTED_VALUE"""),"Staat klaar")</f>
        <v>Staat klaar</v>
      </c>
      <c r="K162" s="505" t="str">
        <f>IFERROR(__xludf.DUMMYFUNCTION("""COMPUTED_VALUE""")," bloemen interesse ")</f>
        <v>bloemen interesse</v>
      </c>
      <c r="L162" s="506">
        <f>IFERROR(__xludf.DUMMYFUNCTION("""COMPUTED_VALUE"""),1500.0)</f>
        <v>1500</v>
      </c>
      <c r="M162" s="504">
        <f>IFERROR(__xludf.DUMMYFUNCTION("""COMPUTED_VALUE"""),8.0)</f>
        <v>8</v>
      </c>
      <c r="N162" s="501" t="str">
        <f>IFERROR(__xludf.DUMMYFUNCTION("""COMPUTED_VALUE"""),"Product")</f>
        <v>Product</v>
      </c>
      <c r="O162" s="501" t="str">
        <f>IFERROR(__xludf.DUMMYFUNCTION("""COMPUTED_VALUE"""),"Facebook")</f>
        <v>Facebook</v>
      </c>
      <c r="P162" s="503" t="str">
        <f>IFERROR(__xludf.DUMMYFUNCTION("""COMPUTED_VALUE"""),"Facebook - Do - Retailcampaigning")</f>
        <v>Facebook - Do - Retailcampaigning</v>
      </c>
      <c r="Q162" s="501" t="str">
        <f>IFERROR(__xludf.DUMMYFUNCTION("""COMPUTED_VALUE"""),"Conversie - Waarde")</f>
        <v>Conversie - Waarde</v>
      </c>
      <c r="R162" s="501" t="str">
        <f>IFERROR(__xludf.DUMMYFUNCTION("""COMPUTED_VALUE"""),"Dark")</f>
        <v>Dark</v>
      </c>
      <c r="S162" s="503" t="str">
        <f>IFERROR(__xludf.DUMMYFUNCTION("""COMPUTED_VALUE"""),"categorieën, focus op incl vaas in afbeelding en tekstproductcheck doen op huidige afbeeldinge bij Sanne")</f>
        <v>categorieën, focus op incl vaas in afbeelding en tekstproductcheck doen op huidige afbeeldinge bij Sanne</v>
      </c>
      <c r="T162" s="503" t="str">
        <f>IFERROR(__xludf.DUMMYFUNCTION("""COMPUTED_VALUE"""),"utm_source=facebook&amp;utm_medium=socialmedia&amp;utm_campaign=facebook_-_do_-_retailcampaigning&amp;utm_content=freeshipmentbloemen&amp;referrer=facebook")</f>
        <v>utm_source=facebook&amp;utm_medium=socialmedia&amp;utm_campaign=facebook_-_do_-_retailcampaigning&amp;utm_content=freeshipmentbloemen&amp;referrer=facebook</v>
      </c>
    </row>
    <row r="163">
      <c r="A163" s="501" t="str">
        <f>IFERROR(__xludf.DUMMYFUNCTION("""COMPUTED_VALUE"""),"maart")</f>
        <v>maart</v>
      </c>
      <c r="B163" s="501">
        <f>IFERROR(__xludf.DUMMYFUNCTION("""COMPUTED_VALUE"""),13.0)</f>
        <v>13</v>
      </c>
      <c r="C163" s="501" t="str">
        <f>IFERROR(__xludf.DUMMYFUNCTION("""COMPUTED_VALUE"""),"maandag")</f>
        <v>maandag</v>
      </c>
      <c r="D163" s="502">
        <f>IFERROR(__xludf.DUMMYFUNCTION("""COMPUTED_VALUE"""),43549.0)</f>
        <v>43549</v>
      </c>
      <c r="E163" s="502">
        <f>IFERROR(__xludf.DUMMYFUNCTION("""COMPUTED_VALUE"""),43555.0)</f>
        <v>43555</v>
      </c>
      <c r="F163" s="501" t="str">
        <f>IFERROR(__xludf.DUMMYFUNCTION("""COMPUTED_VALUE"""),"")</f>
        <v/>
      </c>
      <c r="G163" s="503" t="str">
        <f>IFERROR(__xludf.DUMMYFUNCTION("""COMPUTED_VALUE"""),"")</f>
        <v/>
      </c>
      <c r="H163" s="501" t="str">
        <f>IFERROR(__xludf.DUMMYFUNCTION("""COMPUTED_VALUE"""),"Gratis kaart bij boeken")</f>
        <v>Gratis kaart bij boeken</v>
      </c>
      <c r="I163" s="503" t="str">
        <f>IFERROR(__xludf.DUMMYFUNCTION("""COMPUTED_VALUE"""),"Leesliefhebbers opgelet! 🙂 Wie verras jij deze boekenweek met een mooi boek? Voor jouw lieve woorden krijg je met code XXXX een gratis kaart, dus laat de schrijver in je los 😉
Tip: wil je écht uitpakken? Laat jouw boek dan inpakken in cadeaupapier met "&amp;"naam of eigen foto 😍")</f>
        <v>Leesliefhebbers opgelet! 🙂 Wie verras jij deze boekenweek met een mooi boek? Voor jouw lieve woorden krijg je met code XXXX een gratis kaart, dus laat de schrijver in je los 😉
Tip: wil je écht uitpakken? Laat jouw boek dan inpakken in cadeaupapier met naam of eigen foto 😍</v>
      </c>
      <c r="J163" s="501" t="str">
        <f>IFERROR(__xludf.DUMMYFUNCTION("""COMPUTED_VALUE"""),"Staat klaar")</f>
        <v>Staat klaar</v>
      </c>
      <c r="K163" s="505" t="str">
        <f>IFERROR(__xludf.DUMMYFUNCTION("""COMPUTED_VALUE""")," Boeken interesse ")</f>
        <v>Boeken interesse</v>
      </c>
      <c r="L163" s="506">
        <f>IFERROR(__xludf.DUMMYFUNCTION("""COMPUTED_VALUE"""),500.0)</f>
        <v>500</v>
      </c>
      <c r="M163" s="504">
        <f>IFERROR(__xludf.DUMMYFUNCTION("""COMPUTED_VALUE"""),7.0)</f>
        <v>7</v>
      </c>
      <c r="N163" s="501" t="str">
        <f>IFERROR(__xludf.DUMMYFUNCTION("""COMPUTED_VALUE"""),"Product")</f>
        <v>Product</v>
      </c>
      <c r="O163" s="501" t="str">
        <f>IFERROR(__xludf.DUMMYFUNCTION("""COMPUTED_VALUE"""),"Facebook")</f>
        <v>Facebook</v>
      </c>
      <c r="P163" s="503" t="str">
        <f>IFERROR(__xludf.DUMMYFUNCTION("""COMPUTED_VALUE"""),"Facebook - Do - Retailcampaigning")</f>
        <v>Facebook - Do - Retailcampaigning</v>
      </c>
      <c r="Q163" s="501" t="str">
        <f>IFERROR(__xludf.DUMMYFUNCTION("""COMPUTED_VALUE"""),"Conversie - Landingspagina")</f>
        <v>Conversie - Landingspagina</v>
      </c>
      <c r="R163" s="501" t="str">
        <f>IFERROR(__xludf.DUMMYFUNCTION("""COMPUTED_VALUE"""),"Dark")</f>
        <v>Dark</v>
      </c>
      <c r="S163" s="503" t="str">
        <f>IFERROR(__xludf.DUMMYFUNCTION("""COMPUTED_VALUE"""),"Top 5 vs categorieën incl personalised wrapping benoemen")</f>
        <v>Top 5 vs categorieën incl personalised wrapping benoemen</v>
      </c>
      <c r="T163" s="503" t="str">
        <f>IFERROR(__xludf.DUMMYFUNCTION("""COMPUTED_VALUE"""),"utm_source=facebook&amp;utm_medium=socialmedia&amp;utm_campaign=facebook_-_do_-_retailcampaigning&amp;utm_content=gratiskaartbijboeken&amp;referrer=facebook")</f>
        <v>utm_source=facebook&amp;utm_medium=socialmedia&amp;utm_campaign=facebook_-_do_-_retailcampaigning&amp;utm_content=gratiskaartbijboeken&amp;referrer=facebook</v>
      </c>
    </row>
    <row r="164">
      <c r="A164" s="501" t="str">
        <f>IFERROR(__xludf.DUMMYFUNCTION("""COMPUTED_VALUE"""),"maart")</f>
        <v>maart</v>
      </c>
      <c r="B164" s="501">
        <f>IFERROR(__xludf.DUMMYFUNCTION("""COMPUTED_VALUE"""),13.0)</f>
        <v>13</v>
      </c>
      <c r="C164" s="501" t="str">
        <f>IFERROR(__xludf.DUMMYFUNCTION("""COMPUTED_VALUE"""),"dinsdag")</f>
        <v>dinsdag</v>
      </c>
      <c r="D164" s="502">
        <f>IFERROR(__xludf.DUMMYFUNCTION("""COMPUTED_VALUE"""),43550.0)</f>
        <v>43550</v>
      </c>
      <c r="E164" s="502">
        <f>IFERROR(__xludf.DUMMYFUNCTION("""COMPUTED_VALUE"""),43550.0)</f>
        <v>43550</v>
      </c>
      <c r="F164" s="501" t="str">
        <f>IFERROR(__xludf.DUMMYFUNCTION("""COMPUTED_VALUE"""),"")</f>
        <v/>
      </c>
      <c r="G164" s="503" t="str">
        <f>IFERROR(__xludf.DUMMYFUNCTION("""COMPUTED_VALUE"""),"")</f>
        <v/>
      </c>
      <c r="H164" s="501" t="str">
        <f>IFERROR(__xludf.DUMMYFUNCTION("""COMPUTED_VALUE"""),"Bloemen - Bettine")</f>
        <v>Bloemen - Bettine</v>
      </c>
      <c r="I164" s="503" t="str">
        <f>IFERROR(__xludf.DUMMYFUNCTION("""COMPUTED_VALUE"""),"Bijna zomertijd! Ons zonnetje én bloemiste Bettine beantwoordt vandaag al je vragen over bloemen en planten. Brand maar los! ")</f>
        <v>Bijna zomertijd! Ons zonnetje én bloemiste Bettine beantwoordt vandaag al je vragen over bloemen en planten. Brand maar los! </v>
      </c>
      <c r="J164" s="501" t="str">
        <f>IFERROR(__xludf.DUMMYFUNCTION("""COMPUTED_VALUE"""),"")</f>
        <v/>
      </c>
      <c r="K164" s="505" t="str">
        <f>IFERROR(__xludf.DUMMYFUNCTION("""COMPUTED_VALUE""")," Klanten ")</f>
        <v>Klanten</v>
      </c>
      <c r="L164" s="501" t="str">
        <f>IFERROR(__xludf.DUMMYFUNCTION("""COMPUTED_VALUE"""),"")</f>
        <v/>
      </c>
      <c r="M164" s="504">
        <f>IFERROR(__xludf.DUMMYFUNCTION("""COMPUTED_VALUE"""),1.0)</f>
        <v>1</v>
      </c>
      <c r="N164" s="501" t="str">
        <f>IFERROR(__xludf.DUMMYFUNCTION("""COMPUTED_VALUE"""),"Geven/ontvangen")</f>
        <v>Geven/ontvangen</v>
      </c>
      <c r="O164" s="501" t="str">
        <f>IFERROR(__xludf.DUMMYFUNCTION("""COMPUTED_VALUE"""),"FB + Instagram")</f>
        <v>FB + Instagram</v>
      </c>
      <c r="P164" s="503" t="str">
        <f>IFERROR(__xludf.DUMMYFUNCTION("""COMPUTED_VALUE"""),"Facebook - See - Retailcampaigning &amp; contentkalender")</f>
        <v>Facebook - See - Retailcampaigning &amp; contentkalender</v>
      </c>
      <c r="Q164" s="501" t="str">
        <f>IFERROR(__xludf.DUMMYFUNCTION("""COMPUTED_VALUE"""),"Engagement")</f>
        <v>Engagement</v>
      </c>
      <c r="R164" s="501" t="str">
        <f>IFERROR(__xludf.DUMMYFUNCTION("""COMPUTED_VALUE"""),"Timeline")</f>
        <v>Timeline</v>
      </c>
      <c r="S164" s="503" t="str">
        <f>IFERROR(__xludf.DUMMYFUNCTION("""COMPUTED_VALUE"""),"")</f>
        <v/>
      </c>
      <c r="T164" s="503" t="str">
        <f>IFERROR(__xludf.DUMMYFUNCTION("""COMPUTED_VALUE"""),"utm_source=facebook&amp;utm_medium=socialmedia&amp;utm_campaign=facebook_-_see_-_retailcampaigning_&amp;_contentkalender&amp;utm_content=bloemen-bettine&amp;referrer=facebook")</f>
        <v>utm_source=facebook&amp;utm_medium=socialmedia&amp;utm_campaign=facebook_-_see_-_retailcampaigning_&amp;_contentkalender&amp;utm_content=bloemen-bettine&amp;referrer=facebook</v>
      </c>
    </row>
    <row r="165">
      <c r="A165" s="501" t="str">
        <f>IFERROR(__xludf.DUMMYFUNCTION("""COMPUTED_VALUE"""),"maart")</f>
        <v>maart</v>
      </c>
      <c r="B165" s="501">
        <f>IFERROR(__xludf.DUMMYFUNCTION("""COMPUTED_VALUE"""),13.0)</f>
        <v>13</v>
      </c>
      <c r="C165" s="501" t="str">
        <f>IFERROR(__xludf.DUMMYFUNCTION("""COMPUTED_VALUE"""),"woensdag")</f>
        <v>woensdag</v>
      </c>
      <c r="D165" s="502">
        <f>IFERROR(__xludf.DUMMYFUNCTION("""COMPUTED_VALUE"""),43551.0)</f>
        <v>43551</v>
      </c>
      <c r="E165" s="502">
        <f>IFERROR(__xludf.DUMMYFUNCTION("""COMPUTED_VALUE"""),43551.0)</f>
        <v>43551</v>
      </c>
      <c r="F165" s="501" t="str">
        <f>IFERROR(__xludf.DUMMYFUNCTION("""COMPUTED_VALUE"""),"")</f>
        <v/>
      </c>
      <c r="G165" s="503" t="str">
        <f>IFERROR(__xludf.DUMMYFUNCTION("""COMPUTED_VALUE"""),"")</f>
        <v/>
      </c>
      <c r="H165" s="501" t="str">
        <f>IFERROR(__xludf.DUMMYFUNCTION("""COMPUTED_VALUE"""),"Meet the Greetz")</f>
        <v>Meet the Greetz</v>
      </c>
      <c r="I165" s="503" t="str">
        <f>IFERROR(__xludf.DUMMYFUNCTION("""COMPUTED_VALUE"""),"Meet the Greetz Bouke")</f>
        <v>Meet the Greetz Bouke</v>
      </c>
      <c r="J165" s="501" t="str">
        <f>IFERROR(__xludf.DUMMYFUNCTION("""COMPUTED_VALUE"""),"Staat klaar")</f>
        <v>Staat klaar</v>
      </c>
      <c r="K165" s="503" t="str">
        <f>IFERROR(__xludf.DUMMYFUNCTION("""COMPUTED_VALUE"""),"")</f>
        <v/>
      </c>
      <c r="L165" s="501" t="str">
        <f>IFERROR(__xludf.DUMMYFUNCTION("""COMPUTED_VALUE"""),"")</f>
        <v/>
      </c>
      <c r="M165" s="504">
        <f>IFERROR(__xludf.DUMMYFUNCTION("""COMPUTED_VALUE"""),1.0)</f>
        <v>1</v>
      </c>
      <c r="N165" s="501" t="str">
        <f>IFERROR(__xludf.DUMMYFUNCTION("""COMPUTED_VALUE"""),"Merk")</f>
        <v>Merk</v>
      </c>
      <c r="O165" s="501" t="str">
        <f>IFERROR(__xludf.DUMMYFUNCTION("""COMPUTED_VALUE"""),"Instagram Feed")</f>
        <v>Instagram Feed</v>
      </c>
      <c r="P165" s="503" t="str">
        <f>IFERROR(__xludf.DUMMYFUNCTION("""COMPUTED_VALUE"""),"")</f>
        <v/>
      </c>
      <c r="Q165" s="501" t="str">
        <f>IFERROR(__xludf.DUMMYFUNCTION("""COMPUTED_VALUE"""),"")</f>
        <v/>
      </c>
      <c r="R165" s="501" t="str">
        <f>IFERROR(__xludf.DUMMYFUNCTION("""COMPUTED_VALUE"""),"Timeline")</f>
        <v>Timeline</v>
      </c>
      <c r="S165" s="503" t="str">
        <f>IFERROR(__xludf.DUMMYFUNCTION("""COMPUTED_VALUE"""),"")</f>
        <v/>
      </c>
      <c r="T165" s="503" t="str">
        <f>IFERROR(__xludf.DUMMYFUNCTION("""COMPUTED_VALUE"""),"utm_source=facebook&amp;utm_medium=socialmedia&amp;utm_campaign=&amp;utm_content=meetthegreetz&amp;referrer=facebook")</f>
        <v>utm_source=facebook&amp;utm_medium=socialmedia&amp;utm_campaign=&amp;utm_content=meetthegreetz&amp;referrer=facebook</v>
      </c>
    </row>
    <row r="166">
      <c r="A166" s="501" t="str">
        <f>IFERROR(__xludf.DUMMYFUNCTION("""COMPUTED_VALUE"""),"maart")</f>
        <v>maart</v>
      </c>
      <c r="B166" s="501">
        <f>IFERROR(__xludf.DUMMYFUNCTION("""COMPUTED_VALUE"""),13.0)</f>
        <v>13</v>
      </c>
      <c r="C166" s="501" t="str">
        <f>IFERROR(__xludf.DUMMYFUNCTION("""COMPUTED_VALUE"""),"donderdag")</f>
        <v>donderdag</v>
      </c>
      <c r="D166" s="502">
        <f>IFERROR(__xludf.DUMMYFUNCTION("""COMPUTED_VALUE"""),43552.0)</f>
        <v>43552</v>
      </c>
      <c r="E166" s="502">
        <f>IFERROR(__xludf.DUMMYFUNCTION("""COMPUTED_VALUE"""),43552.0)</f>
        <v>43552</v>
      </c>
      <c r="F166" s="501" t="str">
        <f>IFERROR(__xludf.DUMMYFUNCTION("""COMPUTED_VALUE"""),"")</f>
        <v/>
      </c>
      <c r="G166" s="503" t="str">
        <f>IFERROR(__xludf.DUMMYFUNCTION("""COMPUTED_VALUE"""),"")</f>
        <v/>
      </c>
      <c r="H166" s="501" t="str">
        <f>IFERROR(__xludf.DUMMYFUNCTION("""COMPUTED_VALUE"""),"")</f>
        <v/>
      </c>
      <c r="I166" s="503" t="str">
        <f>IFERROR(__xludf.DUMMYFUNCTION("""COMPUTED_VALUE"""),"")</f>
        <v/>
      </c>
      <c r="J166" s="501" t="str">
        <f>IFERROR(__xludf.DUMMYFUNCTION("""COMPUTED_VALUE"""),"")</f>
        <v/>
      </c>
      <c r="K166" s="503" t="str">
        <f>IFERROR(__xludf.DUMMYFUNCTION("""COMPUTED_VALUE"""),"")</f>
        <v/>
      </c>
      <c r="L166" s="501" t="str">
        <f>IFERROR(__xludf.DUMMYFUNCTION("""COMPUTED_VALUE"""),"")</f>
        <v/>
      </c>
      <c r="M166" s="504">
        <f>IFERROR(__xludf.DUMMYFUNCTION("""COMPUTED_VALUE"""),1.0)</f>
        <v>1</v>
      </c>
      <c r="N166" s="501" t="str">
        <f>IFERROR(__xludf.DUMMYFUNCTION("""COMPUTED_VALUE"""),"")</f>
        <v/>
      </c>
      <c r="O166" s="501" t="str">
        <f>IFERROR(__xludf.DUMMYFUNCTION("""COMPUTED_VALUE"""),"")</f>
        <v/>
      </c>
      <c r="P166" s="503" t="str">
        <f>IFERROR(__xludf.DUMMYFUNCTION("""COMPUTED_VALUE"""),"")</f>
        <v/>
      </c>
      <c r="Q166" s="501" t="str">
        <f>IFERROR(__xludf.DUMMYFUNCTION("""COMPUTED_VALUE"""),"")</f>
        <v/>
      </c>
      <c r="R166" s="501" t="str">
        <f>IFERROR(__xludf.DUMMYFUNCTION("""COMPUTED_VALUE"""),"")</f>
        <v/>
      </c>
      <c r="S166" s="503" t="str">
        <f>IFERROR(__xludf.DUMMYFUNCTION("""COMPUTED_VALUE"""),"")</f>
        <v/>
      </c>
      <c r="T166" s="503" t="str">
        <f>IFERROR(__xludf.DUMMYFUNCTION("""COMPUTED_VALUE"""),"utm_source=facebook&amp;utm_medium=socialmedia&amp;utm_campaign=&amp;utm_content=&amp;referrer=facebook")</f>
        <v>utm_source=facebook&amp;utm_medium=socialmedia&amp;utm_campaign=&amp;utm_content=&amp;referrer=facebook</v>
      </c>
    </row>
    <row r="167">
      <c r="A167" s="501" t="str">
        <f>IFERROR(__xludf.DUMMYFUNCTION("""COMPUTED_VALUE"""),"maart")</f>
        <v>maart</v>
      </c>
      <c r="B167" s="501">
        <f>IFERROR(__xludf.DUMMYFUNCTION("""COMPUTED_VALUE"""),13.0)</f>
        <v>13</v>
      </c>
      <c r="C167" s="501" t="str">
        <f>IFERROR(__xludf.DUMMYFUNCTION("""COMPUTED_VALUE"""),"vrijdag")</f>
        <v>vrijdag</v>
      </c>
      <c r="D167" s="502">
        <f>IFERROR(__xludf.DUMMYFUNCTION("""COMPUTED_VALUE"""),43553.0)</f>
        <v>43553</v>
      </c>
      <c r="E167" s="502">
        <f>IFERROR(__xludf.DUMMYFUNCTION("""COMPUTED_VALUE"""),43553.0)</f>
        <v>43553</v>
      </c>
      <c r="F167" s="501" t="str">
        <f>IFERROR(__xludf.DUMMYFUNCTION("""COMPUTED_VALUE"""),"")</f>
        <v/>
      </c>
      <c r="G167" s="503" t="str">
        <f>IFERROR(__xludf.DUMMYFUNCTION("""COMPUTED_VALUE"""),"")</f>
        <v/>
      </c>
      <c r="H167" s="501" t="str">
        <f>IFERROR(__xludf.DUMMYFUNCTION("""COMPUTED_VALUE"""),"Merkcampagne - Lenie en Aart")</f>
        <v>Merkcampagne - Lenie en Aart</v>
      </c>
      <c r="I167" s="503" t="str">
        <f>IFERROR(__xludf.DUMMYFUNCTION("""COMPUTED_VALUE"""),"En ken je het verhaal van Lenie en Aart al? Ook zij spelen een hoofdrol in onze nieuwe tv-commercial en daar zijn we enorm blij mee 💕🙂")</f>
        <v>En ken je het verhaal van Lenie en Aart al? Ook zij spelen een hoofdrol in onze nieuwe tv-commercial en daar zijn we enorm blij mee 💕🙂</v>
      </c>
      <c r="J167" s="501" t="str">
        <f>IFERROR(__xludf.DUMMYFUNCTION("""COMPUTED_VALUE"""),"Staat klaar")</f>
        <v>Staat klaar</v>
      </c>
      <c r="K167" s="505" t="str">
        <f>IFERROR(__xludf.DUMMYFUNCTION("""COMPUTED_VALUE""")," Klanten ")</f>
        <v>Klanten</v>
      </c>
      <c r="L167" s="506">
        <f>IFERROR(__xludf.DUMMYFUNCTION("""COMPUTED_VALUE"""),250.0)</f>
        <v>250</v>
      </c>
      <c r="M167" s="504">
        <f>IFERROR(__xludf.DUMMYFUNCTION("""COMPUTED_VALUE"""),1.0)</f>
        <v>1</v>
      </c>
      <c r="N167" s="501" t="str">
        <f>IFERROR(__xludf.DUMMYFUNCTION("""COMPUTED_VALUE"""),"Merk")</f>
        <v>Merk</v>
      </c>
      <c r="O167" s="501" t="str">
        <f>IFERROR(__xludf.DUMMYFUNCTION("""COMPUTED_VALUE"""),"Facebook")</f>
        <v>Facebook</v>
      </c>
      <c r="P167" s="503" t="str">
        <f>IFERROR(__xludf.DUMMYFUNCTION("""COMPUTED_VALUE"""),"Facebook - See - Retailcampaigning &amp; contentkalender")</f>
        <v>Facebook - See - Retailcampaigning &amp; contentkalender</v>
      </c>
      <c r="Q167" s="501" t="str">
        <f>IFERROR(__xludf.DUMMYFUNCTION("""COMPUTED_VALUE"""),"Bereik")</f>
        <v>Bereik</v>
      </c>
      <c r="R167" s="501" t="str">
        <f>IFERROR(__xludf.DUMMYFUNCTION("""COMPUTED_VALUE"""),"")</f>
        <v/>
      </c>
      <c r="S167" s="503" t="str">
        <f>IFERROR(__xludf.DUMMYFUNCTION("""COMPUTED_VALUE"""),"")</f>
        <v/>
      </c>
      <c r="T167" s="503" t="str">
        <f>IFERROR(__xludf.DUMMYFUNCTION("""COMPUTED_VALUE"""),"utm_source=facebook&amp;utm_medium=socialmedia&amp;utm_campaign=facebook_-_see_-_retailcampaigning_&amp;_contentkalender&amp;utm_content=merkcampagne-lenieenaart&amp;referrer=facebook")</f>
        <v>utm_source=facebook&amp;utm_medium=socialmedia&amp;utm_campaign=facebook_-_see_-_retailcampaigning_&amp;_contentkalender&amp;utm_content=merkcampagne-lenieenaart&amp;referrer=facebook</v>
      </c>
    </row>
    <row r="168">
      <c r="A168" s="501" t="str">
        <f>IFERROR(__xludf.DUMMYFUNCTION("""COMPUTED_VALUE"""),"maart")</f>
        <v>maart</v>
      </c>
      <c r="B168" s="501">
        <f>IFERROR(__xludf.DUMMYFUNCTION("""COMPUTED_VALUE"""),13.0)</f>
        <v>13</v>
      </c>
      <c r="C168" s="501" t="str">
        <f>IFERROR(__xludf.DUMMYFUNCTION("""COMPUTED_VALUE"""),"zaterdag")</f>
        <v>zaterdag</v>
      </c>
      <c r="D168" s="502">
        <f>IFERROR(__xludf.DUMMYFUNCTION("""COMPUTED_VALUE"""),43554.0)</f>
        <v>43554</v>
      </c>
      <c r="E168" s="502">
        <f>IFERROR(__xludf.DUMMYFUNCTION("""COMPUTED_VALUE"""),43554.0)</f>
        <v>43554</v>
      </c>
      <c r="F168" s="501" t="str">
        <f>IFERROR(__xludf.DUMMYFUNCTION("""COMPUTED_VALUE"""),"")</f>
        <v/>
      </c>
      <c r="G168" s="503" t="str">
        <f>IFERROR(__xludf.DUMMYFUNCTION("""COMPUTED_VALUE"""),"")</f>
        <v/>
      </c>
      <c r="H168" s="501" t="str">
        <f>IFERROR(__xludf.DUMMYFUNCTION("""COMPUTED_VALUE"""),"Oproep Special Delivery")</f>
        <v>Oproep Special Delivery</v>
      </c>
      <c r="I168" s="503" t="str">
        <f>IFERROR(__xludf.DUMMYFUNCTION("""COMPUTED_VALUE"""),"Wil jij iemand feliciteren, bedanken of een steuntje in de rug bezorgen? 💕 12 en 13 april gaan we weer op pad met allerlei (gratis) verrassingen 🎥🎁 Geef de ontvanger stilletjes op via www.greetz.nl/specialdelivery")</f>
        <v>Wil jij iemand feliciteren, bedanken of een steuntje in de rug bezorgen? 💕 12 en 13 april gaan we weer op pad met allerlei (gratis) verrassingen 🎥🎁 Geef de ontvanger stilletjes op via www.greetz.nl/specialdelivery</v>
      </c>
      <c r="J168" s="501" t="str">
        <f>IFERROR(__xludf.DUMMYFUNCTION("""COMPUTED_VALUE"""),"Staat klaar")</f>
        <v>Staat klaar</v>
      </c>
      <c r="K168" s="505" t="str">
        <f>IFERROR(__xludf.DUMMYFUNCTION("""COMPUTED_VALUE""")," Vrouwendoelgroep 18 - 50 excl. noordelijke en zuidelijke provincies ")</f>
        <v>Vrouwendoelgroep 18 - 50 excl. noordelijke en zuidelijke provincies</v>
      </c>
      <c r="L168" s="506">
        <f>IFERROR(__xludf.DUMMYFUNCTION("""COMPUTED_VALUE"""),300.0)</f>
        <v>300</v>
      </c>
      <c r="M168" s="504">
        <f>IFERROR(__xludf.DUMMYFUNCTION("""COMPUTED_VALUE"""),1.0)</f>
        <v>1</v>
      </c>
      <c r="N168" s="501" t="str">
        <f>IFERROR(__xludf.DUMMYFUNCTION("""COMPUTED_VALUE"""),"Merk")</f>
        <v>Merk</v>
      </c>
      <c r="O168" s="501" t="str">
        <f>IFERROR(__xludf.DUMMYFUNCTION("""COMPUTED_VALUE"""),"FB + Instagram")</f>
        <v>FB + Instagram</v>
      </c>
      <c r="P168" s="503" t="str">
        <f>IFERROR(__xludf.DUMMYFUNCTION("""COMPUTED_VALUE"""),"Facebook - See - Retailcampaigning &amp; contentkalender")</f>
        <v>Facebook - See - Retailcampaigning &amp; contentkalender</v>
      </c>
      <c r="Q168" s="501" t="str">
        <f>IFERROR(__xludf.DUMMYFUNCTION("""COMPUTED_VALUE"""),"Traffic")</f>
        <v>Traffic</v>
      </c>
      <c r="R168" s="501" t="str">
        <f>IFERROR(__xludf.DUMMYFUNCTION("""COMPUTED_VALUE"""),"Dark")</f>
        <v>Dark</v>
      </c>
      <c r="S168" s="503" t="str">
        <f>IFERROR(__xludf.DUMMYFUNCTION("""COMPUTED_VALUE"""),"")</f>
        <v/>
      </c>
      <c r="T168" s="503" t="str">
        <f>IFERROR(__xludf.DUMMYFUNCTION("""COMPUTED_VALUE"""),"utm_source=facebook&amp;utm_medium=socialmedia&amp;utm_campaign=facebook_-_see_-_retailcampaigning_&amp;_contentkalender&amp;utm_content=oproepspecialdelivery&amp;referrer=facebook")</f>
        <v>utm_source=facebook&amp;utm_medium=socialmedia&amp;utm_campaign=facebook_-_see_-_retailcampaigning_&amp;_contentkalender&amp;utm_content=oproepspecialdelivery&amp;referrer=facebook</v>
      </c>
    </row>
    <row r="169">
      <c r="A169" s="501" t="str">
        <f>IFERROR(__xludf.DUMMYFUNCTION("""COMPUTED_VALUE"""),"maart")</f>
        <v>maart</v>
      </c>
      <c r="B169" s="501">
        <f>IFERROR(__xludf.DUMMYFUNCTION("""COMPUTED_VALUE"""),14.0)</f>
        <v>14</v>
      </c>
      <c r="C169" s="501" t="str">
        <f>IFERROR(__xludf.DUMMYFUNCTION("""COMPUTED_VALUE"""),"zondag")</f>
        <v>zondag</v>
      </c>
      <c r="D169" s="502">
        <f>IFERROR(__xludf.DUMMYFUNCTION("""COMPUTED_VALUE"""),43555.0)</f>
        <v>43555</v>
      </c>
      <c r="E169" s="502">
        <f>IFERROR(__xludf.DUMMYFUNCTION("""COMPUTED_VALUE"""),43555.0)</f>
        <v>43555</v>
      </c>
      <c r="F169" s="501" t="str">
        <f>IFERROR(__xludf.DUMMYFUNCTION("""COMPUTED_VALUE"""),"")</f>
        <v/>
      </c>
      <c r="G169" s="503" t="str">
        <f>IFERROR(__xludf.DUMMYFUNCTION("""COMPUTED_VALUE"""),"")</f>
        <v/>
      </c>
      <c r="H169" s="501" t="str">
        <f>IFERROR(__xludf.DUMMYFUNCTION("""COMPUTED_VALUE"""),"Zomertijd gaat in")</f>
        <v>Zomertijd gaat in</v>
      </c>
      <c r="I169" s="503" t="str">
        <f>IFERROR(__xludf.DUMMYFUNCTION("""COMPUTED_VALUE"""),"Langere dagen, langer genieten (van je bloemetje)! ")</f>
        <v>Langere dagen, langer genieten (van je bloemetje)! </v>
      </c>
      <c r="J169" s="501" t="str">
        <f>IFERROR(__xludf.DUMMYFUNCTION("""COMPUTED_VALUE"""),"Briefen")</f>
        <v>Briefen</v>
      </c>
      <c r="K169" s="503" t="str">
        <f>IFERROR(__xludf.DUMMYFUNCTION("""COMPUTED_VALUE"""),"")</f>
        <v/>
      </c>
      <c r="L169" s="501" t="str">
        <f>IFERROR(__xludf.DUMMYFUNCTION("""COMPUTED_VALUE"""),"")</f>
        <v/>
      </c>
      <c r="M169" s="504">
        <f>IFERROR(__xludf.DUMMYFUNCTION("""COMPUTED_VALUE"""),1.0)</f>
        <v>1</v>
      </c>
      <c r="N169" s="501" t="str">
        <f>IFERROR(__xludf.DUMMYFUNCTION("""COMPUTED_VALUE"""),"")</f>
        <v/>
      </c>
      <c r="O169" s="501" t="str">
        <f>IFERROR(__xludf.DUMMYFUNCTION("""COMPUTED_VALUE"""),"")</f>
        <v/>
      </c>
      <c r="P169" s="503" t="str">
        <f>IFERROR(__xludf.DUMMYFUNCTION("""COMPUTED_VALUE"""),"")</f>
        <v/>
      </c>
      <c r="Q169" s="501" t="str">
        <f>IFERROR(__xludf.DUMMYFUNCTION("""COMPUTED_VALUE"""),"")</f>
        <v/>
      </c>
      <c r="R169" s="501" t="str">
        <f>IFERROR(__xludf.DUMMYFUNCTION("""COMPUTED_VALUE"""),"")</f>
        <v/>
      </c>
      <c r="S169" s="503" t="str">
        <f>IFERROR(__xludf.DUMMYFUNCTION("""COMPUTED_VALUE"""),"")</f>
        <v/>
      </c>
      <c r="T169" s="503" t="str">
        <f>IFERROR(__xludf.DUMMYFUNCTION("""COMPUTED_VALUE"""),"utm_source=facebook&amp;utm_medium=socialmedia&amp;utm_campaign=&amp;utm_content=zomertijdgaatin&amp;referrer=facebook")</f>
        <v>utm_source=facebook&amp;utm_medium=socialmedia&amp;utm_campaign=&amp;utm_content=zomertijdgaatin&amp;referrer=facebook</v>
      </c>
    </row>
    <row r="170">
      <c r="A170" s="501" t="str">
        <f>IFERROR(__xludf.DUMMYFUNCTION("""COMPUTED_VALUE"""),"april")</f>
        <v>april</v>
      </c>
      <c r="B170" s="501">
        <f>IFERROR(__xludf.DUMMYFUNCTION("""COMPUTED_VALUE"""),14.0)</f>
        <v>14</v>
      </c>
      <c r="C170" s="501" t="str">
        <f>IFERROR(__xludf.DUMMYFUNCTION("""COMPUTED_VALUE"""),"maandag")</f>
        <v>maandag</v>
      </c>
      <c r="D170" s="502">
        <f>IFERROR(__xludf.DUMMYFUNCTION("""COMPUTED_VALUE"""),43556.0)</f>
        <v>43556</v>
      </c>
      <c r="E170" s="502">
        <f>IFERROR(__xludf.DUMMYFUNCTION("""COMPUTED_VALUE"""),43585.0)</f>
        <v>43585</v>
      </c>
      <c r="F170" s="501" t="str">
        <f>IFERROR(__xludf.DUMMYFUNCTION("""COMPUTED_VALUE"""),"")</f>
        <v/>
      </c>
      <c r="G170" s="503" t="str">
        <f>IFERROR(__xludf.DUMMYFUNCTION("""COMPUTED_VALUE"""),"")</f>
        <v/>
      </c>
      <c r="H170" s="501" t="str">
        <f>IFERROR(__xludf.DUMMYFUNCTION("""COMPUTED_VALUE"""),"AOC verhuizen do")</f>
        <v>AOC verhuizen do</v>
      </c>
      <c r="I170" s="503" t="str">
        <f>IFERROR(__xludf.DUMMYFUNCTION("""COMPUTED_VALUE"""),"")</f>
        <v/>
      </c>
      <c r="J170" s="501" t="str">
        <f>IFERROR(__xludf.DUMMYFUNCTION("""COMPUTED_VALUE"""),"Staat klaar")</f>
        <v>Staat klaar</v>
      </c>
      <c r="K170" s="505" t="str">
        <f>IFERROR(__xludf.DUMMYFUNCTION("""COMPUTED_VALUE""")," URl bevat nieuwe woning 14 dagen ")</f>
        <v>URl bevat nieuwe woning 14 dagen</v>
      </c>
      <c r="L170" s="506">
        <f>IFERROR(__xludf.DUMMYFUNCTION("""COMPUTED_VALUE"""),150.0)</f>
        <v>150</v>
      </c>
      <c r="M170" s="504">
        <f>IFERROR(__xludf.DUMMYFUNCTION("""COMPUTED_VALUE"""),30.0)</f>
        <v>30</v>
      </c>
      <c r="N170" s="501" t="str">
        <f>IFERROR(__xludf.DUMMYFUNCTION("""COMPUTED_VALUE"""),"Product")</f>
        <v>Product</v>
      </c>
      <c r="O170" s="501" t="str">
        <f>IFERROR(__xludf.DUMMYFUNCTION("""COMPUTED_VALUE"""),"Facebook")</f>
        <v>Facebook</v>
      </c>
      <c r="P170" s="503" t="str">
        <f>IFERROR(__xludf.DUMMYFUNCTION("""COMPUTED_VALUE"""),"Facebook - Do - AOC")</f>
        <v>Facebook - Do - AOC</v>
      </c>
      <c r="Q170" s="501" t="str">
        <f>IFERROR(__xludf.DUMMYFUNCTION("""COMPUTED_VALUE"""),"Conversie - Waarde")</f>
        <v>Conversie - Waarde</v>
      </c>
      <c r="R170" s="501" t="str">
        <f>IFERROR(__xludf.DUMMYFUNCTION("""COMPUTED_VALUE"""),"Dark")</f>
        <v>Dark</v>
      </c>
      <c r="S170" s="503" t="str">
        <f>IFERROR(__xludf.DUMMYFUNCTION("""COMPUTED_VALUE"""),"")</f>
        <v/>
      </c>
      <c r="T170"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171">
      <c r="A171" s="501" t="str">
        <f>IFERROR(__xludf.DUMMYFUNCTION("""COMPUTED_VALUE"""),"april")</f>
        <v>april</v>
      </c>
      <c r="B171" s="501">
        <f>IFERROR(__xludf.DUMMYFUNCTION("""COMPUTED_VALUE"""),14.0)</f>
        <v>14</v>
      </c>
      <c r="C171" s="501" t="str">
        <f>IFERROR(__xludf.DUMMYFUNCTION("""COMPUTED_VALUE"""),"maandag")</f>
        <v>maandag</v>
      </c>
      <c r="D171" s="502">
        <f>IFERROR(__xludf.DUMMYFUNCTION("""COMPUTED_VALUE"""),43556.0)</f>
        <v>43556</v>
      </c>
      <c r="E171" s="502">
        <f>IFERROR(__xludf.DUMMYFUNCTION("""COMPUTED_VALUE"""),43585.0)</f>
        <v>43585</v>
      </c>
      <c r="F171" s="501" t="str">
        <f>IFERROR(__xludf.DUMMYFUNCTION("""COMPUTED_VALUE"""),"")</f>
        <v/>
      </c>
      <c r="G171" s="503" t="str">
        <f>IFERROR(__xludf.DUMMYFUNCTION("""COMPUTED_VALUE"""),"")</f>
        <v/>
      </c>
      <c r="H171" s="501" t="str">
        <f>IFERROR(__xludf.DUMMYFUNCTION("""COMPUTED_VALUE"""),"AOC verjaardag do")</f>
        <v>AOC verjaardag do</v>
      </c>
      <c r="I171" s="503" t="str">
        <f>IFERROR(__xludf.DUMMYFUNCTION("""COMPUTED_VALUE"""),"")</f>
        <v/>
      </c>
      <c r="J171" s="501" t="str">
        <f>IFERROR(__xludf.DUMMYFUNCTION("""COMPUTED_VALUE"""),"Staat klaar")</f>
        <v>Staat klaar</v>
      </c>
      <c r="K171" s="505" t="str">
        <f>IFERROR(__xludf.DUMMYFUNCTION("""COMPUTED_VALUE""")," Goeie vrienden van jarige 7-30 dagen ")</f>
        <v>Goeie vrienden van jarige 7-30 dagen</v>
      </c>
      <c r="L171" s="506">
        <f>IFERROR(__xludf.DUMMYFUNCTION("""COMPUTED_VALUE"""),150.0)</f>
        <v>150</v>
      </c>
      <c r="M171" s="504">
        <f>IFERROR(__xludf.DUMMYFUNCTION("""COMPUTED_VALUE"""),30.0)</f>
        <v>30</v>
      </c>
      <c r="N171" s="501" t="str">
        <f>IFERROR(__xludf.DUMMYFUNCTION("""COMPUTED_VALUE"""),"Product")</f>
        <v>Product</v>
      </c>
      <c r="O171" s="501" t="str">
        <f>IFERROR(__xludf.DUMMYFUNCTION("""COMPUTED_VALUE"""),"Facebook")</f>
        <v>Facebook</v>
      </c>
      <c r="P171" s="503" t="str">
        <f>IFERROR(__xludf.DUMMYFUNCTION("""COMPUTED_VALUE"""),"Facebook - Do - AOC")</f>
        <v>Facebook - Do - AOC</v>
      </c>
      <c r="Q171" s="501" t="str">
        <f>IFERROR(__xludf.DUMMYFUNCTION("""COMPUTED_VALUE"""),"Conversie - Waarde")</f>
        <v>Conversie - Waarde</v>
      </c>
      <c r="R171" s="501" t="str">
        <f>IFERROR(__xludf.DUMMYFUNCTION("""COMPUTED_VALUE"""),"Dark")</f>
        <v>Dark</v>
      </c>
      <c r="S171" s="503" t="str">
        <f>IFERROR(__xludf.DUMMYFUNCTION("""COMPUTED_VALUE"""),"")</f>
        <v/>
      </c>
      <c r="T171"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172">
      <c r="A172" s="501" t="str">
        <f>IFERROR(__xludf.DUMMYFUNCTION("""COMPUTED_VALUE"""),"april")</f>
        <v>april</v>
      </c>
      <c r="B172" s="501">
        <f>IFERROR(__xludf.DUMMYFUNCTION("""COMPUTED_VALUE"""),14.0)</f>
        <v>14</v>
      </c>
      <c r="C172" s="501" t="str">
        <f>IFERROR(__xludf.DUMMYFUNCTION("""COMPUTED_VALUE"""),"maandag")</f>
        <v>maandag</v>
      </c>
      <c r="D172" s="502">
        <f>IFERROR(__xludf.DUMMYFUNCTION("""COMPUTED_VALUE"""),43556.0)</f>
        <v>43556</v>
      </c>
      <c r="E172" s="502">
        <f>IFERROR(__xludf.DUMMYFUNCTION("""COMPUTED_VALUE"""),43585.0)</f>
        <v>43585</v>
      </c>
      <c r="F172" s="501" t="str">
        <f>IFERROR(__xludf.DUMMYFUNCTION("""COMPUTED_VALUE"""),"")</f>
        <v/>
      </c>
      <c r="G172" s="503" t="str">
        <f>IFERROR(__xludf.DUMMYFUNCTION("""COMPUTED_VALUE"""),"")</f>
        <v/>
      </c>
      <c r="H172" s="501" t="str">
        <f>IFERROR(__xludf.DUMMYFUNCTION("""COMPUTED_VALUE"""),"AOC verjaardag do")</f>
        <v>AOC verjaardag do</v>
      </c>
      <c r="I172" s="503" t="str">
        <f>IFERROR(__xludf.DUMMYFUNCTION("""COMPUTED_VALUE"""),"")</f>
        <v/>
      </c>
      <c r="J172" s="501" t="str">
        <f>IFERROR(__xludf.DUMMYFUNCTION("""COMPUTED_VALUE"""),"Staat klaar")</f>
        <v>Staat klaar</v>
      </c>
      <c r="K172" s="505" t="str">
        <f>IFERROR(__xludf.DUMMYFUNCTION("""COMPUTED_VALUE""")," URL bevat verjaardag 2-7 dagen ")</f>
        <v>URL bevat verjaardag 2-7 dagen</v>
      </c>
      <c r="L172" s="506">
        <f>IFERROR(__xludf.DUMMYFUNCTION("""COMPUTED_VALUE"""),600.0)</f>
        <v>600</v>
      </c>
      <c r="M172" s="504">
        <f>IFERROR(__xludf.DUMMYFUNCTION("""COMPUTED_VALUE"""),30.0)</f>
        <v>30</v>
      </c>
      <c r="N172" s="501" t="str">
        <f>IFERROR(__xludf.DUMMYFUNCTION("""COMPUTED_VALUE"""),"Product")</f>
        <v>Product</v>
      </c>
      <c r="O172" s="501" t="str">
        <f>IFERROR(__xludf.DUMMYFUNCTION("""COMPUTED_VALUE"""),"Facebook")</f>
        <v>Facebook</v>
      </c>
      <c r="P172" s="503" t="str">
        <f>IFERROR(__xludf.DUMMYFUNCTION("""COMPUTED_VALUE"""),"Facebook - Do - AOC")</f>
        <v>Facebook - Do - AOC</v>
      </c>
      <c r="Q172" s="501" t="str">
        <f>IFERROR(__xludf.DUMMYFUNCTION("""COMPUTED_VALUE"""),"Conversie - Waarde")</f>
        <v>Conversie - Waarde</v>
      </c>
      <c r="R172" s="501" t="str">
        <f>IFERROR(__xludf.DUMMYFUNCTION("""COMPUTED_VALUE"""),"Dark")</f>
        <v>Dark</v>
      </c>
      <c r="S172" s="503" t="str">
        <f>IFERROR(__xludf.DUMMYFUNCTION("""COMPUTED_VALUE"""),"")</f>
        <v/>
      </c>
      <c r="T172"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173">
      <c r="A173" s="501" t="str">
        <f>IFERROR(__xludf.DUMMYFUNCTION("""COMPUTED_VALUE"""),"april")</f>
        <v>april</v>
      </c>
      <c r="B173" s="501">
        <f>IFERROR(__xludf.DUMMYFUNCTION("""COMPUTED_VALUE"""),14.0)</f>
        <v>14</v>
      </c>
      <c r="C173" s="501" t="str">
        <f>IFERROR(__xludf.DUMMYFUNCTION("""COMPUTED_VALUE"""),"maandag")</f>
        <v>maandag</v>
      </c>
      <c r="D173" s="502">
        <f>IFERROR(__xludf.DUMMYFUNCTION("""COMPUTED_VALUE"""),43556.0)</f>
        <v>43556</v>
      </c>
      <c r="E173" s="502">
        <f>IFERROR(__xludf.DUMMYFUNCTION("""COMPUTED_VALUE"""),43585.0)</f>
        <v>43585</v>
      </c>
      <c r="F173" s="501" t="str">
        <f>IFERROR(__xludf.DUMMYFUNCTION("""COMPUTED_VALUE"""),"")</f>
        <v/>
      </c>
      <c r="G173" s="503" t="str">
        <f>IFERROR(__xludf.DUMMYFUNCTION("""COMPUTED_VALUE"""),"")</f>
        <v/>
      </c>
      <c r="H173" s="501" t="str">
        <f>IFERROR(__xludf.DUMMYFUNCTION("""COMPUTED_VALUE"""),"AOC geboorte do")</f>
        <v>AOC geboorte do</v>
      </c>
      <c r="I173" s="503" t="str">
        <f>IFERROR(__xludf.DUMMYFUNCTION("""COMPUTED_VALUE"""),"")</f>
        <v/>
      </c>
      <c r="J173" s="501" t="str">
        <f>IFERROR(__xludf.DUMMYFUNCTION("""COMPUTED_VALUE"""),"Staat klaar")</f>
        <v>Staat klaar</v>
      </c>
      <c r="K173" s="505" t="str">
        <f>IFERROR(__xludf.DUMMYFUNCTION("""COMPUTED_VALUE""")," URL bevat geboorte 2-7 dagen ")</f>
        <v>URL bevat geboorte 2-7 dagen</v>
      </c>
      <c r="L173" s="506">
        <f>IFERROR(__xludf.DUMMYFUNCTION("""COMPUTED_VALUE"""),600.0)</f>
        <v>600</v>
      </c>
      <c r="M173" s="504">
        <f>IFERROR(__xludf.DUMMYFUNCTION("""COMPUTED_VALUE"""),30.0)</f>
        <v>30</v>
      </c>
      <c r="N173" s="501" t="str">
        <f>IFERROR(__xludf.DUMMYFUNCTION("""COMPUTED_VALUE"""),"Product")</f>
        <v>Product</v>
      </c>
      <c r="O173" s="501" t="str">
        <f>IFERROR(__xludf.DUMMYFUNCTION("""COMPUTED_VALUE"""),"Facebook")</f>
        <v>Facebook</v>
      </c>
      <c r="P173" s="503" t="str">
        <f>IFERROR(__xludf.DUMMYFUNCTION("""COMPUTED_VALUE"""),"Facebook - Do - AOC")</f>
        <v>Facebook - Do - AOC</v>
      </c>
      <c r="Q173" s="501" t="str">
        <f>IFERROR(__xludf.DUMMYFUNCTION("""COMPUTED_VALUE"""),"Conversie - Waarde")</f>
        <v>Conversie - Waarde</v>
      </c>
      <c r="R173" s="501" t="str">
        <f>IFERROR(__xludf.DUMMYFUNCTION("""COMPUTED_VALUE"""),"Dark")</f>
        <v>Dark</v>
      </c>
      <c r="S173" s="503" t="str">
        <f>IFERROR(__xludf.DUMMYFUNCTION("""COMPUTED_VALUE"""),"")</f>
        <v/>
      </c>
      <c r="T173"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174">
      <c r="A174" s="501" t="str">
        <f>IFERROR(__xludf.DUMMYFUNCTION("""COMPUTED_VALUE"""),"april")</f>
        <v>april</v>
      </c>
      <c r="B174" s="501">
        <f>IFERROR(__xludf.DUMMYFUNCTION("""COMPUTED_VALUE"""),14.0)</f>
        <v>14</v>
      </c>
      <c r="C174" s="501" t="str">
        <f>IFERROR(__xludf.DUMMYFUNCTION("""COMPUTED_VALUE"""),"maandag")</f>
        <v>maandag</v>
      </c>
      <c r="D174" s="502">
        <f>IFERROR(__xludf.DUMMYFUNCTION("""COMPUTED_VALUE"""),43556.0)</f>
        <v>43556</v>
      </c>
      <c r="E174" s="502">
        <f>IFERROR(__xludf.DUMMYFUNCTION("""COMPUTED_VALUE"""),43585.0)</f>
        <v>43585</v>
      </c>
      <c r="F174" s="501" t="str">
        <f>IFERROR(__xludf.DUMMYFUNCTION("""COMPUTED_VALUE"""),"")</f>
        <v/>
      </c>
      <c r="G174" s="503" t="str">
        <f>IFERROR(__xludf.DUMMYFUNCTION("""COMPUTED_VALUE"""),"")</f>
        <v/>
      </c>
      <c r="H174" s="501" t="str">
        <f>IFERROR(__xludf.DUMMYFUNCTION("""COMPUTED_VALUE"""),"AOC verhuizen think")</f>
        <v>AOC verhuizen think</v>
      </c>
      <c r="I174" s="503" t="str">
        <f>IFERROR(__xludf.DUMMYFUNCTION("""COMPUTED_VALUE"""),"")</f>
        <v/>
      </c>
      <c r="J174" s="501" t="str">
        <f>IFERROR(__xludf.DUMMYFUNCTION("""COMPUTED_VALUE"""),"Staat klaar")</f>
        <v>Staat klaar</v>
      </c>
      <c r="K174" s="505" t="str">
        <f>IFERROR(__xludf.DUMMYFUNCTION("""COMPUTED_VALUE""")," Vrienden van recent verhuisd ")</f>
        <v>Vrienden van recent verhuisd</v>
      </c>
      <c r="L174" s="506">
        <f>IFERROR(__xludf.DUMMYFUNCTION("""COMPUTED_VALUE"""),150.0)</f>
        <v>150</v>
      </c>
      <c r="M174" s="504">
        <f>IFERROR(__xludf.DUMMYFUNCTION("""COMPUTED_VALUE"""),30.0)</f>
        <v>30</v>
      </c>
      <c r="N174" s="501" t="str">
        <f>IFERROR(__xludf.DUMMYFUNCTION("""COMPUTED_VALUE"""),"Geven/ontvangen")</f>
        <v>Geven/ontvangen</v>
      </c>
      <c r="O174" s="501" t="str">
        <f>IFERROR(__xludf.DUMMYFUNCTION("""COMPUTED_VALUE"""),"Facebook")</f>
        <v>Facebook</v>
      </c>
      <c r="P174" s="503" t="str">
        <f>IFERROR(__xludf.DUMMYFUNCTION("""COMPUTED_VALUE"""),"Facebook - Think - AOC")</f>
        <v>Facebook - Think - AOC</v>
      </c>
      <c r="Q174" s="501" t="str">
        <f>IFERROR(__xludf.DUMMYFUNCTION("""COMPUTED_VALUE"""),"Conversie - Landingspagina")</f>
        <v>Conversie - Landingspagina</v>
      </c>
      <c r="R174" s="501" t="str">
        <f>IFERROR(__xludf.DUMMYFUNCTION("""COMPUTED_VALUE"""),"Dark")</f>
        <v>Dark</v>
      </c>
      <c r="S174" s="503" t="str">
        <f>IFERROR(__xludf.DUMMYFUNCTION("""COMPUTED_VALUE"""),"")</f>
        <v/>
      </c>
      <c r="T174"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175">
      <c r="A175" s="501" t="str">
        <f>IFERROR(__xludf.DUMMYFUNCTION("""COMPUTED_VALUE"""),"april")</f>
        <v>april</v>
      </c>
      <c r="B175" s="501">
        <f>IFERROR(__xludf.DUMMYFUNCTION("""COMPUTED_VALUE"""),14.0)</f>
        <v>14</v>
      </c>
      <c r="C175" s="501" t="str">
        <f>IFERROR(__xludf.DUMMYFUNCTION("""COMPUTED_VALUE"""),"maandag")</f>
        <v>maandag</v>
      </c>
      <c r="D175" s="502">
        <f>IFERROR(__xludf.DUMMYFUNCTION("""COMPUTED_VALUE"""),43556.0)</f>
        <v>43556</v>
      </c>
      <c r="E175" s="502">
        <f>IFERROR(__xludf.DUMMYFUNCTION("""COMPUTED_VALUE"""),43585.0)</f>
        <v>43585</v>
      </c>
      <c r="F175" s="501" t="str">
        <f>IFERROR(__xludf.DUMMYFUNCTION("""COMPUTED_VALUE"""),"")</f>
        <v/>
      </c>
      <c r="G175" s="503" t="str">
        <f>IFERROR(__xludf.DUMMYFUNCTION("""COMPUTED_VALUE"""),"")</f>
        <v/>
      </c>
      <c r="H175" s="501" t="str">
        <f>IFERROR(__xludf.DUMMYFUNCTION("""COMPUTED_VALUE"""),"AOC verhuizen see")</f>
        <v>AOC verhuizen see</v>
      </c>
      <c r="I175" s="503" t="str">
        <f>IFERROR(__xludf.DUMMYFUNCTION("""COMPUTED_VALUE"""),"")</f>
        <v/>
      </c>
      <c r="J175" s="501" t="str">
        <f>IFERROR(__xludf.DUMMYFUNCTION("""COMPUTED_VALUE"""),"Staat klaar")</f>
        <v>Staat klaar</v>
      </c>
      <c r="K175" s="505" t="str">
        <f>IFERROR(__xludf.DUMMYFUNCTION("""COMPUTED_VALUE""")," Vrouw 25-64 (excl klanten, vrienden van verhuisde personen en fans) ")</f>
        <v>Vrouw 25-64 (excl klanten, vrienden van verhuisde personen en fans)</v>
      </c>
      <c r="L175" s="506">
        <f>IFERROR(__xludf.DUMMYFUNCTION("""COMPUTED_VALUE"""),300.0)</f>
        <v>300</v>
      </c>
      <c r="M175" s="504">
        <f>IFERROR(__xludf.DUMMYFUNCTION("""COMPUTED_VALUE"""),30.0)</f>
        <v>30</v>
      </c>
      <c r="N175" s="501" t="str">
        <f>IFERROR(__xludf.DUMMYFUNCTION("""COMPUTED_VALUE"""),"Merk")</f>
        <v>Merk</v>
      </c>
      <c r="O175" s="501" t="str">
        <f>IFERROR(__xludf.DUMMYFUNCTION("""COMPUTED_VALUE"""),"FB + Instagram")</f>
        <v>FB + Instagram</v>
      </c>
      <c r="P175" s="503" t="str">
        <f>IFERROR(__xludf.DUMMYFUNCTION("""COMPUTED_VALUE"""),"Facebook - See - AOC")</f>
        <v>Facebook - See - AOC</v>
      </c>
      <c r="Q175" s="501" t="str">
        <f>IFERROR(__xludf.DUMMYFUNCTION("""COMPUTED_VALUE"""),"Bereik")</f>
        <v>Bereik</v>
      </c>
      <c r="R175" s="501" t="str">
        <f>IFERROR(__xludf.DUMMYFUNCTION("""COMPUTED_VALUE"""),"Dark")</f>
        <v>Dark</v>
      </c>
      <c r="S175" s="503" t="str">
        <f>IFERROR(__xludf.DUMMYFUNCTION("""COMPUTED_VALUE"""),"")</f>
        <v/>
      </c>
      <c r="T175"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176">
      <c r="A176" s="501" t="str">
        <f>IFERROR(__xludf.DUMMYFUNCTION("""COMPUTED_VALUE"""),"april")</f>
        <v>april</v>
      </c>
      <c r="B176" s="501">
        <f>IFERROR(__xludf.DUMMYFUNCTION("""COMPUTED_VALUE"""),14.0)</f>
        <v>14</v>
      </c>
      <c r="C176" s="501" t="str">
        <f>IFERROR(__xludf.DUMMYFUNCTION("""COMPUTED_VALUE"""),"maandag")</f>
        <v>maandag</v>
      </c>
      <c r="D176" s="502">
        <f>IFERROR(__xludf.DUMMYFUNCTION("""COMPUTED_VALUE"""),43556.0)</f>
        <v>43556</v>
      </c>
      <c r="E176" s="502">
        <f>IFERROR(__xludf.DUMMYFUNCTION("""COMPUTED_VALUE"""),43585.0)</f>
        <v>43585</v>
      </c>
      <c r="F176" s="501" t="str">
        <f>IFERROR(__xludf.DUMMYFUNCTION("""COMPUTED_VALUE"""),"")</f>
        <v/>
      </c>
      <c r="G176" s="503" t="str">
        <f>IFERROR(__xludf.DUMMYFUNCTION("""COMPUTED_VALUE"""),"")</f>
        <v/>
      </c>
      <c r="H176" s="501" t="str">
        <f>IFERROR(__xludf.DUMMYFUNCTION("""COMPUTED_VALUE"""),"AOC verjaardag see")</f>
        <v>AOC verjaardag see</v>
      </c>
      <c r="I176" s="503" t="str">
        <f>IFERROR(__xludf.DUMMYFUNCTION("""COMPUTED_VALUE"""),"")</f>
        <v/>
      </c>
      <c r="J176" s="501" t="str">
        <f>IFERROR(__xludf.DUMMYFUNCTION("""COMPUTED_VALUE"""),"Staat klaar")</f>
        <v>Staat klaar</v>
      </c>
      <c r="K176" s="505" t="str">
        <f>IFERROR(__xludf.DUMMYFUNCTION("""COMPUTED_VALUE""")," See - Geboorte ")</f>
        <v>See - Geboorte</v>
      </c>
      <c r="L176" s="506">
        <f>IFERROR(__xludf.DUMMYFUNCTION("""COMPUTED_VALUE"""),900.0)</f>
        <v>900</v>
      </c>
      <c r="M176" s="504">
        <f>IFERROR(__xludf.DUMMYFUNCTION("""COMPUTED_VALUE"""),30.0)</f>
        <v>30</v>
      </c>
      <c r="N176" s="501" t="str">
        <f>IFERROR(__xludf.DUMMYFUNCTION("""COMPUTED_VALUE"""),"Merk")</f>
        <v>Merk</v>
      </c>
      <c r="O176" s="501" t="str">
        <f>IFERROR(__xludf.DUMMYFUNCTION("""COMPUTED_VALUE"""),"FB + Instagram")</f>
        <v>FB + Instagram</v>
      </c>
      <c r="P176" s="503" t="str">
        <f>IFERROR(__xludf.DUMMYFUNCTION("""COMPUTED_VALUE"""),"Facebook - See - AOC")</f>
        <v>Facebook - See - AOC</v>
      </c>
      <c r="Q176" s="501" t="str">
        <f>IFERROR(__xludf.DUMMYFUNCTION("""COMPUTED_VALUE"""),"Bereik")</f>
        <v>Bereik</v>
      </c>
      <c r="R176" s="501" t="str">
        <f>IFERROR(__xludf.DUMMYFUNCTION("""COMPUTED_VALUE"""),"Dark")</f>
        <v>Dark</v>
      </c>
      <c r="S176" s="503" t="str">
        <f>IFERROR(__xludf.DUMMYFUNCTION("""COMPUTED_VALUE"""),"")</f>
        <v/>
      </c>
      <c r="T176"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177">
      <c r="A177" s="501" t="str">
        <f>IFERROR(__xludf.DUMMYFUNCTION("""COMPUTED_VALUE"""),"april")</f>
        <v>april</v>
      </c>
      <c r="B177" s="501">
        <f>IFERROR(__xludf.DUMMYFUNCTION("""COMPUTED_VALUE"""),14.0)</f>
        <v>14</v>
      </c>
      <c r="C177" s="501" t="str">
        <f>IFERROR(__xludf.DUMMYFUNCTION("""COMPUTED_VALUE"""),"maandag")</f>
        <v>maandag</v>
      </c>
      <c r="D177" s="502">
        <f>IFERROR(__xludf.DUMMYFUNCTION("""COMPUTED_VALUE"""),43556.0)</f>
        <v>43556</v>
      </c>
      <c r="E177" s="502">
        <f>IFERROR(__xludf.DUMMYFUNCTION("""COMPUTED_VALUE"""),43585.0)</f>
        <v>43585</v>
      </c>
      <c r="F177" s="501" t="str">
        <f>IFERROR(__xludf.DUMMYFUNCTION("""COMPUTED_VALUE"""),"")</f>
        <v/>
      </c>
      <c r="G177" s="503" t="str">
        <f>IFERROR(__xludf.DUMMYFUNCTION("""COMPUTED_VALUE"""),"")</f>
        <v/>
      </c>
      <c r="H177" s="501" t="str">
        <f>IFERROR(__xludf.DUMMYFUNCTION("""COMPUTED_VALUE"""),"AOC geboorte see")</f>
        <v>AOC geboorte see</v>
      </c>
      <c r="I177" s="503" t="str">
        <f>IFERROR(__xludf.DUMMYFUNCTION("""COMPUTED_VALUE"""),"")</f>
        <v/>
      </c>
      <c r="J177" s="501" t="str">
        <f>IFERROR(__xludf.DUMMYFUNCTION("""COMPUTED_VALUE"""),"Staat klaar")</f>
        <v>Staat klaar</v>
      </c>
      <c r="K177" s="505" t="str">
        <f>IFERROR(__xludf.DUMMYFUNCTION("""COMPUTED_VALUE""")," See - Verjaardag ")</f>
        <v>See - Verjaardag</v>
      </c>
      <c r="L177" s="506">
        <f>IFERROR(__xludf.DUMMYFUNCTION("""COMPUTED_VALUE"""),1200.0)</f>
        <v>1200</v>
      </c>
      <c r="M177" s="504">
        <f>IFERROR(__xludf.DUMMYFUNCTION("""COMPUTED_VALUE"""),30.0)</f>
        <v>30</v>
      </c>
      <c r="N177" s="501" t="str">
        <f>IFERROR(__xludf.DUMMYFUNCTION("""COMPUTED_VALUE"""),"Merk")</f>
        <v>Merk</v>
      </c>
      <c r="O177" s="501" t="str">
        <f>IFERROR(__xludf.DUMMYFUNCTION("""COMPUTED_VALUE"""),"FB + Instagram")</f>
        <v>FB + Instagram</v>
      </c>
      <c r="P177" s="503" t="str">
        <f>IFERROR(__xludf.DUMMYFUNCTION("""COMPUTED_VALUE"""),"Facebook - See - AOC")</f>
        <v>Facebook - See - AOC</v>
      </c>
      <c r="Q177" s="501" t="str">
        <f>IFERROR(__xludf.DUMMYFUNCTION("""COMPUTED_VALUE"""),"Bereik")</f>
        <v>Bereik</v>
      </c>
      <c r="R177" s="501" t="str">
        <f>IFERROR(__xludf.DUMMYFUNCTION("""COMPUTED_VALUE"""),"Dark")</f>
        <v>Dark</v>
      </c>
      <c r="S177" s="503" t="str">
        <f>IFERROR(__xludf.DUMMYFUNCTION("""COMPUTED_VALUE"""),"")</f>
        <v/>
      </c>
      <c r="T177"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178">
      <c r="A178" s="501" t="str">
        <f>IFERROR(__xludf.DUMMYFUNCTION("""COMPUTED_VALUE"""),"april")</f>
        <v>april</v>
      </c>
      <c r="B178" s="501">
        <f>IFERROR(__xludf.DUMMYFUNCTION("""COMPUTED_VALUE"""),14.0)</f>
        <v>14</v>
      </c>
      <c r="C178" s="501" t="str">
        <f>IFERROR(__xludf.DUMMYFUNCTION("""COMPUTED_VALUE"""),"maandag")</f>
        <v>maandag</v>
      </c>
      <c r="D178" s="502">
        <f>IFERROR(__xludf.DUMMYFUNCTION("""COMPUTED_VALUE"""),43556.0)</f>
        <v>43556</v>
      </c>
      <c r="E178" s="502">
        <f>IFERROR(__xludf.DUMMYFUNCTION("""COMPUTED_VALUE"""),43556.0)</f>
        <v>43556</v>
      </c>
      <c r="F178" s="501" t="str">
        <f>IFERROR(__xludf.DUMMYFUNCTION("""COMPUTED_VALUE"""),"Lente")</f>
        <v>Lente</v>
      </c>
      <c r="G178" s="503" t="str">
        <f>IFERROR(__xludf.DUMMYFUNCTION("""COMPUTED_VALUE"""),"Nieuw bij Greetz: 20% korting op thee en nieuwe Tony's")</f>
        <v>Nieuw bij Greetz: 20% korting op thee en nieuwe Tony's</v>
      </c>
      <c r="H178" s="501" t="str">
        <f>IFERROR(__xludf.DUMMYFUNCTION("""COMPUTED_VALUE"""),"Dag van de grap")</f>
        <v>Dag van de grap</v>
      </c>
      <c r="I178" s="503" t="str">
        <f>IFERROR(__xludf.DUMMYFUNCTION("""COMPUTED_VALUE"""),"")</f>
        <v/>
      </c>
      <c r="J178" s="501" t="str">
        <f>IFERROR(__xludf.DUMMYFUNCTION("""COMPUTED_VALUE"""),"")</f>
        <v/>
      </c>
      <c r="K178" s="503" t="str">
        <f>IFERROR(__xludf.DUMMYFUNCTION("""COMPUTED_VALUE"""),"")</f>
        <v/>
      </c>
      <c r="L178" s="501" t="str">
        <f>IFERROR(__xludf.DUMMYFUNCTION("""COMPUTED_VALUE"""),"")</f>
        <v/>
      </c>
      <c r="M178" s="501" t="str">
        <f>IFERROR(__xludf.DUMMYFUNCTION("""COMPUTED_VALUE"""),"")</f>
        <v/>
      </c>
      <c r="N178" s="501" t="str">
        <f>IFERROR(__xludf.DUMMYFUNCTION("""COMPUTED_VALUE"""),"")</f>
        <v/>
      </c>
      <c r="O178" s="501" t="str">
        <f>IFERROR(__xludf.DUMMYFUNCTION("""COMPUTED_VALUE"""),"")</f>
        <v/>
      </c>
      <c r="P178" s="503" t="str">
        <f>IFERROR(__xludf.DUMMYFUNCTION("""COMPUTED_VALUE"""),"")</f>
        <v/>
      </c>
      <c r="Q178" s="501" t="str">
        <f>IFERROR(__xludf.DUMMYFUNCTION("""COMPUTED_VALUE"""),"")</f>
        <v/>
      </c>
      <c r="R178" s="501" t="str">
        <f>IFERROR(__xludf.DUMMYFUNCTION("""COMPUTED_VALUE"""),"")</f>
        <v/>
      </c>
      <c r="S178" s="503" t="str">
        <f>IFERROR(__xludf.DUMMYFUNCTION("""COMPUTED_VALUE"""),"")</f>
        <v/>
      </c>
      <c r="T178" s="503" t="str">
        <f>IFERROR(__xludf.DUMMYFUNCTION("""COMPUTED_VALUE"""),"utm_source=facebook&amp;utm_medium=socialmedia&amp;utm_campaign=&amp;utm_content=dagvandegrap&amp;referrer=facebook")</f>
        <v>utm_source=facebook&amp;utm_medium=socialmedia&amp;utm_campaign=&amp;utm_content=dagvandegrap&amp;referrer=facebook</v>
      </c>
    </row>
    <row r="179">
      <c r="A179" s="501" t="str">
        <f>IFERROR(__xludf.DUMMYFUNCTION("""COMPUTED_VALUE"""),"april")</f>
        <v>april</v>
      </c>
      <c r="B179" s="501">
        <f>IFERROR(__xludf.DUMMYFUNCTION("""COMPUTED_VALUE"""),14.0)</f>
        <v>14</v>
      </c>
      <c r="C179" s="501" t="str">
        <f>IFERROR(__xludf.DUMMYFUNCTION("""COMPUTED_VALUE"""),"maandag")</f>
        <v>maandag</v>
      </c>
      <c r="D179" s="502">
        <f>IFERROR(__xludf.DUMMYFUNCTION("""COMPUTED_VALUE"""),43556.0)</f>
        <v>43556</v>
      </c>
      <c r="E179" s="502">
        <f>IFERROR(__xludf.DUMMYFUNCTION("""COMPUTED_VALUE"""),43562.0)</f>
        <v>43562</v>
      </c>
      <c r="F179" s="501" t="str">
        <f>IFERROR(__xludf.DUMMYFUNCTION("""COMPUTED_VALUE"""),"")</f>
        <v/>
      </c>
      <c r="G179" s="503" t="str">
        <f>IFERROR(__xludf.DUMMYFUNCTION("""COMPUTED_VALUE"""),"")</f>
        <v/>
      </c>
      <c r="H179" s="501" t="str">
        <f>IFERROR(__xludf.DUMMYFUNCTION("""COMPUTED_VALUE"""),"korting tonys")</f>
        <v>korting tonys</v>
      </c>
      <c r="I179" s="503" t="str">
        <f>IFERROR(__xludf.DUMMYFUNCTION("""COMPUTED_VALUE"""),"❤stikke leuk én lekker... verrassen met chocolade van Tony's Chocolonely. Speciaal daarom krijg je deze week 20% korting op al die chocolade. Wie ga jij verrassen?")</f>
        <v>❤stikke leuk én lekker... verrassen met chocolade van Tony's Chocolonely. Speciaal daarom krijg je deze week 20% korting op al die chocolade. Wie ga jij verrassen?</v>
      </c>
      <c r="J179" s="501" t="str">
        <f>IFERROR(__xludf.DUMMYFUNCTION("""COMPUTED_VALUE"""),"Staat klaar")</f>
        <v>Staat klaar</v>
      </c>
      <c r="K179" s="505" t="str">
        <f>IFERROR(__xludf.DUMMYFUNCTION("""COMPUTED_VALUE""")," chocolade interesse ")</f>
        <v>chocolade interesse</v>
      </c>
      <c r="L179" s="506">
        <f>IFERROR(__xludf.DUMMYFUNCTION("""COMPUTED_VALUE"""),750.0)</f>
        <v>750</v>
      </c>
      <c r="M179" s="504">
        <f>IFERROR(__xludf.DUMMYFUNCTION("""COMPUTED_VALUE"""),7.0)</f>
        <v>7</v>
      </c>
      <c r="N179" s="501" t="str">
        <f>IFERROR(__xludf.DUMMYFUNCTION("""COMPUTED_VALUE"""),"Product")</f>
        <v>Product</v>
      </c>
      <c r="O179" s="501" t="str">
        <f>IFERROR(__xludf.DUMMYFUNCTION("""COMPUTED_VALUE"""),"Facebook")</f>
        <v>Facebook</v>
      </c>
      <c r="P179" s="503" t="str">
        <f>IFERROR(__xludf.DUMMYFUNCTION("""COMPUTED_VALUE"""),"Facebook - Do - Retailcampaigning")</f>
        <v>Facebook - Do - Retailcampaigning</v>
      </c>
      <c r="Q179" s="501" t="str">
        <f>IFERROR(__xludf.DUMMYFUNCTION("""COMPUTED_VALUE"""),"Conversie - Landingspagina")</f>
        <v>Conversie - Landingspagina</v>
      </c>
      <c r="R179" s="501" t="str">
        <f>IFERROR(__xludf.DUMMYFUNCTION("""COMPUTED_VALUE"""),"Dark")</f>
        <v>Dark</v>
      </c>
      <c r="S179" s="503" t="str">
        <f>IFERROR(__xludf.DUMMYFUNCTION("""COMPUTED_VALUE"""),"a/b test landing vs conversiewaarde")</f>
        <v>a/b test landing vs conversiewaarde</v>
      </c>
      <c r="T179" s="503" t="str">
        <f>IFERROR(__xludf.DUMMYFUNCTION("""COMPUTED_VALUE"""),"utm_source=facebook&amp;utm_medium=socialmedia&amp;utm_campaign=facebook_-_do_-_retailcampaigning&amp;utm_content=kortingtonys&amp;referrer=facebook")</f>
        <v>utm_source=facebook&amp;utm_medium=socialmedia&amp;utm_campaign=facebook_-_do_-_retailcampaigning&amp;utm_content=kortingtonys&amp;referrer=facebook</v>
      </c>
    </row>
    <row r="180">
      <c r="A180" s="501" t="str">
        <f>IFERROR(__xludf.DUMMYFUNCTION("""COMPUTED_VALUE"""),"april")</f>
        <v>april</v>
      </c>
      <c r="B180" s="501">
        <f>IFERROR(__xludf.DUMMYFUNCTION("""COMPUTED_VALUE"""),14.0)</f>
        <v>14</v>
      </c>
      <c r="C180" s="501" t="str">
        <f>IFERROR(__xludf.DUMMYFUNCTION("""COMPUTED_VALUE"""),"dinsdag")</f>
        <v>dinsdag</v>
      </c>
      <c r="D180" s="502">
        <f>IFERROR(__xludf.DUMMYFUNCTION("""COMPUTED_VALUE"""),43557.0)</f>
        <v>43557</v>
      </c>
      <c r="E180" s="502">
        <f>IFERROR(__xludf.DUMMYFUNCTION("""COMPUTED_VALUE"""),43557.0)</f>
        <v>43557</v>
      </c>
      <c r="F180" s="501" t="str">
        <f>IFERROR(__xludf.DUMMYFUNCTION("""COMPUTED_VALUE"""),"")</f>
        <v/>
      </c>
      <c r="G180" s="503" t="str">
        <f>IFERROR(__xludf.DUMMYFUNCTION("""COMPUTED_VALUE"""),"")</f>
        <v/>
      </c>
      <c r="H180" s="501" t="str">
        <f>IFERROR(__xludf.DUMMYFUNCTION("""COMPUTED_VALUE"""),"")</f>
        <v/>
      </c>
      <c r="I180" s="503" t="str">
        <f>IFERROR(__xludf.DUMMYFUNCTION("""COMPUTED_VALUE"""),"")</f>
        <v/>
      </c>
      <c r="J180" s="501" t="str">
        <f>IFERROR(__xludf.DUMMYFUNCTION("""COMPUTED_VALUE"""),"")</f>
        <v/>
      </c>
      <c r="K180" s="503" t="str">
        <f>IFERROR(__xludf.DUMMYFUNCTION("""COMPUTED_VALUE"""),"")</f>
        <v/>
      </c>
      <c r="L180" s="501" t="str">
        <f>IFERROR(__xludf.DUMMYFUNCTION("""COMPUTED_VALUE"""),"")</f>
        <v/>
      </c>
      <c r="M180" s="504">
        <f>IFERROR(__xludf.DUMMYFUNCTION("""COMPUTED_VALUE"""),1.0)</f>
        <v>1</v>
      </c>
      <c r="N180" s="501" t="str">
        <f>IFERROR(__xludf.DUMMYFUNCTION("""COMPUTED_VALUE"""),"")</f>
        <v/>
      </c>
      <c r="O180" s="501" t="str">
        <f>IFERROR(__xludf.DUMMYFUNCTION("""COMPUTED_VALUE"""),"")</f>
        <v/>
      </c>
      <c r="P180" s="503" t="str">
        <f>IFERROR(__xludf.DUMMYFUNCTION("""COMPUTED_VALUE"""),"")</f>
        <v/>
      </c>
      <c r="Q180" s="501" t="str">
        <f>IFERROR(__xludf.DUMMYFUNCTION("""COMPUTED_VALUE"""),"")</f>
        <v/>
      </c>
      <c r="R180" s="501" t="str">
        <f>IFERROR(__xludf.DUMMYFUNCTION("""COMPUTED_VALUE"""),"")</f>
        <v/>
      </c>
      <c r="S180" s="503" t="str">
        <f>IFERROR(__xludf.DUMMYFUNCTION("""COMPUTED_VALUE"""),"")</f>
        <v/>
      </c>
      <c r="T180" s="503" t="str">
        <f>IFERROR(__xludf.DUMMYFUNCTION("""COMPUTED_VALUE"""),"utm_source=facebook&amp;utm_medium=socialmedia&amp;utm_campaign=&amp;utm_content=&amp;referrer=facebook")</f>
        <v>utm_source=facebook&amp;utm_medium=socialmedia&amp;utm_campaign=&amp;utm_content=&amp;referrer=facebook</v>
      </c>
    </row>
    <row r="181">
      <c r="A181" s="501" t="str">
        <f>IFERROR(__xludf.DUMMYFUNCTION("""COMPUTED_VALUE"""),"april")</f>
        <v>april</v>
      </c>
      <c r="B181" s="501">
        <f>IFERROR(__xludf.DUMMYFUNCTION("""COMPUTED_VALUE"""),14.0)</f>
        <v>14</v>
      </c>
      <c r="C181" s="501" t="str">
        <f>IFERROR(__xludf.DUMMYFUNCTION("""COMPUTED_VALUE"""),"woensdag")</f>
        <v>woensdag</v>
      </c>
      <c r="D181" s="502">
        <f>IFERROR(__xludf.DUMMYFUNCTION("""COMPUTED_VALUE"""),43558.0)</f>
        <v>43558</v>
      </c>
      <c r="E181" s="502">
        <f>IFERROR(__xludf.DUMMYFUNCTION("""COMPUTED_VALUE"""),43558.0)</f>
        <v>43558</v>
      </c>
      <c r="F181" s="501" t="str">
        <f>IFERROR(__xludf.DUMMYFUNCTION("""COMPUTED_VALUE"""),"")</f>
        <v/>
      </c>
      <c r="G181" s="503" t="str">
        <f>IFERROR(__xludf.DUMMYFUNCTION("""COMPUTED_VALUE"""),"")</f>
        <v/>
      </c>
      <c r="H181" s="501" t="str">
        <f>IFERROR(__xludf.DUMMYFUNCTION("""COMPUTED_VALUE"""),"Nieuw bij Greetz: thee")</f>
        <v>Nieuw bij Greetz: thee</v>
      </c>
      <c r="I181" s="503" t="str">
        <f>IFERROR(__xludf.DUMMYFUNCTION("""COMPUTED_VALUE"""),"Hallo zomertijd, voorjaarskriebels én nieuwe verrassingen! 😉 Je kunt bij ons nu ook iemand blij maken met heerlijke theesoorten 😍☕ http://bit.ly/thee-greetz
")</f>
        <v>Hallo zomertijd, voorjaarskriebels én nieuwe verrassingen! 😉 Je kunt bij ons nu ook iemand blij maken met heerlijke theesoorten 😍☕ http://bit.ly/thee-greetz
</v>
      </c>
      <c r="J181" s="501" t="str">
        <f>IFERROR(__xludf.DUMMYFUNCTION("""COMPUTED_VALUE"""),"Staat klaar")</f>
        <v>Staat klaar</v>
      </c>
      <c r="K181" s="505" t="str">
        <f>IFERROR(__xludf.DUMMYFUNCTION("""COMPUTED_VALUE""")," Klanten ")</f>
        <v>Klanten</v>
      </c>
      <c r="L181" s="501" t="str">
        <f>IFERROR(__xludf.DUMMYFUNCTION("""COMPUTED_VALUE"""),"")</f>
        <v/>
      </c>
      <c r="M181" s="504">
        <f>IFERROR(__xludf.DUMMYFUNCTION("""COMPUTED_VALUE"""),1.0)</f>
        <v>1</v>
      </c>
      <c r="N181" s="501" t="str">
        <f>IFERROR(__xludf.DUMMYFUNCTION("""COMPUTED_VALUE"""),"Product")</f>
        <v>Product</v>
      </c>
      <c r="O181" s="501" t="str">
        <f>IFERROR(__xludf.DUMMYFUNCTION("""COMPUTED_VALUE"""),"Facebook")</f>
        <v>Facebook</v>
      </c>
      <c r="P181" s="503" t="str">
        <f>IFERROR(__xludf.DUMMYFUNCTION("""COMPUTED_VALUE"""),"Facebook - See - Retailcampaigning &amp; contentkalender")</f>
        <v>Facebook - See - Retailcampaigning &amp; contentkalender</v>
      </c>
      <c r="Q181" s="501" t="str">
        <f>IFERROR(__xludf.DUMMYFUNCTION("""COMPUTED_VALUE"""),"Bereik")</f>
        <v>Bereik</v>
      </c>
      <c r="R181" s="501" t="str">
        <f>IFERROR(__xludf.DUMMYFUNCTION("""COMPUTED_VALUE"""),"Timeline")</f>
        <v>Timeline</v>
      </c>
      <c r="S181" s="503" t="str">
        <f>IFERROR(__xludf.DUMMYFUNCTION("""COMPUTED_VALUE"""),"")</f>
        <v/>
      </c>
      <c r="T181" s="503" t="str">
        <f>IFERROR(__xludf.DUMMYFUNCTION("""COMPUTED_VALUE"""),"utm_source=facebook&amp;utm_medium=socialmedia&amp;utm_campaign=facebook_-_see_-_retailcampaigning_&amp;_contentkalender&amp;utm_content=nieuwbijgreetz:thee&amp;referrer=facebook")</f>
        <v>utm_source=facebook&amp;utm_medium=socialmedia&amp;utm_campaign=facebook_-_see_-_retailcampaigning_&amp;_contentkalender&amp;utm_content=nieuwbijgreetz:thee&amp;referrer=facebook</v>
      </c>
    </row>
    <row r="182">
      <c r="A182" s="501" t="str">
        <f>IFERROR(__xludf.DUMMYFUNCTION("""COMPUTED_VALUE"""),"april")</f>
        <v>april</v>
      </c>
      <c r="B182" s="501">
        <f>IFERROR(__xludf.DUMMYFUNCTION("""COMPUTED_VALUE"""),14.0)</f>
        <v>14</v>
      </c>
      <c r="C182" s="501" t="str">
        <f>IFERROR(__xludf.DUMMYFUNCTION("""COMPUTED_VALUE"""),"donderdag")</f>
        <v>donderdag</v>
      </c>
      <c r="D182" s="502">
        <f>IFERROR(__xludf.DUMMYFUNCTION("""COMPUTED_VALUE"""),43559.0)</f>
        <v>43559</v>
      </c>
      <c r="E182" s="502">
        <f>IFERROR(__xludf.DUMMYFUNCTION("""COMPUTED_VALUE"""),43559.0)</f>
        <v>43559</v>
      </c>
      <c r="F182" s="501" t="str">
        <f>IFERROR(__xludf.DUMMYFUNCTION("""COMPUTED_VALUE"""),"")</f>
        <v/>
      </c>
      <c r="G182" s="503" t="str">
        <f>IFERROR(__xludf.DUMMYFUNCTION("""COMPUTED_VALUE"""),"")</f>
        <v/>
      </c>
      <c r="H182" s="501" t="str">
        <f>IFERROR(__xludf.DUMMYFUNCTION("""COMPUTED_VALUE"""),"")</f>
        <v/>
      </c>
      <c r="I182" s="503" t="str">
        <f>IFERROR(__xludf.DUMMYFUNCTION("""COMPUTED_VALUE"""),"")</f>
        <v/>
      </c>
      <c r="J182" s="501" t="str">
        <f>IFERROR(__xludf.DUMMYFUNCTION("""COMPUTED_VALUE"""),"")</f>
        <v/>
      </c>
      <c r="K182" s="503" t="str">
        <f>IFERROR(__xludf.DUMMYFUNCTION("""COMPUTED_VALUE"""),"")</f>
        <v/>
      </c>
      <c r="L182" s="501" t="str">
        <f>IFERROR(__xludf.DUMMYFUNCTION("""COMPUTED_VALUE"""),"")</f>
        <v/>
      </c>
      <c r="M182" s="504">
        <f>IFERROR(__xludf.DUMMYFUNCTION("""COMPUTED_VALUE"""),1.0)</f>
        <v>1</v>
      </c>
      <c r="N182" s="501" t="str">
        <f>IFERROR(__xludf.DUMMYFUNCTION("""COMPUTED_VALUE"""),"")</f>
        <v/>
      </c>
      <c r="O182" s="501" t="str">
        <f>IFERROR(__xludf.DUMMYFUNCTION("""COMPUTED_VALUE"""),"")</f>
        <v/>
      </c>
      <c r="P182" s="503" t="str">
        <f>IFERROR(__xludf.DUMMYFUNCTION("""COMPUTED_VALUE"""),"")</f>
        <v/>
      </c>
      <c r="Q182" s="501" t="str">
        <f>IFERROR(__xludf.DUMMYFUNCTION("""COMPUTED_VALUE"""),"")</f>
        <v/>
      </c>
      <c r="R182" s="501" t="str">
        <f>IFERROR(__xludf.DUMMYFUNCTION("""COMPUTED_VALUE"""),"")</f>
        <v/>
      </c>
      <c r="S182" s="503" t="str">
        <f>IFERROR(__xludf.DUMMYFUNCTION("""COMPUTED_VALUE"""),"")</f>
        <v/>
      </c>
      <c r="T182" s="503" t="str">
        <f>IFERROR(__xludf.DUMMYFUNCTION("""COMPUTED_VALUE"""),"utm_source=facebook&amp;utm_medium=socialmedia&amp;utm_campaign=&amp;utm_content=&amp;referrer=facebook")</f>
        <v>utm_source=facebook&amp;utm_medium=socialmedia&amp;utm_campaign=&amp;utm_content=&amp;referrer=facebook</v>
      </c>
    </row>
    <row r="183">
      <c r="A183" s="501" t="str">
        <f>IFERROR(__xludf.DUMMYFUNCTION("""COMPUTED_VALUE"""),"april")</f>
        <v>april</v>
      </c>
      <c r="B183" s="501">
        <f>IFERROR(__xludf.DUMMYFUNCTION("""COMPUTED_VALUE"""),14.0)</f>
        <v>14</v>
      </c>
      <c r="C183" s="501" t="str">
        <f>IFERROR(__xludf.DUMMYFUNCTION("""COMPUTED_VALUE"""),"vrijdag")</f>
        <v>vrijdag</v>
      </c>
      <c r="D183" s="502">
        <f>IFERROR(__xludf.DUMMYFUNCTION("""COMPUTED_VALUE"""),43560.0)</f>
        <v>43560</v>
      </c>
      <c r="E183" s="502">
        <f>IFERROR(__xludf.DUMMYFUNCTION("""COMPUTED_VALUE"""),43560.0)</f>
        <v>43560</v>
      </c>
      <c r="F183" s="501" t="str">
        <f>IFERROR(__xludf.DUMMYFUNCTION("""COMPUTED_VALUE"""),"")</f>
        <v/>
      </c>
      <c r="G183" s="503" t="str">
        <f>IFERROR(__xludf.DUMMYFUNCTION("""COMPUTED_VALUE"""),"")</f>
        <v/>
      </c>
      <c r="H183" s="501" t="str">
        <f>IFERROR(__xludf.DUMMYFUNCTION("""COMPUTED_VALUE"""),"Bruynzeel kleurpotloden")</f>
        <v>Bruynzeel kleurpotloden</v>
      </c>
      <c r="I183" s="503" t="str">
        <f>IFERROR(__xludf.DUMMYFUNCTION("""COMPUTED_VALUE"""),"Laat de kunstenaar in je los 😉 Wist je dat je bij ons nu ook kunt verrassen met kleurpotloden in blik met daarop eigen foto of tekst? Bekijk ze hier:  ")</f>
        <v>Laat de kunstenaar in je los 😉 Wist je dat je bij ons nu ook kunt verrassen met kleurpotloden in blik met daarop eigen foto of tekst? Bekijk ze hier:  </v>
      </c>
      <c r="J183" s="501" t="str">
        <f>IFERROR(__xludf.DUMMYFUNCTION("""COMPUTED_VALUE"""),"")</f>
        <v/>
      </c>
      <c r="K183" s="505" t="str">
        <f>IFERROR(__xludf.DUMMYFUNCTION("""COMPUTED_VALUE""")," Klanten ")</f>
        <v>Klanten</v>
      </c>
      <c r="L183" s="506">
        <f>IFERROR(__xludf.DUMMYFUNCTION("""COMPUTED_VALUE"""),250.0)</f>
        <v>250</v>
      </c>
      <c r="M183" s="504">
        <f>IFERROR(__xludf.DUMMYFUNCTION("""COMPUTED_VALUE"""),1.0)</f>
        <v>1</v>
      </c>
      <c r="N183" s="501" t="str">
        <f>IFERROR(__xludf.DUMMYFUNCTION("""COMPUTED_VALUE"""),"Product")</f>
        <v>Product</v>
      </c>
      <c r="O183" s="501" t="str">
        <f>IFERROR(__xludf.DUMMYFUNCTION("""COMPUTED_VALUE"""),"Facebook")</f>
        <v>Facebook</v>
      </c>
      <c r="P183" s="503" t="str">
        <f>IFERROR(__xludf.DUMMYFUNCTION("""COMPUTED_VALUE"""),"Facebook - See - Retailcampaigning &amp; contentkalender")</f>
        <v>Facebook - See - Retailcampaigning &amp; contentkalender</v>
      </c>
      <c r="Q183" s="501" t="str">
        <f>IFERROR(__xludf.DUMMYFUNCTION("""COMPUTED_VALUE"""),"Bereik")</f>
        <v>Bereik</v>
      </c>
      <c r="R183" s="501" t="str">
        <f>IFERROR(__xludf.DUMMYFUNCTION("""COMPUTED_VALUE"""),"Timeline")</f>
        <v>Timeline</v>
      </c>
      <c r="S183" s="503" t="str">
        <f>IFERROR(__xludf.DUMMYFUNCTION("""COMPUTED_VALUE"""),"")</f>
        <v/>
      </c>
      <c r="T183" s="503" t="str">
        <f>IFERROR(__xludf.DUMMYFUNCTION("""COMPUTED_VALUE"""),"utm_source=facebook&amp;utm_medium=socialmedia&amp;utm_campaign=facebook_-_see_-_retailcampaigning_&amp;_contentkalender&amp;utm_content=bruynzeelkleurpotloden&amp;referrer=facebook")</f>
        <v>utm_source=facebook&amp;utm_medium=socialmedia&amp;utm_campaign=facebook_-_see_-_retailcampaigning_&amp;_contentkalender&amp;utm_content=bruynzeelkleurpotloden&amp;referrer=facebook</v>
      </c>
    </row>
    <row r="184">
      <c r="A184" s="501" t="str">
        <f>IFERROR(__xludf.DUMMYFUNCTION("""COMPUTED_VALUE"""),"april")</f>
        <v>april</v>
      </c>
      <c r="B184" s="501">
        <f>IFERROR(__xludf.DUMMYFUNCTION("""COMPUTED_VALUE"""),14.0)</f>
        <v>14</v>
      </c>
      <c r="C184" s="501" t="str">
        <f>IFERROR(__xludf.DUMMYFUNCTION("""COMPUTED_VALUE"""),"zaterdag")</f>
        <v>zaterdag</v>
      </c>
      <c r="D184" s="502">
        <f>IFERROR(__xludf.DUMMYFUNCTION("""COMPUTED_VALUE"""),43561.0)</f>
        <v>43561</v>
      </c>
      <c r="E184" s="502">
        <f>IFERROR(__xludf.DUMMYFUNCTION("""COMPUTED_VALUE"""),43561.0)</f>
        <v>43561</v>
      </c>
      <c r="F184" s="501" t="str">
        <f>IFERROR(__xludf.DUMMYFUNCTION("""COMPUTED_VALUE"""),"")</f>
        <v/>
      </c>
      <c r="G184" s="503" t="str">
        <f>IFERROR(__xludf.DUMMYFUNCTION("""COMPUTED_VALUE"""),"")</f>
        <v/>
      </c>
      <c r="H184" s="501" t="str">
        <f>IFERROR(__xludf.DUMMYFUNCTION("""COMPUTED_VALUE"""),"")</f>
        <v/>
      </c>
      <c r="I184" s="503" t="str">
        <f>IFERROR(__xludf.DUMMYFUNCTION("""COMPUTED_VALUE"""),"")</f>
        <v/>
      </c>
      <c r="J184" s="501" t="str">
        <f>IFERROR(__xludf.DUMMYFUNCTION("""COMPUTED_VALUE"""),"")</f>
        <v/>
      </c>
      <c r="K184" s="503" t="str">
        <f>IFERROR(__xludf.DUMMYFUNCTION("""COMPUTED_VALUE"""),"")</f>
        <v/>
      </c>
      <c r="L184" s="501" t="str">
        <f>IFERROR(__xludf.DUMMYFUNCTION("""COMPUTED_VALUE"""),"")</f>
        <v/>
      </c>
      <c r="M184" s="504">
        <f>IFERROR(__xludf.DUMMYFUNCTION("""COMPUTED_VALUE"""),1.0)</f>
        <v>1</v>
      </c>
      <c r="N184" s="501" t="str">
        <f>IFERROR(__xludf.DUMMYFUNCTION("""COMPUTED_VALUE"""),"")</f>
        <v/>
      </c>
      <c r="O184" s="501" t="str">
        <f>IFERROR(__xludf.DUMMYFUNCTION("""COMPUTED_VALUE"""),"")</f>
        <v/>
      </c>
      <c r="P184" s="503" t="str">
        <f>IFERROR(__xludf.DUMMYFUNCTION("""COMPUTED_VALUE"""),"")</f>
        <v/>
      </c>
      <c r="Q184" s="501" t="str">
        <f>IFERROR(__xludf.DUMMYFUNCTION("""COMPUTED_VALUE"""),"")</f>
        <v/>
      </c>
      <c r="R184" s="501" t="str">
        <f>IFERROR(__xludf.DUMMYFUNCTION("""COMPUTED_VALUE"""),"")</f>
        <v/>
      </c>
      <c r="S184" s="503" t="str">
        <f>IFERROR(__xludf.DUMMYFUNCTION("""COMPUTED_VALUE"""),"")</f>
        <v/>
      </c>
      <c r="T184" s="503" t="str">
        <f>IFERROR(__xludf.DUMMYFUNCTION("""COMPUTED_VALUE"""),"utm_source=facebook&amp;utm_medium=socialmedia&amp;utm_campaign=&amp;utm_content=&amp;referrer=facebook")</f>
        <v>utm_source=facebook&amp;utm_medium=socialmedia&amp;utm_campaign=&amp;utm_content=&amp;referrer=facebook</v>
      </c>
    </row>
    <row r="185">
      <c r="A185" s="501" t="str">
        <f>IFERROR(__xludf.DUMMYFUNCTION("""COMPUTED_VALUE"""),"april")</f>
        <v>april</v>
      </c>
      <c r="B185" s="501">
        <f>IFERROR(__xludf.DUMMYFUNCTION("""COMPUTED_VALUE"""),15.0)</f>
        <v>15</v>
      </c>
      <c r="C185" s="501" t="str">
        <f>IFERROR(__xludf.DUMMYFUNCTION("""COMPUTED_VALUE"""),"zondag")</f>
        <v>zondag</v>
      </c>
      <c r="D185" s="502">
        <f>IFERROR(__xludf.DUMMYFUNCTION("""COMPUTED_VALUE"""),43562.0)</f>
        <v>43562</v>
      </c>
      <c r="E185" s="502">
        <f>IFERROR(__xludf.DUMMYFUNCTION("""COMPUTED_VALUE"""),43562.0)</f>
        <v>43562</v>
      </c>
      <c r="F185" s="501" t="str">
        <f>IFERROR(__xludf.DUMMYFUNCTION("""COMPUTED_VALUE"""),"")</f>
        <v/>
      </c>
      <c r="G185" s="503" t="str">
        <f>IFERROR(__xludf.DUMMYFUNCTION("""COMPUTED_VALUE"""),"")</f>
        <v/>
      </c>
      <c r="H185" s="501" t="str">
        <f>IFERROR(__xludf.DUMMYFUNCTION("""COMPUTED_VALUE"""),"")</f>
        <v/>
      </c>
      <c r="I185" s="503" t="str">
        <f>IFERROR(__xludf.DUMMYFUNCTION("""COMPUTED_VALUE"""),"")</f>
        <v/>
      </c>
      <c r="J185" s="501" t="str">
        <f>IFERROR(__xludf.DUMMYFUNCTION("""COMPUTED_VALUE"""),"")</f>
        <v/>
      </c>
      <c r="K185" s="503" t="str">
        <f>IFERROR(__xludf.DUMMYFUNCTION("""COMPUTED_VALUE"""),"")</f>
        <v/>
      </c>
      <c r="L185" s="501" t="str">
        <f>IFERROR(__xludf.DUMMYFUNCTION("""COMPUTED_VALUE"""),"")</f>
        <v/>
      </c>
      <c r="M185" s="504">
        <f>IFERROR(__xludf.DUMMYFUNCTION("""COMPUTED_VALUE"""),1.0)</f>
        <v>1</v>
      </c>
      <c r="N185" s="501" t="str">
        <f>IFERROR(__xludf.DUMMYFUNCTION("""COMPUTED_VALUE"""),"")</f>
        <v/>
      </c>
      <c r="O185" s="501" t="str">
        <f>IFERROR(__xludf.DUMMYFUNCTION("""COMPUTED_VALUE"""),"")</f>
        <v/>
      </c>
      <c r="P185" s="503" t="str">
        <f>IFERROR(__xludf.DUMMYFUNCTION("""COMPUTED_VALUE"""),"")</f>
        <v/>
      </c>
      <c r="Q185" s="501" t="str">
        <f>IFERROR(__xludf.DUMMYFUNCTION("""COMPUTED_VALUE"""),"")</f>
        <v/>
      </c>
      <c r="R185" s="501" t="str">
        <f>IFERROR(__xludf.DUMMYFUNCTION("""COMPUTED_VALUE"""),"")</f>
        <v/>
      </c>
      <c r="S185" s="503" t="str">
        <f>IFERROR(__xludf.DUMMYFUNCTION("""COMPUTED_VALUE"""),"")</f>
        <v/>
      </c>
      <c r="T185" s="503" t="str">
        <f>IFERROR(__xludf.DUMMYFUNCTION("""COMPUTED_VALUE"""),"utm_source=facebook&amp;utm_medium=socialmedia&amp;utm_campaign=&amp;utm_content=&amp;referrer=facebook")</f>
        <v>utm_source=facebook&amp;utm_medium=socialmedia&amp;utm_campaign=&amp;utm_content=&amp;referrer=facebook</v>
      </c>
    </row>
    <row r="186">
      <c r="A186" s="501" t="str">
        <f>IFERROR(__xludf.DUMMYFUNCTION("""COMPUTED_VALUE"""),"april")</f>
        <v>april</v>
      </c>
      <c r="B186" s="501">
        <f>IFERROR(__xludf.DUMMYFUNCTION("""COMPUTED_VALUE"""),15.0)</f>
        <v>15</v>
      </c>
      <c r="C186" s="501" t="str">
        <f>IFERROR(__xludf.DUMMYFUNCTION("""COMPUTED_VALUE"""),"maandag")</f>
        <v>maandag</v>
      </c>
      <c r="D186" s="502">
        <f>IFERROR(__xludf.DUMMYFUNCTION("""COMPUTED_VALUE"""),43563.0)</f>
        <v>43563</v>
      </c>
      <c r="E186" s="502">
        <f>IFERROR(__xludf.DUMMYFUNCTION("""COMPUTED_VALUE"""),43570.0)</f>
        <v>43570</v>
      </c>
      <c r="F186" s="501" t="str">
        <f>IFERROR(__xludf.DUMMYFUNCTION("""COMPUTED_VALUE"""),"")</f>
        <v/>
      </c>
      <c r="G186" s="503" t="str">
        <f>IFERROR(__xludf.DUMMYFUNCTION("""COMPUTED_VALUE"""),"FS Ballonnen")</f>
        <v>FS Ballonnen</v>
      </c>
      <c r="H186" s="501" t="str">
        <f>IFERROR(__xludf.DUMMYFUNCTION("""COMPUTED_VALUE"""),"Free shipment ballonnen")</f>
        <v>Free shipment ballonnen</v>
      </c>
      <c r="I186" s="503" t="str">
        <f>IFERROR(__xludf.DUMMYFUNCTION("""COMPUTED_VALUE"""),"Zeg gefeliciteerd, bedankt, ik denk aan je op jouw manier. Met een vrolijke ballon bijvoorbeeld 🎈 
Want deze week is met code LENTE de bezorging van die ballon gratis 🙂🎁")</f>
        <v>Zeg gefeliciteerd, bedankt, ik denk aan je op jouw manier. Met een vrolijke ballon bijvoorbeeld 🎈 
Want deze week is met code LENTE de bezorging van die ballon gratis 🙂🎁</v>
      </c>
      <c r="J186" s="501" t="str">
        <f>IFERROR(__xludf.DUMMYFUNCTION("""COMPUTED_VALUE"""),"Staat klaar")</f>
        <v>Staat klaar</v>
      </c>
      <c r="K186" s="505" t="str">
        <f>IFERROR(__xludf.DUMMYFUNCTION("""COMPUTED_VALUE""")," Hoofddoelgroep ")</f>
        <v>Hoofddoelgroep</v>
      </c>
      <c r="L186" s="506">
        <f>IFERROR(__xludf.DUMMYFUNCTION("""COMPUTED_VALUE"""),1500.0)</f>
        <v>1500</v>
      </c>
      <c r="M186" s="504">
        <f>IFERROR(__xludf.DUMMYFUNCTION("""COMPUTED_VALUE"""),8.0)</f>
        <v>8</v>
      </c>
      <c r="N186" s="501" t="str">
        <f>IFERROR(__xludf.DUMMYFUNCTION("""COMPUTED_VALUE"""),"Product")</f>
        <v>Product</v>
      </c>
      <c r="O186" s="501" t="str">
        <f>IFERROR(__xludf.DUMMYFUNCTION("""COMPUTED_VALUE"""),"Facebook")</f>
        <v>Facebook</v>
      </c>
      <c r="P186" s="503" t="str">
        <f>IFERROR(__xludf.DUMMYFUNCTION("""COMPUTED_VALUE"""),"Facebook - Do - Retailcampaigning")</f>
        <v>Facebook - Do - Retailcampaigning</v>
      </c>
      <c r="Q186" s="501" t="str">
        <f>IFERROR(__xludf.DUMMYFUNCTION("""COMPUTED_VALUE"""),"Conversie - Landingspagina")</f>
        <v>Conversie - Landingspagina</v>
      </c>
      <c r="R186" s="501" t="str">
        <f>IFERROR(__xludf.DUMMYFUNCTION("""COMPUTED_VALUE"""),"Dark")</f>
        <v>Dark</v>
      </c>
      <c r="S186" s="503" t="str">
        <f>IFERROR(__xludf.DUMMYFUNCTION("""COMPUTED_VALUE"""),"")</f>
        <v/>
      </c>
      <c r="T186" s="503" t="str">
        <f>IFERROR(__xludf.DUMMYFUNCTION("""COMPUTED_VALUE"""),"utm_source=facebook&amp;utm_medium=socialmedia&amp;utm_campaign=facebook_-_do_-_retailcampaigning&amp;utm_content=freeshipmentballonnen&amp;referrer=facebook")</f>
        <v>utm_source=facebook&amp;utm_medium=socialmedia&amp;utm_campaign=facebook_-_do_-_retailcampaigning&amp;utm_content=freeshipmentballonnen&amp;referrer=facebook</v>
      </c>
    </row>
    <row r="187">
      <c r="A187" s="501" t="str">
        <f>IFERROR(__xludf.DUMMYFUNCTION("""COMPUTED_VALUE"""),"april")</f>
        <v>april</v>
      </c>
      <c r="B187" s="501">
        <f>IFERROR(__xludf.DUMMYFUNCTION("""COMPUTED_VALUE"""),15.0)</f>
        <v>15</v>
      </c>
      <c r="C187" s="501" t="str">
        <f>IFERROR(__xludf.DUMMYFUNCTION("""COMPUTED_VALUE"""),"maandag")</f>
        <v>maandag</v>
      </c>
      <c r="D187" s="502">
        <f>IFERROR(__xludf.DUMMYFUNCTION("""COMPUTED_VALUE"""),43563.0)</f>
        <v>43563</v>
      </c>
      <c r="E187" s="502">
        <f>IFERROR(__xludf.DUMMYFUNCTION("""COMPUTED_VALUE"""),43566.0)</f>
        <v>43566</v>
      </c>
      <c r="F187" s="501" t="str">
        <f>IFERROR(__xludf.DUMMYFUNCTION("""COMPUTED_VALUE"""),"")</f>
        <v/>
      </c>
      <c r="G187" s="503" t="str">
        <f>IFERROR(__xludf.DUMMYFUNCTION("""COMPUTED_VALUE"""),"")</f>
        <v/>
      </c>
      <c r="H187" s="501" t="str">
        <f>IFERROR(__xludf.DUMMYFUNCTION("""COMPUTED_VALUE"""),"Secretaressedag - winactie 2019")</f>
        <v>Secretaressedag - winactie 2019</v>
      </c>
      <c r="I187" s="503" t="str">
        <f>IFERROR(__xludf.DUMMYFUNCTION("""COMPUTED_VALUE"""),"Hoe zorg je dat niemand Secretaressedag vergeet? Met 'n pot vol mintjes uhh... hintjes. Win een snoeppot met subtiele hint via:  ")</f>
        <v>Hoe zorg je dat niemand Secretaressedag vergeet? Met 'n pot vol mintjes uhh... hintjes. Win een snoeppot met subtiele hint via:  </v>
      </c>
      <c r="J187" s="501" t="str">
        <f>IFERROR(__xludf.DUMMYFUNCTION("""COMPUTED_VALUE"""),"Staat klaar")</f>
        <v>Staat klaar</v>
      </c>
      <c r="K187" s="505" t="str">
        <f>IFERROR(__xludf.DUMMYFUNCTION("""COMPUTED_VALUE""")," B2B doelgroep: Secretaresses &amp; Office Managers ")</f>
        <v>B2B doelgroep: Secretaresses &amp; Office Managers</v>
      </c>
      <c r="L187" s="506">
        <f>IFERROR(__xludf.DUMMYFUNCTION("""COMPUTED_VALUE"""),1000.0)</f>
        <v>1000</v>
      </c>
      <c r="M187" s="504">
        <f>IFERROR(__xludf.DUMMYFUNCTION("""COMPUTED_VALUE"""),4.0)</f>
        <v>4</v>
      </c>
      <c r="N187" s="501" t="str">
        <f>IFERROR(__xludf.DUMMYFUNCTION("""COMPUTED_VALUE"""),"Geven/ontvangen")</f>
        <v>Geven/ontvangen</v>
      </c>
      <c r="O187" s="501" t="str">
        <f>IFERROR(__xludf.DUMMYFUNCTION("""COMPUTED_VALUE"""),"Facebook")</f>
        <v>Facebook</v>
      </c>
      <c r="P187" s="503" t="str">
        <f>IFERROR(__xludf.DUMMYFUNCTION("""COMPUTED_VALUE"""),"Facebook - B2B")</f>
        <v>Facebook - B2B</v>
      </c>
      <c r="Q187" s="501" t="str">
        <f>IFERROR(__xludf.DUMMYFUNCTION("""COMPUTED_VALUE"""),"Bereik")</f>
        <v>Bereik</v>
      </c>
      <c r="R187" s="501" t="str">
        <f>IFERROR(__xludf.DUMMYFUNCTION("""COMPUTED_VALUE"""),"Timeline")</f>
        <v>Timeline</v>
      </c>
      <c r="S187" s="503" t="str">
        <f>IFERROR(__xludf.DUMMYFUNCTION("""COMPUTED_VALUE"""),"")</f>
        <v/>
      </c>
      <c r="T187" s="503" t="str">
        <f>IFERROR(__xludf.DUMMYFUNCTION("""COMPUTED_VALUE"""),"utm_source=facebook&amp;utm_medium=socialmedia&amp;utm_campaign=facebook_-_b2b&amp;utm_content=secretaressedag-winactie2019&amp;referrer=facebook")</f>
        <v>utm_source=facebook&amp;utm_medium=socialmedia&amp;utm_campaign=facebook_-_b2b&amp;utm_content=secretaressedag-winactie2019&amp;referrer=facebook</v>
      </c>
    </row>
    <row r="188">
      <c r="A188" s="501" t="str">
        <f>IFERROR(__xludf.DUMMYFUNCTION("""COMPUTED_VALUE"""),"april")</f>
        <v>april</v>
      </c>
      <c r="B188" s="501">
        <f>IFERROR(__xludf.DUMMYFUNCTION("""COMPUTED_VALUE"""),15.0)</f>
        <v>15</v>
      </c>
      <c r="C188" s="501" t="str">
        <f>IFERROR(__xludf.DUMMYFUNCTION("""COMPUTED_VALUE"""),"dinsdag")</f>
        <v>dinsdag</v>
      </c>
      <c r="D188" s="502">
        <f>IFERROR(__xludf.DUMMYFUNCTION("""COMPUTED_VALUE"""),43564.0)</f>
        <v>43564</v>
      </c>
      <c r="E188" s="502">
        <f>IFERROR(__xludf.DUMMYFUNCTION("""COMPUTED_VALUE"""),43564.0)</f>
        <v>43564</v>
      </c>
      <c r="F188" s="501" t="str">
        <f>IFERROR(__xludf.DUMMYFUNCTION("""COMPUTED_VALUE"""),"")</f>
        <v/>
      </c>
      <c r="G188" s="503" t="str">
        <f>IFERROR(__xludf.DUMMYFUNCTION("""COMPUTED_VALUE"""),"")</f>
        <v/>
      </c>
      <c r="H188" s="501" t="str">
        <f>IFERROR(__xludf.DUMMYFUNCTION("""COMPUTED_VALUE"""),"")</f>
        <v/>
      </c>
      <c r="I188" s="503" t="str">
        <f>IFERROR(__xludf.DUMMYFUNCTION("""COMPUTED_VALUE"""),"")</f>
        <v/>
      </c>
      <c r="J188" s="501" t="str">
        <f>IFERROR(__xludf.DUMMYFUNCTION("""COMPUTED_VALUE"""),"")</f>
        <v/>
      </c>
      <c r="K188" s="503" t="str">
        <f>IFERROR(__xludf.DUMMYFUNCTION("""COMPUTED_VALUE"""),"")</f>
        <v/>
      </c>
      <c r="L188" s="501" t="str">
        <f>IFERROR(__xludf.DUMMYFUNCTION("""COMPUTED_VALUE"""),"")</f>
        <v/>
      </c>
      <c r="M188" s="504">
        <f>IFERROR(__xludf.DUMMYFUNCTION("""COMPUTED_VALUE"""),1.0)</f>
        <v>1</v>
      </c>
      <c r="N188" s="501" t="str">
        <f>IFERROR(__xludf.DUMMYFUNCTION("""COMPUTED_VALUE"""),"")</f>
        <v/>
      </c>
      <c r="O188" s="501" t="str">
        <f>IFERROR(__xludf.DUMMYFUNCTION("""COMPUTED_VALUE"""),"")</f>
        <v/>
      </c>
      <c r="P188" s="503" t="str">
        <f>IFERROR(__xludf.DUMMYFUNCTION("""COMPUTED_VALUE"""),"")</f>
        <v/>
      </c>
      <c r="Q188" s="501" t="str">
        <f>IFERROR(__xludf.DUMMYFUNCTION("""COMPUTED_VALUE"""),"")</f>
        <v/>
      </c>
      <c r="R188" s="501" t="str">
        <f>IFERROR(__xludf.DUMMYFUNCTION("""COMPUTED_VALUE"""),"")</f>
        <v/>
      </c>
      <c r="S188" s="503" t="str">
        <f>IFERROR(__xludf.DUMMYFUNCTION("""COMPUTED_VALUE"""),"")</f>
        <v/>
      </c>
      <c r="T188" s="503" t="str">
        <f>IFERROR(__xludf.DUMMYFUNCTION("""COMPUTED_VALUE"""),"utm_source=facebook&amp;utm_medium=socialmedia&amp;utm_campaign=&amp;utm_content=&amp;referrer=facebook")</f>
        <v>utm_source=facebook&amp;utm_medium=socialmedia&amp;utm_campaign=&amp;utm_content=&amp;referrer=facebook</v>
      </c>
    </row>
    <row r="189">
      <c r="A189" s="501" t="str">
        <f>IFERROR(__xludf.DUMMYFUNCTION("""COMPUTED_VALUE"""),"april")</f>
        <v>april</v>
      </c>
      <c r="B189" s="501">
        <f>IFERROR(__xludf.DUMMYFUNCTION("""COMPUTED_VALUE"""),15.0)</f>
        <v>15</v>
      </c>
      <c r="C189" s="501" t="str">
        <f>IFERROR(__xludf.DUMMYFUNCTION("""COMPUTED_VALUE"""),"woensdag")</f>
        <v>woensdag</v>
      </c>
      <c r="D189" s="502">
        <f>IFERROR(__xludf.DUMMYFUNCTION("""COMPUTED_VALUE"""),43565.0)</f>
        <v>43565</v>
      </c>
      <c r="E189" s="502">
        <f>IFERROR(__xludf.DUMMYFUNCTION("""COMPUTED_VALUE"""),43565.0)</f>
        <v>43565</v>
      </c>
      <c r="F189" s="501" t="str">
        <f>IFERROR(__xludf.DUMMYFUNCTION("""COMPUTED_VALUE"""),"")</f>
        <v/>
      </c>
      <c r="G189" s="503" t="str">
        <f>IFERROR(__xludf.DUMMYFUNCTION("""COMPUTED_VALUE"""),"")</f>
        <v/>
      </c>
      <c r="H189" s="501" t="str">
        <f>IFERROR(__xludf.DUMMYFUNCTION("""COMPUTED_VALUE"""),"")</f>
        <v/>
      </c>
      <c r="I189" s="503" t="str">
        <f>IFERROR(__xludf.DUMMYFUNCTION("""COMPUTED_VALUE"""),"")</f>
        <v/>
      </c>
      <c r="J189" s="501" t="str">
        <f>IFERROR(__xludf.DUMMYFUNCTION("""COMPUTED_VALUE"""),"")</f>
        <v/>
      </c>
      <c r="K189" s="503" t="str">
        <f>IFERROR(__xludf.DUMMYFUNCTION("""COMPUTED_VALUE"""),"")</f>
        <v/>
      </c>
      <c r="L189" s="501" t="str">
        <f>IFERROR(__xludf.DUMMYFUNCTION("""COMPUTED_VALUE"""),"")</f>
        <v/>
      </c>
      <c r="M189" s="504">
        <f>IFERROR(__xludf.DUMMYFUNCTION("""COMPUTED_VALUE"""),1.0)</f>
        <v>1</v>
      </c>
      <c r="N189" s="501" t="str">
        <f>IFERROR(__xludf.DUMMYFUNCTION("""COMPUTED_VALUE"""),"")</f>
        <v/>
      </c>
      <c r="O189" s="501" t="str">
        <f>IFERROR(__xludf.DUMMYFUNCTION("""COMPUTED_VALUE"""),"")</f>
        <v/>
      </c>
      <c r="P189" s="503" t="str">
        <f>IFERROR(__xludf.DUMMYFUNCTION("""COMPUTED_VALUE"""),"")</f>
        <v/>
      </c>
      <c r="Q189" s="501" t="str">
        <f>IFERROR(__xludf.DUMMYFUNCTION("""COMPUTED_VALUE"""),"")</f>
        <v/>
      </c>
      <c r="R189" s="501" t="str">
        <f>IFERROR(__xludf.DUMMYFUNCTION("""COMPUTED_VALUE"""),"")</f>
        <v/>
      </c>
      <c r="S189" s="503" t="str">
        <f>IFERROR(__xludf.DUMMYFUNCTION("""COMPUTED_VALUE"""),"")</f>
        <v/>
      </c>
      <c r="T189" s="503" t="str">
        <f>IFERROR(__xludf.DUMMYFUNCTION("""COMPUTED_VALUE"""),"utm_source=facebook&amp;utm_medium=socialmedia&amp;utm_campaign=&amp;utm_content=&amp;referrer=facebook")</f>
        <v>utm_source=facebook&amp;utm_medium=socialmedia&amp;utm_campaign=&amp;utm_content=&amp;referrer=facebook</v>
      </c>
    </row>
    <row r="190">
      <c r="A190" s="501" t="str">
        <f>IFERROR(__xludf.DUMMYFUNCTION("""COMPUTED_VALUE"""),"april")</f>
        <v>april</v>
      </c>
      <c r="B190" s="501">
        <f>IFERROR(__xludf.DUMMYFUNCTION("""COMPUTED_VALUE"""),15.0)</f>
        <v>15</v>
      </c>
      <c r="C190" s="501" t="str">
        <f>IFERROR(__xludf.DUMMYFUNCTION("""COMPUTED_VALUE"""),"donderdag")</f>
        <v>donderdag</v>
      </c>
      <c r="D190" s="502">
        <f>IFERROR(__xludf.DUMMYFUNCTION("""COMPUTED_VALUE"""),43566.0)</f>
        <v>43566</v>
      </c>
      <c r="E190" s="502">
        <f>IFERROR(__xludf.DUMMYFUNCTION("""COMPUTED_VALUE"""),43566.0)</f>
        <v>43566</v>
      </c>
      <c r="F190" s="501" t="str">
        <f>IFERROR(__xludf.DUMMYFUNCTION("""COMPUTED_VALUE"""),"")</f>
        <v/>
      </c>
      <c r="G190" s="503" t="str">
        <f>IFERROR(__xludf.DUMMYFUNCTION("""COMPUTED_VALUE"""),"")</f>
        <v/>
      </c>
      <c r="H190" s="501" t="str">
        <f>IFERROR(__xludf.DUMMYFUNCTION("""COMPUTED_VALUE"""),"Secretaressedag - LinkedIn ")</f>
        <v>Secretaressedag - LinkedIn </v>
      </c>
      <c r="I190" s="503" t="str">
        <f>IFERROR(__xludf.DUMMYFUNCTION("""COMPUTED_VALUE"""),"Hoe zorg je dat niemand Secretaressedag vergeet? Met 'n pot vol mintjes uhh... hintjes 😉 Win 1 van de 100 gratis snoeppotten met subtiele hint via: http://bit.ly/win-snoeppot. P.S. meedoen kan tot en met 11 april")</f>
        <v>Hoe zorg je dat niemand Secretaressedag vergeet? Met 'n pot vol mintjes uhh... hintjes 😉 Win 1 van de 100 gratis snoeppotten met subtiele hint via: http://bit.ly/win-snoeppot. P.S. meedoen kan tot en met 11 april</v>
      </c>
      <c r="J190" s="501" t="str">
        <f>IFERROR(__xludf.DUMMYFUNCTION("""COMPUTED_VALUE"""),"")</f>
        <v/>
      </c>
      <c r="K190" s="503" t="str">
        <f>IFERROR(__xludf.DUMMYFUNCTION("""COMPUTED_VALUE"""),"")</f>
        <v/>
      </c>
      <c r="L190" s="506">
        <f>IFERROR(__xludf.DUMMYFUNCTION("""COMPUTED_VALUE"""),250.0)</f>
        <v>250</v>
      </c>
      <c r="M190" s="504">
        <f>IFERROR(__xludf.DUMMYFUNCTION("""COMPUTED_VALUE"""),1.0)</f>
        <v>1</v>
      </c>
      <c r="N190" s="501" t="str">
        <f>IFERROR(__xludf.DUMMYFUNCTION("""COMPUTED_VALUE"""),"Geven/ontvangen")</f>
        <v>Geven/ontvangen</v>
      </c>
      <c r="O190" s="501" t="str">
        <f>IFERROR(__xludf.DUMMYFUNCTION("""COMPUTED_VALUE"""),"")</f>
        <v/>
      </c>
      <c r="P190" s="503" t="str">
        <f>IFERROR(__xludf.DUMMYFUNCTION("""COMPUTED_VALUE"""),"LinkedIn - B2B")</f>
        <v>LinkedIn - B2B</v>
      </c>
      <c r="Q190" s="501" t="str">
        <f>IFERROR(__xludf.DUMMYFUNCTION("""COMPUTED_VALUE"""),"Bereik")</f>
        <v>Bereik</v>
      </c>
      <c r="R190" s="501" t="str">
        <f>IFERROR(__xludf.DUMMYFUNCTION("""COMPUTED_VALUE"""),"")</f>
        <v/>
      </c>
      <c r="S190" s="503" t="str">
        <f>IFERROR(__xludf.DUMMYFUNCTION("""COMPUTED_VALUE"""),"")</f>
        <v/>
      </c>
      <c r="T190" s="503" t="str">
        <f>IFERROR(__xludf.DUMMYFUNCTION("""COMPUTED_VALUE"""),"utm_source=facebook&amp;utm_medium=socialmedia&amp;utm_campaign=linkedin_-_b2b&amp;utm_content=secretaressedag-linkedin&amp;referrer=facebook")</f>
        <v>utm_source=facebook&amp;utm_medium=socialmedia&amp;utm_campaign=linkedin_-_b2b&amp;utm_content=secretaressedag-linkedin&amp;referrer=facebook</v>
      </c>
    </row>
    <row r="191">
      <c r="A191" s="501" t="str">
        <f>IFERROR(__xludf.DUMMYFUNCTION("""COMPUTED_VALUE"""),"april")</f>
        <v>april</v>
      </c>
      <c r="B191" s="501">
        <f>IFERROR(__xludf.DUMMYFUNCTION("""COMPUTED_VALUE"""),15.0)</f>
        <v>15</v>
      </c>
      <c r="C191" s="501" t="str">
        <f>IFERROR(__xludf.DUMMYFUNCTION("""COMPUTED_VALUE"""),"donderdag")</f>
        <v>donderdag</v>
      </c>
      <c r="D191" s="502">
        <f>IFERROR(__xludf.DUMMYFUNCTION("""COMPUTED_VALUE"""),43566.0)</f>
        <v>43566</v>
      </c>
      <c r="E191" s="502">
        <f>IFERROR(__xludf.DUMMYFUNCTION("""COMPUTED_VALUE"""),43572.0)</f>
        <v>43572</v>
      </c>
      <c r="F191" s="501" t="str">
        <f>IFERROR(__xludf.DUMMYFUNCTION("""COMPUTED_VALUE"""),"")</f>
        <v/>
      </c>
      <c r="G191" s="503" t="str">
        <f>IFERROR(__xludf.DUMMYFUNCTION("""COMPUTED_VALUE"""),"")</f>
        <v/>
      </c>
      <c r="H191" s="501" t="str">
        <f>IFERROR(__xludf.DUMMYFUNCTION("""COMPUTED_VALUE"""),"Special Delivery - 35")</f>
        <v>Special Delivery - 35</v>
      </c>
      <c r="I191" s="503" t="str">
        <f>IFERROR(__xludf.DUMMYFUNCTION("""COMPUTED_VALUE"""),"Een meisjesdroom die uitkomt 👰 Zo kijkt Piek terug op deze nieuwe Special Delivery aflevering. Kijk je mee hoe zij het team van Delia verrast? 🎁🙂")</f>
        <v>Een meisjesdroom die uitkomt 👰 Zo kijkt Piek terug op deze nieuwe Special Delivery aflevering. Kijk je mee hoe zij het team van Delia verrast? 🎁🙂</v>
      </c>
      <c r="J191" s="501" t="str">
        <f>IFERROR(__xludf.DUMMYFUNCTION("""COMPUTED_VALUE"""),"Staat klaar")</f>
        <v>Staat klaar</v>
      </c>
      <c r="K191" s="503" t="str">
        <f>IFERROR(__xludf.DUMMYFUNCTION("""COMPUTED_VALUE"""),"")</f>
        <v/>
      </c>
      <c r="L191" s="506">
        <f>IFERROR(__xludf.DUMMYFUNCTION("""COMPUTED_VALUE"""),1500.0)</f>
        <v>1500</v>
      </c>
      <c r="M191" s="501" t="str">
        <f>IFERROR(__xludf.DUMMYFUNCTION("""COMPUTED_VALUE"""),"")</f>
        <v/>
      </c>
      <c r="N191" s="501" t="str">
        <f>IFERROR(__xludf.DUMMYFUNCTION("""COMPUTED_VALUE"""),"Merk")</f>
        <v>Merk</v>
      </c>
      <c r="O191" s="501" t="str">
        <f>IFERROR(__xludf.DUMMYFUNCTION("""COMPUTED_VALUE"""),"")</f>
        <v/>
      </c>
      <c r="P191" s="503" t="str">
        <f>IFERROR(__xludf.DUMMYFUNCTION("""COMPUTED_VALUE"""),"Special delivery - FB &amp; IG")</f>
        <v>Special delivery - FB &amp; IG</v>
      </c>
      <c r="Q191" s="501" t="str">
        <f>IFERROR(__xludf.DUMMYFUNCTION("""COMPUTED_VALUE"""),"Bereik")</f>
        <v>Bereik</v>
      </c>
      <c r="R191" s="501" t="str">
        <f>IFERROR(__xludf.DUMMYFUNCTION("""COMPUTED_VALUE"""),"")</f>
        <v/>
      </c>
      <c r="S191" s="503" t="str">
        <f>IFERROR(__xludf.DUMMYFUNCTION("""COMPUTED_VALUE"""),"")</f>
        <v/>
      </c>
      <c r="T191" s="503" t="str">
        <f>IFERROR(__xludf.DUMMYFUNCTION("""COMPUTED_VALUE"""),"")</f>
        <v/>
      </c>
    </row>
    <row r="192">
      <c r="A192" s="501" t="str">
        <f>IFERROR(__xludf.DUMMYFUNCTION("""COMPUTED_VALUE"""),"april")</f>
        <v>april</v>
      </c>
      <c r="B192" s="501">
        <f>IFERROR(__xludf.DUMMYFUNCTION("""COMPUTED_VALUE"""),15.0)</f>
        <v>15</v>
      </c>
      <c r="C192" s="501" t="str">
        <f>IFERROR(__xludf.DUMMYFUNCTION("""COMPUTED_VALUE"""),"donderdag")</f>
        <v>donderdag</v>
      </c>
      <c r="D192" s="502">
        <f>IFERROR(__xludf.DUMMYFUNCTION("""COMPUTED_VALUE"""),43566.0)</f>
        <v>43566</v>
      </c>
      <c r="E192" s="502">
        <f>IFERROR(__xludf.DUMMYFUNCTION("""COMPUTED_VALUE"""),43572.0)</f>
        <v>43572</v>
      </c>
      <c r="F192" s="501" t="str">
        <f>IFERROR(__xludf.DUMMYFUNCTION("""COMPUTED_VALUE"""),"")</f>
        <v/>
      </c>
      <c r="G192" s="503" t="str">
        <f>IFERROR(__xludf.DUMMYFUNCTION("""COMPUTED_VALUE"""),"")</f>
        <v/>
      </c>
      <c r="H192" s="501" t="str">
        <f>IFERROR(__xludf.DUMMYFUNCTION("""COMPUTED_VALUE"""),"Special Delivery - 35")</f>
        <v>Special Delivery - 35</v>
      </c>
      <c r="I192" s="503" t="str">
        <f>IFERROR(__xludf.DUMMYFUNCTION("""COMPUTED_VALUE"""),"Een meisjesdroom die uitkomt 👰 Zo kijkt Piek terug op deze nieuwe Special Delivery aflevering. Kijk je mee hoe zij het team van Delia verrast? 🎁🙂")</f>
        <v>Een meisjesdroom die uitkomt 👰 Zo kijkt Piek terug op deze nieuwe Special Delivery aflevering. Kijk je mee hoe zij het team van Delia verrast? 🎁🙂</v>
      </c>
      <c r="J192" s="501" t="str">
        <f>IFERROR(__xludf.DUMMYFUNCTION("""COMPUTED_VALUE"""),"Staat klaar")</f>
        <v>Staat klaar</v>
      </c>
      <c r="K192" s="503" t="str">
        <f>IFERROR(__xludf.DUMMYFUNCTION("""COMPUTED_VALUE"""),"")</f>
        <v/>
      </c>
      <c r="L192" s="506">
        <f>IFERROR(__xludf.DUMMYFUNCTION("""COMPUTED_VALUE"""),1500.0)</f>
        <v>1500</v>
      </c>
      <c r="M192" s="501" t="str">
        <f>IFERROR(__xludf.DUMMYFUNCTION("""COMPUTED_VALUE"""),"")</f>
        <v/>
      </c>
      <c r="N192" s="501" t="str">
        <f>IFERROR(__xludf.DUMMYFUNCTION("""COMPUTED_VALUE"""),"Merk")</f>
        <v>Merk</v>
      </c>
      <c r="O192" s="501" t="str">
        <f>IFERROR(__xludf.DUMMYFUNCTION("""COMPUTED_VALUE"""),"")</f>
        <v/>
      </c>
      <c r="P192" s="503" t="str">
        <f>IFERROR(__xludf.DUMMYFUNCTION("""COMPUTED_VALUE"""),"Special delivery - YouTube")</f>
        <v>Special delivery - YouTube</v>
      </c>
      <c r="Q192" s="501" t="str">
        <f>IFERROR(__xludf.DUMMYFUNCTION("""COMPUTED_VALUE"""),"Bereik")</f>
        <v>Bereik</v>
      </c>
      <c r="R192" s="501" t="str">
        <f>IFERROR(__xludf.DUMMYFUNCTION("""COMPUTED_VALUE"""),"")</f>
        <v/>
      </c>
      <c r="S192" s="503" t="str">
        <f>IFERROR(__xludf.DUMMYFUNCTION("""COMPUTED_VALUE"""),"")</f>
        <v/>
      </c>
      <c r="T192" s="503" t="str">
        <f>IFERROR(__xludf.DUMMYFUNCTION("""COMPUTED_VALUE"""),"")</f>
        <v/>
      </c>
    </row>
    <row r="193">
      <c r="A193" s="501" t="str">
        <f>IFERROR(__xludf.DUMMYFUNCTION("""COMPUTED_VALUE"""),"april")</f>
        <v>april</v>
      </c>
      <c r="B193" s="501">
        <f>IFERROR(__xludf.DUMMYFUNCTION("""COMPUTED_VALUE"""),15.0)</f>
        <v>15</v>
      </c>
      <c r="C193" s="501" t="str">
        <f>IFERROR(__xludf.DUMMYFUNCTION("""COMPUTED_VALUE"""),"vrijdag")</f>
        <v>vrijdag</v>
      </c>
      <c r="D193" s="502">
        <f>IFERROR(__xludf.DUMMYFUNCTION("""COMPUTED_VALUE"""),43567.0)</f>
        <v>43567</v>
      </c>
      <c r="E193" s="502">
        <f>IFERROR(__xludf.DUMMYFUNCTION("""COMPUTED_VALUE"""),43567.0)</f>
        <v>43567</v>
      </c>
      <c r="F193" s="501" t="str">
        <f>IFERROR(__xludf.DUMMYFUNCTION("""COMPUTED_VALUE"""),"")</f>
        <v/>
      </c>
      <c r="G193" s="503" t="str">
        <f>IFERROR(__xludf.DUMMYFUNCTION("""COMPUTED_VALUE"""),"")</f>
        <v/>
      </c>
      <c r="H193" s="501" t="str">
        <f>IFERROR(__xludf.DUMMYFUNCTION("""COMPUTED_VALUE"""),"Dag van de drop")</f>
        <v>Dag van de drop</v>
      </c>
      <c r="I193" s="503" t="str">
        <f>IFERROR(__xludf.DUMMYFUNCTION("""COMPUTED_VALUE"""),"")</f>
        <v/>
      </c>
      <c r="J193" s="501" t="str">
        <f>IFERROR(__xludf.DUMMYFUNCTION("""COMPUTED_VALUE"""),"")</f>
        <v/>
      </c>
      <c r="K193" s="503" t="str">
        <f>IFERROR(__xludf.DUMMYFUNCTION("""COMPUTED_VALUE"""),"")</f>
        <v/>
      </c>
      <c r="L193" s="506">
        <f>IFERROR(__xludf.DUMMYFUNCTION("""COMPUTED_VALUE"""),250.0)</f>
        <v>250</v>
      </c>
      <c r="M193" s="504">
        <f>IFERROR(__xludf.DUMMYFUNCTION("""COMPUTED_VALUE"""),1.0)</f>
        <v>1</v>
      </c>
      <c r="N193" s="501" t="str">
        <f>IFERROR(__xludf.DUMMYFUNCTION("""COMPUTED_VALUE"""),"")</f>
        <v/>
      </c>
      <c r="O193" s="501" t="str">
        <f>IFERROR(__xludf.DUMMYFUNCTION("""COMPUTED_VALUE"""),"")</f>
        <v/>
      </c>
      <c r="P193" s="503" t="str">
        <f>IFERROR(__xludf.DUMMYFUNCTION("""COMPUTED_VALUE"""),"Facebook - See - Retailcampaigning &amp; contentkalender")</f>
        <v>Facebook - See - Retailcampaigning &amp; contentkalender</v>
      </c>
      <c r="Q193" s="501" t="str">
        <f>IFERROR(__xludf.DUMMYFUNCTION("""COMPUTED_VALUE"""),"")</f>
        <v/>
      </c>
      <c r="R193" s="501" t="str">
        <f>IFERROR(__xludf.DUMMYFUNCTION("""COMPUTED_VALUE"""),"")</f>
        <v/>
      </c>
      <c r="S193" s="503" t="str">
        <f>IFERROR(__xludf.DUMMYFUNCTION("""COMPUTED_VALUE"""),"")</f>
        <v/>
      </c>
      <c r="T193" s="503" t="str">
        <f>IFERROR(__xludf.DUMMYFUNCTION("""COMPUTED_VALUE"""),"utm_source=facebook&amp;utm_medium=socialmedia&amp;utm_campaign=facebook_-_see_-_retailcampaigning_&amp;_contentkalender&amp;utm_content=dagvandedrop&amp;referrer=facebook")</f>
        <v>utm_source=facebook&amp;utm_medium=socialmedia&amp;utm_campaign=facebook_-_see_-_retailcampaigning_&amp;_contentkalender&amp;utm_content=dagvandedrop&amp;referrer=facebook</v>
      </c>
    </row>
    <row r="194">
      <c r="A194" s="501" t="str">
        <f>IFERROR(__xludf.DUMMYFUNCTION("""COMPUTED_VALUE"""),"april")</f>
        <v>april</v>
      </c>
      <c r="B194" s="501">
        <f>IFERROR(__xludf.DUMMYFUNCTION("""COMPUTED_VALUE"""),15.0)</f>
        <v>15</v>
      </c>
      <c r="C194" s="501" t="str">
        <f>IFERROR(__xludf.DUMMYFUNCTION("""COMPUTED_VALUE"""),"zaterdag")</f>
        <v>zaterdag</v>
      </c>
      <c r="D194" s="502">
        <f>IFERROR(__xludf.DUMMYFUNCTION("""COMPUTED_VALUE"""),43568.0)</f>
        <v>43568</v>
      </c>
      <c r="E194" s="502">
        <f>IFERROR(__xludf.DUMMYFUNCTION("""COMPUTED_VALUE"""),43568.0)</f>
        <v>43568</v>
      </c>
      <c r="F194" s="501" t="str">
        <f>IFERROR(__xludf.DUMMYFUNCTION("""COMPUTED_VALUE"""),"")</f>
        <v/>
      </c>
      <c r="G194" s="503" t="str">
        <f>IFERROR(__xludf.DUMMYFUNCTION("""COMPUTED_VALUE"""),"")</f>
        <v/>
      </c>
      <c r="H194" s="501" t="str">
        <f>IFERROR(__xludf.DUMMYFUNCTION("""COMPUTED_VALUE"""),"Ballonnen")</f>
        <v>Ballonnen</v>
      </c>
      <c r="I194" s="503" t="str">
        <f>IFERROR(__xludf.DUMMYFUNCTION("""COMPUTED_VALUE"""),"Hoog, hoger, hoogst! ️🎈 De allerleukste, kleurrijkste én vrolijkste ballonnen vind je natuurlijk bij ons. Bekijk ze hier: Extra leuk: dit weekend betalen wij de bezorgkosten 🤗")</f>
        <v>Hoog, hoger, hoogst! ️🎈 De allerleukste, kleurrijkste én vrolijkste ballonnen vind je natuurlijk bij ons. Bekijk ze hier: Extra leuk: dit weekend betalen wij de bezorgkosten 🤗</v>
      </c>
      <c r="J194" s="501" t="str">
        <f>IFERROR(__xludf.DUMMYFUNCTION("""COMPUTED_VALUE"""),"Staat klaar")</f>
        <v>Staat klaar</v>
      </c>
      <c r="K194" s="505" t="str">
        <f>IFERROR(__xludf.DUMMYFUNCTION("""COMPUTED_VALUE""")," Klanten ")</f>
        <v>Klanten</v>
      </c>
      <c r="L194" s="506">
        <f>IFERROR(__xludf.DUMMYFUNCTION("""COMPUTED_VALUE"""),400.0)</f>
        <v>400</v>
      </c>
      <c r="M194" s="504">
        <f>IFERROR(__xludf.DUMMYFUNCTION("""COMPUTED_VALUE"""),1.0)</f>
        <v>1</v>
      </c>
      <c r="N194" s="501" t="str">
        <f>IFERROR(__xludf.DUMMYFUNCTION("""COMPUTED_VALUE"""),"Product")</f>
        <v>Product</v>
      </c>
      <c r="O194" s="501" t="str">
        <f>IFERROR(__xludf.DUMMYFUNCTION("""COMPUTED_VALUE"""),"")</f>
        <v/>
      </c>
      <c r="P194" s="503" t="str">
        <f>IFERROR(__xludf.DUMMYFUNCTION("""COMPUTED_VALUE"""),"Facebook - See - Retailcampaigning &amp; contentkalender")</f>
        <v>Facebook - See - Retailcampaigning &amp; contentkalender</v>
      </c>
      <c r="Q194" s="501" t="str">
        <f>IFERROR(__xludf.DUMMYFUNCTION("""COMPUTED_VALUE"""),"")</f>
        <v/>
      </c>
      <c r="R194" s="501" t="str">
        <f>IFERROR(__xludf.DUMMYFUNCTION("""COMPUTED_VALUE"""),"")</f>
        <v/>
      </c>
      <c r="S194" s="503" t="str">
        <f>IFERROR(__xludf.DUMMYFUNCTION("""COMPUTED_VALUE"""),"")</f>
        <v/>
      </c>
      <c r="T194" s="503" t="str">
        <f>IFERROR(__xludf.DUMMYFUNCTION("""COMPUTED_VALUE"""),"utm_source=facebook&amp;utm_medium=socialmedia&amp;utm_campaign=facebook_-_see_-_retailcampaigning_&amp;_contentkalender&amp;utm_content=ballonnen&amp;referrer=facebook")</f>
        <v>utm_source=facebook&amp;utm_medium=socialmedia&amp;utm_campaign=facebook_-_see_-_retailcampaigning_&amp;_contentkalender&amp;utm_content=ballonnen&amp;referrer=facebook</v>
      </c>
    </row>
    <row r="195">
      <c r="A195" s="501" t="str">
        <f>IFERROR(__xludf.DUMMYFUNCTION("""COMPUTED_VALUE"""),"april")</f>
        <v>april</v>
      </c>
      <c r="B195" s="501">
        <f>IFERROR(__xludf.DUMMYFUNCTION("""COMPUTED_VALUE"""),16.0)</f>
        <v>16</v>
      </c>
      <c r="C195" s="501" t="str">
        <f>IFERROR(__xludf.DUMMYFUNCTION("""COMPUTED_VALUE"""),"zondag")</f>
        <v>zondag</v>
      </c>
      <c r="D195" s="502">
        <f>IFERROR(__xludf.DUMMYFUNCTION("""COMPUTED_VALUE"""),43569.0)</f>
        <v>43569</v>
      </c>
      <c r="E195" s="502">
        <f>IFERROR(__xludf.DUMMYFUNCTION("""COMPUTED_VALUE"""),43569.0)</f>
        <v>43569</v>
      </c>
      <c r="F195" s="501" t="str">
        <f>IFERROR(__xludf.DUMMYFUNCTION("""COMPUTED_VALUE"""),"")</f>
        <v/>
      </c>
      <c r="G195" s="503" t="str">
        <f>IFERROR(__xludf.DUMMYFUNCTION("""COMPUTED_VALUE"""),"")</f>
        <v/>
      </c>
      <c r="H195" s="501" t="str">
        <f>IFERROR(__xludf.DUMMYFUNCTION("""COMPUTED_VALUE"""),"")</f>
        <v/>
      </c>
      <c r="I195" s="503" t="str">
        <f>IFERROR(__xludf.DUMMYFUNCTION("""COMPUTED_VALUE"""),"")</f>
        <v/>
      </c>
      <c r="J195" s="501" t="str">
        <f>IFERROR(__xludf.DUMMYFUNCTION("""COMPUTED_VALUE"""),"")</f>
        <v/>
      </c>
      <c r="K195" s="503" t="str">
        <f>IFERROR(__xludf.DUMMYFUNCTION("""COMPUTED_VALUE"""),"")</f>
        <v/>
      </c>
      <c r="L195" s="501" t="str">
        <f>IFERROR(__xludf.DUMMYFUNCTION("""COMPUTED_VALUE"""),"")</f>
        <v/>
      </c>
      <c r="M195" s="504">
        <f>IFERROR(__xludf.DUMMYFUNCTION("""COMPUTED_VALUE"""),1.0)</f>
        <v>1</v>
      </c>
      <c r="N195" s="501" t="str">
        <f>IFERROR(__xludf.DUMMYFUNCTION("""COMPUTED_VALUE"""),"")</f>
        <v/>
      </c>
      <c r="O195" s="501" t="str">
        <f>IFERROR(__xludf.DUMMYFUNCTION("""COMPUTED_VALUE"""),"")</f>
        <v/>
      </c>
      <c r="P195" s="503" t="str">
        <f>IFERROR(__xludf.DUMMYFUNCTION("""COMPUTED_VALUE"""),"")</f>
        <v/>
      </c>
      <c r="Q195" s="501" t="str">
        <f>IFERROR(__xludf.DUMMYFUNCTION("""COMPUTED_VALUE"""),"")</f>
        <v/>
      </c>
      <c r="R195" s="501" t="str">
        <f>IFERROR(__xludf.DUMMYFUNCTION("""COMPUTED_VALUE"""),"")</f>
        <v/>
      </c>
      <c r="S195" s="503" t="str">
        <f>IFERROR(__xludf.DUMMYFUNCTION("""COMPUTED_VALUE"""),"")</f>
        <v/>
      </c>
      <c r="T195" s="503" t="str">
        <f>IFERROR(__xludf.DUMMYFUNCTION("""COMPUTED_VALUE"""),"utm_source=facebook&amp;utm_medium=socialmedia&amp;utm_campaign=&amp;utm_content=&amp;referrer=facebook")</f>
        <v>utm_source=facebook&amp;utm_medium=socialmedia&amp;utm_campaign=&amp;utm_content=&amp;referrer=facebook</v>
      </c>
    </row>
    <row r="196">
      <c r="A196" s="501" t="str">
        <f>IFERROR(__xludf.DUMMYFUNCTION("""COMPUTED_VALUE"""),"april")</f>
        <v>april</v>
      </c>
      <c r="B196" s="501">
        <f>IFERROR(__xludf.DUMMYFUNCTION("""COMPUTED_VALUE"""),16.0)</f>
        <v>16</v>
      </c>
      <c r="C196" s="501" t="str">
        <f>IFERROR(__xludf.DUMMYFUNCTION("""COMPUTED_VALUE"""),"maandag")</f>
        <v>maandag</v>
      </c>
      <c r="D196" s="502">
        <f>IFERROR(__xludf.DUMMYFUNCTION("""COMPUTED_VALUE"""),43570.0)</f>
        <v>43570</v>
      </c>
      <c r="E196" s="502">
        <f>IFERROR(__xludf.DUMMYFUNCTION("""COMPUTED_VALUE"""),43576.0)</f>
        <v>43576</v>
      </c>
      <c r="F196" s="501" t="str">
        <f>IFERROR(__xludf.DUMMYFUNCTION("""COMPUTED_VALUE"""),"")</f>
        <v/>
      </c>
      <c r="G196" s="503" t="str">
        <f>IFERROR(__xludf.DUMMYFUNCTION("""COMPUTED_VALUE"""),"Paasassortiment")</f>
        <v>Paasassortiment</v>
      </c>
      <c r="H196" s="501" t="str">
        <f>IFERROR(__xludf.DUMMYFUNCTION("""COMPUTED_VALUE"""),"Uitnodigingen 30 korting test")</f>
        <v>Uitnodigingen 30 korting test</v>
      </c>
      <c r="I196" s="503" t="str">
        <f>IFERROR(__xludf.DUMMYFUNCTION("""COMPUTED_VALUE"""),"Waar is dat feestje? Hier is dat feestje ️😉🎉 Deze week krijg je namelijk met code XXXXX 30% korting op álle (foto)uitnodigingen. ")</f>
        <v>Waar is dat feestje? Hier is dat feestje ️😉🎉 Deze week krijg je namelijk met code XXXXX 30% korting op álle (foto)uitnodigingen. </v>
      </c>
      <c r="J196" s="501" t="str">
        <f>IFERROR(__xludf.DUMMYFUNCTION("""COMPUTED_VALUE"""),"Staat klaar")</f>
        <v>Staat klaar</v>
      </c>
      <c r="K196" s="505" t="str">
        <f>IFERROR(__xludf.DUMMYFUNCTION("""COMPUTED_VALUE""")," Zelf jarig binnen 30 dagen ")</f>
        <v>Zelf jarig binnen 30 dagen</v>
      </c>
      <c r="L196" s="506">
        <f>IFERROR(__xludf.DUMMYFUNCTION("""COMPUTED_VALUE"""),750.0)</f>
        <v>750</v>
      </c>
      <c r="M196" s="504">
        <f>IFERROR(__xludf.DUMMYFUNCTION("""COMPUTED_VALUE"""),7.0)</f>
        <v>7</v>
      </c>
      <c r="N196" s="501" t="str">
        <f>IFERROR(__xludf.DUMMYFUNCTION("""COMPUTED_VALUE"""),"Product")</f>
        <v>Product</v>
      </c>
      <c r="O196" s="501" t="str">
        <f>IFERROR(__xludf.DUMMYFUNCTION("""COMPUTED_VALUE"""),"Facebook")</f>
        <v>Facebook</v>
      </c>
      <c r="P196" s="503" t="str">
        <f>IFERROR(__xludf.DUMMYFUNCTION("""COMPUTED_VALUE"""),"")</f>
        <v/>
      </c>
      <c r="Q196" s="501" t="str">
        <f>IFERROR(__xludf.DUMMYFUNCTION("""COMPUTED_VALUE"""),"")</f>
        <v/>
      </c>
      <c r="R196" s="501" t="str">
        <f>IFERROR(__xludf.DUMMYFUNCTION("""COMPUTED_VALUE"""),"")</f>
        <v/>
      </c>
      <c r="S196" s="503" t="str">
        <f>IFERROR(__xludf.DUMMYFUNCTION("""COMPUTED_VALUE"""),"")</f>
        <v/>
      </c>
      <c r="T196" s="503" t="str">
        <f>IFERROR(__xludf.DUMMYFUNCTION("""COMPUTED_VALUE"""),"utm_source=facebook&amp;utm_medium=socialmedia&amp;utm_campaign=&amp;utm_content=uitnodigingen30kortingtest&amp;referrer=facebook")</f>
        <v>utm_source=facebook&amp;utm_medium=socialmedia&amp;utm_campaign=&amp;utm_content=uitnodigingen30kortingtest&amp;referrer=facebook</v>
      </c>
    </row>
    <row r="197">
      <c r="A197" s="501" t="str">
        <f>IFERROR(__xludf.DUMMYFUNCTION("""COMPUTED_VALUE"""),"april")</f>
        <v>april</v>
      </c>
      <c r="B197" s="501">
        <f>IFERROR(__xludf.DUMMYFUNCTION("""COMPUTED_VALUE"""),16.0)</f>
        <v>16</v>
      </c>
      <c r="C197" s="501" t="str">
        <f>IFERROR(__xludf.DUMMYFUNCTION("""COMPUTED_VALUE"""),"dinsdag")</f>
        <v>dinsdag</v>
      </c>
      <c r="D197" s="502">
        <f>IFERROR(__xludf.DUMMYFUNCTION("""COMPUTED_VALUE"""),43571.0)</f>
        <v>43571</v>
      </c>
      <c r="E197" s="502">
        <f>IFERROR(__xludf.DUMMYFUNCTION("""COMPUTED_VALUE"""),43571.0)</f>
        <v>43571</v>
      </c>
      <c r="F197" s="501" t="str">
        <f>IFERROR(__xludf.DUMMYFUNCTION("""COMPUTED_VALUE"""),"")</f>
        <v/>
      </c>
      <c r="G197" s="503" t="str">
        <f>IFERROR(__xludf.DUMMYFUNCTION("""COMPUTED_VALUE"""),"")</f>
        <v/>
      </c>
      <c r="H197" s="501" t="str">
        <f>IFERROR(__xludf.DUMMYFUNCTION("""COMPUTED_VALUE"""),"")</f>
        <v/>
      </c>
      <c r="I197" s="503" t="str">
        <f>IFERROR(__xludf.DUMMYFUNCTION("""COMPUTED_VALUE"""),"")</f>
        <v/>
      </c>
      <c r="J197" s="501" t="str">
        <f>IFERROR(__xludf.DUMMYFUNCTION("""COMPUTED_VALUE"""),"")</f>
        <v/>
      </c>
      <c r="K197" s="503" t="str">
        <f>IFERROR(__xludf.DUMMYFUNCTION("""COMPUTED_VALUE"""),"")</f>
        <v/>
      </c>
      <c r="L197" s="501" t="str">
        <f>IFERROR(__xludf.DUMMYFUNCTION("""COMPUTED_VALUE"""),"")</f>
        <v/>
      </c>
      <c r="M197" s="504">
        <f>IFERROR(__xludf.DUMMYFUNCTION("""COMPUTED_VALUE"""),1.0)</f>
        <v>1</v>
      </c>
      <c r="N197" s="501" t="str">
        <f>IFERROR(__xludf.DUMMYFUNCTION("""COMPUTED_VALUE"""),"")</f>
        <v/>
      </c>
      <c r="O197" s="501" t="str">
        <f>IFERROR(__xludf.DUMMYFUNCTION("""COMPUTED_VALUE"""),"")</f>
        <v/>
      </c>
      <c r="P197" s="503" t="str">
        <f>IFERROR(__xludf.DUMMYFUNCTION("""COMPUTED_VALUE"""),"")</f>
        <v/>
      </c>
      <c r="Q197" s="501" t="str">
        <f>IFERROR(__xludf.DUMMYFUNCTION("""COMPUTED_VALUE"""),"")</f>
        <v/>
      </c>
      <c r="R197" s="501" t="str">
        <f>IFERROR(__xludf.DUMMYFUNCTION("""COMPUTED_VALUE"""),"")</f>
        <v/>
      </c>
      <c r="S197" s="503" t="str">
        <f>IFERROR(__xludf.DUMMYFUNCTION("""COMPUTED_VALUE"""),"")</f>
        <v/>
      </c>
      <c r="T197" s="503" t="str">
        <f>IFERROR(__xludf.DUMMYFUNCTION("""COMPUTED_VALUE"""),"utm_source=facebook&amp;utm_medium=socialmedia&amp;utm_campaign=&amp;utm_content=&amp;referrer=facebook")</f>
        <v>utm_source=facebook&amp;utm_medium=socialmedia&amp;utm_campaign=&amp;utm_content=&amp;referrer=facebook</v>
      </c>
    </row>
    <row r="198">
      <c r="A198" s="501" t="str">
        <f>IFERROR(__xludf.DUMMYFUNCTION("""COMPUTED_VALUE"""),"april")</f>
        <v>april</v>
      </c>
      <c r="B198" s="501">
        <f>IFERROR(__xludf.DUMMYFUNCTION("""COMPUTED_VALUE"""),16.0)</f>
        <v>16</v>
      </c>
      <c r="C198" s="501" t="str">
        <f>IFERROR(__xludf.DUMMYFUNCTION("""COMPUTED_VALUE"""),"woensdag")</f>
        <v>woensdag</v>
      </c>
      <c r="D198" s="502">
        <f>IFERROR(__xludf.DUMMYFUNCTION("""COMPUTED_VALUE"""),43572.0)</f>
        <v>43572</v>
      </c>
      <c r="E198" s="502">
        <f>IFERROR(__xludf.DUMMYFUNCTION("""COMPUTED_VALUE"""),43572.0)</f>
        <v>43572</v>
      </c>
      <c r="F198" s="501" t="str">
        <f>IFERROR(__xludf.DUMMYFUNCTION("""COMPUTED_VALUE"""),"")</f>
        <v/>
      </c>
      <c r="G198" s="503" t="str">
        <f>IFERROR(__xludf.DUMMYFUNCTION("""COMPUTED_VALUE"""),"")</f>
        <v/>
      </c>
      <c r="H198" s="501" t="str">
        <f>IFERROR(__xludf.DUMMYFUNCTION("""COMPUTED_VALUE"""),"")</f>
        <v/>
      </c>
      <c r="I198" s="503" t="str">
        <f>IFERROR(__xludf.DUMMYFUNCTION("""COMPUTED_VALUE"""),"")</f>
        <v/>
      </c>
      <c r="J198" s="501" t="str">
        <f>IFERROR(__xludf.DUMMYFUNCTION("""COMPUTED_VALUE"""),"")</f>
        <v/>
      </c>
      <c r="K198" s="503" t="str">
        <f>IFERROR(__xludf.DUMMYFUNCTION("""COMPUTED_VALUE"""),"")</f>
        <v/>
      </c>
      <c r="L198" s="501" t="str">
        <f>IFERROR(__xludf.DUMMYFUNCTION("""COMPUTED_VALUE"""),"")</f>
        <v/>
      </c>
      <c r="M198" s="504">
        <f>IFERROR(__xludf.DUMMYFUNCTION("""COMPUTED_VALUE"""),1.0)</f>
        <v>1</v>
      </c>
      <c r="N198" s="501" t="str">
        <f>IFERROR(__xludf.DUMMYFUNCTION("""COMPUTED_VALUE"""),"")</f>
        <v/>
      </c>
      <c r="O198" s="501" t="str">
        <f>IFERROR(__xludf.DUMMYFUNCTION("""COMPUTED_VALUE"""),"")</f>
        <v/>
      </c>
      <c r="P198" s="503" t="str">
        <f>IFERROR(__xludf.DUMMYFUNCTION("""COMPUTED_VALUE"""),"")</f>
        <v/>
      </c>
      <c r="Q198" s="501" t="str">
        <f>IFERROR(__xludf.DUMMYFUNCTION("""COMPUTED_VALUE"""),"")</f>
        <v/>
      </c>
      <c r="R198" s="501" t="str">
        <f>IFERROR(__xludf.DUMMYFUNCTION("""COMPUTED_VALUE"""),"")</f>
        <v/>
      </c>
      <c r="S198" s="503" t="str">
        <f>IFERROR(__xludf.DUMMYFUNCTION("""COMPUTED_VALUE"""),"")</f>
        <v/>
      </c>
      <c r="T198" s="503" t="str">
        <f>IFERROR(__xludf.DUMMYFUNCTION("""COMPUTED_VALUE"""),"utm_source=facebook&amp;utm_medium=socialmedia&amp;utm_campaign=&amp;utm_content=&amp;referrer=facebook")</f>
        <v>utm_source=facebook&amp;utm_medium=socialmedia&amp;utm_campaign=&amp;utm_content=&amp;referrer=facebook</v>
      </c>
    </row>
    <row r="199">
      <c r="A199" s="501" t="str">
        <f>IFERROR(__xludf.DUMMYFUNCTION("""COMPUTED_VALUE"""),"april")</f>
        <v>april</v>
      </c>
      <c r="B199" s="501">
        <f>IFERROR(__xludf.DUMMYFUNCTION("""COMPUTED_VALUE"""),16.0)</f>
        <v>16</v>
      </c>
      <c r="C199" s="501" t="str">
        <f>IFERROR(__xludf.DUMMYFUNCTION("""COMPUTED_VALUE"""),"donderdag")</f>
        <v>donderdag</v>
      </c>
      <c r="D199" s="502">
        <f>IFERROR(__xludf.DUMMYFUNCTION("""COMPUTED_VALUE"""),43573.0)</f>
        <v>43573</v>
      </c>
      <c r="E199" s="502">
        <f>IFERROR(__xludf.DUMMYFUNCTION("""COMPUTED_VALUE"""),43573.0)</f>
        <v>43573</v>
      </c>
      <c r="F199" s="501" t="str">
        <f>IFERROR(__xludf.DUMMYFUNCTION("""COMPUTED_VALUE"""),"")</f>
        <v/>
      </c>
      <c r="G199" s="503" t="str">
        <f>IFERROR(__xludf.DUMMYFUNCTION("""COMPUTED_VALUE"""),"")</f>
        <v/>
      </c>
      <c r="H199" s="501" t="str">
        <f>IFERROR(__xludf.DUMMYFUNCTION("""COMPUTED_VALUE"""),"Secretaressedag")</f>
        <v>Secretaressedag</v>
      </c>
      <c r="I199" s="503" t="str">
        <f>IFERROR(__xludf.DUMMYFUNCTION("""COMPUTED_VALUE"""),"")</f>
        <v/>
      </c>
      <c r="J199" s="501" t="str">
        <f>IFERROR(__xludf.DUMMYFUNCTION("""COMPUTED_VALUE"""),"")</f>
        <v/>
      </c>
      <c r="K199" s="503" t="str">
        <f>IFERROR(__xludf.DUMMYFUNCTION("""COMPUTED_VALUE"""),"")</f>
        <v/>
      </c>
      <c r="L199" s="501" t="str">
        <f>IFERROR(__xludf.DUMMYFUNCTION("""COMPUTED_VALUE"""),"")</f>
        <v/>
      </c>
      <c r="M199" s="504">
        <f>IFERROR(__xludf.DUMMYFUNCTION("""COMPUTED_VALUE"""),1.0)</f>
        <v>1</v>
      </c>
      <c r="N199" s="501" t="str">
        <f>IFERROR(__xludf.DUMMYFUNCTION("""COMPUTED_VALUE"""),"")</f>
        <v/>
      </c>
      <c r="O199" s="501" t="str">
        <f>IFERROR(__xludf.DUMMYFUNCTION("""COMPUTED_VALUE"""),"")</f>
        <v/>
      </c>
      <c r="P199" s="503" t="str">
        <f>IFERROR(__xludf.DUMMYFUNCTION("""COMPUTED_VALUE"""),"")</f>
        <v/>
      </c>
      <c r="Q199" s="501" t="str">
        <f>IFERROR(__xludf.DUMMYFUNCTION("""COMPUTED_VALUE"""),"")</f>
        <v/>
      </c>
      <c r="R199" s="501" t="str">
        <f>IFERROR(__xludf.DUMMYFUNCTION("""COMPUTED_VALUE"""),"")</f>
        <v/>
      </c>
      <c r="S199" s="503" t="str">
        <f>IFERROR(__xludf.DUMMYFUNCTION("""COMPUTED_VALUE"""),"")</f>
        <v/>
      </c>
      <c r="T199" s="503" t="str">
        <f>IFERROR(__xludf.DUMMYFUNCTION("""COMPUTED_VALUE"""),"utm_source=facebook&amp;utm_medium=socialmedia&amp;utm_campaign=&amp;utm_content=secretaressedag&amp;referrer=facebook")</f>
        <v>utm_source=facebook&amp;utm_medium=socialmedia&amp;utm_campaign=&amp;utm_content=secretaressedag&amp;referrer=facebook</v>
      </c>
    </row>
    <row r="200">
      <c r="A200" s="501" t="str">
        <f>IFERROR(__xludf.DUMMYFUNCTION("""COMPUTED_VALUE"""),"april")</f>
        <v>april</v>
      </c>
      <c r="B200" s="501">
        <f>IFERROR(__xludf.DUMMYFUNCTION("""COMPUTED_VALUE"""),16.0)</f>
        <v>16</v>
      </c>
      <c r="C200" s="501" t="str">
        <f>IFERROR(__xludf.DUMMYFUNCTION("""COMPUTED_VALUE"""),"vrijdag")</f>
        <v>vrijdag</v>
      </c>
      <c r="D200" s="502">
        <f>IFERROR(__xludf.DUMMYFUNCTION("""COMPUTED_VALUE"""),43574.0)</f>
        <v>43574</v>
      </c>
      <c r="E200" s="502">
        <f>IFERROR(__xludf.DUMMYFUNCTION("""COMPUTED_VALUE"""),43574.0)</f>
        <v>43574</v>
      </c>
      <c r="F200" s="501" t="str">
        <f>IFERROR(__xludf.DUMMYFUNCTION("""COMPUTED_VALUE"""),"")</f>
        <v/>
      </c>
      <c r="G200" s="503" t="str">
        <f>IFERROR(__xludf.DUMMYFUNCTION("""COMPUTED_VALUE"""),"")</f>
        <v/>
      </c>
      <c r="H200" s="501" t="str">
        <f>IFERROR(__xludf.DUMMYFUNCTION("""COMPUTED_VALUE"""),"Pasen")</f>
        <v>Pasen</v>
      </c>
      <c r="I200" s="503" t="str">
        <f>IFERROR(__xludf.DUMMYFUNCTION("""COMPUTED_VALUE"""),"")</f>
        <v/>
      </c>
      <c r="J200" s="501" t="str">
        <f>IFERROR(__xludf.DUMMYFUNCTION("""COMPUTED_VALUE"""),"")</f>
        <v/>
      </c>
      <c r="K200" s="503" t="str">
        <f>IFERROR(__xludf.DUMMYFUNCTION("""COMPUTED_VALUE"""),"")</f>
        <v/>
      </c>
      <c r="L200" s="501" t="str">
        <f>IFERROR(__xludf.DUMMYFUNCTION("""COMPUTED_VALUE"""),"")</f>
        <v/>
      </c>
      <c r="M200" s="504">
        <f>IFERROR(__xludf.DUMMYFUNCTION("""COMPUTED_VALUE"""),1.0)</f>
        <v>1</v>
      </c>
      <c r="N200" s="501" t="str">
        <f>IFERROR(__xludf.DUMMYFUNCTION("""COMPUTED_VALUE"""),"")</f>
        <v/>
      </c>
      <c r="O200" s="501" t="str">
        <f>IFERROR(__xludf.DUMMYFUNCTION("""COMPUTED_VALUE"""),"")</f>
        <v/>
      </c>
      <c r="P200" s="503" t="str">
        <f>IFERROR(__xludf.DUMMYFUNCTION("""COMPUTED_VALUE"""),"")</f>
        <v/>
      </c>
      <c r="Q200" s="501" t="str">
        <f>IFERROR(__xludf.DUMMYFUNCTION("""COMPUTED_VALUE"""),"")</f>
        <v/>
      </c>
      <c r="R200" s="501" t="str">
        <f>IFERROR(__xludf.DUMMYFUNCTION("""COMPUTED_VALUE"""),"")</f>
        <v/>
      </c>
      <c r="S200" s="503" t="str">
        <f>IFERROR(__xludf.DUMMYFUNCTION("""COMPUTED_VALUE"""),"")</f>
        <v/>
      </c>
      <c r="T200" s="503" t="str">
        <f>IFERROR(__xludf.DUMMYFUNCTION("""COMPUTED_VALUE"""),"utm_source=facebook&amp;utm_medium=socialmedia&amp;utm_campaign=&amp;utm_content=pasen&amp;referrer=facebook")</f>
        <v>utm_source=facebook&amp;utm_medium=socialmedia&amp;utm_campaign=&amp;utm_content=pasen&amp;referrer=facebook</v>
      </c>
    </row>
    <row r="201">
      <c r="A201" s="501" t="str">
        <f>IFERROR(__xludf.DUMMYFUNCTION("""COMPUTED_VALUE"""),"april")</f>
        <v>april</v>
      </c>
      <c r="B201" s="501">
        <f>IFERROR(__xludf.DUMMYFUNCTION("""COMPUTED_VALUE"""),16.0)</f>
        <v>16</v>
      </c>
      <c r="C201" s="501" t="str">
        <f>IFERROR(__xludf.DUMMYFUNCTION("""COMPUTED_VALUE"""),"zaterdag")</f>
        <v>zaterdag</v>
      </c>
      <c r="D201" s="502">
        <f>IFERROR(__xludf.DUMMYFUNCTION("""COMPUTED_VALUE"""),43575.0)</f>
        <v>43575</v>
      </c>
      <c r="E201" s="502">
        <f>IFERROR(__xludf.DUMMYFUNCTION("""COMPUTED_VALUE"""),43575.0)</f>
        <v>43575</v>
      </c>
      <c r="F201" s="501" t="str">
        <f>IFERROR(__xludf.DUMMYFUNCTION("""COMPUTED_VALUE"""),"")</f>
        <v/>
      </c>
      <c r="G201" s="503" t="str">
        <f>IFERROR(__xludf.DUMMYFUNCTION("""COMPUTED_VALUE"""),"")</f>
        <v/>
      </c>
      <c r="H201" s="501" t="str">
        <f>IFERROR(__xludf.DUMMYFUNCTION("""COMPUTED_VALUE"""),"")</f>
        <v/>
      </c>
      <c r="I201" s="503" t="str">
        <f>IFERROR(__xludf.DUMMYFUNCTION("""COMPUTED_VALUE"""),"")</f>
        <v/>
      </c>
      <c r="J201" s="501" t="str">
        <f>IFERROR(__xludf.DUMMYFUNCTION("""COMPUTED_VALUE"""),"")</f>
        <v/>
      </c>
      <c r="K201" s="503" t="str">
        <f>IFERROR(__xludf.DUMMYFUNCTION("""COMPUTED_VALUE"""),"")</f>
        <v/>
      </c>
      <c r="L201" s="501" t="str">
        <f>IFERROR(__xludf.DUMMYFUNCTION("""COMPUTED_VALUE"""),"")</f>
        <v/>
      </c>
      <c r="M201" s="504">
        <f>IFERROR(__xludf.DUMMYFUNCTION("""COMPUTED_VALUE"""),1.0)</f>
        <v>1</v>
      </c>
      <c r="N201" s="501" t="str">
        <f>IFERROR(__xludf.DUMMYFUNCTION("""COMPUTED_VALUE"""),"")</f>
        <v/>
      </c>
      <c r="O201" s="501" t="str">
        <f>IFERROR(__xludf.DUMMYFUNCTION("""COMPUTED_VALUE"""),"")</f>
        <v/>
      </c>
      <c r="P201" s="503" t="str">
        <f>IFERROR(__xludf.DUMMYFUNCTION("""COMPUTED_VALUE"""),"")</f>
        <v/>
      </c>
      <c r="Q201" s="501" t="str">
        <f>IFERROR(__xludf.DUMMYFUNCTION("""COMPUTED_VALUE"""),"")</f>
        <v/>
      </c>
      <c r="R201" s="501" t="str">
        <f>IFERROR(__xludf.DUMMYFUNCTION("""COMPUTED_VALUE"""),"")</f>
        <v/>
      </c>
      <c r="S201" s="503" t="str">
        <f>IFERROR(__xludf.DUMMYFUNCTION("""COMPUTED_VALUE"""),"")</f>
        <v/>
      </c>
      <c r="T201" s="503" t="str">
        <f>IFERROR(__xludf.DUMMYFUNCTION("""COMPUTED_VALUE"""),"utm_source=facebook&amp;utm_medium=socialmedia&amp;utm_campaign=&amp;utm_content=&amp;referrer=facebook")</f>
        <v>utm_source=facebook&amp;utm_medium=socialmedia&amp;utm_campaign=&amp;utm_content=&amp;referrer=facebook</v>
      </c>
    </row>
    <row r="202">
      <c r="A202" s="501" t="str">
        <f>IFERROR(__xludf.DUMMYFUNCTION("""COMPUTED_VALUE"""),"april")</f>
        <v>april</v>
      </c>
      <c r="B202" s="501">
        <f>IFERROR(__xludf.DUMMYFUNCTION("""COMPUTED_VALUE"""),17.0)</f>
        <v>17</v>
      </c>
      <c r="C202" s="501" t="str">
        <f>IFERROR(__xludf.DUMMYFUNCTION("""COMPUTED_VALUE"""),"zondag")</f>
        <v>zondag</v>
      </c>
      <c r="D202" s="502">
        <f>IFERROR(__xludf.DUMMYFUNCTION("""COMPUTED_VALUE"""),43576.0)</f>
        <v>43576</v>
      </c>
      <c r="E202" s="502">
        <f>IFERROR(__xludf.DUMMYFUNCTION("""COMPUTED_VALUE"""),43576.0)</f>
        <v>43576</v>
      </c>
      <c r="F202" s="501" t="str">
        <f>IFERROR(__xludf.DUMMYFUNCTION("""COMPUTED_VALUE"""),"")</f>
        <v/>
      </c>
      <c r="G202" s="503" t="str">
        <f>IFERROR(__xludf.DUMMYFUNCTION("""COMPUTED_VALUE"""),"")</f>
        <v/>
      </c>
      <c r="H202" s="501" t="str">
        <f>IFERROR(__xludf.DUMMYFUNCTION("""COMPUTED_VALUE"""),"")</f>
        <v/>
      </c>
      <c r="I202" s="503" t="str">
        <f>IFERROR(__xludf.DUMMYFUNCTION("""COMPUTED_VALUE"""),"")</f>
        <v/>
      </c>
      <c r="J202" s="501" t="str">
        <f>IFERROR(__xludf.DUMMYFUNCTION("""COMPUTED_VALUE"""),"")</f>
        <v/>
      </c>
      <c r="K202" s="503" t="str">
        <f>IFERROR(__xludf.DUMMYFUNCTION("""COMPUTED_VALUE"""),"")</f>
        <v/>
      </c>
      <c r="L202" s="501" t="str">
        <f>IFERROR(__xludf.DUMMYFUNCTION("""COMPUTED_VALUE"""),"")</f>
        <v/>
      </c>
      <c r="M202" s="504">
        <f>IFERROR(__xludf.DUMMYFUNCTION("""COMPUTED_VALUE"""),1.0)</f>
        <v>1</v>
      </c>
      <c r="N202" s="501" t="str">
        <f>IFERROR(__xludf.DUMMYFUNCTION("""COMPUTED_VALUE"""),"")</f>
        <v/>
      </c>
      <c r="O202" s="501" t="str">
        <f>IFERROR(__xludf.DUMMYFUNCTION("""COMPUTED_VALUE"""),"")</f>
        <v/>
      </c>
      <c r="P202" s="503" t="str">
        <f>IFERROR(__xludf.DUMMYFUNCTION("""COMPUTED_VALUE"""),"")</f>
        <v/>
      </c>
      <c r="Q202" s="501" t="str">
        <f>IFERROR(__xludf.DUMMYFUNCTION("""COMPUTED_VALUE"""),"")</f>
        <v/>
      </c>
      <c r="R202" s="501" t="str">
        <f>IFERROR(__xludf.DUMMYFUNCTION("""COMPUTED_VALUE"""),"")</f>
        <v/>
      </c>
      <c r="S202" s="503" t="str">
        <f>IFERROR(__xludf.DUMMYFUNCTION("""COMPUTED_VALUE"""),"")</f>
        <v/>
      </c>
      <c r="T202" s="503" t="str">
        <f>IFERROR(__xludf.DUMMYFUNCTION("""COMPUTED_VALUE"""),"utm_source=facebook&amp;utm_medium=socialmedia&amp;utm_campaign=&amp;utm_content=&amp;referrer=facebook")</f>
        <v>utm_source=facebook&amp;utm_medium=socialmedia&amp;utm_campaign=&amp;utm_content=&amp;referrer=facebook</v>
      </c>
    </row>
    <row r="203">
      <c r="A203" s="501" t="str">
        <f>IFERROR(__xludf.DUMMYFUNCTION("""COMPUTED_VALUE"""),"april")</f>
        <v>april</v>
      </c>
      <c r="B203" s="501">
        <f>IFERROR(__xludf.DUMMYFUNCTION("""COMPUTED_VALUE"""),16.0)</f>
        <v>16</v>
      </c>
      <c r="C203" s="501" t="str">
        <f>IFERROR(__xludf.DUMMYFUNCTION("""COMPUTED_VALUE"""),"vrijdag")</f>
        <v>vrijdag</v>
      </c>
      <c r="D203" s="502">
        <f>IFERROR(__xludf.DUMMYFUNCTION("""COMPUTED_VALUE"""),43574.0)</f>
        <v>43574</v>
      </c>
      <c r="E203" s="502">
        <f>IFERROR(__xludf.DUMMYFUNCTION("""COMPUTED_VALUE"""),43584.0)</f>
        <v>43584</v>
      </c>
      <c r="F203" s="501" t="str">
        <f>IFERROR(__xludf.DUMMYFUNCTION("""COMPUTED_VALUE"""),"Koningsdag")</f>
        <v>Koningsdag</v>
      </c>
      <c r="G203" s="503" t="str">
        <f>IFERROR(__xludf.DUMMYFUNCTION("""COMPUTED_VALUE"""),"Gratis postzegels")</f>
        <v>Gratis postzegels</v>
      </c>
      <c r="H203" s="501" t="str">
        <f>IFERROR(__xludf.DUMMYFUNCTION("""COMPUTED_VALUE"""),"")</f>
        <v/>
      </c>
      <c r="I203" s="503" t="str">
        <f>IFERROR(__xludf.DUMMYFUNCTION("""COMPUTED_VALUE"""),"Input Kermit - copy vorige keer https://fb.me/1Ic5aC5zpHTzSTL")</f>
        <v>Input Kermit - copy vorige keer https://fb.me/1Ic5aC5zpHTzSTL</v>
      </c>
      <c r="J203" s="501" t="str">
        <f>IFERROR(__xludf.DUMMYFUNCTION("""COMPUTED_VALUE"""),"Designen")</f>
        <v>Designen</v>
      </c>
      <c r="K203" s="505" t="str">
        <f>IFERROR(__xludf.DUMMYFUNCTION("""COMPUTED_VALUE""")," Geboorte doelgroep &amp; hoofddoelgroep met geboorte ad ")</f>
        <v>Geboorte doelgroep &amp; hoofddoelgroep met geboorte ad</v>
      </c>
      <c r="L203" s="506">
        <f>IFERROR(__xludf.DUMMYFUNCTION("""COMPUTED_VALUE"""),750.0)</f>
        <v>750</v>
      </c>
      <c r="M203" s="504">
        <f>IFERROR(__xludf.DUMMYFUNCTION("""COMPUTED_VALUE"""),11.0)</f>
        <v>11</v>
      </c>
      <c r="N203" s="501" t="str">
        <f>IFERROR(__xludf.DUMMYFUNCTION("""COMPUTED_VALUE"""),"Product")</f>
        <v>Product</v>
      </c>
      <c r="O203" s="501" t="str">
        <f>IFERROR(__xludf.DUMMYFUNCTION("""COMPUTED_VALUE"""),"Facebook")</f>
        <v>Facebook</v>
      </c>
      <c r="P203" s="503" t="str">
        <f>IFERROR(__xludf.DUMMYFUNCTION("""COMPUTED_VALUE"""),"Facebook - Do - Retailcampaigning")</f>
        <v>Facebook - Do - Retailcampaigning</v>
      </c>
      <c r="Q203" s="501" t="str">
        <f>IFERROR(__xludf.DUMMYFUNCTION("""COMPUTED_VALUE"""),"Conversie - Landingspagina")</f>
        <v>Conversie - Landingspagina</v>
      </c>
      <c r="R203" s="501" t="str">
        <f>IFERROR(__xludf.DUMMYFUNCTION("""COMPUTED_VALUE"""),"Dark")</f>
        <v>Dark</v>
      </c>
      <c r="S203" s="503" t="str">
        <f>IFERROR(__xludf.DUMMYFUNCTION("""COMPUTED_VALUE"""),"a/b test tussen deze 2 doelgroepen met geboorte banner")</f>
        <v>a/b test tussen deze 2 doelgroepen met geboorte banner</v>
      </c>
      <c r="T203" s="503" t="str">
        <f>IFERROR(__xludf.DUMMYFUNCTION("""COMPUTED_VALUE"""),"utm_source=facebook&amp;utm_medium=socialmedia&amp;utm_campaign=facebook_-_do_-_retailcampaigning&amp;utm_content=&amp;referrer=facebook")</f>
        <v>utm_source=facebook&amp;utm_medium=socialmedia&amp;utm_campaign=facebook_-_do_-_retailcampaigning&amp;utm_content=&amp;referrer=facebook</v>
      </c>
    </row>
    <row r="204">
      <c r="A204" s="501" t="str">
        <f>IFERROR(__xludf.DUMMYFUNCTION("""COMPUTED_VALUE"""),"april")</f>
        <v>april</v>
      </c>
      <c r="B204" s="501">
        <f>IFERROR(__xludf.DUMMYFUNCTION("""COMPUTED_VALUE"""),17.0)</f>
        <v>17</v>
      </c>
      <c r="C204" s="501" t="str">
        <f>IFERROR(__xludf.DUMMYFUNCTION("""COMPUTED_VALUE"""),"dinsdag")</f>
        <v>dinsdag</v>
      </c>
      <c r="D204" s="502">
        <f>IFERROR(__xludf.DUMMYFUNCTION("""COMPUTED_VALUE"""),43578.0)</f>
        <v>43578</v>
      </c>
      <c r="E204" s="502">
        <f>IFERROR(__xludf.DUMMYFUNCTION("""COMPUTED_VALUE"""),43578.0)</f>
        <v>43578</v>
      </c>
      <c r="F204" s="501" t="str">
        <f>IFERROR(__xludf.DUMMYFUNCTION("""COMPUTED_VALUE"""),"")</f>
        <v/>
      </c>
      <c r="G204" s="503" t="str">
        <f>IFERROR(__xludf.DUMMYFUNCTION("""COMPUTED_VALUE"""),"")</f>
        <v/>
      </c>
      <c r="H204" s="501" t="str">
        <f>IFERROR(__xludf.DUMMYFUNCTION("""COMPUTED_VALUE"""),"Dag van het Duitse bier")</f>
        <v>Dag van het Duitse bier</v>
      </c>
      <c r="I204" s="503" t="str">
        <f>IFERROR(__xludf.DUMMYFUNCTION("""COMPUTED_VALUE"""),"")</f>
        <v/>
      </c>
      <c r="J204" s="501" t="str">
        <f>IFERROR(__xludf.DUMMYFUNCTION("""COMPUTED_VALUE"""),"")</f>
        <v/>
      </c>
      <c r="K204" s="503" t="str">
        <f>IFERROR(__xludf.DUMMYFUNCTION("""COMPUTED_VALUE"""),"")</f>
        <v/>
      </c>
      <c r="L204" s="501" t="str">
        <f>IFERROR(__xludf.DUMMYFUNCTION("""COMPUTED_VALUE"""),"")</f>
        <v/>
      </c>
      <c r="M204" s="504">
        <f>IFERROR(__xludf.DUMMYFUNCTION("""COMPUTED_VALUE"""),1.0)</f>
        <v>1</v>
      </c>
      <c r="N204" s="501" t="str">
        <f>IFERROR(__xludf.DUMMYFUNCTION("""COMPUTED_VALUE"""),"")</f>
        <v/>
      </c>
      <c r="O204" s="501" t="str">
        <f>IFERROR(__xludf.DUMMYFUNCTION("""COMPUTED_VALUE"""),"")</f>
        <v/>
      </c>
      <c r="P204" s="503" t="str">
        <f>IFERROR(__xludf.DUMMYFUNCTION("""COMPUTED_VALUE"""),"")</f>
        <v/>
      </c>
      <c r="Q204" s="501" t="str">
        <f>IFERROR(__xludf.DUMMYFUNCTION("""COMPUTED_VALUE"""),"")</f>
        <v/>
      </c>
      <c r="R204" s="501" t="str">
        <f>IFERROR(__xludf.DUMMYFUNCTION("""COMPUTED_VALUE"""),"")</f>
        <v/>
      </c>
      <c r="S204" s="503" t="str">
        <f>IFERROR(__xludf.DUMMYFUNCTION("""COMPUTED_VALUE"""),"")</f>
        <v/>
      </c>
      <c r="T204" s="503" t="str">
        <f>IFERROR(__xludf.DUMMYFUNCTION("""COMPUTED_VALUE"""),"utm_source=facebook&amp;utm_medium=socialmedia&amp;utm_campaign=&amp;utm_content=dagvanhetduitsebier&amp;referrer=facebook")</f>
        <v>utm_source=facebook&amp;utm_medium=socialmedia&amp;utm_campaign=&amp;utm_content=dagvanhetduitsebier&amp;referrer=facebook</v>
      </c>
    </row>
    <row r="205">
      <c r="A205" s="501" t="str">
        <f>IFERROR(__xludf.DUMMYFUNCTION("""COMPUTED_VALUE"""),"april")</f>
        <v>april</v>
      </c>
      <c r="B205" s="501">
        <f>IFERROR(__xludf.DUMMYFUNCTION("""COMPUTED_VALUE"""),17.0)</f>
        <v>17</v>
      </c>
      <c r="C205" s="501" t="str">
        <f>IFERROR(__xludf.DUMMYFUNCTION("""COMPUTED_VALUE"""),"woensdag")</f>
        <v>woensdag</v>
      </c>
      <c r="D205" s="502">
        <f>IFERROR(__xludf.DUMMYFUNCTION("""COMPUTED_VALUE"""),43579.0)</f>
        <v>43579</v>
      </c>
      <c r="E205" s="502">
        <f>IFERROR(__xludf.DUMMYFUNCTION("""COMPUTED_VALUE"""),43579.0)</f>
        <v>43579</v>
      </c>
      <c r="F205" s="501" t="str">
        <f>IFERROR(__xludf.DUMMYFUNCTION("""COMPUTED_VALUE"""),"")</f>
        <v/>
      </c>
      <c r="G205" s="503" t="str">
        <f>IFERROR(__xludf.DUMMYFUNCTION("""COMPUTED_VALUE"""),"")</f>
        <v/>
      </c>
      <c r="H205" s="501" t="str">
        <f>IFERROR(__xludf.DUMMYFUNCTION("""COMPUTED_VALUE"""),"")</f>
        <v/>
      </c>
      <c r="I205" s="503" t="str">
        <f>IFERROR(__xludf.DUMMYFUNCTION("""COMPUTED_VALUE"""),"")</f>
        <v/>
      </c>
      <c r="J205" s="501" t="str">
        <f>IFERROR(__xludf.DUMMYFUNCTION("""COMPUTED_VALUE"""),"")</f>
        <v/>
      </c>
      <c r="K205" s="503" t="str">
        <f>IFERROR(__xludf.DUMMYFUNCTION("""COMPUTED_VALUE"""),"")</f>
        <v/>
      </c>
      <c r="L205" s="501" t="str">
        <f>IFERROR(__xludf.DUMMYFUNCTION("""COMPUTED_VALUE"""),"")</f>
        <v/>
      </c>
      <c r="M205" s="504">
        <f>IFERROR(__xludf.DUMMYFUNCTION("""COMPUTED_VALUE"""),1.0)</f>
        <v>1</v>
      </c>
      <c r="N205" s="501" t="str">
        <f>IFERROR(__xludf.DUMMYFUNCTION("""COMPUTED_VALUE"""),"")</f>
        <v/>
      </c>
      <c r="O205" s="501" t="str">
        <f>IFERROR(__xludf.DUMMYFUNCTION("""COMPUTED_VALUE"""),"")</f>
        <v/>
      </c>
      <c r="P205" s="503" t="str">
        <f>IFERROR(__xludf.DUMMYFUNCTION("""COMPUTED_VALUE"""),"")</f>
        <v/>
      </c>
      <c r="Q205" s="501" t="str">
        <f>IFERROR(__xludf.DUMMYFUNCTION("""COMPUTED_VALUE"""),"")</f>
        <v/>
      </c>
      <c r="R205" s="501" t="str">
        <f>IFERROR(__xludf.DUMMYFUNCTION("""COMPUTED_VALUE"""),"")</f>
        <v/>
      </c>
      <c r="S205" s="503" t="str">
        <f>IFERROR(__xludf.DUMMYFUNCTION("""COMPUTED_VALUE"""),"")</f>
        <v/>
      </c>
      <c r="T205" s="503" t="str">
        <f>IFERROR(__xludf.DUMMYFUNCTION("""COMPUTED_VALUE"""),"utm_source=facebook&amp;utm_medium=socialmedia&amp;utm_campaign=&amp;utm_content=&amp;referrer=facebook")</f>
        <v>utm_source=facebook&amp;utm_medium=socialmedia&amp;utm_campaign=&amp;utm_content=&amp;referrer=facebook</v>
      </c>
    </row>
    <row r="206">
      <c r="A206" s="501" t="str">
        <f>IFERROR(__xludf.DUMMYFUNCTION("""COMPUTED_VALUE"""),"april")</f>
        <v>april</v>
      </c>
      <c r="B206" s="501">
        <f>IFERROR(__xludf.DUMMYFUNCTION("""COMPUTED_VALUE"""),17.0)</f>
        <v>17</v>
      </c>
      <c r="C206" s="501" t="str">
        <f>IFERROR(__xludf.DUMMYFUNCTION("""COMPUTED_VALUE"""),"donderdag")</f>
        <v>donderdag</v>
      </c>
      <c r="D206" s="502">
        <f>IFERROR(__xludf.DUMMYFUNCTION("""COMPUTED_VALUE"""),43580.0)</f>
        <v>43580</v>
      </c>
      <c r="E206" s="502">
        <f>IFERROR(__xludf.DUMMYFUNCTION("""COMPUTED_VALUE"""),43580.0)</f>
        <v>43580</v>
      </c>
      <c r="F206" s="501" t="str">
        <f>IFERROR(__xludf.DUMMYFUNCTION("""COMPUTED_VALUE"""),"")</f>
        <v/>
      </c>
      <c r="G206" s="503" t="str">
        <f>IFERROR(__xludf.DUMMYFUNCTION("""COMPUTED_VALUE"""),"")</f>
        <v/>
      </c>
      <c r="H206" s="501" t="str">
        <f>IFERROR(__xludf.DUMMYFUNCTION("""COMPUTED_VALUE"""),"")</f>
        <v/>
      </c>
      <c r="I206" s="503" t="str">
        <f>IFERROR(__xludf.DUMMYFUNCTION("""COMPUTED_VALUE"""),"")</f>
        <v/>
      </c>
      <c r="J206" s="501" t="str">
        <f>IFERROR(__xludf.DUMMYFUNCTION("""COMPUTED_VALUE"""),"")</f>
        <v/>
      </c>
      <c r="K206" s="503" t="str">
        <f>IFERROR(__xludf.DUMMYFUNCTION("""COMPUTED_VALUE"""),"")</f>
        <v/>
      </c>
      <c r="L206" s="501" t="str">
        <f>IFERROR(__xludf.DUMMYFUNCTION("""COMPUTED_VALUE"""),"")</f>
        <v/>
      </c>
      <c r="M206" s="504">
        <f>IFERROR(__xludf.DUMMYFUNCTION("""COMPUTED_VALUE"""),1.0)</f>
        <v>1</v>
      </c>
      <c r="N206" s="501" t="str">
        <f>IFERROR(__xludf.DUMMYFUNCTION("""COMPUTED_VALUE"""),"")</f>
        <v/>
      </c>
      <c r="O206" s="501" t="str">
        <f>IFERROR(__xludf.DUMMYFUNCTION("""COMPUTED_VALUE"""),"")</f>
        <v/>
      </c>
      <c r="P206" s="503" t="str">
        <f>IFERROR(__xludf.DUMMYFUNCTION("""COMPUTED_VALUE"""),"")</f>
        <v/>
      </c>
      <c r="Q206" s="501" t="str">
        <f>IFERROR(__xludf.DUMMYFUNCTION("""COMPUTED_VALUE"""),"")</f>
        <v/>
      </c>
      <c r="R206" s="501" t="str">
        <f>IFERROR(__xludf.DUMMYFUNCTION("""COMPUTED_VALUE"""),"")</f>
        <v/>
      </c>
      <c r="S206" s="503" t="str">
        <f>IFERROR(__xludf.DUMMYFUNCTION("""COMPUTED_VALUE"""),"")</f>
        <v/>
      </c>
      <c r="T206" s="503" t="str">
        <f>IFERROR(__xludf.DUMMYFUNCTION("""COMPUTED_VALUE"""),"utm_source=facebook&amp;utm_medium=socialmedia&amp;utm_campaign=&amp;utm_content=&amp;referrer=facebook")</f>
        <v>utm_source=facebook&amp;utm_medium=socialmedia&amp;utm_campaign=&amp;utm_content=&amp;referrer=facebook</v>
      </c>
    </row>
    <row r="207">
      <c r="A207" s="501" t="str">
        <f>IFERROR(__xludf.DUMMYFUNCTION("""COMPUTED_VALUE"""),"april")</f>
        <v>april</v>
      </c>
      <c r="B207" s="501">
        <f>IFERROR(__xludf.DUMMYFUNCTION("""COMPUTED_VALUE"""),17.0)</f>
        <v>17</v>
      </c>
      <c r="C207" s="501" t="str">
        <f>IFERROR(__xludf.DUMMYFUNCTION("""COMPUTED_VALUE"""),"vrijdag")</f>
        <v>vrijdag</v>
      </c>
      <c r="D207" s="502">
        <f>IFERROR(__xludf.DUMMYFUNCTION("""COMPUTED_VALUE"""),43581.0)</f>
        <v>43581</v>
      </c>
      <c r="E207" s="502">
        <f>IFERROR(__xludf.DUMMYFUNCTION("""COMPUTED_VALUE"""),43581.0)</f>
        <v>43581</v>
      </c>
      <c r="F207" s="501" t="str">
        <f>IFERROR(__xludf.DUMMYFUNCTION("""COMPUTED_VALUE"""),"")</f>
        <v/>
      </c>
      <c r="G207" s="503" t="str">
        <f>IFERROR(__xludf.DUMMYFUNCTION("""COMPUTED_VALUE"""),"")</f>
        <v/>
      </c>
      <c r="H207" s="501" t="str">
        <f>IFERROR(__xludf.DUMMYFUNCTION("""COMPUTED_VALUE"""),"")</f>
        <v/>
      </c>
      <c r="I207" s="503" t="str">
        <f>IFERROR(__xludf.DUMMYFUNCTION("""COMPUTED_VALUE"""),"")</f>
        <v/>
      </c>
      <c r="J207" s="501" t="str">
        <f>IFERROR(__xludf.DUMMYFUNCTION("""COMPUTED_VALUE"""),"")</f>
        <v/>
      </c>
      <c r="K207" s="503" t="str">
        <f>IFERROR(__xludf.DUMMYFUNCTION("""COMPUTED_VALUE"""),"")</f>
        <v/>
      </c>
      <c r="L207" s="501" t="str">
        <f>IFERROR(__xludf.DUMMYFUNCTION("""COMPUTED_VALUE"""),"")</f>
        <v/>
      </c>
      <c r="M207" s="504">
        <f>IFERROR(__xludf.DUMMYFUNCTION("""COMPUTED_VALUE"""),1.0)</f>
        <v>1</v>
      </c>
      <c r="N207" s="501" t="str">
        <f>IFERROR(__xludf.DUMMYFUNCTION("""COMPUTED_VALUE"""),"")</f>
        <v/>
      </c>
      <c r="O207" s="501" t="str">
        <f>IFERROR(__xludf.DUMMYFUNCTION("""COMPUTED_VALUE"""),"")</f>
        <v/>
      </c>
      <c r="P207" s="503" t="str">
        <f>IFERROR(__xludf.DUMMYFUNCTION("""COMPUTED_VALUE"""),"")</f>
        <v/>
      </c>
      <c r="Q207" s="501" t="str">
        <f>IFERROR(__xludf.DUMMYFUNCTION("""COMPUTED_VALUE"""),"")</f>
        <v/>
      </c>
      <c r="R207" s="501" t="str">
        <f>IFERROR(__xludf.DUMMYFUNCTION("""COMPUTED_VALUE"""),"")</f>
        <v/>
      </c>
      <c r="S207" s="503" t="str">
        <f>IFERROR(__xludf.DUMMYFUNCTION("""COMPUTED_VALUE"""),"")</f>
        <v/>
      </c>
      <c r="T207" s="503" t="str">
        <f>IFERROR(__xludf.DUMMYFUNCTION("""COMPUTED_VALUE"""),"utm_source=facebook&amp;utm_medium=socialmedia&amp;utm_campaign=&amp;utm_content=&amp;referrer=facebook")</f>
        <v>utm_source=facebook&amp;utm_medium=socialmedia&amp;utm_campaign=&amp;utm_content=&amp;referrer=facebook</v>
      </c>
    </row>
    <row r="208">
      <c r="A208" s="501" t="str">
        <f>IFERROR(__xludf.DUMMYFUNCTION("""COMPUTED_VALUE"""),"april")</f>
        <v>april</v>
      </c>
      <c r="B208" s="501">
        <f>IFERROR(__xludf.DUMMYFUNCTION("""COMPUTED_VALUE"""),17.0)</f>
        <v>17</v>
      </c>
      <c r="C208" s="501" t="str">
        <f>IFERROR(__xludf.DUMMYFUNCTION("""COMPUTED_VALUE"""),"zaterdag")</f>
        <v>zaterdag</v>
      </c>
      <c r="D208" s="502">
        <f>IFERROR(__xludf.DUMMYFUNCTION("""COMPUTED_VALUE"""),43582.0)</f>
        <v>43582</v>
      </c>
      <c r="E208" s="502">
        <f>IFERROR(__xludf.DUMMYFUNCTION("""COMPUTED_VALUE"""),43582.0)</f>
        <v>43582</v>
      </c>
      <c r="F208" s="501" t="str">
        <f>IFERROR(__xludf.DUMMYFUNCTION("""COMPUTED_VALUE"""),"")</f>
        <v/>
      </c>
      <c r="G208" s="503" t="str">
        <f>IFERROR(__xludf.DUMMYFUNCTION("""COMPUTED_VALUE"""),"")</f>
        <v/>
      </c>
      <c r="H208" s="501" t="str">
        <f>IFERROR(__xludf.DUMMYFUNCTION("""COMPUTED_VALUE"""),"Koningsdag")</f>
        <v>Koningsdag</v>
      </c>
      <c r="I208" s="503" t="str">
        <f>IFERROR(__xludf.DUMMYFUNCTION("""COMPUTED_VALUE"""),"")</f>
        <v/>
      </c>
      <c r="J208" s="501" t="str">
        <f>IFERROR(__xludf.DUMMYFUNCTION("""COMPUTED_VALUE"""),"")</f>
        <v/>
      </c>
      <c r="K208" s="503" t="str">
        <f>IFERROR(__xludf.DUMMYFUNCTION("""COMPUTED_VALUE"""),"")</f>
        <v/>
      </c>
      <c r="L208" s="501" t="str">
        <f>IFERROR(__xludf.DUMMYFUNCTION("""COMPUTED_VALUE"""),"")</f>
        <v/>
      </c>
      <c r="M208" s="504">
        <f>IFERROR(__xludf.DUMMYFUNCTION("""COMPUTED_VALUE"""),1.0)</f>
        <v>1</v>
      </c>
      <c r="N208" s="501" t="str">
        <f>IFERROR(__xludf.DUMMYFUNCTION("""COMPUTED_VALUE"""),"")</f>
        <v/>
      </c>
      <c r="O208" s="501" t="str">
        <f>IFERROR(__xludf.DUMMYFUNCTION("""COMPUTED_VALUE"""),"")</f>
        <v/>
      </c>
      <c r="P208" s="503" t="str">
        <f>IFERROR(__xludf.DUMMYFUNCTION("""COMPUTED_VALUE"""),"")</f>
        <v/>
      </c>
      <c r="Q208" s="501" t="str">
        <f>IFERROR(__xludf.DUMMYFUNCTION("""COMPUTED_VALUE"""),"")</f>
        <v/>
      </c>
      <c r="R208" s="501" t="str">
        <f>IFERROR(__xludf.DUMMYFUNCTION("""COMPUTED_VALUE"""),"")</f>
        <v/>
      </c>
      <c r="S208" s="503" t="str">
        <f>IFERROR(__xludf.DUMMYFUNCTION("""COMPUTED_VALUE"""),"")</f>
        <v/>
      </c>
      <c r="T208" s="503" t="str">
        <f>IFERROR(__xludf.DUMMYFUNCTION("""COMPUTED_VALUE"""),"utm_source=facebook&amp;utm_medium=socialmedia&amp;utm_campaign=&amp;utm_content=koningsdag&amp;referrer=facebook")</f>
        <v>utm_source=facebook&amp;utm_medium=socialmedia&amp;utm_campaign=&amp;utm_content=koningsdag&amp;referrer=facebook</v>
      </c>
    </row>
    <row r="209">
      <c r="A209" s="501" t="str">
        <f>IFERROR(__xludf.DUMMYFUNCTION("""COMPUTED_VALUE"""),"april")</f>
        <v>april</v>
      </c>
      <c r="B209" s="501">
        <f>IFERROR(__xludf.DUMMYFUNCTION("""COMPUTED_VALUE"""),18.0)</f>
        <v>18</v>
      </c>
      <c r="C209" s="501" t="str">
        <f>IFERROR(__xludf.DUMMYFUNCTION("""COMPUTED_VALUE"""),"zondag")</f>
        <v>zondag</v>
      </c>
      <c r="D209" s="502">
        <f>IFERROR(__xludf.DUMMYFUNCTION("""COMPUTED_VALUE"""),43583.0)</f>
        <v>43583</v>
      </c>
      <c r="E209" s="502">
        <f>IFERROR(__xludf.DUMMYFUNCTION("""COMPUTED_VALUE"""),43583.0)</f>
        <v>43583</v>
      </c>
      <c r="F209" s="501" t="str">
        <f>IFERROR(__xludf.DUMMYFUNCTION("""COMPUTED_VALUE"""),"")</f>
        <v/>
      </c>
      <c r="G209" s="503" t="str">
        <f>IFERROR(__xludf.DUMMYFUNCTION("""COMPUTED_VALUE"""),"")</f>
        <v/>
      </c>
      <c r="H209" s="501" t="str">
        <f>IFERROR(__xludf.DUMMYFUNCTION("""COMPUTED_VALUE"""),"")</f>
        <v/>
      </c>
      <c r="I209" s="503" t="str">
        <f>IFERROR(__xludf.DUMMYFUNCTION("""COMPUTED_VALUE"""),"")</f>
        <v/>
      </c>
      <c r="J209" s="501" t="str">
        <f>IFERROR(__xludf.DUMMYFUNCTION("""COMPUTED_VALUE"""),"")</f>
        <v/>
      </c>
      <c r="K209" s="503" t="str">
        <f>IFERROR(__xludf.DUMMYFUNCTION("""COMPUTED_VALUE"""),"")</f>
        <v/>
      </c>
      <c r="L209" s="501" t="str">
        <f>IFERROR(__xludf.DUMMYFUNCTION("""COMPUTED_VALUE"""),"")</f>
        <v/>
      </c>
      <c r="M209" s="504">
        <f>IFERROR(__xludf.DUMMYFUNCTION("""COMPUTED_VALUE"""),1.0)</f>
        <v>1</v>
      </c>
      <c r="N209" s="501" t="str">
        <f>IFERROR(__xludf.DUMMYFUNCTION("""COMPUTED_VALUE"""),"")</f>
        <v/>
      </c>
      <c r="O209" s="501" t="str">
        <f>IFERROR(__xludf.DUMMYFUNCTION("""COMPUTED_VALUE"""),"")</f>
        <v/>
      </c>
      <c r="P209" s="503" t="str">
        <f>IFERROR(__xludf.DUMMYFUNCTION("""COMPUTED_VALUE"""),"")</f>
        <v/>
      </c>
      <c r="Q209" s="501" t="str">
        <f>IFERROR(__xludf.DUMMYFUNCTION("""COMPUTED_VALUE"""),"")</f>
        <v/>
      </c>
      <c r="R209" s="501" t="str">
        <f>IFERROR(__xludf.DUMMYFUNCTION("""COMPUTED_VALUE"""),"")</f>
        <v/>
      </c>
      <c r="S209" s="503" t="str">
        <f>IFERROR(__xludf.DUMMYFUNCTION("""COMPUTED_VALUE"""),"")</f>
        <v/>
      </c>
      <c r="T209" s="503" t="str">
        <f>IFERROR(__xludf.DUMMYFUNCTION("""COMPUTED_VALUE"""),"utm_source=facebook&amp;utm_medium=socialmedia&amp;utm_campaign=&amp;utm_content=&amp;referrer=facebook")</f>
        <v>utm_source=facebook&amp;utm_medium=socialmedia&amp;utm_campaign=&amp;utm_content=&amp;referrer=facebook</v>
      </c>
    </row>
    <row r="210">
      <c r="A210" s="501" t="str">
        <f>IFERROR(__xludf.DUMMYFUNCTION("""COMPUTED_VALUE"""),"april")</f>
        <v>april</v>
      </c>
      <c r="B210" s="501">
        <f>IFERROR(__xludf.DUMMYFUNCTION("""COMPUTED_VALUE"""),18.0)</f>
        <v>18</v>
      </c>
      <c r="C210" s="501" t="str">
        <f>IFERROR(__xludf.DUMMYFUNCTION("""COMPUTED_VALUE"""),"maandag")</f>
        <v>maandag</v>
      </c>
      <c r="D210" s="502">
        <f>IFERROR(__xludf.DUMMYFUNCTION("""COMPUTED_VALUE"""),43584.0)</f>
        <v>43584</v>
      </c>
      <c r="E210" s="502">
        <f>IFERROR(__xludf.DUMMYFUNCTION("""COMPUTED_VALUE"""),43590.0)</f>
        <v>43590</v>
      </c>
      <c r="F210" s="501" t="str">
        <f>IFERROR(__xludf.DUMMYFUNCTION("""COMPUTED_VALUE"""),"Moederdag")</f>
        <v>Moederdag</v>
      </c>
      <c r="G210" s="503" t="str">
        <f>IFERROR(__xludf.DUMMYFUNCTION("""COMPUTED_VALUE"""),"Free wrapping")</f>
        <v>Free wrapping</v>
      </c>
      <c r="H210" s="501" t="str">
        <f>IFERROR(__xludf.DUMMYFUNCTION("""COMPUTED_VALUE"""),"€1 personalised wrapping")</f>
        <v>€1 personalised wrapping</v>
      </c>
      <c r="I210" s="503" t="str">
        <f>IFERROR(__xludf.DUMMYFUNCTION("""COMPUTED_VALUE"""),"Exclusief bij Greetz / Echt uitpakken? Laat je cadeautje dan inpakken in cadeaupapier met naam of eigen foto. ")</f>
        <v>Exclusief bij Greetz / Echt uitpakken? Laat je cadeautje dan inpakken in cadeaupapier met naam of eigen foto. </v>
      </c>
      <c r="J210" s="501" t="str">
        <f>IFERROR(__xludf.DUMMYFUNCTION("""COMPUTED_VALUE"""),"Briefen")</f>
        <v>Briefen</v>
      </c>
      <c r="K210" s="505" t="str">
        <f>IFERROR(__xludf.DUMMYFUNCTION("""COMPUTED_VALUE""")," Hoofddoelgroep ")</f>
        <v>Hoofddoelgroep</v>
      </c>
      <c r="L210" s="506">
        <f>IFERROR(__xludf.DUMMYFUNCTION("""COMPUTED_VALUE"""),1000.0)</f>
        <v>1000</v>
      </c>
      <c r="M210" s="504">
        <f>IFERROR(__xludf.DUMMYFUNCTION("""COMPUTED_VALUE"""),7.0)</f>
        <v>7</v>
      </c>
      <c r="N210" s="501" t="str">
        <f>IFERROR(__xludf.DUMMYFUNCTION("""COMPUTED_VALUE"""),"Product")</f>
        <v>Product</v>
      </c>
      <c r="O210" s="501" t="str">
        <f>IFERROR(__xludf.DUMMYFUNCTION("""COMPUTED_VALUE"""),"Facebook")</f>
        <v>Facebook</v>
      </c>
      <c r="P210" s="503" t="str">
        <f>IFERROR(__xludf.DUMMYFUNCTION("""COMPUTED_VALUE"""),"Facebook - Do - Retailcampaigning")</f>
        <v>Facebook - Do - Retailcampaigning</v>
      </c>
      <c r="Q210" s="501" t="str">
        <f>IFERROR(__xludf.DUMMYFUNCTION("""COMPUTED_VALUE"""),"Conversie - Landingspagina")</f>
        <v>Conversie - Landingspagina</v>
      </c>
      <c r="R210" s="501" t="str">
        <f>IFERROR(__xludf.DUMMYFUNCTION("""COMPUTED_VALUE"""),"Dark")</f>
        <v>Dark</v>
      </c>
      <c r="S210" s="503" t="str">
        <f>IFERROR(__xludf.DUMMYFUNCTION("""COMPUTED_VALUE"""),"/cadeaupapier carousel. OTS producten Moederdag vs EVD pakken")</f>
        <v>/cadeaupapier carousel. OTS producten Moederdag vs EVD pakken</v>
      </c>
      <c r="T210" s="503" t="str">
        <f>IFERROR(__xludf.DUMMYFUNCTION("""COMPUTED_VALUE"""),"utm_source=facebook&amp;utm_medium=socialmedia&amp;utm_campaign=facebook_-_do_-_retailcampaigning&amp;utm_content=€1personalisedwrapping&amp;referrer=facebook")</f>
        <v>utm_source=facebook&amp;utm_medium=socialmedia&amp;utm_campaign=facebook_-_do_-_retailcampaigning&amp;utm_content=€1personalisedwrapping&amp;referrer=facebook</v>
      </c>
    </row>
    <row r="211">
      <c r="A211" s="501" t="str">
        <f>IFERROR(__xludf.DUMMYFUNCTION("""COMPUTED_VALUE"""),"april")</f>
        <v>april</v>
      </c>
      <c r="B211" s="501">
        <f>IFERROR(__xludf.DUMMYFUNCTION("""COMPUTED_VALUE"""),18.0)</f>
        <v>18</v>
      </c>
      <c r="C211" s="501" t="str">
        <f>IFERROR(__xludf.DUMMYFUNCTION("""COMPUTED_VALUE"""),"dinsdag")</f>
        <v>dinsdag</v>
      </c>
      <c r="D211" s="502">
        <f>IFERROR(__xludf.DUMMYFUNCTION("""COMPUTED_VALUE"""),43585.0)</f>
        <v>43585</v>
      </c>
      <c r="E211" s="502">
        <f>IFERROR(__xludf.DUMMYFUNCTION("""COMPUTED_VALUE"""),43585.0)</f>
        <v>43585</v>
      </c>
      <c r="F211" s="501" t="str">
        <f>IFERROR(__xludf.DUMMYFUNCTION("""COMPUTED_VALUE"""),"")</f>
        <v/>
      </c>
      <c r="G211" s="503" t="str">
        <f>IFERROR(__xludf.DUMMYFUNCTION("""COMPUTED_VALUE"""),"")</f>
        <v/>
      </c>
      <c r="H211" s="501" t="str">
        <f>IFERROR(__xludf.DUMMYFUNCTION("""COMPUTED_VALUE"""),"")</f>
        <v/>
      </c>
      <c r="I211" s="503" t="str">
        <f>IFERROR(__xludf.DUMMYFUNCTION("""COMPUTED_VALUE"""),"")</f>
        <v/>
      </c>
      <c r="J211" s="501" t="str">
        <f>IFERROR(__xludf.DUMMYFUNCTION("""COMPUTED_VALUE"""),"")</f>
        <v/>
      </c>
      <c r="K211" s="503" t="str">
        <f>IFERROR(__xludf.DUMMYFUNCTION("""COMPUTED_VALUE"""),"")</f>
        <v/>
      </c>
      <c r="L211" s="501" t="str">
        <f>IFERROR(__xludf.DUMMYFUNCTION("""COMPUTED_VALUE"""),"")</f>
        <v/>
      </c>
      <c r="M211" s="504">
        <f>IFERROR(__xludf.DUMMYFUNCTION("""COMPUTED_VALUE"""),1.0)</f>
        <v>1</v>
      </c>
      <c r="N211" s="501" t="str">
        <f>IFERROR(__xludf.DUMMYFUNCTION("""COMPUTED_VALUE"""),"")</f>
        <v/>
      </c>
      <c r="O211" s="501" t="str">
        <f>IFERROR(__xludf.DUMMYFUNCTION("""COMPUTED_VALUE"""),"")</f>
        <v/>
      </c>
      <c r="P211" s="503" t="str">
        <f>IFERROR(__xludf.DUMMYFUNCTION("""COMPUTED_VALUE"""),"")</f>
        <v/>
      </c>
      <c r="Q211" s="501" t="str">
        <f>IFERROR(__xludf.DUMMYFUNCTION("""COMPUTED_VALUE"""),"")</f>
        <v/>
      </c>
      <c r="R211" s="501" t="str">
        <f>IFERROR(__xludf.DUMMYFUNCTION("""COMPUTED_VALUE"""),"")</f>
        <v/>
      </c>
      <c r="S211" s="503" t="str">
        <f>IFERROR(__xludf.DUMMYFUNCTION("""COMPUTED_VALUE"""),"")</f>
        <v/>
      </c>
      <c r="T211" s="503" t="str">
        <f>IFERROR(__xludf.DUMMYFUNCTION("""COMPUTED_VALUE"""),"utm_source=facebook&amp;utm_medium=socialmedia&amp;utm_campaign=&amp;utm_content=&amp;referrer=facebook")</f>
        <v>utm_source=facebook&amp;utm_medium=socialmedia&amp;utm_campaign=&amp;utm_content=&amp;referrer=facebook</v>
      </c>
    </row>
    <row r="212">
      <c r="A212" s="501" t="str">
        <f>IFERROR(__xludf.DUMMYFUNCTION("""COMPUTED_VALUE"""),"mei")</f>
        <v>mei</v>
      </c>
      <c r="B212" s="501">
        <f>IFERROR(__xludf.DUMMYFUNCTION("""COMPUTED_VALUE"""),18.0)</f>
        <v>18</v>
      </c>
      <c r="C212" s="501" t="str">
        <f>IFERROR(__xludf.DUMMYFUNCTION("""COMPUTED_VALUE"""),"woensdag")</f>
        <v>woensdag</v>
      </c>
      <c r="D212" s="502">
        <f>IFERROR(__xludf.DUMMYFUNCTION("""COMPUTED_VALUE"""),43586.0)</f>
        <v>43586</v>
      </c>
      <c r="E212" s="502">
        <f>IFERROR(__xludf.DUMMYFUNCTION("""COMPUTED_VALUE"""),43615.0)</f>
        <v>43615</v>
      </c>
      <c r="F212" s="501" t="str">
        <f>IFERROR(__xludf.DUMMYFUNCTION("""COMPUTED_VALUE"""),"")</f>
        <v/>
      </c>
      <c r="G212" s="503" t="str">
        <f>IFERROR(__xludf.DUMMYFUNCTION("""COMPUTED_VALUE"""),"")</f>
        <v/>
      </c>
      <c r="H212" s="501" t="str">
        <f>IFERROR(__xludf.DUMMYFUNCTION("""COMPUTED_VALUE"""),"AOC verhuizen do")</f>
        <v>AOC verhuizen do</v>
      </c>
      <c r="I212" s="503" t="str">
        <f>IFERROR(__xludf.DUMMYFUNCTION("""COMPUTED_VALUE"""),"")</f>
        <v/>
      </c>
      <c r="J212" s="501" t="str">
        <f>IFERROR(__xludf.DUMMYFUNCTION("""COMPUTED_VALUE"""),"Staat klaar")</f>
        <v>Staat klaar</v>
      </c>
      <c r="K212" s="505" t="str">
        <f>IFERROR(__xludf.DUMMYFUNCTION("""COMPUTED_VALUE""")," URl bevat nieuwe woning 14 dagen ")</f>
        <v>URl bevat nieuwe woning 14 dagen</v>
      </c>
      <c r="L212" s="506">
        <f>IFERROR(__xludf.DUMMYFUNCTION("""COMPUTED_VALUE"""),300.0)</f>
        <v>300</v>
      </c>
      <c r="M212" s="504">
        <f>IFERROR(__xludf.DUMMYFUNCTION("""COMPUTED_VALUE"""),30.0)</f>
        <v>30</v>
      </c>
      <c r="N212" s="501" t="str">
        <f>IFERROR(__xludf.DUMMYFUNCTION("""COMPUTED_VALUE"""),"Product")</f>
        <v>Product</v>
      </c>
      <c r="O212" s="501" t="str">
        <f>IFERROR(__xludf.DUMMYFUNCTION("""COMPUTED_VALUE"""),"Facebook")</f>
        <v>Facebook</v>
      </c>
      <c r="P212" s="503" t="str">
        <f>IFERROR(__xludf.DUMMYFUNCTION("""COMPUTED_VALUE"""),"Facebook - Do - AOC")</f>
        <v>Facebook - Do - AOC</v>
      </c>
      <c r="Q212" s="501" t="str">
        <f>IFERROR(__xludf.DUMMYFUNCTION("""COMPUTED_VALUE"""),"Conversie - Waarde")</f>
        <v>Conversie - Waarde</v>
      </c>
      <c r="R212" s="501" t="str">
        <f>IFERROR(__xludf.DUMMYFUNCTION("""COMPUTED_VALUE"""),"Dark")</f>
        <v>Dark</v>
      </c>
      <c r="S212" s="503" t="str">
        <f>IFERROR(__xludf.DUMMYFUNCTION("""COMPUTED_VALUE"""),"")</f>
        <v/>
      </c>
      <c r="T212"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213">
      <c r="A213" s="501" t="str">
        <f>IFERROR(__xludf.DUMMYFUNCTION("""COMPUTED_VALUE"""),"mei")</f>
        <v>mei</v>
      </c>
      <c r="B213" s="501">
        <f>IFERROR(__xludf.DUMMYFUNCTION("""COMPUTED_VALUE"""),18.0)</f>
        <v>18</v>
      </c>
      <c r="C213" s="501" t="str">
        <f>IFERROR(__xludf.DUMMYFUNCTION("""COMPUTED_VALUE"""),"woensdag")</f>
        <v>woensdag</v>
      </c>
      <c r="D213" s="502">
        <f>IFERROR(__xludf.DUMMYFUNCTION("""COMPUTED_VALUE"""),43586.0)</f>
        <v>43586</v>
      </c>
      <c r="E213" s="502">
        <f>IFERROR(__xludf.DUMMYFUNCTION("""COMPUTED_VALUE"""),43615.0)</f>
        <v>43615</v>
      </c>
      <c r="F213" s="501" t="str">
        <f>IFERROR(__xludf.DUMMYFUNCTION("""COMPUTED_VALUE"""),"")</f>
        <v/>
      </c>
      <c r="G213" s="503" t="str">
        <f>IFERROR(__xludf.DUMMYFUNCTION("""COMPUTED_VALUE"""),"")</f>
        <v/>
      </c>
      <c r="H213" s="501" t="str">
        <f>IFERROR(__xludf.DUMMYFUNCTION("""COMPUTED_VALUE"""),"AOC verjaardag do")</f>
        <v>AOC verjaardag do</v>
      </c>
      <c r="I213" s="503" t="str">
        <f>IFERROR(__xludf.DUMMYFUNCTION("""COMPUTED_VALUE"""),"")</f>
        <v/>
      </c>
      <c r="J213" s="501" t="str">
        <f>IFERROR(__xludf.DUMMYFUNCTION("""COMPUTED_VALUE"""),"Staat klaar")</f>
        <v>Staat klaar</v>
      </c>
      <c r="K213" s="505" t="str">
        <f>IFERROR(__xludf.DUMMYFUNCTION("""COMPUTED_VALUE""")," Goeie vrienden van jarige 7-30 dagen ")</f>
        <v>Goeie vrienden van jarige 7-30 dagen</v>
      </c>
      <c r="L213" s="506">
        <f>IFERROR(__xludf.DUMMYFUNCTION("""COMPUTED_VALUE"""),300.0)</f>
        <v>300</v>
      </c>
      <c r="M213" s="504">
        <f>IFERROR(__xludf.DUMMYFUNCTION("""COMPUTED_VALUE"""),30.0)</f>
        <v>30</v>
      </c>
      <c r="N213" s="501" t="str">
        <f>IFERROR(__xludf.DUMMYFUNCTION("""COMPUTED_VALUE"""),"Product")</f>
        <v>Product</v>
      </c>
      <c r="O213" s="501" t="str">
        <f>IFERROR(__xludf.DUMMYFUNCTION("""COMPUTED_VALUE"""),"Facebook")</f>
        <v>Facebook</v>
      </c>
      <c r="P213" s="503" t="str">
        <f>IFERROR(__xludf.DUMMYFUNCTION("""COMPUTED_VALUE"""),"Facebook - Do - AOC")</f>
        <v>Facebook - Do - AOC</v>
      </c>
      <c r="Q213" s="501" t="str">
        <f>IFERROR(__xludf.DUMMYFUNCTION("""COMPUTED_VALUE"""),"Conversie - Waarde")</f>
        <v>Conversie - Waarde</v>
      </c>
      <c r="R213" s="501" t="str">
        <f>IFERROR(__xludf.DUMMYFUNCTION("""COMPUTED_VALUE"""),"Dark")</f>
        <v>Dark</v>
      </c>
      <c r="S213" s="503" t="str">
        <f>IFERROR(__xludf.DUMMYFUNCTION("""COMPUTED_VALUE"""),"")</f>
        <v/>
      </c>
      <c r="T213"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14">
      <c r="A214" s="501" t="str">
        <f>IFERROR(__xludf.DUMMYFUNCTION("""COMPUTED_VALUE"""),"mei")</f>
        <v>mei</v>
      </c>
      <c r="B214" s="501">
        <f>IFERROR(__xludf.DUMMYFUNCTION("""COMPUTED_VALUE"""),18.0)</f>
        <v>18</v>
      </c>
      <c r="C214" s="501" t="str">
        <f>IFERROR(__xludf.DUMMYFUNCTION("""COMPUTED_VALUE"""),"woensdag")</f>
        <v>woensdag</v>
      </c>
      <c r="D214" s="502">
        <f>IFERROR(__xludf.DUMMYFUNCTION("""COMPUTED_VALUE"""),43586.0)</f>
        <v>43586</v>
      </c>
      <c r="E214" s="502">
        <f>IFERROR(__xludf.DUMMYFUNCTION("""COMPUTED_VALUE"""),43615.0)</f>
        <v>43615</v>
      </c>
      <c r="F214" s="501" t="str">
        <f>IFERROR(__xludf.DUMMYFUNCTION("""COMPUTED_VALUE"""),"")</f>
        <v/>
      </c>
      <c r="G214" s="503" t="str">
        <f>IFERROR(__xludf.DUMMYFUNCTION("""COMPUTED_VALUE"""),"")</f>
        <v/>
      </c>
      <c r="H214" s="501" t="str">
        <f>IFERROR(__xludf.DUMMYFUNCTION("""COMPUTED_VALUE"""),"AOC verjaardag do")</f>
        <v>AOC verjaardag do</v>
      </c>
      <c r="I214" s="503" t="str">
        <f>IFERROR(__xludf.DUMMYFUNCTION("""COMPUTED_VALUE"""),"")</f>
        <v/>
      </c>
      <c r="J214" s="501" t="str">
        <f>IFERROR(__xludf.DUMMYFUNCTION("""COMPUTED_VALUE"""),"Staat klaar")</f>
        <v>Staat klaar</v>
      </c>
      <c r="K214" s="505" t="str">
        <f>IFERROR(__xludf.DUMMYFUNCTION("""COMPUTED_VALUE""")," URL bevat verjaardag 2-7 dagen ")</f>
        <v>URL bevat verjaardag 2-7 dagen</v>
      </c>
      <c r="L214" s="506">
        <f>IFERROR(__xludf.DUMMYFUNCTION("""COMPUTED_VALUE"""),1200.0)</f>
        <v>1200</v>
      </c>
      <c r="M214" s="504">
        <f>IFERROR(__xludf.DUMMYFUNCTION("""COMPUTED_VALUE"""),30.0)</f>
        <v>30</v>
      </c>
      <c r="N214" s="501" t="str">
        <f>IFERROR(__xludf.DUMMYFUNCTION("""COMPUTED_VALUE"""),"Product")</f>
        <v>Product</v>
      </c>
      <c r="O214" s="501" t="str">
        <f>IFERROR(__xludf.DUMMYFUNCTION("""COMPUTED_VALUE"""),"Facebook")</f>
        <v>Facebook</v>
      </c>
      <c r="P214" s="503" t="str">
        <f>IFERROR(__xludf.DUMMYFUNCTION("""COMPUTED_VALUE"""),"Facebook - Do - AOC")</f>
        <v>Facebook - Do - AOC</v>
      </c>
      <c r="Q214" s="501" t="str">
        <f>IFERROR(__xludf.DUMMYFUNCTION("""COMPUTED_VALUE"""),"Conversie - Waarde")</f>
        <v>Conversie - Waarde</v>
      </c>
      <c r="R214" s="501" t="str">
        <f>IFERROR(__xludf.DUMMYFUNCTION("""COMPUTED_VALUE"""),"Dark")</f>
        <v>Dark</v>
      </c>
      <c r="S214" s="503" t="str">
        <f>IFERROR(__xludf.DUMMYFUNCTION("""COMPUTED_VALUE"""),"")</f>
        <v/>
      </c>
      <c r="T214"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15">
      <c r="A215" s="501" t="str">
        <f>IFERROR(__xludf.DUMMYFUNCTION("""COMPUTED_VALUE"""),"mei")</f>
        <v>mei</v>
      </c>
      <c r="B215" s="501">
        <f>IFERROR(__xludf.DUMMYFUNCTION("""COMPUTED_VALUE"""),18.0)</f>
        <v>18</v>
      </c>
      <c r="C215" s="501" t="str">
        <f>IFERROR(__xludf.DUMMYFUNCTION("""COMPUTED_VALUE"""),"woensdag")</f>
        <v>woensdag</v>
      </c>
      <c r="D215" s="502">
        <f>IFERROR(__xludf.DUMMYFUNCTION("""COMPUTED_VALUE"""),43586.0)</f>
        <v>43586</v>
      </c>
      <c r="E215" s="502">
        <f>IFERROR(__xludf.DUMMYFUNCTION("""COMPUTED_VALUE"""),43615.0)</f>
        <v>43615</v>
      </c>
      <c r="F215" s="501" t="str">
        <f>IFERROR(__xludf.DUMMYFUNCTION("""COMPUTED_VALUE"""),"")</f>
        <v/>
      </c>
      <c r="G215" s="503" t="str">
        <f>IFERROR(__xludf.DUMMYFUNCTION("""COMPUTED_VALUE"""),"")</f>
        <v/>
      </c>
      <c r="H215" s="501" t="str">
        <f>IFERROR(__xludf.DUMMYFUNCTION("""COMPUTED_VALUE"""),"AOC geboorte do")</f>
        <v>AOC geboorte do</v>
      </c>
      <c r="I215" s="503" t="str">
        <f>IFERROR(__xludf.DUMMYFUNCTION("""COMPUTED_VALUE"""),"")</f>
        <v/>
      </c>
      <c r="J215" s="501" t="str">
        <f>IFERROR(__xludf.DUMMYFUNCTION("""COMPUTED_VALUE"""),"Staat klaar")</f>
        <v>Staat klaar</v>
      </c>
      <c r="K215" s="505" t="str">
        <f>IFERROR(__xludf.DUMMYFUNCTION("""COMPUTED_VALUE""")," URL bevat geboorte 2-7 dagen ")</f>
        <v>URL bevat geboorte 2-7 dagen</v>
      </c>
      <c r="L215" s="506">
        <f>IFERROR(__xludf.DUMMYFUNCTION("""COMPUTED_VALUE"""),1200.0)</f>
        <v>1200</v>
      </c>
      <c r="M215" s="504">
        <f>IFERROR(__xludf.DUMMYFUNCTION("""COMPUTED_VALUE"""),30.0)</f>
        <v>30</v>
      </c>
      <c r="N215" s="501" t="str">
        <f>IFERROR(__xludf.DUMMYFUNCTION("""COMPUTED_VALUE"""),"Product")</f>
        <v>Product</v>
      </c>
      <c r="O215" s="501" t="str">
        <f>IFERROR(__xludf.DUMMYFUNCTION("""COMPUTED_VALUE"""),"Facebook")</f>
        <v>Facebook</v>
      </c>
      <c r="P215" s="503" t="str">
        <f>IFERROR(__xludf.DUMMYFUNCTION("""COMPUTED_VALUE"""),"Facebook - Do - AOC")</f>
        <v>Facebook - Do - AOC</v>
      </c>
      <c r="Q215" s="501" t="str">
        <f>IFERROR(__xludf.DUMMYFUNCTION("""COMPUTED_VALUE"""),"Conversie - Waarde")</f>
        <v>Conversie - Waarde</v>
      </c>
      <c r="R215" s="501" t="str">
        <f>IFERROR(__xludf.DUMMYFUNCTION("""COMPUTED_VALUE"""),"Dark")</f>
        <v>Dark</v>
      </c>
      <c r="S215" s="503" t="str">
        <f>IFERROR(__xludf.DUMMYFUNCTION("""COMPUTED_VALUE"""),"")</f>
        <v/>
      </c>
      <c r="T215"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216">
      <c r="A216" s="501" t="str">
        <f>IFERROR(__xludf.DUMMYFUNCTION("""COMPUTED_VALUE"""),"mei")</f>
        <v>mei</v>
      </c>
      <c r="B216" s="501">
        <f>IFERROR(__xludf.DUMMYFUNCTION("""COMPUTED_VALUE"""),18.0)</f>
        <v>18</v>
      </c>
      <c r="C216" s="501" t="str">
        <f>IFERROR(__xludf.DUMMYFUNCTION("""COMPUTED_VALUE"""),"woensdag")</f>
        <v>woensdag</v>
      </c>
      <c r="D216" s="502">
        <f>IFERROR(__xludf.DUMMYFUNCTION("""COMPUTED_VALUE"""),43586.0)</f>
        <v>43586</v>
      </c>
      <c r="E216" s="502">
        <f>IFERROR(__xludf.DUMMYFUNCTION("""COMPUTED_VALUE"""),43615.0)</f>
        <v>43615</v>
      </c>
      <c r="F216" s="501" t="str">
        <f>IFERROR(__xludf.DUMMYFUNCTION("""COMPUTED_VALUE"""),"")</f>
        <v/>
      </c>
      <c r="G216" s="503" t="str">
        <f>IFERROR(__xludf.DUMMYFUNCTION("""COMPUTED_VALUE"""),"")</f>
        <v/>
      </c>
      <c r="H216" s="501" t="str">
        <f>IFERROR(__xludf.DUMMYFUNCTION("""COMPUTED_VALUE"""),"AOC verhuizen think")</f>
        <v>AOC verhuizen think</v>
      </c>
      <c r="I216" s="503" t="str">
        <f>IFERROR(__xludf.DUMMYFUNCTION("""COMPUTED_VALUE"""),"")</f>
        <v/>
      </c>
      <c r="J216" s="501" t="str">
        <f>IFERROR(__xludf.DUMMYFUNCTION("""COMPUTED_VALUE"""),"Staat klaar")</f>
        <v>Staat klaar</v>
      </c>
      <c r="K216" s="505" t="str">
        <f>IFERROR(__xludf.DUMMYFUNCTION("""COMPUTED_VALUE""")," Vrienden van recent verhuisd ")</f>
        <v>Vrienden van recent verhuisd</v>
      </c>
      <c r="L216" s="506">
        <f>IFERROR(__xludf.DUMMYFUNCTION("""COMPUTED_VALUE"""),300.0)</f>
        <v>300</v>
      </c>
      <c r="M216" s="504">
        <f>IFERROR(__xludf.DUMMYFUNCTION("""COMPUTED_VALUE"""),30.0)</f>
        <v>30</v>
      </c>
      <c r="N216" s="501" t="str">
        <f>IFERROR(__xludf.DUMMYFUNCTION("""COMPUTED_VALUE"""),"Geven/ontvangen")</f>
        <v>Geven/ontvangen</v>
      </c>
      <c r="O216" s="501" t="str">
        <f>IFERROR(__xludf.DUMMYFUNCTION("""COMPUTED_VALUE"""),"Facebook")</f>
        <v>Facebook</v>
      </c>
      <c r="P216" s="503" t="str">
        <f>IFERROR(__xludf.DUMMYFUNCTION("""COMPUTED_VALUE"""),"Facebook - Think - AOC")</f>
        <v>Facebook - Think - AOC</v>
      </c>
      <c r="Q216" s="501" t="str">
        <f>IFERROR(__xludf.DUMMYFUNCTION("""COMPUTED_VALUE"""),"Conversie - Landingspagina")</f>
        <v>Conversie - Landingspagina</v>
      </c>
      <c r="R216" s="501" t="str">
        <f>IFERROR(__xludf.DUMMYFUNCTION("""COMPUTED_VALUE"""),"Dark")</f>
        <v>Dark</v>
      </c>
      <c r="S216" s="503" t="str">
        <f>IFERROR(__xludf.DUMMYFUNCTION("""COMPUTED_VALUE"""),"")</f>
        <v/>
      </c>
      <c r="T216"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217">
      <c r="A217" s="501" t="str">
        <f>IFERROR(__xludf.DUMMYFUNCTION("""COMPUTED_VALUE"""),"mei")</f>
        <v>mei</v>
      </c>
      <c r="B217" s="501">
        <f>IFERROR(__xludf.DUMMYFUNCTION("""COMPUTED_VALUE"""),18.0)</f>
        <v>18</v>
      </c>
      <c r="C217" s="501" t="str">
        <f>IFERROR(__xludf.DUMMYFUNCTION("""COMPUTED_VALUE"""),"woensdag")</f>
        <v>woensdag</v>
      </c>
      <c r="D217" s="502">
        <f>IFERROR(__xludf.DUMMYFUNCTION("""COMPUTED_VALUE"""),43586.0)</f>
        <v>43586</v>
      </c>
      <c r="E217" s="502">
        <f>IFERROR(__xludf.DUMMYFUNCTION("""COMPUTED_VALUE"""),43615.0)</f>
        <v>43615</v>
      </c>
      <c r="F217" s="501" t="str">
        <f>IFERROR(__xludf.DUMMYFUNCTION("""COMPUTED_VALUE"""),"")</f>
        <v/>
      </c>
      <c r="G217" s="503" t="str">
        <f>IFERROR(__xludf.DUMMYFUNCTION("""COMPUTED_VALUE"""),"")</f>
        <v/>
      </c>
      <c r="H217" s="501" t="str">
        <f>IFERROR(__xludf.DUMMYFUNCTION("""COMPUTED_VALUE"""),"AOC verhuizen see")</f>
        <v>AOC verhuizen see</v>
      </c>
      <c r="I217" s="503" t="str">
        <f>IFERROR(__xludf.DUMMYFUNCTION("""COMPUTED_VALUE"""),"")</f>
        <v/>
      </c>
      <c r="J217" s="501" t="str">
        <f>IFERROR(__xludf.DUMMYFUNCTION("""COMPUTED_VALUE"""),"Staat klaar")</f>
        <v>Staat klaar</v>
      </c>
      <c r="K217" s="505" t="str">
        <f>IFERROR(__xludf.DUMMYFUNCTION("""COMPUTED_VALUE""")," Vrouw 25-64 (excl klanten, vrienden van verhuisde personen en fans) ")</f>
        <v>Vrouw 25-64 (excl klanten, vrienden van verhuisde personen en fans)</v>
      </c>
      <c r="L217" s="506">
        <f>IFERROR(__xludf.DUMMYFUNCTION("""COMPUTED_VALUE"""),600.0)</f>
        <v>600</v>
      </c>
      <c r="M217" s="504">
        <f>IFERROR(__xludf.DUMMYFUNCTION("""COMPUTED_VALUE"""),30.0)</f>
        <v>30</v>
      </c>
      <c r="N217" s="501" t="str">
        <f>IFERROR(__xludf.DUMMYFUNCTION("""COMPUTED_VALUE"""),"Merk")</f>
        <v>Merk</v>
      </c>
      <c r="O217" s="501" t="str">
        <f>IFERROR(__xludf.DUMMYFUNCTION("""COMPUTED_VALUE"""),"FB + Instagram")</f>
        <v>FB + Instagram</v>
      </c>
      <c r="P217" s="503" t="str">
        <f>IFERROR(__xludf.DUMMYFUNCTION("""COMPUTED_VALUE"""),"Facebook - See - AOC")</f>
        <v>Facebook - See - AOC</v>
      </c>
      <c r="Q217" s="501" t="str">
        <f>IFERROR(__xludf.DUMMYFUNCTION("""COMPUTED_VALUE"""),"Bereik")</f>
        <v>Bereik</v>
      </c>
      <c r="R217" s="501" t="str">
        <f>IFERROR(__xludf.DUMMYFUNCTION("""COMPUTED_VALUE"""),"Dark")</f>
        <v>Dark</v>
      </c>
      <c r="S217" s="503" t="str">
        <f>IFERROR(__xludf.DUMMYFUNCTION("""COMPUTED_VALUE"""),"")</f>
        <v/>
      </c>
      <c r="T217"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218">
      <c r="A218" s="501" t="str">
        <f>IFERROR(__xludf.DUMMYFUNCTION("""COMPUTED_VALUE"""),"mei")</f>
        <v>mei</v>
      </c>
      <c r="B218" s="501">
        <f>IFERROR(__xludf.DUMMYFUNCTION("""COMPUTED_VALUE"""),18.0)</f>
        <v>18</v>
      </c>
      <c r="C218" s="501" t="str">
        <f>IFERROR(__xludf.DUMMYFUNCTION("""COMPUTED_VALUE"""),"woensdag")</f>
        <v>woensdag</v>
      </c>
      <c r="D218" s="502">
        <f>IFERROR(__xludf.DUMMYFUNCTION("""COMPUTED_VALUE"""),43586.0)</f>
        <v>43586</v>
      </c>
      <c r="E218" s="502">
        <f>IFERROR(__xludf.DUMMYFUNCTION("""COMPUTED_VALUE"""),43615.0)</f>
        <v>43615</v>
      </c>
      <c r="F218" s="501" t="str">
        <f>IFERROR(__xludf.DUMMYFUNCTION("""COMPUTED_VALUE"""),"")</f>
        <v/>
      </c>
      <c r="G218" s="503" t="str">
        <f>IFERROR(__xludf.DUMMYFUNCTION("""COMPUTED_VALUE"""),"")</f>
        <v/>
      </c>
      <c r="H218" s="501" t="str">
        <f>IFERROR(__xludf.DUMMYFUNCTION("""COMPUTED_VALUE"""),"AOC verjaardag see")</f>
        <v>AOC verjaardag see</v>
      </c>
      <c r="I218" s="503" t="str">
        <f>IFERROR(__xludf.DUMMYFUNCTION("""COMPUTED_VALUE"""),"")</f>
        <v/>
      </c>
      <c r="J218" s="501" t="str">
        <f>IFERROR(__xludf.DUMMYFUNCTION("""COMPUTED_VALUE"""),"Staat klaar")</f>
        <v>Staat klaar</v>
      </c>
      <c r="K218" s="505" t="str">
        <f>IFERROR(__xludf.DUMMYFUNCTION("""COMPUTED_VALUE""")," See - Geboorte ")</f>
        <v>See - Geboorte</v>
      </c>
      <c r="L218" s="506">
        <f>IFERROR(__xludf.DUMMYFUNCTION("""COMPUTED_VALUE"""),1200.0)</f>
        <v>1200</v>
      </c>
      <c r="M218" s="504">
        <f>IFERROR(__xludf.DUMMYFUNCTION("""COMPUTED_VALUE"""),30.0)</f>
        <v>30</v>
      </c>
      <c r="N218" s="501" t="str">
        <f>IFERROR(__xludf.DUMMYFUNCTION("""COMPUTED_VALUE"""),"Merk")</f>
        <v>Merk</v>
      </c>
      <c r="O218" s="501" t="str">
        <f>IFERROR(__xludf.DUMMYFUNCTION("""COMPUTED_VALUE"""),"FB + Instagram")</f>
        <v>FB + Instagram</v>
      </c>
      <c r="P218" s="503" t="str">
        <f>IFERROR(__xludf.DUMMYFUNCTION("""COMPUTED_VALUE"""),"Facebook - See - AOC")</f>
        <v>Facebook - See - AOC</v>
      </c>
      <c r="Q218" s="501" t="str">
        <f>IFERROR(__xludf.DUMMYFUNCTION("""COMPUTED_VALUE"""),"Bereik")</f>
        <v>Bereik</v>
      </c>
      <c r="R218" s="501" t="str">
        <f>IFERROR(__xludf.DUMMYFUNCTION("""COMPUTED_VALUE"""),"Dark")</f>
        <v>Dark</v>
      </c>
      <c r="S218" s="503" t="str">
        <f>IFERROR(__xludf.DUMMYFUNCTION("""COMPUTED_VALUE"""),"")</f>
        <v/>
      </c>
      <c r="T218"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219">
      <c r="A219" s="501" t="str">
        <f>IFERROR(__xludf.DUMMYFUNCTION("""COMPUTED_VALUE"""),"mei")</f>
        <v>mei</v>
      </c>
      <c r="B219" s="501">
        <f>IFERROR(__xludf.DUMMYFUNCTION("""COMPUTED_VALUE"""),18.0)</f>
        <v>18</v>
      </c>
      <c r="C219" s="501" t="str">
        <f>IFERROR(__xludf.DUMMYFUNCTION("""COMPUTED_VALUE"""),"woensdag")</f>
        <v>woensdag</v>
      </c>
      <c r="D219" s="502">
        <f>IFERROR(__xludf.DUMMYFUNCTION("""COMPUTED_VALUE"""),43586.0)</f>
        <v>43586</v>
      </c>
      <c r="E219" s="502">
        <f>IFERROR(__xludf.DUMMYFUNCTION("""COMPUTED_VALUE"""),43615.0)</f>
        <v>43615</v>
      </c>
      <c r="F219" s="501" t="str">
        <f>IFERROR(__xludf.DUMMYFUNCTION("""COMPUTED_VALUE"""),"")</f>
        <v/>
      </c>
      <c r="G219" s="503" t="str">
        <f>IFERROR(__xludf.DUMMYFUNCTION("""COMPUTED_VALUE"""),"")</f>
        <v/>
      </c>
      <c r="H219" s="501" t="str">
        <f>IFERROR(__xludf.DUMMYFUNCTION("""COMPUTED_VALUE"""),"AOC geboorte see")</f>
        <v>AOC geboorte see</v>
      </c>
      <c r="I219" s="503" t="str">
        <f>IFERROR(__xludf.DUMMYFUNCTION("""COMPUTED_VALUE"""),"")</f>
        <v/>
      </c>
      <c r="J219" s="501" t="str">
        <f>IFERROR(__xludf.DUMMYFUNCTION("""COMPUTED_VALUE"""),"Staat klaar")</f>
        <v>Staat klaar</v>
      </c>
      <c r="K219" s="505" t="str">
        <f>IFERROR(__xludf.DUMMYFUNCTION("""COMPUTED_VALUE""")," See - Verjaardag ")</f>
        <v>See - Verjaardag</v>
      </c>
      <c r="L219" s="506">
        <f>IFERROR(__xludf.DUMMYFUNCTION("""COMPUTED_VALUE"""),2400.0)</f>
        <v>2400</v>
      </c>
      <c r="M219" s="504">
        <f>IFERROR(__xludf.DUMMYFUNCTION("""COMPUTED_VALUE"""),30.0)</f>
        <v>30</v>
      </c>
      <c r="N219" s="501" t="str">
        <f>IFERROR(__xludf.DUMMYFUNCTION("""COMPUTED_VALUE"""),"Merk")</f>
        <v>Merk</v>
      </c>
      <c r="O219" s="501" t="str">
        <f>IFERROR(__xludf.DUMMYFUNCTION("""COMPUTED_VALUE"""),"FB + Instagram")</f>
        <v>FB + Instagram</v>
      </c>
      <c r="P219" s="503" t="str">
        <f>IFERROR(__xludf.DUMMYFUNCTION("""COMPUTED_VALUE"""),"Facebook - See - AOC")</f>
        <v>Facebook - See - AOC</v>
      </c>
      <c r="Q219" s="501" t="str">
        <f>IFERROR(__xludf.DUMMYFUNCTION("""COMPUTED_VALUE"""),"Bereik")</f>
        <v>Bereik</v>
      </c>
      <c r="R219" s="501" t="str">
        <f>IFERROR(__xludf.DUMMYFUNCTION("""COMPUTED_VALUE"""),"Dark")</f>
        <v>Dark</v>
      </c>
      <c r="S219" s="503" t="str">
        <f>IFERROR(__xludf.DUMMYFUNCTION("""COMPUTED_VALUE"""),"")</f>
        <v/>
      </c>
      <c r="T219"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220">
      <c r="A220" s="501" t="str">
        <f>IFERROR(__xludf.DUMMYFUNCTION("""COMPUTED_VALUE"""),"mei")</f>
        <v>mei</v>
      </c>
      <c r="B220" s="501">
        <f>IFERROR(__xludf.DUMMYFUNCTION("""COMPUTED_VALUE"""),18.0)</f>
        <v>18</v>
      </c>
      <c r="C220" s="501" t="str">
        <f>IFERROR(__xludf.DUMMYFUNCTION("""COMPUTED_VALUE"""),"woensdag")</f>
        <v>woensdag</v>
      </c>
      <c r="D220" s="502">
        <f>IFERROR(__xludf.DUMMYFUNCTION("""COMPUTED_VALUE"""),43586.0)</f>
        <v>43586</v>
      </c>
      <c r="E220" s="502">
        <f>IFERROR(__xludf.DUMMYFUNCTION("""COMPUTED_VALUE"""),43590.0)</f>
        <v>43590</v>
      </c>
      <c r="F220" s="501" t="str">
        <f>IFERROR(__xludf.DUMMYFUNCTION("""COMPUTED_VALUE"""),"")</f>
        <v/>
      </c>
      <c r="G220" s="503" t="str">
        <f>IFERROR(__xludf.DUMMYFUNCTION("""COMPUTED_VALUE"""),"")</f>
        <v/>
      </c>
      <c r="H220" s="501" t="str">
        <f>IFERROR(__xludf.DUMMYFUNCTION("""COMPUTED_VALUE"""),"Moederdag video met collega's")</f>
        <v>Moederdag video met collega's</v>
      </c>
      <c r="I220" s="503" t="str">
        <f>IFERROR(__xludf.DUMMYFUNCTION("""COMPUTED_VALUE"""),"Hoe verras jij haar met Moederdag? Zeg 'ik vind je geweldig' op jouw manier")</f>
        <v>Hoe verras jij haar met Moederdag? Zeg 'ik vind je geweldig' op jouw manier</v>
      </c>
      <c r="J220" s="501" t="str">
        <f>IFERROR(__xludf.DUMMYFUNCTION("""COMPUTED_VALUE"""),"Briefen")</f>
        <v>Briefen</v>
      </c>
      <c r="K220" s="505" t="str">
        <f>IFERROR(__xludf.DUMMYFUNCTION("""COMPUTED_VALUE""")," Hoofddoelgroep ")</f>
        <v>Hoofddoelgroep</v>
      </c>
      <c r="L220" s="506">
        <f>IFERROR(__xludf.DUMMYFUNCTION("""COMPUTED_VALUE"""),1000.0)</f>
        <v>1000</v>
      </c>
      <c r="M220" s="504">
        <f>IFERROR(__xludf.DUMMYFUNCTION("""COMPUTED_VALUE"""),5.0)</f>
        <v>5</v>
      </c>
      <c r="N220" s="501" t="str">
        <f>IFERROR(__xludf.DUMMYFUNCTION("""COMPUTED_VALUE"""),"Merk")</f>
        <v>Merk</v>
      </c>
      <c r="O220" s="501" t="str">
        <f>IFERROR(__xludf.DUMMYFUNCTION("""COMPUTED_VALUE"""),"FB + Instagram")</f>
        <v>FB + Instagram</v>
      </c>
      <c r="P220" s="503" t="str">
        <f>IFERROR(__xludf.DUMMYFUNCTION("""COMPUTED_VALUE"""),"Facebook - See - Retailcampaigning &amp; contentkalender")</f>
        <v>Facebook - See - Retailcampaigning &amp; contentkalender</v>
      </c>
      <c r="Q220" s="501" t="str">
        <f>IFERROR(__xludf.DUMMYFUNCTION("""COMPUTED_VALUE"""),"Bereik")</f>
        <v>Bereik</v>
      </c>
      <c r="R220" s="501" t="str">
        <f>IFERROR(__xludf.DUMMYFUNCTION("""COMPUTED_VALUE"""),"Dark")</f>
        <v>Dark</v>
      </c>
      <c r="S220" s="503" t="str">
        <f>IFERROR(__xludf.DUMMYFUNCTION("""COMPUTED_VALUE"""),"instant experience")</f>
        <v>instant experience</v>
      </c>
      <c r="T220" s="503" t="str">
        <f>IFERROR(__xludf.DUMMYFUNCTION("""COMPUTED_VALUE"""),"utm_source=facebook&amp;utm_medium=socialmedia&amp;utm_campaign=facebook_-_see_-_retailcampaigning_&amp;_contentkalender&amp;utm_content=moederdagvideometcollega's&amp;referrer=facebook")</f>
        <v>utm_source=facebook&amp;utm_medium=socialmedia&amp;utm_campaign=facebook_-_see_-_retailcampaigning_&amp;_contentkalender&amp;utm_content=moederdagvideometcollega's&amp;referrer=facebook</v>
      </c>
    </row>
    <row r="221">
      <c r="A221" s="501" t="str">
        <f>IFERROR(__xludf.DUMMYFUNCTION("""COMPUTED_VALUE"""),"mei")</f>
        <v>mei</v>
      </c>
      <c r="B221" s="501">
        <f>IFERROR(__xludf.DUMMYFUNCTION("""COMPUTED_VALUE"""),18.0)</f>
        <v>18</v>
      </c>
      <c r="C221" s="501" t="str">
        <f>IFERROR(__xludf.DUMMYFUNCTION("""COMPUTED_VALUE"""),"donderdag")</f>
        <v>donderdag</v>
      </c>
      <c r="D221" s="502">
        <f>IFERROR(__xludf.DUMMYFUNCTION("""COMPUTED_VALUE"""),43587.0)</f>
        <v>43587</v>
      </c>
      <c r="E221" s="502">
        <f>IFERROR(__xludf.DUMMYFUNCTION("""COMPUTED_VALUE"""),43587.0)</f>
        <v>43587</v>
      </c>
      <c r="F221" s="501" t="str">
        <f>IFERROR(__xludf.DUMMYFUNCTION("""COMPUTED_VALUE"""),"")</f>
        <v/>
      </c>
      <c r="G221" s="503" t="str">
        <f>IFERROR(__xludf.DUMMYFUNCTION("""COMPUTED_VALUE"""),"")</f>
        <v/>
      </c>
      <c r="H221" s="501" t="str">
        <f>IFERROR(__xludf.DUMMYFUNCTION("""COMPUTED_VALUE"""),"")</f>
        <v/>
      </c>
      <c r="I221" s="503" t="str">
        <f>IFERROR(__xludf.DUMMYFUNCTION("""COMPUTED_VALUE"""),"")</f>
        <v/>
      </c>
      <c r="J221" s="501" t="str">
        <f>IFERROR(__xludf.DUMMYFUNCTION("""COMPUTED_VALUE"""),"")</f>
        <v/>
      </c>
      <c r="K221" s="503" t="str">
        <f>IFERROR(__xludf.DUMMYFUNCTION("""COMPUTED_VALUE"""),"")</f>
        <v/>
      </c>
      <c r="L221" s="501" t="str">
        <f>IFERROR(__xludf.DUMMYFUNCTION("""COMPUTED_VALUE"""),"")</f>
        <v/>
      </c>
      <c r="M221" s="504">
        <f>IFERROR(__xludf.DUMMYFUNCTION("""COMPUTED_VALUE"""),1.0)</f>
        <v>1</v>
      </c>
      <c r="N221" s="501" t="str">
        <f>IFERROR(__xludf.DUMMYFUNCTION("""COMPUTED_VALUE"""),"")</f>
        <v/>
      </c>
      <c r="O221" s="501" t="str">
        <f>IFERROR(__xludf.DUMMYFUNCTION("""COMPUTED_VALUE"""),"")</f>
        <v/>
      </c>
      <c r="P221" s="503" t="str">
        <f>IFERROR(__xludf.DUMMYFUNCTION("""COMPUTED_VALUE"""),"")</f>
        <v/>
      </c>
      <c r="Q221" s="501" t="str">
        <f>IFERROR(__xludf.DUMMYFUNCTION("""COMPUTED_VALUE"""),"")</f>
        <v/>
      </c>
      <c r="R221" s="501" t="str">
        <f>IFERROR(__xludf.DUMMYFUNCTION("""COMPUTED_VALUE"""),"")</f>
        <v/>
      </c>
      <c r="S221" s="503" t="str">
        <f>IFERROR(__xludf.DUMMYFUNCTION("""COMPUTED_VALUE"""),"")</f>
        <v/>
      </c>
      <c r="T221" s="503" t="str">
        <f>IFERROR(__xludf.DUMMYFUNCTION("""COMPUTED_VALUE"""),"utm_source=facebook&amp;utm_medium=socialmedia&amp;utm_campaign=&amp;utm_content=&amp;referrer=facebook")</f>
        <v>utm_source=facebook&amp;utm_medium=socialmedia&amp;utm_campaign=&amp;utm_content=&amp;referrer=facebook</v>
      </c>
    </row>
    <row r="222">
      <c r="A222" s="501" t="str">
        <f>IFERROR(__xludf.DUMMYFUNCTION("""COMPUTED_VALUE"""),"mei")</f>
        <v>mei</v>
      </c>
      <c r="B222" s="501">
        <f>IFERROR(__xludf.DUMMYFUNCTION("""COMPUTED_VALUE"""),18.0)</f>
        <v>18</v>
      </c>
      <c r="C222" s="501" t="str">
        <f>IFERROR(__xludf.DUMMYFUNCTION("""COMPUTED_VALUE"""),"vrijdag")</f>
        <v>vrijdag</v>
      </c>
      <c r="D222" s="502">
        <f>IFERROR(__xludf.DUMMYFUNCTION("""COMPUTED_VALUE"""),43588.0)</f>
        <v>43588</v>
      </c>
      <c r="E222" s="502">
        <f>IFERROR(__xludf.DUMMYFUNCTION("""COMPUTED_VALUE"""),43588.0)</f>
        <v>43588</v>
      </c>
      <c r="F222" s="501" t="str">
        <f>IFERROR(__xludf.DUMMYFUNCTION("""COMPUTED_VALUE"""),"")</f>
        <v/>
      </c>
      <c r="G222" s="503" t="str">
        <f>IFERROR(__xludf.DUMMYFUNCTION("""COMPUTED_VALUE"""),"")</f>
        <v/>
      </c>
      <c r="H222" s="501" t="str">
        <f>IFERROR(__xludf.DUMMYFUNCTION("""COMPUTED_VALUE"""),"")</f>
        <v/>
      </c>
      <c r="I222" s="503" t="str">
        <f>IFERROR(__xludf.DUMMYFUNCTION("""COMPUTED_VALUE"""),"")</f>
        <v/>
      </c>
      <c r="J222" s="501" t="str">
        <f>IFERROR(__xludf.DUMMYFUNCTION("""COMPUTED_VALUE"""),"")</f>
        <v/>
      </c>
      <c r="K222" s="503" t="str">
        <f>IFERROR(__xludf.DUMMYFUNCTION("""COMPUTED_VALUE"""),"")</f>
        <v/>
      </c>
      <c r="L222" s="501" t="str">
        <f>IFERROR(__xludf.DUMMYFUNCTION("""COMPUTED_VALUE"""),"")</f>
        <v/>
      </c>
      <c r="M222" s="504">
        <f>IFERROR(__xludf.DUMMYFUNCTION("""COMPUTED_VALUE"""),1.0)</f>
        <v>1</v>
      </c>
      <c r="N222" s="501" t="str">
        <f>IFERROR(__xludf.DUMMYFUNCTION("""COMPUTED_VALUE"""),"")</f>
        <v/>
      </c>
      <c r="O222" s="501" t="str">
        <f>IFERROR(__xludf.DUMMYFUNCTION("""COMPUTED_VALUE"""),"")</f>
        <v/>
      </c>
      <c r="P222" s="503" t="str">
        <f>IFERROR(__xludf.DUMMYFUNCTION("""COMPUTED_VALUE"""),"")</f>
        <v/>
      </c>
      <c r="Q222" s="501" t="str">
        <f>IFERROR(__xludf.DUMMYFUNCTION("""COMPUTED_VALUE"""),"")</f>
        <v/>
      </c>
      <c r="R222" s="501" t="str">
        <f>IFERROR(__xludf.DUMMYFUNCTION("""COMPUTED_VALUE"""),"")</f>
        <v/>
      </c>
      <c r="S222" s="503" t="str">
        <f>IFERROR(__xludf.DUMMYFUNCTION("""COMPUTED_VALUE"""),"")</f>
        <v/>
      </c>
      <c r="T222" s="503" t="str">
        <f>IFERROR(__xludf.DUMMYFUNCTION("""COMPUTED_VALUE"""),"utm_source=facebook&amp;utm_medium=socialmedia&amp;utm_campaign=&amp;utm_content=&amp;referrer=facebook")</f>
        <v>utm_source=facebook&amp;utm_medium=socialmedia&amp;utm_campaign=&amp;utm_content=&amp;referrer=facebook</v>
      </c>
    </row>
    <row r="223">
      <c r="A223" s="501" t="str">
        <f>IFERROR(__xludf.DUMMYFUNCTION("""COMPUTED_VALUE"""),"mei")</f>
        <v>mei</v>
      </c>
      <c r="B223" s="501">
        <f>IFERROR(__xludf.DUMMYFUNCTION("""COMPUTED_VALUE"""),18.0)</f>
        <v>18</v>
      </c>
      <c r="C223" s="501" t="str">
        <f>IFERROR(__xludf.DUMMYFUNCTION("""COMPUTED_VALUE"""),"zaterdag")</f>
        <v>zaterdag</v>
      </c>
      <c r="D223" s="502">
        <f>IFERROR(__xludf.DUMMYFUNCTION("""COMPUTED_VALUE"""),43589.0)</f>
        <v>43589</v>
      </c>
      <c r="E223" s="502">
        <f>IFERROR(__xludf.DUMMYFUNCTION("""COMPUTED_VALUE"""),43589.0)</f>
        <v>43589</v>
      </c>
      <c r="F223" s="501" t="str">
        <f>IFERROR(__xludf.DUMMYFUNCTION("""COMPUTED_VALUE"""),"")</f>
        <v/>
      </c>
      <c r="G223" s="503" t="str">
        <f>IFERROR(__xludf.DUMMYFUNCTION("""COMPUTED_VALUE"""),"")</f>
        <v/>
      </c>
      <c r="H223" s="501" t="str">
        <f>IFERROR(__xludf.DUMMYFUNCTION("""COMPUTED_VALUE"""),"")</f>
        <v/>
      </c>
      <c r="I223" s="503" t="str">
        <f>IFERROR(__xludf.DUMMYFUNCTION("""COMPUTED_VALUE"""),"")</f>
        <v/>
      </c>
      <c r="J223" s="501" t="str">
        <f>IFERROR(__xludf.DUMMYFUNCTION("""COMPUTED_VALUE"""),"")</f>
        <v/>
      </c>
      <c r="K223" s="503" t="str">
        <f>IFERROR(__xludf.DUMMYFUNCTION("""COMPUTED_VALUE"""),"")</f>
        <v/>
      </c>
      <c r="L223" s="501" t="str">
        <f>IFERROR(__xludf.DUMMYFUNCTION("""COMPUTED_VALUE"""),"")</f>
        <v/>
      </c>
      <c r="M223" s="504">
        <f>IFERROR(__xludf.DUMMYFUNCTION("""COMPUTED_VALUE"""),1.0)</f>
        <v>1</v>
      </c>
      <c r="N223" s="501" t="str">
        <f>IFERROR(__xludf.DUMMYFUNCTION("""COMPUTED_VALUE"""),"")</f>
        <v/>
      </c>
      <c r="O223" s="501" t="str">
        <f>IFERROR(__xludf.DUMMYFUNCTION("""COMPUTED_VALUE"""),"")</f>
        <v/>
      </c>
      <c r="P223" s="503" t="str">
        <f>IFERROR(__xludf.DUMMYFUNCTION("""COMPUTED_VALUE"""),"")</f>
        <v/>
      </c>
      <c r="Q223" s="501" t="str">
        <f>IFERROR(__xludf.DUMMYFUNCTION("""COMPUTED_VALUE"""),"")</f>
        <v/>
      </c>
      <c r="R223" s="501" t="str">
        <f>IFERROR(__xludf.DUMMYFUNCTION("""COMPUTED_VALUE"""),"")</f>
        <v/>
      </c>
      <c r="S223" s="503" t="str">
        <f>IFERROR(__xludf.DUMMYFUNCTION("""COMPUTED_VALUE"""),"")</f>
        <v/>
      </c>
      <c r="T223" s="503" t="str">
        <f>IFERROR(__xludf.DUMMYFUNCTION("""COMPUTED_VALUE"""),"utm_source=facebook&amp;utm_medium=socialmedia&amp;utm_campaign=&amp;utm_content=&amp;referrer=facebook")</f>
        <v>utm_source=facebook&amp;utm_medium=socialmedia&amp;utm_campaign=&amp;utm_content=&amp;referrer=facebook</v>
      </c>
    </row>
    <row r="224">
      <c r="A224" s="501" t="str">
        <f>IFERROR(__xludf.DUMMYFUNCTION("""COMPUTED_VALUE"""),"mei")</f>
        <v>mei</v>
      </c>
      <c r="B224" s="501">
        <f>IFERROR(__xludf.DUMMYFUNCTION("""COMPUTED_VALUE"""),19.0)</f>
        <v>19</v>
      </c>
      <c r="C224" s="501" t="str">
        <f>IFERROR(__xludf.DUMMYFUNCTION("""COMPUTED_VALUE"""),"zondag")</f>
        <v>zondag</v>
      </c>
      <c r="D224" s="502">
        <f>IFERROR(__xludf.DUMMYFUNCTION("""COMPUTED_VALUE"""),43590.0)</f>
        <v>43590</v>
      </c>
      <c r="E224" s="502">
        <f>IFERROR(__xludf.DUMMYFUNCTION("""COMPUTED_VALUE"""),43590.0)</f>
        <v>43590</v>
      </c>
      <c r="F224" s="501" t="str">
        <f>IFERROR(__xludf.DUMMYFUNCTION("""COMPUTED_VALUE"""),"")</f>
        <v/>
      </c>
      <c r="G224" s="503" t="str">
        <f>IFERROR(__xludf.DUMMYFUNCTION("""COMPUTED_VALUE"""),"")</f>
        <v/>
      </c>
      <c r="H224" s="501" t="str">
        <f>IFERROR(__xludf.DUMMYFUNCTION("""COMPUTED_VALUE"""),"")</f>
        <v/>
      </c>
      <c r="I224" s="503" t="str">
        <f>IFERROR(__xludf.DUMMYFUNCTION("""COMPUTED_VALUE"""),"")</f>
        <v/>
      </c>
      <c r="J224" s="501" t="str">
        <f>IFERROR(__xludf.DUMMYFUNCTION("""COMPUTED_VALUE"""),"")</f>
        <v/>
      </c>
      <c r="K224" s="503" t="str">
        <f>IFERROR(__xludf.DUMMYFUNCTION("""COMPUTED_VALUE"""),"")</f>
        <v/>
      </c>
      <c r="L224" s="501" t="str">
        <f>IFERROR(__xludf.DUMMYFUNCTION("""COMPUTED_VALUE"""),"")</f>
        <v/>
      </c>
      <c r="M224" s="504">
        <f>IFERROR(__xludf.DUMMYFUNCTION("""COMPUTED_VALUE"""),1.0)</f>
        <v>1</v>
      </c>
      <c r="N224" s="501" t="str">
        <f>IFERROR(__xludf.DUMMYFUNCTION("""COMPUTED_VALUE"""),"")</f>
        <v/>
      </c>
      <c r="O224" s="501" t="str">
        <f>IFERROR(__xludf.DUMMYFUNCTION("""COMPUTED_VALUE"""),"")</f>
        <v/>
      </c>
      <c r="P224" s="503" t="str">
        <f>IFERROR(__xludf.DUMMYFUNCTION("""COMPUTED_VALUE"""),"")</f>
        <v/>
      </c>
      <c r="Q224" s="501" t="str">
        <f>IFERROR(__xludf.DUMMYFUNCTION("""COMPUTED_VALUE"""),"")</f>
        <v/>
      </c>
      <c r="R224" s="501" t="str">
        <f>IFERROR(__xludf.DUMMYFUNCTION("""COMPUTED_VALUE"""),"")</f>
        <v/>
      </c>
      <c r="S224" s="503" t="str">
        <f>IFERROR(__xludf.DUMMYFUNCTION("""COMPUTED_VALUE"""),"")</f>
        <v/>
      </c>
      <c r="T224" s="503" t="str">
        <f>IFERROR(__xludf.DUMMYFUNCTION("""COMPUTED_VALUE"""),"utm_source=facebook&amp;utm_medium=socialmedia&amp;utm_campaign=&amp;utm_content=&amp;referrer=facebook")</f>
        <v>utm_source=facebook&amp;utm_medium=socialmedia&amp;utm_campaign=&amp;utm_content=&amp;referrer=facebook</v>
      </c>
    </row>
    <row r="225">
      <c r="A225" s="501" t="str">
        <f>IFERROR(__xludf.DUMMYFUNCTION("""COMPUTED_VALUE"""),"mei")</f>
        <v>mei</v>
      </c>
      <c r="B225" s="501">
        <f>IFERROR(__xludf.DUMMYFUNCTION("""COMPUTED_VALUE"""),19.0)</f>
        <v>19</v>
      </c>
      <c r="C225" s="501" t="str">
        <f>IFERROR(__xludf.DUMMYFUNCTION("""COMPUTED_VALUE"""),"maandag")</f>
        <v>maandag</v>
      </c>
      <c r="D225" s="502">
        <f>IFERROR(__xludf.DUMMYFUNCTION("""COMPUTED_VALUE"""),43591.0)</f>
        <v>43591</v>
      </c>
      <c r="E225" s="502">
        <f>IFERROR(__xludf.DUMMYFUNCTION("""COMPUTED_VALUE"""),43591.0)</f>
        <v>43591</v>
      </c>
      <c r="F225" s="501" t="str">
        <f>IFERROR(__xludf.DUMMYFUNCTION("""COMPUTED_VALUE"""),"")</f>
        <v/>
      </c>
      <c r="G225" s="503" t="str">
        <f>IFERROR(__xludf.DUMMYFUNCTION("""COMPUTED_VALUE"""),"")</f>
        <v/>
      </c>
      <c r="H225" s="501" t="str">
        <f>IFERROR(__xludf.DUMMYFUNCTION("""COMPUTED_VALUE"""),"Special Delivery - Moederdageditie")</f>
        <v>Special Delivery - Moederdageditie</v>
      </c>
      <c r="I225" s="503" t="str">
        <f>IFERROR(__xludf.DUMMYFUNCTION("""COMPUTED_VALUE"""),"")</f>
        <v/>
      </c>
      <c r="J225" s="501" t="str">
        <f>IFERROR(__xludf.DUMMYFUNCTION("""COMPUTED_VALUE"""),"")</f>
        <v/>
      </c>
      <c r="K225" s="503" t="str">
        <f>IFERROR(__xludf.DUMMYFUNCTION("""COMPUTED_VALUE"""),"")</f>
        <v/>
      </c>
      <c r="L225" s="506">
        <f>IFERROR(__xludf.DUMMYFUNCTION("""COMPUTED_VALUE"""),1000.0)</f>
        <v>1000</v>
      </c>
      <c r="M225" s="504">
        <f>IFERROR(__xludf.DUMMYFUNCTION("""COMPUTED_VALUE"""),1.0)</f>
        <v>1</v>
      </c>
      <c r="N225" s="501" t="str">
        <f>IFERROR(__xludf.DUMMYFUNCTION("""COMPUTED_VALUE"""),"")</f>
        <v/>
      </c>
      <c r="O225" s="501" t="str">
        <f>IFERROR(__xludf.DUMMYFUNCTION("""COMPUTED_VALUE"""),"FB + Instagram")</f>
        <v>FB + Instagram</v>
      </c>
      <c r="P225" s="503" t="str">
        <f>IFERROR(__xludf.DUMMYFUNCTION("""COMPUTED_VALUE"""),"Special delivery - FB &amp; IG")</f>
        <v>Special delivery - FB &amp; IG</v>
      </c>
      <c r="Q225" s="501" t="str">
        <f>IFERROR(__xludf.DUMMYFUNCTION("""COMPUTED_VALUE"""),"Bereik")</f>
        <v>Bereik</v>
      </c>
      <c r="R225" s="501" t="str">
        <f>IFERROR(__xludf.DUMMYFUNCTION("""COMPUTED_VALUE"""),"Timeline")</f>
        <v>Timeline</v>
      </c>
      <c r="S225" s="503" t="str">
        <f>IFERROR(__xludf.DUMMYFUNCTION("""COMPUTED_VALUE"""),"")</f>
        <v/>
      </c>
      <c r="T225" s="503" t="str">
        <f>IFERROR(__xludf.DUMMYFUNCTION("""COMPUTED_VALUE"""),"utm_source=facebook&amp;utm_medium=socialmedia&amp;utm_campaign=special_delivery_-_fb_&amp;_ig&amp;utm_content=specialdelivery-moederdageditie&amp;referrer=facebook")</f>
        <v>utm_source=facebook&amp;utm_medium=socialmedia&amp;utm_campaign=special_delivery_-_fb_&amp;_ig&amp;utm_content=specialdelivery-moederdageditie&amp;referrer=facebook</v>
      </c>
    </row>
    <row r="226">
      <c r="A226" s="501" t="str">
        <f>IFERROR(__xludf.DUMMYFUNCTION("""COMPUTED_VALUE"""),"mei")</f>
        <v>mei</v>
      </c>
      <c r="B226" s="501">
        <f>IFERROR(__xludf.DUMMYFUNCTION("""COMPUTED_VALUE"""),19.0)</f>
        <v>19</v>
      </c>
      <c r="C226" s="501" t="str">
        <f>IFERROR(__xludf.DUMMYFUNCTION("""COMPUTED_VALUE"""),"maandag")</f>
        <v>maandag</v>
      </c>
      <c r="D226" s="502">
        <f>IFERROR(__xludf.DUMMYFUNCTION("""COMPUTED_VALUE"""),43591.0)</f>
        <v>43591</v>
      </c>
      <c r="E226" s="502">
        <f>IFERROR(__xludf.DUMMYFUNCTION("""COMPUTED_VALUE"""),43591.0)</f>
        <v>43591</v>
      </c>
      <c r="F226" s="501" t="str">
        <f>IFERROR(__xludf.DUMMYFUNCTION("""COMPUTED_VALUE"""),"")</f>
        <v/>
      </c>
      <c r="G226" s="503" t="str">
        <f>IFERROR(__xludf.DUMMYFUNCTION("""COMPUTED_VALUE"""),"")</f>
        <v/>
      </c>
      <c r="H226" s="501" t="str">
        <f>IFERROR(__xludf.DUMMYFUNCTION("""COMPUTED_VALUE"""),"Special Delivery - Moederdageditie")</f>
        <v>Special Delivery - Moederdageditie</v>
      </c>
      <c r="I226" s="503" t="str">
        <f>IFERROR(__xludf.DUMMYFUNCTION("""COMPUTED_VALUE"""),"")</f>
        <v/>
      </c>
      <c r="J226" s="501" t="str">
        <f>IFERROR(__xludf.DUMMYFUNCTION("""COMPUTED_VALUE"""),"")</f>
        <v/>
      </c>
      <c r="K226" s="503" t="str">
        <f>IFERROR(__xludf.DUMMYFUNCTION("""COMPUTED_VALUE"""),"")</f>
        <v/>
      </c>
      <c r="L226" s="506">
        <f>IFERROR(__xludf.DUMMYFUNCTION("""COMPUTED_VALUE"""),1000.0)</f>
        <v>1000</v>
      </c>
      <c r="M226" s="504">
        <f>IFERROR(__xludf.DUMMYFUNCTION("""COMPUTED_VALUE"""),1.0)</f>
        <v>1</v>
      </c>
      <c r="N226" s="501" t="str">
        <f>IFERROR(__xludf.DUMMYFUNCTION("""COMPUTED_VALUE"""),"")</f>
        <v/>
      </c>
      <c r="O226" s="501" t="str">
        <f>IFERROR(__xludf.DUMMYFUNCTION("""COMPUTED_VALUE"""),"YouTube")</f>
        <v>YouTube</v>
      </c>
      <c r="P226" s="503" t="str">
        <f>IFERROR(__xludf.DUMMYFUNCTION("""COMPUTED_VALUE"""),"Special delivery - YouTube")</f>
        <v>Special delivery - YouTube</v>
      </c>
      <c r="Q226" s="501" t="str">
        <f>IFERROR(__xludf.DUMMYFUNCTION("""COMPUTED_VALUE"""),"Bereik")</f>
        <v>Bereik</v>
      </c>
      <c r="R226" s="501" t="str">
        <f>IFERROR(__xludf.DUMMYFUNCTION("""COMPUTED_VALUE"""),"Dark")</f>
        <v>Dark</v>
      </c>
      <c r="S226" s="503" t="str">
        <f>IFERROR(__xludf.DUMMYFUNCTION("""COMPUTED_VALUE"""),"")</f>
        <v/>
      </c>
      <c r="T226" s="503" t="str">
        <f>IFERROR(__xludf.DUMMYFUNCTION("""COMPUTED_VALUE"""),"utm_source=facebook&amp;utm_medium=socialmedia&amp;utm_campaign=special_delivery_-_youtube&amp;utm_content=specialdelivery-moederdageditie&amp;referrer=facebook")</f>
        <v>utm_source=facebook&amp;utm_medium=socialmedia&amp;utm_campaign=special_delivery_-_youtube&amp;utm_content=specialdelivery-moederdageditie&amp;referrer=facebook</v>
      </c>
    </row>
    <row r="227">
      <c r="A227" s="501" t="str">
        <f>IFERROR(__xludf.DUMMYFUNCTION("""COMPUTED_VALUE"""),"mei")</f>
        <v>mei</v>
      </c>
      <c r="B227" s="501">
        <f>IFERROR(__xludf.DUMMYFUNCTION("""COMPUTED_VALUE"""),19.0)</f>
        <v>19</v>
      </c>
      <c r="C227" s="501" t="str">
        <f>IFERROR(__xludf.DUMMYFUNCTION("""COMPUTED_VALUE"""),"maandag")</f>
        <v>maandag</v>
      </c>
      <c r="D227" s="502">
        <f>IFERROR(__xludf.DUMMYFUNCTION("""COMPUTED_VALUE"""),43591.0)</f>
        <v>43591</v>
      </c>
      <c r="E227" s="502">
        <f>IFERROR(__xludf.DUMMYFUNCTION("""COMPUTED_VALUE"""),43596.0)</f>
        <v>43596</v>
      </c>
      <c r="F227" s="501" t="str">
        <f>IFERROR(__xludf.DUMMYFUNCTION("""COMPUTED_VALUE"""),"")</f>
        <v/>
      </c>
      <c r="G227" s="503" t="str">
        <f>IFERROR(__xludf.DUMMYFUNCTION("""COMPUTED_VALUE"""),"Gratis kaart bij gift")</f>
        <v>Gratis kaart bij gift</v>
      </c>
      <c r="H227" s="501" t="str">
        <f>IFERROR(__xludf.DUMMYFUNCTION("""COMPUTED_VALUE"""),"gratis kaart bij gift moederdag")</f>
        <v>gratis kaart bij gift moederdag</v>
      </c>
      <c r="I227" s="503" t="str">
        <f>IFERROR(__xludf.DUMMYFUNCTION("""COMPUTED_VALUE"""),"Zorg dat je jezelf niet buitenspel zet deze Moederdag")</f>
        <v>Zorg dat je jezelf niet buitenspel zet deze Moederdag</v>
      </c>
      <c r="J227" s="501" t="str">
        <f>IFERROR(__xludf.DUMMYFUNCTION("""COMPUTED_VALUE"""),"Briefen")</f>
        <v>Briefen</v>
      </c>
      <c r="K227" s="503" t="str">
        <f>IFERROR(__xludf.DUMMYFUNCTION("""COMPUTED_VALUE"""),"")</f>
        <v/>
      </c>
      <c r="L227" s="506">
        <f>IFERROR(__xludf.DUMMYFUNCTION("""COMPUTED_VALUE"""),1000.0)</f>
        <v>1000</v>
      </c>
      <c r="M227" s="504">
        <f>IFERROR(__xludf.DUMMYFUNCTION("""COMPUTED_VALUE"""),6.0)</f>
        <v>6</v>
      </c>
      <c r="N227" s="501" t="str">
        <f>IFERROR(__xludf.DUMMYFUNCTION("""COMPUTED_VALUE"""),"Product")</f>
        <v>Product</v>
      </c>
      <c r="O227" s="501" t="str">
        <f>IFERROR(__xludf.DUMMYFUNCTION("""COMPUTED_VALUE"""),"Facebook")</f>
        <v>Facebook</v>
      </c>
      <c r="P227" s="503" t="str">
        <f>IFERROR(__xludf.DUMMYFUNCTION("""COMPUTED_VALUE"""),"Facebook - Do - Retailcampaigning")</f>
        <v>Facebook - Do - Retailcampaigning</v>
      </c>
      <c r="Q227" s="501" t="str">
        <f>IFERROR(__xludf.DUMMYFUNCTION("""COMPUTED_VALUE"""),"Conversie - Landingspagina")</f>
        <v>Conversie - Landingspagina</v>
      </c>
      <c r="R227" s="501" t="str">
        <f>IFERROR(__xludf.DUMMYFUNCTION("""COMPUTED_VALUE"""),"Dark")</f>
        <v>Dark</v>
      </c>
      <c r="S227" s="503" t="str">
        <f>IFERROR(__xludf.DUMMYFUNCTION("""COMPUTED_VALUE"""),"carousel moederdagproducten")</f>
        <v>carousel moederdagproducten</v>
      </c>
      <c r="T227" s="503" t="str">
        <f>IFERROR(__xludf.DUMMYFUNCTION("""COMPUTED_VALUE"""),"utm_source=facebook&amp;utm_medium=socialmedia&amp;utm_campaign=facebook_-_do_-_retailcampaigning&amp;utm_content=gratiskaartbijgiftmoederdag&amp;referrer=facebook")</f>
        <v>utm_source=facebook&amp;utm_medium=socialmedia&amp;utm_campaign=facebook_-_do_-_retailcampaigning&amp;utm_content=gratiskaartbijgiftmoederdag&amp;referrer=facebook</v>
      </c>
    </row>
    <row r="228">
      <c r="A228" s="501" t="str">
        <f>IFERROR(__xludf.DUMMYFUNCTION("""COMPUTED_VALUE"""),"mei")</f>
        <v>mei</v>
      </c>
      <c r="B228" s="501">
        <f>IFERROR(__xludf.DUMMYFUNCTION("""COMPUTED_VALUE"""),19.0)</f>
        <v>19</v>
      </c>
      <c r="C228" s="501" t="str">
        <f>IFERROR(__xludf.DUMMYFUNCTION("""COMPUTED_VALUE"""),"dinsdag")</f>
        <v>dinsdag</v>
      </c>
      <c r="D228" s="502">
        <f>IFERROR(__xludf.DUMMYFUNCTION("""COMPUTED_VALUE"""),43592.0)</f>
        <v>43592</v>
      </c>
      <c r="E228" s="502">
        <f>IFERROR(__xludf.DUMMYFUNCTION("""COMPUTED_VALUE"""),43592.0)</f>
        <v>43592</v>
      </c>
      <c r="F228" s="501" t="str">
        <f>IFERROR(__xludf.DUMMYFUNCTION("""COMPUTED_VALUE"""),"")</f>
        <v/>
      </c>
      <c r="G228" s="503" t="str">
        <f>IFERROR(__xludf.DUMMYFUNCTION("""COMPUTED_VALUE"""),"")</f>
        <v/>
      </c>
      <c r="H228" s="501" t="str">
        <f>IFERROR(__xludf.DUMMYFUNCTION("""COMPUTED_VALUE"""),"Ajax - ?? - Mannenpost")</f>
        <v>Ajax - ?? - Mannenpost</v>
      </c>
      <c r="I228" s="503" t="str">
        <f>IFERROR(__xludf.DUMMYFUNCTION("""COMPUTED_VALUE"""),"")</f>
        <v/>
      </c>
      <c r="J228" s="501" t="str">
        <f>IFERROR(__xludf.DUMMYFUNCTION("""COMPUTED_VALUE"""),"")</f>
        <v/>
      </c>
      <c r="K228" s="505" t="str">
        <f>IFERROR(__xludf.DUMMYFUNCTION("""COMPUTED_VALUE""")," Mannendoelgroep 25 - 55 jaar ")</f>
        <v>Mannendoelgroep 25 - 55 jaar</v>
      </c>
      <c r="L228" s="501" t="str">
        <f>IFERROR(__xludf.DUMMYFUNCTION("""COMPUTED_VALUE"""),"")</f>
        <v/>
      </c>
      <c r="M228" s="504">
        <f>IFERROR(__xludf.DUMMYFUNCTION("""COMPUTED_VALUE"""),1.0)</f>
        <v>1</v>
      </c>
      <c r="N228" s="501" t="str">
        <f>IFERROR(__xludf.DUMMYFUNCTION("""COMPUTED_VALUE"""),"")</f>
        <v/>
      </c>
      <c r="O228" s="501" t="str">
        <f>IFERROR(__xludf.DUMMYFUNCTION("""COMPUTED_VALUE"""),"")</f>
        <v/>
      </c>
      <c r="P228" s="503" t="str">
        <f>IFERROR(__xludf.DUMMYFUNCTION("""COMPUTED_VALUE"""),"")</f>
        <v/>
      </c>
      <c r="Q228" s="501" t="str">
        <f>IFERROR(__xludf.DUMMYFUNCTION("""COMPUTED_VALUE"""),"")</f>
        <v/>
      </c>
      <c r="R228" s="501" t="str">
        <f>IFERROR(__xludf.DUMMYFUNCTION("""COMPUTED_VALUE"""),"")</f>
        <v/>
      </c>
      <c r="S228" s="503" t="str">
        <f>IFERROR(__xludf.DUMMYFUNCTION("""COMPUTED_VALUE"""),"")</f>
        <v/>
      </c>
      <c r="T228" s="503" t="str">
        <f>IFERROR(__xludf.DUMMYFUNCTION("""COMPUTED_VALUE"""),"utm_source=facebook&amp;utm_medium=socialmedia&amp;utm_campaign=&amp;utm_content=ajax-??-mannenpost&amp;referrer=facebook")</f>
        <v>utm_source=facebook&amp;utm_medium=socialmedia&amp;utm_campaign=&amp;utm_content=ajax-??-mannenpost&amp;referrer=facebook</v>
      </c>
    </row>
    <row r="229">
      <c r="A229" s="501" t="str">
        <f>IFERROR(__xludf.DUMMYFUNCTION("""COMPUTED_VALUE"""),"mei")</f>
        <v>mei</v>
      </c>
      <c r="B229" s="501">
        <f>IFERROR(__xludf.DUMMYFUNCTION("""COMPUTED_VALUE"""),19.0)</f>
        <v>19</v>
      </c>
      <c r="C229" s="501" t="str">
        <f>IFERROR(__xludf.DUMMYFUNCTION("""COMPUTED_VALUE"""),"woensdag")</f>
        <v>woensdag</v>
      </c>
      <c r="D229" s="502">
        <f>IFERROR(__xludf.DUMMYFUNCTION("""COMPUTED_VALUE"""),43593.0)</f>
        <v>43593</v>
      </c>
      <c r="E229" s="502">
        <f>IFERROR(__xludf.DUMMYFUNCTION("""COMPUTED_VALUE"""),43593.0)</f>
        <v>43593</v>
      </c>
      <c r="F229" s="501" t="str">
        <f>IFERROR(__xludf.DUMMYFUNCTION("""COMPUTED_VALUE"""),"")</f>
        <v/>
      </c>
      <c r="G229" s="503" t="str">
        <f>IFERROR(__xludf.DUMMYFUNCTION("""COMPUTED_VALUE"""),"")</f>
        <v/>
      </c>
      <c r="H229" s="501" t="str">
        <f>IFERROR(__xludf.DUMMYFUNCTION("""COMPUTED_VALUE"""),"")</f>
        <v/>
      </c>
      <c r="I229" s="503" t="str">
        <f>IFERROR(__xludf.DUMMYFUNCTION("""COMPUTED_VALUE"""),"")</f>
        <v/>
      </c>
      <c r="J229" s="501" t="str">
        <f>IFERROR(__xludf.DUMMYFUNCTION("""COMPUTED_VALUE"""),"")</f>
        <v/>
      </c>
      <c r="K229" s="503" t="str">
        <f>IFERROR(__xludf.DUMMYFUNCTION("""COMPUTED_VALUE"""),"")</f>
        <v/>
      </c>
      <c r="L229" s="501" t="str">
        <f>IFERROR(__xludf.DUMMYFUNCTION("""COMPUTED_VALUE"""),"")</f>
        <v/>
      </c>
      <c r="M229" s="504">
        <f>IFERROR(__xludf.DUMMYFUNCTION("""COMPUTED_VALUE"""),1.0)</f>
        <v>1</v>
      </c>
      <c r="N229" s="501" t="str">
        <f>IFERROR(__xludf.DUMMYFUNCTION("""COMPUTED_VALUE"""),"")</f>
        <v/>
      </c>
      <c r="O229" s="501" t="str">
        <f>IFERROR(__xludf.DUMMYFUNCTION("""COMPUTED_VALUE"""),"")</f>
        <v/>
      </c>
      <c r="P229" s="503" t="str">
        <f>IFERROR(__xludf.DUMMYFUNCTION("""COMPUTED_VALUE"""),"")</f>
        <v/>
      </c>
      <c r="Q229" s="501" t="str">
        <f>IFERROR(__xludf.DUMMYFUNCTION("""COMPUTED_VALUE"""),"")</f>
        <v/>
      </c>
      <c r="R229" s="501" t="str">
        <f>IFERROR(__xludf.DUMMYFUNCTION("""COMPUTED_VALUE"""),"")</f>
        <v/>
      </c>
      <c r="S229" s="503" t="str">
        <f>IFERROR(__xludf.DUMMYFUNCTION("""COMPUTED_VALUE"""),"")</f>
        <v/>
      </c>
      <c r="T229" s="503" t="str">
        <f>IFERROR(__xludf.DUMMYFUNCTION("""COMPUTED_VALUE"""),"utm_source=facebook&amp;utm_medium=socialmedia&amp;utm_campaign=&amp;utm_content=&amp;referrer=facebook")</f>
        <v>utm_source=facebook&amp;utm_medium=socialmedia&amp;utm_campaign=&amp;utm_content=&amp;referrer=facebook</v>
      </c>
    </row>
    <row r="230">
      <c r="A230" s="501" t="str">
        <f>IFERROR(__xludf.DUMMYFUNCTION("""COMPUTED_VALUE"""),"mei")</f>
        <v>mei</v>
      </c>
      <c r="B230" s="501">
        <f>IFERROR(__xludf.DUMMYFUNCTION("""COMPUTED_VALUE"""),19.0)</f>
        <v>19</v>
      </c>
      <c r="C230" s="501" t="str">
        <f>IFERROR(__xludf.DUMMYFUNCTION("""COMPUTED_VALUE"""),"donderdag")</f>
        <v>donderdag</v>
      </c>
      <c r="D230" s="502">
        <f>IFERROR(__xludf.DUMMYFUNCTION("""COMPUTED_VALUE"""),43594.0)</f>
        <v>43594</v>
      </c>
      <c r="E230" s="502">
        <f>IFERROR(__xludf.DUMMYFUNCTION("""COMPUTED_VALUE"""),43594.0)</f>
        <v>43594</v>
      </c>
      <c r="F230" s="501" t="str">
        <f>IFERROR(__xludf.DUMMYFUNCTION("""COMPUTED_VALUE"""),"")</f>
        <v/>
      </c>
      <c r="G230" s="503" t="str">
        <f>IFERROR(__xludf.DUMMYFUNCTION("""COMPUTED_VALUE"""),"")</f>
        <v/>
      </c>
      <c r="H230" s="501" t="str">
        <f>IFERROR(__xludf.DUMMYFUNCTION("""COMPUTED_VALUE"""),"Moederdagverrassingen")</f>
        <v>Moederdagverrassingen</v>
      </c>
      <c r="I230" s="503" t="str">
        <f>IFERROR(__xludf.DUMMYFUNCTION("""COMPUTED_VALUE"""),"")</f>
        <v/>
      </c>
      <c r="J230" s="501" t="str">
        <f>IFERROR(__xludf.DUMMYFUNCTION("""COMPUTED_VALUE"""),"")</f>
        <v/>
      </c>
      <c r="K230" s="503" t="str">
        <f>IFERROR(__xludf.DUMMYFUNCTION("""COMPUTED_VALUE"""),"")</f>
        <v/>
      </c>
      <c r="L230" s="501" t="str">
        <f>IFERROR(__xludf.DUMMYFUNCTION("""COMPUTED_VALUE"""),"")</f>
        <v/>
      </c>
      <c r="M230" s="504">
        <f>IFERROR(__xludf.DUMMYFUNCTION("""COMPUTED_VALUE"""),1.0)</f>
        <v>1</v>
      </c>
      <c r="N230" s="501" t="str">
        <f>IFERROR(__xludf.DUMMYFUNCTION("""COMPUTED_VALUE"""),"")</f>
        <v/>
      </c>
      <c r="O230" s="501" t="str">
        <f>IFERROR(__xludf.DUMMYFUNCTION("""COMPUTED_VALUE"""),"")</f>
        <v/>
      </c>
      <c r="P230" s="503" t="str">
        <f>IFERROR(__xludf.DUMMYFUNCTION("""COMPUTED_VALUE"""),"")</f>
        <v/>
      </c>
      <c r="Q230" s="501" t="str">
        <f>IFERROR(__xludf.DUMMYFUNCTION("""COMPUTED_VALUE"""),"")</f>
        <v/>
      </c>
      <c r="R230" s="501" t="str">
        <f>IFERROR(__xludf.DUMMYFUNCTION("""COMPUTED_VALUE"""),"")</f>
        <v/>
      </c>
      <c r="S230" s="503" t="str">
        <f>IFERROR(__xludf.DUMMYFUNCTION("""COMPUTED_VALUE"""),"")</f>
        <v/>
      </c>
      <c r="T230" s="503" t="str">
        <f>IFERROR(__xludf.DUMMYFUNCTION("""COMPUTED_VALUE"""),"utm_source=facebook&amp;utm_medium=socialmedia&amp;utm_campaign=&amp;utm_content=moederdagverrassingen&amp;referrer=facebook")</f>
        <v>utm_source=facebook&amp;utm_medium=socialmedia&amp;utm_campaign=&amp;utm_content=moederdagverrassingen&amp;referrer=facebook</v>
      </c>
    </row>
    <row r="231">
      <c r="A231" s="501" t="str">
        <f>IFERROR(__xludf.DUMMYFUNCTION("""COMPUTED_VALUE"""),"mei")</f>
        <v>mei</v>
      </c>
      <c r="B231" s="501">
        <f>IFERROR(__xludf.DUMMYFUNCTION("""COMPUTED_VALUE"""),19.0)</f>
        <v>19</v>
      </c>
      <c r="C231" s="501" t="str">
        <f>IFERROR(__xludf.DUMMYFUNCTION("""COMPUTED_VALUE"""),"vrijdag")</f>
        <v>vrijdag</v>
      </c>
      <c r="D231" s="502">
        <f>IFERROR(__xludf.DUMMYFUNCTION("""COMPUTED_VALUE"""),43595.0)</f>
        <v>43595</v>
      </c>
      <c r="E231" s="502">
        <f>IFERROR(__xludf.DUMMYFUNCTION("""COMPUTED_VALUE"""),43595.0)</f>
        <v>43595</v>
      </c>
      <c r="F231" s="501" t="str">
        <f>IFERROR(__xludf.DUMMYFUNCTION("""COMPUTED_VALUE"""),"")</f>
        <v/>
      </c>
      <c r="G231" s="503" t="str">
        <f>IFERROR(__xludf.DUMMYFUNCTION("""COMPUTED_VALUE"""),"")</f>
        <v/>
      </c>
      <c r="H231" s="501" t="str">
        <f>IFERROR(__xludf.DUMMYFUNCTION("""COMPUTED_VALUE"""),"")</f>
        <v/>
      </c>
      <c r="I231" s="503" t="str">
        <f>IFERROR(__xludf.DUMMYFUNCTION("""COMPUTED_VALUE"""),"")</f>
        <v/>
      </c>
      <c r="J231" s="501" t="str">
        <f>IFERROR(__xludf.DUMMYFUNCTION("""COMPUTED_VALUE"""),"")</f>
        <v/>
      </c>
      <c r="K231" s="503" t="str">
        <f>IFERROR(__xludf.DUMMYFUNCTION("""COMPUTED_VALUE"""),"")</f>
        <v/>
      </c>
      <c r="L231" s="501" t="str">
        <f>IFERROR(__xludf.DUMMYFUNCTION("""COMPUTED_VALUE"""),"")</f>
        <v/>
      </c>
      <c r="M231" s="504">
        <f>IFERROR(__xludf.DUMMYFUNCTION("""COMPUTED_VALUE"""),1.0)</f>
        <v>1</v>
      </c>
      <c r="N231" s="501" t="str">
        <f>IFERROR(__xludf.DUMMYFUNCTION("""COMPUTED_VALUE"""),"")</f>
        <v/>
      </c>
      <c r="O231" s="501" t="str">
        <f>IFERROR(__xludf.DUMMYFUNCTION("""COMPUTED_VALUE"""),"")</f>
        <v/>
      </c>
      <c r="P231" s="503" t="str">
        <f>IFERROR(__xludf.DUMMYFUNCTION("""COMPUTED_VALUE"""),"")</f>
        <v/>
      </c>
      <c r="Q231" s="501" t="str">
        <f>IFERROR(__xludf.DUMMYFUNCTION("""COMPUTED_VALUE"""),"")</f>
        <v/>
      </c>
      <c r="R231" s="501" t="str">
        <f>IFERROR(__xludf.DUMMYFUNCTION("""COMPUTED_VALUE"""),"")</f>
        <v/>
      </c>
      <c r="S231" s="503" t="str">
        <f>IFERROR(__xludf.DUMMYFUNCTION("""COMPUTED_VALUE"""),"")</f>
        <v/>
      </c>
      <c r="T231" s="503" t="str">
        <f>IFERROR(__xludf.DUMMYFUNCTION("""COMPUTED_VALUE"""),"utm_source=facebook&amp;utm_medium=socialmedia&amp;utm_campaign=&amp;utm_content=&amp;referrer=facebook")</f>
        <v>utm_source=facebook&amp;utm_medium=socialmedia&amp;utm_campaign=&amp;utm_content=&amp;referrer=facebook</v>
      </c>
    </row>
    <row r="232">
      <c r="A232" s="501" t="str">
        <f>IFERROR(__xludf.DUMMYFUNCTION("""COMPUTED_VALUE"""),"mei")</f>
        <v>mei</v>
      </c>
      <c r="B232" s="501">
        <f>IFERROR(__xludf.DUMMYFUNCTION("""COMPUTED_VALUE"""),19.0)</f>
        <v>19</v>
      </c>
      <c r="C232" s="501" t="str">
        <f>IFERROR(__xludf.DUMMYFUNCTION("""COMPUTED_VALUE"""),"zaterdag")</f>
        <v>zaterdag</v>
      </c>
      <c r="D232" s="502">
        <f>IFERROR(__xludf.DUMMYFUNCTION("""COMPUTED_VALUE"""),43596.0)</f>
        <v>43596</v>
      </c>
      <c r="E232" s="502">
        <f>IFERROR(__xludf.DUMMYFUNCTION("""COMPUTED_VALUE"""),43596.0)</f>
        <v>43596</v>
      </c>
      <c r="F232" s="501" t="str">
        <f>IFERROR(__xludf.DUMMYFUNCTION("""COMPUTED_VALUE"""),"")</f>
        <v/>
      </c>
      <c r="G232" s="503" t="str">
        <f>IFERROR(__xludf.DUMMYFUNCTION("""COMPUTED_VALUE"""),"")</f>
        <v/>
      </c>
      <c r="H232" s="501" t="str">
        <f>IFERROR(__xludf.DUMMYFUNCTION("""COMPUTED_VALUE"""),"")</f>
        <v/>
      </c>
      <c r="I232" s="503" t="str">
        <f>IFERROR(__xludf.DUMMYFUNCTION("""COMPUTED_VALUE"""),"")</f>
        <v/>
      </c>
      <c r="J232" s="501" t="str">
        <f>IFERROR(__xludf.DUMMYFUNCTION("""COMPUTED_VALUE"""),"")</f>
        <v/>
      </c>
      <c r="K232" s="503" t="str">
        <f>IFERROR(__xludf.DUMMYFUNCTION("""COMPUTED_VALUE"""),"")</f>
        <v/>
      </c>
      <c r="L232" s="501" t="str">
        <f>IFERROR(__xludf.DUMMYFUNCTION("""COMPUTED_VALUE"""),"")</f>
        <v/>
      </c>
      <c r="M232" s="504">
        <f>IFERROR(__xludf.DUMMYFUNCTION("""COMPUTED_VALUE"""),1.0)</f>
        <v>1</v>
      </c>
      <c r="N232" s="501" t="str">
        <f>IFERROR(__xludf.DUMMYFUNCTION("""COMPUTED_VALUE"""),"")</f>
        <v/>
      </c>
      <c r="O232" s="501" t="str">
        <f>IFERROR(__xludf.DUMMYFUNCTION("""COMPUTED_VALUE"""),"")</f>
        <v/>
      </c>
      <c r="P232" s="503" t="str">
        <f>IFERROR(__xludf.DUMMYFUNCTION("""COMPUTED_VALUE"""),"")</f>
        <v/>
      </c>
      <c r="Q232" s="501" t="str">
        <f>IFERROR(__xludf.DUMMYFUNCTION("""COMPUTED_VALUE"""),"")</f>
        <v/>
      </c>
      <c r="R232" s="501" t="str">
        <f>IFERROR(__xludf.DUMMYFUNCTION("""COMPUTED_VALUE"""),"")</f>
        <v/>
      </c>
      <c r="S232" s="503" t="str">
        <f>IFERROR(__xludf.DUMMYFUNCTION("""COMPUTED_VALUE"""),"")</f>
        <v/>
      </c>
      <c r="T232" s="503" t="str">
        <f>IFERROR(__xludf.DUMMYFUNCTION("""COMPUTED_VALUE"""),"utm_source=facebook&amp;utm_medium=socialmedia&amp;utm_campaign=&amp;utm_content=&amp;referrer=facebook")</f>
        <v>utm_source=facebook&amp;utm_medium=socialmedia&amp;utm_campaign=&amp;utm_content=&amp;referrer=facebook</v>
      </c>
    </row>
    <row r="233">
      <c r="A233" s="501" t="str">
        <f>IFERROR(__xludf.DUMMYFUNCTION("""COMPUTED_VALUE"""),"mei")</f>
        <v>mei</v>
      </c>
      <c r="B233" s="501">
        <f>IFERROR(__xludf.DUMMYFUNCTION("""COMPUTED_VALUE"""),20.0)</f>
        <v>20</v>
      </c>
      <c r="C233" s="501" t="str">
        <f>IFERROR(__xludf.DUMMYFUNCTION("""COMPUTED_VALUE"""),"zondag")</f>
        <v>zondag</v>
      </c>
      <c r="D233" s="502">
        <f>IFERROR(__xludf.DUMMYFUNCTION("""COMPUTED_VALUE"""),43597.0)</f>
        <v>43597</v>
      </c>
      <c r="E233" s="502">
        <f>IFERROR(__xludf.DUMMYFUNCTION("""COMPUTED_VALUE"""),43597.0)</f>
        <v>43597</v>
      </c>
      <c r="F233" s="501" t="str">
        <f>IFERROR(__xludf.DUMMYFUNCTION("""COMPUTED_VALUE"""),"")</f>
        <v/>
      </c>
      <c r="G233" s="503" t="str">
        <f>IFERROR(__xludf.DUMMYFUNCTION("""COMPUTED_VALUE"""),"")</f>
        <v/>
      </c>
      <c r="H233" s="501" t="str">
        <f>IFERROR(__xludf.DUMMYFUNCTION("""COMPUTED_VALUE"""),"")</f>
        <v/>
      </c>
      <c r="I233" s="503" t="str">
        <f>IFERROR(__xludf.DUMMYFUNCTION("""COMPUTED_VALUE"""),"")</f>
        <v/>
      </c>
      <c r="J233" s="501" t="str">
        <f>IFERROR(__xludf.DUMMYFUNCTION("""COMPUTED_VALUE"""),"")</f>
        <v/>
      </c>
      <c r="K233" s="503" t="str">
        <f>IFERROR(__xludf.DUMMYFUNCTION("""COMPUTED_VALUE"""),"")</f>
        <v/>
      </c>
      <c r="L233" s="501" t="str">
        <f>IFERROR(__xludf.DUMMYFUNCTION("""COMPUTED_VALUE"""),"")</f>
        <v/>
      </c>
      <c r="M233" s="504">
        <f>IFERROR(__xludf.DUMMYFUNCTION("""COMPUTED_VALUE"""),1.0)</f>
        <v>1</v>
      </c>
      <c r="N233" s="501" t="str">
        <f>IFERROR(__xludf.DUMMYFUNCTION("""COMPUTED_VALUE"""),"")</f>
        <v/>
      </c>
      <c r="O233" s="501" t="str">
        <f>IFERROR(__xludf.DUMMYFUNCTION("""COMPUTED_VALUE"""),"")</f>
        <v/>
      </c>
      <c r="P233" s="503" t="str">
        <f>IFERROR(__xludf.DUMMYFUNCTION("""COMPUTED_VALUE"""),"")</f>
        <v/>
      </c>
      <c r="Q233" s="501" t="str">
        <f>IFERROR(__xludf.DUMMYFUNCTION("""COMPUTED_VALUE"""),"")</f>
        <v/>
      </c>
      <c r="R233" s="501" t="str">
        <f>IFERROR(__xludf.DUMMYFUNCTION("""COMPUTED_VALUE"""),"")</f>
        <v/>
      </c>
      <c r="S233" s="503" t="str">
        <f>IFERROR(__xludf.DUMMYFUNCTION("""COMPUTED_VALUE"""),"")</f>
        <v/>
      </c>
      <c r="T233" s="503" t="str">
        <f>IFERROR(__xludf.DUMMYFUNCTION("""COMPUTED_VALUE"""),"utm_source=facebook&amp;utm_medium=socialmedia&amp;utm_campaign=&amp;utm_content=&amp;referrer=facebook")</f>
        <v>utm_source=facebook&amp;utm_medium=socialmedia&amp;utm_campaign=&amp;utm_content=&amp;referrer=facebook</v>
      </c>
    </row>
    <row r="234">
      <c r="A234" s="501" t="str">
        <f>IFERROR(__xludf.DUMMYFUNCTION("""COMPUTED_VALUE"""),"mei")</f>
        <v>mei</v>
      </c>
      <c r="B234" s="501">
        <f>IFERROR(__xludf.DUMMYFUNCTION("""COMPUTED_VALUE"""),20.0)</f>
        <v>20</v>
      </c>
      <c r="C234" s="501" t="str">
        <f>IFERROR(__xludf.DUMMYFUNCTION("""COMPUTED_VALUE"""),"maandag")</f>
        <v>maandag</v>
      </c>
      <c r="D234" s="502">
        <f>IFERROR(__xludf.DUMMYFUNCTION("""COMPUTED_VALUE"""),43598.0)</f>
        <v>43598</v>
      </c>
      <c r="E234" s="502">
        <f>IFERROR(__xludf.DUMMYFUNCTION("""COMPUTED_VALUE"""),43598.0)</f>
        <v>43598</v>
      </c>
      <c r="F234" s="501" t="str">
        <f>IFERROR(__xludf.DUMMYFUNCTION("""COMPUTED_VALUE"""),"")</f>
        <v/>
      </c>
      <c r="G234" s="503" t="str">
        <f>IFERROR(__xludf.DUMMYFUNCTION("""COMPUTED_VALUE"""),"")</f>
        <v/>
      </c>
      <c r="H234" s="501" t="str">
        <f>IFERROR(__xludf.DUMMYFUNCTION("""COMPUTED_VALUE"""),"")</f>
        <v/>
      </c>
      <c r="I234" s="503" t="str">
        <f>IFERROR(__xludf.DUMMYFUNCTION("""COMPUTED_VALUE"""),"")</f>
        <v/>
      </c>
      <c r="J234" s="501" t="str">
        <f>IFERROR(__xludf.DUMMYFUNCTION("""COMPUTED_VALUE"""),"")</f>
        <v/>
      </c>
      <c r="K234" s="503" t="str">
        <f>IFERROR(__xludf.DUMMYFUNCTION("""COMPUTED_VALUE"""),"")</f>
        <v/>
      </c>
      <c r="L234" s="501" t="str">
        <f>IFERROR(__xludf.DUMMYFUNCTION("""COMPUTED_VALUE"""),"")</f>
        <v/>
      </c>
      <c r="M234" s="504">
        <f>IFERROR(__xludf.DUMMYFUNCTION("""COMPUTED_VALUE"""),1.0)</f>
        <v>1</v>
      </c>
      <c r="N234" s="501" t="str">
        <f>IFERROR(__xludf.DUMMYFUNCTION("""COMPUTED_VALUE"""),"")</f>
        <v/>
      </c>
      <c r="O234" s="501" t="str">
        <f>IFERROR(__xludf.DUMMYFUNCTION("""COMPUTED_VALUE"""),"")</f>
        <v/>
      </c>
      <c r="P234" s="503" t="str">
        <f>IFERROR(__xludf.DUMMYFUNCTION("""COMPUTED_VALUE"""),"")</f>
        <v/>
      </c>
      <c r="Q234" s="501" t="str">
        <f>IFERROR(__xludf.DUMMYFUNCTION("""COMPUTED_VALUE"""),"")</f>
        <v/>
      </c>
      <c r="R234" s="501" t="str">
        <f>IFERROR(__xludf.DUMMYFUNCTION("""COMPUTED_VALUE"""),"")</f>
        <v/>
      </c>
      <c r="S234" s="503" t="str">
        <f>IFERROR(__xludf.DUMMYFUNCTION("""COMPUTED_VALUE"""),"")</f>
        <v/>
      </c>
      <c r="T234" s="503" t="str">
        <f>IFERROR(__xludf.DUMMYFUNCTION("""COMPUTED_VALUE"""),"utm_source=facebook&amp;utm_medium=socialmedia&amp;utm_campaign=&amp;utm_content=&amp;referrer=facebook")</f>
        <v>utm_source=facebook&amp;utm_medium=socialmedia&amp;utm_campaign=&amp;utm_content=&amp;referrer=facebook</v>
      </c>
    </row>
    <row r="235">
      <c r="A235" s="501" t="str">
        <f>IFERROR(__xludf.DUMMYFUNCTION("""COMPUTED_VALUE"""),"mei")</f>
        <v>mei</v>
      </c>
      <c r="B235" s="501">
        <f>IFERROR(__xludf.DUMMYFUNCTION("""COMPUTED_VALUE"""),20.0)</f>
        <v>20</v>
      </c>
      <c r="C235" s="501" t="str">
        <f>IFERROR(__xludf.DUMMYFUNCTION("""COMPUTED_VALUE"""),"dinsdag")</f>
        <v>dinsdag</v>
      </c>
      <c r="D235" s="502">
        <f>IFERROR(__xludf.DUMMYFUNCTION("""COMPUTED_VALUE"""),43599.0)</f>
        <v>43599</v>
      </c>
      <c r="E235" s="502">
        <f>IFERROR(__xludf.DUMMYFUNCTION("""COMPUTED_VALUE"""),43599.0)</f>
        <v>43599</v>
      </c>
      <c r="F235" s="501" t="str">
        <f>IFERROR(__xludf.DUMMYFUNCTION("""COMPUTED_VALUE"""),"")</f>
        <v/>
      </c>
      <c r="G235" s="503" t="str">
        <f>IFERROR(__xludf.DUMMYFUNCTION("""COMPUTED_VALUE"""),"")</f>
        <v/>
      </c>
      <c r="H235" s="501" t="str">
        <f>IFERROR(__xludf.DUMMYFUNCTION("""COMPUTED_VALUE"""),"")</f>
        <v/>
      </c>
      <c r="I235" s="503" t="str">
        <f>IFERROR(__xludf.DUMMYFUNCTION("""COMPUTED_VALUE"""),"")</f>
        <v/>
      </c>
      <c r="J235" s="501" t="str">
        <f>IFERROR(__xludf.DUMMYFUNCTION("""COMPUTED_VALUE"""),"")</f>
        <v/>
      </c>
      <c r="K235" s="503" t="str">
        <f>IFERROR(__xludf.DUMMYFUNCTION("""COMPUTED_VALUE"""),"")</f>
        <v/>
      </c>
      <c r="L235" s="501" t="str">
        <f>IFERROR(__xludf.DUMMYFUNCTION("""COMPUTED_VALUE"""),"")</f>
        <v/>
      </c>
      <c r="M235" s="504">
        <f>IFERROR(__xludf.DUMMYFUNCTION("""COMPUTED_VALUE"""),1.0)</f>
        <v>1</v>
      </c>
      <c r="N235" s="501" t="str">
        <f>IFERROR(__xludf.DUMMYFUNCTION("""COMPUTED_VALUE"""),"")</f>
        <v/>
      </c>
      <c r="O235" s="501" t="str">
        <f>IFERROR(__xludf.DUMMYFUNCTION("""COMPUTED_VALUE"""),"")</f>
        <v/>
      </c>
      <c r="P235" s="503" t="str">
        <f>IFERROR(__xludf.DUMMYFUNCTION("""COMPUTED_VALUE"""),"")</f>
        <v/>
      </c>
      <c r="Q235" s="501" t="str">
        <f>IFERROR(__xludf.DUMMYFUNCTION("""COMPUTED_VALUE"""),"")</f>
        <v/>
      </c>
      <c r="R235" s="501" t="str">
        <f>IFERROR(__xludf.DUMMYFUNCTION("""COMPUTED_VALUE"""),"")</f>
        <v/>
      </c>
      <c r="S235" s="503" t="str">
        <f>IFERROR(__xludf.DUMMYFUNCTION("""COMPUTED_VALUE"""),"")</f>
        <v/>
      </c>
      <c r="T235" s="503" t="str">
        <f>IFERROR(__xludf.DUMMYFUNCTION("""COMPUTED_VALUE"""),"utm_source=facebook&amp;utm_medium=socialmedia&amp;utm_campaign=&amp;utm_content=&amp;referrer=facebook")</f>
        <v>utm_source=facebook&amp;utm_medium=socialmedia&amp;utm_campaign=&amp;utm_content=&amp;referrer=facebook</v>
      </c>
    </row>
    <row r="236">
      <c r="A236" s="501" t="str">
        <f>IFERROR(__xludf.DUMMYFUNCTION("""COMPUTED_VALUE"""),"mei")</f>
        <v>mei</v>
      </c>
      <c r="B236" s="501">
        <f>IFERROR(__xludf.DUMMYFUNCTION("""COMPUTED_VALUE"""),20.0)</f>
        <v>20</v>
      </c>
      <c r="C236" s="501" t="str">
        <f>IFERROR(__xludf.DUMMYFUNCTION("""COMPUTED_VALUE"""),"woensdag")</f>
        <v>woensdag</v>
      </c>
      <c r="D236" s="502">
        <f>IFERROR(__xludf.DUMMYFUNCTION("""COMPUTED_VALUE"""),43600.0)</f>
        <v>43600</v>
      </c>
      <c r="E236" s="502">
        <f>IFERROR(__xludf.DUMMYFUNCTION("""COMPUTED_VALUE"""),43600.0)</f>
        <v>43600</v>
      </c>
      <c r="F236" s="501" t="str">
        <f>IFERROR(__xludf.DUMMYFUNCTION("""COMPUTED_VALUE"""),"")</f>
        <v/>
      </c>
      <c r="G236" s="503" t="str">
        <f>IFERROR(__xludf.DUMMYFUNCTION("""COMPUTED_VALUE"""),"")</f>
        <v/>
      </c>
      <c r="H236" s="501" t="str">
        <f>IFERROR(__xludf.DUMMYFUNCTION("""COMPUTED_VALUE"""),"")</f>
        <v/>
      </c>
      <c r="I236" s="503" t="str">
        <f>IFERROR(__xludf.DUMMYFUNCTION("""COMPUTED_VALUE"""),"")</f>
        <v/>
      </c>
      <c r="J236" s="501" t="str">
        <f>IFERROR(__xludf.DUMMYFUNCTION("""COMPUTED_VALUE"""),"")</f>
        <v/>
      </c>
      <c r="K236" s="503" t="str">
        <f>IFERROR(__xludf.DUMMYFUNCTION("""COMPUTED_VALUE"""),"")</f>
        <v/>
      </c>
      <c r="L236" s="501" t="str">
        <f>IFERROR(__xludf.DUMMYFUNCTION("""COMPUTED_VALUE"""),"")</f>
        <v/>
      </c>
      <c r="M236" s="504">
        <f>IFERROR(__xludf.DUMMYFUNCTION("""COMPUTED_VALUE"""),1.0)</f>
        <v>1</v>
      </c>
      <c r="N236" s="501" t="str">
        <f>IFERROR(__xludf.DUMMYFUNCTION("""COMPUTED_VALUE"""),"")</f>
        <v/>
      </c>
      <c r="O236" s="501" t="str">
        <f>IFERROR(__xludf.DUMMYFUNCTION("""COMPUTED_VALUE"""),"")</f>
        <v/>
      </c>
      <c r="P236" s="503" t="str">
        <f>IFERROR(__xludf.DUMMYFUNCTION("""COMPUTED_VALUE"""),"")</f>
        <v/>
      </c>
      <c r="Q236" s="501" t="str">
        <f>IFERROR(__xludf.DUMMYFUNCTION("""COMPUTED_VALUE"""),"")</f>
        <v/>
      </c>
      <c r="R236" s="501" t="str">
        <f>IFERROR(__xludf.DUMMYFUNCTION("""COMPUTED_VALUE"""),"")</f>
        <v/>
      </c>
      <c r="S236" s="503" t="str">
        <f>IFERROR(__xludf.DUMMYFUNCTION("""COMPUTED_VALUE"""),"")</f>
        <v/>
      </c>
      <c r="T236" s="503" t="str">
        <f>IFERROR(__xludf.DUMMYFUNCTION("""COMPUTED_VALUE"""),"utm_source=facebook&amp;utm_medium=socialmedia&amp;utm_campaign=&amp;utm_content=&amp;referrer=facebook")</f>
        <v>utm_source=facebook&amp;utm_medium=socialmedia&amp;utm_campaign=&amp;utm_content=&amp;referrer=facebook</v>
      </c>
    </row>
    <row r="237">
      <c r="A237" s="501" t="str">
        <f>IFERROR(__xludf.DUMMYFUNCTION("""COMPUTED_VALUE"""),"mei")</f>
        <v>mei</v>
      </c>
      <c r="B237" s="501">
        <f>IFERROR(__xludf.DUMMYFUNCTION("""COMPUTED_VALUE"""),20.0)</f>
        <v>20</v>
      </c>
      <c r="C237" s="501" t="str">
        <f>IFERROR(__xludf.DUMMYFUNCTION("""COMPUTED_VALUE"""),"donderdag")</f>
        <v>donderdag</v>
      </c>
      <c r="D237" s="502">
        <f>IFERROR(__xludf.DUMMYFUNCTION("""COMPUTED_VALUE"""),43601.0)</f>
        <v>43601</v>
      </c>
      <c r="E237" s="502">
        <f>IFERROR(__xludf.DUMMYFUNCTION("""COMPUTED_VALUE"""),43601.0)</f>
        <v>43601</v>
      </c>
      <c r="F237" s="501" t="str">
        <f>IFERROR(__xludf.DUMMYFUNCTION("""COMPUTED_VALUE"""),"")</f>
        <v/>
      </c>
      <c r="G237" s="503" t="str">
        <f>IFERROR(__xludf.DUMMYFUNCTION("""COMPUTED_VALUE"""),"")</f>
        <v/>
      </c>
      <c r="H237" s="501" t="str">
        <f>IFERROR(__xludf.DUMMYFUNCTION("""COMPUTED_VALUE"""),"")</f>
        <v/>
      </c>
      <c r="I237" s="503" t="str">
        <f>IFERROR(__xludf.DUMMYFUNCTION("""COMPUTED_VALUE"""),"")</f>
        <v/>
      </c>
      <c r="J237" s="501" t="str">
        <f>IFERROR(__xludf.DUMMYFUNCTION("""COMPUTED_VALUE"""),"")</f>
        <v/>
      </c>
      <c r="K237" s="503" t="str">
        <f>IFERROR(__xludf.DUMMYFUNCTION("""COMPUTED_VALUE"""),"")</f>
        <v/>
      </c>
      <c r="L237" s="501" t="str">
        <f>IFERROR(__xludf.DUMMYFUNCTION("""COMPUTED_VALUE"""),"")</f>
        <v/>
      </c>
      <c r="M237" s="504">
        <f>IFERROR(__xludf.DUMMYFUNCTION("""COMPUTED_VALUE"""),1.0)</f>
        <v>1</v>
      </c>
      <c r="N237" s="501" t="str">
        <f>IFERROR(__xludf.DUMMYFUNCTION("""COMPUTED_VALUE"""),"")</f>
        <v/>
      </c>
      <c r="O237" s="501" t="str">
        <f>IFERROR(__xludf.DUMMYFUNCTION("""COMPUTED_VALUE"""),"")</f>
        <v/>
      </c>
      <c r="P237" s="503" t="str">
        <f>IFERROR(__xludf.DUMMYFUNCTION("""COMPUTED_VALUE"""),"")</f>
        <v/>
      </c>
      <c r="Q237" s="501" t="str">
        <f>IFERROR(__xludf.DUMMYFUNCTION("""COMPUTED_VALUE"""),"")</f>
        <v/>
      </c>
      <c r="R237" s="501" t="str">
        <f>IFERROR(__xludf.DUMMYFUNCTION("""COMPUTED_VALUE"""),"")</f>
        <v/>
      </c>
      <c r="S237" s="503" t="str">
        <f>IFERROR(__xludf.DUMMYFUNCTION("""COMPUTED_VALUE"""),"")</f>
        <v/>
      </c>
      <c r="T237" s="503" t="str">
        <f>IFERROR(__xludf.DUMMYFUNCTION("""COMPUTED_VALUE"""),"utm_source=facebook&amp;utm_medium=socialmedia&amp;utm_campaign=&amp;utm_content=&amp;referrer=facebook")</f>
        <v>utm_source=facebook&amp;utm_medium=socialmedia&amp;utm_campaign=&amp;utm_content=&amp;referrer=facebook</v>
      </c>
    </row>
    <row r="238">
      <c r="A238" s="501" t="str">
        <f>IFERROR(__xludf.DUMMYFUNCTION("""COMPUTED_VALUE"""),"mei")</f>
        <v>mei</v>
      </c>
      <c r="B238" s="501">
        <f>IFERROR(__xludf.DUMMYFUNCTION("""COMPUTED_VALUE"""),20.0)</f>
        <v>20</v>
      </c>
      <c r="C238" s="501" t="str">
        <f>IFERROR(__xludf.DUMMYFUNCTION("""COMPUTED_VALUE"""),"vrijdag")</f>
        <v>vrijdag</v>
      </c>
      <c r="D238" s="502">
        <f>IFERROR(__xludf.DUMMYFUNCTION("""COMPUTED_VALUE"""),43602.0)</f>
        <v>43602</v>
      </c>
      <c r="E238" s="502">
        <f>IFERROR(__xludf.DUMMYFUNCTION("""COMPUTED_VALUE"""),43602.0)</f>
        <v>43602</v>
      </c>
      <c r="F238" s="501" t="str">
        <f>IFERROR(__xludf.DUMMYFUNCTION("""COMPUTED_VALUE"""),"")</f>
        <v/>
      </c>
      <c r="G238" s="503" t="str">
        <f>IFERROR(__xludf.DUMMYFUNCTION("""COMPUTED_VALUE"""),"")</f>
        <v/>
      </c>
      <c r="H238" s="501" t="str">
        <f>IFERROR(__xludf.DUMMYFUNCTION("""COMPUTED_VALUE"""),"")</f>
        <v/>
      </c>
      <c r="I238" s="503" t="str">
        <f>IFERROR(__xludf.DUMMYFUNCTION("""COMPUTED_VALUE"""),"")</f>
        <v/>
      </c>
      <c r="J238" s="501" t="str">
        <f>IFERROR(__xludf.DUMMYFUNCTION("""COMPUTED_VALUE"""),"")</f>
        <v/>
      </c>
      <c r="K238" s="503" t="str">
        <f>IFERROR(__xludf.DUMMYFUNCTION("""COMPUTED_VALUE"""),"")</f>
        <v/>
      </c>
      <c r="L238" s="501" t="str">
        <f>IFERROR(__xludf.DUMMYFUNCTION("""COMPUTED_VALUE"""),"")</f>
        <v/>
      </c>
      <c r="M238" s="504">
        <f>IFERROR(__xludf.DUMMYFUNCTION("""COMPUTED_VALUE"""),1.0)</f>
        <v>1</v>
      </c>
      <c r="N238" s="501" t="str">
        <f>IFERROR(__xludf.DUMMYFUNCTION("""COMPUTED_VALUE"""),"")</f>
        <v/>
      </c>
      <c r="O238" s="501" t="str">
        <f>IFERROR(__xludf.DUMMYFUNCTION("""COMPUTED_VALUE"""),"")</f>
        <v/>
      </c>
      <c r="P238" s="503" t="str">
        <f>IFERROR(__xludf.DUMMYFUNCTION("""COMPUTED_VALUE"""),"")</f>
        <v/>
      </c>
      <c r="Q238" s="501" t="str">
        <f>IFERROR(__xludf.DUMMYFUNCTION("""COMPUTED_VALUE"""),"")</f>
        <v/>
      </c>
      <c r="R238" s="501" t="str">
        <f>IFERROR(__xludf.DUMMYFUNCTION("""COMPUTED_VALUE"""),"")</f>
        <v/>
      </c>
      <c r="S238" s="503" t="str">
        <f>IFERROR(__xludf.DUMMYFUNCTION("""COMPUTED_VALUE"""),"")</f>
        <v/>
      </c>
      <c r="T238" s="503" t="str">
        <f>IFERROR(__xludf.DUMMYFUNCTION("""COMPUTED_VALUE"""),"utm_source=facebook&amp;utm_medium=socialmedia&amp;utm_campaign=&amp;utm_content=&amp;referrer=facebook")</f>
        <v>utm_source=facebook&amp;utm_medium=socialmedia&amp;utm_campaign=&amp;utm_content=&amp;referrer=facebook</v>
      </c>
    </row>
    <row r="239">
      <c r="A239" s="501" t="str">
        <f>IFERROR(__xludf.DUMMYFUNCTION("""COMPUTED_VALUE"""),"mei")</f>
        <v>mei</v>
      </c>
      <c r="B239" s="501">
        <f>IFERROR(__xludf.DUMMYFUNCTION("""COMPUTED_VALUE"""),20.0)</f>
        <v>20</v>
      </c>
      <c r="C239" s="501" t="str">
        <f>IFERROR(__xludf.DUMMYFUNCTION("""COMPUTED_VALUE"""),"zaterdag")</f>
        <v>zaterdag</v>
      </c>
      <c r="D239" s="502">
        <f>IFERROR(__xludf.DUMMYFUNCTION("""COMPUTED_VALUE"""),43603.0)</f>
        <v>43603</v>
      </c>
      <c r="E239" s="502">
        <f>IFERROR(__xludf.DUMMYFUNCTION("""COMPUTED_VALUE"""),43603.0)</f>
        <v>43603</v>
      </c>
      <c r="F239" s="501" t="str">
        <f>IFERROR(__xludf.DUMMYFUNCTION("""COMPUTED_VALUE"""),"")</f>
        <v/>
      </c>
      <c r="G239" s="503" t="str">
        <f>IFERROR(__xludf.DUMMYFUNCTION("""COMPUTED_VALUE"""),"")</f>
        <v/>
      </c>
      <c r="H239" s="501" t="str">
        <f>IFERROR(__xludf.DUMMYFUNCTION("""COMPUTED_VALUE"""),"")</f>
        <v/>
      </c>
      <c r="I239" s="503" t="str">
        <f>IFERROR(__xludf.DUMMYFUNCTION("""COMPUTED_VALUE"""),"")</f>
        <v/>
      </c>
      <c r="J239" s="501" t="str">
        <f>IFERROR(__xludf.DUMMYFUNCTION("""COMPUTED_VALUE"""),"")</f>
        <v/>
      </c>
      <c r="K239" s="503" t="str">
        <f>IFERROR(__xludf.DUMMYFUNCTION("""COMPUTED_VALUE"""),"")</f>
        <v/>
      </c>
      <c r="L239" s="501" t="str">
        <f>IFERROR(__xludf.DUMMYFUNCTION("""COMPUTED_VALUE"""),"")</f>
        <v/>
      </c>
      <c r="M239" s="504">
        <f>IFERROR(__xludf.DUMMYFUNCTION("""COMPUTED_VALUE"""),1.0)</f>
        <v>1</v>
      </c>
      <c r="N239" s="501" t="str">
        <f>IFERROR(__xludf.DUMMYFUNCTION("""COMPUTED_VALUE"""),"")</f>
        <v/>
      </c>
      <c r="O239" s="501" t="str">
        <f>IFERROR(__xludf.DUMMYFUNCTION("""COMPUTED_VALUE"""),"")</f>
        <v/>
      </c>
      <c r="P239" s="503" t="str">
        <f>IFERROR(__xludf.DUMMYFUNCTION("""COMPUTED_VALUE"""),"")</f>
        <v/>
      </c>
      <c r="Q239" s="501" t="str">
        <f>IFERROR(__xludf.DUMMYFUNCTION("""COMPUTED_VALUE"""),"")</f>
        <v/>
      </c>
      <c r="R239" s="501" t="str">
        <f>IFERROR(__xludf.DUMMYFUNCTION("""COMPUTED_VALUE"""),"")</f>
        <v/>
      </c>
      <c r="S239" s="503" t="str">
        <f>IFERROR(__xludf.DUMMYFUNCTION("""COMPUTED_VALUE"""),"")</f>
        <v/>
      </c>
      <c r="T239" s="503" t="str">
        <f>IFERROR(__xludf.DUMMYFUNCTION("""COMPUTED_VALUE"""),"utm_source=facebook&amp;utm_medium=socialmedia&amp;utm_campaign=&amp;utm_content=&amp;referrer=facebook")</f>
        <v>utm_source=facebook&amp;utm_medium=socialmedia&amp;utm_campaign=&amp;utm_content=&amp;referrer=facebook</v>
      </c>
    </row>
    <row r="240">
      <c r="A240" s="501" t="str">
        <f>IFERROR(__xludf.DUMMYFUNCTION("""COMPUTED_VALUE"""),"mei")</f>
        <v>mei</v>
      </c>
      <c r="B240" s="501">
        <f>IFERROR(__xludf.DUMMYFUNCTION("""COMPUTED_VALUE"""),21.0)</f>
        <v>21</v>
      </c>
      <c r="C240" s="501" t="str">
        <f>IFERROR(__xludf.DUMMYFUNCTION("""COMPUTED_VALUE"""),"zondag")</f>
        <v>zondag</v>
      </c>
      <c r="D240" s="502">
        <f>IFERROR(__xludf.DUMMYFUNCTION("""COMPUTED_VALUE"""),43604.0)</f>
        <v>43604</v>
      </c>
      <c r="E240" s="502">
        <f>IFERROR(__xludf.DUMMYFUNCTION("""COMPUTED_VALUE"""),43604.0)</f>
        <v>43604</v>
      </c>
      <c r="F240" s="501" t="str">
        <f>IFERROR(__xludf.DUMMYFUNCTION("""COMPUTED_VALUE"""),"")</f>
        <v/>
      </c>
      <c r="G240" s="503" t="str">
        <f>IFERROR(__xludf.DUMMYFUNCTION("""COMPUTED_VALUE"""),"")</f>
        <v/>
      </c>
      <c r="H240" s="501" t="str">
        <f>IFERROR(__xludf.DUMMYFUNCTION("""COMPUTED_VALUE"""),"")</f>
        <v/>
      </c>
      <c r="I240" s="503" t="str">
        <f>IFERROR(__xludf.DUMMYFUNCTION("""COMPUTED_VALUE"""),"")</f>
        <v/>
      </c>
      <c r="J240" s="501" t="str">
        <f>IFERROR(__xludf.DUMMYFUNCTION("""COMPUTED_VALUE"""),"")</f>
        <v/>
      </c>
      <c r="K240" s="503" t="str">
        <f>IFERROR(__xludf.DUMMYFUNCTION("""COMPUTED_VALUE"""),"")</f>
        <v/>
      </c>
      <c r="L240" s="501" t="str">
        <f>IFERROR(__xludf.DUMMYFUNCTION("""COMPUTED_VALUE"""),"")</f>
        <v/>
      </c>
      <c r="M240" s="504">
        <f>IFERROR(__xludf.DUMMYFUNCTION("""COMPUTED_VALUE"""),1.0)</f>
        <v>1</v>
      </c>
      <c r="N240" s="501" t="str">
        <f>IFERROR(__xludf.DUMMYFUNCTION("""COMPUTED_VALUE"""),"")</f>
        <v/>
      </c>
      <c r="O240" s="501" t="str">
        <f>IFERROR(__xludf.DUMMYFUNCTION("""COMPUTED_VALUE"""),"")</f>
        <v/>
      </c>
      <c r="P240" s="503" t="str">
        <f>IFERROR(__xludf.DUMMYFUNCTION("""COMPUTED_VALUE"""),"")</f>
        <v/>
      </c>
      <c r="Q240" s="501" t="str">
        <f>IFERROR(__xludf.DUMMYFUNCTION("""COMPUTED_VALUE"""),"")</f>
        <v/>
      </c>
      <c r="R240" s="501" t="str">
        <f>IFERROR(__xludf.DUMMYFUNCTION("""COMPUTED_VALUE"""),"")</f>
        <v/>
      </c>
      <c r="S240" s="503" t="str">
        <f>IFERROR(__xludf.DUMMYFUNCTION("""COMPUTED_VALUE"""),"")</f>
        <v/>
      </c>
      <c r="T240" s="503" t="str">
        <f>IFERROR(__xludf.DUMMYFUNCTION("""COMPUTED_VALUE"""),"utm_source=facebook&amp;utm_medium=socialmedia&amp;utm_campaign=&amp;utm_content=&amp;referrer=facebook")</f>
        <v>utm_source=facebook&amp;utm_medium=socialmedia&amp;utm_campaign=&amp;utm_content=&amp;referrer=facebook</v>
      </c>
    </row>
    <row r="241">
      <c r="A241" s="501" t="str">
        <f>IFERROR(__xludf.DUMMYFUNCTION("""COMPUTED_VALUE"""),"mei")</f>
        <v>mei</v>
      </c>
      <c r="B241" s="501">
        <f>IFERROR(__xludf.DUMMYFUNCTION("""COMPUTED_VALUE"""),21.0)</f>
        <v>21</v>
      </c>
      <c r="C241" s="501" t="str">
        <f>IFERROR(__xludf.DUMMYFUNCTION("""COMPUTED_VALUE"""),"maandag")</f>
        <v>maandag</v>
      </c>
      <c r="D241" s="502">
        <f>IFERROR(__xludf.DUMMYFUNCTION("""COMPUTED_VALUE"""),43605.0)</f>
        <v>43605</v>
      </c>
      <c r="E241" s="502">
        <f>IFERROR(__xludf.DUMMYFUNCTION("""COMPUTED_VALUE"""),43605.0)</f>
        <v>43605</v>
      </c>
      <c r="F241" s="501" t="str">
        <f>IFERROR(__xludf.DUMMYFUNCTION("""COMPUTED_VALUE"""),"")</f>
        <v/>
      </c>
      <c r="G241" s="503" t="str">
        <f>IFERROR(__xludf.DUMMYFUNCTION("""COMPUTED_VALUE"""),"")</f>
        <v/>
      </c>
      <c r="H241" s="501" t="str">
        <f>IFERROR(__xludf.DUMMYFUNCTION("""COMPUTED_VALUE"""),"")</f>
        <v/>
      </c>
      <c r="I241" s="503" t="str">
        <f>IFERROR(__xludf.DUMMYFUNCTION("""COMPUTED_VALUE"""),"")</f>
        <v/>
      </c>
      <c r="J241" s="501" t="str">
        <f>IFERROR(__xludf.DUMMYFUNCTION("""COMPUTED_VALUE"""),"")</f>
        <v/>
      </c>
      <c r="K241" s="503" t="str">
        <f>IFERROR(__xludf.DUMMYFUNCTION("""COMPUTED_VALUE"""),"")</f>
        <v/>
      </c>
      <c r="L241" s="501" t="str">
        <f>IFERROR(__xludf.DUMMYFUNCTION("""COMPUTED_VALUE"""),"")</f>
        <v/>
      </c>
      <c r="M241" s="504">
        <f>IFERROR(__xludf.DUMMYFUNCTION("""COMPUTED_VALUE"""),1.0)</f>
        <v>1</v>
      </c>
      <c r="N241" s="501" t="str">
        <f>IFERROR(__xludf.DUMMYFUNCTION("""COMPUTED_VALUE"""),"")</f>
        <v/>
      </c>
      <c r="O241" s="501" t="str">
        <f>IFERROR(__xludf.DUMMYFUNCTION("""COMPUTED_VALUE"""),"")</f>
        <v/>
      </c>
      <c r="P241" s="503" t="str">
        <f>IFERROR(__xludf.DUMMYFUNCTION("""COMPUTED_VALUE"""),"")</f>
        <v/>
      </c>
      <c r="Q241" s="501" t="str">
        <f>IFERROR(__xludf.DUMMYFUNCTION("""COMPUTED_VALUE"""),"")</f>
        <v/>
      </c>
      <c r="R241" s="501" t="str">
        <f>IFERROR(__xludf.DUMMYFUNCTION("""COMPUTED_VALUE"""),"")</f>
        <v/>
      </c>
      <c r="S241" s="503" t="str">
        <f>IFERROR(__xludf.DUMMYFUNCTION("""COMPUTED_VALUE"""),"")</f>
        <v/>
      </c>
      <c r="T241" s="503" t="str">
        <f>IFERROR(__xludf.DUMMYFUNCTION("""COMPUTED_VALUE"""),"utm_source=facebook&amp;utm_medium=socialmedia&amp;utm_campaign=&amp;utm_content=&amp;referrer=facebook")</f>
        <v>utm_source=facebook&amp;utm_medium=socialmedia&amp;utm_campaign=&amp;utm_content=&amp;referrer=facebook</v>
      </c>
    </row>
    <row r="242">
      <c r="A242" s="501" t="str">
        <f>IFERROR(__xludf.DUMMYFUNCTION("""COMPUTED_VALUE"""),"mei")</f>
        <v>mei</v>
      </c>
      <c r="B242" s="501">
        <f>IFERROR(__xludf.DUMMYFUNCTION("""COMPUTED_VALUE"""),21.0)</f>
        <v>21</v>
      </c>
      <c r="C242" s="501" t="str">
        <f>IFERROR(__xludf.DUMMYFUNCTION("""COMPUTED_VALUE"""),"dinsdag")</f>
        <v>dinsdag</v>
      </c>
      <c r="D242" s="502">
        <f>IFERROR(__xludf.DUMMYFUNCTION("""COMPUTED_VALUE"""),43606.0)</f>
        <v>43606</v>
      </c>
      <c r="E242" s="502">
        <f>IFERROR(__xludf.DUMMYFUNCTION("""COMPUTED_VALUE"""),43606.0)</f>
        <v>43606</v>
      </c>
      <c r="F242" s="501" t="str">
        <f>IFERROR(__xludf.DUMMYFUNCTION("""COMPUTED_VALUE"""),"")</f>
        <v/>
      </c>
      <c r="G242" s="503" t="str">
        <f>IFERROR(__xludf.DUMMYFUNCTION("""COMPUTED_VALUE"""),"")</f>
        <v/>
      </c>
      <c r="H242" s="501" t="str">
        <f>IFERROR(__xludf.DUMMYFUNCTION("""COMPUTED_VALUE"""),"")</f>
        <v/>
      </c>
      <c r="I242" s="503" t="str">
        <f>IFERROR(__xludf.DUMMYFUNCTION("""COMPUTED_VALUE"""),"")</f>
        <v/>
      </c>
      <c r="J242" s="501" t="str">
        <f>IFERROR(__xludf.DUMMYFUNCTION("""COMPUTED_VALUE"""),"")</f>
        <v/>
      </c>
      <c r="K242" s="503" t="str">
        <f>IFERROR(__xludf.DUMMYFUNCTION("""COMPUTED_VALUE"""),"")</f>
        <v/>
      </c>
      <c r="L242" s="501" t="str">
        <f>IFERROR(__xludf.DUMMYFUNCTION("""COMPUTED_VALUE"""),"")</f>
        <v/>
      </c>
      <c r="M242" s="504">
        <f>IFERROR(__xludf.DUMMYFUNCTION("""COMPUTED_VALUE"""),1.0)</f>
        <v>1</v>
      </c>
      <c r="N242" s="501" t="str">
        <f>IFERROR(__xludf.DUMMYFUNCTION("""COMPUTED_VALUE"""),"")</f>
        <v/>
      </c>
      <c r="O242" s="501" t="str">
        <f>IFERROR(__xludf.DUMMYFUNCTION("""COMPUTED_VALUE"""),"")</f>
        <v/>
      </c>
      <c r="P242" s="503" t="str">
        <f>IFERROR(__xludf.DUMMYFUNCTION("""COMPUTED_VALUE"""),"")</f>
        <v/>
      </c>
      <c r="Q242" s="501" t="str">
        <f>IFERROR(__xludf.DUMMYFUNCTION("""COMPUTED_VALUE"""),"")</f>
        <v/>
      </c>
      <c r="R242" s="501" t="str">
        <f>IFERROR(__xludf.DUMMYFUNCTION("""COMPUTED_VALUE"""),"")</f>
        <v/>
      </c>
      <c r="S242" s="503" t="str">
        <f>IFERROR(__xludf.DUMMYFUNCTION("""COMPUTED_VALUE"""),"")</f>
        <v/>
      </c>
      <c r="T242" s="503" t="str">
        <f>IFERROR(__xludf.DUMMYFUNCTION("""COMPUTED_VALUE"""),"utm_source=facebook&amp;utm_medium=socialmedia&amp;utm_campaign=&amp;utm_content=&amp;referrer=facebook")</f>
        <v>utm_source=facebook&amp;utm_medium=socialmedia&amp;utm_campaign=&amp;utm_content=&amp;referrer=facebook</v>
      </c>
    </row>
    <row r="243">
      <c r="A243" s="501" t="str">
        <f>IFERROR(__xludf.DUMMYFUNCTION("""COMPUTED_VALUE"""),"mei")</f>
        <v>mei</v>
      </c>
      <c r="B243" s="501">
        <f>IFERROR(__xludf.DUMMYFUNCTION("""COMPUTED_VALUE"""),21.0)</f>
        <v>21</v>
      </c>
      <c r="C243" s="501" t="str">
        <f>IFERROR(__xludf.DUMMYFUNCTION("""COMPUTED_VALUE"""),"woensdag")</f>
        <v>woensdag</v>
      </c>
      <c r="D243" s="502">
        <f>IFERROR(__xludf.DUMMYFUNCTION("""COMPUTED_VALUE"""),43607.0)</f>
        <v>43607</v>
      </c>
      <c r="E243" s="502">
        <f>IFERROR(__xludf.DUMMYFUNCTION("""COMPUTED_VALUE"""),43607.0)</f>
        <v>43607</v>
      </c>
      <c r="F243" s="501" t="str">
        <f>IFERROR(__xludf.DUMMYFUNCTION("""COMPUTED_VALUE"""),"")</f>
        <v/>
      </c>
      <c r="G243" s="503" t="str">
        <f>IFERROR(__xludf.DUMMYFUNCTION("""COMPUTED_VALUE"""),"")</f>
        <v/>
      </c>
      <c r="H243" s="501" t="str">
        <f>IFERROR(__xludf.DUMMYFUNCTION("""COMPUTED_VALUE"""),"")</f>
        <v/>
      </c>
      <c r="I243" s="503" t="str">
        <f>IFERROR(__xludf.DUMMYFUNCTION("""COMPUTED_VALUE"""),"")</f>
        <v/>
      </c>
      <c r="J243" s="501" t="str">
        <f>IFERROR(__xludf.DUMMYFUNCTION("""COMPUTED_VALUE"""),"")</f>
        <v/>
      </c>
      <c r="K243" s="503" t="str">
        <f>IFERROR(__xludf.DUMMYFUNCTION("""COMPUTED_VALUE"""),"")</f>
        <v/>
      </c>
      <c r="L243" s="501" t="str">
        <f>IFERROR(__xludf.DUMMYFUNCTION("""COMPUTED_VALUE"""),"")</f>
        <v/>
      </c>
      <c r="M243" s="504">
        <f>IFERROR(__xludf.DUMMYFUNCTION("""COMPUTED_VALUE"""),1.0)</f>
        <v>1</v>
      </c>
      <c r="N243" s="501" t="str">
        <f>IFERROR(__xludf.DUMMYFUNCTION("""COMPUTED_VALUE"""),"")</f>
        <v/>
      </c>
      <c r="O243" s="501" t="str">
        <f>IFERROR(__xludf.DUMMYFUNCTION("""COMPUTED_VALUE"""),"")</f>
        <v/>
      </c>
      <c r="P243" s="503" t="str">
        <f>IFERROR(__xludf.DUMMYFUNCTION("""COMPUTED_VALUE"""),"")</f>
        <v/>
      </c>
      <c r="Q243" s="501" t="str">
        <f>IFERROR(__xludf.DUMMYFUNCTION("""COMPUTED_VALUE"""),"")</f>
        <v/>
      </c>
      <c r="R243" s="501" t="str">
        <f>IFERROR(__xludf.DUMMYFUNCTION("""COMPUTED_VALUE"""),"")</f>
        <v/>
      </c>
      <c r="S243" s="503" t="str">
        <f>IFERROR(__xludf.DUMMYFUNCTION("""COMPUTED_VALUE"""),"")</f>
        <v/>
      </c>
      <c r="T243" s="503" t="str">
        <f>IFERROR(__xludf.DUMMYFUNCTION("""COMPUTED_VALUE"""),"utm_source=facebook&amp;utm_medium=socialmedia&amp;utm_campaign=&amp;utm_content=&amp;referrer=facebook")</f>
        <v>utm_source=facebook&amp;utm_medium=socialmedia&amp;utm_campaign=&amp;utm_content=&amp;referrer=facebook</v>
      </c>
    </row>
    <row r="244">
      <c r="A244" s="501" t="str">
        <f>IFERROR(__xludf.DUMMYFUNCTION("""COMPUTED_VALUE"""),"mei")</f>
        <v>mei</v>
      </c>
      <c r="B244" s="501">
        <f>IFERROR(__xludf.DUMMYFUNCTION("""COMPUTED_VALUE"""),21.0)</f>
        <v>21</v>
      </c>
      <c r="C244" s="501" t="str">
        <f>IFERROR(__xludf.DUMMYFUNCTION("""COMPUTED_VALUE"""),"donderdag")</f>
        <v>donderdag</v>
      </c>
      <c r="D244" s="502">
        <f>IFERROR(__xludf.DUMMYFUNCTION("""COMPUTED_VALUE"""),43608.0)</f>
        <v>43608</v>
      </c>
      <c r="E244" s="502">
        <f>IFERROR(__xludf.DUMMYFUNCTION("""COMPUTED_VALUE"""),43608.0)</f>
        <v>43608</v>
      </c>
      <c r="F244" s="501" t="str">
        <f>IFERROR(__xludf.DUMMYFUNCTION("""COMPUTED_VALUE"""),"")</f>
        <v/>
      </c>
      <c r="G244" s="503" t="str">
        <f>IFERROR(__xludf.DUMMYFUNCTION("""COMPUTED_VALUE"""),"")</f>
        <v/>
      </c>
      <c r="H244" s="501" t="str">
        <f>IFERROR(__xludf.DUMMYFUNCTION("""COMPUTED_VALUE"""),"")</f>
        <v/>
      </c>
      <c r="I244" s="503" t="str">
        <f>IFERROR(__xludf.DUMMYFUNCTION("""COMPUTED_VALUE"""),"")</f>
        <v/>
      </c>
      <c r="J244" s="501" t="str">
        <f>IFERROR(__xludf.DUMMYFUNCTION("""COMPUTED_VALUE"""),"")</f>
        <v/>
      </c>
      <c r="K244" s="503" t="str">
        <f>IFERROR(__xludf.DUMMYFUNCTION("""COMPUTED_VALUE"""),"")</f>
        <v/>
      </c>
      <c r="L244" s="501" t="str">
        <f>IFERROR(__xludf.DUMMYFUNCTION("""COMPUTED_VALUE"""),"")</f>
        <v/>
      </c>
      <c r="M244" s="504">
        <f>IFERROR(__xludf.DUMMYFUNCTION("""COMPUTED_VALUE"""),1.0)</f>
        <v>1</v>
      </c>
      <c r="N244" s="501" t="str">
        <f>IFERROR(__xludf.DUMMYFUNCTION("""COMPUTED_VALUE"""),"")</f>
        <v/>
      </c>
      <c r="O244" s="501" t="str">
        <f>IFERROR(__xludf.DUMMYFUNCTION("""COMPUTED_VALUE"""),"")</f>
        <v/>
      </c>
      <c r="P244" s="503" t="str">
        <f>IFERROR(__xludf.DUMMYFUNCTION("""COMPUTED_VALUE"""),"")</f>
        <v/>
      </c>
      <c r="Q244" s="501" t="str">
        <f>IFERROR(__xludf.DUMMYFUNCTION("""COMPUTED_VALUE"""),"")</f>
        <v/>
      </c>
      <c r="R244" s="501" t="str">
        <f>IFERROR(__xludf.DUMMYFUNCTION("""COMPUTED_VALUE"""),"")</f>
        <v/>
      </c>
      <c r="S244" s="503" t="str">
        <f>IFERROR(__xludf.DUMMYFUNCTION("""COMPUTED_VALUE"""),"")</f>
        <v/>
      </c>
      <c r="T244" s="503" t="str">
        <f>IFERROR(__xludf.DUMMYFUNCTION("""COMPUTED_VALUE"""),"utm_source=facebook&amp;utm_medium=socialmedia&amp;utm_campaign=&amp;utm_content=&amp;referrer=facebook")</f>
        <v>utm_source=facebook&amp;utm_medium=socialmedia&amp;utm_campaign=&amp;utm_content=&amp;referrer=facebook</v>
      </c>
    </row>
    <row r="245">
      <c r="A245" s="501" t="str">
        <f>IFERROR(__xludf.DUMMYFUNCTION("""COMPUTED_VALUE"""),"mei")</f>
        <v>mei</v>
      </c>
      <c r="B245" s="501">
        <f>IFERROR(__xludf.DUMMYFUNCTION("""COMPUTED_VALUE"""),21.0)</f>
        <v>21</v>
      </c>
      <c r="C245" s="501" t="str">
        <f>IFERROR(__xludf.DUMMYFUNCTION("""COMPUTED_VALUE"""),"vrijdag")</f>
        <v>vrijdag</v>
      </c>
      <c r="D245" s="502">
        <f>IFERROR(__xludf.DUMMYFUNCTION("""COMPUTED_VALUE"""),43609.0)</f>
        <v>43609</v>
      </c>
      <c r="E245" s="502">
        <f>IFERROR(__xludf.DUMMYFUNCTION("""COMPUTED_VALUE"""),43609.0)</f>
        <v>43609</v>
      </c>
      <c r="F245" s="501" t="str">
        <f>IFERROR(__xludf.DUMMYFUNCTION("""COMPUTED_VALUE"""),"")</f>
        <v/>
      </c>
      <c r="G245" s="503" t="str">
        <f>IFERROR(__xludf.DUMMYFUNCTION("""COMPUTED_VALUE"""),"")</f>
        <v/>
      </c>
      <c r="H245" s="501" t="str">
        <f>IFERROR(__xludf.DUMMYFUNCTION("""COMPUTED_VALUE"""),"")</f>
        <v/>
      </c>
      <c r="I245" s="503" t="str">
        <f>IFERROR(__xludf.DUMMYFUNCTION("""COMPUTED_VALUE"""),"")</f>
        <v/>
      </c>
      <c r="J245" s="501" t="str">
        <f>IFERROR(__xludf.DUMMYFUNCTION("""COMPUTED_VALUE"""),"")</f>
        <v/>
      </c>
      <c r="K245" s="503" t="str">
        <f>IFERROR(__xludf.DUMMYFUNCTION("""COMPUTED_VALUE"""),"")</f>
        <v/>
      </c>
      <c r="L245" s="501" t="str">
        <f>IFERROR(__xludf.DUMMYFUNCTION("""COMPUTED_VALUE"""),"")</f>
        <v/>
      </c>
      <c r="M245" s="504">
        <f>IFERROR(__xludf.DUMMYFUNCTION("""COMPUTED_VALUE"""),1.0)</f>
        <v>1</v>
      </c>
      <c r="N245" s="501" t="str">
        <f>IFERROR(__xludf.DUMMYFUNCTION("""COMPUTED_VALUE"""),"")</f>
        <v/>
      </c>
      <c r="O245" s="501" t="str">
        <f>IFERROR(__xludf.DUMMYFUNCTION("""COMPUTED_VALUE"""),"")</f>
        <v/>
      </c>
      <c r="P245" s="503" t="str">
        <f>IFERROR(__xludf.DUMMYFUNCTION("""COMPUTED_VALUE"""),"")</f>
        <v/>
      </c>
      <c r="Q245" s="501" t="str">
        <f>IFERROR(__xludf.DUMMYFUNCTION("""COMPUTED_VALUE"""),"")</f>
        <v/>
      </c>
      <c r="R245" s="501" t="str">
        <f>IFERROR(__xludf.DUMMYFUNCTION("""COMPUTED_VALUE"""),"")</f>
        <v/>
      </c>
      <c r="S245" s="503" t="str">
        <f>IFERROR(__xludf.DUMMYFUNCTION("""COMPUTED_VALUE"""),"")</f>
        <v/>
      </c>
      <c r="T245" s="503" t="str">
        <f>IFERROR(__xludf.DUMMYFUNCTION("""COMPUTED_VALUE"""),"utm_source=facebook&amp;utm_medium=socialmedia&amp;utm_campaign=&amp;utm_content=&amp;referrer=facebook")</f>
        <v>utm_source=facebook&amp;utm_medium=socialmedia&amp;utm_campaign=&amp;utm_content=&amp;referrer=facebook</v>
      </c>
    </row>
    <row r="246">
      <c r="A246" s="501" t="str">
        <f>IFERROR(__xludf.DUMMYFUNCTION("""COMPUTED_VALUE"""),"mei")</f>
        <v>mei</v>
      </c>
      <c r="B246" s="501">
        <f>IFERROR(__xludf.DUMMYFUNCTION("""COMPUTED_VALUE"""),21.0)</f>
        <v>21</v>
      </c>
      <c r="C246" s="501" t="str">
        <f>IFERROR(__xludf.DUMMYFUNCTION("""COMPUTED_VALUE"""),"zaterdag")</f>
        <v>zaterdag</v>
      </c>
      <c r="D246" s="502">
        <f>IFERROR(__xludf.DUMMYFUNCTION("""COMPUTED_VALUE"""),43610.0)</f>
        <v>43610</v>
      </c>
      <c r="E246" s="502">
        <f>IFERROR(__xludf.DUMMYFUNCTION("""COMPUTED_VALUE"""),43610.0)</f>
        <v>43610</v>
      </c>
      <c r="F246" s="501" t="str">
        <f>IFERROR(__xludf.DUMMYFUNCTION("""COMPUTED_VALUE"""),"")</f>
        <v/>
      </c>
      <c r="G246" s="503" t="str">
        <f>IFERROR(__xludf.DUMMYFUNCTION("""COMPUTED_VALUE"""),"")</f>
        <v/>
      </c>
      <c r="H246" s="501" t="str">
        <f>IFERROR(__xludf.DUMMYFUNCTION("""COMPUTED_VALUE"""),"")</f>
        <v/>
      </c>
      <c r="I246" s="503" t="str">
        <f>IFERROR(__xludf.DUMMYFUNCTION("""COMPUTED_VALUE"""),"")</f>
        <v/>
      </c>
      <c r="J246" s="501" t="str">
        <f>IFERROR(__xludf.DUMMYFUNCTION("""COMPUTED_VALUE"""),"")</f>
        <v/>
      </c>
      <c r="K246" s="503" t="str">
        <f>IFERROR(__xludf.DUMMYFUNCTION("""COMPUTED_VALUE"""),"")</f>
        <v/>
      </c>
      <c r="L246" s="501" t="str">
        <f>IFERROR(__xludf.DUMMYFUNCTION("""COMPUTED_VALUE"""),"")</f>
        <v/>
      </c>
      <c r="M246" s="504">
        <f>IFERROR(__xludf.DUMMYFUNCTION("""COMPUTED_VALUE"""),1.0)</f>
        <v>1</v>
      </c>
      <c r="N246" s="501" t="str">
        <f>IFERROR(__xludf.DUMMYFUNCTION("""COMPUTED_VALUE"""),"")</f>
        <v/>
      </c>
      <c r="O246" s="501" t="str">
        <f>IFERROR(__xludf.DUMMYFUNCTION("""COMPUTED_VALUE"""),"")</f>
        <v/>
      </c>
      <c r="P246" s="503" t="str">
        <f>IFERROR(__xludf.DUMMYFUNCTION("""COMPUTED_VALUE"""),"")</f>
        <v/>
      </c>
      <c r="Q246" s="501" t="str">
        <f>IFERROR(__xludf.DUMMYFUNCTION("""COMPUTED_VALUE"""),"")</f>
        <v/>
      </c>
      <c r="R246" s="501" t="str">
        <f>IFERROR(__xludf.DUMMYFUNCTION("""COMPUTED_VALUE"""),"")</f>
        <v/>
      </c>
      <c r="S246" s="503" t="str">
        <f>IFERROR(__xludf.DUMMYFUNCTION("""COMPUTED_VALUE"""),"")</f>
        <v/>
      </c>
      <c r="T246" s="503" t="str">
        <f>IFERROR(__xludf.DUMMYFUNCTION("""COMPUTED_VALUE"""),"utm_source=facebook&amp;utm_medium=socialmedia&amp;utm_campaign=&amp;utm_content=&amp;referrer=facebook")</f>
        <v>utm_source=facebook&amp;utm_medium=socialmedia&amp;utm_campaign=&amp;utm_content=&amp;referrer=facebook</v>
      </c>
    </row>
    <row r="247">
      <c r="A247" s="501" t="str">
        <f>IFERROR(__xludf.DUMMYFUNCTION("""COMPUTED_VALUE"""),"mei")</f>
        <v>mei</v>
      </c>
      <c r="B247" s="501">
        <f>IFERROR(__xludf.DUMMYFUNCTION("""COMPUTED_VALUE"""),22.0)</f>
        <v>22</v>
      </c>
      <c r="C247" s="501" t="str">
        <f>IFERROR(__xludf.DUMMYFUNCTION("""COMPUTED_VALUE"""),"zondag")</f>
        <v>zondag</v>
      </c>
      <c r="D247" s="502">
        <f>IFERROR(__xludf.DUMMYFUNCTION("""COMPUTED_VALUE"""),43611.0)</f>
        <v>43611</v>
      </c>
      <c r="E247" s="502">
        <f>IFERROR(__xludf.DUMMYFUNCTION("""COMPUTED_VALUE"""),43611.0)</f>
        <v>43611</v>
      </c>
      <c r="F247" s="501" t="str">
        <f>IFERROR(__xludf.DUMMYFUNCTION("""COMPUTED_VALUE"""),"")</f>
        <v/>
      </c>
      <c r="G247" s="503" t="str">
        <f>IFERROR(__xludf.DUMMYFUNCTION("""COMPUTED_VALUE"""),"")</f>
        <v/>
      </c>
      <c r="H247" s="501" t="str">
        <f>IFERROR(__xludf.DUMMYFUNCTION("""COMPUTED_VALUE"""),"")</f>
        <v/>
      </c>
      <c r="I247" s="503" t="str">
        <f>IFERROR(__xludf.DUMMYFUNCTION("""COMPUTED_VALUE"""),"")</f>
        <v/>
      </c>
      <c r="J247" s="501" t="str">
        <f>IFERROR(__xludf.DUMMYFUNCTION("""COMPUTED_VALUE"""),"")</f>
        <v/>
      </c>
      <c r="K247" s="503" t="str">
        <f>IFERROR(__xludf.DUMMYFUNCTION("""COMPUTED_VALUE"""),"")</f>
        <v/>
      </c>
      <c r="L247" s="501" t="str">
        <f>IFERROR(__xludf.DUMMYFUNCTION("""COMPUTED_VALUE"""),"")</f>
        <v/>
      </c>
      <c r="M247" s="504">
        <f>IFERROR(__xludf.DUMMYFUNCTION("""COMPUTED_VALUE"""),1.0)</f>
        <v>1</v>
      </c>
      <c r="N247" s="501" t="str">
        <f>IFERROR(__xludf.DUMMYFUNCTION("""COMPUTED_VALUE"""),"")</f>
        <v/>
      </c>
      <c r="O247" s="501" t="str">
        <f>IFERROR(__xludf.DUMMYFUNCTION("""COMPUTED_VALUE"""),"")</f>
        <v/>
      </c>
      <c r="P247" s="503" t="str">
        <f>IFERROR(__xludf.DUMMYFUNCTION("""COMPUTED_VALUE"""),"")</f>
        <v/>
      </c>
      <c r="Q247" s="501" t="str">
        <f>IFERROR(__xludf.DUMMYFUNCTION("""COMPUTED_VALUE"""),"")</f>
        <v/>
      </c>
      <c r="R247" s="501" t="str">
        <f>IFERROR(__xludf.DUMMYFUNCTION("""COMPUTED_VALUE"""),"")</f>
        <v/>
      </c>
      <c r="S247" s="503" t="str">
        <f>IFERROR(__xludf.DUMMYFUNCTION("""COMPUTED_VALUE"""),"")</f>
        <v/>
      </c>
      <c r="T247" s="503" t="str">
        <f>IFERROR(__xludf.DUMMYFUNCTION("""COMPUTED_VALUE"""),"utm_source=facebook&amp;utm_medium=socialmedia&amp;utm_campaign=&amp;utm_content=&amp;referrer=facebook")</f>
        <v>utm_source=facebook&amp;utm_medium=socialmedia&amp;utm_campaign=&amp;utm_content=&amp;referrer=facebook</v>
      </c>
    </row>
    <row r="248">
      <c r="A248" s="501" t="str">
        <f>IFERROR(__xludf.DUMMYFUNCTION("""COMPUTED_VALUE"""),"mei")</f>
        <v>mei</v>
      </c>
      <c r="B248" s="501">
        <f>IFERROR(__xludf.DUMMYFUNCTION("""COMPUTED_VALUE"""),22.0)</f>
        <v>22</v>
      </c>
      <c r="C248" s="501" t="str">
        <f>IFERROR(__xludf.DUMMYFUNCTION("""COMPUTED_VALUE"""),"maandag")</f>
        <v>maandag</v>
      </c>
      <c r="D248" s="502">
        <f>IFERROR(__xludf.DUMMYFUNCTION("""COMPUTED_VALUE"""),43612.0)</f>
        <v>43612</v>
      </c>
      <c r="E248" s="502">
        <f>IFERROR(__xludf.DUMMYFUNCTION("""COMPUTED_VALUE"""),43612.0)</f>
        <v>43612</v>
      </c>
      <c r="F248" s="501" t="str">
        <f>IFERROR(__xludf.DUMMYFUNCTION("""COMPUTED_VALUE"""),"")</f>
        <v/>
      </c>
      <c r="G248" s="503" t="str">
        <f>IFERROR(__xludf.DUMMYFUNCTION("""COMPUTED_VALUE"""),"")</f>
        <v/>
      </c>
      <c r="H248" s="501" t="str">
        <f>IFERROR(__xludf.DUMMYFUNCTION("""COMPUTED_VALUE"""),"")</f>
        <v/>
      </c>
      <c r="I248" s="503" t="str">
        <f>IFERROR(__xludf.DUMMYFUNCTION("""COMPUTED_VALUE"""),"")</f>
        <v/>
      </c>
      <c r="J248" s="501" t="str">
        <f>IFERROR(__xludf.DUMMYFUNCTION("""COMPUTED_VALUE"""),"")</f>
        <v/>
      </c>
      <c r="K248" s="503" t="str">
        <f>IFERROR(__xludf.DUMMYFUNCTION("""COMPUTED_VALUE"""),"")</f>
        <v/>
      </c>
      <c r="L248" s="501" t="str">
        <f>IFERROR(__xludf.DUMMYFUNCTION("""COMPUTED_VALUE"""),"")</f>
        <v/>
      </c>
      <c r="M248" s="504">
        <f>IFERROR(__xludf.DUMMYFUNCTION("""COMPUTED_VALUE"""),1.0)</f>
        <v>1</v>
      </c>
      <c r="N248" s="501" t="str">
        <f>IFERROR(__xludf.DUMMYFUNCTION("""COMPUTED_VALUE"""),"")</f>
        <v/>
      </c>
      <c r="O248" s="501" t="str">
        <f>IFERROR(__xludf.DUMMYFUNCTION("""COMPUTED_VALUE"""),"")</f>
        <v/>
      </c>
      <c r="P248" s="503" t="str">
        <f>IFERROR(__xludf.DUMMYFUNCTION("""COMPUTED_VALUE"""),"")</f>
        <v/>
      </c>
      <c r="Q248" s="501" t="str">
        <f>IFERROR(__xludf.DUMMYFUNCTION("""COMPUTED_VALUE"""),"")</f>
        <v/>
      </c>
      <c r="R248" s="501" t="str">
        <f>IFERROR(__xludf.DUMMYFUNCTION("""COMPUTED_VALUE"""),"")</f>
        <v/>
      </c>
      <c r="S248" s="503" t="str">
        <f>IFERROR(__xludf.DUMMYFUNCTION("""COMPUTED_VALUE"""),"")</f>
        <v/>
      </c>
      <c r="T248" s="503" t="str">
        <f>IFERROR(__xludf.DUMMYFUNCTION("""COMPUTED_VALUE"""),"utm_source=facebook&amp;utm_medium=socialmedia&amp;utm_campaign=&amp;utm_content=&amp;referrer=facebook")</f>
        <v>utm_source=facebook&amp;utm_medium=socialmedia&amp;utm_campaign=&amp;utm_content=&amp;referrer=facebook</v>
      </c>
    </row>
    <row r="249">
      <c r="A249" s="501" t="str">
        <f>IFERROR(__xludf.DUMMYFUNCTION("""COMPUTED_VALUE"""),"mei")</f>
        <v>mei</v>
      </c>
      <c r="B249" s="501">
        <f>IFERROR(__xludf.DUMMYFUNCTION("""COMPUTED_VALUE"""),22.0)</f>
        <v>22</v>
      </c>
      <c r="C249" s="501" t="str">
        <f>IFERROR(__xludf.DUMMYFUNCTION("""COMPUTED_VALUE"""),"dinsdag")</f>
        <v>dinsdag</v>
      </c>
      <c r="D249" s="502">
        <f>IFERROR(__xludf.DUMMYFUNCTION("""COMPUTED_VALUE"""),43613.0)</f>
        <v>43613</v>
      </c>
      <c r="E249" s="502">
        <f>IFERROR(__xludf.DUMMYFUNCTION("""COMPUTED_VALUE"""),43613.0)</f>
        <v>43613</v>
      </c>
      <c r="F249" s="501" t="str">
        <f>IFERROR(__xludf.DUMMYFUNCTION("""COMPUTED_VALUE"""),"")</f>
        <v/>
      </c>
      <c r="G249" s="503" t="str">
        <f>IFERROR(__xludf.DUMMYFUNCTION("""COMPUTED_VALUE"""),"")</f>
        <v/>
      </c>
      <c r="H249" s="501" t="str">
        <f>IFERROR(__xludf.DUMMYFUNCTION("""COMPUTED_VALUE"""),"")</f>
        <v/>
      </c>
      <c r="I249" s="503" t="str">
        <f>IFERROR(__xludf.DUMMYFUNCTION("""COMPUTED_VALUE"""),"")</f>
        <v/>
      </c>
      <c r="J249" s="501" t="str">
        <f>IFERROR(__xludf.DUMMYFUNCTION("""COMPUTED_VALUE"""),"")</f>
        <v/>
      </c>
      <c r="K249" s="503" t="str">
        <f>IFERROR(__xludf.DUMMYFUNCTION("""COMPUTED_VALUE"""),"")</f>
        <v/>
      </c>
      <c r="L249" s="501" t="str">
        <f>IFERROR(__xludf.DUMMYFUNCTION("""COMPUTED_VALUE"""),"")</f>
        <v/>
      </c>
      <c r="M249" s="504">
        <f>IFERROR(__xludf.DUMMYFUNCTION("""COMPUTED_VALUE"""),1.0)</f>
        <v>1</v>
      </c>
      <c r="N249" s="501" t="str">
        <f>IFERROR(__xludf.DUMMYFUNCTION("""COMPUTED_VALUE"""),"")</f>
        <v/>
      </c>
      <c r="O249" s="501" t="str">
        <f>IFERROR(__xludf.DUMMYFUNCTION("""COMPUTED_VALUE"""),"")</f>
        <v/>
      </c>
      <c r="P249" s="503" t="str">
        <f>IFERROR(__xludf.DUMMYFUNCTION("""COMPUTED_VALUE"""),"")</f>
        <v/>
      </c>
      <c r="Q249" s="501" t="str">
        <f>IFERROR(__xludf.DUMMYFUNCTION("""COMPUTED_VALUE"""),"")</f>
        <v/>
      </c>
      <c r="R249" s="501" t="str">
        <f>IFERROR(__xludf.DUMMYFUNCTION("""COMPUTED_VALUE"""),"")</f>
        <v/>
      </c>
      <c r="S249" s="503" t="str">
        <f>IFERROR(__xludf.DUMMYFUNCTION("""COMPUTED_VALUE"""),"")</f>
        <v/>
      </c>
      <c r="T249" s="503" t="str">
        <f>IFERROR(__xludf.DUMMYFUNCTION("""COMPUTED_VALUE"""),"utm_source=facebook&amp;utm_medium=socialmedia&amp;utm_campaign=&amp;utm_content=&amp;referrer=facebook")</f>
        <v>utm_source=facebook&amp;utm_medium=socialmedia&amp;utm_campaign=&amp;utm_content=&amp;referrer=facebook</v>
      </c>
    </row>
    <row r="250">
      <c r="A250" s="501" t="str">
        <f>IFERROR(__xludf.DUMMYFUNCTION("""COMPUTED_VALUE"""),"mei")</f>
        <v>mei</v>
      </c>
      <c r="B250" s="501">
        <f>IFERROR(__xludf.DUMMYFUNCTION("""COMPUTED_VALUE"""),22.0)</f>
        <v>22</v>
      </c>
      <c r="C250" s="501" t="str">
        <f>IFERROR(__xludf.DUMMYFUNCTION("""COMPUTED_VALUE"""),"woensdag")</f>
        <v>woensdag</v>
      </c>
      <c r="D250" s="502">
        <f>IFERROR(__xludf.DUMMYFUNCTION("""COMPUTED_VALUE"""),43614.0)</f>
        <v>43614</v>
      </c>
      <c r="E250" s="502">
        <f>IFERROR(__xludf.DUMMYFUNCTION("""COMPUTED_VALUE"""),43614.0)</f>
        <v>43614</v>
      </c>
      <c r="F250" s="501" t="str">
        <f>IFERROR(__xludf.DUMMYFUNCTION("""COMPUTED_VALUE"""),"")</f>
        <v/>
      </c>
      <c r="G250" s="503" t="str">
        <f>IFERROR(__xludf.DUMMYFUNCTION("""COMPUTED_VALUE"""),"")</f>
        <v/>
      </c>
      <c r="H250" s="501" t="str">
        <f>IFERROR(__xludf.DUMMYFUNCTION("""COMPUTED_VALUE"""),"")</f>
        <v/>
      </c>
      <c r="I250" s="503" t="str">
        <f>IFERROR(__xludf.DUMMYFUNCTION("""COMPUTED_VALUE"""),"")</f>
        <v/>
      </c>
      <c r="J250" s="501" t="str">
        <f>IFERROR(__xludf.DUMMYFUNCTION("""COMPUTED_VALUE"""),"")</f>
        <v/>
      </c>
      <c r="K250" s="503" t="str">
        <f>IFERROR(__xludf.DUMMYFUNCTION("""COMPUTED_VALUE"""),"")</f>
        <v/>
      </c>
      <c r="L250" s="501" t="str">
        <f>IFERROR(__xludf.DUMMYFUNCTION("""COMPUTED_VALUE"""),"")</f>
        <v/>
      </c>
      <c r="M250" s="504">
        <f>IFERROR(__xludf.DUMMYFUNCTION("""COMPUTED_VALUE"""),1.0)</f>
        <v>1</v>
      </c>
      <c r="N250" s="501" t="str">
        <f>IFERROR(__xludf.DUMMYFUNCTION("""COMPUTED_VALUE"""),"")</f>
        <v/>
      </c>
      <c r="O250" s="501" t="str">
        <f>IFERROR(__xludf.DUMMYFUNCTION("""COMPUTED_VALUE"""),"")</f>
        <v/>
      </c>
      <c r="P250" s="503" t="str">
        <f>IFERROR(__xludf.DUMMYFUNCTION("""COMPUTED_VALUE"""),"")</f>
        <v/>
      </c>
      <c r="Q250" s="501" t="str">
        <f>IFERROR(__xludf.DUMMYFUNCTION("""COMPUTED_VALUE"""),"")</f>
        <v/>
      </c>
      <c r="R250" s="501" t="str">
        <f>IFERROR(__xludf.DUMMYFUNCTION("""COMPUTED_VALUE"""),"")</f>
        <v/>
      </c>
      <c r="S250" s="503" t="str">
        <f>IFERROR(__xludf.DUMMYFUNCTION("""COMPUTED_VALUE"""),"")</f>
        <v/>
      </c>
      <c r="T250" s="503" t="str">
        <f>IFERROR(__xludf.DUMMYFUNCTION("""COMPUTED_VALUE"""),"utm_source=facebook&amp;utm_medium=socialmedia&amp;utm_campaign=&amp;utm_content=&amp;referrer=facebook")</f>
        <v>utm_source=facebook&amp;utm_medium=socialmedia&amp;utm_campaign=&amp;utm_content=&amp;referrer=facebook</v>
      </c>
    </row>
    <row r="251">
      <c r="A251" s="501" t="str">
        <f>IFERROR(__xludf.DUMMYFUNCTION("""COMPUTED_VALUE"""),"mei")</f>
        <v>mei</v>
      </c>
      <c r="B251" s="501">
        <f>IFERROR(__xludf.DUMMYFUNCTION("""COMPUTED_VALUE"""),22.0)</f>
        <v>22</v>
      </c>
      <c r="C251" s="501" t="str">
        <f>IFERROR(__xludf.DUMMYFUNCTION("""COMPUTED_VALUE"""),"donderdag")</f>
        <v>donderdag</v>
      </c>
      <c r="D251" s="502">
        <f>IFERROR(__xludf.DUMMYFUNCTION("""COMPUTED_VALUE"""),43615.0)</f>
        <v>43615</v>
      </c>
      <c r="E251" s="502">
        <f>IFERROR(__xludf.DUMMYFUNCTION("""COMPUTED_VALUE"""),43615.0)</f>
        <v>43615</v>
      </c>
      <c r="F251" s="501" t="str">
        <f>IFERROR(__xludf.DUMMYFUNCTION("""COMPUTED_VALUE"""),"")</f>
        <v/>
      </c>
      <c r="G251" s="503" t="str">
        <f>IFERROR(__xludf.DUMMYFUNCTION("""COMPUTED_VALUE"""),"")</f>
        <v/>
      </c>
      <c r="H251" s="501" t="str">
        <f>IFERROR(__xludf.DUMMYFUNCTION("""COMPUTED_VALUE"""),"")</f>
        <v/>
      </c>
      <c r="I251" s="503" t="str">
        <f>IFERROR(__xludf.DUMMYFUNCTION("""COMPUTED_VALUE"""),"")</f>
        <v/>
      </c>
      <c r="J251" s="501" t="str">
        <f>IFERROR(__xludf.DUMMYFUNCTION("""COMPUTED_VALUE"""),"")</f>
        <v/>
      </c>
      <c r="K251" s="503" t="str">
        <f>IFERROR(__xludf.DUMMYFUNCTION("""COMPUTED_VALUE"""),"")</f>
        <v/>
      </c>
      <c r="L251" s="501" t="str">
        <f>IFERROR(__xludf.DUMMYFUNCTION("""COMPUTED_VALUE"""),"")</f>
        <v/>
      </c>
      <c r="M251" s="504">
        <f>IFERROR(__xludf.DUMMYFUNCTION("""COMPUTED_VALUE"""),1.0)</f>
        <v>1</v>
      </c>
      <c r="N251" s="501" t="str">
        <f>IFERROR(__xludf.DUMMYFUNCTION("""COMPUTED_VALUE"""),"")</f>
        <v/>
      </c>
      <c r="O251" s="501" t="str">
        <f>IFERROR(__xludf.DUMMYFUNCTION("""COMPUTED_VALUE"""),"")</f>
        <v/>
      </c>
      <c r="P251" s="503" t="str">
        <f>IFERROR(__xludf.DUMMYFUNCTION("""COMPUTED_VALUE"""),"")</f>
        <v/>
      </c>
      <c r="Q251" s="501" t="str">
        <f>IFERROR(__xludf.DUMMYFUNCTION("""COMPUTED_VALUE"""),"")</f>
        <v/>
      </c>
      <c r="R251" s="501" t="str">
        <f>IFERROR(__xludf.DUMMYFUNCTION("""COMPUTED_VALUE"""),"")</f>
        <v/>
      </c>
      <c r="S251" s="503" t="str">
        <f>IFERROR(__xludf.DUMMYFUNCTION("""COMPUTED_VALUE"""),"")</f>
        <v/>
      </c>
      <c r="T251" s="503" t="str">
        <f>IFERROR(__xludf.DUMMYFUNCTION("""COMPUTED_VALUE"""),"utm_source=facebook&amp;utm_medium=socialmedia&amp;utm_campaign=&amp;utm_content=&amp;referrer=facebook")</f>
        <v>utm_source=facebook&amp;utm_medium=socialmedia&amp;utm_campaign=&amp;utm_content=&amp;referrer=facebook</v>
      </c>
    </row>
    <row r="252">
      <c r="A252" s="501" t="str">
        <f>IFERROR(__xludf.DUMMYFUNCTION("""COMPUTED_VALUE"""),"mei")</f>
        <v>mei</v>
      </c>
      <c r="B252" s="501">
        <f>IFERROR(__xludf.DUMMYFUNCTION("""COMPUTED_VALUE"""),22.0)</f>
        <v>22</v>
      </c>
      <c r="C252" s="501" t="str">
        <f>IFERROR(__xludf.DUMMYFUNCTION("""COMPUTED_VALUE"""),"vrijdag")</f>
        <v>vrijdag</v>
      </c>
      <c r="D252" s="502">
        <f>IFERROR(__xludf.DUMMYFUNCTION("""COMPUTED_VALUE"""),43616.0)</f>
        <v>43616</v>
      </c>
      <c r="E252" s="502">
        <f>IFERROR(__xludf.DUMMYFUNCTION("""COMPUTED_VALUE"""),43616.0)</f>
        <v>43616</v>
      </c>
      <c r="F252" s="501" t="str">
        <f>IFERROR(__xludf.DUMMYFUNCTION("""COMPUTED_VALUE"""),"")</f>
        <v/>
      </c>
      <c r="G252" s="503" t="str">
        <f>IFERROR(__xludf.DUMMYFUNCTION("""COMPUTED_VALUE"""),"")</f>
        <v/>
      </c>
      <c r="H252" s="501" t="str">
        <f>IFERROR(__xludf.DUMMYFUNCTION("""COMPUTED_VALUE"""),"")</f>
        <v/>
      </c>
      <c r="I252" s="503" t="str">
        <f>IFERROR(__xludf.DUMMYFUNCTION("""COMPUTED_VALUE"""),"")</f>
        <v/>
      </c>
      <c r="J252" s="501" t="str">
        <f>IFERROR(__xludf.DUMMYFUNCTION("""COMPUTED_VALUE"""),"")</f>
        <v/>
      </c>
      <c r="K252" s="503" t="str">
        <f>IFERROR(__xludf.DUMMYFUNCTION("""COMPUTED_VALUE"""),"")</f>
        <v/>
      </c>
      <c r="L252" s="501" t="str">
        <f>IFERROR(__xludf.DUMMYFUNCTION("""COMPUTED_VALUE"""),"")</f>
        <v/>
      </c>
      <c r="M252" s="504">
        <f>IFERROR(__xludf.DUMMYFUNCTION("""COMPUTED_VALUE"""),1.0)</f>
        <v>1</v>
      </c>
      <c r="N252" s="501" t="str">
        <f>IFERROR(__xludf.DUMMYFUNCTION("""COMPUTED_VALUE"""),"")</f>
        <v/>
      </c>
      <c r="O252" s="501" t="str">
        <f>IFERROR(__xludf.DUMMYFUNCTION("""COMPUTED_VALUE"""),"")</f>
        <v/>
      </c>
      <c r="P252" s="503" t="str">
        <f>IFERROR(__xludf.DUMMYFUNCTION("""COMPUTED_VALUE"""),"")</f>
        <v/>
      </c>
      <c r="Q252" s="501" t="str">
        <f>IFERROR(__xludf.DUMMYFUNCTION("""COMPUTED_VALUE"""),"")</f>
        <v/>
      </c>
      <c r="R252" s="501" t="str">
        <f>IFERROR(__xludf.DUMMYFUNCTION("""COMPUTED_VALUE"""),"")</f>
        <v/>
      </c>
      <c r="S252" s="503" t="str">
        <f>IFERROR(__xludf.DUMMYFUNCTION("""COMPUTED_VALUE"""),"")</f>
        <v/>
      </c>
      <c r="T252" s="503" t="str">
        <f>IFERROR(__xludf.DUMMYFUNCTION("""COMPUTED_VALUE"""),"utm_source=facebook&amp;utm_medium=socialmedia&amp;utm_campaign=&amp;utm_content=&amp;referrer=facebook")</f>
        <v>utm_source=facebook&amp;utm_medium=socialmedia&amp;utm_campaign=&amp;utm_content=&amp;referrer=facebook</v>
      </c>
    </row>
    <row r="253">
      <c r="A253" s="501" t="str">
        <f>IFERROR(__xludf.DUMMYFUNCTION("""COMPUTED_VALUE"""),"juni")</f>
        <v>juni</v>
      </c>
      <c r="B253" s="501">
        <f>IFERROR(__xludf.DUMMYFUNCTION("""COMPUTED_VALUE"""),22.0)</f>
        <v>22</v>
      </c>
      <c r="C253" s="501" t="str">
        <f>IFERROR(__xludf.DUMMYFUNCTION("""COMPUTED_VALUE"""),"zaterdag")</f>
        <v>zaterdag</v>
      </c>
      <c r="D253" s="502">
        <f>IFERROR(__xludf.DUMMYFUNCTION("""COMPUTED_VALUE"""),43617.0)</f>
        <v>43617</v>
      </c>
      <c r="E253" s="502">
        <f>IFERROR(__xludf.DUMMYFUNCTION("""COMPUTED_VALUE"""),43646.0)</f>
        <v>43646</v>
      </c>
      <c r="F253" s="501" t="str">
        <f>IFERROR(__xludf.DUMMYFUNCTION("""COMPUTED_VALUE"""),"")</f>
        <v/>
      </c>
      <c r="G253" s="503" t="str">
        <f>IFERROR(__xludf.DUMMYFUNCTION("""COMPUTED_VALUE"""),"")</f>
        <v/>
      </c>
      <c r="H253" s="501" t="str">
        <f>IFERROR(__xludf.DUMMYFUNCTION("""COMPUTED_VALUE"""),"AOC verhuizen do")</f>
        <v>AOC verhuizen do</v>
      </c>
      <c r="I253" s="503" t="str">
        <f>IFERROR(__xludf.DUMMYFUNCTION("""COMPUTED_VALUE"""),"")</f>
        <v/>
      </c>
      <c r="J253" s="501" t="str">
        <f>IFERROR(__xludf.DUMMYFUNCTION("""COMPUTED_VALUE"""),"Briefen")</f>
        <v>Briefen</v>
      </c>
      <c r="K253" s="505" t="str">
        <f>IFERROR(__xludf.DUMMYFUNCTION("""COMPUTED_VALUE""")," URl bevat nieuwe woning 14 dagen ")</f>
        <v>URl bevat nieuwe woning 14 dagen</v>
      </c>
      <c r="L253" s="506">
        <f>IFERROR(__xludf.DUMMYFUNCTION("""COMPUTED_VALUE"""),300.0)</f>
        <v>300</v>
      </c>
      <c r="M253" s="504">
        <f>IFERROR(__xludf.DUMMYFUNCTION("""COMPUTED_VALUE"""),30.0)</f>
        <v>30</v>
      </c>
      <c r="N253" s="501" t="str">
        <f>IFERROR(__xludf.DUMMYFUNCTION("""COMPUTED_VALUE"""),"Product")</f>
        <v>Product</v>
      </c>
      <c r="O253" s="501" t="str">
        <f>IFERROR(__xludf.DUMMYFUNCTION("""COMPUTED_VALUE"""),"Facebook")</f>
        <v>Facebook</v>
      </c>
      <c r="P253" s="503" t="str">
        <f>IFERROR(__xludf.DUMMYFUNCTION("""COMPUTED_VALUE"""),"Facebook - Do - AOC")</f>
        <v>Facebook - Do - AOC</v>
      </c>
      <c r="Q253" s="501" t="str">
        <f>IFERROR(__xludf.DUMMYFUNCTION("""COMPUTED_VALUE"""),"Conversie - Waarde")</f>
        <v>Conversie - Waarde</v>
      </c>
      <c r="R253" s="501" t="str">
        <f>IFERROR(__xludf.DUMMYFUNCTION("""COMPUTED_VALUE"""),"Dark")</f>
        <v>Dark</v>
      </c>
      <c r="S253" s="503" t="str">
        <f>IFERROR(__xludf.DUMMYFUNCTION("""COMPUTED_VALUE"""),"")</f>
        <v/>
      </c>
      <c r="T253"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254">
      <c r="A254" s="501" t="str">
        <f>IFERROR(__xludf.DUMMYFUNCTION("""COMPUTED_VALUE"""),"juni")</f>
        <v>juni</v>
      </c>
      <c r="B254" s="501">
        <f>IFERROR(__xludf.DUMMYFUNCTION("""COMPUTED_VALUE"""),22.0)</f>
        <v>22</v>
      </c>
      <c r="C254" s="501" t="str">
        <f>IFERROR(__xludf.DUMMYFUNCTION("""COMPUTED_VALUE"""),"zaterdag")</f>
        <v>zaterdag</v>
      </c>
      <c r="D254" s="502">
        <f>IFERROR(__xludf.DUMMYFUNCTION("""COMPUTED_VALUE"""),43617.0)</f>
        <v>43617</v>
      </c>
      <c r="E254" s="502">
        <f>IFERROR(__xludf.DUMMYFUNCTION("""COMPUTED_VALUE"""),43646.0)</f>
        <v>43646</v>
      </c>
      <c r="F254" s="501" t="str">
        <f>IFERROR(__xludf.DUMMYFUNCTION("""COMPUTED_VALUE"""),"")</f>
        <v/>
      </c>
      <c r="G254" s="503" t="str">
        <f>IFERROR(__xludf.DUMMYFUNCTION("""COMPUTED_VALUE"""),"")</f>
        <v/>
      </c>
      <c r="H254" s="501" t="str">
        <f>IFERROR(__xludf.DUMMYFUNCTION("""COMPUTED_VALUE"""),"AOC verjaardag do")</f>
        <v>AOC verjaardag do</v>
      </c>
      <c r="I254" s="503" t="str">
        <f>IFERROR(__xludf.DUMMYFUNCTION("""COMPUTED_VALUE"""),"")</f>
        <v/>
      </c>
      <c r="J254" s="501" t="str">
        <f>IFERROR(__xludf.DUMMYFUNCTION("""COMPUTED_VALUE"""),"Briefen")</f>
        <v>Briefen</v>
      </c>
      <c r="K254" s="505" t="str">
        <f>IFERROR(__xludf.DUMMYFUNCTION("""COMPUTED_VALUE""")," Goeie vrienden van jarige 7-30 dagen ")</f>
        <v>Goeie vrienden van jarige 7-30 dagen</v>
      </c>
      <c r="L254" s="506">
        <f>IFERROR(__xludf.DUMMYFUNCTION("""COMPUTED_VALUE"""),300.0)</f>
        <v>300</v>
      </c>
      <c r="M254" s="504">
        <f>IFERROR(__xludf.DUMMYFUNCTION("""COMPUTED_VALUE"""),30.0)</f>
        <v>30</v>
      </c>
      <c r="N254" s="501" t="str">
        <f>IFERROR(__xludf.DUMMYFUNCTION("""COMPUTED_VALUE"""),"Product")</f>
        <v>Product</v>
      </c>
      <c r="O254" s="501" t="str">
        <f>IFERROR(__xludf.DUMMYFUNCTION("""COMPUTED_VALUE"""),"Facebook")</f>
        <v>Facebook</v>
      </c>
      <c r="P254" s="503" t="str">
        <f>IFERROR(__xludf.DUMMYFUNCTION("""COMPUTED_VALUE"""),"Facebook - Do - AOC")</f>
        <v>Facebook - Do - AOC</v>
      </c>
      <c r="Q254" s="501" t="str">
        <f>IFERROR(__xludf.DUMMYFUNCTION("""COMPUTED_VALUE"""),"Conversie - Waarde")</f>
        <v>Conversie - Waarde</v>
      </c>
      <c r="R254" s="501" t="str">
        <f>IFERROR(__xludf.DUMMYFUNCTION("""COMPUTED_VALUE"""),"Dark")</f>
        <v>Dark</v>
      </c>
      <c r="S254" s="503" t="str">
        <f>IFERROR(__xludf.DUMMYFUNCTION("""COMPUTED_VALUE"""),"")</f>
        <v/>
      </c>
      <c r="T254"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55">
      <c r="A255" s="501" t="str">
        <f>IFERROR(__xludf.DUMMYFUNCTION("""COMPUTED_VALUE"""),"juni")</f>
        <v>juni</v>
      </c>
      <c r="B255" s="501">
        <f>IFERROR(__xludf.DUMMYFUNCTION("""COMPUTED_VALUE"""),22.0)</f>
        <v>22</v>
      </c>
      <c r="C255" s="501" t="str">
        <f>IFERROR(__xludf.DUMMYFUNCTION("""COMPUTED_VALUE"""),"zaterdag")</f>
        <v>zaterdag</v>
      </c>
      <c r="D255" s="502">
        <f>IFERROR(__xludf.DUMMYFUNCTION("""COMPUTED_VALUE"""),43617.0)</f>
        <v>43617</v>
      </c>
      <c r="E255" s="502">
        <f>IFERROR(__xludf.DUMMYFUNCTION("""COMPUTED_VALUE"""),43646.0)</f>
        <v>43646</v>
      </c>
      <c r="F255" s="501" t="str">
        <f>IFERROR(__xludf.DUMMYFUNCTION("""COMPUTED_VALUE"""),"")</f>
        <v/>
      </c>
      <c r="G255" s="503" t="str">
        <f>IFERROR(__xludf.DUMMYFUNCTION("""COMPUTED_VALUE"""),"")</f>
        <v/>
      </c>
      <c r="H255" s="501" t="str">
        <f>IFERROR(__xludf.DUMMYFUNCTION("""COMPUTED_VALUE"""),"AOC verjaardag do")</f>
        <v>AOC verjaardag do</v>
      </c>
      <c r="I255" s="503" t="str">
        <f>IFERROR(__xludf.DUMMYFUNCTION("""COMPUTED_VALUE"""),"")</f>
        <v/>
      </c>
      <c r="J255" s="501" t="str">
        <f>IFERROR(__xludf.DUMMYFUNCTION("""COMPUTED_VALUE"""),"Briefen")</f>
        <v>Briefen</v>
      </c>
      <c r="K255" s="505" t="str">
        <f>IFERROR(__xludf.DUMMYFUNCTION("""COMPUTED_VALUE""")," URL bevat verjaardag 2-7 dagen ")</f>
        <v>URL bevat verjaardag 2-7 dagen</v>
      </c>
      <c r="L255" s="506">
        <f>IFERROR(__xludf.DUMMYFUNCTION("""COMPUTED_VALUE"""),1200.0)</f>
        <v>1200</v>
      </c>
      <c r="M255" s="504">
        <f>IFERROR(__xludf.DUMMYFUNCTION("""COMPUTED_VALUE"""),30.0)</f>
        <v>30</v>
      </c>
      <c r="N255" s="501" t="str">
        <f>IFERROR(__xludf.DUMMYFUNCTION("""COMPUTED_VALUE"""),"Product")</f>
        <v>Product</v>
      </c>
      <c r="O255" s="501" t="str">
        <f>IFERROR(__xludf.DUMMYFUNCTION("""COMPUTED_VALUE"""),"Facebook")</f>
        <v>Facebook</v>
      </c>
      <c r="P255" s="503" t="str">
        <f>IFERROR(__xludf.DUMMYFUNCTION("""COMPUTED_VALUE"""),"Facebook - Do - AOC")</f>
        <v>Facebook - Do - AOC</v>
      </c>
      <c r="Q255" s="501" t="str">
        <f>IFERROR(__xludf.DUMMYFUNCTION("""COMPUTED_VALUE"""),"Conversie - Waarde")</f>
        <v>Conversie - Waarde</v>
      </c>
      <c r="R255" s="501" t="str">
        <f>IFERROR(__xludf.DUMMYFUNCTION("""COMPUTED_VALUE"""),"Dark")</f>
        <v>Dark</v>
      </c>
      <c r="S255" s="503" t="str">
        <f>IFERROR(__xludf.DUMMYFUNCTION("""COMPUTED_VALUE"""),"")</f>
        <v/>
      </c>
      <c r="T255"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56">
      <c r="A256" s="501" t="str">
        <f>IFERROR(__xludf.DUMMYFUNCTION("""COMPUTED_VALUE"""),"juni")</f>
        <v>juni</v>
      </c>
      <c r="B256" s="501">
        <f>IFERROR(__xludf.DUMMYFUNCTION("""COMPUTED_VALUE"""),22.0)</f>
        <v>22</v>
      </c>
      <c r="C256" s="501" t="str">
        <f>IFERROR(__xludf.DUMMYFUNCTION("""COMPUTED_VALUE"""),"zaterdag")</f>
        <v>zaterdag</v>
      </c>
      <c r="D256" s="502">
        <f>IFERROR(__xludf.DUMMYFUNCTION("""COMPUTED_VALUE"""),43617.0)</f>
        <v>43617</v>
      </c>
      <c r="E256" s="502">
        <f>IFERROR(__xludf.DUMMYFUNCTION("""COMPUTED_VALUE"""),43646.0)</f>
        <v>43646</v>
      </c>
      <c r="F256" s="501" t="str">
        <f>IFERROR(__xludf.DUMMYFUNCTION("""COMPUTED_VALUE"""),"")</f>
        <v/>
      </c>
      <c r="G256" s="503" t="str">
        <f>IFERROR(__xludf.DUMMYFUNCTION("""COMPUTED_VALUE"""),"")</f>
        <v/>
      </c>
      <c r="H256" s="501" t="str">
        <f>IFERROR(__xludf.DUMMYFUNCTION("""COMPUTED_VALUE"""),"AOC geboorte do")</f>
        <v>AOC geboorte do</v>
      </c>
      <c r="I256" s="503" t="str">
        <f>IFERROR(__xludf.DUMMYFUNCTION("""COMPUTED_VALUE"""),"")</f>
        <v/>
      </c>
      <c r="J256" s="501" t="str">
        <f>IFERROR(__xludf.DUMMYFUNCTION("""COMPUTED_VALUE"""),"Briefen")</f>
        <v>Briefen</v>
      </c>
      <c r="K256" s="505" t="str">
        <f>IFERROR(__xludf.DUMMYFUNCTION("""COMPUTED_VALUE""")," URL bevat geboorte 2-7 dagen ")</f>
        <v>URL bevat geboorte 2-7 dagen</v>
      </c>
      <c r="L256" s="506">
        <f>IFERROR(__xludf.DUMMYFUNCTION("""COMPUTED_VALUE"""),1200.0)</f>
        <v>1200</v>
      </c>
      <c r="M256" s="504">
        <f>IFERROR(__xludf.DUMMYFUNCTION("""COMPUTED_VALUE"""),30.0)</f>
        <v>30</v>
      </c>
      <c r="N256" s="501" t="str">
        <f>IFERROR(__xludf.DUMMYFUNCTION("""COMPUTED_VALUE"""),"Product")</f>
        <v>Product</v>
      </c>
      <c r="O256" s="501" t="str">
        <f>IFERROR(__xludf.DUMMYFUNCTION("""COMPUTED_VALUE"""),"Facebook")</f>
        <v>Facebook</v>
      </c>
      <c r="P256" s="503" t="str">
        <f>IFERROR(__xludf.DUMMYFUNCTION("""COMPUTED_VALUE"""),"Facebook - Do - AOC")</f>
        <v>Facebook - Do - AOC</v>
      </c>
      <c r="Q256" s="501" t="str">
        <f>IFERROR(__xludf.DUMMYFUNCTION("""COMPUTED_VALUE"""),"Conversie - Waarde")</f>
        <v>Conversie - Waarde</v>
      </c>
      <c r="R256" s="501" t="str">
        <f>IFERROR(__xludf.DUMMYFUNCTION("""COMPUTED_VALUE"""),"Dark")</f>
        <v>Dark</v>
      </c>
      <c r="S256" s="503" t="str">
        <f>IFERROR(__xludf.DUMMYFUNCTION("""COMPUTED_VALUE"""),"")</f>
        <v/>
      </c>
      <c r="T256"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257">
      <c r="A257" s="501" t="str">
        <f>IFERROR(__xludf.DUMMYFUNCTION("""COMPUTED_VALUE"""),"juni")</f>
        <v>juni</v>
      </c>
      <c r="B257" s="501">
        <f>IFERROR(__xludf.DUMMYFUNCTION("""COMPUTED_VALUE"""),22.0)</f>
        <v>22</v>
      </c>
      <c r="C257" s="501" t="str">
        <f>IFERROR(__xludf.DUMMYFUNCTION("""COMPUTED_VALUE"""),"zaterdag")</f>
        <v>zaterdag</v>
      </c>
      <c r="D257" s="502">
        <f>IFERROR(__xludf.DUMMYFUNCTION("""COMPUTED_VALUE"""),43617.0)</f>
        <v>43617</v>
      </c>
      <c r="E257" s="502">
        <f>IFERROR(__xludf.DUMMYFUNCTION("""COMPUTED_VALUE"""),43646.0)</f>
        <v>43646</v>
      </c>
      <c r="F257" s="501" t="str">
        <f>IFERROR(__xludf.DUMMYFUNCTION("""COMPUTED_VALUE"""),"")</f>
        <v/>
      </c>
      <c r="G257" s="503" t="str">
        <f>IFERROR(__xludf.DUMMYFUNCTION("""COMPUTED_VALUE"""),"")</f>
        <v/>
      </c>
      <c r="H257" s="501" t="str">
        <f>IFERROR(__xludf.DUMMYFUNCTION("""COMPUTED_VALUE"""),"AOC verhuizen think")</f>
        <v>AOC verhuizen think</v>
      </c>
      <c r="I257" s="503" t="str">
        <f>IFERROR(__xludf.DUMMYFUNCTION("""COMPUTED_VALUE"""),"")</f>
        <v/>
      </c>
      <c r="J257" s="501" t="str">
        <f>IFERROR(__xludf.DUMMYFUNCTION("""COMPUTED_VALUE"""),"Staat klaar")</f>
        <v>Staat klaar</v>
      </c>
      <c r="K257" s="505" t="str">
        <f>IFERROR(__xludf.DUMMYFUNCTION("""COMPUTED_VALUE""")," Vrienden van recent verhuisd ")</f>
        <v>Vrienden van recent verhuisd</v>
      </c>
      <c r="L257" s="506">
        <f>IFERROR(__xludf.DUMMYFUNCTION("""COMPUTED_VALUE"""),300.0)</f>
        <v>300</v>
      </c>
      <c r="M257" s="504">
        <f>IFERROR(__xludf.DUMMYFUNCTION("""COMPUTED_VALUE"""),30.0)</f>
        <v>30</v>
      </c>
      <c r="N257" s="501" t="str">
        <f>IFERROR(__xludf.DUMMYFUNCTION("""COMPUTED_VALUE"""),"Geven/ontvangen")</f>
        <v>Geven/ontvangen</v>
      </c>
      <c r="O257" s="501" t="str">
        <f>IFERROR(__xludf.DUMMYFUNCTION("""COMPUTED_VALUE"""),"Facebook")</f>
        <v>Facebook</v>
      </c>
      <c r="P257" s="503" t="str">
        <f>IFERROR(__xludf.DUMMYFUNCTION("""COMPUTED_VALUE"""),"Facebook - Think - AOC")</f>
        <v>Facebook - Think - AOC</v>
      </c>
      <c r="Q257" s="501" t="str">
        <f>IFERROR(__xludf.DUMMYFUNCTION("""COMPUTED_VALUE"""),"Conversie - Landingspagina")</f>
        <v>Conversie - Landingspagina</v>
      </c>
      <c r="R257" s="501" t="str">
        <f>IFERROR(__xludf.DUMMYFUNCTION("""COMPUTED_VALUE"""),"Dark")</f>
        <v>Dark</v>
      </c>
      <c r="S257" s="503" t="str">
        <f>IFERROR(__xludf.DUMMYFUNCTION("""COMPUTED_VALUE"""),"")</f>
        <v/>
      </c>
      <c r="T257"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258">
      <c r="A258" s="501" t="str">
        <f>IFERROR(__xludf.DUMMYFUNCTION("""COMPUTED_VALUE"""),"juni")</f>
        <v>juni</v>
      </c>
      <c r="B258" s="501">
        <f>IFERROR(__xludf.DUMMYFUNCTION("""COMPUTED_VALUE"""),22.0)</f>
        <v>22</v>
      </c>
      <c r="C258" s="501" t="str">
        <f>IFERROR(__xludf.DUMMYFUNCTION("""COMPUTED_VALUE"""),"zaterdag")</f>
        <v>zaterdag</v>
      </c>
      <c r="D258" s="502">
        <f>IFERROR(__xludf.DUMMYFUNCTION("""COMPUTED_VALUE"""),43617.0)</f>
        <v>43617</v>
      </c>
      <c r="E258" s="502">
        <f>IFERROR(__xludf.DUMMYFUNCTION("""COMPUTED_VALUE"""),43646.0)</f>
        <v>43646</v>
      </c>
      <c r="F258" s="501" t="str">
        <f>IFERROR(__xludf.DUMMYFUNCTION("""COMPUTED_VALUE"""),"")</f>
        <v/>
      </c>
      <c r="G258" s="503" t="str">
        <f>IFERROR(__xludf.DUMMYFUNCTION("""COMPUTED_VALUE"""),"")</f>
        <v/>
      </c>
      <c r="H258" s="501" t="str">
        <f>IFERROR(__xludf.DUMMYFUNCTION("""COMPUTED_VALUE"""),"AOC verhuizen see")</f>
        <v>AOC verhuizen see</v>
      </c>
      <c r="I258" s="503" t="str">
        <f>IFERROR(__xludf.DUMMYFUNCTION("""COMPUTED_VALUE"""),"")</f>
        <v/>
      </c>
      <c r="J258" s="501" t="str">
        <f>IFERROR(__xludf.DUMMYFUNCTION("""COMPUTED_VALUE"""),"Staat klaar")</f>
        <v>Staat klaar</v>
      </c>
      <c r="K258" s="505" t="str">
        <f>IFERROR(__xludf.DUMMYFUNCTION("""COMPUTED_VALUE""")," Vrouw 25-64 (excl klanten, vrienden van verhuisde personen en fans) ")</f>
        <v>Vrouw 25-64 (excl klanten, vrienden van verhuisde personen en fans)</v>
      </c>
      <c r="L258" s="506">
        <f>IFERROR(__xludf.DUMMYFUNCTION("""COMPUTED_VALUE"""),600.0)</f>
        <v>600</v>
      </c>
      <c r="M258" s="504">
        <f>IFERROR(__xludf.DUMMYFUNCTION("""COMPUTED_VALUE"""),30.0)</f>
        <v>30</v>
      </c>
      <c r="N258" s="501" t="str">
        <f>IFERROR(__xludf.DUMMYFUNCTION("""COMPUTED_VALUE"""),"Merk")</f>
        <v>Merk</v>
      </c>
      <c r="O258" s="501" t="str">
        <f>IFERROR(__xludf.DUMMYFUNCTION("""COMPUTED_VALUE"""),"FB + Instagram")</f>
        <v>FB + Instagram</v>
      </c>
      <c r="P258" s="503" t="str">
        <f>IFERROR(__xludf.DUMMYFUNCTION("""COMPUTED_VALUE"""),"Facebook - See - AOC")</f>
        <v>Facebook - See - AOC</v>
      </c>
      <c r="Q258" s="501" t="str">
        <f>IFERROR(__xludf.DUMMYFUNCTION("""COMPUTED_VALUE"""),"Bereik")</f>
        <v>Bereik</v>
      </c>
      <c r="R258" s="501" t="str">
        <f>IFERROR(__xludf.DUMMYFUNCTION("""COMPUTED_VALUE"""),"Dark")</f>
        <v>Dark</v>
      </c>
      <c r="S258" s="503" t="str">
        <f>IFERROR(__xludf.DUMMYFUNCTION("""COMPUTED_VALUE"""),"")</f>
        <v/>
      </c>
      <c r="T258"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259">
      <c r="A259" s="501" t="str">
        <f>IFERROR(__xludf.DUMMYFUNCTION("""COMPUTED_VALUE"""),"juni")</f>
        <v>juni</v>
      </c>
      <c r="B259" s="501">
        <f>IFERROR(__xludf.DUMMYFUNCTION("""COMPUTED_VALUE"""),22.0)</f>
        <v>22</v>
      </c>
      <c r="C259" s="501" t="str">
        <f>IFERROR(__xludf.DUMMYFUNCTION("""COMPUTED_VALUE"""),"zaterdag")</f>
        <v>zaterdag</v>
      </c>
      <c r="D259" s="502">
        <f>IFERROR(__xludf.DUMMYFUNCTION("""COMPUTED_VALUE"""),43617.0)</f>
        <v>43617</v>
      </c>
      <c r="E259" s="502">
        <f>IFERROR(__xludf.DUMMYFUNCTION("""COMPUTED_VALUE"""),43646.0)</f>
        <v>43646</v>
      </c>
      <c r="F259" s="501" t="str">
        <f>IFERROR(__xludf.DUMMYFUNCTION("""COMPUTED_VALUE"""),"")</f>
        <v/>
      </c>
      <c r="G259" s="503" t="str">
        <f>IFERROR(__xludf.DUMMYFUNCTION("""COMPUTED_VALUE"""),"")</f>
        <v/>
      </c>
      <c r="H259" s="501" t="str">
        <f>IFERROR(__xludf.DUMMYFUNCTION("""COMPUTED_VALUE"""),"AOC verjaardag see")</f>
        <v>AOC verjaardag see</v>
      </c>
      <c r="I259" s="503" t="str">
        <f>IFERROR(__xludf.DUMMYFUNCTION("""COMPUTED_VALUE"""),"")</f>
        <v/>
      </c>
      <c r="J259" s="501" t="str">
        <f>IFERROR(__xludf.DUMMYFUNCTION("""COMPUTED_VALUE"""),"Staat klaar")</f>
        <v>Staat klaar</v>
      </c>
      <c r="K259" s="505" t="str">
        <f>IFERROR(__xludf.DUMMYFUNCTION("""COMPUTED_VALUE""")," See - Geboorte ")</f>
        <v>See - Geboorte</v>
      </c>
      <c r="L259" s="506">
        <f>IFERROR(__xludf.DUMMYFUNCTION("""COMPUTED_VALUE"""),1200.0)</f>
        <v>1200</v>
      </c>
      <c r="M259" s="504">
        <f>IFERROR(__xludf.DUMMYFUNCTION("""COMPUTED_VALUE"""),30.0)</f>
        <v>30</v>
      </c>
      <c r="N259" s="501" t="str">
        <f>IFERROR(__xludf.DUMMYFUNCTION("""COMPUTED_VALUE"""),"Merk")</f>
        <v>Merk</v>
      </c>
      <c r="O259" s="501" t="str">
        <f>IFERROR(__xludf.DUMMYFUNCTION("""COMPUTED_VALUE"""),"FB + Instagram")</f>
        <v>FB + Instagram</v>
      </c>
      <c r="P259" s="503" t="str">
        <f>IFERROR(__xludf.DUMMYFUNCTION("""COMPUTED_VALUE"""),"Facebook - See - AOC")</f>
        <v>Facebook - See - AOC</v>
      </c>
      <c r="Q259" s="501" t="str">
        <f>IFERROR(__xludf.DUMMYFUNCTION("""COMPUTED_VALUE"""),"Bereik")</f>
        <v>Bereik</v>
      </c>
      <c r="R259" s="501" t="str">
        <f>IFERROR(__xludf.DUMMYFUNCTION("""COMPUTED_VALUE"""),"Dark")</f>
        <v>Dark</v>
      </c>
      <c r="S259" s="503" t="str">
        <f>IFERROR(__xludf.DUMMYFUNCTION("""COMPUTED_VALUE"""),"")</f>
        <v/>
      </c>
      <c r="T259"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260">
      <c r="A260" s="501" t="str">
        <f>IFERROR(__xludf.DUMMYFUNCTION("""COMPUTED_VALUE"""),"juni")</f>
        <v>juni</v>
      </c>
      <c r="B260" s="501">
        <f>IFERROR(__xludf.DUMMYFUNCTION("""COMPUTED_VALUE"""),22.0)</f>
        <v>22</v>
      </c>
      <c r="C260" s="501" t="str">
        <f>IFERROR(__xludf.DUMMYFUNCTION("""COMPUTED_VALUE"""),"zaterdag")</f>
        <v>zaterdag</v>
      </c>
      <c r="D260" s="502">
        <f>IFERROR(__xludf.DUMMYFUNCTION("""COMPUTED_VALUE"""),43617.0)</f>
        <v>43617</v>
      </c>
      <c r="E260" s="502">
        <f>IFERROR(__xludf.DUMMYFUNCTION("""COMPUTED_VALUE"""),43646.0)</f>
        <v>43646</v>
      </c>
      <c r="F260" s="501" t="str">
        <f>IFERROR(__xludf.DUMMYFUNCTION("""COMPUTED_VALUE"""),"")</f>
        <v/>
      </c>
      <c r="G260" s="503" t="str">
        <f>IFERROR(__xludf.DUMMYFUNCTION("""COMPUTED_VALUE"""),"")</f>
        <v/>
      </c>
      <c r="H260" s="501" t="str">
        <f>IFERROR(__xludf.DUMMYFUNCTION("""COMPUTED_VALUE"""),"AOC geboorte see")</f>
        <v>AOC geboorte see</v>
      </c>
      <c r="I260" s="503" t="str">
        <f>IFERROR(__xludf.DUMMYFUNCTION("""COMPUTED_VALUE"""),"")</f>
        <v/>
      </c>
      <c r="J260" s="501" t="str">
        <f>IFERROR(__xludf.DUMMYFUNCTION("""COMPUTED_VALUE"""),"Staat klaar")</f>
        <v>Staat klaar</v>
      </c>
      <c r="K260" s="505" t="str">
        <f>IFERROR(__xludf.DUMMYFUNCTION("""COMPUTED_VALUE""")," See - Verjaardag ")</f>
        <v>See - Verjaardag</v>
      </c>
      <c r="L260" s="506">
        <f>IFERROR(__xludf.DUMMYFUNCTION("""COMPUTED_VALUE"""),2400.0)</f>
        <v>2400</v>
      </c>
      <c r="M260" s="504">
        <f>IFERROR(__xludf.DUMMYFUNCTION("""COMPUTED_VALUE"""),30.0)</f>
        <v>30</v>
      </c>
      <c r="N260" s="501" t="str">
        <f>IFERROR(__xludf.DUMMYFUNCTION("""COMPUTED_VALUE"""),"Merk")</f>
        <v>Merk</v>
      </c>
      <c r="O260" s="501" t="str">
        <f>IFERROR(__xludf.DUMMYFUNCTION("""COMPUTED_VALUE"""),"FB + Instagram")</f>
        <v>FB + Instagram</v>
      </c>
      <c r="P260" s="503" t="str">
        <f>IFERROR(__xludf.DUMMYFUNCTION("""COMPUTED_VALUE"""),"Facebook - See - AOC")</f>
        <v>Facebook - See - AOC</v>
      </c>
      <c r="Q260" s="501" t="str">
        <f>IFERROR(__xludf.DUMMYFUNCTION("""COMPUTED_VALUE"""),"Bereik")</f>
        <v>Bereik</v>
      </c>
      <c r="R260" s="501" t="str">
        <f>IFERROR(__xludf.DUMMYFUNCTION("""COMPUTED_VALUE"""),"Dark")</f>
        <v>Dark</v>
      </c>
      <c r="S260" s="503" t="str">
        <f>IFERROR(__xludf.DUMMYFUNCTION("""COMPUTED_VALUE"""),"")</f>
        <v/>
      </c>
      <c r="T260"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261">
      <c r="A261" s="501" t="str">
        <f>IFERROR(__xludf.DUMMYFUNCTION("""COMPUTED_VALUE"""),"juni")</f>
        <v>juni</v>
      </c>
      <c r="B261" s="501">
        <f>IFERROR(__xludf.DUMMYFUNCTION("""COMPUTED_VALUE"""),22.0)</f>
        <v>22</v>
      </c>
      <c r="C261" s="501" t="str">
        <f>IFERROR(__xludf.DUMMYFUNCTION("""COMPUTED_VALUE"""),"zaterdag")</f>
        <v>zaterdag</v>
      </c>
      <c r="D261" s="502">
        <f>IFERROR(__xludf.DUMMYFUNCTION("""COMPUTED_VALUE"""),43617.0)</f>
        <v>43617</v>
      </c>
      <c r="E261" s="502">
        <f>IFERROR(__xludf.DUMMYFUNCTION("""COMPUTED_VALUE"""),43617.0)</f>
        <v>43617</v>
      </c>
      <c r="F261" s="501" t="str">
        <f>IFERROR(__xludf.DUMMYFUNCTION("""COMPUTED_VALUE"""),"")</f>
        <v/>
      </c>
      <c r="G261" s="503" t="str">
        <f>IFERROR(__xludf.DUMMYFUNCTION("""COMPUTED_VALUE"""),"")</f>
        <v/>
      </c>
      <c r="H261" s="501" t="str">
        <f>IFERROR(__xludf.DUMMYFUNCTION("""COMPUTED_VALUE"""),"")</f>
        <v/>
      </c>
      <c r="I261" s="503" t="str">
        <f>IFERROR(__xludf.DUMMYFUNCTION("""COMPUTED_VALUE"""),"")</f>
        <v/>
      </c>
      <c r="J261" s="501" t="str">
        <f>IFERROR(__xludf.DUMMYFUNCTION("""COMPUTED_VALUE"""),"")</f>
        <v/>
      </c>
      <c r="K261" s="503" t="str">
        <f>IFERROR(__xludf.DUMMYFUNCTION("""COMPUTED_VALUE"""),"")</f>
        <v/>
      </c>
      <c r="L261" s="501" t="str">
        <f>IFERROR(__xludf.DUMMYFUNCTION("""COMPUTED_VALUE"""),"")</f>
        <v/>
      </c>
      <c r="M261" s="504">
        <f>IFERROR(__xludf.DUMMYFUNCTION("""COMPUTED_VALUE"""),1.0)</f>
        <v>1</v>
      </c>
      <c r="N261" s="501" t="str">
        <f>IFERROR(__xludf.DUMMYFUNCTION("""COMPUTED_VALUE"""),"")</f>
        <v/>
      </c>
      <c r="O261" s="501" t="str">
        <f>IFERROR(__xludf.DUMMYFUNCTION("""COMPUTED_VALUE"""),"")</f>
        <v/>
      </c>
      <c r="P261" s="503" t="str">
        <f>IFERROR(__xludf.DUMMYFUNCTION("""COMPUTED_VALUE"""),"")</f>
        <v/>
      </c>
      <c r="Q261" s="501" t="str">
        <f>IFERROR(__xludf.DUMMYFUNCTION("""COMPUTED_VALUE"""),"")</f>
        <v/>
      </c>
      <c r="R261" s="501" t="str">
        <f>IFERROR(__xludf.DUMMYFUNCTION("""COMPUTED_VALUE"""),"")</f>
        <v/>
      </c>
      <c r="S261" s="503" t="str">
        <f>IFERROR(__xludf.DUMMYFUNCTION("""COMPUTED_VALUE"""),"")</f>
        <v/>
      </c>
      <c r="T261" s="503" t="str">
        <f>IFERROR(__xludf.DUMMYFUNCTION("""COMPUTED_VALUE"""),"utm_source=facebook&amp;utm_medium=socialmedia&amp;utm_campaign=&amp;utm_content=&amp;referrer=facebook")</f>
        <v>utm_source=facebook&amp;utm_medium=socialmedia&amp;utm_campaign=&amp;utm_content=&amp;referrer=facebook</v>
      </c>
    </row>
    <row r="262">
      <c r="A262" s="501" t="str">
        <f>IFERROR(__xludf.DUMMYFUNCTION("""COMPUTED_VALUE"""),"juni")</f>
        <v>juni</v>
      </c>
      <c r="B262" s="501">
        <f>IFERROR(__xludf.DUMMYFUNCTION("""COMPUTED_VALUE"""),23.0)</f>
        <v>23</v>
      </c>
      <c r="C262" s="501" t="str">
        <f>IFERROR(__xludf.DUMMYFUNCTION("""COMPUTED_VALUE"""),"zondag")</f>
        <v>zondag</v>
      </c>
      <c r="D262" s="502">
        <f>IFERROR(__xludf.DUMMYFUNCTION("""COMPUTED_VALUE"""),43618.0)</f>
        <v>43618</v>
      </c>
      <c r="E262" s="502">
        <f>IFERROR(__xludf.DUMMYFUNCTION("""COMPUTED_VALUE"""),43618.0)</f>
        <v>43618</v>
      </c>
      <c r="F262" s="501" t="str">
        <f>IFERROR(__xludf.DUMMYFUNCTION("""COMPUTED_VALUE"""),"")</f>
        <v/>
      </c>
      <c r="G262" s="503" t="str">
        <f>IFERROR(__xludf.DUMMYFUNCTION("""COMPUTED_VALUE"""),"")</f>
        <v/>
      </c>
      <c r="H262" s="501" t="str">
        <f>IFERROR(__xludf.DUMMYFUNCTION("""COMPUTED_VALUE"""),"")</f>
        <v/>
      </c>
      <c r="I262" s="503" t="str">
        <f>IFERROR(__xludf.DUMMYFUNCTION("""COMPUTED_VALUE"""),"")</f>
        <v/>
      </c>
      <c r="J262" s="501" t="str">
        <f>IFERROR(__xludf.DUMMYFUNCTION("""COMPUTED_VALUE"""),"")</f>
        <v/>
      </c>
      <c r="K262" s="503" t="str">
        <f>IFERROR(__xludf.DUMMYFUNCTION("""COMPUTED_VALUE"""),"")</f>
        <v/>
      </c>
      <c r="L262" s="501" t="str">
        <f>IFERROR(__xludf.DUMMYFUNCTION("""COMPUTED_VALUE"""),"")</f>
        <v/>
      </c>
      <c r="M262" s="504">
        <f>IFERROR(__xludf.DUMMYFUNCTION("""COMPUTED_VALUE"""),1.0)</f>
        <v>1</v>
      </c>
      <c r="N262" s="501" t="str">
        <f>IFERROR(__xludf.DUMMYFUNCTION("""COMPUTED_VALUE"""),"")</f>
        <v/>
      </c>
      <c r="O262" s="501" t="str">
        <f>IFERROR(__xludf.DUMMYFUNCTION("""COMPUTED_VALUE"""),"")</f>
        <v/>
      </c>
      <c r="P262" s="503" t="str">
        <f>IFERROR(__xludf.DUMMYFUNCTION("""COMPUTED_VALUE"""),"")</f>
        <v/>
      </c>
      <c r="Q262" s="501" t="str">
        <f>IFERROR(__xludf.DUMMYFUNCTION("""COMPUTED_VALUE"""),"")</f>
        <v/>
      </c>
      <c r="R262" s="501" t="str">
        <f>IFERROR(__xludf.DUMMYFUNCTION("""COMPUTED_VALUE"""),"")</f>
        <v/>
      </c>
      <c r="S262" s="503" t="str">
        <f>IFERROR(__xludf.DUMMYFUNCTION("""COMPUTED_VALUE"""),"")</f>
        <v/>
      </c>
      <c r="T262" s="503" t="str">
        <f>IFERROR(__xludf.DUMMYFUNCTION("""COMPUTED_VALUE"""),"utm_source=facebook&amp;utm_medium=socialmedia&amp;utm_campaign=&amp;utm_content=&amp;referrer=facebook")</f>
        <v>utm_source=facebook&amp;utm_medium=socialmedia&amp;utm_campaign=&amp;utm_content=&amp;referrer=facebook</v>
      </c>
    </row>
    <row r="263">
      <c r="A263" s="501" t="str">
        <f>IFERROR(__xludf.DUMMYFUNCTION("""COMPUTED_VALUE"""),"juni")</f>
        <v>juni</v>
      </c>
      <c r="B263" s="501">
        <f>IFERROR(__xludf.DUMMYFUNCTION("""COMPUTED_VALUE"""),23.0)</f>
        <v>23</v>
      </c>
      <c r="C263" s="501" t="str">
        <f>IFERROR(__xludf.DUMMYFUNCTION("""COMPUTED_VALUE"""),"maandag")</f>
        <v>maandag</v>
      </c>
      <c r="D263" s="502">
        <f>IFERROR(__xludf.DUMMYFUNCTION("""COMPUTED_VALUE"""),43619.0)</f>
        <v>43619</v>
      </c>
      <c r="E263" s="502">
        <f>IFERROR(__xludf.DUMMYFUNCTION("""COMPUTED_VALUE"""),43619.0)</f>
        <v>43619</v>
      </c>
      <c r="F263" s="501" t="str">
        <f>IFERROR(__xludf.DUMMYFUNCTION("""COMPUTED_VALUE"""),"")</f>
        <v/>
      </c>
      <c r="G263" s="503" t="str">
        <f>IFERROR(__xludf.DUMMYFUNCTION("""COMPUTED_VALUE"""),"")</f>
        <v/>
      </c>
      <c r="H263" s="501" t="str">
        <f>IFERROR(__xludf.DUMMYFUNCTION("""COMPUTED_VALUE"""),"")</f>
        <v/>
      </c>
      <c r="I263" s="503" t="str">
        <f>IFERROR(__xludf.DUMMYFUNCTION("""COMPUTED_VALUE"""),"")</f>
        <v/>
      </c>
      <c r="J263" s="501" t="str">
        <f>IFERROR(__xludf.DUMMYFUNCTION("""COMPUTED_VALUE"""),"")</f>
        <v/>
      </c>
      <c r="K263" s="503" t="str">
        <f>IFERROR(__xludf.DUMMYFUNCTION("""COMPUTED_VALUE"""),"")</f>
        <v/>
      </c>
      <c r="L263" s="501" t="str">
        <f>IFERROR(__xludf.DUMMYFUNCTION("""COMPUTED_VALUE"""),"")</f>
        <v/>
      </c>
      <c r="M263" s="504">
        <f>IFERROR(__xludf.DUMMYFUNCTION("""COMPUTED_VALUE"""),1.0)</f>
        <v>1</v>
      </c>
      <c r="N263" s="501" t="str">
        <f>IFERROR(__xludf.DUMMYFUNCTION("""COMPUTED_VALUE"""),"")</f>
        <v/>
      </c>
      <c r="O263" s="501" t="str">
        <f>IFERROR(__xludf.DUMMYFUNCTION("""COMPUTED_VALUE"""),"")</f>
        <v/>
      </c>
      <c r="P263" s="503" t="str">
        <f>IFERROR(__xludf.DUMMYFUNCTION("""COMPUTED_VALUE"""),"")</f>
        <v/>
      </c>
      <c r="Q263" s="501" t="str">
        <f>IFERROR(__xludf.DUMMYFUNCTION("""COMPUTED_VALUE"""),"")</f>
        <v/>
      </c>
      <c r="R263" s="501" t="str">
        <f>IFERROR(__xludf.DUMMYFUNCTION("""COMPUTED_VALUE"""),"")</f>
        <v/>
      </c>
      <c r="S263" s="503" t="str">
        <f>IFERROR(__xludf.DUMMYFUNCTION("""COMPUTED_VALUE"""),"")</f>
        <v/>
      </c>
      <c r="T263" s="503" t="str">
        <f>IFERROR(__xludf.DUMMYFUNCTION("""COMPUTED_VALUE"""),"utm_source=facebook&amp;utm_medium=socialmedia&amp;utm_campaign=&amp;utm_content=&amp;referrer=facebook")</f>
        <v>utm_source=facebook&amp;utm_medium=socialmedia&amp;utm_campaign=&amp;utm_content=&amp;referrer=facebook</v>
      </c>
    </row>
    <row r="264">
      <c r="A264" s="501" t="str">
        <f>IFERROR(__xludf.DUMMYFUNCTION("""COMPUTED_VALUE"""),"juni")</f>
        <v>juni</v>
      </c>
      <c r="B264" s="501">
        <f>IFERROR(__xludf.DUMMYFUNCTION("""COMPUTED_VALUE"""),23.0)</f>
        <v>23</v>
      </c>
      <c r="C264" s="501" t="str">
        <f>IFERROR(__xludf.DUMMYFUNCTION("""COMPUTED_VALUE"""),"dinsdag")</f>
        <v>dinsdag</v>
      </c>
      <c r="D264" s="502">
        <f>IFERROR(__xludf.DUMMYFUNCTION("""COMPUTED_VALUE"""),43620.0)</f>
        <v>43620</v>
      </c>
      <c r="E264" s="502">
        <f>IFERROR(__xludf.DUMMYFUNCTION("""COMPUTED_VALUE"""),43620.0)</f>
        <v>43620</v>
      </c>
      <c r="F264" s="501" t="str">
        <f>IFERROR(__xludf.DUMMYFUNCTION("""COMPUTED_VALUE"""),"")</f>
        <v/>
      </c>
      <c r="G264" s="503" t="str">
        <f>IFERROR(__xludf.DUMMYFUNCTION("""COMPUTED_VALUE"""),"")</f>
        <v/>
      </c>
      <c r="H264" s="501" t="str">
        <f>IFERROR(__xludf.DUMMYFUNCTION("""COMPUTED_VALUE"""),"")</f>
        <v/>
      </c>
      <c r="I264" s="503" t="str">
        <f>IFERROR(__xludf.DUMMYFUNCTION("""COMPUTED_VALUE"""),"")</f>
        <v/>
      </c>
      <c r="J264" s="501" t="str">
        <f>IFERROR(__xludf.DUMMYFUNCTION("""COMPUTED_VALUE"""),"")</f>
        <v/>
      </c>
      <c r="K264" s="503" t="str">
        <f>IFERROR(__xludf.DUMMYFUNCTION("""COMPUTED_VALUE"""),"")</f>
        <v/>
      </c>
      <c r="L264" s="501" t="str">
        <f>IFERROR(__xludf.DUMMYFUNCTION("""COMPUTED_VALUE"""),"")</f>
        <v/>
      </c>
      <c r="M264" s="504">
        <f>IFERROR(__xludf.DUMMYFUNCTION("""COMPUTED_VALUE"""),1.0)</f>
        <v>1</v>
      </c>
      <c r="N264" s="501" t="str">
        <f>IFERROR(__xludf.DUMMYFUNCTION("""COMPUTED_VALUE"""),"")</f>
        <v/>
      </c>
      <c r="O264" s="501" t="str">
        <f>IFERROR(__xludf.DUMMYFUNCTION("""COMPUTED_VALUE"""),"")</f>
        <v/>
      </c>
      <c r="P264" s="503" t="str">
        <f>IFERROR(__xludf.DUMMYFUNCTION("""COMPUTED_VALUE"""),"")</f>
        <v/>
      </c>
      <c r="Q264" s="501" t="str">
        <f>IFERROR(__xludf.DUMMYFUNCTION("""COMPUTED_VALUE"""),"")</f>
        <v/>
      </c>
      <c r="R264" s="501" t="str">
        <f>IFERROR(__xludf.DUMMYFUNCTION("""COMPUTED_VALUE"""),"")</f>
        <v/>
      </c>
      <c r="S264" s="503" t="str">
        <f>IFERROR(__xludf.DUMMYFUNCTION("""COMPUTED_VALUE"""),"")</f>
        <v/>
      </c>
      <c r="T264" s="503" t="str">
        <f>IFERROR(__xludf.DUMMYFUNCTION("""COMPUTED_VALUE"""),"utm_source=facebook&amp;utm_medium=socialmedia&amp;utm_campaign=&amp;utm_content=&amp;referrer=facebook")</f>
        <v>utm_source=facebook&amp;utm_medium=socialmedia&amp;utm_campaign=&amp;utm_content=&amp;referrer=facebook</v>
      </c>
    </row>
    <row r="265">
      <c r="A265" s="501" t="str">
        <f>IFERROR(__xludf.DUMMYFUNCTION("""COMPUTED_VALUE"""),"juni")</f>
        <v>juni</v>
      </c>
      <c r="B265" s="501">
        <f>IFERROR(__xludf.DUMMYFUNCTION("""COMPUTED_VALUE"""),23.0)</f>
        <v>23</v>
      </c>
      <c r="C265" s="501" t="str">
        <f>IFERROR(__xludf.DUMMYFUNCTION("""COMPUTED_VALUE"""),"woensdag")</f>
        <v>woensdag</v>
      </c>
      <c r="D265" s="502">
        <f>IFERROR(__xludf.DUMMYFUNCTION("""COMPUTED_VALUE"""),43621.0)</f>
        <v>43621</v>
      </c>
      <c r="E265" s="502">
        <f>IFERROR(__xludf.DUMMYFUNCTION("""COMPUTED_VALUE"""),43621.0)</f>
        <v>43621</v>
      </c>
      <c r="F265" s="501" t="str">
        <f>IFERROR(__xludf.DUMMYFUNCTION("""COMPUTED_VALUE"""),"")</f>
        <v/>
      </c>
      <c r="G265" s="503" t="str">
        <f>IFERROR(__xludf.DUMMYFUNCTION("""COMPUTED_VALUE"""),"")</f>
        <v/>
      </c>
      <c r="H265" s="501" t="str">
        <f>IFERROR(__xludf.DUMMYFUNCTION("""COMPUTED_VALUE"""),"")</f>
        <v/>
      </c>
      <c r="I265" s="503" t="str">
        <f>IFERROR(__xludf.DUMMYFUNCTION("""COMPUTED_VALUE"""),"")</f>
        <v/>
      </c>
      <c r="J265" s="501" t="str">
        <f>IFERROR(__xludf.DUMMYFUNCTION("""COMPUTED_VALUE"""),"")</f>
        <v/>
      </c>
      <c r="K265" s="503" t="str">
        <f>IFERROR(__xludf.DUMMYFUNCTION("""COMPUTED_VALUE"""),"")</f>
        <v/>
      </c>
      <c r="L265" s="501" t="str">
        <f>IFERROR(__xludf.DUMMYFUNCTION("""COMPUTED_VALUE"""),"")</f>
        <v/>
      </c>
      <c r="M265" s="504">
        <f>IFERROR(__xludf.DUMMYFUNCTION("""COMPUTED_VALUE"""),1.0)</f>
        <v>1</v>
      </c>
      <c r="N265" s="501" t="str">
        <f>IFERROR(__xludf.DUMMYFUNCTION("""COMPUTED_VALUE"""),"")</f>
        <v/>
      </c>
      <c r="O265" s="501" t="str">
        <f>IFERROR(__xludf.DUMMYFUNCTION("""COMPUTED_VALUE"""),"")</f>
        <v/>
      </c>
      <c r="P265" s="503" t="str">
        <f>IFERROR(__xludf.DUMMYFUNCTION("""COMPUTED_VALUE"""),"")</f>
        <v/>
      </c>
      <c r="Q265" s="501" t="str">
        <f>IFERROR(__xludf.DUMMYFUNCTION("""COMPUTED_VALUE"""),"")</f>
        <v/>
      </c>
      <c r="R265" s="501" t="str">
        <f>IFERROR(__xludf.DUMMYFUNCTION("""COMPUTED_VALUE"""),"")</f>
        <v/>
      </c>
      <c r="S265" s="503" t="str">
        <f>IFERROR(__xludf.DUMMYFUNCTION("""COMPUTED_VALUE"""),"")</f>
        <v/>
      </c>
      <c r="T265" s="503" t="str">
        <f>IFERROR(__xludf.DUMMYFUNCTION("""COMPUTED_VALUE"""),"utm_source=facebook&amp;utm_medium=socialmedia&amp;utm_campaign=&amp;utm_content=&amp;referrer=facebook")</f>
        <v>utm_source=facebook&amp;utm_medium=socialmedia&amp;utm_campaign=&amp;utm_content=&amp;referrer=facebook</v>
      </c>
    </row>
    <row r="266">
      <c r="A266" s="501" t="str">
        <f>IFERROR(__xludf.DUMMYFUNCTION("""COMPUTED_VALUE"""),"juni")</f>
        <v>juni</v>
      </c>
      <c r="B266" s="501">
        <f>IFERROR(__xludf.DUMMYFUNCTION("""COMPUTED_VALUE"""),23.0)</f>
        <v>23</v>
      </c>
      <c r="C266" s="501" t="str">
        <f>IFERROR(__xludf.DUMMYFUNCTION("""COMPUTED_VALUE"""),"donderdag")</f>
        <v>donderdag</v>
      </c>
      <c r="D266" s="502">
        <f>IFERROR(__xludf.DUMMYFUNCTION("""COMPUTED_VALUE"""),43622.0)</f>
        <v>43622</v>
      </c>
      <c r="E266" s="502">
        <f>IFERROR(__xludf.DUMMYFUNCTION("""COMPUTED_VALUE"""),43622.0)</f>
        <v>43622</v>
      </c>
      <c r="F266" s="501" t="str">
        <f>IFERROR(__xludf.DUMMYFUNCTION("""COMPUTED_VALUE"""),"")</f>
        <v/>
      </c>
      <c r="G266" s="503" t="str">
        <f>IFERROR(__xludf.DUMMYFUNCTION("""COMPUTED_VALUE"""),"")</f>
        <v/>
      </c>
      <c r="H266" s="501" t="str">
        <f>IFERROR(__xludf.DUMMYFUNCTION("""COMPUTED_VALUE"""),"")</f>
        <v/>
      </c>
      <c r="I266" s="503" t="str">
        <f>IFERROR(__xludf.DUMMYFUNCTION("""COMPUTED_VALUE"""),"")</f>
        <v/>
      </c>
      <c r="J266" s="501" t="str">
        <f>IFERROR(__xludf.DUMMYFUNCTION("""COMPUTED_VALUE"""),"")</f>
        <v/>
      </c>
      <c r="K266" s="503" t="str">
        <f>IFERROR(__xludf.DUMMYFUNCTION("""COMPUTED_VALUE"""),"")</f>
        <v/>
      </c>
      <c r="L266" s="501" t="str">
        <f>IFERROR(__xludf.DUMMYFUNCTION("""COMPUTED_VALUE"""),"")</f>
        <v/>
      </c>
      <c r="M266" s="504">
        <f>IFERROR(__xludf.DUMMYFUNCTION("""COMPUTED_VALUE"""),1.0)</f>
        <v>1</v>
      </c>
      <c r="N266" s="501" t="str">
        <f>IFERROR(__xludf.DUMMYFUNCTION("""COMPUTED_VALUE"""),"")</f>
        <v/>
      </c>
      <c r="O266" s="501" t="str">
        <f>IFERROR(__xludf.DUMMYFUNCTION("""COMPUTED_VALUE"""),"")</f>
        <v/>
      </c>
      <c r="P266" s="503" t="str">
        <f>IFERROR(__xludf.DUMMYFUNCTION("""COMPUTED_VALUE"""),"")</f>
        <v/>
      </c>
      <c r="Q266" s="501" t="str">
        <f>IFERROR(__xludf.DUMMYFUNCTION("""COMPUTED_VALUE"""),"")</f>
        <v/>
      </c>
      <c r="R266" s="501" t="str">
        <f>IFERROR(__xludf.DUMMYFUNCTION("""COMPUTED_VALUE"""),"")</f>
        <v/>
      </c>
      <c r="S266" s="503" t="str">
        <f>IFERROR(__xludf.DUMMYFUNCTION("""COMPUTED_VALUE"""),"")</f>
        <v/>
      </c>
      <c r="T266" s="503" t="str">
        <f>IFERROR(__xludf.DUMMYFUNCTION("""COMPUTED_VALUE"""),"utm_source=facebook&amp;utm_medium=socialmedia&amp;utm_campaign=&amp;utm_content=&amp;referrer=facebook")</f>
        <v>utm_source=facebook&amp;utm_medium=socialmedia&amp;utm_campaign=&amp;utm_content=&amp;referrer=facebook</v>
      </c>
    </row>
    <row r="267">
      <c r="A267" s="501" t="str">
        <f>IFERROR(__xludf.DUMMYFUNCTION("""COMPUTED_VALUE"""),"juni")</f>
        <v>juni</v>
      </c>
      <c r="B267" s="501">
        <f>IFERROR(__xludf.DUMMYFUNCTION("""COMPUTED_VALUE"""),23.0)</f>
        <v>23</v>
      </c>
      <c r="C267" s="501" t="str">
        <f>IFERROR(__xludf.DUMMYFUNCTION("""COMPUTED_VALUE"""),"vrijdag")</f>
        <v>vrijdag</v>
      </c>
      <c r="D267" s="502">
        <f>IFERROR(__xludf.DUMMYFUNCTION("""COMPUTED_VALUE"""),43623.0)</f>
        <v>43623</v>
      </c>
      <c r="E267" s="502">
        <f>IFERROR(__xludf.DUMMYFUNCTION("""COMPUTED_VALUE"""),43623.0)</f>
        <v>43623</v>
      </c>
      <c r="F267" s="501" t="str">
        <f>IFERROR(__xludf.DUMMYFUNCTION("""COMPUTED_VALUE"""),"")</f>
        <v/>
      </c>
      <c r="G267" s="503" t="str">
        <f>IFERROR(__xludf.DUMMYFUNCTION("""COMPUTED_VALUE"""),"")</f>
        <v/>
      </c>
      <c r="H267" s="501" t="str">
        <f>IFERROR(__xludf.DUMMYFUNCTION("""COMPUTED_VALUE"""),"")</f>
        <v/>
      </c>
      <c r="I267" s="503" t="str">
        <f>IFERROR(__xludf.DUMMYFUNCTION("""COMPUTED_VALUE"""),"")</f>
        <v/>
      </c>
      <c r="J267" s="501" t="str">
        <f>IFERROR(__xludf.DUMMYFUNCTION("""COMPUTED_VALUE"""),"")</f>
        <v/>
      </c>
      <c r="K267" s="503" t="str">
        <f>IFERROR(__xludf.DUMMYFUNCTION("""COMPUTED_VALUE"""),"")</f>
        <v/>
      </c>
      <c r="L267" s="501" t="str">
        <f>IFERROR(__xludf.DUMMYFUNCTION("""COMPUTED_VALUE"""),"")</f>
        <v/>
      </c>
      <c r="M267" s="504">
        <f>IFERROR(__xludf.DUMMYFUNCTION("""COMPUTED_VALUE"""),1.0)</f>
        <v>1</v>
      </c>
      <c r="N267" s="501" t="str">
        <f>IFERROR(__xludf.DUMMYFUNCTION("""COMPUTED_VALUE"""),"")</f>
        <v/>
      </c>
      <c r="O267" s="501" t="str">
        <f>IFERROR(__xludf.DUMMYFUNCTION("""COMPUTED_VALUE"""),"")</f>
        <v/>
      </c>
      <c r="P267" s="503" t="str">
        <f>IFERROR(__xludf.DUMMYFUNCTION("""COMPUTED_VALUE"""),"")</f>
        <v/>
      </c>
      <c r="Q267" s="501" t="str">
        <f>IFERROR(__xludf.DUMMYFUNCTION("""COMPUTED_VALUE"""),"")</f>
        <v/>
      </c>
      <c r="R267" s="501" t="str">
        <f>IFERROR(__xludf.DUMMYFUNCTION("""COMPUTED_VALUE"""),"")</f>
        <v/>
      </c>
      <c r="S267" s="503" t="str">
        <f>IFERROR(__xludf.DUMMYFUNCTION("""COMPUTED_VALUE"""),"")</f>
        <v/>
      </c>
      <c r="T267" s="503" t="str">
        <f>IFERROR(__xludf.DUMMYFUNCTION("""COMPUTED_VALUE"""),"utm_source=facebook&amp;utm_medium=socialmedia&amp;utm_campaign=&amp;utm_content=&amp;referrer=facebook")</f>
        <v>utm_source=facebook&amp;utm_medium=socialmedia&amp;utm_campaign=&amp;utm_content=&amp;referrer=facebook</v>
      </c>
    </row>
    <row r="268">
      <c r="A268" s="501" t="str">
        <f>IFERROR(__xludf.DUMMYFUNCTION("""COMPUTED_VALUE"""),"juni")</f>
        <v>juni</v>
      </c>
      <c r="B268" s="501">
        <f>IFERROR(__xludf.DUMMYFUNCTION("""COMPUTED_VALUE"""),23.0)</f>
        <v>23</v>
      </c>
      <c r="C268" s="501" t="str">
        <f>IFERROR(__xludf.DUMMYFUNCTION("""COMPUTED_VALUE"""),"zaterdag")</f>
        <v>zaterdag</v>
      </c>
      <c r="D268" s="502">
        <f>IFERROR(__xludf.DUMMYFUNCTION("""COMPUTED_VALUE"""),43624.0)</f>
        <v>43624</v>
      </c>
      <c r="E268" s="502">
        <f>IFERROR(__xludf.DUMMYFUNCTION("""COMPUTED_VALUE"""),43624.0)</f>
        <v>43624</v>
      </c>
      <c r="F268" s="501" t="str">
        <f>IFERROR(__xludf.DUMMYFUNCTION("""COMPUTED_VALUE"""),"")</f>
        <v/>
      </c>
      <c r="G268" s="503" t="str">
        <f>IFERROR(__xludf.DUMMYFUNCTION("""COMPUTED_VALUE"""),"")</f>
        <v/>
      </c>
      <c r="H268" s="501" t="str">
        <f>IFERROR(__xludf.DUMMYFUNCTION("""COMPUTED_VALUE"""),"")</f>
        <v/>
      </c>
      <c r="I268" s="503" t="str">
        <f>IFERROR(__xludf.DUMMYFUNCTION("""COMPUTED_VALUE"""),"")</f>
        <v/>
      </c>
      <c r="J268" s="501" t="str">
        <f>IFERROR(__xludf.DUMMYFUNCTION("""COMPUTED_VALUE"""),"")</f>
        <v/>
      </c>
      <c r="K268" s="503" t="str">
        <f>IFERROR(__xludf.DUMMYFUNCTION("""COMPUTED_VALUE"""),"")</f>
        <v/>
      </c>
      <c r="L268" s="501" t="str">
        <f>IFERROR(__xludf.DUMMYFUNCTION("""COMPUTED_VALUE"""),"")</f>
        <v/>
      </c>
      <c r="M268" s="504">
        <f>IFERROR(__xludf.DUMMYFUNCTION("""COMPUTED_VALUE"""),1.0)</f>
        <v>1</v>
      </c>
      <c r="N268" s="501" t="str">
        <f>IFERROR(__xludf.DUMMYFUNCTION("""COMPUTED_VALUE"""),"")</f>
        <v/>
      </c>
      <c r="O268" s="501" t="str">
        <f>IFERROR(__xludf.DUMMYFUNCTION("""COMPUTED_VALUE"""),"")</f>
        <v/>
      </c>
      <c r="P268" s="503" t="str">
        <f>IFERROR(__xludf.DUMMYFUNCTION("""COMPUTED_VALUE"""),"")</f>
        <v/>
      </c>
      <c r="Q268" s="501" t="str">
        <f>IFERROR(__xludf.DUMMYFUNCTION("""COMPUTED_VALUE"""),"")</f>
        <v/>
      </c>
      <c r="R268" s="501" t="str">
        <f>IFERROR(__xludf.DUMMYFUNCTION("""COMPUTED_VALUE"""),"")</f>
        <v/>
      </c>
      <c r="S268" s="503" t="str">
        <f>IFERROR(__xludf.DUMMYFUNCTION("""COMPUTED_VALUE"""),"")</f>
        <v/>
      </c>
      <c r="T268" s="503" t="str">
        <f>IFERROR(__xludf.DUMMYFUNCTION("""COMPUTED_VALUE"""),"utm_source=facebook&amp;utm_medium=socialmedia&amp;utm_campaign=&amp;utm_content=&amp;referrer=facebook")</f>
        <v>utm_source=facebook&amp;utm_medium=socialmedia&amp;utm_campaign=&amp;utm_content=&amp;referrer=facebook</v>
      </c>
    </row>
    <row r="269">
      <c r="A269" s="501" t="str">
        <f>IFERROR(__xludf.DUMMYFUNCTION("""COMPUTED_VALUE"""),"juni")</f>
        <v>juni</v>
      </c>
      <c r="B269" s="501">
        <f>IFERROR(__xludf.DUMMYFUNCTION("""COMPUTED_VALUE"""),24.0)</f>
        <v>24</v>
      </c>
      <c r="C269" s="501" t="str">
        <f>IFERROR(__xludf.DUMMYFUNCTION("""COMPUTED_VALUE"""),"zondag")</f>
        <v>zondag</v>
      </c>
      <c r="D269" s="502">
        <f>IFERROR(__xludf.DUMMYFUNCTION("""COMPUTED_VALUE"""),43625.0)</f>
        <v>43625</v>
      </c>
      <c r="E269" s="502">
        <f>IFERROR(__xludf.DUMMYFUNCTION("""COMPUTED_VALUE"""),43625.0)</f>
        <v>43625</v>
      </c>
      <c r="F269" s="501" t="str">
        <f>IFERROR(__xludf.DUMMYFUNCTION("""COMPUTED_VALUE"""),"")</f>
        <v/>
      </c>
      <c r="G269" s="503" t="str">
        <f>IFERROR(__xludf.DUMMYFUNCTION("""COMPUTED_VALUE"""),"")</f>
        <v/>
      </c>
      <c r="H269" s="501" t="str">
        <f>IFERROR(__xludf.DUMMYFUNCTION("""COMPUTED_VALUE"""),"")</f>
        <v/>
      </c>
      <c r="I269" s="503" t="str">
        <f>IFERROR(__xludf.DUMMYFUNCTION("""COMPUTED_VALUE"""),"")</f>
        <v/>
      </c>
      <c r="J269" s="501" t="str">
        <f>IFERROR(__xludf.DUMMYFUNCTION("""COMPUTED_VALUE"""),"")</f>
        <v/>
      </c>
      <c r="K269" s="503" t="str">
        <f>IFERROR(__xludf.DUMMYFUNCTION("""COMPUTED_VALUE"""),"")</f>
        <v/>
      </c>
      <c r="L269" s="501" t="str">
        <f>IFERROR(__xludf.DUMMYFUNCTION("""COMPUTED_VALUE"""),"")</f>
        <v/>
      </c>
      <c r="M269" s="504">
        <f>IFERROR(__xludf.DUMMYFUNCTION("""COMPUTED_VALUE"""),1.0)</f>
        <v>1</v>
      </c>
      <c r="N269" s="501" t="str">
        <f>IFERROR(__xludf.DUMMYFUNCTION("""COMPUTED_VALUE"""),"")</f>
        <v/>
      </c>
      <c r="O269" s="501" t="str">
        <f>IFERROR(__xludf.DUMMYFUNCTION("""COMPUTED_VALUE"""),"")</f>
        <v/>
      </c>
      <c r="P269" s="503" t="str">
        <f>IFERROR(__xludf.DUMMYFUNCTION("""COMPUTED_VALUE"""),"")</f>
        <v/>
      </c>
      <c r="Q269" s="501" t="str">
        <f>IFERROR(__xludf.DUMMYFUNCTION("""COMPUTED_VALUE"""),"")</f>
        <v/>
      </c>
      <c r="R269" s="501" t="str">
        <f>IFERROR(__xludf.DUMMYFUNCTION("""COMPUTED_VALUE"""),"")</f>
        <v/>
      </c>
      <c r="S269" s="503" t="str">
        <f>IFERROR(__xludf.DUMMYFUNCTION("""COMPUTED_VALUE"""),"")</f>
        <v/>
      </c>
      <c r="T269" s="503" t="str">
        <f>IFERROR(__xludf.DUMMYFUNCTION("""COMPUTED_VALUE"""),"utm_source=facebook&amp;utm_medium=socialmedia&amp;utm_campaign=&amp;utm_content=&amp;referrer=facebook")</f>
        <v>utm_source=facebook&amp;utm_medium=socialmedia&amp;utm_campaign=&amp;utm_content=&amp;referrer=facebook</v>
      </c>
    </row>
    <row r="270">
      <c r="A270" s="501" t="str">
        <f>IFERROR(__xludf.DUMMYFUNCTION("""COMPUTED_VALUE"""),"juni")</f>
        <v>juni</v>
      </c>
      <c r="B270" s="501">
        <f>IFERROR(__xludf.DUMMYFUNCTION("""COMPUTED_VALUE"""),24.0)</f>
        <v>24</v>
      </c>
      <c r="C270" s="501" t="str">
        <f>IFERROR(__xludf.DUMMYFUNCTION("""COMPUTED_VALUE"""),"maandag")</f>
        <v>maandag</v>
      </c>
      <c r="D270" s="502">
        <f>IFERROR(__xludf.DUMMYFUNCTION("""COMPUTED_VALUE"""),43626.0)</f>
        <v>43626</v>
      </c>
      <c r="E270" s="502">
        <f>IFERROR(__xludf.DUMMYFUNCTION("""COMPUTED_VALUE"""),43626.0)</f>
        <v>43626</v>
      </c>
      <c r="F270" s="501" t="str">
        <f>IFERROR(__xludf.DUMMYFUNCTION("""COMPUTED_VALUE"""),"")</f>
        <v/>
      </c>
      <c r="G270" s="503" t="str">
        <f>IFERROR(__xludf.DUMMYFUNCTION("""COMPUTED_VALUE"""),"")</f>
        <v/>
      </c>
      <c r="H270" s="501" t="str">
        <f>IFERROR(__xludf.DUMMYFUNCTION("""COMPUTED_VALUE"""),"")</f>
        <v/>
      </c>
      <c r="I270" s="503" t="str">
        <f>IFERROR(__xludf.DUMMYFUNCTION("""COMPUTED_VALUE"""),"")</f>
        <v/>
      </c>
      <c r="J270" s="501" t="str">
        <f>IFERROR(__xludf.DUMMYFUNCTION("""COMPUTED_VALUE"""),"")</f>
        <v/>
      </c>
      <c r="K270" s="503" t="str">
        <f>IFERROR(__xludf.DUMMYFUNCTION("""COMPUTED_VALUE"""),"")</f>
        <v/>
      </c>
      <c r="L270" s="501" t="str">
        <f>IFERROR(__xludf.DUMMYFUNCTION("""COMPUTED_VALUE"""),"")</f>
        <v/>
      </c>
      <c r="M270" s="504">
        <f>IFERROR(__xludf.DUMMYFUNCTION("""COMPUTED_VALUE"""),1.0)</f>
        <v>1</v>
      </c>
      <c r="N270" s="501" t="str">
        <f>IFERROR(__xludf.DUMMYFUNCTION("""COMPUTED_VALUE"""),"")</f>
        <v/>
      </c>
      <c r="O270" s="501" t="str">
        <f>IFERROR(__xludf.DUMMYFUNCTION("""COMPUTED_VALUE"""),"")</f>
        <v/>
      </c>
      <c r="P270" s="503" t="str">
        <f>IFERROR(__xludf.DUMMYFUNCTION("""COMPUTED_VALUE"""),"")</f>
        <v/>
      </c>
      <c r="Q270" s="501" t="str">
        <f>IFERROR(__xludf.DUMMYFUNCTION("""COMPUTED_VALUE"""),"")</f>
        <v/>
      </c>
      <c r="R270" s="501" t="str">
        <f>IFERROR(__xludf.DUMMYFUNCTION("""COMPUTED_VALUE"""),"")</f>
        <v/>
      </c>
      <c r="S270" s="503" t="str">
        <f>IFERROR(__xludf.DUMMYFUNCTION("""COMPUTED_VALUE"""),"")</f>
        <v/>
      </c>
      <c r="T270" s="503" t="str">
        <f>IFERROR(__xludf.DUMMYFUNCTION("""COMPUTED_VALUE"""),"utm_source=facebook&amp;utm_medium=socialmedia&amp;utm_campaign=&amp;utm_content=&amp;referrer=facebook")</f>
        <v>utm_source=facebook&amp;utm_medium=socialmedia&amp;utm_campaign=&amp;utm_content=&amp;referrer=facebook</v>
      </c>
    </row>
    <row r="271">
      <c r="A271" s="501" t="str">
        <f>IFERROR(__xludf.DUMMYFUNCTION("""COMPUTED_VALUE"""),"juni")</f>
        <v>juni</v>
      </c>
      <c r="B271" s="501">
        <f>IFERROR(__xludf.DUMMYFUNCTION("""COMPUTED_VALUE"""),24.0)</f>
        <v>24</v>
      </c>
      <c r="C271" s="501" t="str">
        <f>IFERROR(__xludf.DUMMYFUNCTION("""COMPUTED_VALUE"""),"dinsdag")</f>
        <v>dinsdag</v>
      </c>
      <c r="D271" s="502">
        <f>IFERROR(__xludf.DUMMYFUNCTION("""COMPUTED_VALUE"""),43627.0)</f>
        <v>43627</v>
      </c>
      <c r="E271" s="502">
        <f>IFERROR(__xludf.DUMMYFUNCTION("""COMPUTED_VALUE"""),43627.0)</f>
        <v>43627</v>
      </c>
      <c r="F271" s="501" t="str">
        <f>IFERROR(__xludf.DUMMYFUNCTION("""COMPUTED_VALUE"""),"")</f>
        <v/>
      </c>
      <c r="G271" s="503" t="str">
        <f>IFERROR(__xludf.DUMMYFUNCTION("""COMPUTED_VALUE"""),"")</f>
        <v/>
      </c>
      <c r="H271" s="501" t="str">
        <f>IFERROR(__xludf.DUMMYFUNCTION("""COMPUTED_VALUE"""),"")</f>
        <v/>
      </c>
      <c r="I271" s="503" t="str">
        <f>IFERROR(__xludf.DUMMYFUNCTION("""COMPUTED_VALUE"""),"")</f>
        <v/>
      </c>
      <c r="J271" s="501" t="str">
        <f>IFERROR(__xludf.DUMMYFUNCTION("""COMPUTED_VALUE"""),"")</f>
        <v/>
      </c>
      <c r="K271" s="503" t="str">
        <f>IFERROR(__xludf.DUMMYFUNCTION("""COMPUTED_VALUE"""),"")</f>
        <v/>
      </c>
      <c r="L271" s="501" t="str">
        <f>IFERROR(__xludf.DUMMYFUNCTION("""COMPUTED_VALUE"""),"")</f>
        <v/>
      </c>
      <c r="M271" s="504">
        <f>IFERROR(__xludf.DUMMYFUNCTION("""COMPUTED_VALUE"""),1.0)</f>
        <v>1</v>
      </c>
      <c r="N271" s="501" t="str">
        <f>IFERROR(__xludf.DUMMYFUNCTION("""COMPUTED_VALUE"""),"")</f>
        <v/>
      </c>
      <c r="O271" s="501" t="str">
        <f>IFERROR(__xludf.DUMMYFUNCTION("""COMPUTED_VALUE"""),"")</f>
        <v/>
      </c>
      <c r="P271" s="503" t="str">
        <f>IFERROR(__xludf.DUMMYFUNCTION("""COMPUTED_VALUE"""),"")</f>
        <v/>
      </c>
      <c r="Q271" s="501" t="str">
        <f>IFERROR(__xludf.DUMMYFUNCTION("""COMPUTED_VALUE"""),"")</f>
        <v/>
      </c>
      <c r="R271" s="501" t="str">
        <f>IFERROR(__xludf.DUMMYFUNCTION("""COMPUTED_VALUE"""),"")</f>
        <v/>
      </c>
      <c r="S271" s="503" t="str">
        <f>IFERROR(__xludf.DUMMYFUNCTION("""COMPUTED_VALUE"""),"")</f>
        <v/>
      </c>
      <c r="T271" s="503" t="str">
        <f>IFERROR(__xludf.DUMMYFUNCTION("""COMPUTED_VALUE"""),"utm_source=facebook&amp;utm_medium=socialmedia&amp;utm_campaign=&amp;utm_content=&amp;referrer=facebook")</f>
        <v>utm_source=facebook&amp;utm_medium=socialmedia&amp;utm_campaign=&amp;utm_content=&amp;referrer=facebook</v>
      </c>
    </row>
    <row r="272">
      <c r="A272" s="501" t="str">
        <f>IFERROR(__xludf.DUMMYFUNCTION("""COMPUTED_VALUE"""),"juni")</f>
        <v>juni</v>
      </c>
      <c r="B272" s="501">
        <f>IFERROR(__xludf.DUMMYFUNCTION("""COMPUTED_VALUE"""),24.0)</f>
        <v>24</v>
      </c>
      <c r="C272" s="501" t="str">
        <f>IFERROR(__xludf.DUMMYFUNCTION("""COMPUTED_VALUE"""),"woensdag")</f>
        <v>woensdag</v>
      </c>
      <c r="D272" s="502">
        <f>IFERROR(__xludf.DUMMYFUNCTION("""COMPUTED_VALUE"""),43628.0)</f>
        <v>43628</v>
      </c>
      <c r="E272" s="502">
        <f>IFERROR(__xludf.DUMMYFUNCTION("""COMPUTED_VALUE"""),43628.0)</f>
        <v>43628</v>
      </c>
      <c r="F272" s="501" t="str">
        <f>IFERROR(__xludf.DUMMYFUNCTION("""COMPUTED_VALUE"""),"")</f>
        <v/>
      </c>
      <c r="G272" s="503" t="str">
        <f>IFERROR(__xludf.DUMMYFUNCTION("""COMPUTED_VALUE"""),"")</f>
        <v/>
      </c>
      <c r="H272" s="501" t="str">
        <f>IFERROR(__xludf.DUMMYFUNCTION("""COMPUTED_VALUE"""),"")</f>
        <v/>
      </c>
      <c r="I272" s="503" t="str">
        <f>IFERROR(__xludf.DUMMYFUNCTION("""COMPUTED_VALUE"""),"")</f>
        <v/>
      </c>
      <c r="J272" s="501" t="str">
        <f>IFERROR(__xludf.DUMMYFUNCTION("""COMPUTED_VALUE"""),"")</f>
        <v/>
      </c>
      <c r="K272" s="503" t="str">
        <f>IFERROR(__xludf.DUMMYFUNCTION("""COMPUTED_VALUE"""),"")</f>
        <v/>
      </c>
      <c r="L272" s="501" t="str">
        <f>IFERROR(__xludf.DUMMYFUNCTION("""COMPUTED_VALUE"""),"")</f>
        <v/>
      </c>
      <c r="M272" s="504">
        <f>IFERROR(__xludf.DUMMYFUNCTION("""COMPUTED_VALUE"""),1.0)</f>
        <v>1</v>
      </c>
      <c r="N272" s="501" t="str">
        <f>IFERROR(__xludf.DUMMYFUNCTION("""COMPUTED_VALUE"""),"")</f>
        <v/>
      </c>
      <c r="O272" s="501" t="str">
        <f>IFERROR(__xludf.DUMMYFUNCTION("""COMPUTED_VALUE"""),"")</f>
        <v/>
      </c>
      <c r="P272" s="503" t="str">
        <f>IFERROR(__xludf.DUMMYFUNCTION("""COMPUTED_VALUE"""),"")</f>
        <v/>
      </c>
      <c r="Q272" s="501" t="str">
        <f>IFERROR(__xludf.DUMMYFUNCTION("""COMPUTED_VALUE"""),"")</f>
        <v/>
      </c>
      <c r="R272" s="501" t="str">
        <f>IFERROR(__xludf.DUMMYFUNCTION("""COMPUTED_VALUE"""),"")</f>
        <v/>
      </c>
      <c r="S272" s="503" t="str">
        <f>IFERROR(__xludf.DUMMYFUNCTION("""COMPUTED_VALUE"""),"")</f>
        <v/>
      </c>
      <c r="T272" s="503" t="str">
        <f>IFERROR(__xludf.DUMMYFUNCTION("""COMPUTED_VALUE"""),"utm_source=facebook&amp;utm_medium=socialmedia&amp;utm_campaign=&amp;utm_content=&amp;referrer=facebook")</f>
        <v>utm_source=facebook&amp;utm_medium=socialmedia&amp;utm_campaign=&amp;utm_content=&amp;referrer=facebook</v>
      </c>
    </row>
    <row r="273">
      <c r="A273" s="501" t="str">
        <f>IFERROR(__xludf.DUMMYFUNCTION("""COMPUTED_VALUE"""),"juni")</f>
        <v>juni</v>
      </c>
      <c r="B273" s="501">
        <f>IFERROR(__xludf.DUMMYFUNCTION("""COMPUTED_VALUE"""),24.0)</f>
        <v>24</v>
      </c>
      <c r="C273" s="501" t="str">
        <f>IFERROR(__xludf.DUMMYFUNCTION("""COMPUTED_VALUE"""),"donderdag")</f>
        <v>donderdag</v>
      </c>
      <c r="D273" s="502">
        <f>IFERROR(__xludf.DUMMYFUNCTION("""COMPUTED_VALUE"""),43629.0)</f>
        <v>43629</v>
      </c>
      <c r="E273" s="502">
        <f>IFERROR(__xludf.DUMMYFUNCTION("""COMPUTED_VALUE"""),43629.0)</f>
        <v>43629</v>
      </c>
      <c r="F273" s="501" t="str">
        <f>IFERROR(__xludf.DUMMYFUNCTION("""COMPUTED_VALUE"""),"")</f>
        <v/>
      </c>
      <c r="G273" s="503" t="str">
        <f>IFERROR(__xludf.DUMMYFUNCTION("""COMPUTED_VALUE"""),"")</f>
        <v/>
      </c>
      <c r="H273" s="501" t="str">
        <f>IFERROR(__xludf.DUMMYFUNCTION("""COMPUTED_VALUE"""),"")</f>
        <v/>
      </c>
      <c r="I273" s="503" t="str">
        <f>IFERROR(__xludf.DUMMYFUNCTION("""COMPUTED_VALUE"""),"")</f>
        <v/>
      </c>
      <c r="J273" s="501" t="str">
        <f>IFERROR(__xludf.DUMMYFUNCTION("""COMPUTED_VALUE"""),"")</f>
        <v/>
      </c>
      <c r="K273" s="503" t="str">
        <f>IFERROR(__xludf.DUMMYFUNCTION("""COMPUTED_VALUE"""),"")</f>
        <v/>
      </c>
      <c r="L273" s="501" t="str">
        <f>IFERROR(__xludf.DUMMYFUNCTION("""COMPUTED_VALUE"""),"")</f>
        <v/>
      </c>
      <c r="M273" s="504">
        <f>IFERROR(__xludf.DUMMYFUNCTION("""COMPUTED_VALUE"""),1.0)</f>
        <v>1</v>
      </c>
      <c r="N273" s="501" t="str">
        <f>IFERROR(__xludf.DUMMYFUNCTION("""COMPUTED_VALUE"""),"")</f>
        <v/>
      </c>
      <c r="O273" s="501" t="str">
        <f>IFERROR(__xludf.DUMMYFUNCTION("""COMPUTED_VALUE"""),"")</f>
        <v/>
      </c>
      <c r="P273" s="503" t="str">
        <f>IFERROR(__xludf.DUMMYFUNCTION("""COMPUTED_VALUE"""),"")</f>
        <v/>
      </c>
      <c r="Q273" s="501" t="str">
        <f>IFERROR(__xludf.DUMMYFUNCTION("""COMPUTED_VALUE"""),"")</f>
        <v/>
      </c>
      <c r="R273" s="501" t="str">
        <f>IFERROR(__xludf.DUMMYFUNCTION("""COMPUTED_VALUE"""),"")</f>
        <v/>
      </c>
      <c r="S273" s="503" t="str">
        <f>IFERROR(__xludf.DUMMYFUNCTION("""COMPUTED_VALUE"""),"")</f>
        <v/>
      </c>
      <c r="T273" s="503" t="str">
        <f>IFERROR(__xludf.DUMMYFUNCTION("""COMPUTED_VALUE"""),"utm_source=facebook&amp;utm_medium=socialmedia&amp;utm_campaign=&amp;utm_content=&amp;referrer=facebook")</f>
        <v>utm_source=facebook&amp;utm_medium=socialmedia&amp;utm_campaign=&amp;utm_content=&amp;referrer=facebook</v>
      </c>
    </row>
    <row r="274">
      <c r="A274" s="501" t="str">
        <f>IFERROR(__xludf.DUMMYFUNCTION("""COMPUTED_VALUE"""),"juni")</f>
        <v>juni</v>
      </c>
      <c r="B274" s="501">
        <f>IFERROR(__xludf.DUMMYFUNCTION("""COMPUTED_VALUE"""),24.0)</f>
        <v>24</v>
      </c>
      <c r="C274" s="501" t="str">
        <f>IFERROR(__xludf.DUMMYFUNCTION("""COMPUTED_VALUE"""),"vrijdag")</f>
        <v>vrijdag</v>
      </c>
      <c r="D274" s="502">
        <f>IFERROR(__xludf.DUMMYFUNCTION("""COMPUTED_VALUE"""),43630.0)</f>
        <v>43630</v>
      </c>
      <c r="E274" s="502">
        <f>IFERROR(__xludf.DUMMYFUNCTION("""COMPUTED_VALUE"""),43630.0)</f>
        <v>43630</v>
      </c>
      <c r="F274" s="501" t="str">
        <f>IFERROR(__xludf.DUMMYFUNCTION("""COMPUTED_VALUE"""),"")</f>
        <v/>
      </c>
      <c r="G274" s="503" t="str">
        <f>IFERROR(__xludf.DUMMYFUNCTION("""COMPUTED_VALUE"""),"")</f>
        <v/>
      </c>
      <c r="H274" s="501" t="str">
        <f>IFERROR(__xludf.DUMMYFUNCTION("""COMPUTED_VALUE"""),"")</f>
        <v/>
      </c>
      <c r="I274" s="503" t="str">
        <f>IFERROR(__xludf.DUMMYFUNCTION("""COMPUTED_VALUE"""),"")</f>
        <v/>
      </c>
      <c r="J274" s="501" t="str">
        <f>IFERROR(__xludf.DUMMYFUNCTION("""COMPUTED_VALUE"""),"")</f>
        <v/>
      </c>
      <c r="K274" s="503" t="str">
        <f>IFERROR(__xludf.DUMMYFUNCTION("""COMPUTED_VALUE"""),"")</f>
        <v/>
      </c>
      <c r="L274" s="501" t="str">
        <f>IFERROR(__xludf.DUMMYFUNCTION("""COMPUTED_VALUE"""),"")</f>
        <v/>
      </c>
      <c r="M274" s="504">
        <f>IFERROR(__xludf.DUMMYFUNCTION("""COMPUTED_VALUE"""),1.0)</f>
        <v>1</v>
      </c>
      <c r="N274" s="501" t="str">
        <f>IFERROR(__xludf.DUMMYFUNCTION("""COMPUTED_VALUE"""),"")</f>
        <v/>
      </c>
      <c r="O274" s="501" t="str">
        <f>IFERROR(__xludf.DUMMYFUNCTION("""COMPUTED_VALUE"""),"")</f>
        <v/>
      </c>
      <c r="P274" s="503" t="str">
        <f>IFERROR(__xludf.DUMMYFUNCTION("""COMPUTED_VALUE"""),"")</f>
        <v/>
      </c>
      <c r="Q274" s="501" t="str">
        <f>IFERROR(__xludf.DUMMYFUNCTION("""COMPUTED_VALUE"""),"")</f>
        <v/>
      </c>
      <c r="R274" s="501" t="str">
        <f>IFERROR(__xludf.DUMMYFUNCTION("""COMPUTED_VALUE"""),"")</f>
        <v/>
      </c>
      <c r="S274" s="503" t="str">
        <f>IFERROR(__xludf.DUMMYFUNCTION("""COMPUTED_VALUE"""),"")</f>
        <v/>
      </c>
      <c r="T274" s="503" t="str">
        <f>IFERROR(__xludf.DUMMYFUNCTION("""COMPUTED_VALUE"""),"utm_source=facebook&amp;utm_medium=socialmedia&amp;utm_campaign=&amp;utm_content=&amp;referrer=facebook")</f>
        <v>utm_source=facebook&amp;utm_medium=socialmedia&amp;utm_campaign=&amp;utm_content=&amp;referrer=facebook</v>
      </c>
    </row>
    <row r="275">
      <c r="A275" s="501" t="str">
        <f>IFERROR(__xludf.DUMMYFUNCTION("""COMPUTED_VALUE"""),"juni")</f>
        <v>juni</v>
      </c>
      <c r="B275" s="501">
        <f>IFERROR(__xludf.DUMMYFUNCTION("""COMPUTED_VALUE"""),24.0)</f>
        <v>24</v>
      </c>
      <c r="C275" s="501" t="str">
        <f>IFERROR(__xludf.DUMMYFUNCTION("""COMPUTED_VALUE"""),"zaterdag")</f>
        <v>zaterdag</v>
      </c>
      <c r="D275" s="502">
        <f>IFERROR(__xludf.DUMMYFUNCTION("""COMPUTED_VALUE"""),43631.0)</f>
        <v>43631</v>
      </c>
      <c r="E275" s="502">
        <f>IFERROR(__xludf.DUMMYFUNCTION("""COMPUTED_VALUE"""),43631.0)</f>
        <v>43631</v>
      </c>
      <c r="F275" s="501" t="str">
        <f>IFERROR(__xludf.DUMMYFUNCTION("""COMPUTED_VALUE"""),"")</f>
        <v/>
      </c>
      <c r="G275" s="503" t="str">
        <f>IFERROR(__xludf.DUMMYFUNCTION("""COMPUTED_VALUE"""),"")</f>
        <v/>
      </c>
      <c r="H275" s="501" t="str">
        <f>IFERROR(__xludf.DUMMYFUNCTION("""COMPUTED_VALUE"""),"")</f>
        <v/>
      </c>
      <c r="I275" s="503" t="str">
        <f>IFERROR(__xludf.DUMMYFUNCTION("""COMPUTED_VALUE"""),"")</f>
        <v/>
      </c>
      <c r="J275" s="501" t="str">
        <f>IFERROR(__xludf.DUMMYFUNCTION("""COMPUTED_VALUE"""),"")</f>
        <v/>
      </c>
      <c r="K275" s="503" t="str">
        <f>IFERROR(__xludf.DUMMYFUNCTION("""COMPUTED_VALUE"""),"")</f>
        <v/>
      </c>
      <c r="L275" s="501" t="str">
        <f>IFERROR(__xludf.DUMMYFUNCTION("""COMPUTED_VALUE"""),"")</f>
        <v/>
      </c>
      <c r="M275" s="504">
        <f>IFERROR(__xludf.DUMMYFUNCTION("""COMPUTED_VALUE"""),1.0)</f>
        <v>1</v>
      </c>
      <c r="N275" s="501" t="str">
        <f>IFERROR(__xludf.DUMMYFUNCTION("""COMPUTED_VALUE"""),"")</f>
        <v/>
      </c>
      <c r="O275" s="501" t="str">
        <f>IFERROR(__xludf.DUMMYFUNCTION("""COMPUTED_VALUE"""),"")</f>
        <v/>
      </c>
      <c r="P275" s="503" t="str">
        <f>IFERROR(__xludf.DUMMYFUNCTION("""COMPUTED_VALUE"""),"")</f>
        <v/>
      </c>
      <c r="Q275" s="501" t="str">
        <f>IFERROR(__xludf.DUMMYFUNCTION("""COMPUTED_VALUE"""),"")</f>
        <v/>
      </c>
      <c r="R275" s="501" t="str">
        <f>IFERROR(__xludf.DUMMYFUNCTION("""COMPUTED_VALUE"""),"")</f>
        <v/>
      </c>
      <c r="S275" s="503" t="str">
        <f>IFERROR(__xludf.DUMMYFUNCTION("""COMPUTED_VALUE"""),"")</f>
        <v/>
      </c>
      <c r="T275" s="503" t="str">
        <f>IFERROR(__xludf.DUMMYFUNCTION("""COMPUTED_VALUE"""),"utm_source=facebook&amp;utm_medium=socialmedia&amp;utm_campaign=&amp;utm_content=&amp;referrer=facebook")</f>
        <v>utm_source=facebook&amp;utm_medium=socialmedia&amp;utm_campaign=&amp;utm_content=&amp;referrer=facebook</v>
      </c>
    </row>
    <row r="276">
      <c r="A276" s="501" t="str">
        <f>IFERROR(__xludf.DUMMYFUNCTION("""COMPUTED_VALUE"""),"juni")</f>
        <v>juni</v>
      </c>
      <c r="B276" s="501">
        <f>IFERROR(__xludf.DUMMYFUNCTION("""COMPUTED_VALUE"""),25.0)</f>
        <v>25</v>
      </c>
      <c r="C276" s="501" t="str">
        <f>IFERROR(__xludf.DUMMYFUNCTION("""COMPUTED_VALUE"""),"zondag")</f>
        <v>zondag</v>
      </c>
      <c r="D276" s="502">
        <f>IFERROR(__xludf.DUMMYFUNCTION("""COMPUTED_VALUE"""),43632.0)</f>
        <v>43632</v>
      </c>
      <c r="E276" s="502">
        <f>IFERROR(__xludf.DUMMYFUNCTION("""COMPUTED_VALUE"""),43632.0)</f>
        <v>43632</v>
      </c>
      <c r="F276" s="501" t="str">
        <f>IFERROR(__xludf.DUMMYFUNCTION("""COMPUTED_VALUE"""),"")</f>
        <v/>
      </c>
      <c r="G276" s="503" t="str">
        <f>IFERROR(__xludf.DUMMYFUNCTION("""COMPUTED_VALUE"""),"")</f>
        <v/>
      </c>
      <c r="H276" s="501" t="str">
        <f>IFERROR(__xludf.DUMMYFUNCTION("""COMPUTED_VALUE"""),"")</f>
        <v/>
      </c>
      <c r="I276" s="503" t="str">
        <f>IFERROR(__xludf.DUMMYFUNCTION("""COMPUTED_VALUE"""),"")</f>
        <v/>
      </c>
      <c r="J276" s="501" t="str">
        <f>IFERROR(__xludf.DUMMYFUNCTION("""COMPUTED_VALUE"""),"")</f>
        <v/>
      </c>
      <c r="K276" s="503" t="str">
        <f>IFERROR(__xludf.DUMMYFUNCTION("""COMPUTED_VALUE"""),"")</f>
        <v/>
      </c>
      <c r="L276" s="501" t="str">
        <f>IFERROR(__xludf.DUMMYFUNCTION("""COMPUTED_VALUE"""),"")</f>
        <v/>
      </c>
      <c r="M276" s="504">
        <f>IFERROR(__xludf.DUMMYFUNCTION("""COMPUTED_VALUE"""),1.0)</f>
        <v>1</v>
      </c>
      <c r="N276" s="501" t="str">
        <f>IFERROR(__xludf.DUMMYFUNCTION("""COMPUTED_VALUE"""),"")</f>
        <v/>
      </c>
      <c r="O276" s="501" t="str">
        <f>IFERROR(__xludf.DUMMYFUNCTION("""COMPUTED_VALUE"""),"")</f>
        <v/>
      </c>
      <c r="P276" s="503" t="str">
        <f>IFERROR(__xludf.DUMMYFUNCTION("""COMPUTED_VALUE"""),"")</f>
        <v/>
      </c>
      <c r="Q276" s="501" t="str">
        <f>IFERROR(__xludf.DUMMYFUNCTION("""COMPUTED_VALUE"""),"")</f>
        <v/>
      </c>
      <c r="R276" s="501" t="str">
        <f>IFERROR(__xludf.DUMMYFUNCTION("""COMPUTED_VALUE"""),"")</f>
        <v/>
      </c>
      <c r="S276" s="503" t="str">
        <f>IFERROR(__xludf.DUMMYFUNCTION("""COMPUTED_VALUE"""),"")</f>
        <v/>
      </c>
      <c r="T276" s="503" t="str">
        <f>IFERROR(__xludf.DUMMYFUNCTION("""COMPUTED_VALUE"""),"utm_source=facebook&amp;utm_medium=socialmedia&amp;utm_campaign=&amp;utm_content=&amp;referrer=facebook")</f>
        <v>utm_source=facebook&amp;utm_medium=socialmedia&amp;utm_campaign=&amp;utm_content=&amp;referrer=facebook</v>
      </c>
    </row>
    <row r="277">
      <c r="A277" s="501" t="str">
        <f>IFERROR(__xludf.DUMMYFUNCTION("""COMPUTED_VALUE"""),"juni")</f>
        <v>juni</v>
      </c>
      <c r="B277" s="501">
        <f>IFERROR(__xludf.DUMMYFUNCTION("""COMPUTED_VALUE"""),25.0)</f>
        <v>25</v>
      </c>
      <c r="C277" s="501" t="str">
        <f>IFERROR(__xludf.DUMMYFUNCTION("""COMPUTED_VALUE"""),"maandag")</f>
        <v>maandag</v>
      </c>
      <c r="D277" s="502">
        <f>IFERROR(__xludf.DUMMYFUNCTION("""COMPUTED_VALUE"""),43633.0)</f>
        <v>43633</v>
      </c>
      <c r="E277" s="502">
        <f>IFERROR(__xludf.DUMMYFUNCTION("""COMPUTED_VALUE"""),43633.0)</f>
        <v>43633</v>
      </c>
      <c r="F277" s="501" t="str">
        <f>IFERROR(__xludf.DUMMYFUNCTION("""COMPUTED_VALUE"""),"")</f>
        <v/>
      </c>
      <c r="G277" s="503" t="str">
        <f>IFERROR(__xludf.DUMMYFUNCTION("""COMPUTED_VALUE"""),"")</f>
        <v/>
      </c>
      <c r="H277" s="501" t="str">
        <f>IFERROR(__xludf.DUMMYFUNCTION("""COMPUTED_VALUE"""),"")</f>
        <v/>
      </c>
      <c r="I277" s="503" t="str">
        <f>IFERROR(__xludf.DUMMYFUNCTION("""COMPUTED_VALUE"""),"")</f>
        <v/>
      </c>
      <c r="J277" s="501" t="str">
        <f>IFERROR(__xludf.DUMMYFUNCTION("""COMPUTED_VALUE"""),"")</f>
        <v/>
      </c>
      <c r="K277" s="503" t="str">
        <f>IFERROR(__xludf.DUMMYFUNCTION("""COMPUTED_VALUE"""),"")</f>
        <v/>
      </c>
      <c r="L277" s="501" t="str">
        <f>IFERROR(__xludf.DUMMYFUNCTION("""COMPUTED_VALUE"""),"")</f>
        <v/>
      </c>
      <c r="M277" s="504">
        <f>IFERROR(__xludf.DUMMYFUNCTION("""COMPUTED_VALUE"""),1.0)</f>
        <v>1</v>
      </c>
      <c r="N277" s="501" t="str">
        <f>IFERROR(__xludf.DUMMYFUNCTION("""COMPUTED_VALUE"""),"")</f>
        <v/>
      </c>
      <c r="O277" s="501" t="str">
        <f>IFERROR(__xludf.DUMMYFUNCTION("""COMPUTED_VALUE"""),"")</f>
        <v/>
      </c>
      <c r="P277" s="503" t="str">
        <f>IFERROR(__xludf.DUMMYFUNCTION("""COMPUTED_VALUE"""),"")</f>
        <v/>
      </c>
      <c r="Q277" s="501" t="str">
        <f>IFERROR(__xludf.DUMMYFUNCTION("""COMPUTED_VALUE"""),"")</f>
        <v/>
      </c>
      <c r="R277" s="501" t="str">
        <f>IFERROR(__xludf.DUMMYFUNCTION("""COMPUTED_VALUE"""),"")</f>
        <v/>
      </c>
      <c r="S277" s="503" t="str">
        <f>IFERROR(__xludf.DUMMYFUNCTION("""COMPUTED_VALUE"""),"")</f>
        <v/>
      </c>
      <c r="T277" s="503" t="str">
        <f>IFERROR(__xludf.DUMMYFUNCTION("""COMPUTED_VALUE"""),"utm_source=facebook&amp;utm_medium=socialmedia&amp;utm_campaign=&amp;utm_content=&amp;referrer=facebook")</f>
        <v>utm_source=facebook&amp;utm_medium=socialmedia&amp;utm_campaign=&amp;utm_content=&amp;referrer=facebook</v>
      </c>
    </row>
    <row r="278">
      <c r="A278" s="501" t="str">
        <f>IFERROR(__xludf.DUMMYFUNCTION("""COMPUTED_VALUE"""),"juni")</f>
        <v>juni</v>
      </c>
      <c r="B278" s="501">
        <f>IFERROR(__xludf.DUMMYFUNCTION("""COMPUTED_VALUE"""),25.0)</f>
        <v>25</v>
      </c>
      <c r="C278" s="501" t="str">
        <f>IFERROR(__xludf.DUMMYFUNCTION("""COMPUTED_VALUE"""),"dinsdag")</f>
        <v>dinsdag</v>
      </c>
      <c r="D278" s="502">
        <f>IFERROR(__xludf.DUMMYFUNCTION("""COMPUTED_VALUE"""),43634.0)</f>
        <v>43634</v>
      </c>
      <c r="E278" s="502">
        <f>IFERROR(__xludf.DUMMYFUNCTION("""COMPUTED_VALUE"""),43634.0)</f>
        <v>43634</v>
      </c>
      <c r="F278" s="501" t="str">
        <f>IFERROR(__xludf.DUMMYFUNCTION("""COMPUTED_VALUE"""),"")</f>
        <v/>
      </c>
      <c r="G278" s="503" t="str">
        <f>IFERROR(__xludf.DUMMYFUNCTION("""COMPUTED_VALUE"""),"")</f>
        <v/>
      </c>
      <c r="H278" s="501" t="str">
        <f>IFERROR(__xludf.DUMMYFUNCTION("""COMPUTED_VALUE"""),"")</f>
        <v/>
      </c>
      <c r="I278" s="503" t="str">
        <f>IFERROR(__xludf.DUMMYFUNCTION("""COMPUTED_VALUE"""),"")</f>
        <v/>
      </c>
      <c r="J278" s="501" t="str">
        <f>IFERROR(__xludf.DUMMYFUNCTION("""COMPUTED_VALUE"""),"")</f>
        <v/>
      </c>
      <c r="K278" s="503" t="str">
        <f>IFERROR(__xludf.DUMMYFUNCTION("""COMPUTED_VALUE"""),"")</f>
        <v/>
      </c>
      <c r="L278" s="501" t="str">
        <f>IFERROR(__xludf.DUMMYFUNCTION("""COMPUTED_VALUE"""),"")</f>
        <v/>
      </c>
      <c r="M278" s="504">
        <f>IFERROR(__xludf.DUMMYFUNCTION("""COMPUTED_VALUE"""),1.0)</f>
        <v>1</v>
      </c>
      <c r="N278" s="501" t="str">
        <f>IFERROR(__xludf.DUMMYFUNCTION("""COMPUTED_VALUE"""),"")</f>
        <v/>
      </c>
      <c r="O278" s="501" t="str">
        <f>IFERROR(__xludf.DUMMYFUNCTION("""COMPUTED_VALUE"""),"")</f>
        <v/>
      </c>
      <c r="P278" s="503" t="str">
        <f>IFERROR(__xludf.DUMMYFUNCTION("""COMPUTED_VALUE"""),"")</f>
        <v/>
      </c>
      <c r="Q278" s="501" t="str">
        <f>IFERROR(__xludf.DUMMYFUNCTION("""COMPUTED_VALUE"""),"")</f>
        <v/>
      </c>
      <c r="R278" s="501" t="str">
        <f>IFERROR(__xludf.DUMMYFUNCTION("""COMPUTED_VALUE"""),"")</f>
        <v/>
      </c>
      <c r="S278" s="503" t="str">
        <f>IFERROR(__xludf.DUMMYFUNCTION("""COMPUTED_VALUE"""),"")</f>
        <v/>
      </c>
      <c r="T278" s="503" t="str">
        <f>IFERROR(__xludf.DUMMYFUNCTION("""COMPUTED_VALUE"""),"utm_source=facebook&amp;utm_medium=socialmedia&amp;utm_campaign=&amp;utm_content=&amp;referrer=facebook")</f>
        <v>utm_source=facebook&amp;utm_medium=socialmedia&amp;utm_campaign=&amp;utm_content=&amp;referrer=facebook</v>
      </c>
    </row>
    <row r="279">
      <c r="A279" s="501" t="str">
        <f>IFERROR(__xludf.DUMMYFUNCTION("""COMPUTED_VALUE"""),"juni")</f>
        <v>juni</v>
      </c>
      <c r="B279" s="501">
        <f>IFERROR(__xludf.DUMMYFUNCTION("""COMPUTED_VALUE"""),25.0)</f>
        <v>25</v>
      </c>
      <c r="C279" s="501" t="str">
        <f>IFERROR(__xludf.DUMMYFUNCTION("""COMPUTED_VALUE"""),"woensdag")</f>
        <v>woensdag</v>
      </c>
      <c r="D279" s="502">
        <f>IFERROR(__xludf.DUMMYFUNCTION("""COMPUTED_VALUE"""),43635.0)</f>
        <v>43635</v>
      </c>
      <c r="E279" s="502">
        <f>IFERROR(__xludf.DUMMYFUNCTION("""COMPUTED_VALUE"""),43635.0)</f>
        <v>43635</v>
      </c>
      <c r="F279" s="501" t="str">
        <f>IFERROR(__xludf.DUMMYFUNCTION("""COMPUTED_VALUE"""),"")</f>
        <v/>
      </c>
      <c r="G279" s="503" t="str">
        <f>IFERROR(__xludf.DUMMYFUNCTION("""COMPUTED_VALUE"""),"")</f>
        <v/>
      </c>
      <c r="H279" s="501" t="str">
        <f>IFERROR(__xludf.DUMMYFUNCTION("""COMPUTED_VALUE"""),"")</f>
        <v/>
      </c>
      <c r="I279" s="503" t="str">
        <f>IFERROR(__xludf.DUMMYFUNCTION("""COMPUTED_VALUE"""),"")</f>
        <v/>
      </c>
      <c r="J279" s="501" t="str">
        <f>IFERROR(__xludf.DUMMYFUNCTION("""COMPUTED_VALUE"""),"")</f>
        <v/>
      </c>
      <c r="K279" s="503" t="str">
        <f>IFERROR(__xludf.DUMMYFUNCTION("""COMPUTED_VALUE"""),"")</f>
        <v/>
      </c>
      <c r="L279" s="501" t="str">
        <f>IFERROR(__xludf.DUMMYFUNCTION("""COMPUTED_VALUE"""),"")</f>
        <v/>
      </c>
      <c r="M279" s="504">
        <f>IFERROR(__xludf.DUMMYFUNCTION("""COMPUTED_VALUE"""),1.0)</f>
        <v>1</v>
      </c>
      <c r="N279" s="501" t="str">
        <f>IFERROR(__xludf.DUMMYFUNCTION("""COMPUTED_VALUE"""),"")</f>
        <v/>
      </c>
      <c r="O279" s="501" t="str">
        <f>IFERROR(__xludf.DUMMYFUNCTION("""COMPUTED_VALUE"""),"")</f>
        <v/>
      </c>
      <c r="P279" s="503" t="str">
        <f>IFERROR(__xludf.DUMMYFUNCTION("""COMPUTED_VALUE"""),"")</f>
        <v/>
      </c>
      <c r="Q279" s="501" t="str">
        <f>IFERROR(__xludf.DUMMYFUNCTION("""COMPUTED_VALUE"""),"")</f>
        <v/>
      </c>
      <c r="R279" s="501" t="str">
        <f>IFERROR(__xludf.DUMMYFUNCTION("""COMPUTED_VALUE"""),"")</f>
        <v/>
      </c>
      <c r="S279" s="503" t="str">
        <f>IFERROR(__xludf.DUMMYFUNCTION("""COMPUTED_VALUE"""),"")</f>
        <v/>
      </c>
      <c r="T279" s="503" t="str">
        <f>IFERROR(__xludf.DUMMYFUNCTION("""COMPUTED_VALUE"""),"utm_source=facebook&amp;utm_medium=socialmedia&amp;utm_campaign=&amp;utm_content=&amp;referrer=facebook")</f>
        <v>utm_source=facebook&amp;utm_medium=socialmedia&amp;utm_campaign=&amp;utm_content=&amp;referrer=facebook</v>
      </c>
    </row>
    <row r="280">
      <c r="A280" s="501" t="str">
        <f>IFERROR(__xludf.DUMMYFUNCTION("""COMPUTED_VALUE"""),"juni")</f>
        <v>juni</v>
      </c>
      <c r="B280" s="501">
        <f>IFERROR(__xludf.DUMMYFUNCTION("""COMPUTED_VALUE"""),25.0)</f>
        <v>25</v>
      </c>
      <c r="C280" s="501" t="str">
        <f>IFERROR(__xludf.DUMMYFUNCTION("""COMPUTED_VALUE"""),"donderdag")</f>
        <v>donderdag</v>
      </c>
      <c r="D280" s="502">
        <f>IFERROR(__xludf.DUMMYFUNCTION("""COMPUTED_VALUE"""),43636.0)</f>
        <v>43636</v>
      </c>
      <c r="E280" s="502">
        <f>IFERROR(__xludf.DUMMYFUNCTION("""COMPUTED_VALUE"""),43636.0)</f>
        <v>43636</v>
      </c>
      <c r="F280" s="501" t="str">
        <f>IFERROR(__xludf.DUMMYFUNCTION("""COMPUTED_VALUE"""),"")</f>
        <v/>
      </c>
      <c r="G280" s="503" t="str">
        <f>IFERROR(__xludf.DUMMYFUNCTION("""COMPUTED_VALUE"""),"")</f>
        <v/>
      </c>
      <c r="H280" s="501" t="str">
        <f>IFERROR(__xludf.DUMMYFUNCTION("""COMPUTED_VALUE"""),"")</f>
        <v/>
      </c>
      <c r="I280" s="503" t="str">
        <f>IFERROR(__xludf.DUMMYFUNCTION("""COMPUTED_VALUE"""),"")</f>
        <v/>
      </c>
      <c r="J280" s="501" t="str">
        <f>IFERROR(__xludf.DUMMYFUNCTION("""COMPUTED_VALUE"""),"")</f>
        <v/>
      </c>
      <c r="K280" s="503" t="str">
        <f>IFERROR(__xludf.DUMMYFUNCTION("""COMPUTED_VALUE"""),"")</f>
        <v/>
      </c>
      <c r="L280" s="501" t="str">
        <f>IFERROR(__xludf.DUMMYFUNCTION("""COMPUTED_VALUE"""),"")</f>
        <v/>
      </c>
      <c r="M280" s="504">
        <f>IFERROR(__xludf.DUMMYFUNCTION("""COMPUTED_VALUE"""),1.0)</f>
        <v>1</v>
      </c>
      <c r="N280" s="501" t="str">
        <f>IFERROR(__xludf.DUMMYFUNCTION("""COMPUTED_VALUE"""),"")</f>
        <v/>
      </c>
      <c r="O280" s="501" t="str">
        <f>IFERROR(__xludf.DUMMYFUNCTION("""COMPUTED_VALUE"""),"")</f>
        <v/>
      </c>
      <c r="P280" s="503" t="str">
        <f>IFERROR(__xludf.DUMMYFUNCTION("""COMPUTED_VALUE"""),"")</f>
        <v/>
      </c>
      <c r="Q280" s="501" t="str">
        <f>IFERROR(__xludf.DUMMYFUNCTION("""COMPUTED_VALUE"""),"")</f>
        <v/>
      </c>
      <c r="R280" s="501" t="str">
        <f>IFERROR(__xludf.DUMMYFUNCTION("""COMPUTED_VALUE"""),"")</f>
        <v/>
      </c>
      <c r="S280" s="503" t="str">
        <f>IFERROR(__xludf.DUMMYFUNCTION("""COMPUTED_VALUE"""),"")</f>
        <v/>
      </c>
      <c r="T280" s="503" t="str">
        <f>IFERROR(__xludf.DUMMYFUNCTION("""COMPUTED_VALUE"""),"utm_source=facebook&amp;utm_medium=socialmedia&amp;utm_campaign=&amp;utm_content=&amp;referrer=facebook")</f>
        <v>utm_source=facebook&amp;utm_medium=socialmedia&amp;utm_campaign=&amp;utm_content=&amp;referrer=facebook</v>
      </c>
    </row>
    <row r="281">
      <c r="A281" s="501" t="str">
        <f>IFERROR(__xludf.DUMMYFUNCTION("""COMPUTED_VALUE"""),"juni")</f>
        <v>juni</v>
      </c>
      <c r="B281" s="501">
        <f>IFERROR(__xludf.DUMMYFUNCTION("""COMPUTED_VALUE"""),25.0)</f>
        <v>25</v>
      </c>
      <c r="C281" s="501" t="str">
        <f>IFERROR(__xludf.DUMMYFUNCTION("""COMPUTED_VALUE"""),"vrijdag")</f>
        <v>vrijdag</v>
      </c>
      <c r="D281" s="502">
        <f>IFERROR(__xludf.DUMMYFUNCTION("""COMPUTED_VALUE"""),43637.0)</f>
        <v>43637</v>
      </c>
      <c r="E281" s="502">
        <f>IFERROR(__xludf.DUMMYFUNCTION("""COMPUTED_VALUE"""),43637.0)</f>
        <v>43637</v>
      </c>
      <c r="F281" s="501" t="str">
        <f>IFERROR(__xludf.DUMMYFUNCTION("""COMPUTED_VALUE"""),"")</f>
        <v/>
      </c>
      <c r="G281" s="503" t="str">
        <f>IFERROR(__xludf.DUMMYFUNCTION("""COMPUTED_VALUE"""),"")</f>
        <v/>
      </c>
      <c r="H281" s="501" t="str">
        <f>IFERROR(__xludf.DUMMYFUNCTION("""COMPUTED_VALUE"""),"")</f>
        <v/>
      </c>
      <c r="I281" s="503" t="str">
        <f>IFERROR(__xludf.DUMMYFUNCTION("""COMPUTED_VALUE"""),"")</f>
        <v/>
      </c>
      <c r="J281" s="501" t="str">
        <f>IFERROR(__xludf.DUMMYFUNCTION("""COMPUTED_VALUE"""),"")</f>
        <v/>
      </c>
      <c r="K281" s="503" t="str">
        <f>IFERROR(__xludf.DUMMYFUNCTION("""COMPUTED_VALUE"""),"")</f>
        <v/>
      </c>
      <c r="L281" s="501" t="str">
        <f>IFERROR(__xludf.DUMMYFUNCTION("""COMPUTED_VALUE"""),"")</f>
        <v/>
      </c>
      <c r="M281" s="504">
        <f>IFERROR(__xludf.DUMMYFUNCTION("""COMPUTED_VALUE"""),1.0)</f>
        <v>1</v>
      </c>
      <c r="N281" s="501" t="str">
        <f>IFERROR(__xludf.DUMMYFUNCTION("""COMPUTED_VALUE"""),"")</f>
        <v/>
      </c>
      <c r="O281" s="501" t="str">
        <f>IFERROR(__xludf.DUMMYFUNCTION("""COMPUTED_VALUE"""),"")</f>
        <v/>
      </c>
      <c r="P281" s="503" t="str">
        <f>IFERROR(__xludf.DUMMYFUNCTION("""COMPUTED_VALUE"""),"")</f>
        <v/>
      </c>
      <c r="Q281" s="501" t="str">
        <f>IFERROR(__xludf.DUMMYFUNCTION("""COMPUTED_VALUE"""),"")</f>
        <v/>
      </c>
      <c r="R281" s="501" t="str">
        <f>IFERROR(__xludf.DUMMYFUNCTION("""COMPUTED_VALUE"""),"")</f>
        <v/>
      </c>
      <c r="S281" s="503" t="str">
        <f>IFERROR(__xludf.DUMMYFUNCTION("""COMPUTED_VALUE"""),"")</f>
        <v/>
      </c>
      <c r="T281" s="503" t="str">
        <f>IFERROR(__xludf.DUMMYFUNCTION("""COMPUTED_VALUE"""),"utm_source=facebook&amp;utm_medium=socialmedia&amp;utm_campaign=&amp;utm_content=&amp;referrer=facebook")</f>
        <v>utm_source=facebook&amp;utm_medium=socialmedia&amp;utm_campaign=&amp;utm_content=&amp;referrer=facebook</v>
      </c>
    </row>
    <row r="282">
      <c r="A282" s="501" t="str">
        <f>IFERROR(__xludf.DUMMYFUNCTION("""COMPUTED_VALUE"""),"juni")</f>
        <v>juni</v>
      </c>
      <c r="B282" s="501">
        <f>IFERROR(__xludf.DUMMYFUNCTION("""COMPUTED_VALUE"""),25.0)</f>
        <v>25</v>
      </c>
      <c r="C282" s="501" t="str">
        <f>IFERROR(__xludf.DUMMYFUNCTION("""COMPUTED_VALUE"""),"zaterdag")</f>
        <v>zaterdag</v>
      </c>
      <c r="D282" s="502">
        <f>IFERROR(__xludf.DUMMYFUNCTION("""COMPUTED_VALUE"""),43638.0)</f>
        <v>43638</v>
      </c>
      <c r="E282" s="502">
        <f>IFERROR(__xludf.DUMMYFUNCTION("""COMPUTED_VALUE"""),43638.0)</f>
        <v>43638</v>
      </c>
      <c r="F282" s="501" t="str">
        <f>IFERROR(__xludf.DUMMYFUNCTION("""COMPUTED_VALUE"""),"")</f>
        <v/>
      </c>
      <c r="G282" s="503" t="str">
        <f>IFERROR(__xludf.DUMMYFUNCTION("""COMPUTED_VALUE"""),"")</f>
        <v/>
      </c>
      <c r="H282" s="501" t="str">
        <f>IFERROR(__xludf.DUMMYFUNCTION("""COMPUTED_VALUE"""),"")</f>
        <v/>
      </c>
      <c r="I282" s="503" t="str">
        <f>IFERROR(__xludf.DUMMYFUNCTION("""COMPUTED_VALUE"""),"")</f>
        <v/>
      </c>
      <c r="J282" s="501" t="str">
        <f>IFERROR(__xludf.DUMMYFUNCTION("""COMPUTED_VALUE"""),"")</f>
        <v/>
      </c>
      <c r="K282" s="503" t="str">
        <f>IFERROR(__xludf.DUMMYFUNCTION("""COMPUTED_VALUE"""),"")</f>
        <v/>
      </c>
      <c r="L282" s="501" t="str">
        <f>IFERROR(__xludf.DUMMYFUNCTION("""COMPUTED_VALUE"""),"")</f>
        <v/>
      </c>
      <c r="M282" s="504">
        <f>IFERROR(__xludf.DUMMYFUNCTION("""COMPUTED_VALUE"""),1.0)</f>
        <v>1</v>
      </c>
      <c r="N282" s="501" t="str">
        <f>IFERROR(__xludf.DUMMYFUNCTION("""COMPUTED_VALUE"""),"")</f>
        <v/>
      </c>
      <c r="O282" s="501" t="str">
        <f>IFERROR(__xludf.DUMMYFUNCTION("""COMPUTED_VALUE"""),"")</f>
        <v/>
      </c>
      <c r="P282" s="503" t="str">
        <f>IFERROR(__xludf.DUMMYFUNCTION("""COMPUTED_VALUE"""),"")</f>
        <v/>
      </c>
      <c r="Q282" s="501" t="str">
        <f>IFERROR(__xludf.DUMMYFUNCTION("""COMPUTED_VALUE"""),"")</f>
        <v/>
      </c>
      <c r="R282" s="501" t="str">
        <f>IFERROR(__xludf.DUMMYFUNCTION("""COMPUTED_VALUE"""),"")</f>
        <v/>
      </c>
      <c r="S282" s="503" t="str">
        <f>IFERROR(__xludf.DUMMYFUNCTION("""COMPUTED_VALUE"""),"")</f>
        <v/>
      </c>
      <c r="T282" s="503" t="str">
        <f>IFERROR(__xludf.DUMMYFUNCTION("""COMPUTED_VALUE"""),"utm_source=facebook&amp;utm_medium=socialmedia&amp;utm_campaign=&amp;utm_content=&amp;referrer=facebook")</f>
        <v>utm_source=facebook&amp;utm_medium=socialmedia&amp;utm_campaign=&amp;utm_content=&amp;referrer=facebook</v>
      </c>
    </row>
    <row r="283">
      <c r="A283" s="501" t="str">
        <f>IFERROR(__xludf.DUMMYFUNCTION("""COMPUTED_VALUE"""),"juni")</f>
        <v>juni</v>
      </c>
      <c r="B283" s="501">
        <f>IFERROR(__xludf.DUMMYFUNCTION("""COMPUTED_VALUE"""),26.0)</f>
        <v>26</v>
      </c>
      <c r="C283" s="501" t="str">
        <f>IFERROR(__xludf.DUMMYFUNCTION("""COMPUTED_VALUE"""),"zondag")</f>
        <v>zondag</v>
      </c>
      <c r="D283" s="502">
        <f>IFERROR(__xludf.DUMMYFUNCTION("""COMPUTED_VALUE"""),43639.0)</f>
        <v>43639</v>
      </c>
      <c r="E283" s="502">
        <f>IFERROR(__xludf.DUMMYFUNCTION("""COMPUTED_VALUE"""),43639.0)</f>
        <v>43639</v>
      </c>
      <c r="F283" s="501" t="str">
        <f>IFERROR(__xludf.DUMMYFUNCTION("""COMPUTED_VALUE"""),"")</f>
        <v/>
      </c>
      <c r="G283" s="503" t="str">
        <f>IFERROR(__xludf.DUMMYFUNCTION("""COMPUTED_VALUE"""),"")</f>
        <v/>
      </c>
      <c r="H283" s="501" t="str">
        <f>IFERROR(__xludf.DUMMYFUNCTION("""COMPUTED_VALUE"""),"")</f>
        <v/>
      </c>
      <c r="I283" s="503" t="str">
        <f>IFERROR(__xludf.DUMMYFUNCTION("""COMPUTED_VALUE"""),"")</f>
        <v/>
      </c>
      <c r="J283" s="501" t="str">
        <f>IFERROR(__xludf.DUMMYFUNCTION("""COMPUTED_VALUE"""),"")</f>
        <v/>
      </c>
      <c r="K283" s="503" t="str">
        <f>IFERROR(__xludf.DUMMYFUNCTION("""COMPUTED_VALUE"""),"")</f>
        <v/>
      </c>
      <c r="L283" s="501" t="str">
        <f>IFERROR(__xludf.DUMMYFUNCTION("""COMPUTED_VALUE"""),"")</f>
        <v/>
      </c>
      <c r="M283" s="504">
        <f>IFERROR(__xludf.DUMMYFUNCTION("""COMPUTED_VALUE"""),1.0)</f>
        <v>1</v>
      </c>
      <c r="N283" s="501" t="str">
        <f>IFERROR(__xludf.DUMMYFUNCTION("""COMPUTED_VALUE"""),"")</f>
        <v/>
      </c>
      <c r="O283" s="501" t="str">
        <f>IFERROR(__xludf.DUMMYFUNCTION("""COMPUTED_VALUE"""),"")</f>
        <v/>
      </c>
      <c r="P283" s="503" t="str">
        <f>IFERROR(__xludf.DUMMYFUNCTION("""COMPUTED_VALUE"""),"")</f>
        <v/>
      </c>
      <c r="Q283" s="501" t="str">
        <f>IFERROR(__xludf.DUMMYFUNCTION("""COMPUTED_VALUE"""),"")</f>
        <v/>
      </c>
      <c r="R283" s="501" t="str">
        <f>IFERROR(__xludf.DUMMYFUNCTION("""COMPUTED_VALUE"""),"")</f>
        <v/>
      </c>
      <c r="S283" s="503" t="str">
        <f>IFERROR(__xludf.DUMMYFUNCTION("""COMPUTED_VALUE"""),"")</f>
        <v/>
      </c>
      <c r="T283" s="503" t="str">
        <f>IFERROR(__xludf.DUMMYFUNCTION("""COMPUTED_VALUE"""),"utm_source=facebook&amp;utm_medium=socialmedia&amp;utm_campaign=&amp;utm_content=&amp;referrer=facebook")</f>
        <v>utm_source=facebook&amp;utm_medium=socialmedia&amp;utm_campaign=&amp;utm_content=&amp;referrer=facebook</v>
      </c>
    </row>
    <row r="284">
      <c r="A284" s="501" t="str">
        <f>IFERROR(__xludf.DUMMYFUNCTION("""COMPUTED_VALUE"""),"juni")</f>
        <v>juni</v>
      </c>
      <c r="B284" s="501">
        <f>IFERROR(__xludf.DUMMYFUNCTION("""COMPUTED_VALUE"""),26.0)</f>
        <v>26</v>
      </c>
      <c r="C284" s="501" t="str">
        <f>IFERROR(__xludf.DUMMYFUNCTION("""COMPUTED_VALUE"""),"maandag")</f>
        <v>maandag</v>
      </c>
      <c r="D284" s="502">
        <f>IFERROR(__xludf.DUMMYFUNCTION("""COMPUTED_VALUE"""),43640.0)</f>
        <v>43640</v>
      </c>
      <c r="E284" s="502">
        <f>IFERROR(__xludf.DUMMYFUNCTION("""COMPUTED_VALUE"""),43640.0)</f>
        <v>43640</v>
      </c>
      <c r="F284" s="501" t="str">
        <f>IFERROR(__xludf.DUMMYFUNCTION("""COMPUTED_VALUE"""),"")</f>
        <v/>
      </c>
      <c r="G284" s="503" t="str">
        <f>IFERROR(__xludf.DUMMYFUNCTION("""COMPUTED_VALUE"""),"")</f>
        <v/>
      </c>
      <c r="H284" s="501" t="str">
        <f>IFERROR(__xludf.DUMMYFUNCTION("""COMPUTED_VALUE"""),"")</f>
        <v/>
      </c>
      <c r="I284" s="503" t="str">
        <f>IFERROR(__xludf.DUMMYFUNCTION("""COMPUTED_VALUE"""),"")</f>
        <v/>
      </c>
      <c r="J284" s="501" t="str">
        <f>IFERROR(__xludf.DUMMYFUNCTION("""COMPUTED_VALUE"""),"")</f>
        <v/>
      </c>
      <c r="K284" s="503" t="str">
        <f>IFERROR(__xludf.DUMMYFUNCTION("""COMPUTED_VALUE"""),"")</f>
        <v/>
      </c>
      <c r="L284" s="501" t="str">
        <f>IFERROR(__xludf.DUMMYFUNCTION("""COMPUTED_VALUE"""),"")</f>
        <v/>
      </c>
      <c r="M284" s="504">
        <f>IFERROR(__xludf.DUMMYFUNCTION("""COMPUTED_VALUE"""),1.0)</f>
        <v>1</v>
      </c>
      <c r="N284" s="501" t="str">
        <f>IFERROR(__xludf.DUMMYFUNCTION("""COMPUTED_VALUE"""),"")</f>
        <v/>
      </c>
      <c r="O284" s="501" t="str">
        <f>IFERROR(__xludf.DUMMYFUNCTION("""COMPUTED_VALUE"""),"")</f>
        <v/>
      </c>
      <c r="P284" s="503" t="str">
        <f>IFERROR(__xludf.DUMMYFUNCTION("""COMPUTED_VALUE"""),"")</f>
        <v/>
      </c>
      <c r="Q284" s="501" t="str">
        <f>IFERROR(__xludf.DUMMYFUNCTION("""COMPUTED_VALUE"""),"")</f>
        <v/>
      </c>
      <c r="R284" s="501" t="str">
        <f>IFERROR(__xludf.DUMMYFUNCTION("""COMPUTED_VALUE"""),"")</f>
        <v/>
      </c>
      <c r="S284" s="503" t="str">
        <f>IFERROR(__xludf.DUMMYFUNCTION("""COMPUTED_VALUE"""),"")</f>
        <v/>
      </c>
      <c r="T284" s="503" t="str">
        <f>IFERROR(__xludf.DUMMYFUNCTION("""COMPUTED_VALUE"""),"utm_source=facebook&amp;utm_medium=socialmedia&amp;utm_campaign=&amp;utm_content=&amp;referrer=facebook")</f>
        <v>utm_source=facebook&amp;utm_medium=socialmedia&amp;utm_campaign=&amp;utm_content=&amp;referrer=facebook</v>
      </c>
    </row>
    <row r="285">
      <c r="A285" s="501" t="str">
        <f>IFERROR(__xludf.DUMMYFUNCTION("""COMPUTED_VALUE"""),"juni")</f>
        <v>juni</v>
      </c>
      <c r="B285" s="501">
        <f>IFERROR(__xludf.DUMMYFUNCTION("""COMPUTED_VALUE"""),26.0)</f>
        <v>26</v>
      </c>
      <c r="C285" s="501" t="str">
        <f>IFERROR(__xludf.DUMMYFUNCTION("""COMPUTED_VALUE"""),"dinsdag")</f>
        <v>dinsdag</v>
      </c>
      <c r="D285" s="502">
        <f>IFERROR(__xludf.DUMMYFUNCTION("""COMPUTED_VALUE"""),43641.0)</f>
        <v>43641</v>
      </c>
      <c r="E285" s="502">
        <f>IFERROR(__xludf.DUMMYFUNCTION("""COMPUTED_VALUE"""),43641.0)</f>
        <v>43641</v>
      </c>
      <c r="F285" s="501" t="str">
        <f>IFERROR(__xludf.DUMMYFUNCTION("""COMPUTED_VALUE"""),"")</f>
        <v/>
      </c>
      <c r="G285" s="503" t="str">
        <f>IFERROR(__xludf.DUMMYFUNCTION("""COMPUTED_VALUE"""),"")</f>
        <v/>
      </c>
      <c r="H285" s="501" t="str">
        <f>IFERROR(__xludf.DUMMYFUNCTION("""COMPUTED_VALUE"""),"")</f>
        <v/>
      </c>
      <c r="I285" s="503" t="str">
        <f>IFERROR(__xludf.DUMMYFUNCTION("""COMPUTED_VALUE"""),"")</f>
        <v/>
      </c>
      <c r="J285" s="501" t="str">
        <f>IFERROR(__xludf.DUMMYFUNCTION("""COMPUTED_VALUE"""),"")</f>
        <v/>
      </c>
      <c r="K285" s="503" t="str">
        <f>IFERROR(__xludf.DUMMYFUNCTION("""COMPUTED_VALUE"""),"")</f>
        <v/>
      </c>
      <c r="L285" s="501" t="str">
        <f>IFERROR(__xludf.DUMMYFUNCTION("""COMPUTED_VALUE"""),"")</f>
        <v/>
      </c>
      <c r="M285" s="504">
        <f>IFERROR(__xludf.DUMMYFUNCTION("""COMPUTED_VALUE"""),1.0)</f>
        <v>1</v>
      </c>
      <c r="N285" s="501" t="str">
        <f>IFERROR(__xludf.DUMMYFUNCTION("""COMPUTED_VALUE"""),"")</f>
        <v/>
      </c>
      <c r="O285" s="501" t="str">
        <f>IFERROR(__xludf.DUMMYFUNCTION("""COMPUTED_VALUE"""),"")</f>
        <v/>
      </c>
      <c r="P285" s="503" t="str">
        <f>IFERROR(__xludf.DUMMYFUNCTION("""COMPUTED_VALUE"""),"")</f>
        <v/>
      </c>
      <c r="Q285" s="501" t="str">
        <f>IFERROR(__xludf.DUMMYFUNCTION("""COMPUTED_VALUE"""),"")</f>
        <v/>
      </c>
      <c r="R285" s="501" t="str">
        <f>IFERROR(__xludf.DUMMYFUNCTION("""COMPUTED_VALUE"""),"")</f>
        <v/>
      </c>
      <c r="S285" s="503" t="str">
        <f>IFERROR(__xludf.DUMMYFUNCTION("""COMPUTED_VALUE"""),"")</f>
        <v/>
      </c>
      <c r="T285" s="503" t="str">
        <f>IFERROR(__xludf.DUMMYFUNCTION("""COMPUTED_VALUE"""),"utm_source=facebook&amp;utm_medium=socialmedia&amp;utm_campaign=&amp;utm_content=&amp;referrer=facebook")</f>
        <v>utm_source=facebook&amp;utm_medium=socialmedia&amp;utm_campaign=&amp;utm_content=&amp;referrer=facebook</v>
      </c>
    </row>
    <row r="286">
      <c r="A286" s="501" t="str">
        <f>IFERROR(__xludf.DUMMYFUNCTION("""COMPUTED_VALUE"""),"juni")</f>
        <v>juni</v>
      </c>
      <c r="B286" s="501">
        <f>IFERROR(__xludf.DUMMYFUNCTION("""COMPUTED_VALUE"""),26.0)</f>
        <v>26</v>
      </c>
      <c r="C286" s="501" t="str">
        <f>IFERROR(__xludf.DUMMYFUNCTION("""COMPUTED_VALUE"""),"woensdag")</f>
        <v>woensdag</v>
      </c>
      <c r="D286" s="502">
        <f>IFERROR(__xludf.DUMMYFUNCTION("""COMPUTED_VALUE"""),43642.0)</f>
        <v>43642</v>
      </c>
      <c r="E286" s="502">
        <f>IFERROR(__xludf.DUMMYFUNCTION("""COMPUTED_VALUE"""),43642.0)</f>
        <v>43642</v>
      </c>
      <c r="F286" s="501" t="str">
        <f>IFERROR(__xludf.DUMMYFUNCTION("""COMPUTED_VALUE"""),"")</f>
        <v/>
      </c>
      <c r="G286" s="503" t="str">
        <f>IFERROR(__xludf.DUMMYFUNCTION("""COMPUTED_VALUE"""),"")</f>
        <v/>
      </c>
      <c r="H286" s="501" t="str">
        <f>IFERROR(__xludf.DUMMYFUNCTION("""COMPUTED_VALUE"""),"")</f>
        <v/>
      </c>
      <c r="I286" s="503" t="str">
        <f>IFERROR(__xludf.DUMMYFUNCTION("""COMPUTED_VALUE"""),"")</f>
        <v/>
      </c>
      <c r="J286" s="501" t="str">
        <f>IFERROR(__xludf.DUMMYFUNCTION("""COMPUTED_VALUE"""),"")</f>
        <v/>
      </c>
      <c r="K286" s="503" t="str">
        <f>IFERROR(__xludf.DUMMYFUNCTION("""COMPUTED_VALUE"""),"")</f>
        <v/>
      </c>
      <c r="L286" s="501" t="str">
        <f>IFERROR(__xludf.DUMMYFUNCTION("""COMPUTED_VALUE"""),"")</f>
        <v/>
      </c>
      <c r="M286" s="504">
        <f>IFERROR(__xludf.DUMMYFUNCTION("""COMPUTED_VALUE"""),1.0)</f>
        <v>1</v>
      </c>
      <c r="N286" s="501" t="str">
        <f>IFERROR(__xludf.DUMMYFUNCTION("""COMPUTED_VALUE"""),"")</f>
        <v/>
      </c>
      <c r="O286" s="501" t="str">
        <f>IFERROR(__xludf.DUMMYFUNCTION("""COMPUTED_VALUE"""),"")</f>
        <v/>
      </c>
      <c r="P286" s="503" t="str">
        <f>IFERROR(__xludf.DUMMYFUNCTION("""COMPUTED_VALUE"""),"")</f>
        <v/>
      </c>
      <c r="Q286" s="501" t="str">
        <f>IFERROR(__xludf.DUMMYFUNCTION("""COMPUTED_VALUE"""),"")</f>
        <v/>
      </c>
      <c r="R286" s="501" t="str">
        <f>IFERROR(__xludf.DUMMYFUNCTION("""COMPUTED_VALUE"""),"")</f>
        <v/>
      </c>
      <c r="S286" s="503" t="str">
        <f>IFERROR(__xludf.DUMMYFUNCTION("""COMPUTED_VALUE"""),"")</f>
        <v/>
      </c>
      <c r="T286" s="503" t="str">
        <f>IFERROR(__xludf.DUMMYFUNCTION("""COMPUTED_VALUE"""),"utm_source=facebook&amp;utm_medium=socialmedia&amp;utm_campaign=&amp;utm_content=&amp;referrer=facebook")</f>
        <v>utm_source=facebook&amp;utm_medium=socialmedia&amp;utm_campaign=&amp;utm_content=&amp;referrer=facebook</v>
      </c>
    </row>
    <row r="287">
      <c r="A287" s="501" t="str">
        <f>IFERROR(__xludf.DUMMYFUNCTION("""COMPUTED_VALUE"""),"juni")</f>
        <v>juni</v>
      </c>
      <c r="B287" s="501">
        <f>IFERROR(__xludf.DUMMYFUNCTION("""COMPUTED_VALUE"""),26.0)</f>
        <v>26</v>
      </c>
      <c r="C287" s="501" t="str">
        <f>IFERROR(__xludf.DUMMYFUNCTION("""COMPUTED_VALUE"""),"donderdag")</f>
        <v>donderdag</v>
      </c>
      <c r="D287" s="502">
        <f>IFERROR(__xludf.DUMMYFUNCTION("""COMPUTED_VALUE"""),43643.0)</f>
        <v>43643</v>
      </c>
      <c r="E287" s="502">
        <f>IFERROR(__xludf.DUMMYFUNCTION("""COMPUTED_VALUE"""),43643.0)</f>
        <v>43643</v>
      </c>
      <c r="F287" s="501" t="str">
        <f>IFERROR(__xludf.DUMMYFUNCTION("""COMPUTED_VALUE"""),"")</f>
        <v/>
      </c>
      <c r="G287" s="503" t="str">
        <f>IFERROR(__xludf.DUMMYFUNCTION("""COMPUTED_VALUE"""),"")</f>
        <v/>
      </c>
      <c r="H287" s="501" t="str">
        <f>IFERROR(__xludf.DUMMYFUNCTION("""COMPUTED_VALUE"""),"")</f>
        <v/>
      </c>
      <c r="I287" s="503" t="str">
        <f>IFERROR(__xludf.DUMMYFUNCTION("""COMPUTED_VALUE"""),"")</f>
        <v/>
      </c>
      <c r="J287" s="501" t="str">
        <f>IFERROR(__xludf.DUMMYFUNCTION("""COMPUTED_VALUE"""),"")</f>
        <v/>
      </c>
      <c r="K287" s="503" t="str">
        <f>IFERROR(__xludf.DUMMYFUNCTION("""COMPUTED_VALUE"""),"")</f>
        <v/>
      </c>
      <c r="L287" s="501" t="str">
        <f>IFERROR(__xludf.DUMMYFUNCTION("""COMPUTED_VALUE"""),"")</f>
        <v/>
      </c>
      <c r="M287" s="504">
        <f>IFERROR(__xludf.DUMMYFUNCTION("""COMPUTED_VALUE"""),1.0)</f>
        <v>1</v>
      </c>
      <c r="N287" s="501" t="str">
        <f>IFERROR(__xludf.DUMMYFUNCTION("""COMPUTED_VALUE"""),"")</f>
        <v/>
      </c>
      <c r="O287" s="501" t="str">
        <f>IFERROR(__xludf.DUMMYFUNCTION("""COMPUTED_VALUE"""),"")</f>
        <v/>
      </c>
      <c r="P287" s="503" t="str">
        <f>IFERROR(__xludf.DUMMYFUNCTION("""COMPUTED_VALUE"""),"")</f>
        <v/>
      </c>
      <c r="Q287" s="501" t="str">
        <f>IFERROR(__xludf.DUMMYFUNCTION("""COMPUTED_VALUE"""),"")</f>
        <v/>
      </c>
      <c r="R287" s="501" t="str">
        <f>IFERROR(__xludf.DUMMYFUNCTION("""COMPUTED_VALUE"""),"")</f>
        <v/>
      </c>
      <c r="S287" s="503" t="str">
        <f>IFERROR(__xludf.DUMMYFUNCTION("""COMPUTED_VALUE"""),"")</f>
        <v/>
      </c>
      <c r="T287" s="503" t="str">
        <f>IFERROR(__xludf.DUMMYFUNCTION("""COMPUTED_VALUE"""),"utm_source=facebook&amp;utm_medium=socialmedia&amp;utm_campaign=&amp;utm_content=&amp;referrer=facebook")</f>
        <v>utm_source=facebook&amp;utm_medium=socialmedia&amp;utm_campaign=&amp;utm_content=&amp;referrer=facebook</v>
      </c>
    </row>
    <row r="288">
      <c r="A288" s="501" t="str">
        <f>IFERROR(__xludf.DUMMYFUNCTION("""COMPUTED_VALUE"""),"juni")</f>
        <v>juni</v>
      </c>
      <c r="B288" s="501">
        <f>IFERROR(__xludf.DUMMYFUNCTION("""COMPUTED_VALUE"""),26.0)</f>
        <v>26</v>
      </c>
      <c r="C288" s="501" t="str">
        <f>IFERROR(__xludf.DUMMYFUNCTION("""COMPUTED_VALUE"""),"vrijdag")</f>
        <v>vrijdag</v>
      </c>
      <c r="D288" s="502">
        <f>IFERROR(__xludf.DUMMYFUNCTION("""COMPUTED_VALUE"""),43644.0)</f>
        <v>43644</v>
      </c>
      <c r="E288" s="502">
        <f>IFERROR(__xludf.DUMMYFUNCTION("""COMPUTED_VALUE"""),43644.0)</f>
        <v>43644</v>
      </c>
      <c r="F288" s="501" t="str">
        <f>IFERROR(__xludf.DUMMYFUNCTION("""COMPUTED_VALUE"""),"")</f>
        <v/>
      </c>
      <c r="G288" s="503" t="str">
        <f>IFERROR(__xludf.DUMMYFUNCTION("""COMPUTED_VALUE"""),"")</f>
        <v/>
      </c>
      <c r="H288" s="501" t="str">
        <f>IFERROR(__xludf.DUMMYFUNCTION("""COMPUTED_VALUE"""),"")</f>
        <v/>
      </c>
      <c r="I288" s="503" t="str">
        <f>IFERROR(__xludf.DUMMYFUNCTION("""COMPUTED_VALUE"""),"")</f>
        <v/>
      </c>
      <c r="J288" s="501" t="str">
        <f>IFERROR(__xludf.DUMMYFUNCTION("""COMPUTED_VALUE"""),"")</f>
        <v/>
      </c>
      <c r="K288" s="503" t="str">
        <f>IFERROR(__xludf.DUMMYFUNCTION("""COMPUTED_VALUE"""),"")</f>
        <v/>
      </c>
      <c r="L288" s="501" t="str">
        <f>IFERROR(__xludf.DUMMYFUNCTION("""COMPUTED_VALUE"""),"")</f>
        <v/>
      </c>
      <c r="M288" s="504">
        <f>IFERROR(__xludf.DUMMYFUNCTION("""COMPUTED_VALUE"""),1.0)</f>
        <v>1</v>
      </c>
      <c r="N288" s="501" t="str">
        <f>IFERROR(__xludf.DUMMYFUNCTION("""COMPUTED_VALUE"""),"")</f>
        <v/>
      </c>
      <c r="O288" s="501" t="str">
        <f>IFERROR(__xludf.DUMMYFUNCTION("""COMPUTED_VALUE"""),"")</f>
        <v/>
      </c>
      <c r="P288" s="503" t="str">
        <f>IFERROR(__xludf.DUMMYFUNCTION("""COMPUTED_VALUE"""),"")</f>
        <v/>
      </c>
      <c r="Q288" s="501" t="str">
        <f>IFERROR(__xludf.DUMMYFUNCTION("""COMPUTED_VALUE"""),"")</f>
        <v/>
      </c>
      <c r="R288" s="501" t="str">
        <f>IFERROR(__xludf.DUMMYFUNCTION("""COMPUTED_VALUE"""),"")</f>
        <v/>
      </c>
      <c r="S288" s="503" t="str">
        <f>IFERROR(__xludf.DUMMYFUNCTION("""COMPUTED_VALUE"""),"")</f>
        <v/>
      </c>
      <c r="T288" s="503" t="str">
        <f>IFERROR(__xludf.DUMMYFUNCTION("""COMPUTED_VALUE"""),"utm_source=facebook&amp;utm_medium=socialmedia&amp;utm_campaign=&amp;utm_content=&amp;referrer=facebook")</f>
        <v>utm_source=facebook&amp;utm_medium=socialmedia&amp;utm_campaign=&amp;utm_content=&amp;referrer=facebook</v>
      </c>
    </row>
    <row r="289">
      <c r="A289" s="501" t="str">
        <f>IFERROR(__xludf.DUMMYFUNCTION("""COMPUTED_VALUE"""),"juni")</f>
        <v>juni</v>
      </c>
      <c r="B289" s="501">
        <f>IFERROR(__xludf.DUMMYFUNCTION("""COMPUTED_VALUE"""),26.0)</f>
        <v>26</v>
      </c>
      <c r="C289" s="501" t="str">
        <f>IFERROR(__xludf.DUMMYFUNCTION("""COMPUTED_VALUE"""),"zaterdag")</f>
        <v>zaterdag</v>
      </c>
      <c r="D289" s="502">
        <f>IFERROR(__xludf.DUMMYFUNCTION("""COMPUTED_VALUE"""),43645.0)</f>
        <v>43645</v>
      </c>
      <c r="E289" s="502">
        <f>IFERROR(__xludf.DUMMYFUNCTION("""COMPUTED_VALUE"""),43645.0)</f>
        <v>43645</v>
      </c>
      <c r="F289" s="501" t="str">
        <f>IFERROR(__xludf.DUMMYFUNCTION("""COMPUTED_VALUE"""),"")</f>
        <v/>
      </c>
      <c r="G289" s="503" t="str">
        <f>IFERROR(__xludf.DUMMYFUNCTION("""COMPUTED_VALUE"""),"")</f>
        <v/>
      </c>
      <c r="H289" s="501" t="str">
        <f>IFERROR(__xludf.DUMMYFUNCTION("""COMPUTED_VALUE"""),"")</f>
        <v/>
      </c>
      <c r="I289" s="503" t="str">
        <f>IFERROR(__xludf.DUMMYFUNCTION("""COMPUTED_VALUE"""),"")</f>
        <v/>
      </c>
      <c r="J289" s="501" t="str">
        <f>IFERROR(__xludf.DUMMYFUNCTION("""COMPUTED_VALUE"""),"")</f>
        <v/>
      </c>
      <c r="K289" s="503" t="str">
        <f>IFERROR(__xludf.DUMMYFUNCTION("""COMPUTED_VALUE"""),"")</f>
        <v/>
      </c>
      <c r="L289" s="501" t="str">
        <f>IFERROR(__xludf.DUMMYFUNCTION("""COMPUTED_VALUE"""),"")</f>
        <v/>
      </c>
      <c r="M289" s="504">
        <f>IFERROR(__xludf.DUMMYFUNCTION("""COMPUTED_VALUE"""),1.0)</f>
        <v>1</v>
      </c>
      <c r="N289" s="501" t="str">
        <f>IFERROR(__xludf.DUMMYFUNCTION("""COMPUTED_VALUE"""),"")</f>
        <v/>
      </c>
      <c r="O289" s="501" t="str">
        <f>IFERROR(__xludf.DUMMYFUNCTION("""COMPUTED_VALUE"""),"")</f>
        <v/>
      </c>
      <c r="P289" s="503" t="str">
        <f>IFERROR(__xludf.DUMMYFUNCTION("""COMPUTED_VALUE"""),"")</f>
        <v/>
      </c>
      <c r="Q289" s="501" t="str">
        <f>IFERROR(__xludf.DUMMYFUNCTION("""COMPUTED_VALUE"""),"")</f>
        <v/>
      </c>
      <c r="R289" s="501" t="str">
        <f>IFERROR(__xludf.DUMMYFUNCTION("""COMPUTED_VALUE"""),"")</f>
        <v/>
      </c>
      <c r="S289" s="503" t="str">
        <f>IFERROR(__xludf.DUMMYFUNCTION("""COMPUTED_VALUE"""),"")</f>
        <v/>
      </c>
      <c r="T289" s="503" t="str">
        <f>IFERROR(__xludf.DUMMYFUNCTION("""COMPUTED_VALUE"""),"utm_source=facebook&amp;utm_medium=socialmedia&amp;utm_campaign=&amp;utm_content=&amp;referrer=facebook")</f>
        <v>utm_source=facebook&amp;utm_medium=socialmedia&amp;utm_campaign=&amp;utm_content=&amp;referrer=facebook</v>
      </c>
    </row>
    <row r="290">
      <c r="A290" s="501" t="str">
        <f>IFERROR(__xludf.DUMMYFUNCTION("""COMPUTED_VALUE"""),"juni")</f>
        <v>juni</v>
      </c>
      <c r="B290" s="501">
        <f>IFERROR(__xludf.DUMMYFUNCTION("""COMPUTED_VALUE"""),27.0)</f>
        <v>27</v>
      </c>
      <c r="C290" s="501" t="str">
        <f>IFERROR(__xludf.DUMMYFUNCTION("""COMPUTED_VALUE"""),"zondag")</f>
        <v>zondag</v>
      </c>
      <c r="D290" s="502">
        <f>IFERROR(__xludf.DUMMYFUNCTION("""COMPUTED_VALUE"""),43646.0)</f>
        <v>43646</v>
      </c>
      <c r="E290" s="502">
        <f>IFERROR(__xludf.DUMMYFUNCTION("""COMPUTED_VALUE"""),43646.0)</f>
        <v>43646</v>
      </c>
      <c r="F290" s="501" t="str">
        <f>IFERROR(__xludf.DUMMYFUNCTION("""COMPUTED_VALUE"""),"")</f>
        <v/>
      </c>
      <c r="G290" s="503" t="str">
        <f>IFERROR(__xludf.DUMMYFUNCTION("""COMPUTED_VALUE"""),"")</f>
        <v/>
      </c>
      <c r="H290" s="501" t="str">
        <f>IFERROR(__xludf.DUMMYFUNCTION("""COMPUTED_VALUE"""),"")</f>
        <v/>
      </c>
      <c r="I290" s="503" t="str">
        <f>IFERROR(__xludf.DUMMYFUNCTION("""COMPUTED_VALUE"""),"")</f>
        <v/>
      </c>
      <c r="J290" s="501" t="str">
        <f>IFERROR(__xludf.DUMMYFUNCTION("""COMPUTED_VALUE"""),"")</f>
        <v/>
      </c>
      <c r="K290" s="503" t="str">
        <f>IFERROR(__xludf.DUMMYFUNCTION("""COMPUTED_VALUE"""),"")</f>
        <v/>
      </c>
      <c r="L290" s="501" t="str">
        <f>IFERROR(__xludf.DUMMYFUNCTION("""COMPUTED_VALUE"""),"")</f>
        <v/>
      </c>
      <c r="M290" s="504">
        <f>IFERROR(__xludf.DUMMYFUNCTION("""COMPUTED_VALUE"""),1.0)</f>
        <v>1</v>
      </c>
      <c r="N290" s="501" t="str">
        <f>IFERROR(__xludf.DUMMYFUNCTION("""COMPUTED_VALUE"""),"")</f>
        <v/>
      </c>
      <c r="O290" s="501" t="str">
        <f>IFERROR(__xludf.DUMMYFUNCTION("""COMPUTED_VALUE"""),"")</f>
        <v/>
      </c>
      <c r="P290" s="503" t="str">
        <f>IFERROR(__xludf.DUMMYFUNCTION("""COMPUTED_VALUE"""),"")</f>
        <v/>
      </c>
      <c r="Q290" s="501" t="str">
        <f>IFERROR(__xludf.DUMMYFUNCTION("""COMPUTED_VALUE"""),"")</f>
        <v/>
      </c>
      <c r="R290" s="501" t="str">
        <f>IFERROR(__xludf.DUMMYFUNCTION("""COMPUTED_VALUE"""),"")</f>
        <v/>
      </c>
      <c r="S290" s="503" t="str">
        <f>IFERROR(__xludf.DUMMYFUNCTION("""COMPUTED_VALUE"""),"")</f>
        <v/>
      </c>
      <c r="T290" s="503" t="str">
        <f>IFERROR(__xludf.DUMMYFUNCTION("""COMPUTED_VALUE"""),"utm_source=facebook&amp;utm_medium=socialmedia&amp;utm_campaign=&amp;utm_content=&amp;referrer=facebook")</f>
        <v>utm_source=facebook&amp;utm_medium=socialmedia&amp;utm_campaign=&amp;utm_content=&amp;referrer=facebook</v>
      </c>
    </row>
    <row r="291">
      <c r="A291" s="501" t="str">
        <f>IFERROR(__xludf.DUMMYFUNCTION("""COMPUTED_VALUE"""),"juli")</f>
        <v>juli</v>
      </c>
      <c r="B291" s="501">
        <f>IFERROR(__xludf.DUMMYFUNCTION("""COMPUTED_VALUE"""),27.0)</f>
        <v>27</v>
      </c>
      <c r="C291" s="501" t="str">
        <f>IFERROR(__xludf.DUMMYFUNCTION("""COMPUTED_VALUE"""),"maandag")</f>
        <v>maandag</v>
      </c>
      <c r="D291" s="502">
        <f>IFERROR(__xludf.DUMMYFUNCTION("""COMPUTED_VALUE"""),43647.0)</f>
        <v>43647</v>
      </c>
      <c r="E291" s="502">
        <f>IFERROR(__xludf.DUMMYFUNCTION("""COMPUTED_VALUE"""),43677.0)</f>
        <v>43677</v>
      </c>
      <c r="F291" s="501" t="str">
        <f>IFERROR(__xludf.DUMMYFUNCTION("""COMPUTED_VALUE"""),"")</f>
        <v/>
      </c>
      <c r="G291" s="503" t="str">
        <f>IFERROR(__xludf.DUMMYFUNCTION("""COMPUTED_VALUE"""),"")</f>
        <v/>
      </c>
      <c r="H291" s="501" t="str">
        <f>IFERROR(__xludf.DUMMYFUNCTION("""COMPUTED_VALUE"""),"AOC verhuizen do")</f>
        <v>AOC verhuizen do</v>
      </c>
      <c r="I291" s="503" t="str">
        <f>IFERROR(__xludf.DUMMYFUNCTION("""COMPUTED_VALUE"""),"")</f>
        <v/>
      </c>
      <c r="J291" s="501" t="str">
        <f>IFERROR(__xludf.DUMMYFUNCTION("""COMPUTED_VALUE"""),"Briefen")</f>
        <v>Briefen</v>
      </c>
      <c r="K291" s="505" t="str">
        <f>IFERROR(__xludf.DUMMYFUNCTION("""COMPUTED_VALUE""")," URl bevat nieuwe woning 14 dagen ")</f>
        <v>URl bevat nieuwe woning 14 dagen</v>
      </c>
      <c r="L291" s="506">
        <f>IFERROR(__xludf.DUMMYFUNCTION("""COMPUTED_VALUE"""),300.0)</f>
        <v>300</v>
      </c>
      <c r="M291" s="504">
        <f>IFERROR(__xludf.DUMMYFUNCTION("""COMPUTED_VALUE"""),31.0)</f>
        <v>31</v>
      </c>
      <c r="N291" s="501" t="str">
        <f>IFERROR(__xludf.DUMMYFUNCTION("""COMPUTED_VALUE"""),"Product")</f>
        <v>Product</v>
      </c>
      <c r="O291" s="501" t="str">
        <f>IFERROR(__xludf.DUMMYFUNCTION("""COMPUTED_VALUE"""),"Facebook")</f>
        <v>Facebook</v>
      </c>
      <c r="P291" s="503" t="str">
        <f>IFERROR(__xludf.DUMMYFUNCTION("""COMPUTED_VALUE"""),"Facebook - Do - AOC")</f>
        <v>Facebook - Do - AOC</v>
      </c>
      <c r="Q291" s="501" t="str">
        <f>IFERROR(__xludf.DUMMYFUNCTION("""COMPUTED_VALUE"""),"Conversie - Waarde")</f>
        <v>Conversie - Waarde</v>
      </c>
      <c r="R291" s="501" t="str">
        <f>IFERROR(__xludf.DUMMYFUNCTION("""COMPUTED_VALUE"""),"Dark")</f>
        <v>Dark</v>
      </c>
      <c r="S291" s="503" t="str">
        <f>IFERROR(__xludf.DUMMYFUNCTION("""COMPUTED_VALUE"""),"")</f>
        <v/>
      </c>
      <c r="T291"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292">
      <c r="A292" s="501" t="str">
        <f>IFERROR(__xludf.DUMMYFUNCTION("""COMPUTED_VALUE"""),"juli")</f>
        <v>juli</v>
      </c>
      <c r="B292" s="501">
        <f>IFERROR(__xludf.DUMMYFUNCTION("""COMPUTED_VALUE"""),27.0)</f>
        <v>27</v>
      </c>
      <c r="C292" s="501" t="str">
        <f>IFERROR(__xludf.DUMMYFUNCTION("""COMPUTED_VALUE"""),"maandag")</f>
        <v>maandag</v>
      </c>
      <c r="D292" s="502">
        <f>IFERROR(__xludf.DUMMYFUNCTION("""COMPUTED_VALUE"""),43647.0)</f>
        <v>43647</v>
      </c>
      <c r="E292" s="502">
        <f>IFERROR(__xludf.DUMMYFUNCTION("""COMPUTED_VALUE"""),43677.0)</f>
        <v>43677</v>
      </c>
      <c r="F292" s="501" t="str">
        <f>IFERROR(__xludf.DUMMYFUNCTION("""COMPUTED_VALUE"""),"")</f>
        <v/>
      </c>
      <c r="G292" s="503" t="str">
        <f>IFERROR(__xludf.DUMMYFUNCTION("""COMPUTED_VALUE"""),"")</f>
        <v/>
      </c>
      <c r="H292" s="501" t="str">
        <f>IFERROR(__xludf.DUMMYFUNCTION("""COMPUTED_VALUE"""),"AOC verjaardag do")</f>
        <v>AOC verjaardag do</v>
      </c>
      <c r="I292" s="503" t="str">
        <f>IFERROR(__xludf.DUMMYFUNCTION("""COMPUTED_VALUE"""),"")</f>
        <v/>
      </c>
      <c r="J292" s="501" t="str">
        <f>IFERROR(__xludf.DUMMYFUNCTION("""COMPUTED_VALUE"""),"Briefen")</f>
        <v>Briefen</v>
      </c>
      <c r="K292" s="505" t="str">
        <f>IFERROR(__xludf.DUMMYFUNCTION("""COMPUTED_VALUE""")," Goeie vrienden van jarige 7-30 dagen ")</f>
        <v>Goeie vrienden van jarige 7-30 dagen</v>
      </c>
      <c r="L292" s="506">
        <f>IFERROR(__xludf.DUMMYFUNCTION("""COMPUTED_VALUE"""),300.0)</f>
        <v>300</v>
      </c>
      <c r="M292" s="504">
        <f>IFERROR(__xludf.DUMMYFUNCTION("""COMPUTED_VALUE"""),31.0)</f>
        <v>31</v>
      </c>
      <c r="N292" s="501" t="str">
        <f>IFERROR(__xludf.DUMMYFUNCTION("""COMPUTED_VALUE"""),"Product")</f>
        <v>Product</v>
      </c>
      <c r="O292" s="501" t="str">
        <f>IFERROR(__xludf.DUMMYFUNCTION("""COMPUTED_VALUE"""),"Facebook")</f>
        <v>Facebook</v>
      </c>
      <c r="P292" s="503" t="str">
        <f>IFERROR(__xludf.DUMMYFUNCTION("""COMPUTED_VALUE"""),"Facebook - Do - AOC")</f>
        <v>Facebook - Do - AOC</v>
      </c>
      <c r="Q292" s="501" t="str">
        <f>IFERROR(__xludf.DUMMYFUNCTION("""COMPUTED_VALUE"""),"Conversie - Waarde")</f>
        <v>Conversie - Waarde</v>
      </c>
      <c r="R292" s="501" t="str">
        <f>IFERROR(__xludf.DUMMYFUNCTION("""COMPUTED_VALUE"""),"Dark")</f>
        <v>Dark</v>
      </c>
      <c r="S292" s="503" t="str">
        <f>IFERROR(__xludf.DUMMYFUNCTION("""COMPUTED_VALUE"""),"")</f>
        <v/>
      </c>
      <c r="T292"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93">
      <c r="A293" s="501" t="str">
        <f>IFERROR(__xludf.DUMMYFUNCTION("""COMPUTED_VALUE"""),"juli")</f>
        <v>juli</v>
      </c>
      <c r="B293" s="501">
        <f>IFERROR(__xludf.DUMMYFUNCTION("""COMPUTED_VALUE"""),27.0)</f>
        <v>27</v>
      </c>
      <c r="C293" s="501" t="str">
        <f>IFERROR(__xludf.DUMMYFUNCTION("""COMPUTED_VALUE"""),"maandag")</f>
        <v>maandag</v>
      </c>
      <c r="D293" s="502">
        <f>IFERROR(__xludf.DUMMYFUNCTION("""COMPUTED_VALUE"""),43647.0)</f>
        <v>43647</v>
      </c>
      <c r="E293" s="502">
        <f>IFERROR(__xludf.DUMMYFUNCTION("""COMPUTED_VALUE"""),43677.0)</f>
        <v>43677</v>
      </c>
      <c r="F293" s="501" t="str">
        <f>IFERROR(__xludf.DUMMYFUNCTION("""COMPUTED_VALUE"""),"")</f>
        <v/>
      </c>
      <c r="G293" s="503" t="str">
        <f>IFERROR(__xludf.DUMMYFUNCTION("""COMPUTED_VALUE"""),"")</f>
        <v/>
      </c>
      <c r="H293" s="501" t="str">
        <f>IFERROR(__xludf.DUMMYFUNCTION("""COMPUTED_VALUE"""),"AOC verjaardag do")</f>
        <v>AOC verjaardag do</v>
      </c>
      <c r="I293" s="503" t="str">
        <f>IFERROR(__xludf.DUMMYFUNCTION("""COMPUTED_VALUE"""),"")</f>
        <v/>
      </c>
      <c r="J293" s="501" t="str">
        <f>IFERROR(__xludf.DUMMYFUNCTION("""COMPUTED_VALUE"""),"Briefen")</f>
        <v>Briefen</v>
      </c>
      <c r="K293" s="505" t="str">
        <f>IFERROR(__xludf.DUMMYFUNCTION("""COMPUTED_VALUE""")," URL bevat verjaardag 2-7 dagen ")</f>
        <v>URL bevat verjaardag 2-7 dagen</v>
      </c>
      <c r="L293" s="506">
        <f>IFERROR(__xludf.DUMMYFUNCTION("""COMPUTED_VALUE"""),1200.0)</f>
        <v>1200</v>
      </c>
      <c r="M293" s="504">
        <f>IFERROR(__xludf.DUMMYFUNCTION("""COMPUTED_VALUE"""),31.0)</f>
        <v>31</v>
      </c>
      <c r="N293" s="501" t="str">
        <f>IFERROR(__xludf.DUMMYFUNCTION("""COMPUTED_VALUE"""),"Product")</f>
        <v>Product</v>
      </c>
      <c r="O293" s="501" t="str">
        <f>IFERROR(__xludf.DUMMYFUNCTION("""COMPUTED_VALUE"""),"Facebook")</f>
        <v>Facebook</v>
      </c>
      <c r="P293" s="503" t="str">
        <f>IFERROR(__xludf.DUMMYFUNCTION("""COMPUTED_VALUE"""),"Facebook - Do - AOC")</f>
        <v>Facebook - Do - AOC</v>
      </c>
      <c r="Q293" s="501" t="str">
        <f>IFERROR(__xludf.DUMMYFUNCTION("""COMPUTED_VALUE"""),"Conversie - Waarde")</f>
        <v>Conversie - Waarde</v>
      </c>
      <c r="R293" s="501" t="str">
        <f>IFERROR(__xludf.DUMMYFUNCTION("""COMPUTED_VALUE"""),"Dark")</f>
        <v>Dark</v>
      </c>
      <c r="S293" s="503" t="str">
        <f>IFERROR(__xludf.DUMMYFUNCTION("""COMPUTED_VALUE"""),"")</f>
        <v/>
      </c>
      <c r="T293"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294">
      <c r="A294" s="501" t="str">
        <f>IFERROR(__xludf.DUMMYFUNCTION("""COMPUTED_VALUE"""),"juli")</f>
        <v>juli</v>
      </c>
      <c r="B294" s="501">
        <f>IFERROR(__xludf.DUMMYFUNCTION("""COMPUTED_VALUE"""),27.0)</f>
        <v>27</v>
      </c>
      <c r="C294" s="501" t="str">
        <f>IFERROR(__xludf.DUMMYFUNCTION("""COMPUTED_VALUE"""),"maandag")</f>
        <v>maandag</v>
      </c>
      <c r="D294" s="502">
        <f>IFERROR(__xludf.DUMMYFUNCTION("""COMPUTED_VALUE"""),43647.0)</f>
        <v>43647</v>
      </c>
      <c r="E294" s="502">
        <f>IFERROR(__xludf.DUMMYFUNCTION("""COMPUTED_VALUE"""),43677.0)</f>
        <v>43677</v>
      </c>
      <c r="F294" s="501" t="str">
        <f>IFERROR(__xludf.DUMMYFUNCTION("""COMPUTED_VALUE"""),"")</f>
        <v/>
      </c>
      <c r="G294" s="503" t="str">
        <f>IFERROR(__xludf.DUMMYFUNCTION("""COMPUTED_VALUE"""),"")</f>
        <v/>
      </c>
      <c r="H294" s="501" t="str">
        <f>IFERROR(__xludf.DUMMYFUNCTION("""COMPUTED_VALUE"""),"AOC geboorte do")</f>
        <v>AOC geboorte do</v>
      </c>
      <c r="I294" s="503" t="str">
        <f>IFERROR(__xludf.DUMMYFUNCTION("""COMPUTED_VALUE"""),"")</f>
        <v/>
      </c>
      <c r="J294" s="501" t="str">
        <f>IFERROR(__xludf.DUMMYFUNCTION("""COMPUTED_VALUE"""),"Briefen")</f>
        <v>Briefen</v>
      </c>
      <c r="K294" s="505" t="str">
        <f>IFERROR(__xludf.DUMMYFUNCTION("""COMPUTED_VALUE""")," URL bevat geboorte 2-7 dagen ")</f>
        <v>URL bevat geboorte 2-7 dagen</v>
      </c>
      <c r="L294" s="506">
        <f>IFERROR(__xludf.DUMMYFUNCTION("""COMPUTED_VALUE"""),1200.0)</f>
        <v>1200</v>
      </c>
      <c r="M294" s="504">
        <f>IFERROR(__xludf.DUMMYFUNCTION("""COMPUTED_VALUE"""),31.0)</f>
        <v>31</v>
      </c>
      <c r="N294" s="501" t="str">
        <f>IFERROR(__xludf.DUMMYFUNCTION("""COMPUTED_VALUE"""),"Product")</f>
        <v>Product</v>
      </c>
      <c r="O294" s="501" t="str">
        <f>IFERROR(__xludf.DUMMYFUNCTION("""COMPUTED_VALUE"""),"Facebook")</f>
        <v>Facebook</v>
      </c>
      <c r="P294" s="503" t="str">
        <f>IFERROR(__xludf.DUMMYFUNCTION("""COMPUTED_VALUE"""),"Facebook - Do - AOC")</f>
        <v>Facebook - Do - AOC</v>
      </c>
      <c r="Q294" s="501" t="str">
        <f>IFERROR(__xludf.DUMMYFUNCTION("""COMPUTED_VALUE"""),"Conversie - Waarde")</f>
        <v>Conversie - Waarde</v>
      </c>
      <c r="R294" s="501" t="str">
        <f>IFERROR(__xludf.DUMMYFUNCTION("""COMPUTED_VALUE"""),"Dark")</f>
        <v>Dark</v>
      </c>
      <c r="S294" s="503" t="str">
        <f>IFERROR(__xludf.DUMMYFUNCTION("""COMPUTED_VALUE"""),"")</f>
        <v/>
      </c>
      <c r="T294"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295">
      <c r="A295" s="501" t="str">
        <f>IFERROR(__xludf.DUMMYFUNCTION("""COMPUTED_VALUE"""),"juli")</f>
        <v>juli</v>
      </c>
      <c r="B295" s="501">
        <f>IFERROR(__xludf.DUMMYFUNCTION("""COMPUTED_VALUE"""),27.0)</f>
        <v>27</v>
      </c>
      <c r="C295" s="501" t="str">
        <f>IFERROR(__xludf.DUMMYFUNCTION("""COMPUTED_VALUE"""),"maandag")</f>
        <v>maandag</v>
      </c>
      <c r="D295" s="502">
        <f>IFERROR(__xludf.DUMMYFUNCTION("""COMPUTED_VALUE"""),43647.0)</f>
        <v>43647</v>
      </c>
      <c r="E295" s="502">
        <f>IFERROR(__xludf.DUMMYFUNCTION("""COMPUTED_VALUE"""),43677.0)</f>
        <v>43677</v>
      </c>
      <c r="F295" s="501" t="str">
        <f>IFERROR(__xludf.DUMMYFUNCTION("""COMPUTED_VALUE"""),"")</f>
        <v/>
      </c>
      <c r="G295" s="503" t="str">
        <f>IFERROR(__xludf.DUMMYFUNCTION("""COMPUTED_VALUE"""),"")</f>
        <v/>
      </c>
      <c r="H295" s="501" t="str">
        <f>IFERROR(__xludf.DUMMYFUNCTION("""COMPUTED_VALUE"""),"AOC verhuizen think")</f>
        <v>AOC verhuizen think</v>
      </c>
      <c r="I295" s="503" t="str">
        <f>IFERROR(__xludf.DUMMYFUNCTION("""COMPUTED_VALUE"""),"")</f>
        <v/>
      </c>
      <c r="J295" s="501" t="str">
        <f>IFERROR(__xludf.DUMMYFUNCTION("""COMPUTED_VALUE"""),"Staat klaar")</f>
        <v>Staat klaar</v>
      </c>
      <c r="K295" s="505" t="str">
        <f>IFERROR(__xludf.DUMMYFUNCTION("""COMPUTED_VALUE""")," Vrienden van recent verhuisd ")</f>
        <v>Vrienden van recent verhuisd</v>
      </c>
      <c r="L295" s="506">
        <f>IFERROR(__xludf.DUMMYFUNCTION("""COMPUTED_VALUE"""),300.0)</f>
        <v>300</v>
      </c>
      <c r="M295" s="504">
        <f>IFERROR(__xludf.DUMMYFUNCTION("""COMPUTED_VALUE"""),31.0)</f>
        <v>31</v>
      </c>
      <c r="N295" s="501" t="str">
        <f>IFERROR(__xludf.DUMMYFUNCTION("""COMPUTED_VALUE"""),"Geven/ontvangen")</f>
        <v>Geven/ontvangen</v>
      </c>
      <c r="O295" s="501" t="str">
        <f>IFERROR(__xludf.DUMMYFUNCTION("""COMPUTED_VALUE"""),"Facebook")</f>
        <v>Facebook</v>
      </c>
      <c r="P295" s="503" t="str">
        <f>IFERROR(__xludf.DUMMYFUNCTION("""COMPUTED_VALUE"""),"Facebook - Think - AOC")</f>
        <v>Facebook - Think - AOC</v>
      </c>
      <c r="Q295" s="501" t="str">
        <f>IFERROR(__xludf.DUMMYFUNCTION("""COMPUTED_VALUE"""),"Conversie - Landingspagina")</f>
        <v>Conversie - Landingspagina</v>
      </c>
      <c r="R295" s="501" t="str">
        <f>IFERROR(__xludf.DUMMYFUNCTION("""COMPUTED_VALUE"""),"Dark")</f>
        <v>Dark</v>
      </c>
      <c r="S295" s="503" t="str">
        <f>IFERROR(__xludf.DUMMYFUNCTION("""COMPUTED_VALUE"""),"")</f>
        <v/>
      </c>
      <c r="T295"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296">
      <c r="A296" s="501" t="str">
        <f>IFERROR(__xludf.DUMMYFUNCTION("""COMPUTED_VALUE"""),"juli")</f>
        <v>juli</v>
      </c>
      <c r="B296" s="501">
        <f>IFERROR(__xludf.DUMMYFUNCTION("""COMPUTED_VALUE"""),27.0)</f>
        <v>27</v>
      </c>
      <c r="C296" s="501" t="str">
        <f>IFERROR(__xludf.DUMMYFUNCTION("""COMPUTED_VALUE"""),"maandag")</f>
        <v>maandag</v>
      </c>
      <c r="D296" s="502">
        <f>IFERROR(__xludf.DUMMYFUNCTION("""COMPUTED_VALUE"""),43647.0)</f>
        <v>43647</v>
      </c>
      <c r="E296" s="502">
        <f>IFERROR(__xludf.DUMMYFUNCTION("""COMPUTED_VALUE"""),43677.0)</f>
        <v>43677</v>
      </c>
      <c r="F296" s="501" t="str">
        <f>IFERROR(__xludf.DUMMYFUNCTION("""COMPUTED_VALUE"""),"")</f>
        <v/>
      </c>
      <c r="G296" s="503" t="str">
        <f>IFERROR(__xludf.DUMMYFUNCTION("""COMPUTED_VALUE"""),"")</f>
        <v/>
      </c>
      <c r="H296" s="501" t="str">
        <f>IFERROR(__xludf.DUMMYFUNCTION("""COMPUTED_VALUE"""),"AOC verhuizen see")</f>
        <v>AOC verhuizen see</v>
      </c>
      <c r="I296" s="503" t="str">
        <f>IFERROR(__xludf.DUMMYFUNCTION("""COMPUTED_VALUE"""),"")</f>
        <v/>
      </c>
      <c r="J296" s="501" t="str">
        <f>IFERROR(__xludf.DUMMYFUNCTION("""COMPUTED_VALUE"""),"Staat klaar")</f>
        <v>Staat klaar</v>
      </c>
      <c r="K296" s="505" t="str">
        <f>IFERROR(__xludf.DUMMYFUNCTION("""COMPUTED_VALUE""")," Vrouw 25-64 (excl klanten, vrienden van verhuisde personen en fans) ")</f>
        <v>Vrouw 25-64 (excl klanten, vrienden van verhuisde personen en fans)</v>
      </c>
      <c r="L296" s="506">
        <f>IFERROR(__xludf.DUMMYFUNCTION("""COMPUTED_VALUE"""),600.0)</f>
        <v>600</v>
      </c>
      <c r="M296" s="504">
        <f>IFERROR(__xludf.DUMMYFUNCTION("""COMPUTED_VALUE"""),31.0)</f>
        <v>31</v>
      </c>
      <c r="N296" s="501" t="str">
        <f>IFERROR(__xludf.DUMMYFUNCTION("""COMPUTED_VALUE"""),"Merk")</f>
        <v>Merk</v>
      </c>
      <c r="O296" s="501" t="str">
        <f>IFERROR(__xludf.DUMMYFUNCTION("""COMPUTED_VALUE"""),"FB + Instagram")</f>
        <v>FB + Instagram</v>
      </c>
      <c r="P296" s="503" t="str">
        <f>IFERROR(__xludf.DUMMYFUNCTION("""COMPUTED_VALUE"""),"Facebook - See - AOC")</f>
        <v>Facebook - See - AOC</v>
      </c>
      <c r="Q296" s="501" t="str">
        <f>IFERROR(__xludf.DUMMYFUNCTION("""COMPUTED_VALUE"""),"Bereik")</f>
        <v>Bereik</v>
      </c>
      <c r="R296" s="501" t="str">
        <f>IFERROR(__xludf.DUMMYFUNCTION("""COMPUTED_VALUE"""),"Dark")</f>
        <v>Dark</v>
      </c>
      <c r="S296" s="503" t="str">
        <f>IFERROR(__xludf.DUMMYFUNCTION("""COMPUTED_VALUE"""),"")</f>
        <v/>
      </c>
      <c r="T296"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297">
      <c r="A297" s="501" t="str">
        <f>IFERROR(__xludf.DUMMYFUNCTION("""COMPUTED_VALUE"""),"juli")</f>
        <v>juli</v>
      </c>
      <c r="B297" s="501">
        <f>IFERROR(__xludf.DUMMYFUNCTION("""COMPUTED_VALUE"""),27.0)</f>
        <v>27</v>
      </c>
      <c r="C297" s="501" t="str">
        <f>IFERROR(__xludf.DUMMYFUNCTION("""COMPUTED_VALUE"""),"maandag")</f>
        <v>maandag</v>
      </c>
      <c r="D297" s="502">
        <f>IFERROR(__xludf.DUMMYFUNCTION("""COMPUTED_VALUE"""),43647.0)</f>
        <v>43647</v>
      </c>
      <c r="E297" s="502">
        <f>IFERROR(__xludf.DUMMYFUNCTION("""COMPUTED_VALUE"""),43677.0)</f>
        <v>43677</v>
      </c>
      <c r="F297" s="501" t="str">
        <f>IFERROR(__xludf.DUMMYFUNCTION("""COMPUTED_VALUE"""),"")</f>
        <v/>
      </c>
      <c r="G297" s="503" t="str">
        <f>IFERROR(__xludf.DUMMYFUNCTION("""COMPUTED_VALUE"""),"")</f>
        <v/>
      </c>
      <c r="H297" s="501" t="str">
        <f>IFERROR(__xludf.DUMMYFUNCTION("""COMPUTED_VALUE"""),"AOC verjaardag see")</f>
        <v>AOC verjaardag see</v>
      </c>
      <c r="I297" s="503" t="str">
        <f>IFERROR(__xludf.DUMMYFUNCTION("""COMPUTED_VALUE"""),"")</f>
        <v/>
      </c>
      <c r="J297" s="501" t="str">
        <f>IFERROR(__xludf.DUMMYFUNCTION("""COMPUTED_VALUE"""),"Staat klaar")</f>
        <v>Staat klaar</v>
      </c>
      <c r="K297" s="505" t="str">
        <f>IFERROR(__xludf.DUMMYFUNCTION("""COMPUTED_VALUE""")," See - Geboorte ")</f>
        <v>See - Geboorte</v>
      </c>
      <c r="L297" s="506">
        <f>IFERROR(__xludf.DUMMYFUNCTION("""COMPUTED_VALUE"""),1200.0)</f>
        <v>1200</v>
      </c>
      <c r="M297" s="504">
        <f>IFERROR(__xludf.DUMMYFUNCTION("""COMPUTED_VALUE"""),31.0)</f>
        <v>31</v>
      </c>
      <c r="N297" s="501" t="str">
        <f>IFERROR(__xludf.DUMMYFUNCTION("""COMPUTED_VALUE"""),"Merk")</f>
        <v>Merk</v>
      </c>
      <c r="O297" s="501" t="str">
        <f>IFERROR(__xludf.DUMMYFUNCTION("""COMPUTED_VALUE"""),"FB + Instagram")</f>
        <v>FB + Instagram</v>
      </c>
      <c r="P297" s="503" t="str">
        <f>IFERROR(__xludf.DUMMYFUNCTION("""COMPUTED_VALUE"""),"Facebook - See - AOC")</f>
        <v>Facebook - See - AOC</v>
      </c>
      <c r="Q297" s="501" t="str">
        <f>IFERROR(__xludf.DUMMYFUNCTION("""COMPUTED_VALUE"""),"Bereik")</f>
        <v>Bereik</v>
      </c>
      <c r="R297" s="501" t="str">
        <f>IFERROR(__xludf.DUMMYFUNCTION("""COMPUTED_VALUE"""),"Dark")</f>
        <v>Dark</v>
      </c>
      <c r="S297" s="503" t="str">
        <f>IFERROR(__xludf.DUMMYFUNCTION("""COMPUTED_VALUE"""),"")</f>
        <v/>
      </c>
      <c r="T297"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298">
      <c r="A298" s="501" t="str">
        <f>IFERROR(__xludf.DUMMYFUNCTION("""COMPUTED_VALUE"""),"juli")</f>
        <v>juli</v>
      </c>
      <c r="B298" s="501">
        <f>IFERROR(__xludf.DUMMYFUNCTION("""COMPUTED_VALUE"""),27.0)</f>
        <v>27</v>
      </c>
      <c r="C298" s="501" t="str">
        <f>IFERROR(__xludf.DUMMYFUNCTION("""COMPUTED_VALUE"""),"maandag")</f>
        <v>maandag</v>
      </c>
      <c r="D298" s="502">
        <f>IFERROR(__xludf.DUMMYFUNCTION("""COMPUTED_VALUE"""),43647.0)</f>
        <v>43647</v>
      </c>
      <c r="E298" s="502">
        <f>IFERROR(__xludf.DUMMYFUNCTION("""COMPUTED_VALUE"""),43677.0)</f>
        <v>43677</v>
      </c>
      <c r="F298" s="501" t="str">
        <f>IFERROR(__xludf.DUMMYFUNCTION("""COMPUTED_VALUE"""),"")</f>
        <v/>
      </c>
      <c r="G298" s="503" t="str">
        <f>IFERROR(__xludf.DUMMYFUNCTION("""COMPUTED_VALUE"""),"")</f>
        <v/>
      </c>
      <c r="H298" s="501" t="str">
        <f>IFERROR(__xludf.DUMMYFUNCTION("""COMPUTED_VALUE"""),"AOC geboorte see")</f>
        <v>AOC geboorte see</v>
      </c>
      <c r="I298" s="503" t="str">
        <f>IFERROR(__xludf.DUMMYFUNCTION("""COMPUTED_VALUE"""),"")</f>
        <v/>
      </c>
      <c r="J298" s="501" t="str">
        <f>IFERROR(__xludf.DUMMYFUNCTION("""COMPUTED_VALUE"""),"Staat klaar")</f>
        <v>Staat klaar</v>
      </c>
      <c r="K298" s="505" t="str">
        <f>IFERROR(__xludf.DUMMYFUNCTION("""COMPUTED_VALUE""")," See - Verjaardag ")</f>
        <v>See - Verjaardag</v>
      </c>
      <c r="L298" s="506">
        <f>IFERROR(__xludf.DUMMYFUNCTION("""COMPUTED_VALUE"""),2400.0)</f>
        <v>2400</v>
      </c>
      <c r="M298" s="504">
        <f>IFERROR(__xludf.DUMMYFUNCTION("""COMPUTED_VALUE"""),31.0)</f>
        <v>31</v>
      </c>
      <c r="N298" s="501" t="str">
        <f>IFERROR(__xludf.DUMMYFUNCTION("""COMPUTED_VALUE"""),"Merk")</f>
        <v>Merk</v>
      </c>
      <c r="O298" s="501" t="str">
        <f>IFERROR(__xludf.DUMMYFUNCTION("""COMPUTED_VALUE"""),"FB + Instagram")</f>
        <v>FB + Instagram</v>
      </c>
      <c r="P298" s="503" t="str">
        <f>IFERROR(__xludf.DUMMYFUNCTION("""COMPUTED_VALUE"""),"Facebook - See - AOC")</f>
        <v>Facebook - See - AOC</v>
      </c>
      <c r="Q298" s="501" t="str">
        <f>IFERROR(__xludf.DUMMYFUNCTION("""COMPUTED_VALUE"""),"Bereik")</f>
        <v>Bereik</v>
      </c>
      <c r="R298" s="501" t="str">
        <f>IFERROR(__xludf.DUMMYFUNCTION("""COMPUTED_VALUE"""),"Dark")</f>
        <v>Dark</v>
      </c>
      <c r="S298" s="503" t="str">
        <f>IFERROR(__xludf.DUMMYFUNCTION("""COMPUTED_VALUE"""),"")</f>
        <v/>
      </c>
      <c r="T298"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299">
      <c r="A299" s="501" t="str">
        <f>IFERROR(__xludf.DUMMYFUNCTION("""COMPUTED_VALUE"""),"juli")</f>
        <v>juli</v>
      </c>
      <c r="B299" s="501">
        <f>IFERROR(__xludf.DUMMYFUNCTION("""COMPUTED_VALUE"""),27.0)</f>
        <v>27</v>
      </c>
      <c r="C299" s="501" t="str">
        <f>IFERROR(__xludf.DUMMYFUNCTION("""COMPUTED_VALUE"""),"maandag")</f>
        <v>maandag</v>
      </c>
      <c r="D299" s="502">
        <f>IFERROR(__xludf.DUMMYFUNCTION("""COMPUTED_VALUE"""),43647.0)</f>
        <v>43647</v>
      </c>
      <c r="E299" s="502">
        <f>IFERROR(__xludf.DUMMYFUNCTION("""COMPUTED_VALUE"""),43647.0)</f>
        <v>43647</v>
      </c>
      <c r="F299" s="501" t="str">
        <f>IFERROR(__xludf.DUMMYFUNCTION("""COMPUTED_VALUE"""),"")</f>
        <v/>
      </c>
      <c r="G299" s="503" t="str">
        <f>IFERROR(__xludf.DUMMYFUNCTION("""COMPUTED_VALUE"""),"")</f>
        <v/>
      </c>
      <c r="H299" s="501" t="str">
        <f>IFERROR(__xludf.DUMMYFUNCTION("""COMPUTED_VALUE"""),"")</f>
        <v/>
      </c>
      <c r="I299" s="503" t="str">
        <f>IFERROR(__xludf.DUMMYFUNCTION("""COMPUTED_VALUE"""),"")</f>
        <v/>
      </c>
      <c r="J299" s="501" t="str">
        <f>IFERROR(__xludf.DUMMYFUNCTION("""COMPUTED_VALUE"""),"")</f>
        <v/>
      </c>
      <c r="K299" s="503" t="str">
        <f>IFERROR(__xludf.DUMMYFUNCTION("""COMPUTED_VALUE"""),"")</f>
        <v/>
      </c>
      <c r="L299" s="501" t="str">
        <f>IFERROR(__xludf.DUMMYFUNCTION("""COMPUTED_VALUE"""),"")</f>
        <v/>
      </c>
      <c r="M299" s="504">
        <f>IFERROR(__xludf.DUMMYFUNCTION("""COMPUTED_VALUE"""),1.0)</f>
        <v>1</v>
      </c>
      <c r="N299" s="501" t="str">
        <f>IFERROR(__xludf.DUMMYFUNCTION("""COMPUTED_VALUE"""),"")</f>
        <v/>
      </c>
      <c r="O299" s="501" t="str">
        <f>IFERROR(__xludf.DUMMYFUNCTION("""COMPUTED_VALUE"""),"")</f>
        <v/>
      </c>
      <c r="P299" s="503" t="str">
        <f>IFERROR(__xludf.DUMMYFUNCTION("""COMPUTED_VALUE"""),"")</f>
        <v/>
      </c>
      <c r="Q299" s="501" t="str">
        <f>IFERROR(__xludf.DUMMYFUNCTION("""COMPUTED_VALUE"""),"")</f>
        <v/>
      </c>
      <c r="R299" s="501" t="str">
        <f>IFERROR(__xludf.DUMMYFUNCTION("""COMPUTED_VALUE"""),"")</f>
        <v/>
      </c>
      <c r="S299" s="503" t="str">
        <f>IFERROR(__xludf.DUMMYFUNCTION("""COMPUTED_VALUE"""),"")</f>
        <v/>
      </c>
      <c r="T299" s="503" t="str">
        <f>IFERROR(__xludf.DUMMYFUNCTION("""COMPUTED_VALUE"""),"utm_source=facebook&amp;utm_medium=socialmedia&amp;utm_campaign=&amp;utm_content=&amp;referrer=facebook")</f>
        <v>utm_source=facebook&amp;utm_medium=socialmedia&amp;utm_campaign=&amp;utm_content=&amp;referrer=facebook</v>
      </c>
    </row>
    <row r="300">
      <c r="A300" s="501" t="str">
        <f>IFERROR(__xludf.DUMMYFUNCTION("""COMPUTED_VALUE"""),"juli")</f>
        <v>juli</v>
      </c>
      <c r="B300" s="501">
        <f>IFERROR(__xludf.DUMMYFUNCTION("""COMPUTED_VALUE"""),27.0)</f>
        <v>27</v>
      </c>
      <c r="C300" s="501" t="str">
        <f>IFERROR(__xludf.DUMMYFUNCTION("""COMPUTED_VALUE"""),"dinsdag")</f>
        <v>dinsdag</v>
      </c>
      <c r="D300" s="502">
        <f>IFERROR(__xludf.DUMMYFUNCTION("""COMPUTED_VALUE"""),43648.0)</f>
        <v>43648</v>
      </c>
      <c r="E300" s="502">
        <f>IFERROR(__xludf.DUMMYFUNCTION("""COMPUTED_VALUE"""),43648.0)</f>
        <v>43648</v>
      </c>
      <c r="F300" s="501" t="str">
        <f>IFERROR(__xludf.DUMMYFUNCTION("""COMPUTED_VALUE"""),"")</f>
        <v/>
      </c>
      <c r="G300" s="503" t="str">
        <f>IFERROR(__xludf.DUMMYFUNCTION("""COMPUTED_VALUE"""),"")</f>
        <v/>
      </c>
      <c r="H300" s="501" t="str">
        <f>IFERROR(__xludf.DUMMYFUNCTION("""COMPUTED_VALUE"""),"")</f>
        <v/>
      </c>
      <c r="I300" s="503" t="str">
        <f>IFERROR(__xludf.DUMMYFUNCTION("""COMPUTED_VALUE"""),"")</f>
        <v/>
      </c>
      <c r="J300" s="501" t="str">
        <f>IFERROR(__xludf.DUMMYFUNCTION("""COMPUTED_VALUE"""),"")</f>
        <v/>
      </c>
      <c r="K300" s="503" t="str">
        <f>IFERROR(__xludf.DUMMYFUNCTION("""COMPUTED_VALUE"""),"")</f>
        <v/>
      </c>
      <c r="L300" s="501" t="str">
        <f>IFERROR(__xludf.DUMMYFUNCTION("""COMPUTED_VALUE"""),"")</f>
        <v/>
      </c>
      <c r="M300" s="504">
        <f>IFERROR(__xludf.DUMMYFUNCTION("""COMPUTED_VALUE"""),1.0)</f>
        <v>1</v>
      </c>
      <c r="N300" s="501" t="str">
        <f>IFERROR(__xludf.DUMMYFUNCTION("""COMPUTED_VALUE"""),"")</f>
        <v/>
      </c>
      <c r="O300" s="501" t="str">
        <f>IFERROR(__xludf.DUMMYFUNCTION("""COMPUTED_VALUE"""),"")</f>
        <v/>
      </c>
      <c r="P300" s="503" t="str">
        <f>IFERROR(__xludf.DUMMYFUNCTION("""COMPUTED_VALUE"""),"")</f>
        <v/>
      </c>
      <c r="Q300" s="501" t="str">
        <f>IFERROR(__xludf.DUMMYFUNCTION("""COMPUTED_VALUE"""),"")</f>
        <v/>
      </c>
      <c r="R300" s="501" t="str">
        <f>IFERROR(__xludf.DUMMYFUNCTION("""COMPUTED_VALUE"""),"")</f>
        <v/>
      </c>
      <c r="S300" s="503" t="str">
        <f>IFERROR(__xludf.DUMMYFUNCTION("""COMPUTED_VALUE"""),"")</f>
        <v/>
      </c>
      <c r="T300" s="503" t="str">
        <f>IFERROR(__xludf.DUMMYFUNCTION("""COMPUTED_VALUE"""),"utm_source=facebook&amp;utm_medium=socialmedia&amp;utm_campaign=&amp;utm_content=&amp;referrer=facebook")</f>
        <v>utm_source=facebook&amp;utm_medium=socialmedia&amp;utm_campaign=&amp;utm_content=&amp;referrer=facebook</v>
      </c>
    </row>
    <row r="301">
      <c r="A301" s="501" t="str">
        <f>IFERROR(__xludf.DUMMYFUNCTION("""COMPUTED_VALUE"""),"juli")</f>
        <v>juli</v>
      </c>
      <c r="B301" s="501">
        <f>IFERROR(__xludf.DUMMYFUNCTION("""COMPUTED_VALUE"""),27.0)</f>
        <v>27</v>
      </c>
      <c r="C301" s="501" t="str">
        <f>IFERROR(__xludf.DUMMYFUNCTION("""COMPUTED_VALUE"""),"woensdag")</f>
        <v>woensdag</v>
      </c>
      <c r="D301" s="502">
        <f>IFERROR(__xludf.DUMMYFUNCTION("""COMPUTED_VALUE"""),43649.0)</f>
        <v>43649</v>
      </c>
      <c r="E301" s="502">
        <f>IFERROR(__xludf.DUMMYFUNCTION("""COMPUTED_VALUE"""),43649.0)</f>
        <v>43649</v>
      </c>
      <c r="F301" s="501" t="str">
        <f>IFERROR(__xludf.DUMMYFUNCTION("""COMPUTED_VALUE"""),"")</f>
        <v/>
      </c>
      <c r="G301" s="503" t="str">
        <f>IFERROR(__xludf.DUMMYFUNCTION("""COMPUTED_VALUE"""),"")</f>
        <v/>
      </c>
      <c r="H301" s="501" t="str">
        <f>IFERROR(__xludf.DUMMYFUNCTION("""COMPUTED_VALUE"""),"")</f>
        <v/>
      </c>
      <c r="I301" s="503" t="str">
        <f>IFERROR(__xludf.DUMMYFUNCTION("""COMPUTED_VALUE"""),"")</f>
        <v/>
      </c>
      <c r="J301" s="501" t="str">
        <f>IFERROR(__xludf.DUMMYFUNCTION("""COMPUTED_VALUE"""),"")</f>
        <v/>
      </c>
      <c r="K301" s="503" t="str">
        <f>IFERROR(__xludf.DUMMYFUNCTION("""COMPUTED_VALUE"""),"")</f>
        <v/>
      </c>
      <c r="L301" s="501" t="str">
        <f>IFERROR(__xludf.DUMMYFUNCTION("""COMPUTED_VALUE"""),"")</f>
        <v/>
      </c>
      <c r="M301" s="504">
        <f>IFERROR(__xludf.DUMMYFUNCTION("""COMPUTED_VALUE"""),1.0)</f>
        <v>1</v>
      </c>
      <c r="N301" s="501" t="str">
        <f>IFERROR(__xludf.DUMMYFUNCTION("""COMPUTED_VALUE"""),"")</f>
        <v/>
      </c>
      <c r="O301" s="501" t="str">
        <f>IFERROR(__xludf.DUMMYFUNCTION("""COMPUTED_VALUE"""),"")</f>
        <v/>
      </c>
      <c r="P301" s="503" t="str">
        <f>IFERROR(__xludf.DUMMYFUNCTION("""COMPUTED_VALUE"""),"")</f>
        <v/>
      </c>
      <c r="Q301" s="501" t="str">
        <f>IFERROR(__xludf.DUMMYFUNCTION("""COMPUTED_VALUE"""),"")</f>
        <v/>
      </c>
      <c r="R301" s="501" t="str">
        <f>IFERROR(__xludf.DUMMYFUNCTION("""COMPUTED_VALUE"""),"")</f>
        <v/>
      </c>
      <c r="S301" s="503" t="str">
        <f>IFERROR(__xludf.DUMMYFUNCTION("""COMPUTED_VALUE"""),"")</f>
        <v/>
      </c>
      <c r="T301" s="503" t="str">
        <f>IFERROR(__xludf.DUMMYFUNCTION("""COMPUTED_VALUE"""),"utm_source=facebook&amp;utm_medium=socialmedia&amp;utm_campaign=&amp;utm_content=&amp;referrer=facebook")</f>
        <v>utm_source=facebook&amp;utm_medium=socialmedia&amp;utm_campaign=&amp;utm_content=&amp;referrer=facebook</v>
      </c>
    </row>
    <row r="302">
      <c r="A302" s="501" t="str">
        <f>IFERROR(__xludf.DUMMYFUNCTION("""COMPUTED_VALUE"""),"juli")</f>
        <v>juli</v>
      </c>
      <c r="B302" s="501">
        <f>IFERROR(__xludf.DUMMYFUNCTION("""COMPUTED_VALUE"""),27.0)</f>
        <v>27</v>
      </c>
      <c r="C302" s="501" t="str">
        <f>IFERROR(__xludf.DUMMYFUNCTION("""COMPUTED_VALUE"""),"donderdag")</f>
        <v>donderdag</v>
      </c>
      <c r="D302" s="502">
        <f>IFERROR(__xludf.DUMMYFUNCTION("""COMPUTED_VALUE"""),43650.0)</f>
        <v>43650</v>
      </c>
      <c r="E302" s="502">
        <f>IFERROR(__xludf.DUMMYFUNCTION("""COMPUTED_VALUE"""),43650.0)</f>
        <v>43650</v>
      </c>
      <c r="F302" s="501" t="str">
        <f>IFERROR(__xludf.DUMMYFUNCTION("""COMPUTED_VALUE"""),"")</f>
        <v/>
      </c>
      <c r="G302" s="503" t="str">
        <f>IFERROR(__xludf.DUMMYFUNCTION("""COMPUTED_VALUE"""),"")</f>
        <v/>
      </c>
      <c r="H302" s="501" t="str">
        <f>IFERROR(__xludf.DUMMYFUNCTION("""COMPUTED_VALUE"""),"")</f>
        <v/>
      </c>
      <c r="I302" s="503" t="str">
        <f>IFERROR(__xludf.DUMMYFUNCTION("""COMPUTED_VALUE"""),"")</f>
        <v/>
      </c>
      <c r="J302" s="501" t="str">
        <f>IFERROR(__xludf.DUMMYFUNCTION("""COMPUTED_VALUE"""),"")</f>
        <v/>
      </c>
      <c r="K302" s="503" t="str">
        <f>IFERROR(__xludf.DUMMYFUNCTION("""COMPUTED_VALUE"""),"")</f>
        <v/>
      </c>
      <c r="L302" s="501" t="str">
        <f>IFERROR(__xludf.DUMMYFUNCTION("""COMPUTED_VALUE"""),"")</f>
        <v/>
      </c>
      <c r="M302" s="504">
        <f>IFERROR(__xludf.DUMMYFUNCTION("""COMPUTED_VALUE"""),1.0)</f>
        <v>1</v>
      </c>
      <c r="N302" s="501" t="str">
        <f>IFERROR(__xludf.DUMMYFUNCTION("""COMPUTED_VALUE"""),"")</f>
        <v/>
      </c>
      <c r="O302" s="501" t="str">
        <f>IFERROR(__xludf.DUMMYFUNCTION("""COMPUTED_VALUE"""),"")</f>
        <v/>
      </c>
      <c r="P302" s="503" t="str">
        <f>IFERROR(__xludf.DUMMYFUNCTION("""COMPUTED_VALUE"""),"")</f>
        <v/>
      </c>
      <c r="Q302" s="501" t="str">
        <f>IFERROR(__xludf.DUMMYFUNCTION("""COMPUTED_VALUE"""),"")</f>
        <v/>
      </c>
      <c r="R302" s="501" t="str">
        <f>IFERROR(__xludf.DUMMYFUNCTION("""COMPUTED_VALUE"""),"")</f>
        <v/>
      </c>
      <c r="S302" s="503" t="str">
        <f>IFERROR(__xludf.DUMMYFUNCTION("""COMPUTED_VALUE"""),"")</f>
        <v/>
      </c>
      <c r="T302" s="503" t="str">
        <f>IFERROR(__xludf.DUMMYFUNCTION("""COMPUTED_VALUE"""),"utm_source=facebook&amp;utm_medium=socialmedia&amp;utm_campaign=&amp;utm_content=&amp;referrer=facebook")</f>
        <v>utm_source=facebook&amp;utm_medium=socialmedia&amp;utm_campaign=&amp;utm_content=&amp;referrer=facebook</v>
      </c>
    </row>
    <row r="303">
      <c r="A303" s="501" t="str">
        <f>IFERROR(__xludf.DUMMYFUNCTION("""COMPUTED_VALUE"""),"juli")</f>
        <v>juli</v>
      </c>
      <c r="B303" s="501">
        <f>IFERROR(__xludf.DUMMYFUNCTION("""COMPUTED_VALUE"""),27.0)</f>
        <v>27</v>
      </c>
      <c r="C303" s="501" t="str">
        <f>IFERROR(__xludf.DUMMYFUNCTION("""COMPUTED_VALUE"""),"vrijdag")</f>
        <v>vrijdag</v>
      </c>
      <c r="D303" s="502">
        <f>IFERROR(__xludf.DUMMYFUNCTION("""COMPUTED_VALUE"""),43651.0)</f>
        <v>43651</v>
      </c>
      <c r="E303" s="502">
        <f>IFERROR(__xludf.DUMMYFUNCTION("""COMPUTED_VALUE"""),43651.0)</f>
        <v>43651</v>
      </c>
      <c r="F303" s="501" t="str">
        <f>IFERROR(__xludf.DUMMYFUNCTION("""COMPUTED_VALUE"""),"")</f>
        <v/>
      </c>
      <c r="G303" s="503" t="str">
        <f>IFERROR(__xludf.DUMMYFUNCTION("""COMPUTED_VALUE"""),"")</f>
        <v/>
      </c>
      <c r="H303" s="501" t="str">
        <f>IFERROR(__xludf.DUMMYFUNCTION("""COMPUTED_VALUE"""),"")</f>
        <v/>
      </c>
      <c r="I303" s="503" t="str">
        <f>IFERROR(__xludf.DUMMYFUNCTION("""COMPUTED_VALUE"""),"")</f>
        <v/>
      </c>
      <c r="J303" s="501" t="str">
        <f>IFERROR(__xludf.DUMMYFUNCTION("""COMPUTED_VALUE"""),"")</f>
        <v/>
      </c>
      <c r="K303" s="503" t="str">
        <f>IFERROR(__xludf.DUMMYFUNCTION("""COMPUTED_VALUE"""),"")</f>
        <v/>
      </c>
      <c r="L303" s="501" t="str">
        <f>IFERROR(__xludf.DUMMYFUNCTION("""COMPUTED_VALUE"""),"")</f>
        <v/>
      </c>
      <c r="M303" s="504">
        <f>IFERROR(__xludf.DUMMYFUNCTION("""COMPUTED_VALUE"""),1.0)</f>
        <v>1</v>
      </c>
      <c r="N303" s="501" t="str">
        <f>IFERROR(__xludf.DUMMYFUNCTION("""COMPUTED_VALUE"""),"")</f>
        <v/>
      </c>
      <c r="O303" s="501" t="str">
        <f>IFERROR(__xludf.DUMMYFUNCTION("""COMPUTED_VALUE"""),"")</f>
        <v/>
      </c>
      <c r="P303" s="503" t="str">
        <f>IFERROR(__xludf.DUMMYFUNCTION("""COMPUTED_VALUE"""),"")</f>
        <v/>
      </c>
      <c r="Q303" s="501" t="str">
        <f>IFERROR(__xludf.DUMMYFUNCTION("""COMPUTED_VALUE"""),"")</f>
        <v/>
      </c>
      <c r="R303" s="501" t="str">
        <f>IFERROR(__xludf.DUMMYFUNCTION("""COMPUTED_VALUE"""),"")</f>
        <v/>
      </c>
      <c r="S303" s="503" t="str">
        <f>IFERROR(__xludf.DUMMYFUNCTION("""COMPUTED_VALUE"""),"")</f>
        <v/>
      </c>
      <c r="T303" s="503" t="str">
        <f>IFERROR(__xludf.DUMMYFUNCTION("""COMPUTED_VALUE"""),"utm_source=facebook&amp;utm_medium=socialmedia&amp;utm_campaign=&amp;utm_content=&amp;referrer=facebook")</f>
        <v>utm_source=facebook&amp;utm_medium=socialmedia&amp;utm_campaign=&amp;utm_content=&amp;referrer=facebook</v>
      </c>
    </row>
    <row r="304">
      <c r="A304" s="501" t="str">
        <f>IFERROR(__xludf.DUMMYFUNCTION("""COMPUTED_VALUE"""),"juli")</f>
        <v>juli</v>
      </c>
      <c r="B304" s="501">
        <f>IFERROR(__xludf.DUMMYFUNCTION("""COMPUTED_VALUE"""),27.0)</f>
        <v>27</v>
      </c>
      <c r="C304" s="501" t="str">
        <f>IFERROR(__xludf.DUMMYFUNCTION("""COMPUTED_VALUE"""),"zaterdag")</f>
        <v>zaterdag</v>
      </c>
      <c r="D304" s="502">
        <f>IFERROR(__xludf.DUMMYFUNCTION("""COMPUTED_VALUE"""),43652.0)</f>
        <v>43652</v>
      </c>
      <c r="E304" s="502">
        <f>IFERROR(__xludf.DUMMYFUNCTION("""COMPUTED_VALUE"""),43652.0)</f>
        <v>43652</v>
      </c>
      <c r="F304" s="501" t="str">
        <f>IFERROR(__xludf.DUMMYFUNCTION("""COMPUTED_VALUE"""),"")</f>
        <v/>
      </c>
      <c r="G304" s="503" t="str">
        <f>IFERROR(__xludf.DUMMYFUNCTION("""COMPUTED_VALUE"""),"")</f>
        <v/>
      </c>
      <c r="H304" s="501" t="str">
        <f>IFERROR(__xludf.DUMMYFUNCTION("""COMPUTED_VALUE"""),"")</f>
        <v/>
      </c>
      <c r="I304" s="503" t="str">
        <f>IFERROR(__xludf.DUMMYFUNCTION("""COMPUTED_VALUE"""),"")</f>
        <v/>
      </c>
      <c r="J304" s="501" t="str">
        <f>IFERROR(__xludf.DUMMYFUNCTION("""COMPUTED_VALUE"""),"")</f>
        <v/>
      </c>
      <c r="K304" s="503" t="str">
        <f>IFERROR(__xludf.DUMMYFUNCTION("""COMPUTED_VALUE"""),"")</f>
        <v/>
      </c>
      <c r="L304" s="501" t="str">
        <f>IFERROR(__xludf.DUMMYFUNCTION("""COMPUTED_VALUE"""),"")</f>
        <v/>
      </c>
      <c r="M304" s="504">
        <f>IFERROR(__xludf.DUMMYFUNCTION("""COMPUTED_VALUE"""),1.0)</f>
        <v>1</v>
      </c>
      <c r="N304" s="501" t="str">
        <f>IFERROR(__xludf.DUMMYFUNCTION("""COMPUTED_VALUE"""),"")</f>
        <v/>
      </c>
      <c r="O304" s="501" t="str">
        <f>IFERROR(__xludf.DUMMYFUNCTION("""COMPUTED_VALUE"""),"")</f>
        <v/>
      </c>
      <c r="P304" s="503" t="str">
        <f>IFERROR(__xludf.DUMMYFUNCTION("""COMPUTED_VALUE"""),"")</f>
        <v/>
      </c>
      <c r="Q304" s="501" t="str">
        <f>IFERROR(__xludf.DUMMYFUNCTION("""COMPUTED_VALUE"""),"")</f>
        <v/>
      </c>
      <c r="R304" s="501" t="str">
        <f>IFERROR(__xludf.DUMMYFUNCTION("""COMPUTED_VALUE"""),"")</f>
        <v/>
      </c>
      <c r="S304" s="503" t="str">
        <f>IFERROR(__xludf.DUMMYFUNCTION("""COMPUTED_VALUE"""),"")</f>
        <v/>
      </c>
      <c r="T304" s="503" t="str">
        <f>IFERROR(__xludf.DUMMYFUNCTION("""COMPUTED_VALUE"""),"utm_source=facebook&amp;utm_medium=socialmedia&amp;utm_campaign=&amp;utm_content=&amp;referrer=facebook")</f>
        <v>utm_source=facebook&amp;utm_medium=socialmedia&amp;utm_campaign=&amp;utm_content=&amp;referrer=facebook</v>
      </c>
    </row>
    <row r="305">
      <c r="A305" s="501" t="str">
        <f>IFERROR(__xludf.DUMMYFUNCTION("""COMPUTED_VALUE"""),"juli")</f>
        <v>juli</v>
      </c>
      <c r="B305" s="501">
        <f>IFERROR(__xludf.DUMMYFUNCTION("""COMPUTED_VALUE"""),28.0)</f>
        <v>28</v>
      </c>
      <c r="C305" s="501" t="str">
        <f>IFERROR(__xludf.DUMMYFUNCTION("""COMPUTED_VALUE"""),"zondag")</f>
        <v>zondag</v>
      </c>
      <c r="D305" s="502">
        <f>IFERROR(__xludf.DUMMYFUNCTION("""COMPUTED_VALUE"""),43653.0)</f>
        <v>43653</v>
      </c>
      <c r="E305" s="502">
        <f>IFERROR(__xludf.DUMMYFUNCTION("""COMPUTED_VALUE"""),43653.0)</f>
        <v>43653</v>
      </c>
      <c r="F305" s="501" t="str">
        <f>IFERROR(__xludf.DUMMYFUNCTION("""COMPUTED_VALUE"""),"")</f>
        <v/>
      </c>
      <c r="G305" s="503" t="str">
        <f>IFERROR(__xludf.DUMMYFUNCTION("""COMPUTED_VALUE"""),"")</f>
        <v/>
      </c>
      <c r="H305" s="501" t="str">
        <f>IFERROR(__xludf.DUMMYFUNCTION("""COMPUTED_VALUE"""),"")</f>
        <v/>
      </c>
      <c r="I305" s="503" t="str">
        <f>IFERROR(__xludf.DUMMYFUNCTION("""COMPUTED_VALUE"""),"")</f>
        <v/>
      </c>
      <c r="J305" s="501" t="str">
        <f>IFERROR(__xludf.DUMMYFUNCTION("""COMPUTED_VALUE"""),"")</f>
        <v/>
      </c>
      <c r="K305" s="503" t="str">
        <f>IFERROR(__xludf.DUMMYFUNCTION("""COMPUTED_VALUE"""),"")</f>
        <v/>
      </c>
      <c r="L305" s="501" t="str">
        <f>IFERROR(__xludf.DUMMYFUNCTION("""COMPUTED_VALUE"""),"")</f>
        <v/>
      </c>
      <c r="M305" s="504">
        <f>IFERROR(__xludf.DUMMYFUNCTION("""COMPUTED_VALUE"""),1.0)</f>
        <v>1</v>
      </c>
      <c r="N305" s="501" t="str">
        <f>IFERROR(__xludf.DUMMYFUNCTION("""COMPUTED_VALUE"""),"")</f>
        <v/>
      </c>
      <c r="O305" s="501" t="str">
        <f>IFERROR(__xludf.DUMMYFUNCTION("""COMPUTED_VALUE"""),"")</f>
        <v/>
      </c>
      <c r="P305" s="503" t="str">
        <f>IFERROR(__xludf.DUMMYFUNCTION("""COMPUTED_VALUE"""),"")</f>
        <v/>
      </c>
      <c r="Q305" s="501" t="str">
        <f>IFERROR(__xludf.DUMMYFUNCTION("""COMPUTED_VALUE"""),"")</f>
        <v/>
      </c>
      <c r="R305" s="501" t="str">
        <f>IFERROR(__xludf.DUMMYFUNCTION("""COMPUTED_VALUE"""),"")</f>
        <v/>
      </c>
      <c r="S305" s="503" t="str">
        <f>IFERROR(__xludf.DUMMYFUNCTION("""COMPUTED_VALUE"""),"")</f>
        <v/>
      </c>
      <c r="T305" s="503" t="str">
        <f>IFERROR(__xludf.DUMMYFUNCTION("""COMPUTED_VALUE"""),"utm_source=facebook&amp;utm_medium=socialmedia&amp;utm_campaign=&amp;utm_content=&amp;referrer=facebook")</f>
        <v>utm_source=facebook&amp;utm_medium=socialmedia&amp;utm_campaign=&amp;utm_content=&amp;referrer=facebook</v>
      </c>
    </row>
    <row r="306">
      <c r="A306" s="501" t="str">
        <f>IFERROR(__xludf.DUMMYFUNCTION("""COMPUTED_VALUE"""),"juli")</f>
        <v>juli</v>
      </c>
      <c r="B306" s="501">
        <f>IFERROR(__xludf.DUMMYFUNCTION("""COMPUTED_VALUE"""),28.0)</f>
        <v>28</v>
      </c>
      <c r="C306" s="501" t="str">
        <f>IFERROR(__xludf.DUMMYFUNCTION("""COMPUTED_VALUE"""),"maandag")</f>
        <v>maandag</v>
      </c>
      <c r="D306" s="502">
        <f>IFERROR(__xludf.DUMMYFUNCTION("""COMPUTED_VALUE"""),43654.0)</f>
        <v>43654</v>
      </c>
      <c r="E306" s="502">
        <f>IFERROR(__xludf.DUMMYFUNCTION("""COMPUTED_VALUE"""),43654.0)</f>
        <v>43654</v>
      </c>
      <c r="F306" s="501" t="str">
        <f>IFERROR(__xludf.DUMMYFUNCTION("""COMPUTED_VALUE"""),"")</f>
        <v/>
      </c>
      <c r="G306" s="503" t="str">
        <f>IFERROR(__xludf.DUMMYFUNCTION("""COMPUTED_VALUE"""),"")</f>
        <v/>
      </c>
      <c r="H306" s="501" t="str">
        <f>IFERROR(__xludf.DUMMYFUNCTION("""COMPUTED_VALUE"""),"")</f>
        <v/>
      </c>
      <c r="I306" s="503" t="str">
        <f>IFERROR(__xludf.DUMMYFUNCTION("""COMPUTED_VALUE"""),"")</f>
        <v/>
      </c>
      <c r="J306" s="501" t="str">
        <f>IFERROR(__xludf.DUMMYFUNCTION("""COMPUTED_VALUE"""),"")</f>
        <v/>
      </c>
      <c r="K306" s="503" t="str">
        <f>IFERROR(__xludf.DUMMYFUNCTION("""COMPUTED_VALUE"""),"")</f>
        <v/>
      </c>
      <c r="L306" s="501" t="str">
        <f>IFERROR(__xludf.DUMMYFUNCTION("""COMPUTED_VALUE"""),"")</f>
        <v/>
      </c>
      <c r="M306" s="504">
        <f>IFERROR(__xludf.DUMMYFUNCTION("""COMPUTED_VALUE"""),1.0)</f>
        <v>1</v>
      </c>
      <c r="N306" s="501" t="str">
        <f>IFERROR(__xludf.DUMMYFUNCTION("""COMPUTED_VALUE"""),"")</f>
        <v/>
      </c>
      <c r="O306" s="501" t="str">
        <f>IFERROR(__xludf.DUMMYFUNCTION("""COMPUTED_VALUE"""),"")</f>
        <v/>
      </c>
      <c r="P306" s="503" t="str">
        <f>IFERROR(__xludf.DUMMYFUNCTION("""COMPUTED_VALUE"""),"")</f>
        <v/>
      </c>
      <c r="Q306" s="501" t="str">
        <f>IFERROR(__xludf.DUMMYFUNCTION("""COMPUTED_VALUE"""),"")</f>
        <v/>
      </c>
      <c r="R306" s="501" t="str">
        <f>IFERROR(__xludf.DUMMYFUNCTION("""COMPUTED_VALUE"""),"")</f>
        <v/>
      </c>
      <c r="S306" s="503" t="str">
        <f>IFERROR(__xludf.DUMMYFUNCTION("""COMPUTED_VALUE"""),"")</f>
        <v/>
      </c>
      <c r="T306" s="503" t="str">
        <f>IFERROR(__xludf.DUMMYFUNCTION("""COMPUTED_VALUE"""),"utm_source=facebook&amp;utm_medium=socialmedia&amp;utm_campaign=&amp;utm_content=&amp;referrer=facebook")</f>
        <v>utm_source=facebook&amp;utm_medium=socialmedia&amp;utm_campaign=&amp;utm_content=&amp;referrer=facebook</v>
      </c>
    </row>
    <row r="307">
      <c r="A307" s="501" t="str">
        <f>IFERROR(__xludf.DUMMYFUNCTION("""COMPUTED_VALUE"""),"juli")</f>
        <v>juli</v>
      </c>
      <c r="B307" s="501">
        <f>IFERROR(__xludf.DUMMYFUNCTION("""COMPUTED_VALUE"""),28.0)</f>
        <v>28</v>
      </c>
      <c r="C307" s="501" t="str">
        <f>IFERROR(__xludf.DUMMYFUNCTION("""COMPUTED_VALUE"""),"dinsdag")</f>
        <v>dinsdag</v>
      </c>
      <c r="D307" s="502">
        <f>IFERROR(__xludf.DUMMYFUNCTION("""COMPUTED_VALUE"""),43655.0)</f>
        <v>43655</v>
      </c>
      <c r="E307" s="502">
        <f>IFERROR(__xludf.DUMMYFUNCTION("""COMPUTED_VALUE"""),43655.0)</f>
        <v>43655</v>
      </c>
      <c r="F307" s="501" t="str">
        <f>IFERROR(__xludf.DUMMYFUNCTION("""COMPUTED_VALUE"""),"")</f>
        <v/>
      </c>
      <c r="G307" s="503" t="str">
        <f>IFERROR(__xludf.DUMMYFUNCTION("""COMPUTED_VALUE"""),"")</f>
        <v/>
      </c>
      <c r="H307" s="501" t="str">
        <f>IFERROR(__xludf.DUMMYFUNCTION("""COMPUTED_VALUE"""),"")</f>
        <v/>
      </c>
      <c r="I307" s="503" t="str">
        <f>IFERROR(__xludf.DUMMYFUNCTION("""COMPUTED_VALUE"""),"")</f>
        <v/>
      </c>
      <c r="J307" s="501" t="str">
        <f>IFERROR(__xludf.DUMMYFUNCTION("""COMPUTED_VALUE"""),"")</f>
        <v/>
      </c>
      <c r="K307" s="503" t="str">
        <f>IFERROR(__xludf.DUMMYFUNCTION("""COMPUTED_VALUE"""),"")</f>
        <v/>
      </c>
      <c r="L307" s="501" t="str">
        <f>IFERROR(__xludf.DUMMYFUNCTION("""COMPUTED_VALUE"""),"")</f>
        <v/>
      </c>
      <c r="M307" s="504">
        <f>IFERROR(__xludf.DUMMYFUNCTION("""COMPUTED_VALUE"""),1.0)</f>
        <v>1</v>
      </c>
      <c r="N307" s="501" t="str">
        <f>IFERROR(__xludf.DUMMYFUNCTION("""COMPUTED_VALUE"""),"")</f>
        <v/>
      </c>
      <c r="O307" s="501" t="str">
        <f>IFERROR(__xludf.DUMMYFUNCTION("""COMPUTED_VALUE"""),"")</f>
        <v/>
      </c>
      <c r="P307" s="503" t="str">
        <f>IFERROR(__xludf.DUMMYFUNCTION("""COMPUTED_VALUE"""),"")</f>
        <v/>
      </c>
      <c r="Q307" s="501" t="str">
        <f>IFERROR(__xludf.DUMMYFUNCTION("""COMPUTED_VALUE"""),"")</f>
        <v/>
      </c>
      <c r="R307" s="501" t="str">
        <f>IFERROR(__xludf.DUMMYFUNCTION("""COMPUTED_VALUE"""),"")</f>
        <v/>
      </c>
      <c r="S307" s="503" t="str">
        <f>IFERROR(__xludf.DUMMYFUNCTION("""COMPUTED_VALUE"""),"")</f>
        <v/>
      </c>
      <c r="T307" s="503" t="str">
        <f>IFERROR(__xludf.DUMMYFUNCTION("""COMPUTED_VALUE"""),"utm_source=facebook&amp;utm_medium=socialmedia&amp;utm_campaign=&amp;utm_content=&amp;referrer=facebook")</f>
        <v>utm_source=facebook&amp;utm_medium=socialmedia&amp;utm_campaign=&amp;utm_content=&amp;referrer=facebook</v>
      </c>
    </row>
    <row r="308">
      <c r="A308" s="501" t="str">
        <f>IFERROR(__xludf.DUMMYFUNCTION("""COMPUTED_VALUE"""),"juli")</f>
        <v>juli</v>
      </c>
      <c r="B308" s="501">
        <f>IFERROR(__xludf.DUMMYFUNCTION("""COMPUTED_VALUE"""),28.0)</f>
        <v>28</v>
      </c>
      <c r="C308" s="501" t="str">
        <f>IFERROR(__xludf.DUMMYFUNCTION("""COMPUTED_VALUE"""),"woensdag")</f>
        <v>woensdag</v>
      </c>
      <c r="D308" s="502">
        <f>IFERROR(__xludf.DUMMYFUNCTION("""COMPUTED_VALUE"""),43656.0)</f>
        <v>43656</v>
      </c>
      <c r="E308" s="502">
        <f>IFERROR(__xludf.DUMMYFUNCTION("""COMPUTED_VALUE"""),43656.0)</f>
        <v>43656</v>
      </c>
      <c r="F308" s="501" t="str">
        <f>IFERROR(__xludf.DUMMYFUNCTION("""COMPUTED_VALUE"""),"")</f>
        <v/>
      </c>
      <c r="G308" s="503" t="str">
        <f>IFERROR(__xludf.DUMMYFUNCTION("""COMPUTED_VALUE"""),"")</f>
        <v/>
      </c>
      <c r="H308" s="501" t="str">
        <f>IFERROR(__xludf.DUMMYFUNCTION("""COMPUTED_VALUE"""),"")</f>
        <v/>
      </c>
      <c r="I308" s="503" t="str">
        <f>IFERROR(__xludf.DUMMYFUNCTION("""COMPUTED_VALUE"""),"")</f>
        <v/>
      </c>
      <c r="J308" s="501" t="str">
        <f>IFERROR(__xludf.DUMMYFUNCTION("""COMPUTED_VALUE"""),"")</f>
        <v/>
      </c>
      <c r="K308" s="503" t="str">
        <f>IFERROR(__xludf.DUMMYFUNCTION("""COMPUTED_VALUE"""),"")</f>
        <v/>
      </c>
      <c r="L308" s="501" t="str">
        <f>IFERROR(__xludf.DUMMYFUNCTION("""COMPUTED_VALUE"""),"")</f>
        <v/>
      </c>
      <c r="M308" s="504">
        <f>IFERROR(__xludf.DUMMYFUNCTION("""COMPUTED_VALUE"""),1.0)</f>
        <v>1</v>
      </c>
      <c r="N308" s="501" t="str">
        <f>IFERROR(__xludf.DUMMYFUNCTION("""COMPUTED_VALUE"""),"")</f>
        <v/>
      </c>
      <c r="O308" s="501" t="str">
        <f>IFERROR(__xludf.DUMMYFUNCTION("""COMPUTED_VALUE"""),"")</f>
        <v/>
      </c>
      <c r="P308" s="503" t="str">
        <f>IFERROR(__xludf.DUMMYFUNCTION("""COMPUTED_VALUE"""),"")</f>
        <v/>
      </c>
      <c r="Q308" s="501" t="str">
        <f>IFERROR(__xludf.DUMMYFUNCTION("""COMPUTED_VALUE"""),"")</f>
        <v/>
      </c>
      <c r="R308" s="501" t="str">
        <f>IFERROR(__xludf.DUMMYFUNCTION("""COMPUTED_VALUE"""),"")</f>
        <v/>
      </c>
      <c r="S308" s="503" t="str">
        <f>IFERROR(__xludf.DUMMYFUNCTION("""COMPUTED_VALUE"""),"")</f>
        <v/>
      </c>
      <c r="T308" s="503" t="str">
        <f>IFERROR(__xludf.DUMMYFUNCTION("""COMPUTED_VALUE"""),"utm_source=facebook&amp;utm_medium=socialmedia&amp;utm_campaign=&amp;utm_content=&amp;referrer=facebook")</f>
        <v>utm_source=facebook&amp;utm_medium=socialmedia&amp;utm_campaign=&amp;utm_content=&amp;referrer=facebook</v>
      </c>
    </row>
    <row r="309">
      <c r="A309" s="501" t="str">
        <f>IFERROR(__xludf.DUMMYFUNCTION("""COMPUTED_VALUE"""),"juli")</f>
        <v>juli</v>
      </c>
      <c r="B309" s="501">
        <f>IFERROR(__xludf.DUMMYFUNCTION("""COMPUTED_VALUE"""),28.0)</f>
        <v>28</v>
      </c>
      <c r="C309" s="501" t="str">
        <f>IFERROR(__xludf.DUMMYFUNCTION("""COMPUTED_VALUE"""),"donderdag")</f>
        <v>donderdag</v>
      </c>
      <c r="D309" s="502">
        <f>IFERROR(__xludf.DUMMYFUNCTION("""COMPUTED_VALUE"""),43657.0)</f>
        <v>43657</v>
      </c>
      <c r="E309" s="502">
        <f>IFERROR(__xludf.DUMMYFUNCTION("""COMPUTED_VALUE"""),43657.0)</f>
        <v>43657</v>
      </c>
      <c r="F309" s="501" t="str">
        <f>IFERROR(__xludf.DUMMYFUNCTION("""COMPUTED_VALUE"""),"")</f>
        <v/>
      </c>
      <c r="G309" s="503" t="str">
        <f>IFERROR(__xludf.DUMMYFUNCTION("""COMPUTED_VALUE"""),"")</f>
        <v/>
      </c>
      <c r="H309" s="501" t="str">
        <f>IFERROR(__xludf.DUMMYFUNCTION("""COMPUTED_VALUE"""),"")</f>
        <v/>
      </c>
      <c r="I309" s="503" t="str">
        <f>IFERROR(__xludf.DUMMYFUNCTION("""COMPUTED_VALUE"""),"")</f>
        <v/>
      </c>
      <c r="J309" s="501" t="str">
        <f>IFERROR(__xludf.DUMMYFUNCTION("""COMPUTED_VALUE"""),"")</f>
        <v/>
      </c>
      <c r="K309" s="503" t="str">
        <f>IFERROR(__xludf.DUMMYFUNCTION("""COMPUTED_VALUE"""),"")</f>
        <v/>
      </c>
      <c r="L309" s="501" t="str">
        <f>IFERROR(__xludf.DUMMYFUNCTION("""COMPUTED_VALUE"""),"")</f>
        <v/>
      </c>
      <c r="M309" s="504">
        <f>IFERROR(__xludf.DUMMYFUNCTION("""COMPUTED_VALUE"""),1.0)</f>
        <v>1</v>
      </c>
      <c r="N309" s="501" t="str">
        <f>IFERROR(__xludf.DUMMYFUNCTION("""COMPUTED_VALUE"""),"")</f>
        <v/>
      </c>
      <c r="O309" s="501" t="str">
        <f>IFERROR(__xludf.DUMMYFUNCTION("""COMPUTED_VALUE"""),"")</f>
        <v/>
      </c>
      <c r="P309" s="503" t="str">
        <f>IFERROR(__xludf.DUMMYFUNCTION("""COMPUTED_VALUE"""),"")</f>
        <v/>
      </c>
      <c r="Q309" s="501" t="str">
        <f>IFERROR(__xludf.DUMMYFUNCTION("""COMPUTED_VALUE"""),"")</f>
        <v/>
      </c>
      <c r="R309" s="501" t="str">
        <f>IFERROR(__xludf.DUMMYFUNCTION("""COMPUTED_VALUE"""),"")</f>
        <v/>
      </c>
      <c r="S309" s="503" t="str">
        <f>IFERROR(__xludf.DUMMYFUNCTION("""COMPUTED_VALUE"""),"")</f>
        <v/>
      </c>
      <c r="T309" s="503" t="str">
        <f>IFERROR(__xludf.DUMMYFUNCTION("""COMPUTED_VALUE"""),"utm_source=facebook&amp;utm_medium=socialmedia&amp;utm_campaign=&amp;utm_content=&amp;referrer=facebook")</f>
        <v>utm_source=facebook&amp;utm_medium=socialmedia&amp;utm_campaign=&amp;utm_content=&amp;referrer=facebook</v>
      </c>
    </row>
    <row r="310">
      <c r="A310" s="501" t="str">
        <f>IFERROR(__xludf.DUMMYFUNCTION("""COMPUTED_VALUE"""),"juli")</f>
        <v>juli</v>
      </c>
      <c r="B310" s="501">
        <f>IFERROR(__xludf.DUMMYFUNCTION("""COMPUTED_VALUE"""),28.0)</f>
        <v>28</v>
      </c>
      <c r="C310" s="501" t="str">
        <f>IFERROR(__xludf.DUMMYFUNCTION("""COMPUTED_VALUE"""),"vrijdag")</f>
        <v>vrijdag</v>
      </c>
      <c r="D310" s="502">
        <f>IFERROR(__xludf.DUMMYFUNCTION("""COMPUTED_VALUE"""),43658.0)</f>
        <v>43658</v>
      </c>
      <c r="E310" s="502">
        <f>IFERROR(__xludf.DUMMYFUNCTION("""COMPUTED_VALUE"""),43658.0)</f>
        <v>43658</v>
      </c>
      <c r="F310" s="501" t="str">
        <f>IFERROR(__xludf.DUMMYFUNCTION("""COMPUTED_VALUE"""),"")</f>
        <v/>
      </c>
      <c r="G310" s="503" t="str">
        <f>IFERROR(__xludf.DUMMYFUNCTION("""COMPUTED_VALUE"""),"")</f>
        <v/>
      </c>
      <c r="H310" s="501" t="str">
        <f>IFERROR(__xludf.DUMMYFUNCTION("""COMPUTED_VALUE"""),"")</f>
        <v/>
      </c>
      <c r="I310" s="503" t="str">
        <f>IFERROR(__xludf.DUMMYFUNCTION("""COMPUTED_VALUE"""),"")</f>
        <v/>
      </c>
      <c r="J310" s="501" t="str">
        <f>IFERROR(__xludf.DUMMYFUNCTION("""COMPUTED_VALUE"""),"")</f>
        <v/>
      </c>
      <c r="K310" s="503" t="str">
        <f>IFERROR(__xludf.DUMMYFUNCTION("""COMPUTED_VALUE"""),"")</f>
        <v/>
      </c>
      <c r="L310" s="501" t="str">
        <f>IFERROR(__xludf.DUMMYFUNCTION("""COMPUTED_VALUE"""),"")</f>
        <v/>
      </c>
      <c r="M310" s="504">
        <f>IFERROR(__xludf.DUMMYFUNCTION("""COMPUTED_VALUE"""),1.0)</f>
        <v>1</v>
      </c>
      <c r="N310" s="501" t="str">
        <f>IFERROR(__xludf.DUMMYFUNCTION("""COMPUTED_VALUE"""),"")</f>
        <v/>
      </c>
      <c r="O310" s="501" t="str">
        <f>IFERROR(__xludf.DUMMYFUNCTION("""COMPUTED_VALUE"""),"")</f>
        <v/>
      </c>
      <c r="P310" s="503" t="str">
        <f>IFERROR(__xludf.DUMMYFUNCTION("""COMPUTED_VALUE"""),"")</f>
        <v/>
      </c>
      <c r="Q310" s="501" t="str">
        <f>IFERROR(__xludf.DUMMYFUNCTION("""COMPUTED_VALUE"""),"")</f>
        <v/>
      </c>
      <c r="R310" s="501" t="str">
        <f>IFERROR(__xludf.DUMMYFUNCTION("""COMPUTED_VALUE"""),"")</f>
        <v/>
      </c>
      <c r="S310" s="503" t="str">
        <f>IFERROR(__xludf.DUMMYFUNCTION("""COMPUTED_VALUE"""),"")</f>
        <v/>
      </c>
      <c r="T310" s="503" t="str">
        <f>IFERROR(__xludf.DUMMYFUNCTION("""COMPUTED_VALUE"""),"utm_source=facebook&amp;utm_medium=socialmedia&amp;utm_campaign=&amp;utm_content=&amp;referrer=facebook")</f>
        <v>utm_source=facebook&amp;utm_medium=socialmedia&amp;utm_campaign=&amp;utm_content=&amp;referrer=facebook</v>
      </c>
    </row>
    <row r="311">
      <c r="A311" s="501" t="str">
        <f>IFERROR(__xludf.DUMMYFUNCTION("""COMPUTED_VALUE"""),"juli")</f>
        <v>juli</v>
      </c>
      <c r="B311" s="501">
        <f>IFERROR(__xludf.DUMMYFUNCTION("""COMPUTED_VALUE"""),28.0)</f>
        <v>28</v>
      </c>
      <c r="C311" s="501" t="str">
        <f>IFERROR(__xludf.DUMMYFUNCTION("""COMPUTED_VALUE"""),"zaterdag")</f>
        <v>zaterdag</v>
      </c>
      <c r="D311" s="502">
        <f>IFERROR(__xludf.DUMMYFUNCTION("""COMPUTED_VALUE"""),43659.0)</f>
        <v>43659</v>
      </c>
      <c r="E311" s="502">
        <f>IFERROR(__xludf.DUMMYFUNCTION("""COMPUTED_VALUE"""),43659.0)</f>
        <v>43659</v>
      </c>
      <c r="F311" s="501" t="str">
        <f>IFERROR(__xludf.DUMMYFUNCTION("""COMPUTED_VALUE"""),"")</f>
        <v/>
      </c>
      <c r="G311" s="503" t="str">
        <f>IFERROR(__xludf.DUMMYFUNCTION("""COMPUTED_VALUE"""),"")</f>
        <v/>
      </c>
      <c r="H311" s="501" t="str">
        <f>IFERROR(__xludf.DUMMYFUNCTION("""COMPUTED_VALUE"""),"")</f>
        <v/>
      </c>
      <c r="I311" s="503" t="str">
        <f>IFERROR(__xludf.DUMMYFUNCTION("""COMPUTED_VALUE"""),"")</f>
        <v/>
      </c>
      <c r="J311" s="501" t="str">
        <f>IFERROR(__xludf.DUMMYFUNCTION("""COMPUTED_VALUE"""),"")</f>
        <v/>
      </c>
      <c r="K311" s="503" t="str">
        <f>IFERROR(__xludf.DUMMYFUNCTION("""COMPUTED_VALUE"""),"")</f>
        <v/>
      </c>
      <c r="L311" s="501" t="str">
        <f>IFERROR(__xludf.DUMMYFUNCTION("""COMPUTED_VALUE"""),"")</f>
        <v/>
      </c>
      <c r="M311" s="504">
        <f>IFERROR(__xludf.DUMMYFUNCTION("""COMPUTED_VALUE"""),1.0)</f>
        <v>1</v>
      </c>
      <c r="N311" s="501" t="str">
        <f>IFERROR(__xludf.DUMMYFUNCTION("""COMPUTED_VALUE"""),"")</f>
        <v/>
      </c>
      <c r="O311" s="501" t="str">
        <f>IFERROR(__xludf.DUMMYFUNCTION("""COMPUTED_VALUE"""),"")</f>
        <v/>
      </c>
      <c r="P311" s="503" t="str">
        <f>IFERROR(__xludf.DUMMYFUNCTION("""COMPUTED_VALUE"""),"")</f>
        <v/>
      </c>
      <c r="Q311" s="501" t="str">
        <f>IFERROR(__xludf.DUMMYFUNCTION("""COMPUTED_VALUE"""),"")</f>
        <v/>
      </c>
      <c r="R311" s="501" t="str">
        <f>IFERROR(__xludf.DUMMYFUNCTION("""COMPUTED_VALUE"""),"")</f>
        <v/>
      </c>
      <c r="S311" s="503" t="str">
        <f>IFERROR(__xludf.DUMMYFUNCTION("""COMPUTED_VALUE"""),"")</f>
        <v/>
      </c>
      <c r="T311" s="503" t="str">
        <f>IFERROR(__xludf.DUMMYFUNCTION("""COMPUTED_VALUE"""),"utm_source=facebook&amp;utm_medium=socialmedia&amp;utm_campaign=&amp;utm_content=&amp;referrer=facebook")</f>
        <v>utm_source=facebook&amp;utm_medium=socialmedia&amp;utm_campaign=&amp;utm_content=&amp;referrer=facebook</v>
      </c>
    </row>
    <row r="312">
      <c r="A312" s="501" t="str">
        <f>IFERROR(__xludf.DUMMYFUNCTION("""COMPUTED_VALUE"""),"juli")</f>
        <v>juli</v>
      </c>
      <c r="B312" s="501">
        <f>IFERROR(__xludf.DUMMYFUNCTION("""COMPUTED_VALUE"""),29.0)</f>
        <v>29</v>
      </c>
      <c r="C312" s="501" t="str">
        <f>IFERROR(__xludf.DUMMYFUNCTION("""COMPUTED_VALUE"""),"zondag")</f>
        <v>zondag</v>
      </c>
      <c r="D312" s="502">
        <f>IFERROR(__xludf.DUMMYFUNCTION("""COMPUTED_VALUE"""),43660.0)</f>
        <v>43660</v>
      </c>
      <c r="E312" s="502">
        <f>IFERROR(__xludf.DUMMYFUNCTION("""COMPUTED_VALUE"""),43660.0)</f>
        <v>43660</v>
      </c>
      <c r="F312" s="501" t="str">
        <f>IFERROR(__xludf.DUMMYFUNCTION("""COMPUTED_VALUE"""),"")</f>
        <v/>
      </c>
      <c r="G312" s="503" t="str">
        <f>IFERROR(__xludf.DUMMYFUNCTION("""COMPUTED_VALUE"""),"")</f>
        <v/>
      </c>
      <c r="H312" s="501" t="str">
        <f>IFERROR(__xludf.DUMMYFUNCTION("""COMPUTED_VALUE"""),"")</f>
        <v/>
      </c>
      <c r="I312" s="503" t="str">
        <f>IFERROR(__xludf.DUMMYFUNCTION("""COMPUTED_VALUE"""),"")</f>
        <v/>
      </c>
      <c r="J312" s="501" t="str">
        <f>IFERROR(__xludf.DUMMYFUNCTION("""COMPUTED_VALUE"""),"")</f>
        <v/>
      </c>
      <c r="K312" s="503" t="str">
        <f>IFERROR(__xludf.DUMMYFUNCTION("""COMPUTED_VALUE"""),"")</f>
        <v/>
      </c>
      <c r="L312" s="501" t="str">
        <f>IFERROR(__xludf.DUMMYFUNCTION("""COMPUTED_VALUE"""),"")</f>
        <v/>
      </c>
      <c r="M312" s="504">
        <f>IFERROR(__xludf.DUMMYFUNCTION("""COMPUTED_VALUE"""),1.0)</f>
        <v>1</v>
      </c>
      <c r="N312" s="501" t="str">
        <f>IFERROR(__xludf.DUMMYFUNCTION("""COMPUTED_VALUE"""),"")</f>
        <v/>
      </c>
      <c r="O312" s="501" t="str">
        <f>IFERROR(__xludf.DUMMYFUNCTION("""COMPUTED_VALUE"""),"")</f>
        <v/>
      </c>
      <c r="P312" s="503" t="str">
        <f>IFERROR(__xludf.DUMMYFUNCTION("""COMPUTED_VALUE"""),"")</f>
        <v/>
      </c>
      <c r="Q312" s="501" t="str">
        <f>IFERROR(__xludf.DUMMYFUNCTION("""COMPUTED_VALUE"""),"")</f>
        <v/>
      </c>
      <c r="R312" s="501" t="str">
        <f>IFERROR(__xludf.DUMMYFUNCTION("""COMPUTED_VALUE"""),"")</f>
        <v/>
      </c>
      <c r="S312" s="503" t="str">
        <f>IFERROR(__xludf.DUMMYFUNCTION("""COMPUTED_VALUE"""),"")</f>
        <v/>
      </c>
      <c r="T312" s="503" t="str">
        <f>IFERROR(__xludf.DUMMYFUNCTION("""COMPUTED_VALUE"""),"utm_source=facebook&amp;utm_medium=socialmedia&amp;utm_campaign=&amp;utm_content=&amp;referrer=facebook")</f>
        <v>utm_source=facebook&amp;utm_medium=socialmedia&amp;utm_campaign=&amp;utm_content=&amp;referrer=facebook</v>
      </c>
    </row>
    <row r="313">
      <c r="A313" s="501" t="str">
        <f>IFERROR(__xludf.DUMMYFUNCTION("""COMPUTED_VALUE"""),"juli")</f>
        <v>juli</v>
      </c>
      <c r="B313" s="501">
        <f>IFERROR(__xludf.DUMMYFUNCTION("""COMPUTED_VALUE"""),29.0)</f>
        <v>29</v>
      </c>
      <c r="C313" s="501" t="str">
        <f>IFERROR(__xludf.DUMMYFUNCTION("""COMPUTED_VALUE"""),"maandag")</f>
        <v>maandag</v>
      </c>
      <c r="D313" s="502">
        <f>IFERROR(__xludf.DUMMYFUNCTION("""COMPUTED_VALUE"""),43661.0)</f>
        <v>43661</v>
      </c>
      <c r="E313" s="502">
        <f>IFERROR(__xludf.DUMMYFUNCTION("""COMPUTED_VALUE"""),43661.0)</f>
        <v>43661</v>
      </c>
      <c r="F313" s="501" t="str">
        <f>IFERROR(__xludf.DUMMYFUNCTION("""COMPUTED_VALUE"""),"")</f>
        <v/>
      </c>
      <c r="G313" s="503" t="str">
        <f>IFERROR(__xludf.DUMMYFUNCTION("""COMPUTED_VALUE"""),"")</f>
        <v/>
      </c>
      <c r="H313" s="501" t="str">
        <f>IFERROR(__xludf.DUMMYFUNCTION("""COMPUTED_VALUE"""),"")</f>
        <v/>
      </c>
      <c r="I313" s="503" t="str">
        <f>IFERROR(__xludf.DUMMYFUNCTION("""COMPUTED_VALUE"""),"")</f>
        <v/>
      </c>
      <c r="J313" s="501" t="str">
        <f>IFERROR(__xludf.DUMMYFUNCTION("""COMPUTED_VALUE"""),"")</f>
        <v/>
      </c>
      <c r="K313" s="503" t="str">
        <f>IFERROR(__xludf.DUMMYFUNCTION("""COMPUTED_VALUE"""),"")</f>
        <v/>
      </c>
      <c r="L313" s="501" t="str">
        <f>IFERROR(__xludf.DUMMYFUNCTION("""COMPUTED_VALUE"""),"")</f>
        <v/>
      </c>
      <c r="M313" s="504">
        <f>IFERROR(__xludf.DUMMYFUNCTION("""COMPUTED_VALUE"""),1.0)</f>
        <v>1</v>
      </c>
      <c r="N313" s="501" t="str">
        <f>IFERROR(__xludf.DUMMYFUNCTION("""COMPUTED_VALUE"""),"")</f>
        <v/>
      </c>
      <c r="O313" s="501" t="str">
        <f>IFERROR(__xludf.DUMMYFUNCTION("""COMPUTED_VALUE"""),"")</f>
        <v/>
      </c>
      <c r="P313" s="503" t="str">
        <f>IFERROR(__xludf.DUMMYFUNCTION("""COMPUTED_VALUE"""),"")</f>
        <v/>
      </c>
      <c r="Q313" s="501" t="str">
        <f>IFERROR(__xludf.DUMMYFUNCTION("""COMPUTED_VALUE"""),"")</f>
        <v/>
      </c>
      <c r="R313" s="501" t="str">
        <f>IFERROR(__xludf.DUMMYFUNCTION("""COMPUTED_VALUE"""),"")</f>
        <v/>
      </c>
      <c r="S313" s="503" t="str">
        <f>IFERROR(__xludf.DUMMYFUNCTION("""COMPUTED_VALUE"""),"")</f>
        <v/>
      </c>
      <c r="T313" s="503" t="str">
        <f>IFERROR(__xludf.DUMMYFUNCTION("""COMPUTED_VALUE"""),"utm_source=facebook&amp;utm_medium=socialmedia&amp;utm_campaign=&amp;utm_content=&amp;referrer=facebook")</f>
        <v>utm_source=facebook&amp;utm_medium=socialmedia&amp;utm_campaign=&amp;utm_content=&amp;referrer=facebook</v>
      </c>
    </row>
    <row r="314">
      <c r="A314" s="501" t="str">
        <f>IFERROR(__xludf.DUMMYFUNCTION("""COMPUTED_VALUE"""),"juli")</f>
        <v>juli</v>
      </c>
      <c r="B314" s="501">
        <f>IFERROR(__xludf.DUMMYFUNCTION("""COMPUTED_VALUE"""),29.0)</f>
        <v>29</v>
      </c>
      <c r="C314" s="501" t="str">
        <f>IFERROR(__xludf.DUMMYFUNCTION("""COMPUTED_VALUE"""),"dinsdag")</f>
        <v>dinsdag</v>
      </c>
      <c r="D314" s="502">
        <f>IFERROR(__xludf.DUMMYFUNCTION("""COMPUTED_VALUE"""),43662.0)</f>
        <v>43662</v>
      </c>
      <c r="E314" s="502">
        <f>IFERROR(__xludf.DUMMYFUNCTION("""COMPUTED_VALUE"""),43662.0)</f>
        <v>43662</v>
      </c>
      <c r="F314" s="501" t="str">
        <f>IFERROR(__xludf.DUMMYFUNCTION("""COMPUTED_VALUE"""),"")</f>
        <v/>
      </c>
      <c r="G314" s="503" t="str">
        <f>IFERROR(__xludf.DUMMYFUNCTION("""COMPUTED_VALUE"""),"")</f>
        <v/>
      </c>
      <c r="H314" s="501" t="str">
        <f>IFERROR(__xludf.DUMMYFUNCTION("""COMPUTED_VALUE"""),"")</f>
        <v/>
      </c>
      <c r="I314" s="503" t="str">
        <f>IFERROR(__xludf.DUMMYFUNCTION("""COMPUTED_VALUE"""),"")</f>
        <v/>
      </c>
      <c r="J314" s="501" t="str">
        <f>IFERROR(__xludf.DUMMYFUNCTION("""COMPUTED_VALUE"""),"")</f>
        <v/>
      </c>
      <c r="K314" s="503" t="str">
        <f>IFERROR(__xludf.DUMMYFUNCTION("""COMPUTED_VALUE"""),"")</f>
        <v/>
      </c>
      <c r="L314" s="501" t="str">
        <f>IFERROR(__xludf.DUMMYFUNCTION("""COMPUTED_VALUE"""),"")</f>
        <v/>
      </c>
      <c r="M314" s="504">
        <f>IFERROR(__xludf.DUMMYFUNCTION("""COMPUTED_VALUE"""),1.0)</f>
        <v>1</v>
      </c>
      <c r="N314" s="501" t="str">
        <f>IFERROR(__xludf.DUMMYFUNCTION("""COMPUTED_VALUE"""),"")</f>
        <v/>
      </c>
      <c r="O314" s="501" t="str">
        <f>IFERROR(__xludf.DUMMYFUNCTION("""COMPUTED_VALUE"""),"")</f>
        <v/>
      </c>
      <c r="P314" s="503" t="str">
        <f>IFERROR(__xludf.DUMMYFUNCTION("""COMPUTED_VALUE"""),"")</f>
        <v/>
      </c>
      <c r="Q314" s="501" t="str">
        <f>IFERROR(__xludf.DUMMYFUNCTION("""COMPUTED_VALUE"""),"")</f>
        <v/>
      </c>
      <c r="R314" s="501" t="str">
        <f>IFERROR(__xludf.DUMMYFUNCTION("""COMPUTED_VALUE"""),"")</f>
        <v/>
      </c>
      <c r="S314" s="503" t="str">
        <f>IFERROR(__xludf.DUMMYFUNCTION("""COMPUTED_VALUE"""),"")</f>
        <v/>
      </c>
      <c r="T314" s="503" t="str">
        <f>IFERROR(__xludf.DUMMYFUNCTION("""COMPUTED_VALUE"""),"utm_source=facebook&amp;utm_medium=socialmedia&amp;utm_campaign=&amp;utm_content=&amp;referrer=facebook")</f>
        <v>utm_source=facebook&amp;utm_medium=socialmedia&amp;utm_campaign=&amp;utm_content=&amp;referrer=facebook</v>
      </c>
    </row>
    <row r="315">
      <c r="A315" s="501" t="str">
        <f>IFERROR(__xludf.DUMMYFUNCTION("""COMPUTED_VALUE"""),"juli")</f>
        <v>juli</v>
      </c>
      <c r="B315" s="501">
        <f>IFERROR(__xludf.DUMMYFUNCTION("""COMPUTED_VALUE"""),29.0)</f>
        <v>29</v>
      </c>
      <c r="C315" s="501" t="str">
        <f>IFERROR(__xludf.DUMMYFUNCTION("""COMPUTED_VALUE"""),"woensdag")</f>
        <v>woensdag</v>
      </c>
      <c r="D315" s="502">
        <f>IFERROR(__xludf.DUMMYFUNCTION("""COMPUTED_VALUE"""),43663.0)</f>
        <v>43663</v>
      </c>
      <c r="E315" s="502">
        <f>IFERROR(__xludf.DUMMYFUNCTION("""COMPUTED_VALUE"""),43663.0)</f>
        <v>43663</v>
      </c>
      <c r="F315" s="501" t="str">
        <f>IFERROR(__xludf.DUMMYFUNCTION("""COMPUTED_VALUE"""),"")</f>
        <v/>
      </c>
      <c r="G315" s="503" t="str">
        <f>IFERROR(__xludf.DUMMYFUNCTION("""COMPUTED_VALUE"""),"")</f>
        <v/>
      </c>
      <c r="H315" s="501" t="str">
        <f>IFERROR(__xludf.DUMMYFUNCTION("""COMPUTED_VALUE"""),"")</f>
        <v/>
      </c>
      <c r="I315" s="503" t="str">
        <f>IFERROR(__xludf.DUMMYFUNCTION("""COMPUTED_VALUE"""),"")</f>
        <v/>
      </c>
      <c r="J315" s="501" t="str">
        <f>IFERROR(__xludf.DUMMYFUNCTION("""COMPUTED_VALUE"""),"")</f>
        <v/>
      </c>
      <c r="K315" s="503" t="str">
        <f>IFERROR(__xludf.DUMMYFUNCTION("""COMPUTED_VALUE"""),"")</f>
        <v/>
      </c>
      <c r="L315" s="501" t="str">
        <f>IFERROR(__xludf.DUMMYFUNCTION("""COMPUTED_VALUE"""),"")</f>
        <v/>
      </c>
      <c r="M315" s="504">
        <f>IFERROR(__xludf.DUMMYFUNCTION("""COMPUTED_VALUE"""),1.0)</f>
        <v>1</v>
      </c>
      <c r="N315" s="501" t="str">
        <f>IFERROR(__xludf.DUMMYFUNCTION("""COMPUTED_VALUE"""),"")</f>
        <v/>
      </c>
      <c r="O315" s="501" t="str">
        <f>IFERROR(__xludf.DUMMYFUNCTION("""COMPUTED_VALUE"""),"")</f>
        <v/>
      </c>
      <c r="P315" s="503" t="str">
        <f>IFERROR(__xludf.DUMMYFUNCTION("""COMPUTED_VALUE"""),"")</f>
        <v/>
      </c>
      <c r="Q315" s="501" t="str">
        <f>IFERROR(__xludf.DUMMYFUNCTION("""COMPUTED_VALUE"""),"")</f>
        <v/>
      </c>
      <c r="R315" s="501" t="str">
        <f>IFERROR(__xludf.DUMMYFUNCTION("""COMPUTED_VALUE"""),"")</f>
        <v/>
      </c>
      <c r="S315" s="503" t="str">
        <f>IFERROR(__xludf.DUMMYFUNCTION("""COMPUTED_VALUE"""),"")</f>
        <v/>
      </c>
      <c r="T315" s="503" t="str">
        <f>IFERROR(__xludf.DUMMYFUNCTION("""COMPUTED_VALUE"""),"utm_source=facebook&amp;utm_medium=socialmedia&amp;utm_campaign=&amp;utm_content=&amp;referrer=facebook")</f>
        <v>utm_source=facebook&amp;utm_medium=socialmedia&amp;utm_campaign=&amp;utm_content=&amp;referrer=facebook</v>
      </c>
    </row>
    <row r="316">
      <c r="A316" s="501" t="str">
        <f>IFERROR(__xludf.DUMMYFUNCTION("""COMPUTED_VALUE"""),"juli")</f>
        <v>juli</v>
      </c>
      <c r="B316" s="501">
        <f>IFERROR(__xludf.DUMMYFUNCTION("""COMPUTED_VALUE"""),29.0)</f>
        <v>29</v>
      </c>
      <c r="C316" s="501" t="str">
        <f>IFERROR(__xludf.DUMMYFUNCTION("""COMPUTED_VALUE"""),"donderdag")</f>
        <v>donderdag</v>
      </c>
      <c r="D316" s="502">
        <f>IFERROR(__xludf.DUMMYFUNCTION("""COMPUTED_VALUE"""),43664.0)</f>
        <v>43664</v>
      </c>
      <c r="E316" s="502">
        <f>IFERROR(__xludf.DUMMYFUNCTION("""COMPUTED_VALUE"""),43664.0)</f>
        <v>43664</v>
      </c>
      <c r="F316" s="501" t="str">
        <f>IFERROR(__xludf.DUMMYFUNCTION("""COMPUTED_VALUE"""),"")</f>
        <v/>
      </c>
      <c r="G316" s="503" t="str">
        <f>IFERROR(__xludf.DUMMYFUNCTION("""COMPUTED_VALUE"""),"")</f>
        <v/>
      </c>
      <c r="H316" s="501" t="str">
        <f>IFERROR(__xludf.DUMMYFUNCTION("""COMPUTED_VALUE"""),"")</f>
        <v/>
      </c>
      <c r="I316" s="503" t="str">
        <f>IFERROR(__xludf.DUMMYFUNCTION("""COMPUTED_VALUE"""),"")</f>
        <v/>
      </c>
      <c r="J316" s="501" t="str">
        <f>IFERROR(__xludf.DUMMYFUNCTION("""COMPUTED_VALUE"""),"")</f>
        <v/>
      </c>
      <c r="K316" s="503" t="str">
        <f>IFERROR(__xludf.DUMMYFUNCTION("""COMPUTED_VALUE"""),"")</f>
        <v/>
      </c>
      <c r="L316" s="501" t="str">
        <f>IFERROR(__xludf.DUMMYFUNCTION("""COMPUTED_VALUE"""),"")</f>
        <v/>
      </c>
      <c r="M316" s="504">
        <f>IFERROR(__xludf.DUMMYFUNCTION("""COMPUTED_VALUE"""),1.0)</f>
        <v>1</v>
      </c>
      <c r="N316" s="501" t="str">
        <f>IFERROR(__xludf.DUMMYFUNCTION("""COMPUTED_VALUE"""),"")</f>
        <v/>
      </c>
      <c r="O316" s="501" t="str">
        <f>IFERROR(__xludf.DUMMYFUNCTION("""COMPUTED_VALUE"""),"")</f>
        <v/>
      </c>
      <c r="P316" s="503" t="str">
        <f>IFERROR(__xludf.DUMMYFUNCTION("""COMPUTED_VALUE"""),"")</f>
        <v/>
      </c>
      <c r="Q316" s="501" t="str">
        <f>IFERROR(__xludf.DUMMYFUNCTION("""COMPUTED_VALUE"""),"")</f>
        <v/>
      </c>
      <c r="R316" s="501" t="str">
        <f>IFERROR(__xludf.DUMMYFUNCTION("""COMPUTED_VALUE"""),"")</f>
        <v/>
      </c>
      <c r="S316" s="503" t="str">
        <f>IFERROR(__xludf.DUMMYFUNCTION("""COMPUTED_VALUE"""),"")</f>
        <v/>
      </c>
      <c r="T316" s="503" t="str">
        <f>IFERROR(__xludf.DUMMYFUNCTION("""COMPUTED_VALUE"""),"utm_source=facebook&amp;utm_medium=socialmedia&amp;utm_campaign=&amp;utm_content=&amp;referrer=facebook")</f>
        <v>utm_source=facebook&amp;utm_medium=socialmedia&amp;utm_campaign=&amp;utm_content=&amp;referrer=facebook</v>
      </c>
    </row>
    <row r="317">
      <c r="A317" s="501" t="str">
        <f>IFERROR(__xludf.DUMMYFUNCTION("""COMPUTED_VALUE"""),"juli")</f>
        <v>juli</v>
      </c>
      <c r="B317" s="501">
        <f>IFERROR(__xludf.DUMMYFUNCTION("""COMPUTED_VALUE"""),29.0)</f>
        <v>29</v>
      </c>
      <c r="C317" s="501" t="str">
        <f>IFERROR(__xludf.DUMMYFUNCTION("""COMPUTED_VALUE"""),"vrijdag")</f>
        <v>vrijdag</v>
      </c>
      <c r="D317" s="502">
        <f>IFERROR(__xludf.DUMMYFUNCTION("""COMPUTED_VALUE"""),43665.0)</f>
        <v>43665</v>
      </c>
      <c r="E317" s="502">
        <f>IFERROR(__xludf.DUMMYFUNCTION("""COMPUTED_VALUE"""),43665.0)</f>
        <v>43665</v>
      </c>
      <c r="F317" s="501" t="str">
        <f>IFERROR(__xludf.DUMMYFUNCTION("""COMPUTED_VALUE"""),"")</f>
        <v/>
      </c>
      <c r="G317" s="503" t="str">
        <f>IFERROR(__xludf.DUMMYFUNCTION("""COMPUTED_VALUE"""),"")</f>
        <v/>
      </c>
      <c r="H317" s="501" t="str">
        <f>IFERROR(__xludf.DUMMYFUNCTION("""COMPUTED_VALUE"""),"")</f>
        <v/>
      </c>
      <c r="I317" s="503" t="str">
        <f>IFERROR(__xludf.DUMMYFUNCTION("""COMPUTED_VALUE"""),"")</f>
        <v/>
      </c>
      <c r="J317" s="501" t="str">
        <f>IFERROR(__xludf.DUMMYFUNCTION("""COMPUTED_VALUE"""),"")</f>
        <v/>
      </c>
      <c r="K317" s="503" t="str">
        <f>IFERROR(__xludf.DUMMYFUNCTION("""COMPUTED_VALUE"""),"")</f>
        <v/>
      </c>
      <c r="L317" s="501" t="str">
        <f>IFERROR(__xludf.DUMMYFUNCTION("""COMPUTED_VALUE"""),"")</f>
        <v/>
      </c>
      <c r="M317" s="504">
        <f>IFERROR(__xludf.DUMMYFUNCTION("""COMPUTED_VALUE"""),1.0)</f>
        <v>1</v>
      </c>
      <c r="N317" s="501" t="str">
        <f>IFERROR(__xludf.DUMMYFUNCTION("""COMPUTED_VALUE"""),"")</f>
        <v/>
      </c>
      <c r="O317" s="501" t="str">
        <f>IFERROR(__xludf.DUMMYFUNCTION("""COMPUTED_VALUE"""),"")</f>
        <v/>
      </c>
      <c r="P317" s="503" t="str">
        <f>IFERROR(__xludf.DUMMYFUNCTION("""COMPUTED_VALUE"""),"")</f>
        <v/>
      </c>
      <c r="Q317" s="501" t="str">
        <f>IFERROR(__xludf.DUMMYFUNCTION("""COMPUTED_VALUE"""),"")</f>
        <v/>
      </c>
      <c r="R317" s="501" t="str">
        <f>IFERROR(__xludf.DUMMYFUNCTION("""COMPUTED_VALUE"""),"")</f>
        <v/>
      </c>
      <c r="S317" s="503" t="str">
        <f>IFERROR(__xludf.DUMMYFUNCTION("""COMPUTED_VALUE"""),"")</f>
        <v/>
      </c>
      <c r="T317" s="503" t="str">
        <f>IFERROR(__xludf.DUMMYFUNCTION("""COMPUTED_VALUE"""),"utm_source=facebook&amp;utm_medium=socialmedia&amp;utm_campaign=&amp;utm_content=&amp;referrer=facebook")</f>
        <v>utm_source=facebook&amp;utm_medium=socialmedia&amp;utm_campaign=&amp;utm_content=&amp;referrer=facebook</v>
      </c>
    </row>
    <row r="318">
      <c r="A318" s="501" t="str">
        <f>IFERROR(__xludf.DUMMYFUNCTION("""COMPUTED_VALUE"""),"juli")</f>
        <v>juli</v>
      </c>
      <c r="B318" s="501">
        <f>IFERROR(__xludf.DUMMYFUNCTION("""COMPUTED_VALUE"""),29.0)</f>
        <v>29</v>
      </c>
      <c r="C318" s="501" t="str">
        <f>IFERROR(__xludf.DUMMYFUNCTION("""COMPUTED_VALUE"""),"zaterdag")</f>
        <v>zaterdag</v>
      </c>
      <c r="D318" s="502">
        <f>IFERROR(__xludf.DUMMYFUNCTION("""COMPUTED_VALUE"""),43666.0)</f>
        <v>43666</v>
      </c>
      <c r="E318" s="502">
        <f>IFERROR(__xludf.DUMMYFUNCTION("""COMPUTED_VALUE"""),43666.0)</f>
        <v>43666</v>
      </c>
      <c r="F318" s="501" t="str">
        <f>IFERROR(__xludf.DUMMYFUNCTION("""COMPUTED_VALUE"""),"")</f>
        <v/>
      </c>
      <c r="G318" s="503" t="str">
        <f>IFERROR(__xludf.DUMMYFUNCTION("""COMPUTED_VALUE"""),"")</f>
        <v/>
      </c>
      <c r="H318" s="501" t="str">
        <f>IFERROR(__xludf.DUMMYFUNCTION("""COMPUTED_VALUE"""),"")</f>
        <v/>
      </c>
      <c r="I318" s="503" t="str">
        <f>IFERROR(__xludf.DUMMYFUNCTION("""COMPUTED_VALUE"""),"")</f>
        <v/>
      </c>
      <c r="J318" s="501" t="str">
        <f>IFERROR(__xludf.DUMMYFUNCTION("""COMPUTED_VALUE"""),"")</f>
        <v/>
      </c>
      <c r="K318" s="503" t="str">
        <f>IFERROR(__xludf.DUMMYFUNCTION("""COMPUTED_VALUE"""),"")</f>
        <v/>
      </c>
      <c r="L318" s="501" t="str">
        <f>IFERROR(__xludf.DUMMYFUNCTION("""COMPUTED_VALUE"""),"")</f>
        <v/>
      </c>
      <c r="M318" s="504">
        <f>IFERROR(__xludf.DUMMYFUNCTION("""COMPUTED_VALUE"""),1.0)</f>
        <v>1</v>
      </c>
      <c r="N318" s="501" t="str">
        <f>IFERROR(__xludf.DUMMYFUNCTION("""COMPUTED_VALUE"""),"")</f>
        <v/>
      </c>
      <c r="O318" s="501" t="str">
        <f>IFERROR(__xludf.DUMMYFUNCTION("""COMPUTED_VALUE"""),"")</f>
        <v/>
      </c>
      <c r="P318" s="503" t="str">
        <f>IFERROR(__xludf.DUMMYFUNCTION("""COMPUTED_VALUE"""),"")</f>
        <v/>
      </c>
      <c r="Q318" s="501" t="str">
        <f>IFERROR(__xludf.DUMMYFUNCTION("""COMPUTED_VALUE"""),"")</f>
        <v/>
      </c>
      <c r="R318" s="501" t="str">
        <f>IFERROR(__xludf.DUMMYFUNCTION("""COMPUTED_VALUE"""),"")</f>
        <v/>
      </c>
      <c r="S318" s="503" t="str">
        <f>IFERROR(__xludf.DUMMYFUNCTION("""COMPUTED_VALUE"""),"")</f>
        <v/>
      </c>
      <c r="T318" s="503" t="str">
        <f>IFERROR(__xludf.DUMMYFUNCTION("""COMPUTED_VALUE"""),"utm_source=facebook&amp;utm_medium=socialmedia&amp;utm_campaign=&amp;utm_content=&amp;referrer=facebook")</f>
        <v>utm_source=facebook&amp;utm_medium=socialmedia&amp;utm_campaign=&amp;utm_content=&amp;referrer=facebook</v>
      </c>
    </row>
    <row r="319">
      <c r="A319" s="501" t="str">
        <f>IFERROR(__xludf.DUMMYFUNCTION("""COMPUTED_VALUE"""),"juli")</f>
        <v>juli</v>
      </c>
      <c r="B319" s="501">
        <f>IFERROR(__xludf.DUMMYFUNCTION("""COMPUTED_VALUE"""),30.0)</f>
        <v>30</v>
      </c>
      <c r="C319" s="501" t="str">
        <f>IFERROR(__xludf.DUMMYFUNCTION("""COMPUTED_VALUE"""),"zondag")</f>
        <v>zondag</v>
      </c>
      <c r="D319" s="502">
        <f>IFERROR(__xludf.DUMMYFUNCTION("""COMPUTED_VALUE"""),43667.0)</f>
        <v>43667</v>
      </c>
      <c r="E319" s="502">
        <f>IFERROR(__xludf.DUMMYFUNCTION("""COMPUTED_VALUE"""),43667.0)</f>
        <v>43667</v>
      </c>
      <c r="F319" s="501" t="str">
        <f>IFERROR(__xludf.DUMMYFUNCTION("""COMPUTED_VALUE"""),"")</f>
        <v/>
      </c>
      <c r="G319" s="503" t="str">
        <f>IFERROR(__xludf.DUMMYFUNCTION("""COMPUTED_VALUE"""),"")</f>
        <v/>
      </c>
      <c r="H319" s="501" t="str">
        <f>IFERROR(__xludf.DUMMYFUNCTION("""COMPUTED_VALUE"""),"")</f>
        <v/>
      </c>
      <c r="I319" s="503" t="str">
        <f>IFERROR(__xludf.DUMMYFUNCTION("""COMPUTED_VALUE"""),"")</f>
        <v/>
      </c>
      <c r="J319" s="501" t="str">
        <f>IFERROR(__xludf.DUMMYFUNCTION("""COMPUTED_VALUE"""),"")</f>
        <v/>
      </c>
      <c r="K319" s="503" t="str">
        <f>IFERROR(__xludf.DUMMYFUNCTION("""COMPUTED_VALUE"""),"")</f>
        <v/>
      </c>
      <c r="L319" s="501" t="str">
        <f>IFERROR(__xludf.DUMMYFUNCTION("""COMPUTED_VALUE"""),"")</f>
        <v/>
      </c>
      <c r="M319" s="504">
        <f>IFERROR(__xludf.DUMMYFUNCTION("""COMPUTED_VALUE"""),1.0)</f>
        <v>1</v>
      </c>
      <c r="N319" s="501" t="str">
        <f>IFERROR(__xludf.DUMMYFUNCTION("""COMPUTED_VALUE"""),"")</f>
        <v/>
      </c>
      <c r="O319" s="501" t="str">
        <f>IFERROR(__xludf.DUMMYFUNCTION("""COMPUTED_VALUE"""),"")</f>
        <v/>
      </c>
      <c r="P319" s="503" t="str">
        <f>IFERROR(__xludf.DUMMYFUNCTION("""COMPUTED_VALUE"""),"")</f>
        <v/>
      </c>
      <c r="Q319" s="501" t="str">
        <f>IFERROR(__xludf.DUMMYFUNCTION("""COMPUTED_VALUE"""),"")</f>
        <v/>
      </c>
      <c r="R319" s="501" t="str">
        <f>IFERROR(__xludf.DUMMYFUNCTION("""COMPUTED_VALUE"""),"")</f>
        <v/>
      </c>
      <c r="S319" s="503" t="str">
        <f>IFERROR(__xludf.DUMMYFUNCTION("""COMPUTED_VALUE"""),"")</f>
        <v/>
      </c>
      <c r="T319" s="503" t="str">
        <f>IFERROR(__xludf.DUMMYFUNCTION("""COMPUTED_VALUE"""),"utm_source=facebook&amp;utm_medium=socialmedia&amp;utm_campaign=&amp;utm_content=&amp;referrer=facebook")</f>
        <v>utm_source=facebook&amp;utm_medium=socialmedia&amp;utm_campaign=&amp;utm_content=&amp;referrer=facebook</v>
      </c>
    </row>
    <row r="320">
      <c r="A320" s="501" t="str">
        <f>IFERROR(__xludf.DUMMYFUNCTION("""COMPUTED_VALUE"""),"juli")</f>
        <v>juli</v>
      </c>
      <c r="B320" s="501">
        <f>IFERROR(__xludf.DUMMYFUNCTION("""COMPUTED_VALUE"""),30.0)</f>
        <v>30</v>
      </c>
      <c r="C320" s="501" t="str">
        <f>IFERROR(__xludf.DUMMYFUNCTION("""COMPUTED_VALUE"""),"maandag")</f>
        <v>maandag</v>
      </c>
      <c r="D320" s="502">
        <f>IFERROR(__xludf.DUMMYFUNCTION("""COMPUTED_VALUE"""),43668.0)</f>
        <v>43668</v>
      </c>
      <c r="E320" s="502">
        <f>IFERROR(__xludf.DUMMYFUNCTION("""COMPUTED_VALUE"""),43668.0)</f>
        <v>43668</v>
      </c>
      <c r="F320" s="501" t="str">
        <f>IFERROR(__xludf.DUMMYFUNCTION("""COMPUTED_VALUE"""),"")</f>
        <v/>
      </c>
      <c r="G320" s="503" t="str">
        <f>IFERROR(__xludf.DUMMYFUNCTION("""COMPUTED_VALUE"""),"")</f>
        <v/>
      </c>
      <c r="H320" s="501" t="str">
        <f>IFERROR(__xludf.DUMMYFUNCTION("""COMPUTED_VALUE"""),"")</f>
        <v/>
      </c>
      <c r="I320" s="503" t="str">
        <f>IFERROR(__xludf.DUMMYFUNCTION("""COMPUTED_VALUE"""),"")</f>
        <v/>
      </c>
      <c r="J320" s="501" t="str">
        <f>IFERROR(__xludf.DUMMYFUNCTION("""COMPUTED_VALUE"""),"")</f>
        <v/>
      </c>
      <c r="K320" s="503" t="str">
        <f>IFERROR(__xludf.DUMMYFUNCTION("""COMPUTED_VALUE"""),"")</f>
        <v/>
      </c>
      <c r="L320" s="501" t="str">
        <f>IFERROR(__xludf.DUMMYFUNCTION("""COMPUTED_VALUE"""),"")</f>
        <v/>
      </c>
      <c r="M320" s="504">
        <f>IFERROR(__xludf.DUMMYFUNCTION("""COMPUTED_VALUE"""),1.0)</f>
        <v>1</v>
      </c>
      <c r="N320" s="501" t="str">
        <f>IFERROR(__xludf.DUMMYFUNCTION("""COMPUTED_VALUE"""),"")</f>
        <v/>
      </c>
      <c r="O320" s="501" t="str">
        <f>IFERROR(__xludf.DUMMYFUNCTION("""COMPUTED_VALUE"""),"")</f>
        <v/>
      </c>
      <c r="P320" s="503" t="str">
        <f>IFERROR(__xludf.DUMMYFUNCTION("""COMPUTED_VALUE"""),"")</f>
        <v/>
      </c>
      <c r="Q320" s="501" t="str">
        <f>IFERROR(__xludf.DUMMYFUNCTION("""COMPUTED_VALUE"""),"")</f>
        <v/>
      </c>
      <c r="R320" s="501" t="str">
        <f>IFERROR(__xludf.DUMMYFUNCTION("""COMPUTED_VALUE"""),"")</f>
        <v/>
      </c>
      <c r="S320" s="503" t="str">
        <f>IFERROR(__xludf.DUMMYFUNCTION("""COMPUTED_VALUE"""),"")</f>
        <v/>
      </c>
      <c r="T320" s="503" t="str">
        <f>IFERROR(__xludf.DUMMYFUNCTION("""COMPUTED_VALUE"""),"utm_source=facebook&amp;utm_medium=socialmedia&amp;utm_campaign=&amp;utm_content=&amp;referrer=facebook")</f>
        <v>utm_source=facebook&amp;utm_medium=socialmedia&amp;utm_campaign=&amp;utm_content=&amp;referrer=facebook</v>
      </c>
    </row>
    <row r="321">
      <c r="A321" s="501" t="str">
        <f>IFERROR(__xludf.DUMMYFUNCTION("""COMPUTED_VALUE"""),"juli")</f>
        <v>juli</v>
      </c>
      <c r="B321" s="501">
        <f>IFERROR(__xludf.DUMMYFUNCTION("""COMPUTED_VALUE"""),30.0)</f>
        <v>30</v>
      </c>
      <c r="C321" s="501" t="str">
        <f>IFERROR(__xludf.DUMMYFUNCTION("""COMPUTED_VALUE"""),"dinsdag")</f>
        <v>dinsdag</v>
      </c>
      <c r="D321" s="502">
        <f>IFERROR(__xludf.DUMMYFUNCTION("""COMPUTED_VALUE"""),43669.0)</f>
        <v>43669</v>
      </c>
      <c r="E321" s="502">
        <f>IFERROR(__xludf.DUMMYFUNCTION("""COMPUTED_VALUE"""),43669.0)</f>
        <v>43669</v>
      </c>
      <c r="F321" s="501" t="str">
        <f>IFERROR(__xludf.DUMMYFUNCTION("""COMPUTED_VALUE"""),"")</f>
        <v/>
      </c>
      <c r="G321" s="503" t="str">
        <f>IFERROR(__xludf.DUMMYFUNCTION("""COMPUTED_VALUE"""),"")</f>
        <v/>
      </c>
      <c r="H321" s="501" t="str">
        <f>IFERROR(__xludf.DUMMYFUNCTION("""COMPUTED_VALUE"""),"")</f>
        <v/>
      </c>
      <c r="I321" s="503" t="str">
        <f>IFERROR(__xludf.DUMMYFUNCTION("""COMPUTED_VALUE"""),"")</f>
        <v/>
      </c>
      <c r="J321" s="501" t="str">
        <f>IFERROR(__xludf.DUMMYFUNCTION("""COMPUTED_VALUE"""),"")</f>
        <v/>
      </c>
      <c r="K321" s="503" t="str">
        <f>IFERROR(__xludf.DUMMYFUNCTION("""COMPUTED_VALUE"""),"")</f>
        <v/>
      </c>
      <c r="L321" s="501" t="str">
        <f>IFERROR(__xludf.DUMMYFUNCTION("""COMPUTED_VALUE"""),"")</f>
        <v/>
      </c>
      <c r="M321" s="504">
        <f>IFERROR(__xludf.DUMMYFUNCTION("""COMPUTED_VALUE"""),1.0)</f>
        <v>1</v>
      </c>
      <c r="N321" s="501" t="str">
        <f>IFERROR(__xludf.DUMMYFUNCTION("""COMPUTED_VALUE"""),"")</f>
        <v/>
      </c>
      <c r="O321" s="501" t="str">
        <f>IFERROR(__xludf.DUMMYFUNCTION("""COMPUTED_VALUE"""),"")</f>
        <v/>
      </c>
      <c r="P321" s="503" t="str">
        <f>IFERROR(__xludf.DUMMYFUNCTION("""COMPUTED_VALUE"""),"")</f>
        <v/>
      </c>
      <c r="Q321" s="501" t="str">
        <f>IFERROR(__xludf.DUMMYFUNCTION("""COMPUTED_VALUE"""),"")</f>
        <v/>
      </c>
      <c r="R321" s="501" t="str">
        <f>IFERROR(__xludf.DUMMYFUNCTION("""COMPUTED_VALUE"""),"")</f>
        <v/>
      </c>
      <c r="S321" s="503" t="str">
        <f>IFERROR(__xludf.DUMMYFUNCTION("""COMPUTED_VALUE"""),"")</f>
        <v/>
      </c>
      <c r="T321" s="503" t="str">
        <f>IFERROR(__xludf.DUMMYFUNCTION("""COMPUTED_VALUE"""),"utm_source=facebook&amp;utm_medium=socialmedia&amp;utm_campaign=&amp;utm_content=&amp;referrer=facebook")</f>
        <v>utm_source=facebook&amp;utm_medium=socialmedia&amp;utm_campaign=&amp;utm_content=&amp;referrer=facebook</v>
      </c>
    </row>
    <row r="322">
      <c r="A322" s="501" t="str">
        <f>IFERROR(__xludf.DUMMYFUNCTION("""COMPUTED_VALUE"""),"juli")</f>
        <v>juli</v>
      </c>
      <c r="B322" s="501">
        <f>IFERROR(__xludf.DUMMYFUNCTION("""COMPUTED_VALUE"""),30.0)</f>
        <v>30</v>
      </c>
      <c r="C322" s="501" t="str">
        <f>IFERROR(__xludf.DUMMYFUNCTION("""COMPUTED_VALUE"""),"woensdag")</f>
        <v>woensdag</v>
      </c>
      <c r="D322" s="502">
        <f>IFERROR(__xludf.DUMMYFUNCTION("""COMPUTED_VALUE"""),43670.0)</f>
        <v>43670</v>
      </c>
      <c r="E322" s="502">
        <f>IFERROR(__xludf.DUMMYFUNCTION("""COMPUTED_VALUE"""),43670.0)</f>
        <v>43670</v>
      </c>
      <c r="F322" s="501" t="str">
        <f>IFERROR(__xludf.DUMMYFUNCTION("""COMPUTED_VALUE"""),"")</f>
        <v/>
      </c>
      <c r="G322" s="503" t="str">
        <f>IFERROR(__xludf.DUMMYFUNCTION("""COMPUTED_VALUE"""),"")</f>
        <v/>
      </c>
      <c r="H322" s="501" t="str">
        <f>IFERROR(__xludf.DUMMYFUNCTION("""COMPUTED_VALUE"""),"")</f>
        <v/>
      </c>
      <c r="I322" s="503" t="str">
        <f>IFERROR(__xludf.DUMMYFUNCTION("""COMPUTED_VALUE"""),"")</f>
        <v/>
      </c>
      <c r="J322" s="501" t="str">
        <f>IFERROR(__xludf.DUMMYFUNCTION("""COMPUTED_VALUE"""),"")</f>
        <v/>
      </c>
      <c r="K322" s="503" t="str">
        <f>IFERROR(__xludf.DUMMYFUNCTION("""COMPUTED_VALUE"""),"")</f>
        <v/>
      </c>
      <c r="L322" s="501" t="str">
        <f>IFERROR(__xludf.DUMMYFUNCTION("""COMPUTED_VALUE"""),"")</f>
        <v/>
      </c>
      <c r="M322" s="504">
        <f>IFERROR(__xludf.DUMMYFUNCTION("""COMPUTED_VALUE"""),1.0)</f>
        <v>1</v>
      </c>
      <c r="N322" s="501" t="str">
        <f>IFERROR(__xludf.DUMMYFUNCTION("""COMPUTED_VALUE"""),"")</f>
        <v/>
      </c>
      <c r="O322" s="501" t="str">
        <f>IFERROR(__xludf.DUMMYFUNCTION("""COMPUTED_VALUE"""),"")</f>
        <v/>
      </c>
      <c r="P322" s="503" t="str">
        <f>IFERROR(__xludf.DUMMYFUNCTION("""COMPUTED_VALUE"""),"")</f>
        <v/>
      </c>
      <c r="Q322" s="501" t="str">
        <f>IFERROR(__xludf.DUMMYFUNCTION("""COMPUTED_VALUE"""),"")</f>
        <v/>
      </c>
      <c r="R322" s="501" t="str">
        <f>IFERROR(__xludf.DUMMYFUNCTION("""COMPUTED_VALUE"""),"")</f>
        <v/>
      </c>
      <c r="S322" s="503" t="str">
        <f>IFERROR(__xludf.DUMMYFUNCTION("""COMPUTED_VALUE"""),"")</f>
        <v/>
      </c>
      <c r="T322" s="503" t="str">
        <f>IFERROR(__xludf.DUMMYFUNCTION("""COMPUTED_VALUE"""),"utm_source=facebook&amp;utm_medium=socialmedia&amp;utm_campaign=&amp;utm_content=&amp;referrer=facebook")</f>
        <v>utm_source=facebook&amp;utm_medium=socialmedia&amp;utm_campaign=&amp;utm_content=&amp;referrer=facebook</v>
      </c>
    </row>
    <row r="323">
      <c r="A323" s="501" t="str">
        <f>IFERROR(__xludf.DUMMYFUNCTION("""COMPUTED_VALUE"""),"juli")</f>
        <v>juli</v>
      </c>
      <c r="B323" s="501">
        <f>IFERROR(__xludf.DUMMYFUNCTION("""COMPUTED_VALUE"""),30.0)</f>
        <v>30</v>
      </c>
      <c r="C323" s="501" t="str">
        <f>IFERROR(__xludf.DUMMYFUNCTION("""COMPUTED_VALUE"""),"donderdag")</f>
        <v>donderdag</v>
      </c>
      <c r="D323" s="502">
        <f>IFERROR(__xludf.DUMMYFUNCTION("""COMPUTED_VALUE"""),43671.0)</f>
        <v>43671</v>
      </c>
      <c r="E323" s="502">
        <f>IFERROR(__xludf.DUMMYFUNCTION("""COMPUTED_VALUE"""),43671.0)</f>
        <v>43671</v>
      </c>
      <c r="F323" s="501" t="str">
        <f>IFERROR(__xludf.DUMMYFUNCTION("""COMPUTED_VALUE"""),"")</f>
        <v/>
      </c>
      <c r="G323" s="503" t="str">
        <f>IFERROR(__xludf.DUMMYFUNCTION("""COMPUTED_VALUE"""),"")</f>
        <v/>
      </c>
      <c r="H323" s="501" t="str">
        <f>IFERROR(__xludf.DUMMYFUNCTION("""COMPUTED_VALUE"""),"")</f>
        <v/>
      </c>
      <c r="I323" s="503" t="str">
        <f>IFERROR(__xludf.DUMMYFUNCTION("""COMPUTED_VALUE"""),"")</f>
        <v/>
      </c>
      <c r="J323" s="501" t="str">
        <f>IFERROR(__xludf.DUMMYFUNCTION("""COMPUTED_VALUE"""),"")</f>
        <v/>
      </c>
      <c r="K323" s="503" t="str">
        <f>IFERROR(__xludf.DUMMYFUNCTION("""COMPUTED_VALUE"""),"")</f>
        <v/>
      </c>
      <c r="L323" s="501" t="str">
        <f>IFERROR(__xludf.DUMMYFUNCTION("""COMPUTED_VALUE"""),"")</f>
        <v/>
      </c>
      <c r="M323" s="504">
        <f>IFERROR(__xludf.DUMMYFUNCTION("""COMPUTED_VALUE"""),1.0)</f>
        <v>1</v>
      </c>
      <c r="N323" s="501" t="str">
        <f>IFERROR(__xludf.DUMMYFUNCTION("""COMPUTED_VALUE"""),"")</f>
        <v/>
      </c>
      <c r="O323" s="501" t="str">
        <f>IFERROR(__xludf.DUMMYFUNCTION("""COMPUTED_VALUE"""),"")</f>
        <v/>
      </c>
      <c r="P323" s="503" t="str">
        <f>IFERROR(__xludf.DUMMYFUNCTION("""COMPUTED_VALUE"""),"")</f>
        <v/>
      </c>
      <c r="Q323" s="501" t="str">
        <f>IFERROR(__xludf.DUMMYFUNCTION("""COMPUTED_VALUE"""),"")</f>
        <v/>
      </c>
      <c r="R323" s="501" t="str">
        <f>IFERROR(__xludf.DUMMYFUNCTION("""COMPUTED_VALUE"""),"")</f>
        <v/>
      </c>
      <c r="S323" s="503" t="str">
        <f>IFERROR(__xludf.DUMMYFUNCTION("""COMPUTED_VALUE"""),"")</f>
        <v/>
      </c>
      <c r="T323" s="503" t="str">
        <f>IFERROR(__xludf.DUMMYFUNCTION("""COMPUTED_VALUE"""),"utm_source=facebook&amp;utm_medium=socialmedia&amp;utm_campaign=&amp;utm_content=&amp;referrer=facebook")</f>
        <v>utm_source=facebook&amp;utm_medium=socialmedia&amp;utm_campaign=&amp;utm_content=&amp;referrer=facebook</v>
      </c>
    </row>
    <row r="324">
      <c r="A324" s="501" t="str">
        <f>IFERROR(__xludf.DUMMYFUNCTION("""COMPUTED_VALUE"""),"juli")</f>
        <v>juli</v>
      </c>
      <c r="B324" s="501">
        <f>IFERROR(__xludf.DUMMYFUNCTION("""COMPUTED_VALUE"""),30.0)</f>
        <v>30</v>
      </c>
      <c r="C324" s="501" t="str">
        <f>IFERROR(__xludf.DUMMYFUNCTION("""COMPUTED_VALUE"""),"vrijdag")</f>
        <v>vrijdag</v>
      </c>
      <c r="D324" s="502">
        <f>IFERROR(__xludf.DUMMYFUNCTION("""COMPUTED_VALUE"""),43672.0)</f>
        <v>43672</v>
      </c>
      <c r="E324" s="502">
        <f>IFERROR(__xludf.DUMMYFUNCTION("""COMPUTED_VALUE"""),43672.0)</f>
        <v>43672</v>
      </c>
      <c r="F324" s="501" t="str">
        <f>IFERROR(__xludf.DUMMYFUNCTION("""COMPUTED_VALUE"""),"")</f>
        <v/>
      </c>
      <c r="G324" s="503" t="str">
        <f>IFERROR(__xludf.DUMMYFUNCTION("""COMPUTED_VALUE"""),"")</f>
        <v/>
      </c>
      <c r="H324" s="501" t="str">
        <f>IFERROR(__xludf.DUMMYFUNCTION("""COMPUTED_VALUE"""),"")</f>
        <v/>
      </c>
      <c r="I324" s="503" t="str">
        <f>IFERROR(__xludf.DUMMYFUNCTION("""COMPUTED_VALUE"""),"")</f>
        <v/>
      </c>
      <c r="J324" s="501" t="str">
        <f>IFERROR(__xludf.DUMMYFUNCTION("""COMPUTED_VALUE"""),"")</f>
        <v/>
      </c>
      <c r="K324" s="503" t="str">
        <f>IFERROR(__xludf.DUMMYFUNCTION("""COMPUTED_VALUE"""),"")</f>
        <v/>
      </c>
      <c r="L324" s="501" t="str">
        <f>IFERROR(__xludf.DUMMYFUNCTION("""COMPUTED_VALUE"""),"")</f>
        <v/>
      </c>
      <c r="M324" s="504">
        <f>IFERROR(__xludf.DUMMYFUNCTION("""COMPUTED_VALUE"""),1.0)</f>
        <v>1</v>
      </c>
      <c r="N324" s="501" t="str">
        <f>IFERROR(__xludf.DUMMYFUNCTION("""COMPUTED_VALUE"""),"")</f>
        <v/>
      </c>
      <c r="O324" s="501" t="str">
        <f>IFERROR(__xludf.DUMMYFUNCTION("""COMPUTED_VALUE"""),"")</f>
        <v/>
      </c>
      <c r="P324" s="503" t="str">
        <f>IFERROR(__xludf.DUMMYFUNCTION("""COMPUTED_VALUE"""),"")</f>
        <v/>
      </c>
      <c r="Q324" s="501" t="str">
        <f>IFERROR(__xludf.DUMMYFUNCTION("""COMPUTED_VALUE"""),"")</f>
        <v/>
      </c>
      <c r="R324" s="501" t="str">
        <f>IFERROR(__xludf.DUMMYFUNCTION("""COMPUTED_VALUE"""),"")</f>
        <v/>
      </c>
      <c r="S324" s="503" t="str">
        <f>IFERROR(__xludf.DUMMYFUNCTION("""COMPUTED_VALUE"""),"")</f>
        <v/>
      </c>
      <c r="T324" s="503" t="str">
        <f>IFERROR(__xludf.DUMMYFUNCTION("""COMPUTED_VALUE"""),"utm_source=facebook&amp;utm_medium=socialmedia&amp;utm_campaign=&amp;utm_content=&amp;referrer=facebook")</f>
        <v>utm_source=facebook&amp;utm_medium=socialmedia&amp;utm_campaign=&amp;utm_content=&amp;referrer=facebook</v>
      </c>
    </row>
    <row r="325">
      <c r="A325" s="501" t="str">
        <f>IFERROR(__xludf.DUMMYFUNCTION("""COMPUTED_VALUE"""),"juli")</f>
        <v>juli</v>
      </c>
      <c r="B325" s="501">
        <f>IFERROR(__xludf.DUMMYFUNCTION("""COMPUTED_VALUE"""),30.0)</f>
        <v>30</v>
      </c>
      <c r="C325" s="501" t="str">
        <f>IFERROR(__xludf.DUMMYFUNCTION("""COMPUTED_VALUE"""),"zaterdag")</f>
        <v>zaterdag</v>
      </c>
      <c r="D325" s="502">
        <f>IFERROR(__xludf.DUMMYFUNCTION("""COMPUTED_VALUE"""),43673.0)</f>
        <v>43673</v>
      </c>
      <c r="E325" s="502">
        <f>IFERROR(__xludf.DUMMYFUNCTION("""COMPUTED_VALUE"""),43673.0)</f>
        <v>43673</v>
      </c>
      <c r="F325" s="501" t="str">
        <f>IFERROR(__xludf.DUMMYFUNCTION("""COMPUTED_VALUE"""),"")</f>
        <v/>
      </c>
      <c r="G325" s="503" t="str">
        <f>IFERROR(__xludf.DUMMYFUNCTION("""COMPUTED_VALUE"""),"")</f>
        <v/>
      </c>
      <c r="H325" s="501" t="str">
        <f>IFERROR(__xludf.DUMMYFUNCTION("""COMPUTED_VALUE"""),"")</f>
        <v/>
      </c>
      <c r="I325" s="503" t="str">
        <f>IFERROR(__xludf.DUMMYFUNCTION("""COMPUTED_VALUE"""),"")</f>
        <v/>
      </c>
      <c r="J325" s="501" t="str">
        <f>IFERROR(__xludf.DUMMYFUNCTION("""COMPUTED_VALUE"""),"")</f>
        <v/>
      </c>
      <c r="K325" s="503" t="str">
        <f>IFERROR(__xludf.DUMMYFUNCTION("""COMPUTED_VALUE"""),"")</f>
        <v/>
      </c>
      <c r="L325" s="501" t="str">
        <f>IFERROR(__xludf.DUMMYFUNCTION("""COMPUTED_VALUE"""),"")</f>
        <v/>
      </c>
      <c r="M325" s="504">
        <f>IFERROR(__xludf.DUMMYFUNCTION("""COMPUTED_VALUE"""),1.0)</f>
        <v>1</v>
      </c>
      <c r="N325" s="501" t="str">
        <f>IFERROR(__xludf.DUMMYFUNCTION("""COMPUTED_VALUE"""),"")</f>
        <v/>
      </c>
      <c r="O325" s="501" t="str">
        <f>IFERROR(__xludf.DUMMYFUNCTION("""COMPUTED_VALUE"""),"")</f>
        <v/>
      </c>
      <c r="P325" s="503" t="str">
        <f>IFERROR(__xludf.DUMMYFUNCTION("""COMPUTED_VALUE"""),"")</f>
        <v/>
      </c>
      <c r="Q325" s="501" t="str">
        <f>IFERROR(__xludf.DUMMYFUNCTION("""COMPUTED_VALUE"""),"")</f>
        <v/>
      </c>
      <c r="R325" s="501" t="str">
        <f>IFERROR(__xludf.DUMMYFUNCTION("""COMPUTED_VALUE"""),"")</f>
        <v/>
      </c>
      <c r="S325" s="503" t="str">
        <f>IFERROR(__xludf.DUMMYFUNCTION("""COMPUTED_VALUE"""),"")</f>
        <v/>
      </c>
      <c r="T325" s="503" t="str">
        <f>IFERROR(__xludf.DUMMYFUNCTION("""COMPUTED_VALUE"""),"utm_source=facebook&amp;utm_medium=socialmedia&amp;utm_campaign=&amp;utm_content=&amp;referrer=facebook")</f>
        <v>utm_source=facebook&amp;utm_medium=socialmedia&amp;utm_campaign=&amp;utm_content=&amp;referrer=facebook</v>
      </c>
    </row>
    <row r="326">
      <c r="A326" s="501" t="str">
        <f>IFERROR(__xludf.DUMMYFUNCTION("""COMPUTED_VALUE"""),"juli")</f>
        <v>juli</v>
      </c>
      <c r="B326" s="501">
        <f>IFERROR(__xludf.DUMMYFUNCTION("""COMPUTED_VALUE"""),31.0)</f>
        <v>31</v>
      </c>
      <c r="C326" s="501" t="str">
        <f>IFERROR(__xludf.DUMMYFUNCTION("""COMPUTED_VALUE"""),"zondag")</f>
        <v>zondag</v>
      </c>
      <c r="D326" s="502">
        <f>IFERROR(__xludf.DUMMYFUNCTION("""COMPUTED_VALUE"""),43674.0)</f>
        <v>43674</v>
      </c>
      <c r="E326" s="502">
        <f>IFERROR(__xludf.DUMMYFUNCTION("""COMPUTED_VALUE"""),43674.0)</f>
        <v>43674</v>
      </c>
      <c r="F326" s="501" t="str">
        <f>IFERROR(__xludf.DUMMYFUNCTION("""COMPUTED_VALUE"""),"")</f>
        <v/>
      </c>
      <c r="G326" s="503" t="str">
        <f>IFERROR(__xludf.DUMMYFUNCTION("""COMPUTED_VALUE"""),"")</f>
        <v/>
      </c>
      <c r="H326" s="501" t="str">
        <f>IFERROR(__xludf.DUMMYFUNCTION("""COMPUTED_VALUE"""),"")</f>
        <v/>
      </c>
      <c r="I326" s="503" t="str">
        <f>IFERROR(__xludf.DUMMYFUNCTION("""COMPUTED_VALUE"""),"")</f>
        <v/>
      </c>
      <c r="J326" s="501" t="str">
        <f>IFERROR(__xludf.DUMMYFUNCTION("""COMPUTED_VALUE"""),"")</f>
        <v/>
      </c>
      <c r="K326" s="503" t="str">
        <f>IFERROR(__xludf.DUMMYFUNCTION("""COMPUTED_VALUE"""),"")</f>
        <v/>
      </c>
      <c r="L326" s="501" t="str">
        <f>IFERROR(__xludf.DUMMYFUNCTION("""COMPUTED_VALUE"""),"")</f>
        <v/>
      </c>
      <c r="M326" s="504">
        <f>IFERROR(__xludf.DUMMYFUNCTION("""COMPUTED_VALUE"""),1.0)</f>
        <v>1</v>
      </c>
      <c r="N326" s="501" t="str">
        <f>IFERROR(__xludf.DUMMYFUNCTION("""COMPUTED_VALUE"""),"")</f>
        <v/>
      </c>
      <c r="O326" s="501" t="str">
        <f>IFERROR(__xludf.DUMMYFUNCTION("""COMPUTED_VALUE"""),"")</f>
        <v/>
      </c>
      <c r="P326" s="503" t="str">
        <f>IFERROR(__xludf.DUMMYFUNCTION("""COMPUTED_VALUE"""),"")</f>
        <v/>
      </c>
      <c r="Q326" s="501" t="str">
        <f>IFERROR(__xludf.DUMMYFUNCTION("""COMPUTED_VALUE"""),"")</f>
        <v/>
      </c>
      <c r="R326" s="501" t="str">
        <f>IFERROR(__xludf.DUMMYFUNCTION("""COMPUTED_VALUE"""),"")</f>
        <v/>
      </c>
      <c r="S326" s="503" t="str">
        <f>IFERROR(__xludf.DUMMYFUNCTION("""COMPUTED_VALUE"""),"")</f>
        <v/>
      </c>
      <c r="T326" s="503" t="str">
        <f>IFERROR(__xludf.DUMMYFUNCTION("""COMPUTED_VALUE"""),"utm_source=facebook&amp;utm_medium=socialmedia&amp;utm_campaign=&amp;utm_content=&amp;referrer=facebook")</f>
        <v>utm_source=facebook&amp;utm_medium=socialmedia&amp;utm_campaign=&amp;utm_content=&amp;referrer=facebook</v>
      </c>
    </row>
    <row r="327">
      <c r="A327" s="501" t="str">
        <f>IFERROR(__xludf.DUMMYFUNCTION("""COMPUTED_VALUE"""),"juli")</f>
        <v>juli</v>
      </c>
      <c r="B327" s="501">
        <f>IFERROR(__xludf.DUMMYFUNCTION("""COMPUTED_VALUE"""),31.0)</f>
        <v>31</v>
      </c>
      <c r="C327" s="501" t="str">
        <f>IFERROR(__xludf.DUMMYFUNCTION("""COMPUTED_VALUE"""),"maandag")</f>
        <v>maandag</v>
      </c>
      <c r="D327" s="502">
        <f>IFERROR(__xludf.DUMMYFUNCTION("""COMPUTED_VALUE"""),43675.0)</f>
        <v>43675</v>
      </c>
      <c r="E327" s="502">
        <f>IFERROR(__xludf.DUMMYFUNCTION("""COMPUTED_VALUE"""),43675.0)</f>
        <v>43675</v>
      </c>
      <c r="F327" s="501" t="str">
        <f>IFERROR(__xludf.DUMMYFUNCTION("""COMPUTED_VALUE"""),"")</f>
        <v/>
      </c>
      <c r="G327" s="503" t="str">
        <f>IFERROR(__xludf.DUMMYFUNCTION("""COMPUTED_VALUE"""),"")</f>
        <v/>
      </c>
      <c r="H327" s="501" t="str">
        <f>IFERROR(__xludf.DUMMYFUNCTION("""COMPUTED_VALUE"""),"")</f>
        <v/>
      </c>
      <c r="I327" s="503" t="str">
        <f>IFERROR(__xludf.DUMMYFUNCTION("""COMPUTED_VALUE"""),"")</f>
        <v/>
      </c>
      <c r="J327" s="501" t="str">
        <f>IFERROR(__xludf.DUMMYFUNCTION("""COMPUTED_VALUE"""),"")</f>
        <v/>
      </c>
      <c r="K327" s="503" t="str">
        <f>IFERROR(__xludf.DUMMYFUNCTION("""COMPUTED_VALUE"""),"")</f>
        <v/>
      </c>
      <c r="L327" s="501" t="str">
        <f>IFERROR(__xludf.DUMMYFUNCTION("""COMPUTED_VALUE"""),"")</f>
        <v/>
      </c>
      <c r="M327" s="504">
        <f>IFERROR(__xludf.DUMMYFUNCTION("""COMPUTED_VALUE"""),1.0)</f>
        <v>1</v>
      </c>
      <c r="N327" s="501" t="str">
        <f>IFERROR(__xludf.DUMMYFUNCTION("""COMPUTED_VALUE"""),"")</f>
        <v/>
      </c>
      <c r="O327" s="501" t="str">
        <f>IFERROR(__xludf.DUMMYFUNCTION("""COMPUTED_VALUE"""),"")</f>
        <v/>
      </c>
      <c r="P327" s="503" t="str">
        <f>IFERROR(__xludf.DUMMYFUNCTION("""COMPUTED_VALUE"""),"")</f>
        <v/>
      </c>
      <c r="Q327" s="501" t="str">
        <f>IFERROR(__xludf.DUMMYFUNCTION("""COMPUTED_VALUE"""),"")</f>
        <v/>
      </c>
      <c r="R327" s="501" t="str">
        <f>IFERROR(__xludf.DUMMYFUNCTION("""COMPUTED_VALUE"""),"")</f>
        <v/>
      </c>
      <c r="S327" s="503" t="str">
        <f>IFERROR(__xludf.DUMMYFUNCTION("""COMPUTED_VALUE"""),"")</f>
        <v/>
      </c>
      <c r="T327" s="503" t="str">
        <f>IFERROR(__xludf.DUMMYFUNCTION("""COMPUTED_VALUE"""),"utm_source=facebook&amp;utm_medium=socialmedia&amp;utm_campaign=&amp;utm_content=&amp;referrer=facebook")</f>
        <v>utm_source=facebook&amp;utm_medium=socialmedia&amp;utm_campaign=&amp;utm_content=&amp;referrer=facebook</v>
      </c>
    </row>
    <row r="328">
      <c r="A328" s="501" t="str">
        <f>IFERROR(__xludf.DUMMYFUNCTION("""COMPUTED_VALUE"""),"juli")</f>
        <v>juli</v>
      </c>
      <c r="B328" s="501">
        <f>IFERROR(__xludf.DUMMYFUNCTION("""COMPUTED_VALUE"""),31.0)</f>
        <v>31</v>
      </c>
      <c r="C328" s="501" t="str">
        <f>IFERROR(__xludf.DUMMYFUNCTION("""COMPUTED_VALUE"""),"dinsdag")</f>
        <v>dinsdag</v>
      </c>
      <c r="D328" s="502">
        <f>IFERROR(__xludf.DUMMYFUNCTION("""COMPUTED_VALUE"""),43676.0)</f>
        <v>43676</v>
      </c>
      <c r="E328" s="502">
        <f>IFERROR(__xludf.DUMMYFUNCTION("""COMPUTED_VALUE"""),43676.0)</f>
        <v>43676</v>
      </c>
      <c r="F328" s="501" t="str">
        <f>IFERROR(__xludf.DUMMYFUNCTION("""COMPUTED_VALUE"""),"")</f>
        <v/>
      </c>
      <c r="G328" s="503" t="str">
        <f>IFERROR(__xludf.DUMMYFUNCTION("""COMPUTED_VALUE"""),"")</f>
        <v/>
      </c>
      <c r="H328" s="501" t="str">
        <f>IFERROR(__xludf.DUMMYFUNCTION("""COMPUTED_VALUE"""),"")</f>
        <v/>
      </c>
      <c r="I328" s="503" t="str">
        <f>IFERROR(__xludf.DUMMYFUNCTION("""COMPUTED_VALUE"""),"")</f>
        <v/>
      </c>
      <c r="J328" s="501" t="str">
        <f>IFERROR(__xludf.DUMMYFUNCTION("""COMPUTED_VALUE"""),"")</f>
        <v/>
      </c>
      <c r="K328" s="503" t="str">
        <f>IFERROR(__xludf.DUMMYFUNCTION("""COMPUTED_VALUE"""),"")</f>
        <v/>
      </c>
      <c r="L328" s="501" t="str">
        <f>IFERROR(__xludf.DUMMYFUNCTION("""COMPUTED_VALUE"""),"")</f>
        <v/>
      </c>
      <c r="M328" s="504">
        <f>IFERROR(__xludf.DUMMYFUNCTION("""COMPUTED_VALUE"""),1.0)</f>
        <v>1</v>
      </c>
      <c r="N328" s="501" t="str">
        <f>IFERROR(__xludf.DUMMYFUNCTION("""COMPUTED_VALUE"""),"")</f>
        <v/>
      </c>
      <c r="O328" s="501" t="str">
        <f>IFERROR(__xludf.DUMMYFUNCTION("""COMPUTED_VALUE"""),"")</f>
        <v/>
      </c>
      <c r="P328" s="503" t="str">
        <f>IFERROR(__xludf.DUMMYFUNCTION("""COMPUTED_VALUE"""),"")</f>
        <v/>
      </c>
      <c r="Q328" s="501" t="str">
        <f>IFERROR(__xludf.DUMMYFUNCTION("""COMPUTED_VALUE"""),"")</f>
        <v/>
      </c>
      <c r="R328" s="501" t="str">
        <f>IFERROR(__xludf.DUMMYFUNCTION("""COMPUTED_VALUE"""),"")</f>
        <v/>
      </c>
      <c r="S328" s="503" t="str">
        <f>IFERROR(__xludf.DUMMYFUNCTION("""COMPUTED_VALUE"""),"")</f>
        <v/>
      </c>
      <c r="T328" s="503" t="str">
        <f>IFERROR(__xludf.DUMMYFUNCTION("""COMPUTED_VALUE"""),"utm_source=facebook&amp;utm_medium=socialmedia&amp;utm_campaign=&amp;utm_content=&amp;referrer=facebook")</f>
        <v>utm_source=facebook&amp;utm_medium=socialmedia&amp;utm_campaign=&amp;utm_content=&amp;referrer=facebook</v>
      </c>
    </row>
    <row r="329">
      <c r="A329" s="501" t="str">
        <f>IFERROR(__xludf.DUMMYFUNCTION("""COMPUTED_VALUE"""),"juli")</f>
        <v>juli</v>
      </c>
      <c r="B329" s="501">
        <f>IFERROR(__xludf.DUMMYFUNCTION("""COMPUTED_VALUE"""),31.0)</f>
        <v>31</v>
      </c>
      <c r="C329" s="501" t="str">
        <f>IFERROR(__xludf.DUMMYFUNCTION("""COMPUTED_VALUE"""),"woensdag")</f>
        <v>woensdag</v>
      </c>
      <c r="D329" s="502">
        <f>IFERROR(__xludf.DUMMYFUNCTION("""COMPUTED_VALUE"""),43677.0)</f>
        <v>43677</v>
      </c>
      <c r="E329" s="502">
        <f>IFERROR(__xludf.DUMMYFUNCTION("""COMPUTED_VALUE"""),43677.0)</f>
        <v>43677</v>
      </c>
      <c r="F329" s="501" t="str">
        <f>IFERROR(__xludf.DUMMYFUNCTION("""COMPUTED_VALUE"""),"")</f>
        <v/>
      </c>
      <c r="G329" s="503" t="str">
        <f>IFERROR(__xludf.DUMMYFUNCTION("""COMPUTED_VALUE"""),"")</f>
        <v/>
      </c>
      <c r="H329" s="501" t="str">
        <f>IFERROR(__xludf.DUMMYFUNCTION("""COMPUTED_VALUE"""),"")</f>
        <v/>
      </c>
      <c r="I329" s="503" t="str">
        <f>IFERROR(__xludf.DUMMYFUNCTION("""COMPUTED_VALUE"""),"")</f>
        <v/>
      </c>
      <c r="J329" s="501" t="str">
        <f>IFERROR(__xludf.DUMMYFUNCTION("""COMPUTED_VALUE"""),"")</f>
        <v/>
      </c>
      <c r="K329" s="503" t="str">
        <f>IFERROR(__xludf.DUMMYFUNCTION("""COMPUTED_VALUE"""),"")</f>
        <v/>
      </c>
      <c r="L329" s="501" t="str">
        <f>IFERROR(__xludf.DUMMYFUNCTION("""COMPUTED_VALUE"""),"")</f>
        <v/>
      </c>
      <c r="M329" s="504">
        <f>IFERROR(__xludf.DUMMYFUNCTION("""COMPUTED_VALUE"""),1.0)</f>
        <v>1</v>
      </c>
      <c r="N329" s="501" t="str">
        <f>IFERROR(__xludf.DUMMYFUNCTION("""COMPUTED_VALUE"""),"")</f>
        <v/>
      </c>
      <c r="O329" s="501" t="str">
        <f>IFERROR(__xludf.DUMMYFUNCTION("""COMPUTED_VALUE"""),"")</f>
        <v/>
      </c>
      <c r="P329" s="503" t="str">
        <f>IFERROR(__xludf.DUMMYFUNCTION("""COMPUTED_VALUE"""),"")</f>
        <v/>
      </c>
      <c r="Q329" s="501" t="str">
        <f>IFERROR(__xludf.DUMMYFUNCTION("""COMPUTED_VALUE"""),"")</f>
        <v/>
      </c>
      <c r="R329" s="501" t="str">
        <f>IFERROR(__xludf.DUMMYFUNCTION("""COMPUTED_VALUE"""),"")</f>
        <v/>
      </c>
      <c r="S329" s="503" t="str">
        <f>IFERROR(__xludf.DUMMYFUNCTION("""COMPUTED_VALUE"""),"")</f>
        <v/>
      </c>
      <c r="T329" s="503" t="str">
        <f>IFERROR(__xludf.DUMMYFUNCTION("""COMPUTED_VALUE"""),"utm_source=facebook&amp;utm_medium=socialmedia&amp;utm_campaign=&amp;utm_content=&amp;referrer=facebook")</f>
        <v>utm_source=facebook&amp;utm_medium=socialmedia&amp;utm_campaign=&amp;utm_content=&amp;referrer=facebook</v>
      </c>
    </row>
    <row r="330">
      <c r="A330" s="501" t="str">
        <f>IFERROR(__xludf.DUMMYFUNCTION("""COMPUTED_VALUE"""),"augustus")</f>
        <v>augustus</v>
      </c>
      <c r="B330" s="501">
        <f>IFERROR(__xludf.DUMMYFUNCTION("""COMPUTED_VALUE"""),31.0)</f>
        <v>31</v>
      </c>
      <c r="C330" s="501" t="str">
        <f>IFERROR(__xludf.DUMMYFUNCTION("""COMPUTED_VALUE"""),"donderdag")</f>
        <v>donderdag</v>
      </c>
      <c r="D330" s="502">
        <f>IFERROR(__xludf.DUMMYFUNCTION("""COMPUTED_VALUE"""),43678.0)</f>
        <v>43678</v>
      </c>
      <c r="E330" s="502">
        <f>IFERROR(__xludf.DUMMYFUNCTION("""COMPUTED_VALUE"""),43708.0)</f>
        <v>43708</v>
      </c>
      <c r="F330" s="501" t="str">
        <f>IFERROR(__xludf.DUMMYFUNCTION("""COMPUTED_VALUE"""),"")</f>
        <v/>
      </c>
      <c r="G330" s="503" t="str">
        <f>IFERROR(__xludf.DUMMYFUNCTION("""COMPUTED_VALUE"""),"")</f>
        <v/>
      </c>
      <c r="H330" s="501" t="str">
        <f>IFERROR(__xludf.DUMMYFUNCTION("""COMPUTED_VALUE"""),"AOC verhuizen do")</f>
        <v>AOC verhuizen do</v>
      </c>
      <c r="I330" s="503" t="str">
        <f>IFERROR(__xludf.DUMMYFUNCTION("""COMPUTED_VALUE"""),"")</f>
        <v/>
      </c>
      <c r="J330" s="501" t="str">
        <f>IFERROR(__xludf.DUMMYFUNCTION("""COMPUTED_VALUE"""),"Briefen")</f>
        <v>Briefen</v>
      </c>
      <c r="K330" s="505" t="str">
        <f>IFERROR(__xludf.DUMMYFUNCTION("""COMPUTED_VALUE""")," URl bevat nieuwe woning 14 dagen ")</f>
        <v>URl bevat nieuwe woning 14 dagen</v>
      </c>
      <c r="L330" s="506">
        <f>IFERROR(__xludf.DUMMYFUNCTION("""COMPUTED_VALUE"""),300.0)</f>
        <v>300</v>
      </c>
      <c r="M330" s="504">
        <f>IFERROR(__xludf.DUMMYFUNCTION("""COMPUTED_VALUE"""),31.0)</f>
        <v>31</v>
      </c>
      <c r="N330" s="501" t="str">
        <f>IFERROR(__xludf.DUMMYFUNCTION("""COMPUTED_VALUE"""),"Product")</f>
        <v>Product</v>
      </c>
      <c r="O330" s="501" t="str">
        <f>IFERROR(__xludf.DUMMYFUNCTION("""COMPUTED_VALUE"""),"Facebook")</f>
        <v>Facebook</v>
      </c>
      <c r="P330" s="503" t="str">
        <f>IFERROR(__xludf.DUMMYFUNCTION("""COMPUTED_VALUE"""),"Facebook - Do - AOC")</f>
        <v>Facebook - Do - AOC</v>
      </c>
      <c r="Q330" s="501" t="str">
        <f>IFERROR(__xludf.DUMMYFUNCTION("""COMPUTED_VALUE"""),"Conversie - Waarde")</f>
        <v>Conversie - Waarde</v>
      </c>
      <c r="R330" s="501" t="str">
        <f>IFERROR(__xludf.DUMMYFUNCTION("""COMPUTED_VALUE"""),"Dark")</f>
        <v>Dark</v>
      </c>
      <c r="S330" s="503" t="str">
        <f>IFERROR(__xludf.DUMMYFUNCTION("""COMPUTED_VALUE"""),"")</f>
        <v/>
      </c>
      <c r="T330"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331">
      <c r="A331" s="501" t="str">
        <f>IFERROR(__xludf.DUMMYFUNCTION("""COMPUTED_VALUE"""),"augustus")</f>
        <v>augustus</v>
      </c>
      <c r="B331" s="501">
        <f>IFERROR(__xludf.DUMMYFUNCTION("""COMPUTED_VALUE"""),31.0)</f>
        <v>31</v>
      </c>
      <c r="C331" s="501" t="str">
        <f>IFERROR(__xludf.DUMMYFUNCTION("""COMPUTED_VALUE"""),"donderdag")</f>
        <v>donderdag</v>
      </c>
      <c r="D331" s="502">
        <f>IFERROR(__xludf.DUMMYFUNCTION("""COMPUTED_VALUE"""),43678.0)</f>
        <v>43678</v>
      </c>
      <c r="E331" s="502">
        <f>IFERROR(__xludf.DUMMYFUNCTION("""COMPUTED_VALUE"""),43708.0)</f>
        <v>43708</v>
      </c>
      <c r="F331" s="501" t="str">
        <f>IFERROR(__xludf.DUMMYFUNCTION("""COMPUTED_VALUE"""),"")</f>
        <v/>
      </c>
      <c r="G331" s="503" t="str">
        <f>IFERROR(__xludf.DUMMYFUNCTION("""COMPUTED_VALUE"""),"")</f>
        <v/>
      </c>
      <c r="H331" s="501" t="str">
        <f>IFERROR(__xludf.DUMMYFUNCTION("""COMPUTED_VALUE"""),"AOC verjaardag do")</f>
        <v>AOC verjaardag do</v>
      </c>
      <c r="I331" s="503" t="str">
        <f>IFERROR(__xludf.DUMMYFUNCTION("""COMPUTED_VALUE"""),"")</f>
        <v/>
      </c>
      <c r="J331" s="501" t="str">
        <f>IFERROR(__xludf.DUMMYFUNCTION("""COMPUTED_VALUE"""),"Briefen")</f>
        <v>Briefen</v>
      </c>
      <c r="K331" s="505" t="str">
        <f>IFERROR(__xludf.DUMMYFUNCTION("""COMPUTED_VALUE""")," Goeie vrienden van jarige 7-30 dagen ")</f>
        <v>Goeie vrienden van jarige 7-30 dagen</v>
      </c>
      <c r="L331" s="506">
        <f>IFERROR(__xludf.DUMMYFUNCTION("""COMPUTED_VALUE"""),300.0)</f>
        <v>300</v>
      </c>
      <c r="M331" s="504">
        <f>IFERROR(__xludf.DUMMYFUNCTION("""COMPUTED_VALUE"""),31.0)</f>
        <v>31</v>
      </c>
      <c r="N331" s="501" t="str">
        <f>IFERROR(__xludf.DUMMYFUNCTION("""COMPUTED_VALUE"""),"Product")</f>
        <v>Product</v>
      </c>
      <c r="O331" s="501" t="str">
        <f>IFERROR(__xludf.DUMMYFUNCTION("""COMPUTED_VALUE"""),"Facebook")</f>
        <v>Facebook</v>
      </c>
      <c r="P331" s="503" t="str">
        <f>IFERROR(__xludf.DUMMYFUNCTION("""COMPUTED_VALUE"""),"Facebook - Do - AOC")</f>
        <v>Facebook - Do - AOC</v>
      </c>
      <c r="Q331" s="501" t="str">
        <f>IFERROR(__xludf.DUMMYFUNCTION("""COMPUTED_VALUE"""),"Conversie - Waarde")</f>
        <v>Conversie - Waarde</v>
      </c>
      <c r="R331" s="501" t="str">
        <f>IFERROR(__xludf.DUMMYFUNCTION("""COMPUTED_VALUE"""),"Dark")</f>
        <v>Dark</v>
      </c>
      <c r="S331" s="503" t="str">
        <f>IFERROR(__xludf.DUMMYFUNCTION("""COMPUTED_VALUE"""),"")</f>
        <v/>
      </c>
      <c r="T331"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332">
      <c r="A332" s="501" t="str">
        <f>IFERROR(__xludf.DUMMYFUNCTION("""COMPUTED_VALUE"""),"augustus")</f>
        <v>augustus</v>
      </c>
      <c r="B332" s="501">
        <f>IFERROR(__xludf.DUMMYFUNCTION("""COMPUTED_VALUE"""),31.0)</f>
        <v>31</v>
      </c>
      <c r="C332" s="501" t="str">
        <f>IFERROR(__xludf.DUMMYFUNCTION("""COMPUTED_VALUE"""),"donderdag")</f>
        <v>donderdag</v>
      </c>
      <c r="D332" s="502">
        <f>IFERROR(__xludf.DUMMYFUNCTION("""COMPUTED_VALUE"""),43678.0)</f>
        <v>43678</v>
      </c>
      <c r="E332" s="502">
        <f>IFERROR(__xludf.DUMMYFUNCTION("""COMPUTED_VALUE"""),43708.0)</f>
        <v>43708</v>
      </c>
      <c r="F332" s="501" t="str">
        <f>IFERROR(__xludf.DUMMYFUNCTION("""COMPUTED_VALUE"""),"")</f>
        <v/>
      </c>
      <c r="G332" s="503" t="str">
        <f>IFERROR(__xludf.DUMMYFUNCTION("""COMPUTED_VALUE"""),"")</f>
        <v/>
      </c>
      <c r="H332" s="501" t="str">
        <f>IFERROR(__xludf.DUMMYFUNCTION("""COMPUTED_VALUE"""),"AOC verjaardag do")</f>
        <v>AOC verjaardag do</v>
      </c>
      <c r="I332" s="503" t="str">
        <f>IFERROR(__xludf.DUMMYFUNCTION("""COMPUTED_VALUE"""),"")</f>
        <v/>
      </c>
      <c r="J332" s="501" t="str">
        <f>IFERROR(__xludf.DUMMYFUNCTION("""COMPUTED_VALUE"""),"Briefen")</f>
        <v>Briefen</v>
      </c>
      <c r="K332" s="505" t="str">
        <f>IFERROR(__xludf.DUMMYFUNCTION("""COMPUTED_VALUE""")," URL bevat verjaardag 2-7 dagen ")</f>
        <v>URL bevat verjaardag 2-7 dagen</v>
      </c>
      <c r="L332" s="506">
        <f>IFERROR(__xludf.DUMMYFUNCTION("""COMPUTED_VALUE"""),1200.0)</f>
        <v>1200</v>
      </c>
      <c r="M332" s="504">
        <f>IFERROR(__xludf.DUMMYFUNCTION("""COMPUTED_VALUE"""),31.0)</f>
        <v>31</v>
      </c>
      <c r="N332" s="501" t="str">
        <f>IFERROR(__xludf.DUMMYFUNCTION("""COMPUTED_VALUE"""),"Product")</f>
        <v>Product</v>
      </c>
      <c r="O332" s="501" t="str">
        <f>IFERROR(__xludf.DUMMYFUNCTION("""COMPUTED_VALUE"""),"Facebook")</f>
        <v>Facebook</v>
      </c>
      <c r="P332" s="503" t="str">
        <f>IFERROR(__xludf.DUMMYFUNCTION("""COMPUTED_VALUE"""),"Facebook - Do - AOC")</f>
        <v>Facebook - Do - AOC</v>
      </c>
      <c r="Q332" s="501" t="str">
        <f>IFERROR(__xludf.DUMMYFUNCTION("""COMPUTED_VALUE"""),"Conversie - Waarde")</f>
        <v>Conversie - Waarde</v>
      </c>
      <c r="R332" s="501" t="str">
        <f>IFERROR(__xludf.DUMMYFUNCTION("""COMPUTED_VALUE"""),"Dark")</f>
        <v>Dark</v>
      </c>
      <c r="S332" s="503" t="str">
        <f>IFERROR(__xludf.DUMMYFUNCTION("""COMPUTED_VALUE"""),"")</f>
        <v/>
      </c>
      <c r="T332"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333">
      <c r="A333" s="501" t="str">
        <f>IFERROR(__xludf.DUMMYFUNCTION("""COMPUTED_VALUE"""),"augustus")</f>
        <v>augustus</v>
      </c>
      <c r="B333" s="501">
        <f>IFERROR(__xludf.DUMMYFUNCTION("""COMPUTED_VALUE"""),31.0)</f>
        <v>31</v>
      </c>
      <c r="C333" s="501" t="str">
        <f>IFERROR(__xludf.DUMMYFUNCTION("""COMPUTED_VALUE"""),"donderdag")</f>
        <v>donderdag</v>
      </c>
      <c r="D333" s="502">
        <f>IFERROR(__xludf.DUMMYFUNCTION("""COMPUTED_VALUE"""),43678.0)</f>
        <v>43678</v>
      </c>
      <c r="E333" s="502">
        <f>IFERROR(__xludf.DUMMYFUNCTION("""COMPUTED_VALUE"""),43708.0)</f>
        <v>43708</v>
      </c>
      <c r="F333" s="501" t="str">
        <f>IFERROR(__xludf.DUMMYFUNCTION("""COMPUTED_VALUE"""),"")</f>
        <v/>
      </c>
      <c r="G333" s="503" t="str">
        <f>IFERROR(__xludf.DUMMYFUNCTION("""COMPUTED_VALUE"""),"")</f>
        <v/>
      </c>
      <c r="H333" s="501" t="str">
        <f>IFERROR(__xludf.DUMMYFUNCTION("""COMPUTED_VALUE"""),"AOC geboorte do")</f>
        <v>AOC geboorte do</v>
      </c>
      <c r="I333" s="503" t="str">
        <f>IFERROR(__xludf.DUMMYFUNCTION("""COMPUTED_VALUE"""),"")</f>
        <v/>
      </c>
      <c r="J333" s="501" t="str">
        <f>IFERROR(__xludf.DUMMYFUNCTION("""COMPUTED_VALUE"""),"Briefen")</f>
        <v>Briefen</v>
      </c>
      <c r="K333" s="505" t="str">
        <f>IFERROR(__xludf.DUMMYFUNCTION("""COMPUTED_VALUE""")," URL bevat geboorte 2-7 dagen ")</f>
        <v>URL bevat geboorte 2-7 dagen</v>
      </c>
      <c r="L333" s="506">
        <f>IFERROR(__xludf.DUMMYFUNCTION("""COMPUTED_VALUE"""),1200.0)</f>
        <v>1200</v>
      </c>
      <c r="M333" s="504">
        <f>IFERROR(__xludf.DUMMYFUNCTION("""COMPUTED_VALUE"""),31.0)</f>
        <v>31</v>
      </c>
      <c r="N333" s="501" t="str">
        <f>IFERROR(__xludf.DUMMYFUNCTION("""COMPUTED_VALUE"""),"Product")</f>
        <v>Product</v>
      </c>
      <c r="O333" s="501" t="str">
        <f>IFERROR(__xludf.DUMMYFUNCTION("""COMPUTED_VALUE"""),"Facebook")</f>
        <v>Facebook</v>
      </c>
      <c r="P333" s="503" t="str">
        <f>IFERROR(__xludf.DUMMYFUNCTION("""COMPUTED_VALUE"""),"Facebook - Do - AOC")</f>
        <v>Facebook - Do - AOC</v>
      </c>
      <c r="Q333" s="501" t="str">
        <f>IFERROR(__xludf.DUMMYFUNCTION("""COMPUTED_VALUE"""),"Conversie - Waarde")</f>
        <v>Conversie - Waarde</v>
      </c>
      <c r="R333" s="501" t="str">
        <f>IFERROR(__xludf.DUMMYFUNCTION("""COMPUTED_VALUE"""),"Dark")</f>
        <v>Dark</v>
      </c>
      <c r="S333" s="503" t="str">
        <f>IFERROR(__xludf.DUMMYFUNCTION("""COMPUTED_VALUE"""),"")</f>
        <v/>
      </c>
      <c r="T333"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334">
      <c r="A334" s="501" t="str">
        <f>IFERROR(__xludf.DUMMYFUNCTION("""COMPUTED_VALUE"""),"augustus")</f>
        <v>augustus</v>
      </c>
      <c r="B334" s="501">
        <f>IFERROR(__xludf.DUMMYFUNCTION("""COMPUTED_VALUE"""),31.0)</f>
        <v>31</v>
      </c>
      <c r="C334" s="501" t="str">
        <f>IFERROR(__xludf.DUMMYFUNCTION("""COMPUTED_VALUE"""),"donderdag")</f>
        <v>donderdag</v>
      </c>
      <c r="D334" s="502">
        <f>IFERROR(__xludf.DUMMYFUNCTION("""COMPUTED_VALUE"""),43678.0)</f>
        <v>43678</v>
      </c>
      <c r="E334" s="502">
        <f>IFERROR(__xludf.DUMMYFUNCTION("""COMPUTED_VALUE"""),43708.0)</f>
        <v>43708</v>
      </c>
      <c r="F334" s="501" t="str">
        <f>IFERROR(__xludf.DUMMYFUNCTION("""COMPUTED_VALUE"""),"")</f>
        <v/>
      </c>
      <c r="G334" s="503" t="str">
        <f>IFERROR(__xludf.DUMMYFUNCTION("""COMPUTED_VALUE"""),"")</f>
        <v/>
      </c>
      <c r="H334" s="501" t="str">
        <f>IFERROR(__xludf.DUMMYFUNCTION("""COMPUTED_VALUE"""),"AOC verhuizen think")</f>
        <v>AOC verhuizen think</v>
      </c>
      <c r="I334" s="503" t="str">
        <f>IFERROR(__xludf.DUMMYFUNCTION("""COMPUTED_VALUE"""),"")</f>
        <v/>
      </c>
      <c r="J334" s="501" t="str">
        <f>IFERROR(__xludf.DUMMYFUNCTION("""COMPUTED_VALUE"""),"Staat klaar")</f>
        <v>Staat klaar</v>
      </c>
      <c r="K334" s="505" t="str">
        <f>IFERROR(__xludf.DUMMYFUNCTION("""COMPUTED_VALUE""")," Vrienden van recent verhuisd ")</f>
        <v>Vrienden van recent verhuisd</v>
      </c>
      <c r="L334" s="506">
        <f>IFERROR(__xludf.DUMMYFUNCTION("""COMPUTED_VALUE"""),300.0)</f>
        <v>300</v>
      </c>
      <c r="M334" s="504">
        <f>IFERROR(__xludf.DUMMYFUNCTION("""COMPUTED_VALUE"""),31.0)</f>
        <v>31</v>
      </c>
      <c r="N334" s="501" t="str">
        <f>IFERROR(__xludf.DUMMYFUNCTION("""COMPUTED_VALUE"""),"Geven/ontvangen")</f>
        <v>Geven/ontvangen</v>
      </c>
      <c r="O334" s="501" t="str">
        <f>IFERROR(__xludf.DUMMYFUNCTION("""COMPUTED_VALUE"""),"Facebook")</f>
        <v>Facebook</v>
      </c>
      <c r="P334" s="503" t="str">
        <f>IFERROR(__xludf.DUMMYFUNCTION("""COMPUTED_VALUE"""),"Facebook - Think - AOC")</f>
        <v>Facebook - Think - AOC</v>
      </c>
      <c r="Q334" s="501" t="str">
        <f>IFERROR(__xludf.DUMMYFUNCTION("""COMPUTED_VALUE"""),"Conversie - Landingspagina")</f>
        <v>Conversie - Landingspagina</v>
      </c>
      <c r="R334" s="501" t="str">
        <f>IFERROR(__xludf.DUMMYFUNCTION("""COMPUTED_VALUE"""),"Dark")</f>
        <v>Dark</v>
      </c>
      <c r="S334" s="503" t="str">
        <f>IFERROR(__xludf.DUMMYFUNCTION("""COMPUTED_VALUE"""),"")</f>
        <v/>
      </c>
      <c r="T334"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335">
      <c r="A335" s="501" t="str">
        <f>IFERROR(__xludf.DUMMYFUNCTION("""COMPUTED_VALUE"""),"augustus")</f>
        <v>augustus</v>
      </c>
      <c r="B335" s="501">
        <f>IFERROR(__xludf.DUMMYFUNCTION("""COMPUTED_VALUE"""),31.0)</f>
        <v>31</v>
      </c>
      <c r="C335" s="501" t="str">
        <f>IFERROR(__xludf.DUMMYFUNCTION("""COMPUTED_VALUE"""),"donderdag")</f>
        <v>donderdag</v>
      </c>
      <c r="D335" s="502">
        <f>IFERROR(__xludf.DUMMYFUNCTION("""COMPUTED_VALUE"""),43678.0)</f>
        <v>43678</v>
      </c>
      <c r="E335" s="502">
        <f>IFERROR(__xludf.DUMMYFUNCTION("""COMPUTED_VALUE"""),43708.0)</f>
        <v>43708</v>
      </c>
      <c r="F335" s="501" t="str">
        <f>IFERROR(__xludf.DUMMYFUNCTION("""COMPUTED_VALUE"""),"")</f>
        <v/>
      </c>
      <c r="G335" s="503" t="str">
        <f>IFERROR(__xludf.DUMMYFUNCTION("""COMPUTED_VALUE"""),"")</f>
        <v/>
      </c>
      <c r="H335" s="501" t="str">
        <f>IFERROR(__xludf.DUMMYFUNCTION("""COMPUTED_VALUE"""),"AOC verhuizen see")</f>
        <v>AOC verhuizen see</v>
      </c>
      <c r="I335" s="503" t="str">
        <f>IFERROR(__xludf.DUMMYFUNCTION("""COMPUTED_VALUE"""),"")</f>
        <v/>
      </c>
      <c r="J335" s="501" t="str">
        <f>IFERROR(__xludf.DUMMYFUNCTION("""COMPUTED_VALUE"""),"Staat klaar")</f>
        <v>Staat klaar</v>
      </c>
      <c r="K335" s="505" t="str">
        <f>IFERROR(__xludf.DUMMYFUNCTION("""COMPUTED_VALUE""")," Vrouw 25-64 (excl klanten, vrienden van verhuisde personen en fans) ")</f>
        <v>Vrouw 25-64 (excl klanten, vrienden van verhuisde personen en fans)</v>
      </c>
      <c r="L335" s="506">
        <f>IFERROR(__xludf.DUMMYFUNCTION("""COMPUTED_VALUE"""),600.0)</f>
        <v>600</v>
      </c>
      <c r="M335" s="504">
        <f>IFERROR(__xludf.DUMMYFUNCTION("""COMPUTED_VALUE"""),31.0)</f>
        <v>31</v>
      </c>
      <c r="N335" s="501" t="str">
        <f>IFERROR(__xludf.DUMMYFUNCTION("""COMPUTED_VALUE"""),"Merk")</f>
        <v>Merk</v>
      </c>
      <c r="O335" s="501" t="str">
        <f>IFERROR(__xludf.DUMMYFUNCTION("""COMPUTED_VALUE"""),"FB + Instagram")</f>
        <v>FB + Instagram</v>
      </c>
      <c r="P335" s="503" t="str">
        <f>IFERROR(__xludf.DUMMYFUNCTION("""COMPUTED_VALUE"""),"Facebook - See - AOC")</f>
        <v>Facebook - See - AOC</v>
      </c>
      <c r="Q335" s="501" t="str">
        <f>IFERROR(__xludf.DUMMYFUNCTION("""COMPUTED_VALUE"""),"Bereik")</f>
        <v>Bereik</v>
      </c>
      <c r="R335" s="501" t="str">
        <f>IFERROR(__xludf.DUMMYFUNCTION("""COMPUTED_VALUE"""),"Dark")</f>
        <v>Dark</v>
      </c>
      <c r="S335" s="503" t="str">
        <f>IFERROR(__xludf.DUMMYFUNCTION("""COMPUTED_VALUE"""),"")</f>
        <v/>
      </c>
      <c r="T335"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336">
      <c r="A336" s="501" t="str">
        <f>IFERROR(__xludf.DUMMYFUNCTION("""COMPUTED_VALUE"""),"augustus")</f>
        <v>augustus</v>
      </c>
      <c r="B336" s="501">
        <f>IFERROR(__xludf.DUMMYFUNCTION("""COMPUTED_VALUE"""),31.0)</f>
        <v>31</v>
      </c>
      <c r="C336" s="501" t="str">
        <f>IFERROR(__xludf.DUMMYFUNCTION("""COMPUTED_VALUE"""),"donderdag")</f>
        <v>donderdag</v>
      </c>
      <c r="D336" s="502">
        <f>IFERROR(__xludf.DUMMYFUNCTION("""COMPUTED_VALUE"""),43678.0)</f>
        <v>43678</v>
      </c>
      <c r="E336" s="502">
        <f>IFERROR(__xludf.DUMMYFUNCTION("""COMPUTED_VALUE"""),43708.0)</f>
        <v>43708</v>
      </c>
      <c r="F336" s="501" t="str">
        <f>IFERROR(__xludf.DUMMYFUNCTION("""COMPUTED_VALUE"""),"")</f>
        <v/>
      </c>
      <c r="G336" s="503" t="str">
        <f>IFERROR(__xludf.DUMMYFUNCTION("""COMPUTED_VALUE"""),"")</f>
        <v/>
      </c>
      <c r="H336" s="501" t="str">
        <f>IFERROR(__xludf.DUMMYFUNCTION("""COMPUTED_VALUE"""),"AOC verjaardag see")</f>
        <v>AOC verjaardag see</v>
      </c>
      <c r="I336" s="503" t="str">
        <f>IFERROR(__xludf.DUMMYFUNCTION("""COMPUTED_VALUE"""),"")</f>
        <v/>
      </c>
      <c r="J336" s="501" t="str">
        <f>IFERROR(__xludf.DUMMYFUNCTION("""COMPUTED_VALUE"""),"Staat klaar")</f>
        <v>Staat klaar</v>
      </c>
      <c r="K336" s="505" t="str">
        <f>IFERROR(__xludf.DUMMYFUNCTION("""COMPUTED_VALUE""")," See - Geboorte ")</f>
        <v>See - Geboorte</v>
      </c>
      <c r="L336" s="506">
        <f>IFERROR(__xludf.DUMMYFUNCTION("""COMPUTED_VALUE"""),1200.0)</f>
        <v>1200</v>
      </c>
      <c r="M336" s="504">
        <f>IFERROR(__xludf.DUMMYFUNCTION("""COMPUTED_VALUE"""),31.0)</f>
        <v>31</v>
      </c>
      <c r="N336" s="501" t="str">
        <f>IFERROR(__xludf.DUMMYFUNCTION("""COMPUTED_VALUE"""),"Merk")</f>
        <v>Merk</v>
      </c>
      <c r="O336" s="501" t="str">
        <f>IFERROR(__xludf.DUMMYFUNCTION("""COMPUTED_VALUE"""),"FB + Instagram")</f>
        <v>FB + Instagram</v>
      </c>
      <c r="P336" s="503" t="str">
        <f>IFERROR(__xludf.DUMMYFUNCTION("""COMPUTED_VALUE"""),"Facebook - See - AOC")</f>
        <v>Facebook - See - AOC</v>
      </c>
      <c r="Q336" s="501" t="str">
        <f>IFERROR(__xludf.DUMMYFUNCTION("""COMPUTED_VALUE"""),"Bereik")</f>
        <v>Bereik</v>
      </c>
      <c r="R336" s="501" t="str">
        <f>IFERROR(__xludf.DUMMYFUNCTION("""COMPUTED_VALUE"""),"Dark")</f>
        <v>Dark</v>
      </c>
      <c r="S336" s="503" t="str">
        <f>IFERROR(__xludf.DUMMYFUNCTION("""COMPUTED_VALUE"""),"")</f>
        <v/>
      </c>
      <c r="T336"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337">
      <c r="A337" s="501" t="str">
        <f>IFERROR(__xludf.DUMMYFUNCTION("""COMPUTED_VALUE"""),"augustus")</f>
        <v>augustus</v>
      </c>
      <c r="B337" s="501">
        <f>IFERROR(__xludf.DUMMYFUNCTION("""COMPUTED_VALUE"""),31.0)</f>
        <v>31</v>
      </c>
      <c r="C337" s="501" t="str">
        <f>IFERROR(__xludf.DUMMYFUNCTION("""COMPUTED_VALUE"""),"donderdag")</f>
        <v>donderdag</v>
      </c>
      <c r="D337" s="502">
        <f>IFERROR(__xludf.DUMMYFUNCTION("""COMPUTED_VALUE"""),43678.0)</f>
        <v>43678</v>
      </c>
      <c r="E337" s="502">
        <f>IFERROR(__xludf.DUMMYFUNCTION("""COMPUTED_VALUE"""),43708.0)</f>
        <v>43708</v>
      </c>
      <c r="F337" s="501" t="str">
        <f>IFERROR(__xludf.DUMMYFUNCTION("""COMPUTED_VALUE"""),"")</f>
        <v/>
      </c>
      <c r="G337" s="503" t="str">
        <f>IFERROR(__xludf.DUMMYFUNCTION("""COMPUTED_VALUE"""),"")</f>
        <v/>
      </c>
      <c r="H337" s="501" t="str">
        <f>IFERROR(__xludf.DUMMYFUNCTION("""COMPUTED_VALUE"""),"AOC geboorte see")</f>
        <v>AOC geboorte see</v>
      </c>
      <c r="I337" s="503" t="str">
        <f>IFERROR(__xludf.DUMMYFUNCTION("""COMPUTED_VALUE"""),"")</f>
        <v/>
      </c>
      <c r="J337" s="501" t="str">
        <f>IFERROR(__xludf.DUMMYFUNCTION("""COMPUTED_VALUE"""),"Staat klaar")</f>
        <v>Staat klaar</v>
      </c>
      <c r="K337" s="505" t="str">
        <f>IFERROR(__xludf.DUMMYFUNCTION("""COMPUTED_VALUE""")," See - Verjaardag ")</f>
        <v>See - Verjaardag</v>
      </c>
      <c r="L337" s="506">
        <f>IFERROR(__xludf.DUMMYFUNCTION("""COMPUTED_VALUE"""),2400.0)</f>
        <v>2400</v>
      </c>
      <c r="M337" s="504">
        <f>IFERROR(__xludf.DUMMYFUNCTION("""COMPUTED_VALUE"""),31.0)</f>
        <v>31</v>
      </c>
      <c r="N337" s="501" t="str">
        <f>IFERROR(__xludf.DUMMYFUNCTION("""COMPUTED_VALUE"""),"Merk")</f>
        <v>Merk</v>
      </c>
      <c r="O337" s="501" t="str">
        <f>IFERROR(__xludf.DUMMYFUNCTION("""COMPUTED_VALUE"""),"FB + Instagram")</f>
        <v>FB + Instagram</v>
      </c>
      <c r="P337" s="503" t="str">
        <f>IFERROR(__xludf.DUMMYFUNCTION("""COMPUTED_VALUE"""),"Facebook - See - AOC")</f>
        <v>Facebook - See - AOC</v>
      </c>
      <c r="Q337" s="501" t="str">
        <f>IFERROR(__xludf.DUMMYFUNCTION("""COMPUTED_VALUE"""),"Bereik")</f>
        <v>Bereik</v>
      </c>
      <c r="R337" s="501" t="str">
        <f>IFERROR(__xludf.DUMMYFUNCTION("""COMPUTED_VALUE"""),"Dark")</f>
        <v>Dark</v>
      </c>
      <c r="S337" s="503" t="str">
        <f>IFERROR(__xludf.DUMMYFUNCTION("""COMPUTED_VALUE"""),"")</f>
        <v/>
      </c>
      <c r="T337"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338">
      <c r="A338" s="501" t="str">
        <f>IFERROR(__xludf.DUMMYFUNCTION("""COMPUTED_VALUE"""),"augustus")</f>
        <v>augustus</v>
      </c>
      <c r="B338" s="501">
        <f>IFERROR(__xludf.DUMMYFUNCTION("""COMPUTED_VALUE"""),31.0)</f>
        <v>31</v>
      </c>
      <c r="C338" s="501" t="str">
        <f>IFERROR(__xludf.DUMMYFUNCTION("""COMPUTED_VALUE"""),"donderdag")</f>
        <v>donderdag</v>
      </c>
      <c r="D338" s="502">
        <f>IFERROR(__xludf.DUMMYFUNCTION("""COMPUTED_VALUE"""),43678.0)</f>
        <v>43678</v>
      </c>
      <c r="E338" s="502">
        <f>IFERROR(__xludf.DUMMYFUNCTION("""COMPUTED_VALUE"""),43678.0)</f>
        <v>43678</v>
      </c>
      <c r="F338" s="501" t="str">
        <f>IFERROR(__xludf.DUMMYFUNCTION("""COMPUTED_VALUE"""),"")</f>
        <v/>
      </c>
      <c r="G338" s="503" t="str">
        <f>IFERROR(__xludf.DUMMYFUNCTION("""COMPUTED_VALUE"""),"")</f>
        <v/>
      </c>
      <c r="H338" s="501" t="str">
        <f>IFERROR(__xludf.DUMMYFUNCTION("""COMPUTED_VALUE"""),"")</f>
        <v/>
      </c>
      <c r="I338" s="503" t="str">
        <f>IFERROR(__xludf.DUMMYFUNCTION("""COMPUTED_VALUE"""),"")</f>
        <v/>
      </c>
      <c r="J338" s="501" t="str">
        <f>IFERROR(__xludf.DUMMYFUNCTION("""COMPUTED_VALUE"""),"")</f>
        <v/>
      </c>
      <c r="K338" s="503" t="str">
        <f>IFERROR(__xludf.DUMMYFUNCTION("""COMPUTED_VALUE"""),"")</f>
        <v/>
      </c>
      <c r="L338" s="501" t="str">
        <f>IFERROR(__xludf.DUMMYFUNCTION("""COMPUTED_VALUE"""),"")</f>
        <v/>
      </c>
      <c r="M338" s="504">
        <f>IFERROR(__xludf.DUMMYFUNCTION("""COMPUTED_VALUE"""),1.0)</f>
        <v>1</v>
      </c>
      <c r="N338" s="501" t="str">
        <f>IFERROR(__xludf.DUMMYFUNCTION("""COMPUTED_VALUE"""),"")</f>
        <v/>
      </c>
      <c r="O338" s="501" t="str">
        <f>IFERROR(__xludf.DUMMYFUNCTION("""COMPUTED_VALUE"""),"")</f>
        <v/>
      </c>
      <c r="P338" s="503" t="str">
        <f>IFERROR(__xludf.DUMMYFUNCTION("""COMPUTED_VALUE"""),"")</f>
        <v/>
      </c>
      <c r="Q338" s="501" t="str">
        <f>IFERROR(__xludf.DUMMYFUNCTION("""COMPUTED_VALUE"""),"")</f>
        <v/>
      </c>
      <c r="R338" s="501" t="str">
        <f>IFERROR(__xludf.DUMMYFUNCTION("""COMPUTED_VALUE"""),"")</f>
        <v/>
      </c>
      <c r="S338" s="503" t="str">
        <f>IFERROR(__xludf.DUMMYFUNCTION("""COMPUTED_VALUE"""),"")</f>
        <v/>
      </c>
      <c r="T338" s="503" t="str">
        <f>IFERROR(__xludf.DUMMYFUNCTION("""COMPUTED_VALUE"""),"utm_source=facebook&amp;utm_medium=socialmedia&amp;utm_campaign=&amp;utm_content=&amp;referrer=facebook")</f>
        <v>utm_source=facebook&amp;utm_medium=socialmedia&amp;utm_campaign=&amp;utm_content=&amp;referrer=facebook</v>
      </c>
    </row>
    <row r="339">
      <c r="A339" s="501" t="str">
        <f>IFERROR(__xludf.DUMMYFUNCTION("""COMPUTED_VALUE"""),"augustus")</f>
        <v>augustus</v>
      </c>
      <c r="B339" s="501">
        <f>IFERROR(__xludf.DUMMYFUNCTION("""COMPUTED_VALUE"""),31.0)</f>
        <v>31</v>
      </c>
      <c r="C339" s="501" t="str">
        <f>IFERROR(__xludf.DUMMYFUNCTION("""COMPUTED_VALUE"""),"vrijdag")</f>
        <v>vrijdag</v>
      </c>
      <c r="D339" s="502">
        <f>IFERROR(__xludf.DUMMYFUNCTION("""COMPUTED_VALUE"""),43679.0)</f>
        <v>43679</v>
      </c>
      <c r="E339" s="502">
        <f>IFERROR(__xludf.DUMMYFUNCTION("""COMPUTED_VALUE"""),43679.0)</f>
        <v>43679</v>
      </c>
      <c r="F339" s="501" t="str">
        <f>IFERROR(__xludf.DUMMYFUNCTION("""COMPUTED_VALUE"""),"")</f>
        <v/>
      </c>
      <c r="G339" s="503" t="str">
        <f>IFERROR(__xludf.DUMMYFUNCTION("""COMPUTED_VALUE"""),"")</f>
        <v/>
      </c>
      <c r="H339" s="501" t="str">
        <f>IFERROR(__xludf.DUMMYFUNCTION("""COMPUTED_VALUE"""),"")</f>
        <v/>
      </c>
      <c r="I339" s="503" t="str">
        <f>IFERROR(__xludf.DUMMYFUNCTION("""COMPUTED_VALUE"""),"")</f>
        <v/>
      </c>
      <c r="J339" s="501" t="str">
        <f>IFERROR(__xludf.DUMMYFUNCTION("""COMPUTED_VALUE"""),"")</f>
        <v/>
      </c>
      <c r="K339" s="503" t="str">
        <f>IFERROR(__xludf.DUMMYFUNCTION("""COMPUTED_VALUE"""),"")</f>
        <v/>
      </c>
      <c r="L339" s="501" t="str">
        <f>IFERROR(__xludf.DUMMYFUNCTION("""COMPUTED_VALUE"""),"")</f>
        <v/>
      </c>
      <c r="M339" s="504">
        <f>IFERROR(__xludf.DUMMYFUNCTION("""COMPUTED_VALUE"""),1.0)</f>
        <v>1</v>
      </c>
      <c r="N339" s="501" t="str">
        <f>IFERROR(__xludf.DUMMYFUNCTION("""COMPUTED_VALUE"""),"")</f>
        <v/>
      </c>
      <c r="O339" s="501" t="str">
        <f>IFERROR(__xludf.DUMMYFUNCTION("""COMPUTED_VALUE"""),"")</f>
        <v/>
      </c>
      <c r="P339" s="503" t="str">
        <f>IFERROR(__xludf.DUMMYFUNCTION("""COMPUTED_VALUE"""),"")</f>
        <v/>
      </c>
      <c r="Q339" s="501" t="str">
        <f>IFERROR(__xludf.DUMMYFUNCTION("""COMPUTED_VALUE"""),"")</f>
        <v/>
      </c>
      <c r="R339" s="501" t="str">
        <f>IFERROR(__xludf.DUMMYFUNCTION("""COMPUTED_VALUE"""),"")</f>
        <v/>
      </c>
      <c r="S339" s="503" t="str">
        <f>IFERROR(__xludf.DUMMYFUNCTION("""COMPUTED_VALUE"""),"")</f>
        <v/>
      </c>
      <c r="T339" s="503" t="str">
        <f>IFERROR(__xludf.DUMMYFUNCTION("""COMPUTED_VALUE"""),"utm_source=facebook&amp;utm_medium=socialmedia&amp;utm_campaign=&amp;utm_content=&amp;referrer=facebook")</f>
        <v>utm_source=facebook&amp;utm_medium=socialmedia&amp;utm_campaign=&amp;utm_content=&amp;referrer=facebook</v>
      </c>
    </row>
    <row r="340">
      <c r="A340" s="501" t="str">
        <f>IFERROR(__xludf.DUMMYFUNCTION("""COMPUTED_VALUE"""),"augustus")</f>
        <v>augustus</v>
      </c>
      <c r="B340" s="501">
        <f>IFERROR(__xludf.DUMMYFUNCTION("""COMPUTED_VALUE"""),31.0)</f>
        <v>31</v>
      </c>
      <c r="C340" s="501" t="str">
        <f>IFERROR(__xludf.DUMMYFUNCTION("""COMPUTED_VALUE"""),"zaterdag")</f>
        <v>zaterdag</v>
      </c>
      <c r="D340" s="502">
        <f>IFERROR(__xludf.DUMMYFUNCTION("""COMPUTED_VALUE"""),43680.0)</f>
        <v>43680</v>
      </c>
      <c r="E340" s="502">
        <f>IFERROR(__xludf.DUMMYFUNCTION("""COMPUTED_VALUE"""),43680.0)</f>
        <v>43680</v>
      </c>
      <c r="F340" s="501" t="str">
        <f>IFERROR(__xludf.DUMMYFUNCTION("""COMPUTED_VALUE"""),"")</f>
        <v/>
      </c>
      <c r="G340" s="503" t="str">
        <f>IFERROR(__xludf.DUMMYFUNCTION("""COMPUTED_VALUE"""),"")</f>
        <v/>
      </c>
      <c r="H340" s="501" t="str">
        <f>IFERROR(__xludf.DUMMYFUNCTION("""COMPUTED_VALUE"""),"")</f>
        <v/>
      </c>
      <c r="I340" s="503" t="str">
        <f>IFERROR(__xludf.DUMMYFUNCTION("""COMPUTED_VALUE"""),"")</f>
        <v/>
      </c>
      <c r="J340" s="501" t="str">
        <f>IFERROR(__xludf.DUMMYFUNCTION("""COMPUTED_VALUE"""),"")</f>
        <v/>
      </c>
      <c r="K340" s="503" t="str">
        <f>IFERROR(__xludf.DUMMYFUNCTION("""COMPUTED_VALUE"""),"")</f>
        <v/>
      </c>
      <c r="L340" s="501" t="str">
        <f>IFERROR(__xludf.DUMMYFUNCTION("""COMPUTED_VALUE"""),"")</f>
        <v/>
      </c>
      <c r="M340" s="504">
        <f>IFERROR(__xludf.DUMMYFUNCTION("""COMPUTED_VALUE"""),1.0)</f>
        <v>1</v>
      </c>
      <c r="N340" s="501" t="str">
        <f>IFERROR(__xludf.DUMMYFUNCTION("""COMPUTED_VALUE"""),"")</f>
        <v/>
      </c>
      <c r="O340" s="501" t="str">
        <f>IFERROR(__xludf.DUMMYFUNCTION("""COMPUTED_VALUE"""),"")</f>
        <v/>
      </c>
      <c r="P340" s="503" t="str">
        <f>IFERROR(__xludf.DUMMYFUNCTION("""COMPUTED_VALUE"""),"")</f>
        <v/>
      </c>
      <c r="Q340" s="501" t="str">
        <f>IFERROR(__xludf.DUMMYFUNCTION("""COMPUTED_VALUE"""),"")</f>
        <v/>
      </c>
      <c r="R340" s="501" t="str">
        <f>IFERROR(__xludf.DUMMYFUNCTION("""COMPUTED_VALUE"""),"")</f>
        <v/>
      </c>
      <c r="S340" s="503" t="str">
        <f>IFERROR(__xludf.DUMMYFUNCTION("""COMPUTED_VALUE"""),"")</f>
        <v/>
      </c>
      <c r="T340" s="503" t="str">
        <f>IFERROR(__xludf.DUMMYFUNCTION("""COMPUTED_VALUE"""),"utm_source=facebook&amp;utm_medium=socialmedia&amp;utm_campaign=&amp;utm_content=&amp;referrer=facebook")</f>
        <v>utm_source=facebook&amp;utm_medium=socialmedia&amp;utm_campaign=&amp;utm_content=&amp;referrer=facebook</v>
      </c>
    </row>
    <row r="341">
      <c r="A341" s="501" t="str">
        <f>IFERROR(__xludf.DUMMYFUNCTION("""COMPUTED_VALUE"""),"augustus")</f>
        <v>augustus</v>
      </c>
      <c r="B341" s="501">
        <f>IFERROR(__xludf.DUMMYFUNCTION("""COMPUTED_VALUE"""),32.0)</f>
        <v>32</v>
      </c>
      <c r="C341" s="501" t="str">
        <f>IFERROR(__xludf.DUMMYFUNCTION("""COMPUTED_VALUE"""),"zondag")</f>
        <v>zondag</v>
      </c>
      <c r="D341" s="502">
        <f>IFERROR(__xludf.DUMMYFUNCTION("""COMPUTED_VALUE"""),43681.0)</f>
        <v>43681</v>
      </c>
      <c r="E341" s="502">
        <f>IFERROR(__xludf.DUMMYFUNCTION("""COMPUTED_VALUE"""),43681.0)</f>
        <v>43681</v>
      </c>
      <c r="F341" s="501" t="str">
        <f>IFERROR(__xludf.DUMMYFUNCTION("""COMPUTED_VALUE"""),"")</f>
        <v/>
      </c>
      <c r="G341" s="503" t="str">
        <f>IFERROR(__xludf.DUMMYFUNCTION("""COMPUTED_VALUE"""),"")</f>
        <v/>
      </c>
      <c r="H341" s="501" t="str">
        <f>IFERROR(__xludf.DUMMYFUNCTION("""COMPUTED_VALUE"""),"")</f>
        <v/>
      </c>
      <c r="I341" s="503" t="str">
        <f>IFERROR(__xludf.DUMMYFUNCTION("""COMPUTED_VALUE"""),"")</f>
        <v/>
      </c>
      <c r="J341" s="501" t="str">
        <f>IFERROR(__xludf.DUMMYFUNCTION("""COMPUTED_VALUE"""),"")</f>
        <v/>
      </c>
      <c r="K341" s="503" t="str">
        <f>IFERROR(__xludf.DUMMYFUNCTION("""COMPUTED_VALUE"""),"")</f>
        <v/>
      </c>
      <c r="L341" s="501" t="str">
        <f>IFERROR(__xludf.DUMMYFUNCTION("""COMPUTED_VALUE"""),"")</f>
        <v/>
      </c>
      <c r="M341" s="504">
        <f>IFERROR(__xludf.DUMMYFUNCTION("""COMPUTED_VALUE"""),1.0)</f>
        <v>1</v>
      </c>
      <c r="N341" s="501" t="str">
        <f>IFERROR(__xludf.DUMMYFUNCTION("""COMPUTED_VALUE"""),"")</f>
        <v/>
      </c>
      <c r="O341" s="501" t="str">
        <f>IFERROR(__xludf.DUMMYFUNCTION("""COMPUTED_VALUE"""),"")</f>
        <v/>
      </c>
      <c r="P341" s="503" t="str">
        <f>IFERROR(__xludf.DUMMYFUNCTION("""COMPUTED_VALUE"""),"")</f>
        <v/>
      </c>
      <c r="Q341" s="501" t="str">
        <f>IFERROR(__xludf.DUMMYFUNCTION("""COMPUTED_VALUE"""),"")</f>
        <v/>
      </c>
      <c r="R341" s="501" t="str">
        <f>IFERROR(__xludf.DUMMYFUNCTION("""COMPUTED_VALUE"""),"")</f>
        <v/>
      </c>
      <c r="S341" s="503" t="str">
        <f>IFERROR(__xludf.DUMMYFUNCTION("""COMPUTED_VALUE"""),"")</f>
        <v/>
      </c>
      <c r="T341" s="503" t="str">
        <f>IFERROR(__xludf.DUMMYFUNCTION("""COMPUTED_VALUE"""),"utm_source=facebook&amp;utm_medium=socialmedia&amp;utm_campaign=&amp;utm_content=&amp;referrer=facebook")</f>
        <v>utm_source=facebook&amp;utm_medium=socialmedia&amp;utm_campaign=&amp;utm_content=&amp;referrer=facebook</v>
      </c>
    </row>
    <row r="342">
      <c r="A342" s="501" t="str">
        <f>IFERROR(__xludf.DUMMYFUNCTION("""COMPUTED_VALUE"""),"augustus")</f>
        <v>augustus</v>
      </c>
      <c r="B342" s="501">
        <f>IFERROR(__xludf.DUMMYFUNCTION("""COMPUTED_VALUE"""),32.0)</f>
        <v>32</v>
      </c>
      <c r="C342" s="501" t="str">
        <f>IFERROR(__xludf.DUMMYFUNCTION("""COMPUTED_VALUE"""),"maandag")</f>
        <v>maandag</v>
      </c>
      <c r="D342" s="502">
        <f>IFERROR(__xludf.DUMMYFUNCTION("""COMPUTED_VALUE"""),43682.0)</f>
        <v>43682</v>
      </c>
      <c r="E342" s="502">
        <f>IFERROR(__xludf.DUMMYFUNCTION("""COMPUTED_VALUE"""),43682.0)</f>
        <v>43682</v>
      </c>
      <c r="F342" s="501" t="str">
        <f>IFERROR(__xludf.DUMMYFUNCTION("""COMPUTED_VALUE"""),"")</f>
        <v/>
      </c>
      <c r="G342" s="503" t="str">
        <f>IFERROR(__xludf.DUMMYFUNCTION("""COMPUTED_VALUE"""),"")</f>
        <v/>
      </c>
      <c r="H342" s="501" t="str">
        <f>IFERROR(__xludf.DUMMYFUNCTION("""COMPUTED_VALUE"""),"")</f>
        <v/>
      </c>
      <c r="I342" s="503" t="str">
        <f>IFERROR(__xludf.DUMMYFUNCTION("""COMPUTED_VALUE"""),"")</f>
        <v/>
      </c>
      <c r="J342" s="501" t="str">
        <f>IFERROR(__xludf.DUMMYFUNCTION("""COMPUTED_VALUE"""),"")</f>
        <v/>
      </c>
      <c r="K342" s="503" t="str">
        <f>IFERROR(__xludf.DUMMYFUNCTION("""COMPUTED_VALUE"""),"")</f>
        <v/>
      </c>
      <c r="L342" s="501" t="str">
        <f>IFERROR(__xludf.DUMMYFUNCTION("""COMPUTED_VALUE"""),"")</f>
        <v/>
      </c>
      <c r="M342" s="504">
        <f>IFERROR(__xludf.DUMMYFUNCTION("""COMPUTED_VALUE"""),1.0)</f>
        <v>1</v>
      </c>
      <c r="N342" s="501" t="str">
        <f>IFERROR(__xludf.DUMMYFUNCTION("""COMPUTED_VALUE"""),"")</f>
        <v/>
      </c>
      <c r="O342" s="501" t="str">
        <f>IFERROR(__xludf.DUMMYFUNCTION("""COMPUTED_VALUE"""),"")</f>
        <v/>
      </c>
      <c r="P342" s="503" t="str">
        <f>IFERROR(__xludf.DUMMYFUNCTION("""COMPUTED_VALUE"""),"")</f>
        <v/>
      </c>
      <c r="Q342" s="501" t="str">
        <f>IFERROR(__xludf.DUMMYFUNCTION("""COMPUTED_VALUE"""),"")</f>
        <v/>
      </c>
      <c r="R342" s="501" t="str">
        <f>IFERROR(__xludf.DUMMYFUNCTION("""COMPUTED_VALUE"""),"")</f>
        <v/>
      </c>
      <c r="S342" s="503" t="str">
        <f>IFERROR(__xludf.DUMMYFUNCTION("""COMPUTED_VALUE"""),"")</f>
        <v/>
      </c>
      <c r="T342" s="503" t="str">
        <f>IFERROR(__xludf.DUMMYFUNCTION("""COMPUTED_VALUE"""),"utm_source=facebook&amp;utm_medium=socialmedia&amp;utm_campaign=&amp;utm_content=&amp;referrer=facebook")</f>
        <v>utm_source=facebook&amp;utm_medium=socialmedia&amp;utm_campaign=&amp;utm_content=&amp;referrer=facebook</v>
      </c>
    </row>
    <row r="343">
      <c r="A343" s="501" t="str">
        <f>IFERROR(__xludf.DUMMYFUNCTION("""COMPUTED_VALUE"""),"augustus")</f>
        <v>augustus</v>
      </c>
      <c r="B343" s="501">
        <f>IFERROR(__xludf.DUMMYFUNCTION("""COMPUTED_VALUE"""),32.0)</f>
        <v>32</v>
      </c>
      <c r="C343" s="501" t="str">
        <f>IFERROR(__xludf.DUMMYFUNCTION("""COMPUTED_VALUE"""),"dinsdag")</f>
        <v>dinsdag</v>
      </c>
      <c r="D343" s="502">
        <f>IFERROR(__xludf.DUMMYFUNCTION("""COMPUTED_VALUE"""),43683.0)</f>
        <v>43683</v>
      </c>
      <c r="E343" s="502">
        <f>IFERROR(__xludf.DUMMYFUNCTION("""COMPUTED_VALUE"""),43683.0)</f>
        <v>43683</v>
      </c>
      <c r="F343" s="501" t="str">
        <f>IFERROR(__xludf.DUMMYFUNCTION("""COMPUTED_VALUE"""),"")</f>
        <v/>
      </c>
      <c r="G343" s="503" t="str">
        <f>IFERROR(__xludf.DUMMYFUNCTION("""COMPUTED_VALUE"""),"")</f>
        <v/>
      </c>
      <c r="H343" s="501" t="str">
        <f>IFERROR(__xludf.DUMMYFUNCTION("""COMPUTED_VALUE"""),"")</f>
        <v/>
      </c>
      <c r="I343" s="503" t="str">
        <f>IFERROR(__xludf.DUMMYFUNCTION("""COMPUTED_VALUE"""),"")</f>
        <v/>
      </c>
      <c r="J343" s="501" t="str">
        <f>IFERROR(__xludf.DUMMYFUNCTION("""COMPUTED_VALUE"""),"")</f>
        <v/>
      </c>
      <c r="K343" s="503" t="str">
        <f>IFERROR(__xludf.DUMMYFUNCTION("""COMPUTED_VALUE"""),"")</f>
        <v/>
      </c>
      <c r="L343" s="501" t="str">
        <f>IFERROR(__xludf.DUMMYFUNCTION("""COMPUTED_VALUE"""),"")</f>
        <v/>
      </c>
      <c r="M343" s="504">
        <f>IFERROR(__xludf.DUMMYFUNCTION("""COMPUTED_VALUE"""),1.0)</f>
        <v>1</v>
      </c>
      <c r="N343" s="501" t="str">
        <f>IFERROR(__xludf.DUMMYFUNCTION("""COMPUTED_VALUE"""),"")</f>
        <v/>
      </c>
      <c r="O343" s="501" t="str">
        <f>IFERROR(__xludf.DUMMYFUNCTION("""COMPUTED_VALUE"""),"")</f>
        <v/>
      </c>
      <c r="P343" s="503" t="str">
        <f>IFERROR(__xludf.DUMMYFUNCTION("""COMPUTED_VALUE"""),"")</f>
        <v/>
      </c>
      <c r="Q343" s="501" t="str">
        <f>IFERROR(__xludf.DUMMYFUNCTION("""COMPUTED_VALUE"""),"")</f>
        <v/>
      </c>
      <c r="R343" s="501" t="str">
        <f>IFERROR(__xludf.DUMMYFUNCTION("""COMPUTED_VALUE"""),"")</f>
        <v/>
      </c>
      <c r="S343" s="503" t="str">
        <f>IFERROR(__xludf.DUMMYFUNCTION("""COMPUTED_VALUE"""),"")</f>
        <v/>
      </c>
      <c r="T343" s="503" t="str">
        <f>IFERROR(__xludf.DUMMYFUNCTION("""COMPUTED_VALUE"""),"utm_source=facebook&amp;utm_medium=socialmedia&amp;utm_campaign=&amp;utm_content=&amp;referrer=facebook")</f>
        <v>utm_source=facebook&amp;utm_medium=socialmedia&amp;utm_campaign=&amp;utm_content=&amp;referrer=facebook</v>
      </c>
    </row>
    <row r="344">
      <c r="A344" s="501" t="str">
        <f>IFERROR(__xludf.DUMMYFUNCTION("""COMPUTED_VALUE"""),"augustus")</f>
        <v>augustus</v>
      </c>
      <c r="B344" s="501">
        <f>IFERROR(__xludf.DUMMYFUNCTION("""COMPUTED_VALUE"""),32.0)</f>
        <v>32</v>
      </c>
      <c r="C344" s="501" t="str">
        <f>IFERROR(__xludf.DUMMYFUNCTION("""COMPUTED_VALUE"""),"woensdag")</f>
        <v>woensdag</v>
      </c>
      <c r="D344" s="502">
        <f>IFERROR(__xludf.DUMMYFUNCTION("""COMPUTED_VALUE"""),43684.0)</f>
        <v>43684</v>
      </c>
      <c r="E344" s="502">
        <f>IFERROR(__xludf.DUMMYFUNCTION("""COMPUTED_VALUE"""),43684.0)</f>
        <v>43684</v>
      </c>
      <c r="F344" s="501" t="str">
        <f>IFERROR(__xludf.DUMMYFUNCTION("""COMPUTED_VALUE"""),"")</f>
        <v/>
      </c>
      <c r="G344" s="503" t="str">
        <f>IFERROR(__xludf.DUMMYFUNCTION("""COMPUTED_VALUE"""),"")</f>
        <v/>
      </c>
      <c r="H344" s="501" t="str">
        <f>IFERROR(__xludf.DUMMYFUNCTION("""COMPUTED_VALUE"""),"")</f>
        <v/>
      </c>
      <c r="I344" s="503" t="str">
        <f>IFERROR(__xludf.DUMMYFUNCTION("""COMPUTED_VALUE"""),"")</f>
        <v/>
      </c>
      <c r="J344" s="501" t="str">
        <f>IFERROR(__xludf.DUMMYFUNCTION("""COMPUTED_VALUE"""),"")</f>
        <v/>
      </c>
      <c r="K344" s="503" t="str">
        <f>IFERROR(__xludf.DUMMYFUNCTION("""COMPUTED_VALUE"""),"")</f>
        <v/>
      </c>
      <c r="L344" s="501" t="str">
        <f>IFERROR(__xludf.DUMMYFUNCTION("""COMPUTED_VALUE"""),"")</f>
        <v/>
      </c>
      <c r="M344" s="504">
        <f>IFERROR(__xludf.DUMMYFUNCTION("""COMPUTED_VALUE"""),1.0)</f>
        <v>1</v>
      </c>
      <c r="N344" s="501" t="str">
        <f>IFERROR(__xludf.DUMMYFUNCTION("""COMPUTED_VALUE"""),"")</f>
        <v/>
      </c>
      <c r="O344" s="501" t="str">
        <f>IFERROR(__xludf.DUMMYFUNCTION("""COMPUTED_VALUE"""),"")</f>
        <v/>
      </c>
      <c r="P344" s="503" t="str">
        <f>IFERROR(__xludf.DUMMYFUNCTION("""COMPUTED_VALUE"""),"")</f>
        <v/>
      </c>
      <c r="Q344" s="501" t="str">
        <f>IFERROR(__xludf.DUMMYFUNCTION("""COMPUTED_VALUE"""),"")</f>
        <v/>
      </c>
      <c r="R344" s="501" t="str">
        <f>IFERROR(__xludf.DUMMYFUNCTION("""COMPUTED_VALUE"""),"")</f>
        <v/>
      </c>
      <c r="S344" s="503" t="str">
        <f>IFERROR(__xludf.DUMMYFUNCTION("""COMPUTED_VALUE"""),"")</f>
        <v/>
      </c>
      <c r="T344" s="503" t="str">
        <f>IFERROR(__xludf.DUMMYFUNCTION("""COMPUTED_VALUE"""),"utm_source=facebook&amp;utm_medium=socialmedia&amp;utm_campaign=&amp;utm_content=&amp;referrer=facebook")</f>
        <v>utm_source=facebook&amp;utm_medium=socialmedia&amp;utm_campaign=&amp;utm_content=&amp;referrer=facebook</v>
      </c>
    </row>
    <row r="345">
      <c r="A345" s="501" t="str">
        <f>IFERROR(__xludf.DUMMYFUNCTION("""COMPUTED_VALUE"""),"augustus")</f>
        <v>augustus</v>
      </c>
      <c r="B345" s="501">
        <f>IFERROR(__xludf.DUMMYFUNCTION("""COMPUTED_VALUE"""),32.0)</f>
        <v>32</v>
      </c>
      <c r="C345" s="501" t="str">
        <f>IFERROR(__xludf.DUMMYFUNCTION("""COMPUTED_VALUE"""),"donderdag")</f>
        <v>donderdag</v>
      </c>
      <c r="D345" s="502">
        <f>IFERROR(__xludf.DUMMYFUNCTION("""COMPUTED_VALUE"""),43685.0)</f>
        <v>43685</v>
      </c>
      <c r="E345" s="502">
        <f>IFERROR(__xludf.DUMMYFUNCTION("""COMPUTED_VALUE"""),43685.0)</f>
        <v>43685</v>
      </c>
      <c r="F345" s="501" t="str">
        <f>IFERROR(__xludf.DUMMYFUNCTION("""COMPUTED_VALUE"""),"")</f>
        <v/>
      </c>
      <c r="G345" s="503" t="str">
        <f>IFERROR(__xludf.DUMMYFUNCTION("""COMPUTED_VALUE"""),"")</f>
        <v/>
      </c>
      <c r="H345" s="501" t="str">
        <f>IFERROR(__xludf.DUMMYFUNCTION("""COMPUTED_VALUE"""),"")</f>
        <v/>
      </c>
      <c r="I345" s="503" t="str">
        <f>IFERROR(__xludf.DUMMYFUNCTION("""COMPUTED_VALUE"""),"")</f>
        <v/>
      </c>
      <c r="J345" s="501" t="str">
        <f>IFERROR(__xludf.DUMMYFUNCTION("""COMPUTED_VALUE"""),"")</f>
        <v/>
      </c>
      <c r="K345" s="503" t="str">
        <f>IFERROR(__xludf.DUMMYFUNCTION("""COMPUTED_VALUE"""),"")</f>
        <v/>
      </c>
      <c r="L345" s="501" t="str">
        <f>IFERROR(__xludf.DUMMYFUNCTION("""COMPUTED_VALUE"""),"")</f>
        <v/>
      </c>
      <c r="M345" s="504">
        <f>IFERROR(__xludf.DUMMYFUNCTION("""COMPUTED_VALUE"""),1.0)</f>
        <v>1</v>
      </c>
      <c r="N345" s="501" t="str">
        <f>IFERROR(__xludf.DUMMYFUNCTION("""COMPUTED_VALUE"""),"")</f>
        <v/>
      </c>
      <c r="O345" s="501" t="str">
        <f>IFERROR(__xludf.DUMMYFUNCTION("""COMPUTED_VALUE"""),"")</f>
        <v/>
      </c>
      <c r="P345" s="503" t="str">
        <f>IFERROR(__xludf.DUMMYFUNCTION("""COMPUTED_VALUE"""),"")</f>
        <v/>
      </c>
      <c r="Q345" s="501" t="str">
        <f>IFERROR(__xludf.DUMMYFUNCTION("""COMPUTED_VALUE"""),"")</f>
        <v/>
      </c>
      <c r="R345" s="501" t="str">
        <f>IFERROR(__xludf.DUMMYFUNCTION("""COMPUTED_VALUE"""),"")</f>
        <v/>
      </c>
      <c r="S345" s="503" t="str">
        <f>IFERROR(__xludf.DUMMYFUNCTION("""COMPUTED_VALUE"""),"")</f>
        <v/>
      </c>
      <c r="T345" s="503" t="str">
        <f>IFERROR(__xludf.DUMMYFUNCTION("""COMPUTED_VALUE"""),"utm_source=facebook&amp;utm_medium=socialmedia&amp;utm_campaign=&amp;utm_content=&amp;referrer=facebook")</f>
        <v>utm_source=facebook&amp;utm_medium=socialmedia&amp;utm_campaign=&amp;utm_content=&amp;referrer=facebook</v>
      </c>
    </row>
    <row r="346">
      <c r="A346" s="501" t="str">
        <f>IFERROR(__xludf.DUMMYFUNCTION("""COMPUTED_VALUE"""),"augustus")</f>
        <v>augustus</v>
      </c>
      <c r="B346" s="501">
        <f>IFERROR(__xludf.DUMMYFUNCTION("""COMPUTED_VALUE"""),32.0)</f>
        <v>32</v>
      </c>
      <c r="C346" s="501" t="str">
        <f>IFERROR(__xludf.DUMMYFUNCTION("""COMPUTED_VALUE"""),"vrijdag")</f>
        <v>vrijdag</v>
      </c>
      <c r="D346" s="502">
        <f>IFERROR(__xludf.DUMMYFUNCTION("""COMPUTED_VALUE"""),43686.0)</f>
        <v>43686</v>
      </c>
      <c r="E346" s="502">
        <f>IFERROR(__xludf.DUMMYFUNCTION("""COMPUTED_VALUE"""),43686.0)</f>
        <v>43686</v>
      </c>
      <c r="F346" s="501" t="str">
        <f>IFERROR(__xludf.DUMMYFUNCTION("""COMPUTED_VALUE"""),"")</f>
        <v/>
      </c>
      <c r="G346" s="503" t="str">
        <f>IFERROR(__xludf.DUMMYFUNCTION("""COMPUTED_VALUE"""),"")</f>
        <v/>
      </c>
      <c r="H346" s="501" t="str">
        <f>IFERROR(__xludf.DUMMYFUNCTION("""COMPUTED_VALUE"""),"")</f>
        <v/>
      </c>
      <c r="I346" s="503" t="str">
        <f>IFERROR(__xludf.DUMMYFUNCTION("""COMPUTED_VALUE"""),"")</f>
        <v/>
      </c>
      <c r="J346" s="501" t="str">
        <f>IFERROR(__xludf.DUMMYFUNCTION("""COMPUTED_VALUE"""),"")</f>
        <v/>
      </c>
      <c r="K346" s="503" t="str">
        <f>IFERROR(__xludf.DUMMYFUNCTION("""COMPUTED_VALUE"""),"")</f>
        <v/>
      </c>
      <c r="L346" s="501" t="str">
        <f>IFERROR(__xludf.DUMMYFUNCTION("""COMPUTED_VALUE"""),"")</f>
        <v/>
      </c>
      <c r="M346" s="504">
        <f>IFERROR(__xludf.DUMMYFUNCTION("""COMPUTED_VALUE"""),1.0)</f>
        <v>1</v>
      </c>
      <c r="N346" s="501" t="str">
        <f>IFERROR(__xludf.DUMMYFUNCTION("""COMPUTED_VALUE"""),"")</f>
        <v/>
      </c>
      <c r="O346" s="501" t="str">
        <f>IFERROR(__xludf.DUMMYFUNCTION("""COMPUTED_VALUE"""),"")</f>
        <v/>
      </c>
      <c r="P346" s="503" t="str">
        <f>IFERROR(__xludf.DUMMYFUNCTION("""COMPUTED_VALUE"""),"")</f>
        <v/>
      </c>
      <c r="Q346" s="501" t="str">
        <f>IFERROR(__xludf.DUMMYFUNCTION("""COMPUTED_VALUE"""),"")</f>
        <v/>
      </c>
      <c r="R346" s="501" t="str">
        <f>IFERROR(__xludf.DUMMYFUNCTION("""COMPUTED_VALUE"""),"")</f>
        <v/>
      </c>
      <c r="S346" s="503" t="str">
        <f>IFERROR(__xludf.DUMMYFUNCTION("""COMPUTED_VALUE"""),"")</f>
        <v/>
      </c>
      <c r="T346" s="503" t="str">
        <f>IFERROR(__xludf.DUMMYFUNCTION("""COMPUTED_VALUE"""),"utm_source=facebook&amp;utm_medium=socialmedia&amp;utm_campaign=&amp;utm_content=&amp;referrer=facebook")</f>
        <v>utm_source=facebook&amp;utm_medium=socialmedia&amp;utm_campaign=&amp;utm_content=&amp;referrer=facebook</v>
      </c>
    </row>
    <row r="347">
      <c r="A347" s="501" t="str">
        <f>IFERROR(__xludf.DUMMYFUNCTION("""COMPUTED_VALUE"""),"augustus")</f>
        <v>augustus</v>
      </c>
      <c r="B347" s="501">
        <f>IFERROR(__xludf.DUMMYFUNCTION("""COMPUTED_VALUE"""),32.0)</f>
        <v>32</v>
      </c>
      <c r="C347" s="501" t="str">
        <f>IFERROR(__xludf.DUMMYFUNCTION("""COMPUTED_VALUE"""),"zaterdag")</f>
        <v>zaterdag</v>
      </c>
      <c r="D347" s="502">
        <f>IFERROR(__xludf.DUMMYFUNCTION("""COMPUTED_VALUE"""),43687.0)</f>
        <v>43687</v>
      </c>
      <c r="E347" s="502">
        <f>IFERROR(__xludf.DUMMYFUNCTION("""COMPUTED_VALUE"""),43687.0)</f>
        <v>43687</v>
      </c>
      <c r="F347" s="501" t="str">
        <f>IFERROR(__xludf.DUMMYFUNCTION("""COMPUTED_VALUE"""),"")</f>
        <v/>
      </c>
      <c r="G347" s="503" t="str">
        <f>IFERROR(__xludf.DUMMYFUNCTION("""COMPUTED_VALUE"""),"")</f>
        <v/>
      </c>
      <c r="H347" s="501" t="str">
        <f>IFERROR(__xludf.DUMMYFUNCTION("""COMPUTED_VALUE"""),"")</f>
        <v/>
      </c>
      <c r="I347" s="503" t="str">
        <f>IFERROR(__xludf.DUMMYFUNCTION("""COMPUTED_VALUE"""),"")</f>
        <v/>
      </c>
      <c r="J347" s="501" t="str">
        <f>IFERROR(__xludf.DUMMYFUNCTION("""COMPUTED_VALUE"""),"")</f>
        <v/>
      </c>
      <c r="K347" s="503" t="str">
        <f>IFERROR(__xludf.DUMMYFUNCTION("""COMPUTED_VALUE"""),"")</f>
        <v/>
      </c>
      <c r="L347" s="501" t="str">
        <f>IFERROR(__xludf.DUMMYFUNCTION("""COMPUTED_VALUE"""),"")</f>
        <v/>
      </c>
      <c r="M347" s="504">
        <f>IFERROR(__xludf.DUMMYFUNCTION("""COMPUTED_VALUE"""),1.0)</f>
        <v>1</v>
      </c>
      <c r="N347" s="501" t="str">
        <f>IFERROR(__xludf.DUMMYFUNCTION("""COMPUTED_VALUE"""),"")</f>
        <v/>
      </c>
      <c r="O347" s="501" t="str">
        <f>IFERROR(__xludf.DUMMYFUNCTION("""COMPUTED_VALUE"""),"")</f>
        <v/>
      </c>
      <c r="P347" s="503" t="str">
        <f>IFERROR(__xludf.DUMMYFUNCTION("""COMPUTED_VALUE"""),"")</f>
        <v/>
      </c>
      <c r="Q347" s="501" t="str">
        <f>IFERROR(__xludf.DUMMYFUNCTION("""COMPUTED_VALUE"""),"")</f>
        <v/>
      </c>
      <c r="R347" s="501" t="str">
        <f>IFERROR(__xludf.DUMMYFUNCTION("""COMPUTED_VALUE"""),"")</f>
        <v/>
      </c>
      <c r="S347" s="503" t="str">
        <f>IFERROR(__xludf.DUMMYFUNCTION("""COMPUTED_VALUE"""),"")</f>
        <v/>
      </c>
      <c r="T347" s="503" t="str">
        <f>IFERROR(__xludf.DUMMYFUNCTION("""COMPUTED_VALUE"""),"utm_source=facebook&amp;utm_medium=socialmedia&amp;utm_campaign=&amp;utm_content=&amp;referrer=facebook")</f>
        <v>utm_source=facebook&amp;utm_medium=socialmedia&amp;utm_campaign=&amp;utm_content=&amp;referrer=facebook</v>
      </c>
    </row>
    <row r="348">
      <c r="A348" s="501" t="str">
        <f>IFERROR(__xludf.DUMMYFUNCTION("""COMPUTED_VALUE"""),"augustus")</f>
        <v>augustus</v>
      </c>
      <c r="B348" s="501">
        <f>IFERROR(__xludf.DUMMYFUNCTION("""COMPUTED_VALUE"""),33.0)</f>
        <v>33</v>
      </c>
      <c r="C348" s="501" t="str">
        <f>IFERROR(__xludf.DUMMYFUNCTION("""COMPUTED_VALUE"""),"zondag")</f>
        <v>zondag</v>
      </c>
      <c r="D348" s="502">
        <f>IFERROR(__xludf.DUMMYFUNCTION("""COMPUTED_VALUE"""),43688.0)</f>
        <v>43688</v>
      </c>
      <c r="E348" s="502">
        <f>IFERROR(__xludf.DUMMYFUNCTION("""COMPUTED_VALUE"""),43688.0)</f>
        <v>43688</v>
      </c>
      <c r="F348" s="501" t="str">
        <f>IFERROR(__xludf.DUMMYFUNCTION("""COMPUTED_VALUE"""),"")</f>
        <v/>
      </c>
      <c r="G348" s="503" t="str">
        <f>IFERROR(__xludf.DUMMYFUNCTION("""COMPUTED_VALUE"""),"")</f>
        <v/>
      </c>
      <c r="H348" s="501" t="str">
        <f>IFERROR(__xludf.DUMMYFUNCTION("""COMPUTED_VALUE"""),"")</f>
        <v/>
      </c>
      <c r="I348" s="503" t="str">
        <f>IFERROR(__xludf.DUMMYFUNCTION("""COMPUTED_VALUE"""),"")</f>
        <v/>
      </c>
      <c r="J348" s="501" t="str">
        <f>IFERROR(__xludf.DUMMYFUNCTION("""COMPUTED_VALUE"""),"")</f>
        <v/>
      </c>
      <c r="K348" s="503" t="str">
        <f>IFERROR(__xludf.DUMMYFUNCTION("""COMPUTED_VALUE"""),"")</f>
        <v/>
      </c>
      <c r="L348" s="501" t="str">
        <f>IFERROR(__xludf.DUMMYFUNCTION("""COMPUTED_VALUE"""),"")</f>
        <v/>
      </c>
      <c r="M348" s="504">
        <f>IFERROR(__xludf.DUMMYFUNCTION("""COMPUTED_VALUE"""),1.0)</f>
        <v>1</v>
      </c>
      <c r="N348" s="501" t="str">
        <f>IFERROR(__xludf.DUMMYFUNCTION("""COMPUTED_VALUE"""),"")</f>
        <v/>
      </c>
      <c r="O348" s="501" t="str">
        <f>IFERROR(__xludf.DUMMYFUNCTION("""COMPUTED_VALUE"""),"")</f>
        <v/>
      </c>
      <c r="P348" s="503" t="str">
        <f>IFERROR(__xludf.DUMMYFUNCTION("""COMPUTED_VALUE"""),"")</f>
        <v/>
      </c>
      <c r="Q348" s="501" t="str">
        <f>IFERROR(__xludf.DUMMYFUNCTION("""COMPUTED_VALUE"""),"")</f>
        <v/>
      </c>
      <c r="R348" s="501" t="str">
        <f>IFERROR(__xludf.DUMMYFUNCTION("""COMPUTED_VALUE"""),"")</f>
        <v/>
      </c>
      <c r="S348" s="503" t="str">
        <f>IFERROR(__xludf.DUMMYFUNCTION("""COMPUTED_VALUE"""),"")</f>
        <v/>
      </c>
      <c r="T348" s="503" t="str">
        <f>IFERROR(__xludf.DUMMYFUNCTION("""COMPUTED_VALUE"""),"utm_source=facebook&amp;utm_medium=socialmedia&amp;utm_campaign=&amp;utm_content=&amp;referrer=facebook")</f>
        <v>utm_source=facebook&amp;utm_medium=socialmedia&amp;utm_campaign=&amp;utm_content=&amp;referrer=facebook</v>
      </c>
    </row>
    <row r="349">
      <c r="A349" s="501" t="str">
        <f>IFERROR(__xludf.DUMMYFUNCTION("""COMPUTED_VALUE"""),"augustus")</f>
        <v>augustus</v>
      </c>
      <c r="B349" s="501">
        <f>IFERROR(__xludf.DUMMYFUNCTION("""COMPUTED_VALUE"""),33.0)</f>
        <v>33</v>
      </c>
      <c r="C349" s="501" t="str">
        <f>IFERROR(__xludf.DUMMYFUNCTION("""COMPUTED_VALUE"""),"maandag")</f>
        <v>maandag</v>
      </c>
      <c r="D349" s="502">
        <f>IFERROR(__xludf.DUMMYFUNCTION("""COMPUTED_VALUE"""),43689.0)</f>
        <v>43689</v>
      </c>
      <c r="E349" s="502">
        <f>IFERROR(__xludf.DUMMYFUNCTION("""COMPUTED_VALUE"""),43689.0)</f>
        <v>43689</v>
      </c>
      <c r="F349" s="501" t="str">
        <f>IFERROR(__xludf.DUMMYFUNCTION("""COMPUTED_VALUE"""),"")</f>
        <v/>
      </c>
      <c r="G349" s="503" t="str">
        <f>IFERROR(__xludf.DUMMYFUNCTION("""COMPUTED_VALUE"""),"")</f>
        <v/>
      </c>
      <c r="H349" s="501" t="str">
        <f>IFERROR(__xludf.DUMMYFUNCTION("""COMPUTED_VALUE"""),"")</f>
        <v/>
      </c>
      <c r="I349" s="503" t="str">
        <f>IFERROR(__xludf.DUMMYFUNCTION("""COMPUTED_VALUE"""),"")</f>
        <v/>
      </c>
      <c r="J349" s="501" t="str">
        <f>IFERROR(__xludf.DUMMYFUNCTION("""COMPUTED_VALUE"""),"")</f>
        <v/>
      </c>
      <c r="K349" s="503" t="str">
        <f>IFERROR(__xludf.DUMMYFUNCTION("""COMPUTED_VALUE"""),"")</f>
        <v/>
      </c>
      <c r="L349" s="501" t="str">
        <f>IFERROR(__xludf.DUMMYFUNCTION("""COMPUTED_VALUE"""),"")</f>
        <v/>
      </c>
      <c r="M349" s="504">
        <f>IFERROR(__xludf.DUMMYFUNCTION("""COMPUTED_VALUE"""),1.0)</f>
        <v>1</v>
      </c>
      <c r="N349" s="501" t="str">
        <f>IFERROR(__xludf.DUMMYFUNCTION("""COMPUTED_VALUE"""),"")</f>
        <v/>
      </c>
      <c r="O349" s="501" t="str">
        <f>IFERROR(__xludf.DUMMYFUNCTION("""COMPUTED_VALUE"""),"")</f>
        <v/>
      </c>
      <c r="P349" s="503" t="str">
        <f>IFERROR(__xludf.DUMMYFUNCTION("""COMPUTED_VALUE"""),"")</f>
        <v/>
      </c>
      <c r="Q349" s="501" t="str">
        <f>IFERROR(__xludf.DUMMYFUNCTION("""COMPUTED_VALUE"""),"")</f>
        <v/>
      </c>
      <c r="R349" s="501" t="str">
        <f>IFERROR(__xludf.DUMMYFUNCTION("""COMPUTED_VALUE"""),"")</f>
        <v/>
      </c>
      <c r="S349" s="503" t="str">
        <f>IFERROR(__xludf.DUMMYFUNCTION("""COMPUTED_VALUE"""),"")</f>
        <v/>
      </c>
      <c r="T349" s="503" t="str">
        <f>IFERROR(__xludf.DUMMYFUNCTION("""COMPUTED_VALUE"""),"utm_source=facebook&amp;utm_medium=socialmedia&amp;utm_campaign=&amp;utm_content=&amp;referrer=facebook")</f>
        <v>utm_source=facebook&amp;utm_medium=socialmedia&amp;utm_campaign=&amp;utm_content=&amp;referrer=facebook</v>
      </c>
    </row>
    <row r="350">
      <c r="A350" s="501" t="str">
        <f>IFERROR(__xludf.DUMMYFUNCTION("""COMPUTED_VALUE"""),"augustus")</f>
        <v>augustus</v>
      </c>
      <c r="B350" s="501">
        <f>IFERROR(__xludf.DUMMYFUNCTION("""COMPUTED_VALUE"""),33.0)</f>
        <v>33</v>
      </c>
      <c r="C350" s="501" t="str">
        <f>IFERROR(__xludf.DUMMYFUNCTION("""COMPUTED_VALUE"""),"dinsdag")</f>
        <v>dinsdag</v>
      </c>
      <c r="D350" s="502">
        <f>IFERROR(__xludf.DUMMYFUNCTION("""COMPUTED_VALUE"""),43690.0)</f>
        <v>43690</v>
      </c>
      <c r="E350" s="502">
        <f>IFERROR(__xludf.DUMMYFUNCTION("""COMPUTED_VALUE"""),43690.0)</f>
        <v>43690</v>
      </c>
      <c r="F350" s="501" t="str">
        <f>IFERROR(__xludf.DUMMYFUNCTION("""COMPUTED_VALUE"""),"")</f>
        <v/>
      </c>
      <c r="G350" s="503" t="str">
        <f>IFERROR(__xludf.DUMMYFUNCTION("""COMPUTED_VALUE"""),"")</f>
        <v/>
      </c>
      <c r="H350" s="501" t="str">
        <f>IFERROR(__xludf.DUMMYFUNCTION("""COMPUTED_VALUE"""),"")</f>
        <v/>
      </c>
      <c r="I350" s="503" t="str">
        <f>IFERROR(__xludf.DUMMYFUNCTION("""COMPUTED_VALUE"""),"")</f>
        <v/>
      </c>
      <c r="J350" s="501" t="str">
        <f>IFERROR(__xludf.DUMMYFUNCTION("""COMPUTED_VALUE"""),"")</f>
        <v/>
      </c>
      <c r="K350" s="503" t="str">
        <f>IFERROR(__xludf.DUMMYFUNCTION("""COMPUTED_VALUE"""),"")</f>
        <v/>
      </c>
      <c r="L350" s="501" t="str">
        <f>IFERROR(__xludf.DUMMYFUNCTION("""COMPUTED_VALUE"""),"")</f>
        <v/>
      </c>
      <c r="M350" s="504">
        <f>IFERROR(__xludf.DUMMYFUNCTION("""COMPUTED_VALUE"""),1.0)</f>
        <v>1</v>
      </c>
      <c r="N350" s="501" t="str">
        <f>IFERROR(__xludf.DUMMYFUNCTION("""COMPUTED_VALUE"""),"")</f>
        <v/>
      </c>
      <c r="O350" s="501" t="str">
        <f>IFERROR(__xludf.DUMMYFUNCTION("""COMPUTED_VALUE"""),"")</f>
        <v/>
      </c>
      <c r="P350" s="503" t="str">
        <f>IFERROR(__xludf.DUMMYFUNCTION("""COMPUTED_VALUE"""),"")</f>
        <v/>
      </c>
      <c r="Q350" s="501" t="str">
        <f>IFERROR(__xludf.DUMMYFUNCTION("""COMPUTED_VALUE"""),"")</f>
        <v/>
      </c>
      <c r="R350" s="501" t="str">
        <f>IFERROR(__xludf.DUMMYFUNCTION("""COMPUTED_VALUE"""),"")</f>
        <v/>
      </c>
      <c r="S350" s="503" t="str">
        <f>IFERROR(__xludf.DUMMYFUNCTION("""COMPUTED_VALUE"""),"")</f>
        <v/>
      </c>
      <c r="T350" s="503" t="str">
        <f>IFERROR(__xludf.DUMMYFUNCTION("""COMPUTED_VALUE"""),"utm_source=facebook&amp;utm_medium=socialmedia&amp;utm_campaign=&amp;utm_content=&amp;referrer=facebook")</f>
        <v>utm_source=facebook&amp;utm_medium=socialmedia&amp;utm_campaign=&amp;utm_content=&amp;referrer=facebook</v>
      </c>
    </row>
    <row r="351">
      <c r="A351" s="501" t="str">
        <f>IFERROR(__xludf.DUMMYFUNCTION("""COMPUTED_VALUE"""),"augustus")</f>
        <v>augustus</v>
      </c>
      <c r="B351" s="501">
        <f>IFERROR(__xludf.DUMMYFUNCTION("""COMPUTED_VALUE"""),33.0)</f>
        <v>33</v>
      </c>
      <c r="C351" s="501" t="str">
        <f>IFERROR(__xludf.DUMMYFUNCTION("""COMPUTED_VALUE"""),"woensdag")</f>
        <v>woensdag</v>
      </c>
      <c r="D351" s="502">
        <f>IFERROR(__xludf.DUMMYFUNCTION("""COMPUTED_VALUE"""),43691.0)</f>
        <v>43691</v>
      </c>
      <c r="E351" s="502">
        <f>IFERROR(__xludf.DUMMYFUNCTION("""COMPUTED_VALUE"""),43691.0)</f>
        <v>43691</v>
      </c>
      <c r="F351" s="501" t="str">
        <f>IFERROR(__xludf.DUMMYFUNCTION("""COMPUTED_VALUE"""),"")</f>
        <v/>
      </c>
      <c r="G351" s="503" t="str">
        <f>IFERROR(__xludf.DUMMYFUNCTION("""COMPUTED_VALUE"""),"")</f>
        <v/>
      </c>
      <c r="H351" s="501" t="str">
        <f>IFERROR(__xludf.DUMMYFUNCTION("""COMPUTED_VALUE"""),"")</f>
        <v/>
      </c>
      <c r="I351" s="503" t="str">
        <f>IFERROR(__xludf.DUMMYFUNCTION("""COMPUTED_VALUE"""),"")</f>
        <v/>
      </c>
      <c r="J351" s="501" t="str">
        <f>IFERROR(__xludf.DUMMYFUNCTION("""COMPUTED_VALUE"""),"")</f>
        <v/>
      </c>
      <c r="K351" s="503" t="str">
        <f>IFERROR(__xludf.DUMMYFUNCTION("""COMPUTED_VALUE"""),"")</f>
        <v/>
      </c>
      <c r="L351" s="501" t="str">
        <f>IFERROR(__xludf.DUMMYFUNCTION("""COMPUTED_VALUE"""),"")</f>
        <v/>
      </c>
      <c r="M351" s="504">
        <f>IFERROR(__xludf.DUMMYFUNCTION("""COMPUTED_VALUE"""),1.0)</f>
        <v>1</v>
      </c>
      <c r="N351" s="501" t="str">
        <f>IFERROR(__xludf.DUMMYFUNCTION("""COMPUTED_VALUE"""),"")</f>
        <v/>
      </c>
      <c r="O351" s="501" t="str">
        <f>IFERROR(__xludf.DUMMYFUNCTION("""COMPUTED_VALUE"""),"")</f>
        <v/>
      </c>
      <c r="P351" s="503" t="str">
        <f>IFERROR(__xludf.DUMMYFUNCTION("""COMPUTED_VALUE"""),"")</f>
        <v/>
      </c>
      <c r="Q351" s="501" t="str">
        <f>IFERROR(__xludf.DUMMYFUNCTION("""COMPUTED_VALUE"""),"")</f>
        <v/>
      </c>
      <c r="R351" s="501" t="str">
        <f>IFERROR(__xludf.DUMMYFUNCTION("""COMPUTED_VALUE"""),"")</f>
        <v/>
      </c>
      <c r="S351" s="503" t="str">
        <f>IFERROR(__xludf.DUMMYFUNCTION("""COMPUTED_VALUE"""),"")</f>
        <v/>
      </c>
      <c r="T351" s="503" t="str">
        <f>IFERROR(__xludf.DUMMYFUNCTION("""COMPUTED_VALUE"""),"utm_source=facebook&amp;utm_medium=socialmedia&amp;utm_campaign=&amp;utm_content=&amp;referrer=facebook")</f>
        <v>utm_source=facebook&amp;utm_medium=socialmedia&amp;utm_campaign=&amp;utm_content=&amp;referrer=facebook</v>
      </c>
    </row>
    <row r="352">
      <c r="A352" s="501" t="str">
        <f>IFERROR(__xludf.DUMMYFUNCTION("""COMPUTED_VALUE"""),"augustus")</f>
        <v>augustus</v>
      </c>
      <c r="B352" s="501">
        <f>IFERROR(__xludf.DUMMYFUNCTION("""COMPUTED_VALUE"""),33.0)</f>
        <v>33</v>
      </c>
      <c r="C352" s="501" t="str">
        <f>IFERROR(__xludf.DUMMYFUNCTION("""COMPUTED_VALUE"""),"donderdag")</f>
        <v>donderdag</v>
      </c>
      <c r="D352" s="502">
        <f>IFERROR(__xludf.DUMMYFUNCTION("""COMPUTED_VALUE"""),43692.0)</f>
        <v>43692</v>
      </c>
      <c r="E352" s="502">
        <f>IFERROR(__xludf.DUMMYFUNCTION("""COMPUTED_VALUE"""),43692.0)</f>
        <v>43692</v>
      </c>
      <c r="F352" s="501" t="str">
        <f>IFERROR(__xludf.DUMMYFUNCTION("""COMPUTED_VALUE"""),"")</f>
        <v/>
      </c>
      <c r="G352" s="503" t="str">
        <f>IFERROR(__xludf.DUMMYFUNCTION("""COMPUTED_VALUE"""),"")</f>
        <v/>
      </c>
      <c r="H352" s="501" t="str">
        <f>IFERROR(__xludf.DUMMYFUNCTION("""COMPUTED_VALUE"""),"")</f>
        <v/>
      </c>
      <c r="I352" s="503" t="str">
        <f>IFERROR(__xludf.DUMMYFUNCTION("""COMPUTED_VALUE"""),"")</f>
        <v/>
      </c>
      <c r="J352" s="501" t="str">
        <f>IFERROR(__xludf.DUMMYFUNCTION("""COMPUTED_VALUE"""),"")</f>
        <v/>
      </c>
      <c r="K352" s="503" t="str">
        <f>IFERROR(__xludf.DUMMYFUNCTION("""COMPUTED_VALUE"""),"")</f>
        <v/>
      </c>
      <c r="L352" s="501" t="str">
        <f>IFERROR(__xludf.DUMMYFUNCTION("""COMPUTED_VALUE"""),"")</f>
        <v/>
      </c>
      <c r="M352" s="504">
        <f>IFERROR(__xludf.DUMMYFUNCTION("""COMPUTED_VALUE"""),1.0)</f>
        <v>1</v>
      </c>
      <c r="N352" s="501" t="str">
        <f>IFERROR(__xludf.DUMMYFUNCTION("""COMPUTED_VALUE"""),"")</f>
        <v/>
      </c>
      <c r="O352" s="501" t="str">
        <f>IFERROR(__xludf.DUMMYFUNCTION("""COMPUTED_VALUE"""),"")</f>
        <v/>
      </c>
      <c r="P352" s="503" t="str">
        <f>IFERROR(__xludf.DUMMYFUNCTION("""COMPUTED_VALUE"""),"")</f>
        <v/>
      </c>
      <c r="Q352" s="501" t="str">
        <f>IFERROR(__xludf.DUMMYFUNCTION("""COMPUTED_VALUE"""),"")</f>
        <v/>
      </c>
      <c r="R352" s="501" t="str">
        <f>IFERROR(__xludf.DUMMYFUNCTION("""COMPUTED_VALUE"""),"")</f>
        <v/>
      </c>
      <c r="S352" s="503" t="str">
        <f>IFERROR(__xludf.DUMMYFUNCTION("""COMPUTED_VALUE"""),"")</f>
        <v/>
      </c>
      <c r="T352" s="503" t="str">
        <f>IFERROR(__xludf.DUMMYFUNCTION("""COMPUTED_VALUE"""),"utm_source=facebook&amp;utm_medium=socialmedia&amp;utm_campaign=&amp;utm_content=&amp;referrer=facebook")</f>
        <v>utm_source=facebook&amp;utm_medium=socialmedia&amp;utm_campaign=&amp;utm_content=&amp;referrer=facebook</v>
      </c>
    </row>
    <row r="353">
      <c r="A353" s="501" t="str">
        <f>IFERROR(__xludf.DUMMYFUNCTION("""COMPUTED_VALUE"""),"augustus")</f>
        <v>augustus</v>
      </c>
      <c r="B353" s="501">
        <f>IFERROR(__xludf.DUMMYFUNCTION("""COMPUTED_VALUE"""),33.0)</f>
        <v>33</v>
      </c>
      <c r="C353" s="501" t="str">
        <f>IFERROR(__xludf.DUMMYFUNCTION("""COMPUTED_VALUE"""),"vrijdag")</f>
        <v>vrijdag</v>
      </c>
      <c r="D353" s="502">
        <f>IFERROR(__xludf.DUMMYFUNCTION("""COMPUTED_VALUE"""),43693.0)</f>
        <v>43693</v>
      </c>
      <c r="E353" s="502">
        <f>IFERROR(__xludf.DUMMYFUNCTION("""COMPUTED_VALUE"""),43693.0)</f>
        <v>43693</v>
      </c>
      <c r="F353" s="501" t="str">
        <f>IFERROR(__xludf.DUMMYFUNCTION("""COMPUTED_VALUE"""),"")</f>
        <v/>
      </c>
      <c r="G353" s="503" t="str">
        <f>IFERROR(__xludf.DUMMYFUNCTION("""COMPUTED_VALUE"""),"")</f>
        <v/>
      </c>
      <c r="H353" s="501" t="str">
        <f>IFERROR(__xludf.DUMMYFUNCTION("""COMPUTED_VALUE"""),"")</f>
        <v/>
      </c>
      <c r="I353" s="503" t="str">
        <f>IFERROR(__xludf.DUMMYFUNCTION("""COMPUTED_VALUE"""),"")</f>
        <v/>
      </c>
      <c r="J353" s="501" t="str">
        <f>IFERROR(__xludf.DUMMYFUNCTION("""COMPUTED_VALUE"""),"")</f>
        <v/>
      </c>
      <c r="K353" s="503" t="str">
        <f>IFERROR(__xludf.DUMMYFUNCTION("""COMPUTED_VALUE"""),"")</f>
        <v/>
      </c>
      <c r="L353" s="501" t="str">
        <f>IFERROR(__xludf.DUMMYFUNCTION("""COMPUTED_VALUE"""),"")</f>
        <v/>
      </c>
      <c r="M353" s="504">
        <f>IFERROR(__xludf.DUMMYFUNCTION("""COMPUTED_VALUE"""),1.0)</f>
        <v>1</v>
      </c>
      <c r="N353" s="501" t="str">
        <f>IFERROR(__xludf.DUMMYFUNCTION("""COMPUTED_VALUE"""),"")</f>
        <v/>
      </c>
      <c r="O353" s="501" t="str">
        <f>IFERROR(__xludf.DUMMYFUNCTION("""COMPUTED_VALUE"""),"")</f>
        <v/>
      </c>
      <c r="P353" s="503" t="str">
        <f>IFERROR(__xludf.DUMMYFUNCTION("""COMPUTED_VALUE"""),"")</f>
        <v/>
      </c>
      <c r="Q353" s="501" t="str">
        <f>IFERROR(__xludf.DUMMYFUNCTION("""COMPUTED_VALUE"""),"")</f>
        <v/>
      </c>
      <c r="R353" s="501" t="str">
        <f>IFERROR(__xludf.DUMMYFUNCTION("""COMPUTED_VALUE"""),"")</f>
        <v/>
      </c>
      <c r="S353" s="503" t="str">
        <f>IFERROR(__xludf.DUMMYFUNCTION("""COMPUTED_VALUE"""),"")</f>
        <v/>
      </c>
      <c r="T353" s="503" t="str">
        <f>IFERROR(__xludf.DUMMYFUNCTION("""COMPUTED_VALUE"""),"utm_source=facebook&amp;utm_medium=socialmedia&amp;utm_campaign=&amp;utm_content=&amp;referrer=facebook")</f>
        <v>utm_source=facebook&amp;utm_medium=socialmedia&amp;utm_campaign=&amp;utm_content=&amp;referrer=facebook</v>
      </c>
    </row>
    <row r="354">
      <c r="A354" s="501" t="str">
        <f>IFERROR(__xludf.DUMMYFUNCTION("""COMPUTED_VALUE"""),"augustus")</f>
        <v>augustus</v>
      </c>
      <c r="B354" s="501">
        <f>IFERROR(__xludf.DUMMYFUNCTION("""COMPUTED_VALUE"""),33.0)</f>
        <v>33</v>
      </c>
      <c r="C354" s="501" t="str">
        <f>IFERROR(__xludf.DUMMYFUNCTION("""COMPUTED_VALUE"""),"zaterdag")</f>
        <v>zaterdag</v>
      </c>
      <c r="D354" s="502">
        <f>IFERROR(__xludf.DUMMYFUNCTION("""COMPUTED_VALUE"""),43694.0)</f>
        <v>43694</v>
      </c>
      <c r="E354" s="502">
        <f>IFERROR(__xludf.DUMMYFUNCTION("""COMPUTED_VALUE"""),43694.0)</f>
        <v>43694</v>
      </c>
      <c r="F354" s="501" t="str">
        <f>IFERROR(__xludf.DUMMYFUNCTION("""COMPUTED_VALUE"""),"")</f>
        <v/>
      </c>
      <c r="G354" s="503" t="str">
        <f>IFERROR(__xludf.DUMMYFUNCTION("""COMPUTED_VALUE"""),"")</f>
        <v/>
      </c>
      <c r="H354" s="501" t="str">
        <f>IFERROR(__xludf.DUMMYFUNCTION("""COMPUTED_VALUE"""),"")</f>
        <v/>
      </c>
      <c r="I354" s="503" t="str">
        <f>IFERROR(__xludf.DUMMYFUNCTION("""COMPUTED_VALUE"""),"")</f>
        <v/>
      </c>
      <c r="J354" s="501" t="str">
        <f>IFERROR(__xludf.DUMMYFUNCTION("""COMPUTED_VALUE"""),"")</f>
        <v/>
      </c>
      <c r="K354" s="503" t="str">
        <f>IFERROR(__xludf.DUMMYFUNCTION("""COMPUTED_VALUE"""),"")</f>
        <v/>
      </c>
      <c r="L354" s="501" t="str">
        <f>IFERROR(__xludf.DUMMYFUNCTION("""COMPUTED_VALUE"""),"")</f>
        <v/>
      </c>
      <c r="M354" s="504">
        <f>IFERROR(__xludf.DUMMYFUNCTION("""COMPUTED_VALUE"""),1.0)</f>
        <v>1</v>
      </c>
      <c r="N354" s="501" t="str">
        <f>IFERROR(__xludf.DUMMYFUNCTION("""COMPUTED_VALUE"""),"")</f>
        <v/>
      </c>
      <c r="O354" s="501" t="str">
        <f>IFERROR(__xludf.DUMMYFUNCTION("""COMPUTED_VALUE"""),"")</f>
        <v/>
      </c>
      <c r="P354" s="503" t="str">
        <f>IFERROR(__xludf.DUMMYFUNCTION("""COMPUTED_VALUE"""),"")</f>
        <v/>
      </c>
      <c r="Q354" s="501" t="str">
        <f>IFERROR(__xludf.DUMMYFUNCTION("""COMPUTED_VALUE"""),"")</f>
        <v/>
      </c>
      <c r="R354" s="501" t="str">
        <f>IFERROR(__xludf.DUMMYFUNCTION("""COMPUTED_VALUE"""),"")</f>
        <v/>
      </c>
      <c r="S354" s="503" t="str">
        <f>IFERROR(__xludf.DUMMYFUNCTION("""COMPUTED_VALUE"""),"")</f>
        <v/>
      </c>
      <c r="T354" s="503" t="str">
        <f>IFERROR(__xludf.DUMMYFUNCTION("""COMPUTED_VALUE"""),"utm_source=facebook&amp;utm_medium=socialmedia&amp;utm_campaign=&amp;utm_content=&amp;referrer=facebook")</f>
        <v>utm_source=facebook&amp;utm_medium=socialmedia&amp;utm_campaign=&amp;utm_content=&amp;referrer=facebook</v>
      </c>
    </row>
    <row r="355">
      <c r="A355" s="501" t="str">
        <f>IFERROR(__xludf.DUMMYFUNCTION("""COMPUTED_VALUE"""),"augustus")</f>
        <v>augustus</v>
      </c>
      <c r="B355" s="501">
        <f>IFERROR(__xludf.DUMMYFUNCTION("""COMPUTED_VALUE"""),34.0)</f>
        <v>34</v>
      </c>
      <c r="C355" s="501" t="str">
        <f>IFERROR(__xludf.DUMMYFUNCTION("""COMPUTED_VALUE"""),"zondag")</f>
        <v>zondag</v>
      </c>
      <c r="D355" s="502">
        <f>IFERROR(__xludf.DUMMYFUNCTION("""COMPUTED_VALUE"""),43695.0)</f>
        <v>43695</v>
      </c>
      <c r="E355" s="502">
        <f>IFERROR(__xludf.DUMMYFUNCTION("""COMPUTED_VALUE"""),43695.0)</f>
        <v>43695</v>
      </c>
      <c r="F355" s="501" t="str">
        <f>IFERROR(__xludf.DUMMYFUNCTION("""COMPUTED_VALUE"""),"")</f>
        <v/>
      </c>
      <c r="G355" s="503" t="str">
        <f>IFERROR(__xludf.DUMMYFUNCTION("""COMPUTED_VALUE"""),"")</f>
        <v/>
      </c>
      <c r="H355" s="501" t="str">
        <f>IFERROR(__xludf.DUMMYFUNCTION("""COMPUTED_VALUE"""),"")</f>
        <v/>
      </c>
      <c r="I355" s="503" t="str">
        <f>IFERROR(__xludf.DUMMYFUNCTION("""COMPUTED_VALUE"""),"")</f>
        <v/>
      </c>
      <c r="J355" s="501" t="str">
        <f>IFERROR(__xludf.DUMMYFUNCTION("""COMPUTED_VALUE"""),"")</f>
        <v/>
      </c>
      <c r="K355" s="503" t="str">
        <f>IFERROR(__xludf.DUMMYFUNCTION("""COMPUTED_VALUE"""),"")</f>
        <v/>
      </c>
      <c r="L355" s="501" t="str">
        <f>IFERROR(__xludf.DUMMYFUNCTION("""COMPUTED_VALUE"""),"")</f>
        <v/>
      </c>
      <c r="M355" s="504">
        <f>IFERROR(__xludf.DUMMYFUNCTION("""COMPUTED_VALUE"""),1.0)</f>
        <v>1</v>
      </c>
      <c r="N355" s="501" t="str">
        <f>IFERROR(__xludf.DUMMYFUNCTION("""COMPUTED_VALUE"""),"")</f>
        <v/>
      </c>
      <c r="O355" s="501" t="str">
        <f>IFERROR(__xludf.DUMMYFUNCTION("""COMPUTED_VALUE"""),"")</f>
        <v/>
      </c>
      <c r="P355" s="503" t="str">
        <f>IFERROR(__xludf.DUMMYFUNCTION("""COMPUTED_VALUE"""),"")</f>
        <v/>
      </c>
      <c r="Q355" s="501" t="str">
        <f>IFERROR(__xludf.DUMMYFUNCTION("""COMPUTED_VALUE"""),"")</f>
        <v/>
      </c>
      <c r="R355" s="501" t="str">
        <f>IFERROR(__xludf.DUMMYFUNCTION("""COMPUTED_VALUE"""),"")</f>
        <v/>
      </c>
      <c r="S355" s="503" t="str">
        <f>IFERROR(__xludf.DUMMYFUNCTION("""COMPUTED_VALUE"""),"")</f>
        <v/>
      </c>
      <c r="T355" s="503" t="str">
        <f>IFERROR(__xludf.DUMMYFUNCTION("""COMPUTED_VALUE"""),"utm_source=facebook&amp;utm_medium=socialmedia&amp;utm_campaign=&amp;utm_content=&amp;referrer=facebook")</f>
        <v>utm_source=facebook&amp;utm_medium=socialmedia&amp;utm_campaign=&amp;utm_content=&amp;referrer=facebook</v>
      </c>
    </row>
    <row r="356">
      <c r="A356" s="501" t="str">
        <f>IFERROR(__xludf.DUMMYFUNCTION("""COMPUTED_VALUE"""),"augustus")</f>
        <v>augustus</v>
      </c>
      <c r="B356" s="501">
        <f>IFERROR(__xludf.DUMMYFUNCTION("""COMPUTED_VALUE"""),34.0)</f>
        <v>34</v>
      </c>
      <c r="C356" s="501" t="str">
        <f>IFERROR(__xludf.DUMMYFUNCTION("""COMPUTED_VALUE"""),"maandag")</f>
        <v>maandag</v>
      </c>
      <c r="D356" s="502">
        <f>IFERROR(__xludf.DUMMYFUNCTION("""COMPUTED_VALUE"""),43696.0)</f>
        <v>43696</v>
      </c>
      <c r="E356" s="502">
        <f>IFERROR(__xludf.DUMMYFUNCTION("""COMPUTED_VALUE"""),43696.0)</f>
        <v>43696</v>
      </c>
      <c r="F356" s="501" t="str">
        <f>IFERROR(__xludf.DUMMYFUNCTION("""COMPUTED_VALUE"""),"")</f>
        <v/>
      </c>
      <c r="G356" s="503" t="str">
        <f>IFERROR(__xludf.DUMMYFUNCTION("""COMPUTED_VALUE"""),"")</f>
        <v/>
      </c>
      <c r="H356" s="501" t="str">
        <f>IFERROR(__xludf.DUMMYFUNCTION("""COMPUTED_VALUE"""),"")</f>
        <v/>
      </c>
      <c r="I356" s="503" t="str">
        <f>IFERROR(__xludf.DUMMYFUNCTION("""COMPUTED_VALUE"""),"")</f>
        <v/>
      </c>
      <c r="J356" s="501" t="str">
        <f>IFERROR(__xludf.DUMMYFUNCTION("""COMPUTED_VALUE"""),"")</f>
        <v/>
      </c>
      <c r="K356" s="503" t="str">
        <f>IFERROR(__xludf.DUMMYFUNCTION("""COMPUTED_VALUE"""),"")</f>
        <v/>
      </c>
      <c r="L356" s="501" t="str">
        <f>IFERROR(__xludf.DUMMYFUNCTION("""COMPUTED_VALUE"""),"")</f>
        <v/>
      </c>
      <c r="M356" s="504">
        <f>IFERROR(__xludf.DUMMYFUNCTION("""COMPUTED_VALUE"""),1.0)</f>
        <v>1</v>
      </c>
      <c r="N356" s="501" t="str">
        <f>IFERROR(__xludf.DUMMYFUNCTION("""COMPUTED_VALUE"""),"")</f>
        <v/>
      </c>
      <c r="O356" s="501" t="str">
        <f>IFERROR(__xludf.DUMMYFUNCTION("""COMPUTED_VALUE"""),"")</f>
        <v/>
      </c>
      <c r="P356" s="503" t="str">
        <f>IFERROR(__xludf.DUMMYFUNCTION("""COMPUTED_VALUE"""),"")</f>
        <v/>
      </c>
      <c r="Q356" s="501" t="str">
        <f>IFERROR(__xludf.DUMMYFUNCTION("""COMPUTED_VALUE"""),"")</f>
        <v/>
      </c>
      <c r="R356" s="501" t="str">
        <f>IFERROR(__xludf.DUMMYFUNCTION("""COMPUTED_VALUE"""),"")</f>
        <v/>
      </c>
      <c r="S356" s="503" t="str">
        <f>IFERROR(__xludf.DUMMYFUNCTION("""COMPUTED_VALUE"""),"")</f>
        <v/>
      </c>
      <c r="T356" s="503" t="str">
        <f>IFERROR(__xludf.DUMMYFUNCTION("""COMPUTED_VALUE"""),"utm_source=facebook&amp;utm_medium=socialmedia&amp;utm_campaign=&amp;utm_content=&amp;referrer=facebook")</f>
        <v>utm_source=facebook&amp;utm_medium=socialmedia&amp;utm_campaign=&amp;utm_content=&amp;referrer=facebook</v>
      </c>
    </row>
    <row r="357">
      <c r="A357" s="501" t="str">
        <f>IFERROR(__xludf.DUMMYFUNCTION("""COMPUTED_VALUE"""),"augustus")</f>
        <v>augustus</v>
      </c>
      <c r="B357" s="501">
        <f>IFERROR(__xludf.DUMMYFUNCTION("""COMPUTED_VALUE"""),34.0)</f>
        <v>34</v>
      </c>
      <c r="C357" s="501" t="str">
        <f>IFERROR(__xludf.DUMMYFUNCTION("""COMPUTED_VALUE"""),"dinsdag")</f>
        <v>dinsdag</v>
      </c>
      <c r="D357" s="502">
        <f>IFERROR(__xludf.DUMMYFUNCTION("""COMPUTED_VALUE"""),43697.0)</f>
        <v>43697</v>
      </c>
      <c r="E357" s="502">
        <f>IFERROR(__xludf.DUMMYFUNCTION("""COMPUTED_VALUE"""),43697.0)</f>
        <v>43697</v>
      </c>
      <c r="F357" s="501" t="str">
        <f>IFERROR(__xludf.DUMMYFUNCTION("""COMPUTED_VALUE"""),"")</f>
        <v/>
      </c>
      <c r="G357" s="503" t="str">
        <f>IFERROR(__xludf.DUMMYFUNCTION("""COMPUTED_VALUE"""),"")</f>
        <v/>
      </c>
      <c r="H357" s="501" t="str">
        <f>IFERROR(__xludf.DUMMYFUNCTION("""COMPUTED_VALUE"""),"")</f>
        <v/>
      </c>
      <c r="I357" s="503" t="str">
        <f>IFERROR(__xludf.DUMMYFUNCTION("""COMPUTED_VALUE"""),"")</f>
        <v/>
      </c>
      <c r="J357" s="501" t="str">
        <f>IFERROR(__xludf.DUMMYFUNCTION("""COMPUTED_VALUE"""),"")</f>
        <v/>
      </c>
      <c r="K357" s="503" t="str">
        <f>IFERROR(__xludf.DUMMYFUNCTION("""COMPUTED_VALUE"""),"")</f>
        <v/>
      </c>
      <c r="L357" s="501" t="str">
        <f>IFERROR(__xludf.DUMMYFUNCTION("""COMPUTED_VALUE"""),"")</f>
        <v/>
      </c>
      <c r="M357" s="504">
        <f>IFERROR(__xludf.DUMMYFUNCTION("""COMPUTED_VALUE"""),1.0)</f>
        <v>1</v>
      </c>
      <c r="N357" s="501" t="str">
        <f>IFERROR(__xludf.DUMMYFUNCTION("""COMPUTED_VALUE"""),"")</f>
        <v/>
      </c>
      <c r="O357" s="501" t="str">
        <f>IFERROR(__xludf.DUMMYFUNCTION("""COMPUTED_VALUE"""),"")</f>
        <v/>
      </c>
      <c r="P357" s="503" t="str">
        <f>IFERROR(__xludf.DUMMYFUNCTION("""COMPUTED_VALUE"""),"")</f>
        <v/>
      </c>
      <c r="Q357" s="501" t="str">
        <f>IFERROR(__xludf.DUMMYFUNCTION("""COMPUTED_VALUE"""),"")</f>
        <v/>
      </c>
      <c r="R357" s="501" t="str">
        <f>IFERROR(__xludf.DUMMYFUNCTION("""COMPUTED_VALUE"""),"")</f>
        <v/>
      </c>
      <c r="S357" s="503" t="str">
        <f>IFERROR(__xludf.DUMMYFUNCTION("""COMPUTED_VALUE"""),"")</f>
        <v/>
      </c>
      <c r="T357" s="503" t="str">
        <f>IFERROR(__xludf.DUMMYFUNCTION("""COMPUTED_VALUE"""),"utm_source=facebook&amp;utm_medium=socialmedia&amp;utm_campaign=&amp;utm_content=&amp;referrer=facebook")</f>
        <v>utm_source=facebook&amp;utm_medium=socialmedia&amp;utm_campaign=&amp;utm_content=&amp;referrer=facebook</v>
      </c>
    </row>
    <row r="358">
      <c r="A358" s="501" t="str">
        <f>IFERROR(__xludf.DUMMYFUNCTION("""COMPUTED_VALUE"""),"augustus")</f>
        <v>augustus</v>
      </c>
      <c r="B358" s="501">
        <f>IFERROR(__xludf.DUMMYFUNCTION("""COMPUTED_VALUE"""),34.0)</f>
        <v>34</v>
      </c>
      <c r="C358" s="501" t="str">
        <f>IFERROR(__xludf.DUMMYFUNCTION("""COMPUTED_VALUE"""),"woensdag")</f>
        <v>woensdag</v>
      </c>
      <c r="D358" s="502">
        <f>IFERROR(__xludf.DUMMYFUNCTION("""COMPUTED_VALUE"""),43698.0)</f>
        <v>43698</v>
      </c>
      <c r="E358" s="502">
        <f>IFERROR(__xludf.DUMMYFUNCTION("""COMPUTED_VALUE"""),43698.0)</f>
        <v>43698</v>
      </c>
      <c r="F358" s="501" t="str">
        <f>IFERROR(__xludf.DUMMYFUNCTION("""COMPUTED_VALUE"""),"")</f>
        <v/>
      </c>
      <c r="G358" s="503" t="str">
        <f>IFERROR(__xludf.DUMMYFUNCTION("""COMPUTED_VALUE"""),"")</f>
        <v/>
      </c>
      <c r="H358" s="501" t="str">
        <f>IFERROR(__xludf.DUMMYFUNCTION("""COMPUTED_VALUE"""),"")</f>
        <v/>
      </c>
      <c r="I358" s="503" t="str">
        <f>IFERROR(__xludf.DUMMYFUNCTION("""COMPUTED_VALUE"""),"")</f>
        <v/>
      </c>
      <c r="J358" s="501" t="str">
        <f>IFERROR(__xludf.DUMMYFUNCTION("""COMPUTED_VALUE"""),"")</f>
        <v/>
      </c>
      <c r="K358" s="503" t="str">
        <f>IFERROR(__xludf.DUMMYFUNCTION("""COMPUTED_VALUE"""),"")</f>
        <v/>
      </c>
      <c r="L358" s="501" t="str">
        <f>IFERROR(__xludf.DUMMYFUNCTION("""COMPUTED_VALUE"""),"")</f>
        <v/>
      </c>
      <c r="M358" s="504">
        <f>IFERROR(__xludf.DUMMYFUNCTION("""COMPUTED_VALUE"""),1.0)</f>
        <v>1</v>
      </c>
      <c r="N358" s="501" t="str">
        <f>IFERROR(__xludf.DUMMYFUNCTION("""COMPUTED_VALUE"""),"")</f>
        <v/>
      </c>
      <c r="O358" s="501" t="str">
        <f>IFERROR(__xludf.DUMMYFUNCTION("""COMPUTED_VALUE"""),"")</f>
        <v/>
      </c>
      <c r="P358" s="503" t="str">
        <f>IFERROR(__xludf.DUMMYFUNCTION("""COMPUTED_VALUE"""),"")</f>
        <v/>
      </c>
      <c r="Q358" s="501" t="str">
        <f>IFERROR(__xludf.DUMMYFUNCTION("""COMPUTED_VALUE"""),"")</f>
        <v/>
      </c>
      <c r="R358" s="501" t="str">
        <f>IFERROR(__xludf.DUMMYFUNCTION("""COMPUTED_VALUE"""),"")</f>
        <v/>
      </c>
      <c r="S358" s="503" t="str">
        <f>IFERROR(__xludf.DUMMYFUNCTION("""COMPUTED_VALUE"""),"")</f>
        <v/>
      </c>
      <c r="T358" s="503" t="str">
        <f>IFERROR(__xludf.DUMMYFUNCTION("""COMPUTED_VALUE"""),"utm_source=facebook&amp;utm_medium=socialmedia&amp;utm_campaign=&amp;utm_content=&amp;referrer=facebook")</f>
        <v>utm_source=facebook&amp;utm_medium=socialmedia&amp;utm_campaign=&amp;utm_content=&amp;referrer=facebook</v>
      </c>
    </row>
    <row r="359">
      <c r="A359" s="501" t="str">
        <f>IFERROR(__xludf.DUMMYFUNCTION("""COMPUTED_VALUE"""),"augustus")</f>
        <v>augustus</v>
      </c>
      <c r="B359" s="501">
        <f>IFERROR(__xludf.DUMMYFUNCTION("""COMPUTED_VALUE"""),34.0)</f>
        <v>34</v>
      </c>
      <c r="C359" s="501" t="str">
        <f>IFERROR(__xludf.DUMMYFUNCTION("""COMPUTED_VALUE"""),"donderdag")</f>
        <v>donderdag</v>
      </c>
      <c r="D359" s="502">
        <f>IFERROR(__xludf.DUMMYFUNCTION("""COMPUTED_VALUE"""),43699.0)</f>
        <v>43699</v>
      </c>
      <c r="E359" s="502">
        <f>IFERROR(__xludf.DUMMYFUNCTION("""COMPUTED_VALUE"""),43699.0)</f>
        <v>43699</v>
      </c>
      <c r="F359" s="501" t="str">
        <f>IFERROR(__xludf.DUMMYFUNCTION("""COMPUTED_VALUE"""),"")</f>
        <v/>
      </c>
      <c r="G359" s="503" t="str">
        <f>IFERROR(__xludf.DUMMYFUNCTION("""COMPUTED_VALUE"""),"")</f>
        <v/>
      </c>
      <c r="H359" s="501" t="str">
        <f>IFERROR(__xludf.DUMMYFUNCTION("""COMPUTED_VALUE"""),"")</f>
        <v/>
      </c>
      <c r="I359" s="503" t="str">
        <f>IFERROR(__xludf.DUMMYFUNCTION("""COMPUTED_VALUE"""),"")</f>
        <v/>
      </c>
      <c r="J359" s="501" t="str">
        <f>IFERROR(__xludf.DUMMYFUNCTION("""COMPUTED_VALUE"""),"")</f>
        <v/>
      </c>
      <c r="K359" s="503" t="str">
        <f>IFERROR(__xludf.DUMMYFUNCTION("""COMPUTED_VALUE"""),"")</f>
        <v/>
      </c>
      <c r="L359" s="501" t="str">
        <f>IFERROR(__xludf.DUMMYFUNCTION("""COMPUTED_VALUE"""),"")</f>
        <v/>
      </c>
      <c r="M359" s="504">
        <f>IFERROR(__xludf.DUMMYFUNCTION("""COMPUTED_VALUE"""),1.0)</f>
        <v>1</v>
      </c>
      <c r="N359" s="501" t="str">
        <f>IFERROR(__xludf.DUMMYFUNCTION("""COMPUTED_VALUE"""),"")</f>
        <v/>
      </c>
      <c r="O359" s="501" t="str">
        <f>IFERROR(__xludf.DUMMYFUNCTION("""COMPUTED_VALUE"""),"")</f>
        <v/>
      </c>
      <c r="P359" s="503" t="str">
        <f>IFERROR(__xludf.DUMMYFUNCTION("""COMPUTED_VALUE"""),"")</f>
        <v/>
      </c>
      <c r="Q359" s="501" t="str">
        <f>IFERROR(__xludf.DUMMYFUNCTION("""COMPUTED_VALUE"""),"")</f>
        <v/>
      </c>
      <c r="R359" s="501" t="str">
        <f>IFERROR(__xludf.DUMMYFUNCTION("""COMPUTED_VALUE"""),"")</f>
        <v/>
      </c>
      <c r="S359" s="503" t="str">
        <f>IFERROR(__xludf.DUMMYFUNCTION("""COMPUTED_VALUE"""),"")</f>
        <v/>
      </c>
      <c r="T359" s="503" t="str">
        <f>IFERROR(__xludf.DUMMYFUNCTION("""COMPUTED_VALUE"""),"utm_source=facebook&amp;utm_medium=socialmedia&amp;utm_campaign=&amp;utm_content=&amp;referrer=facebook")</f>
        <v>utm_source=facebook&amp;utm_medium=socialmedia&amp;utm_campaign=&amp;utm_content=&amp;referrer=facebook</v>
      </c>
    </row>
    <row r="360">
      <c r="A360" s="501" t="str">
        <f>IFERROR(__xludf.DUMMYFUNCTION("""COMPUTED_VALUE"""),"augustus")</f>
        <v>augustus</v>
      </c>
      <c r="B360" s="501">
        <f>IFERROR(__xludf.DUMMYFUNCTION("""COMPUTED_VALUE"""),34.0)</f>
        <v>34</v>
      </c>
      <c r="C360" s="501" t="str">
        <f>IFERROR(__xludf.DUMMYFUNCTION("""COMPUTED_VALUE"""),"vrijdag")</f>
        <v>vrijdag</v>
      </c>
      <c r="D360" s="502">
        <f>IFERROR(__xludf.DUMMYFUNCTION("""COMPUTED_VALUE"""),43700.0)</f>
        <v>43700</v>
      </c>
      <c r="E360" s="502">
        <f>IFERROR(__xludf.DUMMYFUNCTION("""COMPUTED_VALUE"""),43700.0)</f>
        <v>43700</v>
      </c>
      <c r="F360" s="501" t="str">
        <f>IFERROR(__xludf.DUMMYFUNCTION("""COMPUTED_VALUE"""),"")</f>
        <v/>
      </c>
      <c r="G360" s="503" t="str">
        <f>IFERROR(__xludf.DUMMYFUNCTION("""COMPUTED_VALUE"""),"")</f>
        <v/>
      </c>
      <c r="H360" s="501" t="str">
        <f>IFERROR(__xludf.DUMMYFUNCTION("""COMPUTED_VALUE"""),"")</f>
        <v/>
      </c>
      <c r="I360" s="503" t="str">
        <f>IFERROR(__xludf.DUMMYFUNCTION("""COMPUTED_VALUE"""),"")</f>
        <v/>
      </c>
      <c r="J360" s="501" t="str">
        <f>IFERROR(__xludf.DUMMYFUNCTION("""COMPUTED_VALUE"""),"")</f>
        <v/>
      </c>
      <c r="K360" s="503" t="str">
        <f>IFERROR(__xludf.DUMMYFUNCTION("""COMPUTED_VALUE"""),"")</f>
        <v/>
      </c>
      <c r="L360" s="501" t="str">
        <f>IFERROR(__xludf.DUMMYFUNCTION("""COMPUTED_VALUE"""),"")</f>
        <v/>
      </c>
      <c r="M360" s="504">
        <f>IFERROR(__xludf.DUMMYFUNCTION("""COMPUTED_VALUE"""),1.0)</f>
        <v>1</v>
      </c>
      <c r="N360" s="501" t="str">
        <f>IFERROR(__xludf.DUMMYFUNCTION("""COMPUTED_VALUE"""),"")</f>
        <v/>
      </c>
      <c r="O360" s="501" t="str">
        <f>IFERROR(__xludf.DUMMYFUNCTION("""COMPUTED_VALUE"""),"")</f>
        <v/>
      </c>
      <c r="P360" s="503" t="str">
        <f>IFERROR(__xludf.DUMMYFUNCTION("""COMPUTED_VALUE"""),"")</f>
        <v/>
      </c>
      <c r="Q360" s="501" t="str">
        <f>IFERROR(__xludf.DUMMYFUNCTION("""COMPUTED_VALUE"""),"")</f>
        <v/>
      </c>
      <c r="R360" s="501" t="str">
        <f>IFERROR(__xludf.DUMMYFUNCTION("""COMPUTED_VALUE"""),"")</f>
        <v/>
      </c>
      <c r="S360" s="503" t="str">
        <f>IFERROR(__xludf.DUMMYFUNCTION("""COMPUTED_VALUE"""),"")</f>
        <v/>
      </c>
      <c r="T360" s="503" t="str">
        <f>IFERROR(__xludf.DUMMYFUNCTION("""COMPUTED_VALUE"""),"utm_source=facebook&amp;utm_medium=socialmedia&amp;utm_campaign=&amp;utm_content=&amp;referrer=facebook")</f>
        <v>utm_source=facebook&amp;utm_medium=socialmedia&amp;utm_campaign=&amp;utm_content=&amp;referrer=facebook</v>
      </c>
    </row>
    <row r="361">
      <c r="A361" s="501" t="str">
        <f>IFERROR(__xludf.DUMMYFUNCTION("""COMPUTED_VALUE"""),"augustus")</f>
        <v>augustus</v>
      </c>
      <c r="B361" s="501">
        <f>IFERROR(__xludf.DUMMYFUNCTION("""COMPUTED_VALUE"""),34.0)</f>
        <v>34</v>
      </c>
      <c r="C361" s="501" t="str">
        <f>IFERROR(__xludf.DUMMYFUNCTION("""COMPUTED_VALUE"""),"zaterdag")</f>
        <v>zaterdag</v>
      </c>
      <c r="D361" s="502">
        <f>IFERROR(__xludf.DUMMYFUNCTION("""COMPUTED_VALUE"""),43701.0)</f>
        <v>43701</v>
      </c>
      <c r="E361" s="502">
        <f>IFERROR(__xludf.DUMMYFUNCTION("""COMPUTED_VALUE"""),43701.0)</f>
        <v>43701</v>
      </c>
      <c r="F361" s="501" t="str">
        <f>IFERROR(__xludf.DUMMYFUNCTION("""COMPUTED_VALUE"""),"")</f>
        <v/>
      </c>
      <c r="G361" s="503" t="str">
        <f>IFERROR(__xludf.DUMMYFUNCTION("""COMPUTED_VALUE"""),"")</f>
        <v/>
      </c>
      <c r="H361" s="501" t="str">
        <f>IFERROR(__xludf.DUMMYFUNCTION("""COMPUTED_VALUE"""),"")</f>
        <v/>
      </c>
      <c r="I361" s="503" t="str">
        <f>IFERROR(__xludf.DUMMYFUNCTION("""COMPUTED_VALUE"""),"")</f>
        <v/>
      </c>
      <c r="J361" s="501" t="str">
        <f>IFERROR(__xludf.DUMMYFUNCTION("""COMPUTED_VALUE"""),"")</f>
        <v/>
      </c>
      <c r="K361" s="503" t="str">
        <f>IFERROR(__xludf.DUMMYFUNCTION("""COMPUTED_VALUE"""),"")</f>
        <v/>
      </c>
      <c r="L361" s="501" t="str">
        <f>IFERROR(__xludf.DUMMYFUNCTION("""COMPUTED_VALUE"""),"")</f>
        <v/>
      </c>
      <c r="M361" s="504">
        <f>IFERROR(__xludf.DUMMYFUNCTION("""COMPUTED_VALUE"""),1.0)</f>
        <v>1</v>
      </c>
      <c r="N361" s="501" t="str">
        <f>IFERROR(__xludf.DUMMYFUNCTION("""COMPUTED_VALUE"""),"")</f>
        <v/>
      </c>
      <c r="O361" s="501" t="str">
        <f>IFERROR(__xludf.DUMMYFUNCTION("""COMPUTED_VALUE"""),"")</f>
        <v/>
      </c>
      <c r="P361" s="503" t="str">
        <f>IFERROR(__xludf.DUMMYFUNCTION("""COMPUTED_VALUE"""),"")</f>
        <v/>
      </c>
      <c r="Q361" s="501" t="str">
        <f>IFERROR(__xludf.DUMMYFUNCTION("""COMPUTED_VALUE"""),"")</f>
        <v/>
      </c>
      <c r="R361" s="501" t="str">
        <f>IFERROR(__xludf.DUMMYFUNCTION("""COMPUTED_VALUE"""),"")</f>
        <v/>
      </c>
      <c r="S361" s="503" t="str">
        <f>IFERROR(__xludf.DUMMYFUNCTION("""COMPUTED_VALUE"""),"")</f>
        <v/>
      </c>
      <c r="T361" s="503" t="str">
        <f>IFERROR(__xludf.DUMMYFUNCTION("""COMPUTED_VALUE"""),"utm_source=facebook&amp;utm_medium=socialmedia&amp;utm_campaign=&amp;utm_content=&amp;referrer=facebook")</f>
        <v>utm_source=facebook&amp;utm_medium=socialmedia&amp;utm_campaign=&amp;utm_content=&amp;referrer=facebook</v>
      </c>
    </row>
    <row r="362">
      <c r="A362" s="501" t="str">
        <f>IFERROR(__xludf.DUMMYFUNCTION("""COMPUTED_VALUE"""),"augustus")</f>
        <v>augustus</v>
      </c>
      <c r="B362" s="501">
        <f>IFERROR(__xludf.DUMMYFUNCTION("""COMPUTED_VALUE"""),35.0)</f>
        <v>35</v>
      </c>
      <c r="C362" s="501" t="str">
        <f>IFERROR(__xludf.DUMMYFUNCTION("""COMPUTED_VALUE"""),"zondag")</f>
        <v>zondag</v>
      </c>
      <c r="D362" s="502">
        <f>IFERROR(__xludf.DUMMYFUNCTION("""COMPUTED_VALUE"""),43702.0)</f>
        <v>43702</v>
      </c>
      <c r="E362" s="502">
        <f>IFERROR(__xludf.DUMMYFUNCTION("""COMPUTED_VALUE"""),43702.0)</f>
        <v>43702</v>
      </c>
      <c r="F362" s="501" t="str">
        <f>IFERROR(__xludf.DUMMYFUNCTION("""COMPUTED_VALUE"""),"")</f>
        <v/>
      </c>
      <c r="G362" s="503" t="str">
        <f>IFERROR(__xludf.DUMMYFUNCTION("""COMPUTED_VALUE"""),"")</f>
        <v/>
      </c>
      <c r="H362" s="501" t="str">
        <f>IFERROR(__xludf.DUMMYFUNCTION("""COMPUTED_VALUE"""),"")</f>
        <v/>
      </c>
      <c r="I362" s="503" t="str">
        <f>IFERROR(__xludf.DUMMYFUNCTION("""COMPUTED_VALUE"""),"")</f>
        <v/>
      </c>
      <c r="J362" s="501" t="str">
        <f>IFERROR(__xludf.DUMMYFUNCTION("""COMPUTED_VALUE"""),"")</f>
        <v/>
      </c>
      <c r="K362" s="503" t="str">
        <f>IFERROR(__xludf.DUMMYFUNCTION("""COMPUTED_VALUE"""),"")</f>
        <v/>
      </c>
      <c r="L362" s="501" t="str">
        <f>IFERROR(__xludf.DUMMYFUNCTION("""COMPUTED_VALUE"""),"")</f>
        <v/>
      </c>
      <c r="M362" s="504">
        <f>IFERROR(__xludf.DUMMYFUNCTION("""COMPUTED_VALUE"""),1.0)</f>
        <v>1</v>
      </c>
      <c r="N362" s="501" t="str">
        <f>IFERROR(__xludf.DUMMYFUNCTION("""COMPUTED_VALUE"""),"")</f>
        <v/>
      </c>
      <c r="O362" s="501" t="str">
        <f>IFERROR(__xludf.DUMMYFUNCTION("""COMPUTED_VALUE"""),"")</f>
        <v/>
      </c>
      <c r="P362" s="503" t="str">
        <f>IFERROR(__xludf.DUMMYFUNCTION("""COMPUTED_VALUE"""),"")</f>
        <v/>
      </c>
      <c r="Q362" s="501" t="str">
        <f>IFERROR(__xludf.DUMMYFUNCTION("""COMPUTED_VALUE"""),"")</f>
        <v/>
      </c>
      <c r="R362" s="501" t="str">
        <f>IFERROR(__xludf.DUMMYFUNCTION("""COMPUTED_VALUE"""),"")</f>
        <v/>
      </c>
      <c r="S362" s="503" t="str">
        <f>IFERROR(__xludf.DUMMYFUNCTION("""COMPUTED_VALUE"""),"")</f>
        <v/>
      </c>
      <c r="T362" s="503" t="str">
        <f>IFERROR(__xludf.DUMMYFUNCTION("""COMPUTED_VALUE"""),"utm_source=facebook&amp;utm_medium=socialmedia&amp;utm_campaign=&amp;utm_content=&amp;referrer=facebook")</f>
        <v>utm_source=facebook&amp;utm_medium=socialmedia&amp;utm_campaign=&amp;utm_content=&amp;referrer=facebook</v>
      </c>
    </row>
    <row r="363">
      <c r="A363" s="501" t="str">
        <f>IFERROR(__xludf.DUMMYFUNCTION("""COMPUTED_VALUE"""),"augustus")</f>
        <v>augustus</v>
      </c>
      <c r="B363" s="501">
        <f>IFERROR(__xludf.DUMMYFUNCTION("""COMPUTED_VALUE"""),35.0)</f>
        <v>35</v>
      </c>
      <c r="C363" s="501" t="str">
        <f>IFERROR(__xludf.DUMMYFUNCTION("""COMPUTED_VALUE"""),"maandag")</f>
        <v>maandag</v>
      </c>
      <c r="D363" s="502">
        <f>IFERROR(__xludf.DUMMYFUNCTION("""COMPUTED_VALUE"""),43703.0)</f>
        <v>43703</v>
      </c>
      <c r="E363" s="502">
        <f>IFERROR(__xludf.DUMMYFUNCTION("""COMPUTED_VALUE"""),43703.0)</f>
        <v>43703</v>
      </c>
      <c r="F363" s="501" t="str">
        <f>IFERROR(__xludf.DUMMYFUNCTION("""COMPUTED_VALUE"""),"")</f>
        <v/>
      </c>
      <c r="G363" s="503" t="str">
        <f>IFERROR(__xludf.DUMMYFUNCTION("""COMPUTED_VALUE"""),"")</f>
        <v/>
      </c>
      <c r="H363" s="501" t="str">
        <f>IFERROR(__xludf.DUMMYFUNCTION("""COMPUTED_VALUE"""),"")</f>
        <v/>
      </c>
      <c r="I363" s="503" t="str">
        <f>IFERROR(__xludf.DUMMYFUNCTION("""COMPUTED_VALUE"""),"")</f>
        <v/>
      </c>
      <c r="J363" s="501" t="str">
        <f>IFERROR(__xludf.DUMMYFUNCTION("""COMPUTED_VALUE"""),"")</f>
        <v/>
      </c>
      <c r="K363" s="503" t="str">
        <f>IFERROR(__xludf.DUMMYFUNCTION("""COMPUTED_VALUE"""),"")</f>
        <v/>
      </c>
      <c r="L363" s="501" t="str">
        <f>IFERROR(__xludf.DUMMYFUNCTION("""COMPUTED_VALUE"""),"")</f>
        <v/>
      </c>
      <c r="M363" s="504">
        <f>IFERROR(__xludf.DUMMYFUNCTION("""COMPUTED_VALUE"""),1.0)</f>
        <v>1</v>
      </c>
      <c r="N363" s="501" t="str">
        <f>IFERROR(__xludf.DUMMYFUNCTION("""COMPUTED_VALUE"""),"")</f>
        <v/>
      </c>
      <c r="O363" s="501" t="str">
        <f>IFERROR(__xludf.DUMMYFUNCTION("""COMPUTED_VALUE"""),"")</f>
        <v/>
      </c>
      <c r="P363" s="503" t="str">
        <f>IFERROR(__xludf.DUMMYFUNCTION("""COMPUTED_VALUE"""),"")</f>
        <v/>
      </c>
      <c r="Q363" s="501" t="str">
        <f>IFERROR(__xludf.DUMMYFUNCTION("""COMPUTED_VALUE"""),"")</f>
        <v/>
      </c>
      <c r="R363" s="501" t="str">
        <f>IFERROR(__xludf.DUMMYFUNCTION("""COMPUTED_VALUE"""),"")</f>
        <v/>
      </c>
      <c r="S363" s="503" t="str">
        <f>IFERROR(__xludf.DUMMYFUNCTION("""COMPUTED_VALUE"""),"")</f>
        <v/>
      </c>
      <c r="T363" s="503" t="str">
        <f>IFERROR(__xludf.DUMMYFUNCTION("""COMPUTED_VALUE"""),"utm_source=facebook&amp;utm_medium=socialmedia&amp;utm_campaign=&amp;utm_content=&amp;referrer=facebook")</f>
        <v>utm_source=facebook&amp;utm_medium=socialmedia&amp;utm_campaign=&amp;utm_content=&amp;referrer=facebook</v>
      </c>
    </row>
    <row r="364">
      <c r="A364" s="501" t="str">
        <f>IFERROR(__xludf.DUMMYFUNCTION("""COMPUTED_VALUE"""),"augustus")</f>
        <v>augustus</v>
      </c>
      <c r="B364" s="501">
        <f>IFERROR(__xludf.DUMMYFUNCTION("""COMPUTED_VALUE"""),35.0)</f>
        <v>35</v>
      </c>
      <c r="C364" s="501" t="str">
        <f>IFERROR(__xludf.DUMMYFUNCTION("""COMPUTED_VALUE"""),"dinsdag")</f>
        <v>dinsdag</v>
      </c>
      <c r="D364" s="502">
        <f>IFERROR(__xludf.DUMMYFUNCTION("""COMPUTED_VALUE"""),43704.0)</f>
        <v>43704</v>
      </c>
      <c r="E364" s="502">
        <f>IFERROR(__xludf.DUMMYFUNCTION("""COMPUTED_VALUE"""),43704.0)</f>
        <v>43704</v>
      </c>
      <c r="F364" s="501" t="str">
        <f>IFERROR(__xludf.DUMMYFUNCTION("""COMPUTED_VALUE"""),"")</f>
        <v/>
      </c>
      <c r="G364" s="503" t="str">
        <f>IFERROR(__xludf.DUMMYFUNCTION("""COMPUTED_VALUE"""),"")</f>
        <v/>
      </c>
      <c r="H364" s="501" t="str">
        <f>IFERROR(__xludf.DUMMYFUNCTION("""COMPUTED_VALUE"""),"")</f>
        <v/>
      </c>
      <c r="I364" s="503" t="str">
        <f>IFERROR(__xludf.DUMMYFUNCTION("""COMPUTED_VALUE"""),"")</f>
        <v/>
      </c>
      <c r="J364" s="501" t="str">
        <f>IFERROR(__xludf.DUMMYFUNCTION("""COMPUTED_VALUE"""),"")</f>
        <v/>
      </c>
      <c r="K364" s="503" t="str">
        <f>IFERROR(__xludf.DUMMYFUNCTION("""COMPUTED_VALUE"""),"")</f>
        <v/>
      </c>
      <c r="L364" s="501" t="str">
        <f>IFERROR(__xludf.DUMMYFUNCTION("""COMPUTED_VALUE"""),"")</f>
        <v/>
      </c>
      <c r="M364" s="504">
        <f>IFERROR(__xludf.DUMMYFUNCTION("""COMPUTED_VALUE"""),1.0)</f>
        <v>1</v>
      </c>
      <c r="N364" s="501" t="str">
        <f>IFERROR(__xludf.DUMMYFUNCTION("""COMPUTED_VALUE"""),"")</f>
        <v/>
      </c>
      <c r="O364" s="501" t="str">
        <f>IFERROR(__xludf.DUMMYFUNCTION("""COMPUTED_VALUE"""),"")</f>
        <v/>
      </c>
      <c r="P364" s="503" t="str">
        <f>IFERROR(__xludf.DUMMYFUNCTION("""COMPUTED_VALUE"""),"")</f>
        <v/>
      </c>
      <c r="Q364" s="501" t="str">
        <f>IFERROR(__xludf.DUMMYFUNCTION("""COMPUTED_VALUE"""),"")</f>
        <v/>
      </c>
      <c r="R364" s="501" t="str">
        <f>IFERROR(__xludf.DUMMYFUNCTION("""COMPUTED_VALUE"""),"")</f>
        <v/>
      </c>
      <c r="S364" s="503" t="str">
        <f>IFERROR(__xludf.DUMMYFUNCTION("""COMPUTED_VALUE"""),"")</f>
        <v/>
      </c>
      <c r="T364" s="503" t="str">
        <f>IFERROR(__xludf.DUMMYFUNCTION("""COMPUTED_VALUE"""),"utm_source=facebook&amp;utm_medium=socialmedia&amp;utm_campaign=&amp;utm_content=&amp;referrer=facebook")</f>
        <v>utm_source=facebook&amp;utm_medium=socialmedia&amp;utm_campaign=&amp;utm_content=&amp;referrer=facebook</v>
      </c>
    </row>
    <row r="365">
      <c r="A365" s="501" t="str">
        <f>IFERROR(__xludf.DUMMYFUNCTION("""COMPUTED_VALUE"""),"augustus")</f>
        <v>augustus</v>
      </c>
      <c r="B365" s="501">
        <f>IFERROR(__xludf.DUMMYFUNCTION("""COMPUTED_VALUE"""),35.0)</f>
        <v>35</v>
      </c>
      <c r="C365" s="501" t="str">
        <f>IFERROR(__xludf.DUMMYFUNCTION("""COMPUTED_VALUE"""),"woensdag")</f>
        <v>woensdag</v>
      </c>
      <c r="D365" s="502">
        <f>IFERROR(__xludf.DUMMYFUNCTION("""COMPUTED_VALUE"""),43705.0)</f>
        <v>43705</v>
      </c>
      <c r="E365" s="502">
        <f>IFERROR(__xludf.DUMMYFUNCTION("""COMPUTED_VALUE"""),43705.0)</f>
        <v>43705</v>
      </c>
      <c r="F365" s="501" t="str">
        <f>IFERROR(__xludf.DUMMYFUNCTION("""COMPUTED_VALUE"""),"")</f>
        <v/>
      </c>
      <c r="G365" s="503" t="str">
        <f>IFERROR(__xludf.DUMMYFUNCTION("""COMPUTED_VALUE"""),"")</f>
        <v/>
      </c>
      <c r="H365" s="501" t="str">
        <f>IFERROR(__xludf.DUMMYFUNCTION("""COMPUTED_VALUE"""),"")</f>
        <v/>
      </c>
      <c r="I365" s="503" t="str">
        <f>IFERROR(__xludf.DUMMYFUNCTION("""COMPUTED_VALUE"""),"")</f>
        <v/>
      </c>
      <c r="J365" s="501" t="str">
        <f>IFERROR(__xludf.DUMMYFUNCTION("""COMPUTED_VALUE"""),"")</f>
        <v/>
      </c>
      <c r="K365" s="503" t="str">
        <f>IFERROR(__xludf.DUMMYFUNCTION("""COMPUTED_VALUE"""),"")</f>
        <v/>
      </c>
      <c r="L365" s="501" t="str">
        <f>IFERROR(__xludf.DUMMYFUNCTION("""COMPUTED_VALUE"""),"")</f>
        <v/>
      </c>
      <c r="M365" s="504">
        <f>IFERROR(__xludf.DUMMYFUNCTION("""COMPUTED_VALUE"""),1.0)</f>
        <v>1</v>
      </c>
      <c r="N365" s="501" t="str">
        <f>IFERROR(__xludf.DUMMYFUNCTION("""COMPUTED_VALUE"""),"")</f>
        <v/>
      </c>
      <c r="O365" s="501" t="str">
        <f>IFERROR(__xludf.DUMMYFUNCTION("""COMPUTED_VALUE"""),"")</f>
        <v/>
      </c>
      <c r="P365" s="503" t="str">
        <f>IFERROR(__xludf.DUMMYFUNCTION("""COMPUTED_VALUE"""),"")</f>
        <v/>
      </c>
      <c r="Q365" s="501" t="str">
        <f>IFERROR(__xludf.DUMMYFUNCTION("""COMPUTED_VALUE"""),"")</f>
        <v/>
      </c>
      <c r="R365" s="501" t="str">
        <f>IFERROR(__xludf.DUMMYFUNCTION("""COMPUTED_VALUE"""),"")</f>
        <v/>
      </c>
      <c r="S365" s="503" t="str">
        <f>IFERROR(__xludf.DUMMYFUNCTION("""COMPUTED_VALUE"""),"")</f>
        <v/>
      </c>
      <c r="T365" s="503" t="str">
        <f>IFERROR(__xludf.DUMMYFUNCTION("""COMPUTED_VALUE"""),"utm_source=facebook&amp;utm_medium=socialmedia&amp;utm_campaign=&amp;utm_content=&amp;referrer=facebook")</f>
        <v>utm_source=facebook&amp;utm_medium=socialmedia&amp;utm_campaign=&amp;utm_content=&amp;referrer=facebook</v>
      </c>
    </row>
    <row r="366">
      <c r="A366" s="501" t="str">
        <f>IFERROR(__xludf.DUMMYFUNCTION("""COMPUTED_VALUE"""),"augustus")</f>
        <v>augustus</v>
      </c>
      <c r="B366" s="501">
        <f>IFERROR(__xludf.DUMMYFUNCTION("""COMPUTED_VALUE"""),35.0)</f>
        <v>35</v>
      </c>
      <c r="C366" s="501" t="str">
        <f>IFERROR(__xludf.DUMMYFUNCTION("""COMPUTED_VALUE"""),"donderdag")</f>
        <v>donderdag</v>
      </c>
      <c r="D366" s="502">
        <f>IFERROR(__xludf.DUMMYFUNCTION("""COMPUTED_VALUE"""),43706.0)</f>
        <v>43706</v>
      </c>
      <c r="E366" s="502">
        <f>IFERROR(__xludf.DUMMYFUNCTION("""COMPUTED_VALUE"""),43706.0)</f>
        <v>43706</v>
      </c>
      <c r="F366" s="501" t="str">
        <f>IFERROR(__xludf.DUMMYFUNCTION("""COMPUTED_VALUE"""),"")</f>
        <v/>
      </c>
      <c r="G366" s="503" t="str">
        <f>IFERROR(__xludf.DUMMYFUNCTION("""COMPUTED_VALUE"""),"")</f>
        <v/>
      </c>
      <c r="H366" s="501" t="str">
        <f>IFERROR(__xludf.DUMMYFUNCTION("""COMPUTED_VALUE"""),"")</f>
        <v/>
      </c>
      <c r="I366" s="503" t="str">
        <f>IFERROR(__xludf.DUMMYFUNCTION("""COMPUTED_VALUE"""),"")</f>
        <v/>
      </c>
      <c r="J366" s="501" t="str">
        <f>IFERROR(__xludf.DUMMYFUNCTION("""COMPUTED_VALUE"""),"")</f>
        <v/>
      </c>
      <c r="K366" s="503" t="str">
        <f>IFERROR(__xludf.DUMMYFUNCTION("""COMPUTED_VALUE"""),"")</f>
        <v/>
      </c>
      <c r="L366" s="501" t="str">
        <f>IFERROR(__xludf.DUMMYFUNCTION("""COMPUTED_VALUE"""),"")</f>
        <v/>
      </c>
      <c r="M366" s="504">
        <f>IFERROR(__xludf.DUMMYFUNCTION("""COMPUTED_VALUE"""),1.0)</f>
        <v>1</v>
      </c>
      <c r="N366" s="501" t="str">
        <f>IFERROR(__xludf.DUMMYFUNCTION("""COMPUTED_VALUE"""),"")</f>
        <v/>
      </c>
      <c r="O366" s="501" t="str">
        <f>IFERROR(__xludf.DUMMYFUNCTION("""COMPUTED_VALUE"""),"")</f>
        <v/>
      </c>
      <c r="P366" s="503" t="str">
        <f>IFERROR(__xludf.DUMMYFUNCTION("""COMPUTED_VALUE"""),"")</f>
        <v/>
      </c>
      <c r="Q366" s="501" t="str">
        <f>IFERROR(__xludf.DUMMYFUNCTION("""COMPUTED_VALUE"""),"")</f>
        <v/>
      </c>
      <c r="R366" s="501" t="str">
        <f>IFERROR(__xludf.DUMMYFUNCTION("""COMPUTED_VALUE"""),"")</f>
        <v/>
      </c>
      <c r="S366" s="503" t="str">
        <f>IFERROR(__xludf.DUMMYFUNCTION("""COMPUTED_VALUE"""),"")</f>
        <v/>
      </c>
      <c r="T366" s="503" t="str">
        <f>IFERROR(__xludf.DUMMYFUNCTION("""COMPUTED_VALUE"""),"utm_source=facebook&amp;utm_medium=socialmedia&amp;utm_campaign=&amp;utm_content=&amp;referrer=facebook")</f>
        <v>utm_source=facebook&amp;utm_medium=socialmedia&amp;utm_campaign=&amp;utm_content=&amp;referrer=facebook</v>
      </c>
    </row>
    <row r="367">
      <c r="A367" s="501" t="str">
        <f>IFERROR(__xludf.DUMMYFUNCTION("""COMPUTED_VALUE"""),"augustus")</f>
        <v>augustus</v>
      </c>
      <c r="B367" s="501">
        <f>IFERROR(__xludf.DUMMYFUNCTION("""COMPUTED_VALUE"""),35.0)</f>
        <v>35</v>
      </c>
      <c r="C367" s="501" t="str">
        <f>IFERROR(__xludf.DUMMYFUNCTION("""COMPUTED_VALUE"""),"vrijdag")</f>
        <v>vrijdag</v>
      </c>
      <c r="D367" s="502">
        <f>IFERROR(__xludf.DUMMYFUNCTION("""COMPUTED_VALUE"""),43707.0)</f>
        <v>43707</v>
      </c>
      <c r="E367" s="502">
        <f>IFERROR(__xludf.DUMMYFUNCTION("""COMPUTED_VALUE"""),43707.0)</f>
        <v>43707</v>
      </c>
      <c r="F367" s="501" t="str">
        <f>IFERROR(__xludf.DUMMYFUNCTION("""COMPUTED_VALUE"""),"")</f>
        <v/>
      </c>
      <c r="G367" s="503" t="str">
        <f>IFERROR(__xludf.DUMMYFUNCTION("""COMPUTED_VALUE"""),"")</f>
        <v/>
      </c>
      <c r="H367" s="501" t="str">
        <f>IFERROR(__xludf.DUMMYFUNCTION("""COMPUTED_VALUE"""),"")</f>
        <v/>
      </c>
      <c r="I367" s="503" t="str">
        <f>IFERROR(__xludf.DUMMYFUNCTION("""COMPUTED_VALUE"""),"")</f>
        <v/>
      </c>
      <c r="J367" s="501" t="str">
        <f>IFERROR(__xludf.DUMMYFUNCTION("""COMPUTED_VALUE"""),"")</f>
        <v/>
      </c>
      <c r="K367" s="503" t="str">
        <f>IFERROR(__xludf.DUMMYFUNCTION("""COMPUTED_VALUE"""),"")</f>
        <v/>
      </c>
      <c r="L367" s="501" t="str">
        <f>IFERROR(__xludf.DUMMYFUNCTION("""COMPUTED_VALUE"""),"")</f>
        <v/>
      </c>
      <c r="M367" s="504">
        <f>IFERROR(__xludf.DUMMYFUNCTION("""COMPUTED_VALUE"""),1.0)</f>
        <v>1</v>
      </c>
      <c r="N367" s="501" t="str">
        <f>IFERROR(__xludf.DUMMYFUNCTION("""COMPUTED_VALUE"""),"")</f>
        <v/>
      </c>
      <c r="O367" s="501" t="str">
        <f>IFERROR(__xludf.DUMMYFUNCTION("""COMPUTED_VALUE"""),"")</f>
        <v/>
      </c>
      <c r="P367" s="503" t="str">
        <f>IFERROR(__xludf.DUMMYFUNCTION("""COMPUTED_VALUE"""),"")</f>
        <v/>
      </c>
      <c r="Q367" s="501" t="str">
        <f>IFERROR(__xludf.DUMMYFUNCTION("""COMPUTED_VALUE"""),"")</f>
        <v/>
      </c>
      <c r="R367" s="501" t="str">
        <f>IFERROR(__xludf.DUMMYFUNCTION("""COMPUTED_VALUE"""),"")</f>
        <v/>
      </c>
      <c r="S367" s="503" t="str">
        <f>IFERROR(__xludf.DUMMYFUNCTION("""COMPUTED_VALUE"""),"")</f>
        <v/>
      </c>
      <c r="T367" s="503" t="str">
        <f>IFERROR(__xludf.DUMMYFUNCTION("""COMPUTED_VALUE"""),"utm_source=facebook&amp;utm_medium=socialmedia&amp;utm_campaign=&amp;utm_content=&amp;referrer=facebook")</f>
        <v>utm_source=facebook&amp;utm_medium=socialmedia&amp;utm_campaign=&amp;utm_content=&amp;referrer=facebook</v>
      </c>
    </row>
    <row r="368">
      <c r="A368" s="501" t="str">
        <f>IFERROR(__xludf.DUMMYFUNCTION("""COMPUTED_VALUE"""),"augustus")</f>
        <v>augustus</v>
      </c>
      <c r="B368" s="501">
        <f>IFERROR(__xludf.DUMMYFUNCTION("""COMPUTED_VALUE"""),35.0)</f>
        <v>35</v>
      </c>
      <c r="C368" s="501" t="str">
        <f>IFERROR(__xludf.DUMMYFUNCTION("""COMPUTED_VALUE"""),"zaterdag")</f>
        <v>zaterdag</v>
      </c>
      <c r="D368" s="502">
        <f>IFERROR(__xludf.DUMMYFUNCTION("""COMPUTED_VALUE"""),43708.0)</f>
        <v>43708</v>
      </c>
      <c r="E368" s="502">
        <f>IFERROR(__xludf.DUMMYFUNCTION("""COMPUTED_VALUE"""),43708.0)</f>
        <v>43708</v>
      </c>
      <c r="F368" s="501" t="str">
        <f>IFERROR(__xludf.DUMMYFUNCTION("""COMPUTED_VALUE"""),"")</f>
        <v/>
      </c>
      <c r="G368" s="503" t="str">
        <f>IFERROR(__xludf.DUMMYFUNCTION("""COMPUTED_VALUE"""),"")</f>
        <v/>
      </c>
      <c r="H368" s="501" t="str">
        <f>IFERROR(__xludf.DUMMYFUNCTION("""COMPUTED_VALUE"""),"")</f>
        <v/>
      </c>
      <c r="I368" s="503" t="str">
        <f>IFERROR(__xludf.DUMMYFUNCTION("""COMPUTED_VALUE"""),"")</f>
        <v/>
      </c>
      <c r="J368" s="501" t="str">
        <f>IFERROR(__xludf.DUMMYFUNCTION("""COMPUTED_VALUE"""),"")</f>
        <v/>
      </c>
      <c r="K368" s="503" t="str">
        <f>IFERROR(__xludf.DUMMYFUNCTION("""COMPUTED_VALUE"""),"")</f>
        <v/>
      </c>
      <c r="L368" s="501" t="str">
        <f>IFERROR(__xludf.DUMMYFUNCTION("""COMPUTED_VALUE"""),"")</f>
        <v/>
      </c>
      <c r="M368" s="504">
        <f>IFERROR(__xludf.DUMMYFUNCTION("""COMPUTED_VALUE"""),1.0)</f>
        <v>1</v>
      </c>
      <c r="N368" s="501" t="str">
        <f>IFERROR(__xludf.DUMMYFUNCTION("""COMPUTED_VALUE"""),"")</f>
        <v/>
      </c>
      <c r="O368" s="501" t="str">
        <f>IFERROR(__xludf.DUMMYFUNCTION("""COMPUTED_VALUE"""),"")</f>
        <v/>
      </c>
      <c r="P368" s="503" t="str">
        <f>IFERROR(__xludf.DUMMYFUNCTION("""COMPUTED_VALUE"""),"")</f>
        <v/>
      </c>
      <c r="Q368" s="501" t="str">
        <f>IFERROR(__xludf.DUMMYFUNCTION("""COMPUTED_VALUE"""),"")</f>
        <v/>
      </c>
      <c r="R368" s="501" t="str">
        <f>IFERROR(__xludf.DUMMYFUNCTION("""COMPUTED_VALUE"""),"")</f>
        <v/>
      </c>
      <c r="S368" s="503" t="str">
        <f>IFERROR(__xludf.DUMMYFUNCTION("""COMPUTED_VALUE"""),"")</f>
        <v/>
      </c>
      <c r="T368" s="503" t="str">
        <f>IFERROR(__xludf.DUMMYFUNCTION("""COMPUTED_VALUE"""),"utm_source=facebook&amp;utm_medium=socialmedia&amp;utm_campaign=&amp;utm_content=&amp;referrer=facebook")</f>
        <v>utm_source=facebook&amp;utm_medium=socialmedia&amp;utm_campaign=&amp;utm_content=&amp;referrer=facebook</v>
      </c>
    </row>
    <row r="369">
      <c r="A369" s="501" t="str">
        <f>IFERROR(__xludf.DUMMYFUNCTION("""COMPUTED_VALUE"""),"september")</f>
        <v>september</v>
      </c>
      <c r="B369" s="501">
        <f>IFERROR(__xludf.DUMMYFUNCTION("""COMPUTED_VALUE"""),36.0)</f>
        <v>36</v>
      </c>
      <c r="C369" s="501" t="str">
        <f>IFERROR(__xludf.DUMMYFUNCTION("""COMPUTED_VALUE"""),"zondag")</f>
        <v>zondag</v>
      </c>
      <c r="D369" s="502">
        <f>IFERROR(__xludf.DUMMYFUNCTION("""COMPUTED_VALUE"""),43709.0)</f>
        <v>43709</v>
      </c>
      <c r="E369" s="502">
        <f>IFERROR(__xludf.DUMMYFUNCTION("""COMPUTED_VALUE"""),43738.0)</f>
        <v>43738</v>
      </c>
      <c r="F369" s="501" t="str">
        <f>IFERROR(__xludf.DUMMYFUNCTION("""COMPUTED_VALUE"""),"")</f>
        <v/>
      </c>
      <c r="G369" s="503" t="str">
        <f>IFERROR(__xludf.DUMMYFUNCTION("""COMPUTED_VALUE"""),"")</f>
        <v/>
      </c>
      <c r="H369" s="501" t="str">
        <f>IFERROR(__xludf.DUMMYFUNCTION("""COMPUTED_VALUE"""),"AOC verhuizen do")</f>
        <v>AOC verhuizen do</v>
      </c>
      <c r="I369" s="503" t="str">
        <f>IFERROR(__xludf.DUMMYFUNCTION("""COMPUTED_VALUE"""),"")</f>
        <v/>
      </c>
      <c r="J369" s="501" t="str">
        <f>IFERROR(__xludf.DUMMYFUNCTION("""COMPUTED_VALUE"""),"Briefen")</f>
        <v>Briefen</v>
      </c>
      <c r="K369" s="505" t="str">
        <f>IFERROR(__xludf.DUMMYFUNCTION("""COMPUTED_VALUE""")," URl bevat nieuwe woning 14 dagen ")</f>
        <v>URl bevat nieuwe woning 14 dagen</v>
      </c>
      <c r="L369" s="506">
        <f>IFERROR(__xludf.DUMMYFUNCTION("""COMPUTED_VALUE"""),300.0)</f>
        <v>300</v>
      </c>
      <c r="M369" s="504">
        <f>IFERROR(__xludf.DUMMYFUNCTION("""COMPUTED_VALUE"""),30.0)</f>
        <v>30</v>
      </c>
      <c r="N369" s="501" t="str">
        <f>IFERROR(__xludf.DUMMYFUNCTION("""COMPUTED_VALUE"""),"Product")</f>
        <v>Product</v>
      </c>
      <c r="O369" s="501" t="str">
        <f>IFERROR(__xludf.DUMMYFUNCTION("""COMPUTED_VALUE"""),"Facebook")</f>
        <v>Facebook</v>
      </c>
      <c r="P369" s="503" t="str">
        <f>IFERROR(__xludf.DUMMYFUNCTION("""COMPUTED_VALUE"""),"Facebook - Do - AOC")</f>
        <v>Facebook - Do - AOC</v>
      </c>
      <c r="Q369" s="501" t="str">
        <f>IFERROR(__xludf.DUMMYFUNCTION("""COMPUTED_VALUE"""),"Conversie - Waarde")</f>
        <v>Conversie - Waarde</v>
      </c>
      <c r="R369" s="501" t="str">
        <f>IFERROR(__xludf.DUMMYFUNCTION("""COMPUTED_VALUE"""),"Dark")</f>
        <v>Dark</v>
      </c>
      <c r="S369" s="503" t="str">
        <f>IFERROR(__xludf.DUMMYFUNCTION("""COMPUTED_VALUE"""),"")</f>
        <v/>
      </c>
      <c r="T369"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370">
      <c r="A370" s="501" t="str">
        <f>IFERROR(__xludf.DUMMYFUNCTION("""COMPUTED_VALUE"""),"september")</f>
        <v>september</v>
      </c>
      <c r="B370" s="501">
        <f>IFERROR(__xludf.DUMMYFUNCTION("""COMPUTED_VALUE"""),36.0)</f>
        <v>36</v>
      </c>
      <c r="C370" s="501" t="str">
        <f>IFERROR(__xludf.DUMMYFUNCTION("""COMPUTED_VALUE"""),"zondag")</f>
        <v>zondag</v>
      </c>
      <c r="D370" s="502">
        <f>IFERROR(__xludf.DUMMYFUNCTION("""COMPUTED_VALUE"""),43709.0)</f>
        <v>43709</v>
      </c>
      <c r="E370" s="502">
        <f>IFERROR(__xludf.DUMMYFUNCTION("""COMPUTED_VALUE"""),43738.0)</f>
        <v>43738</v>
      </c>
      <c r="F370" s="501" t="str">
        <f>IFERROR(__xludf.DUMMYFUNCTION("""COMPUTED_VALUE"""),"")</f>
        <v/>
      </c>
      <c r="G370" s="503" t="str">
        <f>IFERROR(__xludf.DUMMYFUNCTION("""COMPUTED_VALUE"""),"")</f>
        <v/>
      </c>
      <c r="H370" s="501" t="str">
        <f>IFERROR(__xludf.DUMMYFUNCTION("""COMPUTED_VALUE"""),"AOC verjaardag do")</f>
        <v>AOC verjaardag do</v>
      </c>
      <c r="I370" s="503" t="str">
        <f>IFERROR(__xludf.DUMMYFUNCTION("""COMPUTED_VALUE"""),"")</f>
        <v/>
      </c>
      <c r="J370" s="501" t="str">
        <f>IFERROR(__xludf.DUMMYFUNCTION("""COMPUTED_VALUE"""),"Briefen")</f>
        <v>Briefen</v>
      </c>
      <c r="K370" s="505" t="str">
        <f>IFERROR(__xludf.DUMMYFUNCTION("""COMPUTED_VALUE""")," Goeie vrienden van jarige 7-30 dagen ")</f>
        <v>Goeie vrienden van jarige 7-30 dagen</v>
      </c>
      <c r="L370" s="506">
        <f>IFERROR(__xludf.DUMMYFUNCTION("""COMPUTED_VALUE"""),300.0)</f>
        <v>300</v>
      </c>
      <c r="M370" s="504">
        <f>IFERROR(__xludf.DUMMYFUNCTION("""COMPUTED_VALUE"""),30.0)</f>
        <v>30</v>
      </c>
      <c r="N370" s="501" t="str">
        <f>IFERROR(__xludf.DUMMYFUNCTION("""COMPUTED_VALUE"""),"Product")</f>
        <v>Product</v>
      </c>
      <c r="O370" s="501" t="str">
        <f>IFERROR(__xludf.DUMMYFUNCTION("""COMPUTED_VALUE"""),"Facebook")</f>
        <v>Facebook</v>
      </c>
      <c r="P370" s="503" t="str">
        <f>IFERROR(__xludf.DUMMYFUNCTION("""COMPUTED_VALUE"""),"Facebook - Do - AOC")</f>
        <v>Facebook - Do - AOC</v>
      </c>
      <c r="Q370" s="501" t="str">
        <f>IFERROR(__xludf.DUMMYFUNCTION("""COMPUTED_VALUE"""),"Conversie - Waarde")</f>
        <v>Conversie - Waarde</v>
      </c>
      <c r="R370" s="501" t="str">
        <f>IFERROR(__xludf.DUMMYFUNCTION("""COMPUTED_VALUE"""),"Dark")</f>
        <v>Dark</v>
      </c>
      <c r="S370" s="503" t="str">
        <f>IFERROR(__xludf.DUMMYFUNCTION("""COMPUTED_VALUE"""),"")</f>
        <v/>
      </c>
      <c r="T370"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371">
      <c r="A371" s="501" t="str">
        <f>IFERROR(__xludf.DUMMYFUNCTION("""COMPUTED_VALUE"""),"september")</f>
        <v>september</v>
      </c>
      <c r="B371" s="501">
        <f>IFERROR(__xludf.DUMMYFUNCTION("""COMPUTED_VALUE"""),36.0)</f>
        <v>36</v>
      </c>
      <c r="C371" s="501" t="str">
        <f>IFERROR(__xludf.DUMMYFUNCTION("""COMPUTED_VALUE"""),"zondag")</f>
        <v>zondag</v>
      </c>
      <c r="D371" s="502">
        <f>IFERROR(__xludf.DUMMYFUNCTION("""COMPUTED_VALUE"""),43709.0)</f>
        <v>43709</v>
      </c>
      <c r="E371" s="502">
        <f>IFERROR(__xludf.DUMMYFUNCTION("""COMPUTED_VALUE"""),43738.0)</f>
        <v>43738</v>
      </c>
      <c r="F371" s="501" t="str">
        <f>IFERROR(__xludf.DUMMYFUNCTION("""COMPUTED_VALUE"""),"")</f>
        <v/>
      </c>
      <c r="G371" s="503" t="str">
        <f>IFERROR(__xludf.DUMMYFUNCTION("""COMPUTED_VALUE"""),"")</f>
        <v/>
      </c>
      <c r="H371" s="501" t="str">
        <f>IFERROR(__xludf.DUMMYFUNCTION("""COMPUTED_VALUE"""),"AOC verjaardag do")</f>
        <v>AOC verjaardag do</v>
      </c>
      <c r="I371" s="503" t="str">
        <f>IFERROR(__xludf.DUMMYFUNCTION("""COMPUTED_VALUE"""),"")</f>
        <v/>
      </c>
      <c r="J371" s="501" t="str">
        <f>IFERROR(__xludf.DUMMYFUNCTION("""COMPUTED_VALUE"""),"Briefen")</f>
        <v>Briefen</v>
      </c>
      <c r="K371" s="505" t="str">
        <f>IFERROR(__xludf.DUMMYFUNCTION("""COMPUTED_VALUE""")," URL bevat verjaardag 2-7 dagen ")</f>
        <v>URL bevat verjaardag 2-7 dagen</v>
      </c>
      <c r="L371" s="506">
        <f>IFERROR(__xludf.DUMMYFUNCTION("""COMPUTED_VALUE"""),1200.0)</f>
        <v>1200</v>
      </c>
      <c r="M371" s="504">
        <f>IFERROR(__xludf.DUMMYFUNCTION("""COMPUTED_VALUE"""),30.0)</f>
        <v>30</v>
      </c>
      <c r="N371" s="501" t="str">
        <f>IFERROR(__xludf.DUMMYFUNCTION("""COMPUTED_VALUE"""),"Product")</f>
        <v>Product</v>
      </c>
      <c r="O371" s="501" t="str">
        <f>IFERROR(__xludf.DUMMYFUNCTION("""COMPUTED_VALUE"""),"Facebook")</f>
        <v>Facebook</v>
      </c>
      <c r="P371" s="503" t="str">
        <f>IFERROR(__xludf.DUMMYFUNCTION("""COMPUTED_VALUE"""),"Facebook - Do - AOC")</f>
        <v>Facebook - Do - AOC</v>
      </c>
      <c r="Q371" s="501" t="str">
        <f>IFERROR(__xludf.DUMMYFUNCTION("""COMPUTED_VALUE"""),"Conversie - Waarde")</f>
        <v>Conversie - Waarde</v>
      </c>
      <c r="R371" s="501" t="str">
        <f>IFERROR(__xludf.DUMMYFUNCTION("""COMPUTED_VALUE"""),"Dark")</f>
        <v>Dark</v>
      </c>
      <c r="S371" s="503" t="str">
        <f>IFERROR(__xludf.DUMMYFUNCTION("""COMPUTED_VALUE"""),"")</f>
        <v/>
      </c>
      <c r="T371"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372">
      <c r="A372" s="501" t="str">
        <f>IFERROR(__xludf.DUMMYFUNCTION("""COMPUTED_VALUE"""),"september")</f>
        <v>september</v>
      </c>
      <c r="B372" s="501">
        <f>IFERROR(__xludf.DUMMYFUNCTION("""COMPUTED_VALUE"""),36.0)</f>
        <v>36</v>
      </c>
      <c r="C372" s="501" t="str">
        <f>IFERROR(__xludf.DUMMYFUNCTION("""COMPUTED_VALUE"""),"zondag")</f>
        <v>zondag</v>
      </c>
      <c r="D372" s="502">
        <f>IFERROR(__xludf.DUMMYFUNCTION("""COMPUTED_VALUE"""),43709.0)</f>
        <v>43709</v>
      </c>
      <c r="E372" s="502">
        <f>IFERROR(__xludf.DUMMYFUNCTION("""COMPUTED_VALUE"""),43738.0)</f>
        <v>43738</v>
      </c>
      <c r="F372" s="501" t="str">
        <f>IFERROR(__xludf.DUMMYFUNCTION("""COMPUTED_VALUE"""),"")</f>
        <v/>
      </c>
      <c r="G372" s="503" t="str">
        <f>IFERROR(__xludf.DUMMYFUNCTION("""COMPUTED_VALUE"""),"")</f>
        <v/>
      </c>
      <c r="H372" s="501" t="str">
        <f>IFERROR(__xludf.DUMMYFUNCTION("""COMPUTED_VALUE"""),"AOC geboorte do")</f>
        <v>AOC geboorte do</v>
      </c>
      <c r="I372" s="503" t="str">
        <f>IFERROR(__xludf.DUMMYFUNCTION("""COMPUTED_VALUE"""),"")</f>
        <v/>
      </c>
      <c r="J372" s="501" t="str">
        <f>IFERROR(__xludf.DUMMYFUNCTION("""COMPUTED_VALUE"""),"Briefen")</f>
        <v>Briefen</v>
      </c>
      <c r="K372" s="505" t="str">
        <f>IFERROR(__xludf.DUMMYFUNCTION("""COMPUTED_VALUE""")," URL bevat geboorte 2-7 dagen ")</f>
        <v>URL bevat geboorte 2-7 dagen</v>
      </c>
      <c r="L372" s="506">
        <f>IFERROR(__xludf.DUMMYFUNCTION("""COMPUTED_VALUE"""),1200.0)</f>
        <v>1200</v>
      </c>
      <c r="M372" s="504">
        <f>IFERROR(__xludf.DUMMYFUNCTION("""COMPUTED_VALUE"""),30.0)</f>
        <v>30</v>
      </c>
      <c r="N372" s="501" t="str">
        <f>IFERROR(__xludf.DUMMYFUNCTION("""COMPUTED_VALUE"""),"Product")</f>
        <v>Product</v>
      </c>
      <c r="O372" s="501" t="str">
        <f>IFERROR(__xludf.DUMMYFUNCTION("""COMPUTED_VALUE"""),"Facebook")</f>
        <v>Facebook</v>
      </c>
      <c r="P372" s="503" t="str">
        <f>IFERROR(__xludf.DUMMYFUNCTION("""COMPUTED_VALUE"""),"Facebook - Do - AOC")</f>
        <v>Facebook - Do - AOC</v>
      </c>
      <c r="Q372" s="501" t="str">
        <f>IFERROR(__xludf.DUMMYFUNCTION("""COMPUTED_VALUE"""),"Conversie - Waarde")</f>
        <v>Conversie - Waarde</v>
      </c>
      <c r="R372" s="501" t="str">
        <f>IFERROR(__xludf.DUMMYFUNCTION("""COMPUTED_VALUE"""),"Dark")</f>
        <v>Dark</v>
      </c>
      <c r="S372" s="503" t="str">
        <f>IFERROR(__xludf.DUMMYFUNCTION("""COMPUTED_VALUE"""),"")</f>
        <v/>
      </c>
      <c r="T372"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373">
      <c r="A373" s="501" t="str">
        <f>IFERROR(__xludf.DUMMYFUNCTION("""COMPUTED_VALUE"""),"september")</f>
        <v>september</v>
      </c>
      <c r="B373" s="501">
        <f>IFERROR(__xludf.DUMMYFUNCTION("""COMPUTED_VALUE"""),36.0)</f>
        <v>36</v>
      </c>
      <c r="C373" s="501" t="str">
        <f>IFERROR(__xludf.DUMMYFUNCTION("""COMPUTED_VALUE"""),"zondag")</f>
        <v>zondag</v>
      </c>
      <c r="D373" s="502">
        <f>IFERROR(__xludf.DUMMYFUNCTION("""COMPUTED_VALUE"""),43709.0)</f>
        <v>43709</v>
      </c>
      <c r="E373" s="502">
        <f>IFERROR(__xludf.DUMMYFUNCTION("""COMPUTED_VALUE"""),43738.0)</f>
        <v>43738</v>
      </c>
      <c r="F373" s="501" t="str">
        <f>IFERROR(__xludf.DUMMYFUNCTION("""COMPUTED_VALUE"""),"")</f>
        <v/>
      </c>
      <c r="G373" s="503" t="str">
        <f>IFERROR(__xludf.DUMMYFUNCTION("""COMPUTED_VALUE"""),"")</f>
        <v/>
      </c>
      <c r="H373" s="501" t="str">
        <f>IFERROR(__xludf.DUMMYFUNCTION("""COMPUTED_VALUE"""),"AOC verhuizen think")</f>
        <v>AOC verhuizen think</v>
      </c>
      <c r="I373" s="503" t="str">
        <f>IFERROR(__xludf.DUMMYFUNCTION("""COMPUTED_VALUE"""),"")</f>
        <v/>
      </c>
      <c r="J373" s="501" t="str">
        <f>IFERROR(__xludf.DUMMYFUNCTION("""COMPUTED_VALUE"""),"Briefen")</f>
        <v>Briefen</v>
      </c>
      <c r="K373" s="505" t="str">
        <f>IFERROR(__xludf.DUMMYFUNCTION("""COMPUTED_VALUE""")," Vrienden van recent verhuisd ")</f>
        <v>Vrienden van recent verhuisd</v>
      </c>
      <c r="L373" s="506">
        <f>IFERROR(__xludf.DUMMYFUNCTION("""COMPUTED_VALUE"""),300.0)</f>
        <v>300</v>
      </c>
      <c r="M373" s="504">
        <f>IFERROR(__xludf.DUMMYFUNCTION("""COMPUTED_VALUE"""),30.0)</f>
        <v>30</v>
      </c>
      <c r="N373" s="501" t="str">
        <f>IFERROR(__xludf.DUMMYFUNCTION("""COMPUTED_VALUE"""),"Geven/ontvangen")</f>
        <v>Geven/ontvangen</v>
      </c>
      <c r="O373" s="501" t="str">
        <f>IFERROR(__xludf.DUMMYFUNCTION("""COMPUTED_VALUE"""),"Facebook")</f>
        <v>Facebook</v>
      </c>
      <c r="P373" s="503" t="str">
        <f>IFERROR(__xludf.DUMMYFUNCTION("""COMPUTED_VALUE"""),"Facebook - Think - AOC")</f>
        <v>Facebook - Think - AOC</v>
      </c>
      <c r="Q373" s="501" t="str">
        <f>IFERROR(__xludf.DUMMYFUNCTION("""COMPUTED_VALUE"""),"Conversie - Landingspagina")</f>
        <v>Conversie - Landingspagina</v>
      </c>
      <c r="R373" s="501" t="str">
        <f>IFERROR(__xludf.DUMMYFUNCTION("""COMPUTED_VALUE"""),"Dark")</f>
        <v>Dark</v>
      </c>
      <c r="S373" s="503" t="str">
        <f>IFERROR(__xludf.DUMMYFUNCTION("""COMPUTED_VALUE"""),"")</f>
        <v/>
      </c>
      <c r="T373"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374">
      <c r="A374" s="501" t="str">
        <f>IFERROR(__xludf.DUMMYFUNCTION("""COMPUTED_VALUE"""),"september")</f>
        <v>september</v>
      </c>
      <c r="B374" s="501">
        <f>IFERROR(__xludf.DUMMYFUNCTION("""COMPUTED_VALUE"""),36.0)</f>
        <v>36</v>
      </c>
      <c r="C374" s="501" t="str">
        <f>IFERROR(__xludf.DUMMYFUNCTION("""COMPUTED_VALUE"""),"zondag")</f>
        <v>zondag</v>
      </c>
      <c r="D374" s="502">
        <f>IFERROR(__xludf.DUMMYFUNCTION("""COMPUTED_VALUE"""),43709.0)</f>
        <v>43709</v>
      </c>
      <c r="E374" s="502">
        <f>IFERROR(__xludf.DUMMYFUNCTION("""COMPUTED_VALUE"""),43738.0)</f>
        <v>43738</v>
      </c>
      <c r="F374" s="501" t="str">
        <f>IFERROR(__xludf.DUMMYFUNCTION("""COMPUTED_VALUE"""),"")</f>
        <v/>
      </c>
      <c r="G374" s="503" t="str">
        <f>IFERROR(__xludf.DUMMYFUNCTION("""COMPUTED_VALUE"""),"")</f>
        <v/>
      </c>
      <c r="H374" s="501" t="str">
        <f>IFERROR(__xludf.DUMMYFUNCTION("""COMPUTED_VALUE"""),"AOC verhuizen see")</f>
        <v>AOC verhuizen see</v>
      </c>
      <c r="I374" s="503" t="str">
        <f>IFERROR(__xludf.DUMMYFUNCTION("""COMPUTED_VALUE"""),"")</f>
        <v/>
      </c>
      <c r="J374" s="501" t="str">
        <f>IFERROR(__xludf.DUMMYFUNCTION("""COMPUTED_VALUE"""),"Briefen")</f>
        <v>Briefen</v>
      </c>
      <c r="K374" s="505" t="str">
        <f>IFERROR(__xludf.DUMMYFUNCTION("""COMPUTED_VALUE""")," Vrouw 25-64 (excl klanten, vrienden van verhuisde personen en fans) ")</f>
        <v>Vrouw 25-64 (excl klanten, vrienden van verhuisde personen en fans)</v>
      </c>
      <c r="L374" s="506">
        <f>IFERROR(__xludf.DUMMYFUNCTION("""COMPUTED_VALUE"""),600.0)</f>
        <v>600</v>
      </c>
      <c r="M374" s="504">
        <f>IFERROR(__xludf.DUMMYFUNCTION("""COMPUTED_VALUE"""),30.0)</f>
        <v>30</v>
      </c>
      <c r="N374" s="501" t="str">
        <f>IFERROR(__xludf.DUMMYFUNCTION("""COMPUTED_VALUE"""),"Merk")</f>
        <v>Merk</v>
      </c>
      <c r="O374" s="501" t="str">
        <f>IFERROR(__xludf.DUMMYFUNCTION("""COMPUTED_VALUE"""),"FB + Instagram")</f>
        <v>FB + Instagram</v>
      </c>
      <c r="P374" s="503" t="str">
        <f>IFERROR(__xludf.DUMMYFUNCTION("""COMPUTED_VALUE"""),"Facebook - See - AOC")</f>
        <v>Facebook - See - AOC</v>
      </c>
      <c r="Q374" s="501" t="str">
        <f>IFERROR(__xludf.DUMMYFUNCTION("""COMPUTED_VALUE"""),"Bereik")</f>
        <v>Bereik</v>
      </c>
      <c r="R374" s="501" t="str">
        <f>IFERROR(__xludf.DUMMYFUNCTION("""COMPUTED_VALUE"""),"Dark")</f>
        <v>Dark</v>
      </c>
      <c r="S374" s="503" t="str">
        <f>IFERROR(__xludf.DUMMYFUNCTION("""COMPUTED_VALUE"""),"")</f>
        <v/>
      </c>
      <c r="T374"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375">
      <c r="A375" s="501" t="str">
        <f>IFERROR(__xludf.DUMMYFUNCTION("""COMPUTED_VALUE"""),"september")</f>
        <v>september</v>
      </c>
      <c r="B375" s="501">
        <f>IFERROR(__xludf.DUMMYFUNCTION("""COMPUTED_VALUE"""),36.0)</f>
        <v>36</v>
      </c>
      <c r="C375" s="501" t="str">
        <f>IFERROR(__xludf.DUMMYFUNCTION("""COMPUTED_VALUE"""),"zondag")</f>
        <v>zondag</v>
      </c>
      <c r="D375" s="502">
        <f>IFERROR(__xludf.DUMMYFUNCTION("""COMPUTED_VALUE"""),43709.0)</f>
        <v>43709</v>
      </c>
      <c r="E375" s="502">
        <f>IFERROR(__xludf.DUMMYFUNCTION("""COMPUTED_VALUE"""),43738.0)</f>
        <v>43738</v>
      </c>
      <c r="F375" s="501" t="str">
        <f>IFERROR(__xludf.DUMMYFUNCTION("""COMPUTED_VALUE"""),"")</f>
        <v/>
      </c>
      <c r="G375" s="503" t="str">
        <f>IFERROR(__xludf.DUMMYFUNCTION("""COMPUTED_VALUE"""),"")</f>
        <v/>
      </c>
      <c r="H375" s="501" t="str">
        <f>IFERROR(__xludf.DUMMYFUNCTION("""COMPUTED_VALUE"""),"AOC verjaardag see")</f>
        <v>AOC verjaardag see</v>
      </c>
      <c r="I375" s="503" t="str">
        <f>IFERROR(__xludf.DUMMYFUNCTION("""COMPUTED_VALUE"""),"")</f>
        <v/>
      </c>
      <c r="J375" s="501" t="str">
        <f>IFERROR(__xludf.DUMMYFUNCTION("""COMPUTED_VALUE"""),"Briefen")</f>
        <v>Briefen</v>
      </c>
      <c r="K375" s="505" t="str">
        <f>IFERROR(__xludf.DUMMYFUNCTION("""COMPUTED_VALUE""")," See - Geboorte ")</f>
        <v>See - Geboorte</v>
      </c>
      <c r="L375" s="506">
        <f>IFERROR(__xludf.DUMMYFUNCTION("""COMPUTED_VALUE"""),1200.0)</f>
        <v>1200</v>
      </c>
      <c r="M375" s="504">
        <f>IFERROR(__xludf.DUMMYFUNCTION("""COMPUTED_VALUE"""),30.0)</f>
        <v>30</v>
      </c>
      <c r="N375" s="501" t="str">
        <f>IFERROR(__xludf.DUMMYFUNCTION("""COMPUTED_VALUE"""),"Merk")</f>
        <v>Merk</v>
      </c>
      <c r="O375" s="501" t="str">
        <f>IFERROR(__xludf.DUMMYFUNCTION("""COMPUTED_VALUE"""),"FB + Instagram")</f>
        <v>FB + Instagram</v>
      </c>
      <c r="P375" s="503" t="str">
        <f>IFERROR(__xludf.DUMMYFUNCTION("""COMPUTED_VALUE"""),"Facebook - See - AOC")</f>
        <v>Facebook - See - AOC</v>
      </c>
      <c r="Q375" s="501" t="str">
        <f>IFERROR(__xludf.DUMMYFUNCTION("""COMPUTED_VALUE"""),"Bereik")</f>
        <v>Bereik</v>
      </c>
      <c r="R375" s="501" t="str">
        <f>IFERROR(__xludf.DUMMYFUNCTION("""COMPUTED_VALUE"""),"Dark")</f>
        <v>Dark</v>
      </c>
      <c r="S375" s="503" t="str">
        <f>IFERROR(__xludf.DUMMYFUNCTION("""COMPUTED_VALUE"""),"")</f>
        <v/>
      </c>
      <c r="T375"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376">
      <c r="A376" s="501" t="str">
        <f>IFERROR(__xludf.DUMMYFUNCTION("""COMPUTED_VALUE"""),"september")</f>
        <v>september</v>
      </c>
      <c r="B376" s="501">
        <f>IFERROR(__xludf.DUMMYFUNCTION("""COMPUTED_VALUE"""),36.0)</f>
        <v>36</v>
      </c>
      <c r="C376" s="501" t="str">
        <f>IFERROR(__xludf.DUMMYFUNCTION("""COMPUTED_VALUE"""),"zondag")</f>
        <v>zondag</v>
      </c>
      <c r="D376" s="502">
        <f>IFERROR(__xludf.DUMMYFUNCTION("""COMPUTED_VALUE"""),43709.0)</f>
        <v>43709</v>
      </c>
      <c r="E376" s="502">
        <f>IFERROR(__xludf.DUMMYFUNCTION("""COMPUTED_VALUE"""),43738.0)</f>
        <v>43738</v>
      </c>
      <c r="F376" s="501" t="str">
        <f>IFERROR(__xludf.DUMMYFUNCTION("""COMPUTED_VALUE"""),"")</f>
        <v/>
      </c>
      <c r="G376" s="503" t="str">
        <f>IFERROR(__xludf.DUMMYFUNCTION("""COMPUTED_VALUE"""),"")</f>
        <v/>
      </c>
      <c r="H376" s="501" t="str">
        <f>IFERROR(__xludf.DUMMYFUNCTION("""COMPUTED_VALUE"""),"AOC geboorte see")</f>
        <v>AOC geboorte see</v>
      </c>
      <c r="I376" s="503" t="str">
        <f>IFERROR(__xludf.DUMMYFUNCTION("""COMPUTED_VALUE"""),"")</f>
        <v/>
      </c>
      <c r="J376" s="501" t="str">
        <f>IFERROR(__xludf.DUMMYFUNCTION("""COMPUTED_VALUE"""),"Briefen")</f>
        <v>Briefen</v>
      </c>
      <c r="K376" s="505" t="str">
        <f>IFERROR(__xludf.DUMMYFUNCTION("""COMPUTED_VALUE""")," See - Verjaardag ")</f>
        <v>See - Verjaardag</v>
      </c>
      <c r="L376" s="506">
        <f>IFERROR(__xludf.DUMMYFUNCTION("""COMPUTED_VALUE"""),2400.0)</f>
        <v>2400</v>
      </c>
      <c r="M376" s="504">
        <f>IFERROR(__xludf.DUMMYFUNCTION("""COMPUTED_VALUE"""),30.0)</f>
        <v>30</v>
      </c>
      <c r="N376" s="501" t="str">
        <f>IFERROR(__xludf.DUMMYFUNCTION("""COMPUTED_VALUE"""),"Merk")</f>
        <v>Merk</v>
      </c>
      <c r="O376" s="501" t="str">
        <f>IFERROR(__xludf.DUMMYFUNCTION("""COMPUTED_VALUE"""),"FB + Instagram")</f>
        <v>FB + Instagram</v>
      </c>
      <c r="P376" s="503" t="str">
        <f>IFERROR(__xludf.DUMMYFUNCTION("""COMPUTED_VALUE"""),"Facebook - See - AOC")</f>
        <v>Facebook - See - AOC</v>
      </c>
      <c r="Q376" s="501" t="str">
        <f>IFERROR(__xludf.DUMMYFUNCTION("""COMPUTED_VALUE"""),"Bereik")</f>
        <v>Bereik</v>
      </c>
      <c r="R376" s="501" t="str">
        <f>IFERROR(__xludf.DUMMYFUNCTION("""COMPUTED_VALUE"""),"Dark")</f>
        <v>Dark</v>
      </c>
      <c r="S376" s="503" t="str">
        <f>IFERROR(__xludf.DUMMYFUNCTION("""COMPUTED_VALUE"""),"")</f>
        <v/>
      </c>
      <c r="T376"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377">
      <c r="A377" s="501" t="str">
        <f>IFERROR(__xludf.DUMMYFUNCTION("""COMPUTED_VALUE"""),"september")</f>
        <v>september</v>
      </c>
      <c r="B377" s="501">
        <f>IFERROR(__xludf.DUMMYFUNCTION("""COMPUTED_VALUE"""),36.0)</f>
        <v>36</v>
      </c>
      <c r="C377" s="501" t="str">
        <f>IFERROR(__xludf.DUMMYFUNCTION("""COMPUTED_VALUE"""),"maandag")</f>
        <v>maandag</v>
      </c>
      <c r="D377" s="502">
        <f>IFERROR(__xludf.DUMMYFUNCTION("""COMPUTED_VALUE"""),43710.0)</f>
        <v>43710</v>
      </c>
      <c r="E377" s="502">
        <f>IFERROR(__xludf.DUMMYFUNCTION("""COMPUTED_VALUE"""),43710.0)</f>
        <v>43710</v>
      </c>
      <c r="F377" s="501" t="str">
        <f>IFERROR(__xludf.DUMMYFUNCTION("""COMPUTED_VALUE"""),"")</f>
        <v/>
      </c>
      <c r="G377" s="503" t="str">
        <f>IFERROR(__xludf.DUMMYFUNCTION("""COMPUTED_VALUE"""),"")</f>
        <v/>
      </c>
      <c r="H377" s="501" t="str">
        <f>IFERROR(__xludf.DUMMYFUNCTION("""COMPUTED_VALUE"""),"")</f>
        <v/>
      </c>
      <c r="I377" s="503" t="str">
        <f>IFERROR(__xludf.DUMMYFUNCTION("""COMPUTED_VALUE"""),"")</f>
        <v/>
      </c>
      <c r="J377" s="501" t="str">
        <f>IFERROR(__xludf.DUMMYFUNCTION("""COMPUTED_VALUE"""),"")</f>
        <v/>
      </c>
      <c r="K377" s="503" t="str">
        <f>IFERROR(__xludf.DUMMYFUNCTION("""COMPUTED_VALUE"""),"")</f>
        <v/>
      </c>
      <c r="L377" s="501" t="str">
        <f>IFERROR(__xludf.DUMMYFUNCTION("""COMPUTED_VALUE"""),"")</f>
        <v/>
      </c>
      <c r="M377" s="504">
        <f>IFERROR(__xludf.DUMMYFUNCTION("""COMPUTED_VALUE"""),1.0)</f>
        <v>1</v>
      </c>
      <c r="N377" s="501" t="str">
        <f>IFERROR(__xludf.DUMMYFUNCTION("""COMPUTED_VALUE"""),"")</f>
        <v/>
      </c>
      <c r="O377" s="501" t="str">
        <f>IFERROR(__xludf.DUMMYFUNCTION("""COMPUTED_VALUE"""),"")</f>
        <v/>
      </c>
      <c r="P377" s="503" t="str">
        <f>IFERROR(__xludf.DUMMYFUNCTION("""COMPUTED_VALUE"""),"")</f>
        <v/>
      </c>
      <c r="Q377" s="501" t="str">
        <f>IFERROR(__xludf.DUMMYFUNCTION("""COMPUTED_VALUE"""),"")</f>
        <v/>
      </c>
      <c r="R377" s="501" t="str">
        <f>IFERROR(__xludf.DUMMYFUNCTION("""COMPUTED_VALUE"""),"")</f>
        <v/>
      </c>
      <c r="S377" s="503" t="str">
        <f>IFERROR(__xludf.DUMMYFUNCTION("""COMPUTED_VALUE"""),"")</f>
        <v/>
      </c>
      <c r="T377" s="503" t="str">
        <f>IFERROR(__xludf.DUMMYFUNCTION("""COMPUTED_VALUE"""),"utm_source=facebook&amp;utm_medium=socialmedia&amp;utm_campaign=&amp;utm_content=&amp;referrer=facebook")</f>
        <v>utm_source=facebook&amp;utm_medium=socialmedia&amp;utm_campaign=&amp;utm_content=&amp;referrer=facebook</v>
      </c>
    </row>
    <row r="378">
      <c r="A378" s="501" t="str">
        <f>IFERROR(__xludf.DUMMYFUNCTION("""COMPUTED_VALUE"""),"september")</f>
        <v>september</v>
      </c>
      <c r="B378" s="501">
        <f>IFERROR(__xludf.DUMMYFUNCTION("""COMPUTED_VALUE"""),36.0)</f>
        <v>36</v>
      </c>
      <c r="C378" s="501" t="str">
        <f>IFERROR(__xludf.DUMMYFUNCTION("""COMPUTED_VALUE"""),"dinsdag")</f>
        <v>dinsdag</v>
      </c>
      <c r="D378" s="502">
        <f>IFERROR(__xludf.DUMMYFUNCTION("""COMPUTED_VALUE"""),43711.0)</f>
        <v>43711</v>
      </c>
      <c r="E378" s="502">
        <f>IFERROR(__xludf.DUMMYFUNCTION("""COMPUTED_VALUE"""),43711.0)</f>
        <v>43711</v>
      </c>
      <c r="F378" s="501" t="str">
        <f>IFERROR(__xludf.DUMMYFUNCTION("""COMPUTED_VALUE"""),"")</f>
        <v/>
      </c>
      <c r="G378" s="503" t="str">
        <f>IFERROR(__xludf.DUMMYFUNCTION("""COMPUTED_VALUE"""),"")</f>
        <v/>
      </c>
      <c r="H378" s="501" t="str">
        <f>IFERROR(__xludf.DUMMYFUNCTION("""COMPUTED_VALUE"""),"")</f>
        <v/>
      </c>
      <c r="I378" s="503" t="str">
        <f>IFERROR(__xludf.DUMMYFUNCTION("""COMPUTED_VALUE"""),"")</f>
        <v/>
      </c>
      <c r="J378" s="501" t="str">
        <f>IFERROR(__xludf.DUMMYFUNCTION("""COMPUTED_VALUE"""),"")</f>
        <v/>
      </c>
      <c r="K378" s="503" t="str">
        <f>IFERROR(__xludf.DUMMYFUNCTION("""COMPUTED_VALUE"""),"")</f>
        <v/>
      </c>
      <c r="L378" s="501" t="str">
        <f>IFERROR(__xludf.DUMMYFUNCTION("""COMPUTED_VALUE"""),"")</f>
        <v/>
      </c>
      <c r="M378" s="504">
        <f>IFERROR(__xludf.DUMMYFUNCTION("""COMPUTED_VALUE"""),1.0)</f>
        <v>1</v>
      </c>
      <c r="N378" s="501" t="str">
        <f>IFERROR(__xludf.DUMMYFUNCTION("""COMPUTED_VALUE"""),"")</f>
        <v/>
      </c>
      <c r="O378" s="501" t="str">
        <f>IFERROR(__xludf.DUMMYFUNCTION("""COMPUTED_VALUE"""),"")</f>
        <v/>
      </c>
      <c r="P378" s="503" t="str">
        <f>IFERROR(__xludf.DUMMYFUNCTION("""COMPUTED_VALUE"""),"")</f>
        <v/>
      </c>
      <c r="Q378" s="501" t="str">
        <f>IFERROR(__xludf.DUMMYFUNCTION("""COMPUTED_VALUE"""),"")</f>
        <v/>
      </c>
      <c r="R378" s="501" t="str">
        <f>IFERROR(__xludf.DUMMYFUNCTION("""COMPUTED_VALUE"""),"")</f>
        <v/>
      </c>
      <c r="S378" s="503" t="str">
        <f>IFERROR(__xludf.DUMMYFUNCTION("""COMPUTED_VALUE"""),"")</f>
        <v/>
      </c>
      <c r="T378" s="503" t="str">
        <f>IFERROR(__xludf.DUMMYFUNCTION("""COMPUTED_VALUE"""),"utm_source=facebook&amp;utm_medium=socialmedia&amp;utm_campaign=&amp;utm_content=&amp;referrer=facebook")</f>
        <v>utm_source=facebook&amp;utm_medium=socialmedia&amp;utm_campaign=&amp;utm_content=&amp;referrer=facebook</v>
      </c>
    </row>
    <row r="379">
      <c r="A379" s="501" t="str">
        <f>IFERROR(__xludf.DUMMYFUNCTION("""COMPUTED_VALUE"""),"september")</f>
        <v>september</v>
      </c>
      <c r="B379" s="501">
        <f>IFERROR(__xludf.DUMMYFUNCTION("""COMPUTED_VALUE"""),36.0)</f>
        <v>36</v>
      </c>
      <c r="C379" s="501" t="str">
        <f>IFERROR(__xludf.DUMMYFUNCTION("""COMPUTED_VALUE"""),"woensdag")</f>
        <v>woensdag</v>
      </c>
      <c r="D379" s="502">
        <f>IFERROR(__xludf.DUMMYFUNCTION("""COMPUTED_VALUE"""),43712.0)</f>
        <v>43712</v>
      </c>
      <c r="E379" s="502">
        <f>IFERROR(__xludf.DUMMYFUNCTION("""COMPUTED_VALUE"""),43712.0)</f>
        <v>43712</v>
      </c>
      <c r="F379" s="501" t="str">
        <f>IFERROR(__xludf.DUMMYFUNCTION("""COMPUTED_VALUE"""),"")</f>
        <v/>
      </c>
      <c r="G379" s="503" t="str">
        <f>IFERROR(__xludf.DUMMYFUNCTION("""COMPUTED_VALUE"""),"")</f>
        <v/>
      </c>
      <c r="H379" s="501" t="str">
        <f>IFERROR(__xludf.DUMMYFUNCTION("""COMPUTED_VALUE"""),"")</f>
        <v/>
      </c>
      <c r="I379" s="503" t="str">
        <f>IFERROR(__xludf.DUMMYFUNCTION("""COMPUTED_VALUE"""),"")</f>
        <v/>
      </c>
      <c r="J379" s="501" t="str">
        <f>IFERROR(__xludf.DUMMYFUNCTION("""COMPUTED_VALUE"""),"")</f>
        <v/>
      </c>
      <c r="K379" s="503" t="str">
        <f>IFERROR(__xludf.DUMMYFUNCTION("""COMPUTED_VALUE"""),"")</f>
        <v/>
      </c>
      <c r="L379" s="501" t="str">
        <f>IFERROR(__xludf.DUMMYFUNCTION("""COMPUTED_VALUE"""),"")</f>
        <v/>
      </c>
      <c r="M379" s="504">
        <f>IFERROR(__xludf.DUMMYFUNCTION("""COMPUTED_VALUE"""),1.0)</f>
        <v>1</v>
      </c>
      <c r="N379" s="501" t="str">
        <f>IFERROR(__xludf.DUMMYFUNCTION("""COMPUTED_VALUE"""),"")</f>
        <v/>
      </c>
      <c r="O379" s="501" t="str">
        <f>IFERROR(__xludf.DUMMYFUNCTION("""COMPUTED_VALUE"""),"")</f>
        <v/>
      </c>
      <c r="P379" s="503" t="str">
        <f>IFERROR(__xludf.DUMMYFUNCTION("""COMPUTED_VALUE"""),"")</f>
        <v/>
      </c>
      <c r="Q379" s="501" t="str">
        <f>IFERROR(__xludf.DUMMYFUNCTION("""COMPUTED_VALUE"""),"")</f>
        <v/>
      </c>
      <c r="R379" s="501" t="str">
        <f>IFERROR(__xludf.DUMMYFUNCTION("""COMPUTED_VALUE"""),"")</f>
        <v/>
      </c>
      <c r="S379" s="503" t="str">
        <f>IFERROR(__xludf.DUMMYFUNCTION("""COMPUTED_VALUE"""),"")</f>
        <v/>
      </c>
      <c r="T379" s="503" t="str">
        <f>IFERROR(__xludf.DUMMYFUNCTION("""COMPUTED_VALUE"""),"utm_source=facebook&amp;utm_medium=socialmedia&amp;utm_campaign=&amp;utm_content=&amp;referrer=facebook")</f>
        <v>utm_source=facebook&amp;utm_medium=socialmedia&amp;utm_campaign=&amp;utm_content=&amp;referrer=facebook</v>
      </c>
    </row>
    <row r="380">
      <c r="A380" s="501" t="str">
        <f>IFERROR(__xludf.DUMMYFUNCTION("""COMPUTED_VALUE"""),"september")</f>
        <v>september</v>
      </c>
      <c r="B380" s="501">
        <f>IFERROR(__xludf.DUMMYFUNCTION("""COMPUTED_VALUE"""),36.0)</f>
        <v>36</v>
      </c>
      <c r="C380" s="501" t="str">
        <f>IFERROR(__xludf.DUMMYFUNCTION("""COMPUTED_VALUE"""),"donderdag")</f>
        <v>donderdag</v>
      </c>
      <c r="D380" s="502">
        <f>IFERROR(__xludf.DUMMYFUNCTION("""COMPUTED_VALUE"""),43713.0)</f>
        <v>43713</v>
      </c>
      <c r="E380" s="502">
        <f>IFERROR(__xludf.DUMMYFUNCTION("""COMPUTED_VALUE"""),43713.0)</f>
        <v>43713</v>
      </c>
      <c r="F380" s="501" t="str">
        <f>IFERROR(__xludf.DUMMYFUNCTION("""COMPUTED_VALUE"""),"")</f>
        <v/>
      </c>
      <c r="G380" s="503" t="str">
        <f>IFERROR(__xludf.DUMMYFUNCTION("""COMPUTED_VALUE"""),"")</f>
        <v/>
      </c>
      <c r="H380" s="501" t="str">
        <f>IFERROR(__xludf.DUMMYFUNCTION("""COMPUTED_VALUE"""),"")</f>
        <v/>
      </c>
      <c r="I380" s="503" t="str">
        <f>IFERROR(__xludf.DUMMYFUNCTION("""COMPUTED_VALUE"""),"")</f>
        <v/>
      </c>
      <c r="J380" s="501" t="str">
        <f>IFERROR(__xludf.DUMMYFUNCTION("""COMPUTED_VALUE"""),"")</f>
        <v/>
      </c>
      <c r="K380" s="503" t="str">
        <f>IFERROR(__xludf.DUMMYFUNCTION("""COMPUTED_VALUE"""),"")</f>
        <v/>
      </c>
      <c r="L380" s="501" t="str">
        <f>IFERROR(__xludf.DUMMYFUNCTION("""COMPUTED_VALUE"""),"")</f>
        <v/>
      </c>
      <c r="M380" s="504">
        <f>IFERROR(__xludf.DUMMYFUNCTION("""COMPUTED_VALUE"""),1.0)</f>
        <v>1</v>
      </c>
      <c r="N380" s="501" t="str">
        <f>IFERROR(__xludf.DUMMYFUNCTION("""COMPUTED_VALUE"""),"")</f>
        <v/>
      </c>
      <c r="O380" s="501" t="str">
        <f>IFERROR(__xludf.DUMMYFUNCTION("""COMPUTED_VALUE"""),"")</f>
        <v/>
      </c>
      <c r="P380" s="503" t="str">
        <f>IFERROR(__xludf.DUMMYFUNCTION("""COMPUTED_VALUE"""),"")</f>
        <v/>
      </c>
      <c r="Q380" s="501" t="str">
        <f>IFERROR(__xludf.DUMMYFUNCTION("""COMPUTED_VALUE"""),"")</f>
        <v/>
      </c>
      <c r="R380" s="501" t="str">
        <f>IFERROR(__xludf.DUMMYFUNCTION("""COMPUTED_VALUE"""),"")</f>
        <v/>
      </c>
      <c r="S380" s="503" t="str">
        <f>IFERROR(__xludf.DUMMYFUNCTION("""COMPUTED_VALUE"""),"")</f>
        <v/>
      </c>
      <c r="T380" s="503" t="str">
        <f>IFERROR(__xludf.DUMMYFUNCTION("""COMPUTED_VALUE"""),"utm_source=facebook&amp;utm_medium=socialmedia&amp;utm_campaign=&amp;utm_content=&amp;referrer=facebook")</f>
        <v>utm_source=facebook&amp;utm_medium=socialmedia&amp;utm_campaign=&amp;utm_content=&amp;referrer=facebook</v>
      </c>
    </row>
    <row r="381">
      <c r="A381" s="501" t="str">
        <f>IFERROR(__xludf.DUMMYFUNCTION("""COMPUTED_VALUE"""),"september")</f>
        <v>september</v>
      </c>
      <c r="B381" s="501">
        <f>IFERROR(__xludf.DUMMYFUNCTION("""COMPUTED_VALUE"""),36.0)</f>
        <v>36</v>
      </c>
      <c r="C381" s="501" t="str">
        <f>IFERROR(__xludf.DUMMYFUNCTION("""COMPUTED_VALUE"""),"vrijdag")</f>
        <v>vrijdag</v>
      </c>
      <c r="D381" s="502">
        <f>IFERROR(__xludf.DUMMYFUNCTION("""COMPUTED_VALUE"""),43714.0)</f>
        <v>43714</v>
      </c>
      <c r="E381" s="502">
        <f>IFERROR(__xludf.DUMMYFUNCTION("""COMPUTED_VALUE"""),43714.0)</f>
        <v>43714</v>
      </c>
      <c r="F381" s="501" t="str">
        <f>IFERROR(__xludf.DUMMYFUNCTION("""COMPUTED_VALUE"""),"")</f>
        <v/>
      </c>
      <c r="G381" s="503" t="str">
        <f>IFERROR(__xludf.DUMMYFUNCTION("""COMPUTED_VALUE"""),"")</f>
        <v/>
      </c>
      <c r="H381" s="501" t="str">
        <f>IFERROR(__xludf.DUMMYFUNCTION("""COMPUTED_VALUE"""),"")</f>
        <v/>
      </c>
      <c r="I381" s="503" t="str">
        <f>IFERROR(__xludf.DUMMYFUNCTION("""COMPUTED_VALUE"""),"")</f>
        <v/>
      </c>
      <c r="J381" s="501" t="str">
        <f>IFERROR(__xludf.DUMMYFUNCTION("""COMPUTED_VALUE"""),"")</f>
        <v/>
      </c>
      <c r="K381" s="503" t="str">
        <f>IFERROR(__xludf.DUMMYFUNCTION("""COMPUTED_VALUE"""),"")</f>
        <v/>
      </c>
      <c r="L381" s="501" t="str">
        <f>IFERROR(__xludf.DUMMYFUNCTION("""COMPUTED_VALUE"""),"")</f>
        <v/>
      </c>
      <c r="M381" s="504">
        <f>IFERROR(__xludf.DUMMYFUNCTION("""COMPUTED_VALUE"""),1.0)</f>
        <v>1</v>
      </c>
      <c r="N381" s="501" t="str">
        <f>IFERROR(__xludf.DUMMYFUNCTION("""COMPUTED_VALUE"""),"")</f>
        <v/>
      </c>
      <c r="O381" s="501" t="str">
        <f>IFERROR(__xludf.DUMMYFUNCTION("""COMPUTED_VALUE"""),"")</f>
        <v/>
      </c>
      <c r="P381" s="503" t="str">
        <f>IFERROR(__xludf.DUMMYFUNCTION("""COMPUTED_VALUE"""),"")</f>
        <v/>
      </c>
      <c r="Q381" s="501" t="str">
        <f>IFERROR(__xludf.DUMMYFUNCTION("""COMPUTED_VALUE"""),"")</f>
        <v/>
      </c>
      <c r="R381" s="501" t="str">
        <f>IFERROR(__xludf.DUMMYFUNCTION("""COMPUTED_VALUE"""),"")</f>
        <v/>
      </c>
      <c r="S381" s="503" t="str">
        <f>IFERROR(__xludf.DUMMYFUNCTION("""COMPUTED_VALUE"""),"")</f>
        <v/>
      </c>
      <c r="T381" s="503" t="str">
        <f>IFERROR(__xludf.DUMMYFUNCTION("""COMPUTED_VALUE"""),"utm_source=facebook&amp;utm_medium=socialmedia&amp;utm_campaign=&amp;utm_content=&amp;referrer=facebook")</f>
        <v>utm_source=facebook&amp;utm_medium=socialmedia&amp;utm_campaign=&amp;utm_content=&amp;referrer=facebook</v>
      </c>
    </row>
    <row r="382">
      <c r="A382" s="501" t="str">
        <f>IFERROR(__xludf.DUMMYFUNCTION("""COMPUTED_VALUE"""),"september")</f>
        <v>september</v>
      </c>
      <c r="B382" s="501">
        <f>IFERROR(__xludf.DUMMYFUNCTION("""COMPUTED_VALUE"""),36.0)</f>
        <v>36</v>
      </c>
      <c r="C382" s="501" t="str">
        <f>IFERROR(__xludf.DUMMYFUNCTION("""COMPUTED_VALUE"""),"zaterdag")</f>
        <v>zaterdag</v>
      </c>
      <c r="D382" s="502">
        <f>IFERROR(__xludf.DUMMYFUNCTION("""COMPUTED_VALUE"""),43715.0)</f>
        <v>43715</v>
      </c>
      <c r="E382" s="502">
        <f>IFERROR(__xludf.DUMMYFUNCTION("""COMPUTED_VALUE"""),43715.0)</f>
        <v>43715</v>
      </c>
      <c r="F382" s="501" t="str">
        <f>IFERROR(__xludf.DUMMYFUNCTION("""COMPUTED_VALUE"""),"")</f>
        <v/>
      </c>
      <c r="G382" s="503" t="str">
        <f>IFERROR(__xludf.DUMMYFUNCTION("""COMPUTED_VALUE"""),"")</f>
        <v/>
      </c>
      <c r="H382" s="501" t="str">
        <f>IFERROR(__xludf.DUMMYFUNCTION("""COMPUTED_VALUE"""),"")</f>
        <v/>
      </c>
      <c r="I382" s="503" t="str">
        <f>IFERROR(__xludf.DUMMYFUNCTION("""COMPUTED_VALUE"""),"")</f>
        <v/>
      </c>
      <c r="J382" s="501" t="str">
        <f>IFERROR(__xludf.DUMMYFUNCTION("""COMPUTED_VALUE"""),"")</f>
        <v/>
      </c>
      <c r="K382" s="503" t="str">
        <f>IFERROR(__xludf.DUMMYFUNCTION("""COMPUTED_VALUE"""),"")</f>
        <v/>
      </c>
      <c r="L382" s="501" t="str">
        <f>IFERROR(__xludf.DUMMYFUNCTION("""COMPUTED_VALUE"""),"")</f>
        <v/>
      </c>
      <c r="M382" s="504">
        <f>IFERROR(__xludf.DUMMYFUNCTION("""COMPUTED_VALUE"""),1.0)</f>
        <v>1</v>
      </c>
      <c r="N382" s="501" t="str">
        <f>IFERROR(__xludf.DUMMYFUNCTION("""COMPUTED_VALUE"""),"")</f>
        <v/>
      </c>
      <c r="O382" s="501" t="str">
        <f>IFERROR(__xludf.DUMMYFUNCTION("""COMPUTED_VALUE"""),"")</f>
        <v/>
      </c>
      <c r="P382" s="503" t="str">
        <f>IFERROR(__xludf.DUMMYFUNCTION("""COMPUTED_VALUE"""),"")</f>
        <v/>
      </c>
      <c r="Q382" s="501" t="str">
        <f>IFERROR(__xludf.DUMMYFUNCTION("""COMPUTED_VALUE"""),"")</f>
        <v/>
      </c>
      <c r="R382" s="501" t="str">
        <f>IFERROR(__xludf.DUMMYFUNCTION("""COMPUTED_VALUE"""),"")</f>
        <v/>
      </c>
      <c r="S382" s="503" t="str">
        <f>IFERROR(__xludf.DUMMYFUNCTION("""COMPUTED_VALUE"""),"")</f>
        <v/>
      </c>
      <c r="T382" s="503" t="str">
        <f>IFERROR(__xludf.DUMMYFUNCTION("""COMPUTED_VALUE"""),"utm_source=facebook&amp;utm_medium=socialmedia&amp;utm_campaign=&amp;utm_content=&amp;referrer=facebook")</f>
        <v>utm_source=facebook&amp;utm_medium=socialmedia&amp;utm_campaign=&amp;utm_content=&amp;referrer=facebook</v>
      </c>
    </row>
    <row r="383">
      <c r="A383" s="501" t="str">
        <f>IFERROR(__xludf.DUMMYFUNCTION("""COMPUTED_VALUE"""),"september")</f>
        <v>september</v>
      </c>
      <c r="B383" s="501">
        <f>IFERROR(__xludf.DUMMYFUNCTION("""COMPUTED_VALUE"""),37.0)</f>
        <v>37</v>
      </c>
      <c r="C383" s="501" t="str">
        <f>IFERROR(__xludf.DUMMYFUNCTION("""COMPUTED_VALUE"""),"zondag")</f>
        <v>zondag</v>
      </c>
      <c r="D383" s="502">
        <f>IFERROR(__xludf.DUMMYFUNCTION("""COMPUTED_VALUE"""),43716.0)</f>
        <v>43716</v>
      </c>
      <c r="E383" s="502">
        <f>IFERROR(__xludf.DUMMYFUNCTION("""COMPUTED_VALUE"""),43716.0)</f>
        <v>43716</v>
      </c>
      <c r="F383" s="501" t="str">
        <f>IFERROR(__xludf.DUMMYFUNCTION("""COMPUTED_VALUE"""),"")</f>
        <v/>
      </c>
      <c r="G383" s="503" t="str">
        <f>IFERROR(__xludf.DUMMYFUNCTION("""COMPUTED_VALUE"""),"")</f>
        <v/>
      </c>
      <c r="H383" s="501" t="str">
        <f>IFERROR(__xludf.DUMMYFUNCTION("""COMPUTED_VALUE"""),"")</f>
        <v/>
      </c>
      <c r="I383" s="503" t="str">
        <f>IFERROR(__xludf.DUMMYFUNCTION("""COMPUTED_VALUE"""),"")</f>
        <v/>
      </c>
      <c r="J383" s="501" t="str">
        <f>IFERROR(__xludf.DUMMYFUNCTION("""COMPUTED_VALUE"""),"")</f>
        <v/>
      </c>
      <c r="K383" s="503" t="str">
        <f>IFERROR(__xludf.DUMMYFUNCTION("""COMPUTED_VALUE"""),"")</f>
        <v/>
      </c>
      <c r="L383" s="501" t="str">
        <f>IFERROR(__xludf.DUMMYFUNCTION("""COMPUTED_VALUE"""),"")</f>
        <v/>
      </c>
      <c r="M383" s="504">
        <f>IFERROR(__xludf.DUMMYFUNCTION("""COMPUTED_VALUE"""),1.0)</f>
        <v>1</v>
      </c>
      <c r="N383" s="501" t="str">
        <f>IFERROR(__xludf.DUMMYFUNCTION("""COMPUTED_VALUE"""),"")</f>
        <v/>
      </c>
      <c r="O383" s="501" t="str">
        <f>IFERROR(__xludf.DUMMYFUNCTION("""COMPUTED_VALUE"""),"")</f>
        <v/>
      </c>
      <c r="P383" s="503" t="str">
        <f>IFERROR(__xludf.DUMMYFUNCTION("""COMPUTED_VALUE"""),"")</f>
        <v/>
      </c>
      <c r="Q383" s="501" t="str">
        <f>IFERROR(__xludf.DUMMYFUNCTION("""COMPUTED_VALUE"""),"")</f>
        <v/>
      </c>
      <c r="R383" s="501" t="str">
        <f>IFERROR(__xludf.DUMMYFUNCTION("""COMPUTED_VALUE"""),"")</f>
        <v/>
      </c>
      <c r="S383" s="503" t="str">
        <f>IFERROR(__xludf.DUMMYFUNCTION("""COMPUTED_VALUE"""),"")</f>
        <v/>
      </c>
      <c r="T383" s="503" t="str">
        <f>IFERROR(__xludf.DUMMYFUNCTION("""COMPUTED_VALUE"""),"utm_source=facebook&amp;utm_medium=socialmedia&amp;utm_campaign=&amp;utm_content=&amp;referrer=facebook")</f>
        <v>utm_source=facebook&amp;utm_medium=socialmedia&amp;utm_campaign=&amp;utm_content=&amp;referrer=facebook</v>
      </c>
    </row>
    <row r="384">
      <c r="A384" s="501" t="str">
        <f>IFERROR(__xludf.DUMMYFUNCTION("""COMPUTED_VALUE"""),"september")</f>
        <v>september</v>
      </c>
      <c r="B384" s="501">
        <f>IFERROR(__xludf.DUMMYFUNCTION("""COMPUTED_VALUE"""),37.0)</f>
        <v>37</v>
      </c>
      <c r="C384" s="501" t="str">
        <f>IFERROR(__xludf.DUMMYFUNCTION("""COMPUTED_VALUE"""),"maandag")</f>
        <v>maandag</v>
      </c>
      <c r="D384" s="502">
        <f>IFERROR(__xludf.DUMMYFUNCTION("""COMPUTED_VALUE"""),43717.0)</f>
        <v>43717</v>
      </c>
      <c r="E384" s="502">
        <f>IFERROR(__xludf.DUMMYFUNCTION("""COMPUTED_VALUE"""),43717.0)</f>
        <v>43717</v>
      </c>
      <c r="F384" s="501" t="str">
        <f>IFERROR(__xludf.DUMMYFUNCTION("""COMPUTED_VALUE"""),"")</f>
        <v/>
      </c>
      <c r="G384" s="503" t="str">
        <f>IFERROR(__xludf.DUMMYFUNCTION("""COMPUTED_VALUE"""),"")</f>
        <v/>
      </c>
      <c r="H384" s="501" t="str">
        <f>IFERROR(__xludf.DUMMYFUNCTION("""COMPUTED_VALUE"""),"")</f>
        <v/>
      </c>
      <c r="I384" s="503" t="str">
        <f>IFERROR(__xludf.DUMMYFUNCTION("""COMPUTED_VALUE"""),"")</f>
        <v/>
      </c>
      <c r="J384" s="501" t="str">
        <f>IFERROR(__xludf.DUMMYFUNCTION("""COMPUTED_VALUE"""),"")</f>
        <v/>
      </c>
      <c r="K384" s="503" t="str">
        <f>IFERROR(__xludf.DUMMYFUNCTION("""COMPUTED_VALUE"""),"")</f>
        <v/>
      </c>
      <c r="L384" s="501" t="str">
        <f>IFERROR(__xludf.DUMMYFUNCTION("""COMPUTED_VALUE"""),"")</f>
        <v/>
      </c>
      <c r="M384" s="504">
        <f>IFERROR(__xludf.DUMMYFUNCTION("""COMPUTED_VALUE"""),1.0)</f>
        <v>1</v>
      </c>
      <c r="N384" s="501" t="str">
        <f>IFERROR(__xludf.DUMMYFUNCTION("""COMPUTED_VALUE"""),"")</f>
        <v/>
      </c>
      <c r="O384" s="501" t="str">
        <f>IFERROR(__xludf.DUMMYFUNCTION("""COMPUTED_VALUE"""),"")</f>
        <v/>
      </c>
      <c r="P384" s="503" t="str">
        <f>IFERROR(__xludf.DUMMYFUNCTION("""COMPUTED_VALUE"""),"")</f>
        <v/>
      </c>
      <c r="Q384" s="501" t="str">
        <f>IFERROR(__xludf.DUMMYFUNCTION("""COMPUTED_VALUE"""),"")</f>
        <v/>
      </c>
      <c r="R384" s="501" t="str">
        <f>IFERROR(__xludf.DUMMYFUNCTION("""COMPUTED_VALUE"""),"")</f>
        <v/>
      </c>
      <c r="S384" s="503" t="str">
        <f>IFERROR(__xludf.DUMMYFUNCTION("""COMPUTED_VALUE"""),"")</f>
        <v/>
      </c>
      <c r="T384" s="503" t="str">
        <f>IFERROR(__xludf.DUMMYFUNCTION("""COMPUTED_VALUE"""),"utm_source=facebook&amp;utm_medium=socialmedia&amp;utm_campaign=&amp;utm_content=&amp;referrer=facebook")</f>
        <v>utm_source=facebook&amp;utm_medium=socialmedia&amp;utm_campaign=&amp;utm_content=&amp;referrer=facebook</v>
      </c>
    </row>
    <row r="385">
      <c r="A385" s="501" t="str">
        <f>IFERROR(__xludf.DUMMYFUNCTION("""COMPUTED_VALUE"""),"september")</f>
        <v>september</v>
      </c>
      <c r="B385" s="501">
        <f>IFERROR(__xludf.DUMMYFUNCTION("""COMPUTED_VALUE"""),37.0)</f>
        <v>37</v>
      </c>
      <c r="C385" s="501" t="str">
        <f>IFERROR(__xludf.DUMMYFUNCTION("""COMPUTED_VALUE"""),"dinsdag")</f>
        <v>dinsdag</v>
      </c>
      <c r="D385" s="502">
        <f>IFERROR(__xludf.DUMMYFUNCTION("""COMPUTED_VALUE"""),43718.0)</f>
        <v>43718</v>
      </c>
      <c r="E385" s="502">
        <f>IFERROR(__xludf.DUMMYFUNCTION("""COMPUTED_VALUE"""),43718.0)</f>
        <v>43718</v>
      </c>
      <c r="F385" s="501" t="str">
        <f>IFERROR(__xludf.DUMMYFUNCTION("""COMPUTED_VALUE"""),"")</f>
        <v/>
      </c>
      <c r="G385" s="503" t="str">
        <f>IFERROR(__xludf.DUMMYFUNCTION("""COMPUTED_VALUE"""),"")</f>
        <v/>
      </c>
      <c r="H385" s="501" t="str">
        <f>IFERROR(__xludf.DUMMYFUNCTION("""COMPUTED_VALUE"""),"")</f>
        <v/>
      </c>
      <c r="I385" s="503" t="str">
        <f>IFERROR(__xludf.DUMMYFUNCTION("""COMPUTED_VALUE"""),"")</f>
        <v/>
      </c>
      <c r="J385" s="501" t="str">
        <f>IFERROR(__xludf.DUMMYFUNCTION("""COMPUTED_VALUE"""),"")</f>
        <v/>
      </c>
      <c r="K385" s="503" t="str">
        <f>IFERROR(__xludf.DUMMYFUNCTION("""COMPUTED_VALUE"""),"")</f>
        <v/>
      </c>
      <c r="L385" s="501" t="str">
        <f>IFERROR(__xludf.DUMMYFUNCTION("""COMPUTED_VALUE"""),"")</f>
        <v/>
      </c>
      <c r="M385" s="504">
        <f>IFERROR(__xludf.DUMMYFUNCTION("""COMPUTED_VALUE"""),1.0)</f>
        <v>1</v>
      </c>
      <c r="N385" s="501" t="str">
        <f>IFERROR(__xludf.DUMMYFUNCTION("""COMPUTED_VALUE"""),"")</f>
        <v/>
      </c>
      <c r="O385" s="501" t="str">
        <f>IFERROR(__xludf.DUMMYFUNCTION("""COMPUTED_VALUE"""),"")</f>
        <v/>
      </c>
      <c r="P385" s="503" t="str">
        <f>IFERROR(__xludf.DUMMYFUNCTION("""COMPUTED_VALUE"""),"")</f>
        <v/>
      </c>
      <c r="Q385" s="501" t="str">
        <f>IFERROR(__xludf.DUMMYFUNCTION("""COMPUTED_VALUE"""),"")</f>
        <v/>
      </c>
      <c r="R385" s="501" t="str">
        <f>IFERROR(__xludf.DUMMYFUNCTION("""COMPUTED_VALUE"""),"")</f>
        <v/>
      </c>
      <c r="S385" s="503" t="str">
        <f>IFERROR(__xludf.DUMMYFUNCTION("""COMPUTED_VALUE"""),"")</f>
        <v/>
      </c>
      <c r="T385" s="503" t="str">
        <f>IFERROR(__xludf.DUMMYFUNCTION("""COMPUTED_VALUE"""),"utm_source=facebook&amp;utm_medium=socialmedia&amp;utm_campaign=&amp;utm_content=&amp;referrer=facebook")</f>
        <v>utm_source=facebook&amp;utm_medium=socialmedia&amp;utm_campaign=&amp;utm_content=&amp;referrer=facebook</v>
      </c>
    </row>
    <row r="386">
      <c r="A386" s="501" t="str">
        <f>IFERROR(__xludf.DUMMYFUNCTION("""COMPUTED_VALUE"""),"september")</f>
        <v>september</v>
      </c>
      <c r="B386" s="501">
        <f>IFERROR(__xludf.DUMMYFUNCTION("""COMPUTED_VALUE"""),37.0)</f>
        <v>37</v>
      </c>
      <c r="C386" s="501" t="str">
        <f>IFERROR(__xludf.DUMMYFUNCTION("""COMPUTED_VALUE"""),"woensdag")</f>
        <v>woensdag</v>
      </c>
      <c r="D386" s="502">
        <f>IFERROR(__xludf.DUMMYFUNCTION("""COMPUTED_VALUE"""),43719.0)</f>
        <v>43719</v>
      </c>
      <c r="E386" s="502">
        <f>IFERROR(__xludf.DUMMYFUNCTION("""COMPUTED_VALUE"""),43719.0)</f>
        <v>43719</v>
      </c>
      <c r="F386" s="501" t="str">
        <f>IFERROR(__xludf.DUMMYFUNCTION("""COMPUTED_VALUE"""),"")</f>
        <v/>
      </c>
      <c r="G386" s="503" t="str">
        <f>IFERROR(__xludf.DUMMYFUNCTION("""COMPUTED_VALUE"""),"")</f>
        <v/>
      </c>
      <c r="H386" s="501" t="str">
        <f>IFERROR(__xludf.DUMMYFUNCTION("""COMPUTED_VALUE"""),"")</f>
        <v/>
      </c>
      <c r="I386" s="503" t="str">
        <f>IFERROR(__xludf.DUMMYFUNCTION("""COMPUTED_VALUE"""),"")</f>
        <v/>
      </c>
      <c r="J386" s="501" t="str">
        <f>IFERROR(__xludf.DUMMYFUNCTION("""COMPUTED_VALUE"""),"")</f>
        <v/>
      </c>
      <c r="K386" s="503" t="str">
        <f>IFERROR(__xludf.DUMMYFUNCTION("""COMPUTED_VALUE"""),"")</f>
        <v/>
      </c>
      <c r="L386" s="501" t="str">
        <f>IFERROR(__xludf.DUMMYFUNCTION("""COMPUTED_VALUE"""),"")</f>
        <v/>
      </c>
      <c r="M386" s="504">
        <f>IFERROR(__xludf.DUMMYFUNCTION("""COMPUTED_VALUE"""),1.0)</f>
        <v>1</v>
      </c>
      <c r="N386" s="501" t="str">
        <f>IFERROR(__xludf.DUMMYFUNCTION("""COMPUTED_VALUE"""),"")</f>
        <v/>
      </c>
      <c r="O386" s="501" t="str">
        <f>IFERROR(__xludf.DUMMYFUNCTION("""COMPUTED_VALUE"""),"")</f>
        <v/>
      </c>
      <c r="P386" s="503" t="str">
        <f>IFERROR(__xludf.DUMMYFUNCTION("""COMPUTED_VALUE"""),"")</f>
        <v/>
      </c>
      <c r="Q386" s="501" t="str">
        <f>IFERROR(__xludf.DUMMYFUNCTION("""COMPUTED_VALUE"""),"")</f>
        <v/>
      </c>
      <c r="R386" s="501" t="str">
        <f>IFERROR(__xludf.DUMMYFUNCTION("""COMPUTED_VALUE"""),"")</f>
        <v/>
      </c>
      <c r="S386" s="503" t="str">
        <f>IFERROR(__xludf.DUMMYFUNCTION("""COMPUTED_VALUE"""),"")</f>
        <v/>
      </c>
      <c r="T386" s="503" t="str">
        <f>IFERROR(__xludf.DUMMYFUNCTION("""COMPUTED_VALUE"""),"utm_source=facebook&amp;utm_medium=socialmedia&amp;utm_campaign=&amp;utm_content=&amp;referrer=facebook")</f>
        <v>utm_source=facebook&amp;utm_medium=socialmedia&amp;utm_campaign=&amp;utm_content=&amp;referrer=facebook</v>
      </c>
    </row>
    <row r="387">
      <c r="A387" s="501" t="str">
        <f>IFERROR(__xludf.DUMMYFUNCTION("""COMPUTED_VALUE"""),"september")</f>
        <v>september</v>
      </c>
      <c r="B387" s="501">
        <f>IFERROR(__xludf.DUMMYFUNCTION("""COMPUTED_VALUE"""),37.0)</f>
        <v>37</v>
      </c>
      <c r="C387" s="501" t="str">
        <f>IFERROR(__xludf.DUMMYFUNCTION("""COMPUTED_VALUE"""),"donderdag")</f>
        <v>donderdag</v>
      </c>
      <c r="D387" s="502">
        <f>IFERROR(__xludf.DUMMYFUNCTION("""COMPUTED_VALUE"""),43720.0)</f>
        <v>43720</v>
      </c>
      <c r="E387" s="502">
        <f>IFERROR(__xludf.DUMMYFUNCTION("""COMPUTED_VALUE"""),43720.0)</f>
        <v>43720</v>
      </c>
      <c r="F387" s="501" t="str">
        <f>IFERROR(__xludf.DUMMYFUNCTION("""COMPUTED_VALUE"""),"")</f>
        <v/>
      </c>
      <c r="G387" s="503" t="str">
        <f>IFERROR(__xludf.DUMMYFUNCTION("""COMPUTED_VALUE"""),"")</f>
        <v/>
      </c>
      <c r="H387" s="501" t="str">
        <f>IFERROR(__xludf.DUMMYFUNCTION("""COMPUTED_VALUE"""),"")</f>
        <v/>
      </c>
      <c r="I387" s="503" t="str">
        <f>IFERROR(__xludf.DUMMYFUNCTION("""COMPUTED_VALUE"""),"")</f>
        <v/>
      </c>
      <c r="J387" s="501" t="str">
        <f>IFERROR(__xludf.DUMMYFUNCTION("""COMPUTED_VALUE"""),"")</f>
        <v/>
      </c>
      <c r="K387" s="503" t="str">
        <f>IFERROR(__xludf.DUMMYFUNCTION("""COMPUTED_VALUE"""),"")</f>
        <v/>
      </c>
      <c r="L387" s="501" t="str">
        <f>IFERROR(__xludf.DUMMYFUNCTION("""COMPUTED_VALUE"""),"")</f>
        <v/>
      </c>
      <c r="M387" s="504">
        <f>IFERROR(__xludf.DUMMYFUNCTION("""COMPUTED_VALUE"""),1.0)</f>
        <v>1</v>
      </c>
      <c r="N387" s="501" t="str">
        <f>IFERROR(__xludf.DUMMYFUNCTION("""COMPUTED_VALUE"""),"")</f>
        <v/>
      </c>
      <c r="O387" s="501" t="str">
        <f>IFERROR(__xludf.DUMMYFUNCTION("""COMPUTED_VALUE"""),"")</f>
        <v/>
      </c>
      <c r="P387" s="503" t="str">
        <f>IFERROR(__xludf.DUMMYFUNCTION("""COMPUTED_VALUE"""),"")</f>
        <v/>
      </c>
      <c r="Q387" s="501" t="str">
        <f>IFERROR(__xludf.DUMMYFUNCTION("""COMPUTED_VALUE"""),"")</f>
        <v/>
      </c>
      <c r="R387" s="501" t="str">
        <f>IFERROR(__xludf.DUMMYFUNCTION("""COMPUTED_VALUE"""),"")</f>
        <v/>
      </c>
      <c r="S387" s="503" t="str">
        <f>IFERROR(__xludf.DUMMYFUNCTION("""COMPUTED_VALUE"""),"")</f>
        <v/>
      </c>
      <c r="T387" s="503" t="str">
        <f>IFERROR(__xludf.DUMMYFUNCTION("""COMPUTED_VALUE"""),"utm_source=facebook&amp;utm_medium=socialmedia&amp;utm_campaign=&amp;utm_content=&amp;referrer=facebook")</f>
        <v>utm_source=facebook&amp;utm_medium=socialmedia&amp;utm_campaign=&amp;utm_content=&amp;referrer=facebook</v>
      </c>
    </row>
    <row r="388">
      <c r="A388" s="501" t="str">
        <f>IFERROR(__xludf.DUMMYFUNCTION("""COMPUTED_VALUE"""),"september")</f>
        <v>september</v>
      </c>
      <c r="B388" s="501">
        <f>IFERROR(__xludf.DUMMYFUNCTION("""COMPUTED_VALUE"""),37.0)</f>
        <v>37</v>
      </c>
      <c r="C388" s="501" t="str">
        <f>IFERROR(__xludf.DUMMYFUNCTION("""COMPUTED_VALUE"""),"vrijdag")</f>
        <v>vrijdag</v>
      </c>
      <c r="D388" s="502">
        <f>IFERROR(__xludf.DUMMYFUNCTION("""COMPUTED_VALUE"""),43721.0)</f>
        <v>43721</v>
      </c>
      <c r="E388" s="502">
        <f>IFERROR(__xludf.DUMMYFUNCTION("""COMPUTED_VALUE"""),43721.0)</f>
        <v>43721</v>
      </c>
      <c r="F388" s="501" t="str">
        <f>IFERROR(__xludf.DUMMYFUNCTION("""COMPUTED_VALUE"""),"")</f>
        <v/>
      </c>
      <c r="G388" s="503" t="str">
        <f>IFERROR(__xludf.DUMMYFUNCTION("""COMPUTED_VALUE"""),"")</f>
        <v/>
      </c>
      <c r="H388" s="501" t="str">
        <f>IFERROR(__xludf.DUMMYFUNCTION("""COMPUTED_VALUE"""),"")</f>
        <v/>
      </c>
      <c r="I388" s="503" t="str">
        <f>IFERROR(__xludf.DUMMYFUNCTION("""COMPUTED_VALUE"""),"")</f>
        <v/>
      </c>
      <c r="J388" s="501" t="str">
        <f>IFERROR(__xludf.DUMMYFUNCTION("""COMPUTED_VALUE"""),"")</f>
        <v/>
      </c>
      <c r="K388" s="503" t="str">
        <f>IFERROR(__xludf.DUMMYFUNCTION("""COMPUTED_VALUE"""),"")</f>
        <v/>
      </c>
      <c r="L388" s="501" t="str">
        <f>IFERROR(__xludf.DUMMYFUNCTION("""COMPUTED_VALUE"""),"")</f>
        <v/>
      </c>
      <c r="M388" s="504">
        <f>IFERROR(__xludf.DUMMYFUNCTION("""COMPUTED_VALUE"""),1.0)</f>
        <v>1</v>
      </c>
      <c r="N388" s="501" t="str">
        <f>IFERROR(__xludf.DUMMYFUNCTION("""COMPUTED_VALUE"""),"")</f>
        <v/>
      </c>
      <c r="O388" s="501" t="str">
        <f>IFERROR(__xludf.DUMMYFUNCTION("""COMPUTED_VALUE"""),"")</f>
        <v/>
      </c>
      <c r="P388" s="503" t="str">
        <f>IFERROR(__xludf.DUMMYFUNCTION("""COMPUTED_VALUE"""),"")</f>
        <v/>
      </c>
      <c r="Q388" s="501" t="str">
        <f>IFERROR(__xludf.DUMMYFUNCTION("""COMPUTED_VALUE"""),"")</f>
        <v/>
      </c>
      <c r="R388" s="501" t="str">
        <f>IFERROR(__xludf.DUMMYFUNCTION("""COMPUTED_VALUE"""),"")</f>
        <v/>
      </c>
      <c r="S388" s="503" t="str">
        <f>IFERROR(__xludf.DUMMYFUNCTION("""COMPUTED_VALUE"""),"")</f>
        <v/>
      </c>
      <c r="T388" s="503" t="str">
        <f>IFERROR(__xludf.DUMMYFUNCTION("""COMPUTED_VALUE"""),"utm_source=facebook&amp;utm_medium=socialmedia&amp;utm_campaign=&amp;utm_content=&amp;referrer=facebook")</f>
        <v>utm_source=facebook&amp;utm_medium=socialmedia&amp;utm_campaign=&amp;utm_content=&amp;referrer=facebook</v>
      </c>
    </row>
    <row r="389">
      <c r="A389" s="501" t="str">
        <f>IFERROR(__xludf.DUMMYFUNCTION("""COMPUTED_VALUE"""),"september")</f>
        <v>september</v>
      </c>
      <c r="B389" s="501">
        <f>IFERROR(__xludf.DUMMYFUNCTION("""COMPUTED_VALUE"""),37.0)</f>
        <v>37</v>
      </c>
      <c r="C389" s="501" t="str">
        <f>IFERROR(__xludf.DUMMYFUNCTION("""COMPUTED_VALUE"""),"zaterdag")</f>
        <v>zaterdag</v>
      </c>
      <c r="D389" s="502">
        <f>IFERROR(__xludf.DUMMYFUNCTION("""COMPUTED_VALUE"""),43722.0)</f>
        <v>43722</v>
      </c>
      <c r="E389" s="502">
        <f>IFERROR(__xludf.DUMMYFUNCTION("""COMPUTED_VALUE"""),43722.0)</f>
        <v>43722</v>
      </c>
      <c r="F389" s="501" t="str">
        <f>IFERROR(__xludf.DUMMYFUNCTION("""COMPUTED_VALUE"""),"")</f>
        <v/>
      </c>
      <c r="G389" s="503" t="str">
        <f>IFERROR(__xludf.DUMMYFUNCTION("""COMPUTED_VALUE"""),"")</f>
        <v/>
      </c>
      <c r="H389" s="501" t="str">
        <f>IFERROR(__xludf.DUMMYFUNCTION("""COMPUTED_VALUE"""),"")</f>
        <v/>
      </c>
      <c r="I389" s="503" t="str">
        <f>IFERROR(__xludf.DUMMYFUNCTION("""COMPUTED_VALUE"""),"")</f>
        <v/>
      </c>
      <c r="J389" s="501" t="str">
        <f>IFERROR(__xludf.DUMMYFUNCTION("""COMPUTED_VALUE"""),"")</f>
        <v/>
      </c>
      <c r="K389" s="503" t="str">
        <f>IFERROR(__xludf.DUMMYFUNCTION("""COMPUTED_VALUE"""),"")</f>
        <v/>
      </c>
      <c r="L389" s="501" t="str">
        <f>IFERROR(__xludf.DUMMYFUNCTION("""COMPUTED_VALUE"""),"")</f>
        <v/>
      </c>
      <c r="M389" s="504">
        <f>IFERROR(__xludf.DUMMYFUNCTION("""COMPUTED_VALUE"""),1.0)</f>
        <v>1</v>
      </c>
      <c r="N389" s="501" t="str">
        <f>IFERROR(__xludf.DUMMYFUNCTION("""COMPUTED_VALUE"""),"")</f>
        <v/>
      </c>
      <c r="O389" s="501" t="str">
        <f>IFERROR(__xludf.DUMMYFUNCTION("""COMPUTED_VALUE"""),"")</f>
        <v/>
      </c>
      <c r="P389" s="503" t="str">
        <f>IFERROR(__xludf.DUMMYFUNCTION("""COMPUTED_VALUE"""),"")</f>
        <v/>
      </c>
      <c r="Q389" s="501" t="str">
        <f>IFERROR(__xludf.DUMMYFUNCTION("""COMPUTED_VALUE"""),"")</f>
        <v/>
      </c>
      <c r="R389" s="501" t="str">
        <f>IFERROR(__xludf.DUMMYFUNCTION("""COMPUTED_VALUE"""),"")</f>
        <v/>
      </c>
      <c r="S389" s="503" t="str">
        <f>IFERROR(__xludf.DUMMYFUNCTION("""COMPUTED_VALUE"""),"")</f>
        <v/>
      </c>
      <c r="T389" s="503" t="str">
        <f>IFERROR(__xludf.DUMMYFUNCTION("""COMPUTED_VALUE"""),"utm_source=facebook&amp;utm_medium=socialmedia&amp;utm_campaign=&amp;utm_content=&amp;referrer=facebook")</f>
        <v>utm_source=facebook&amp;utm_medium=socialmedia&amp;utm_campaign=&amp;utm_content=&amp;referrer=facebook</v>
      </c>
    </row>
    <row r="390">
      <c r="A390" s="501" t="str">
        <f>IFERROR(__xludf.DUMMYFUNCTION("""COMPUTED_VALUE"""),"september")</f>
        <v>september</v>
      </c>
      <c r="B390" s="501">
        <f>IFERROR(__xludf.DUMMYFUNCTION("""COMPUTED_VALUE"""),38.0)</f>
        <v>38</v>
      </c>
      <c r="C390" s="501" t="str">
        <f>IFERROR(__xludf.DUMMYFUNCTION("""COMPUTED_VALUE"""),"zondag")</f>
        <v>zondag</v>
      </c>
      <c r="D390" s="502">
        <f>IFERROR(__xludf.DUMMYFUNCTION("""COMPUTED_VALUE"""),43723.0)</f>
        <v>43723</v>
      </c>
      <c r="E390" s="502">
        <f>IFERROR(__xludf.DUMMYFUNCTION("""COMPUTED_VALUE"""),43723.0)</f>
        <v>43723</v>
      </c>
      <c r="F390" s="501" t="str">
        <f>IFERROR(__xludf.DUMMYFUNCTION("""COMPUTED_VALUE"""),"")</f>
        <v/>
      </c>
      <c r="G390" s="503" t="str">
        <f>IFERROR(__xludf.DUMMYFUNCTION("""COMPUTED_VALUE"""),"")</f>
        <v/>
      </c>
      <c r="H390" s="501" t="str">
        <f>IFERROR(__xludf.DUMMYFUNCTION("""COMPUTED_VALUE"""),"")</f>
        <v/>
      </c>
      <c r="I390" s="503" t="str">
        <f>IFERROR(__xludf.DUMMYFUNCTION("""COMPUTED_VALUE"""),"")</f>
        <v/>
      </c>
      <c r="J390" s="501" t="str">
        <f>IFERROR(__xludf.DUMMYFUNCTION("""COMPUTED_VALUE"""),"")</f>
        <v/>
      </c>
      <c r="K390" s="503" t="str">
        <f>IFERROR(__xludf.DUMMYFUNCTION("""COMPUTED_VALUE"""),"")</f>
        <v/>
      </c>
      <c r="L390" s="501" t="str">
        <f>IFERROR(__xludf.DUMMYFUNCTION("""COMPUTED_VALUE"""),"")</f>
        <v/>
      </c>
      <c r="M390" s="504">
        <f>IFERROR(__xludf.DUMMYFUNCTION("""COMPUTED_VALUE"""),1.0)</f>
        <v>1</v>
      </c>
      <c r="N390" s="501" t="str">
        <f>IFERROR(__xludf.DUMMYFUNCTION("""COMPUTED_VALUE"""),"")</f>
        <v/>
      </c>
      <c r="O390" s="501" t="str">
        <f>IFERROR(__xludf.DUMMYFUNCTION("""COMPUTED_VALUE"""),"")</f>
        <v/>
      </c>
      <c r="P390" s="503" t="str">
        <f>IFERROR(__xludf.DUMMYFUNCTION("""COMPUTED_VALUE"""),"")</f>
        <v/>
      </c>
      <c r="Q390" s="501" t="str">
        <f>IFERROR(__xludf.DUMMYFUNCTION("""COMPUTED_VALUE"""),"")</f>
        <v/>
      </c>
      <c r="R390" s="501" t="str">
        <f>IFERROR(__xludf.DUMMYFUNCTION("""COMPUTED_VALUE"""),"")</f>
        <v/>
      </c>
      <c r="S390" s="503" t="str">
        <f>IFERROR(__xludf.DUMMYFUNCTION("""COMPUTED_VALUE"""),"")</f>
        <v/>
      </c>
      <c r="T390" s="503" t="str">
        <f>IFERROR(__xludf.DUMMYFUNCTION("""COMPUTED_VALUE"""),"utm_source=facebook&amp;utm_medium=socialmedia&amp;utm_campaign=&amp;utm_content=&amp;referrer=facebook")</f>
        <v>utm_source=facebook&amp;utm_medium=socialmedia&amp;utm_campaign=&amp;utm_content=&amp;referrer=facebook</v>
      </c>
    </row>
    <row r="391">
      <c r="A391" s="501" t="str">
        <f>IFERROR(__xludf.DUMMYFUNCTION("""COMPUTED_VALUE"""),"september")</f>
        <v>september</v>
      </c>
      <c r="B391" s="501">
        <f>IFERROR(__xludf.DUMMYFUNCTION("""COMPUTED_VALUE"""),38.0)</f>
        <v>38</v>
      </c>
      <c r="C391" s="501" t="str">
        <f>IFERROR(__xludf.DUMMYFUNCTION("""COMPUTED_VALUE"""),"maandag")</f>
        <v>maandag</v>
      </c>
      <c r="D391" s="502">
        <f>IFERROR(__xludf.DUMMYFUNCTION("""COMPUTED_VALUE"""),43724.0)</f>
        <v>43724</v>
      </c>
      <c r="E391" s="502">
        <f>IFERROR(__xludf.DUMMYFUNCTION("""COMPUTED_VALUE"""),43724.0)</f>
        <v>43724</v>
      </c>
      <c r="F391" s="501" t="str">
        <f>IFERROR(__xludf.DUMMYFUNCTION("""COMPUTED_VALUE"""),"")</f>
        <v/>
      </c>
      <c r="G391" s="503" t="str">
        <f>IFERROR(__xludf.DUMMYFUNCTION("""COMPUTED_VALUE"""),"")</f>
        <v/>
      </c>
      <c r="H391" s="501" t="str">
        <f>IFERROR(__xludf.DUMMYFUNCTION("""COMPUTED_VALUE"""),"")</f>
        <v/>
      </c>
      <c r="I391" s="503" t="str">
        <f>IFERROR(__xludf.DUMMYFUNCTION("""COMPUTED_VALUE"""),"")</f>
        <v/>
      </c>
      <c r="J391" s="501" t="str">
        <f>IFERROR(__xludf.DUMMYFUNCTION("""COMPUTED_VALUE"""),"")</f>
        <v/>
      </c>
      <c r="K391" s="503" t="str">
        <f>IFERROR(__xludf.DUMMYFUNCTION("""COMPUTED_VALUE"""),"")</f>
        <v/>
      </c>
      <c r="L391" s="501" t="str">
        <f>IFERROR(__xludf.DUMMYFUNCTION("""COMPUTED_VALUE"""),"")</f>
        <v/>
      </c>
      <c r="M391" s="504">
        <f>IFERROR(__xludf.DUMMYFUNCTION("""COMPUTED_VALUE"""),1.0)</f>
        <v>1</v>
      </c>
      <c r="N391" s="501" t="str">
        <f>IFERROR(__xludf.DUMMYFUNCTION("""COMPUTED_VALUE"""),"")</f>
        <v/>
      </c>
      <c r="O391" s="501" t="str">
        <f>IFERROR(__xludf.DUMMYFUNCTION("""COMPUTED_VALUE"""),"")</f>
        <v/>
      </c>
      <c r="P391" s="503" t="str">
        <f>IFERROR(__xludf.DUMMYFUNCTION("""COMPUTED_VALUE"""),"")</f>
        <v/>
      </c>
      <c r="Q391" s="501" t="str">
        <f>IFERROR(__xludf.DUMMYFUNCTION("""COMPUTED_VALUE"""),"")</f>
        <v/>
      </c>
      <c r="R391" s="501" t="str">
        <f>IFERROR(__xludf.DUMMYFUNCTION("""COMPUTED_VALUE"""),"")</f>
        <v/>
      </c>
      <c r="S391" s="503" t="str">
        <f>IFERROR(__xludf.DUMMYFUNCTION("""COMPUTED_VALUE"""),"")</f>
        <v/>
      </c>
      <c r="T391" s="503" t="str">
        <f>IFERROR(__xludf.DUMMYFUNCTION("""COMPUTED_VALUE"""),"utm_source=facebook&amp;utm_medium=socialmedia&amp;utm_campaign=&amp;utm_content=&amp;referrer=facebook")</f>
        <v>utm_source=facebook&amp;utm_medium=socialmedia&amp;utm_campaign=&amp;utm_content=&amp;referrer=facebook</v>
      </c>
    </row>
    <row r="392">
      <c r="A392" s="501" t="str">
        <f>IFERROR(__xludf.DUMMYFUNCTION("""COMPUTED_VALUE"""),"september")</f>
        <v>september</v>
      </c>
      <c r="B392" s="501">
        <f>IFERROR(__xludf.DUMMYFUNCTION("""COMPUTED_VALUE"""),38.0)</f>
        <v>38</v>
      </c>
      <c r="C392" s="501" t="str">
        <f>IFERROR(__xludf.DUMMYFUNCTION("""COMPUTED_VALUE"""),"dinsdag")</f>
        <v>dinsdag</v>
      </c>
      <c r="D392" s="502">
        <f>IFERROR(__xludf.DUMMYFUNCTION("""COMPUTED_VALUE"""),43725.0)</f>
        <v>43725</v>
      </c>
      <c r="E392" s="502">
        <f>IFERROR(__xludf.DUMMYFUNCTION("""COMPUTED_VALUE"""),43725.0)</f>
        <v>43725</v>
      </c>
      <c r="F392" s="501" t="str">
        <f>IFERROR(__xludf.DUMMYFUNCTION("""COMPUTED_VALUE"""),"")</f>
        <v/>
      </c>
      <c r="G392" s="503" t="str">
        <f>IFERROR(__xludf.DUMMYFUNCTION("""COMPUTED_VALUE"""),"")</f>
        <v/>
      </c>
      <c r="H392" s="501" t="str">
        <f>IFERROR(__xludf.DUMMYFUNCTION("""COMPUTED_VALUE"""),"")</f>
        <v/>
      </c>
      <c r="I392" s="503" t="str">
        <f>IFERROR(__xludf.DUMMYFUNCTION("""COMPUTED_VALUE"""),"")</f>
        <v/>
      </c>
      <c r="J392" s="501" t="str">
        <f>IFERROR(__xludf.DUMMYFUNCTION("""COMPUTED_VALUE"""),"")</f>
        <v/>
      </c>
      <c r="K392" s="503" t="str">
        <f>IFERROR(__xludf.DUMMYFUNCTION("""COMPUTED_VALUE"""),"")</f>
        <v/>
      </c>
      <c r="L392" s="501" t="str">
        <f>IFERROR(__xludf.DUMMYFUNCTION("""COMPUTED_VALUE"""),"")</f>
        <v/>
      </c>
      <c r="M392" s="504">
        <f>IFERROR(__xludf.DUMMYFUNCTION("""COMPUTED_VALUE"""),1.0)</f>
        <v>1</v>
      </c>
      <c r="N392" s="501" t="str">
        <f>IFERROR(__xludf.DUMMYFUNCTION("""COMPUTED_VALUE"""),"")</f>
        <v/>
      </c>
      <c r="O392" s="501" t="str">
        <f>IFERROR(__xludf.DUMMYFUNCTION("""COMPUTED_VALUE"""),"")</f>
        <v/>
      </c>
      <c r="P392" s="503" t="str">
        <f>IFERROR(__xludf.DUMMYFUNCTION("""COMPUTED_VALUE"""),"")</f>
        <v/>
      </c>
      <c r="Q392" s="501" t="str">
        <f>IFERROR(__xludf.DUMMYFUNCTION("""COMPUTED_VALUE"""),"")</f>
        <v/>
      </c>
      <c r="R392" s="501" t="str">
        <f>IFERROR(__xludf.DUMMYFUNCTION("""COMPUTED_VALUE"""),"")</f>
        <v/>
      </c>
      <c r="S392" s="503" t="str">
        <f>IFERROR(__xludf.DUMMYFUNCTION("""COMPUTED_VALUE"""),"")</f>
        <v/>
      </c>
      <c r="T392" s="503" t="str">
        <f>IFERROR(__xludf.DUMMYFUNCTION("""COMPUTED_VALUE"""),"utm_source=facebook&amp;utm_medium=socialmedia&amp;utm_campaign=&amp;utm_content=&amp;referrer=facebook")</f>
        <v>utm_source=facebook&amp;utm_medium=socialmedia&amp;utm_campaign=&amp;utm_content=&amp;referrer=facebook</v>
      </c>
    </row>
    <row r="393">
      <c r="A393" s="501" t="str">
        <f>IFERROR(__xludf.DUMMYFUNCTION("""COMPUTED_VALUE"""),"september")</f>
        <v>september</v>
      </c>
      <c r="B393" s="501">
        <f>IFERROR(__xludf.DUMMYFUNCTION("""COMPUTED_VALUE"""),38.0)</f>
        <v>38</v>
      </c>
      <c r="C393" s="501" t="str">
        <f>IFERROR(__xludf.DUMMYFUNCTION("""COMPUTED_VALUE"""),"woensdag")</f>
        <v>woensdag</v>
      </c>
      <c r="D393" s="502">
        <f>IFERROR(__xludf.DUMMYFUNCTION("""COMPUTED_VALUE"""),43726.0)</f>
        <v>43726</v>
      </c>
      <c r="E393" s="502">
        <f>IFERROR(__xludf.DUMMYFUNCTION("""COMPUTED_VALUE"""),43726.0)</f>
        <v>43726</v>
      </c>
      <c r="F393" s="501" t="str">
        <f>IFERROR(__xludf.DUMMYFUNCTION("""COMPUTED_VALUE"""),"")</f>
        <v/>
      </c>
      <c r="G393" s="503" t="str">
        <f>IFERROR(__xludf.DUMMYFUNCTION("""COMPUTED_VALUE"""),"")</f>
        <v/>
      </c>
      <c r="H393" s="501" t="str">
        <f>IFERROR(__xludf.DUMMYFUNCTION("""COMPUTED_VALUE"""),"")</f>
        <v/>
      </c>
      <c r="I393" s="503" t="str">
        <f>IFERROR(__xludf.DUMMYFUNCTION("""COMPUTED_VALUE"""),"")</f>
        <v/>
      </c>
      <c r="J393" s="501" t="str">
        <f>IFERROR(__xludf.DUMMYFUNCTION("""COMPUTED_VALUE"""),"")</f>
        <v/>
      </c>
      <c r="K393" s="503" t="str">
        <f>IFERROR(__xludf.DUMMYFUNCTION("""COMPUTED_VALUE"""),"")</f>
        <v/>
      </c>
      <c r="L393" s="501" t="str">
        <f>IFERROR(__xludf.DUMMYFUNCTION("""COMPUTED_VALUE"""),"")</f>
        <v/>
      </c>
      <c r="M393" s="504">
        <f>IFERROR(__xludf.DUMMYFUNCTION("""COMPUTED_VALUE"""),1.0)</f>
        <v>1</v>
      </c>
      <c r="N393" s="501" t="str">
        <f>IFERROR(__xludf.DUMMYFUNCTION("""COMPUTED_VALUE"""),"")</f>
        <v/>
      </c>
      <c r="O393" s="501" t="str">
        <f>IFERROR(__xludf.DUMMYFUNCTION("""COMPUTED_VALUE"""),"")</f>
        <v/>
      </c>
      <c r="P393" s="503" t="str">
        <f>IFERROR(__xludf.DUMMYFUNCTION("""COMPUTED_VALUE"""),"")</f>
        <v/>
      </c>
      <c r="Q393" s="501" t="str">
        <f>IFERROR(__xludf.DUMMYFUNCTION("""COMPUTED_VALUE"""),"")</f>
        <v/>
      </c>
      <c r="R393" s="501" t="str">
        <f>IFERROR(__xludf.DUMMYFUNCTION("""COMPUTED_VALUE"""),"")</f>
        <v/>
      </c>
      <c r="S393" s="503" t="str">
        <f>IFERROR(__xludf.DUMMYFUNCTION("""COMPUTED_VALUE"""),"")</f>
        <v/>
      </c>
      <c r="T393" s="503" t="str">
        <f>IFERROR(__xludf.DUMMYFUNCTION("""COMPUTED_VALUE"""),"utm_source=facebook&amp;utm_medium=socialmedia&amp;utm_campaign=&amp;utm_content=&amp;referrer=facebook")</f>
        <v>utm_source=facebook&amp;utm_medium=socialmedia&amp;utm_campaign=&amp;utm_content=&amp;referrer=facebook</v>
      </c>
    </row>
    <row r="394">
      <c r="A394" s="501" t="str">
        <f>IFERROR(__xludf.DUMMYFUNCTION("""COMPUTED_VALUE"""),"september")</f>
        <v>september</v>
      </c>
      <c r="B394" s="501">
        <f>IFERROR(__xludf.DUMMYFUNCTION("""COMPUTED_VALUE"""),38.0)</f>
        <v>38</v>
      </c>
      <c r="C394" s="501" t="str">
        <f>IFERROR(__xludf.DUMMYFUNCTION("""COMPUTED_VALUE"""),"donderdag")</f>
        <v>donderdag</v>
      </c>
      <c r="D394" s="502">
        <f>IFERROR(__xludf.DUMMYFUNCTION("""COMPUTED_VALUE"""),43727.0)</f>
        <v>43727</v>
      </c>
      <c r="E394" s="502">
        <f>IFERROR(__xludf.DUMMYFUNCTION("""COMPUTED_VALUE"""),43727.0)</f>
        <v>43727</v>
      </c>
      <c r="F394" s="501" t="str">
        <f>IFERROR(__xludf.DUMMYFUNCTION("""COMPUTED_VALUE"""),"")</f>
        <v/>
      </c>
      <c r="G394" s="503" t="str">
        <f>IFERROR(__xludf.DUMMYFUNCTION("""COMPUTED_VALUE"""),"")</f>
        <v/>
      </c>
      <c r="H394" s="501" t="str">
        <f>IFERROR(__xludf.DUMMYFUNCTION("""COMPUTED_VALUE"""),"")</f>
        <v/>
      </c>
      <c r="I394" s="503" t="str">
        <f>IFERROR(__xludf.DUMMYFUNCTION("""COMPUTED_VALUE"""),"")</f>
        <v/>
      </c>
      <c r="J394" s="501" t="str">
        <f>IFERROR(__xludf.DUMMYFUNCTION("""COMPUTED_VALUE"""),"")</f>
        <v/>
      </c>
      <c r="K394" s="503" t="str">
        <f>IFERROR(__xludf.DUMMYFUNCTION("""COMPUTED_VALUE"""),"")</f>
        <v/>
      </c>
      <c r="L394" s="501" t="str">
        <f>IFERROR(__xludf.DUMMYFUNCTION("""COMPUTED_VALUE"""),"")</f>
        <v/>
      </c>
      <c r="M394" s="504">
        <f>IFERROR(__xludf.DUMMYFUNCTION("""COMPUTED_VALUE"""),1.0)</f>
        <v>1</v>
      </c>
      <c r="N394" s="501" t="str">
        <f>IFERROR(__xludf.DUMMYFUNCTION("""COMPUTED_VALUE"""),"")</f>
        <v/>
      </c>
      <c r="O394" s="501" t="str">
        <f>IFERROR(__xludf.DUMMYFUNCTION("""COMPUTED_VALUE"""),"")</f>
        <v/>
      </c>
      <c r="P394" s="503" t="str">
        <f>IFERROR(__xludf.DUMMYFUNCTION("""COMPUTED_VALUE"""),"")</f>
        <v/>
      </c>
      <c r="Q394" s="501" t="str">
        <f>IFERROR(__xludf.DUMMYFUNCTION("""COMPUTED_VALUE"""),"")</f>
        <v/>
      </c>
      <c r="R394" s="501" t="str">
        <f>IFERROR(__xludf.DUMMYFUNCTION("""COMPUTED_VALUE"""),"")</f>
        <v/>
      </c>
      <c r="S394" s="503" t="str">
        <f>IFERROR(__xludf.DUMMYFUNCTION("""COMPUTED_VALUE"""),"")</f>
        <v/>
      </c>
      <c r="T394" s="503" t="str">
        <f>IFERROR(__xludf.DUMMYFUNCTION("""COMPUTED_VALUE"""),"utm_source=facebook&amp;utm_medium=socialmedia&amp;utm_campaign=&amp;utm_content=&amp;referrer=facebook")</f>
        <v>utm_source=facebook&amp;utm_medium=socialmedia&amp;utm_campaign=&amp;utm_content=&amp;referrer=facebook</v>
      </c>
    </row>
    <row r="395">
      <c r="A395" s="501" t="str">
        <f>IFERROR(__xludf.DUMMYFUNCTION("""COMPUTED_VALUE"""),"september")</f>
        <v>september</v>
      </c>
      <c r="B395" s="501">
        <f>IFERROR(__xludf.DUMMYFUNCTION("""COMPUTED_VALUE"""),38.0)</f>
        <v>38</v>
      </c>
      <c r="C395" s="501" t="str">
        <f>IFERROR(__xludf.DUMMYFUNCTION("""COMPUTED_VALUE"""),"vrijdag")</f>
        <v>vrijdag</v>
      </c>
      <c r="D395" s="502">
        <f>IFERROR(__xludf.DUMMYFUNCTION("""COMPUTED_VALUE"""),43728.0)</f>
        <v>43728</v>
      </c>
      <c r="E395" s="502">
        <f>IFERROR(__xludf.DUMMYFUNCTION("""COMPUTED_VALUE"""),43728.0)</f>
        <v>43728</v>
      </c>
      <c r="F395" s="501" t="str">
        <f>IFERROR(__xludf.DUMMYFUNCTION("""COMPUTED_VALUE"""),"")</f>
        <v/>
      </c>
      <c r="G395" s="503" t="str">
        <f>IFERROR(__xludf.DUMMYFUNCTION("""COMPUTED_VALUE"""),"")</f>
        <v/>
      </c>
      <c r="H395" s="501" t="str">
        <f>IFERROR(__xludf.DUMMYFUNCTION("""COMPUTED_VALUE"""),"")</f>
        <v/>
      </c>
      <c r="I395" s="503" t="str">
        <f>IFERROR(__xludf.DUMMYFUNCTION("""COMPUTED_VALUE"""),"")</f>
        <v/>
      </c>
      <c r="J395" s="501" t="str">
        <f>IFERROR(__xludf.DUMMYFUNCTION("""COMPUTED_VALUE"""),"")</f>
        <v/>
      </c>
      <c r="K395" s="503" t="str">
        <f>IFERROR(__xludf.DUMMYFUNCTION("""COMPUTED_VALUE"""),"")</f>
        <v/>
      </c>
      <c r="L395" s="501" t="str">
        <f>IFERROR(__xludf.DUMMYFUNCTION("""COMPUTED_VALUE"""),"")</f>
        <v/>
      </c>
      <c r="M395" s="504">
        <f>IFERROR(__xludf.DUMMYFUNCTION("""COMPUTED_VALUE"""),1.0)</f>
        <v>1</v>
      </c>
      <c r="N395" s="501" t="str">
        <f>IFERROR(__xludf.DUMMYFUNCTION("""COMPUTED_VALUE"""),"")</f>
        <v/>
      </c>
      <c r="O395" s="501" t="str">
        <f>IFERROR(__xludf.DUMMYFUNCTION("""COMPUTED_VALUE"""),"")</f>
        <v/>
      </c>
      <c r="P395" s="503" t="str">
        <f>IFERROR(__xludf.DUMMYFUNCTION("""COMPUTED_VALUE"""),"")</f>
        <v/>
      </c>
      <c r="Q395" s="501" t="str">
        <f>IFERROR(__xludf.DUMMYFUNCTION("""COMPUTED_VALUE"""),"")</f>
        <v/>
      </c>
      <c r="R395" s="501" t="str">
        <f>IFERROR(__xludf.DUMMYFUNCTION("""COMPUTED_VALUE"""),"")</f>
        <v/>
      </c>
      <c r="S395" s="503" t="str">
        <f>IFERROR(__xludf.DUMMYFUNCTION("""COMPUTED_VALUE"""),"")</f>
        <v/>
      </c>
      <c r="T395" s="503" t="str">
        <f>IFERROR(__xludf.DUMMYFUNCTION("""COMPUTED_VALUE"""),"utm_source=facebook&amp;utm_medium=socialmedia&amp;utm_campaign=&amp;utm_content=&amp;referrer=facebook")</f>
        <v>utm_source=facebook&amp;utm_medium=socialmedia&amp;utm_campaign=&amp;utm_content=&amp;referrer=facebook</v>
      </c>
    </row>
    <row r="396">
      <c r="A396" s="501" t="str">
        <f>IFERROR(__xludf.DUMMYFUNCTION("""COMPUTED_VALUE"""),"september")</f>
        <v>september</v>
      </c>
      <c r="B396" s="501">
        <f>IFERROR(__xludf.DUMMYFUNCTION("""COMPUTED_VALUE"""),38.0)</f>
        <v>38</v>
      </c>
      <c r="C396" s="501" t="str">
        <f>IFERROR(__xludf.DUMMYFUNCTION("""COMPUTED_VALUE"""),"zaterdag")</f>
        <v>zaterdag</v>
      </c>
      <c r="D396" s="502">
        <f>IFERROR(__xludf.DUMMYFUNCTION("""COMPUTED_VALUE"""),43729.0)</f>
        <v>43729</v>
      </c>
      <c r="E396" s="502">
        <f>IFERROR(__xludf.DUMMYFUNCTION("""COMPUTED_VALUE"""),43729.0)</f>
        <v>43729</v>
      </c>
      <c r="F396" s="501" t="str">
        <f>IFERROR(__xludf.DUMMYFUNCTION("""COMPUTED_VALUE"""),"")</f>
        <v/>
      </c>
      <c r="G396" s="503" t="str">
        <f>IFERROR(__xludf.DUMMYFUNCTION("""COMPUTED_VALUE"""),"")</f>
        <v/>
      </c>
      <c r="H396" s="501" t="str">
        <f>IFERROR(__xludf.DUMMYFUNCTION("""COMPUTED_VALUE"""),"")</f>
        <v/>
      </c>
      <c r="I396" s="503" t="str">
        <f>IFERROR(__xludf.DUMMYFUNCTION("""COMPUTED_VALUE"""),"")</f>
        <v/>
      </c>
      <c r="J396" s="501" t="str">
        <f>IFERROR(__xludf.DUMMYFUNCTION("""COMPUTED_VALUE"""),"")</f>
        <v/>
      </c>
      <c r="K396" s="503" t="str">
        <f>IFERROR(__xludf.DUMMYFUNCTION("""COMPUTED_VALUE"""),"")</f>
        <v/>
      </c>
      <c r="L396" s="501" t="str">
        <f>IFERROR(__xludf.DUMMYFUNCTION("""COMPUTED_VALUE"""),"")</f>
        <v/>
      </c>
      <c r="M396" s="504">
        <f>IFERROR(__xludf.DUMMYFUNCTION("""COMPUTED_VALUE"""),1.0)</f>
        <v>1</v>
      </c>
      <c r="N396" s="501" t="str">
        <f>IFERROR(__xludf.DUMMYFUNCTION("""COMPUTED_VALUE"""),"")</f>
        <v/>
      </c>
      <c r="O396" s="501" t="str">
        <f>IFERROR(__xludf.DUMMYFUNCTION("""COMPUTED_VALUE"""),"")</f>
        <v/>
      </c>
      <c r="P396" s="503" t="str">
        <f>IFERROR(__xludf.DUMMYFUNCTION("""COMPUTED_VALUE"""),"")</f>
        <v/>
      </c>
      <c r="Q396" s="501" t="str">
        <f>IFERROR(__xludf.DUMMYFUNCTION("""COMPUTED_VALUE"""),"")</f>
        <v/>
      </c>
      <c r="R396" s="501" t="str">
        <f>IFERROR(__xludf.DUMMYFUNCTION("""COMPUTED_VALUE"""),"")</f>
        <v/>
      </c>
      <c r="S396" s="503" t="str">
        <f>IFERROR(__xludf.DUMMYFUNCTION("""COMPUTED_VALUE"""),"")</f>
        <v/>
      </c>
      <c r="T396" s="503" t="str">
        <f>IFERROR(__xludf.DUMMYFUNCTION("""COMPUTED_VALUE"""),"utm_source=facebook&amp;utm_medium=socialmedia&amp;utm_campaign=&amp;utm_content=&amp;referrer=facebook")</f>
        <v>utm_source=facebook&amp;utm_medium=socialmedia&amp;utm_campaign=&amp;utm_content=&amp;referrer=facebook</v>
      </c>
    </row>
    <row r="397">
      <c r="A397" s="501" t="str">
        <f>IFERROR(__xludf.DUMMYFUNCTION("""COMPUTED_VALUE"""),"september")</f>
        <v>september</v>
      </c>
      <c r="B397" s="501">
        <f>IFERROR(__xludf.DUMMYFUNCTION("""COMPUTED_VALUE"""),39.0)</f>
        <v>39</v>
      </c>
      <c r="C397" s="501" t="str">
        <f>IFERROR(__xludf.DUMMYFUNCTION("""COMPUTED_VALUE"""),"zondag")</f>
        <v>zondag</v>
      </c>
      <c r="D397" s="502">
        <f>IFERROR(__xludf.DUMMYFUNCTION("""COMPUTED_VALUE"""),43730.0)</f>
        <v>43730</v>
      </c>
      <c r="E397" s="502">
        <f>IFERROR(__xludf.DUMMYFUNCTION("""COMPUTED_VALUE"""),43730.0)</f>
        <v>43730</v>
      </c>
      <c r="F397" s="501" t="str">
        <f>IFERROR(__xludf.DUMMYFUNCTION("""COMPUTED_VALUE"""),"")</f>
        <v/>
      </c>
      <c r="G397" s="503" t="str">
        <f>IFERROR(__xludf.DUMMYFUNCTION("""COMPUTED_VALUE"""),"")</f>
        <v/>
      </c>
      <c r="H397" s="501" t="str">
        <f>IFERROR(__xludf.DUMMYFUNCTION("""COMPUTED_VALUE"""),"")</f>
        <v/>
      </c>
      <c r="I397" s="503" t="str">
        <f>IFERROR(__xludf.DUMMYFUNCTION("""COMPUTED_VALUE"""),"")</f>
        <v/>
      </c>
      <c r="J397" s="501" t="str">
        <f>IFERROR(__xludf.DUMMYFUNCTION("""COMPUTED_VALUE"""),"")</f>
        <v/>
      </c>
      <c r="K397" s="503" t="str">
        <f>IFERROR(__xludf.DUMMYFUNCTION("""COMPUTED_VALUE"""),"")</f>
        <v/>
      </c>
      <c r="L397" s="501" t="str">
        <f>IFERROR(__xludf.DUMMYFUNCTION("""COMPUTED_VALUE"""),"")</f>
        <v/>
      </c>
      <c r="M397" s="504">
        <f>IFERROR(__xludf.DUMMYFUNCTION("""COMPUTED_VALUE"""),1.0)</f>
        <v>1</v>
      </c>
      <c r="N397" s="501" t="str">
        <f>IFERROR(__xludf.DUMMYFUNCTION("""COMPUTED_VALUE"""),"")</f>
        <v/>
      </c>
      <c r="O397" s="501" t="str">
        <f>IFERROR(__xludf.DUMMYFUNCTION("""COMPUTED_VALUE"""),"")</f>
        <v/>
      </c>
      <c r="P397" s="503" t="str">
        <f>IFERROR(__xludf.DUMMYFUNCTION("""COMPUTED_VALUE"""),"")</f>
        <v/>
      </c>
      <c r="Q397" s="501" t="str">
        <f>IFERROR(__xludf.DUMMYFUNCTION("""COMPUTED_VALUE"""),"")</f>
        <v/>
      </c>
      <c r="R397" s="501" t="str">
        <f>IFERROR(__xludf.DUMMYFUNCTION("""COMPUTED_VALUE"""),"")</f>
        <v/>
      </c>
      <c r="S397" s="503" t="str">
        <f>IFERROR(__xludf.DUMMYFUNCTION("""COMPUTED_VALUE"""),"")</f>
        <v/>
      </c>
      <c r="T397" s="503" t="str">
        <f>IFERROR(__xludf.DUMMYFUNCTION("""COMPUTED_VALUE"""),"utm_source=facebook&amp;utm_medium=socialmedia&amp;utm_campaign=&amp;utm_content=&amp;referrer=facebook")</f>
        <v>utm_source=facebook&amp;utm_medium=socialmedia&amp;utm_campaign=&amp;utm_content=&amp;referrer=facebook</v>
      </c>
    </row>
    <row r="398">
      <c r="A398" s="501" t="str">
        <f>IFERROR(__xludf.DUMMYFUNCTION("""COMPUTED_VALUE"""),"september")</f>
        <v>september</v>
      </c>
      <c r="B398" s="501">
        <f>IFERROR(__xludf.DUMMYFUNCTION("""COMPUTED_VALUE"""),39.0)</f>
        <v>39</v>
      </c>
      <c r="C398" s="501" t="str">
        <f>IFERROR(__xludf.DUMMYFUNCTION("""COMPUTED_VALUE"""),"maandag")</f>
        <v>maandag</v>
      </c>
      <c r="D398" s="502">
        <f>IFERROR(__xludf.DUMMYFUNCTION("""COMPUTED_VALUE"""),43731.0)</f>
        <v>43731</v>
      </c>
      <c r="E398" s="502">
        <f>IFERROR(__xludf.DUMMYFUNCTION("""COMPUTED_VALUE"""),43731.0)</f>
        <v>43731</v>
      </c>
      <c r="F398" s="501" t="str">
        <f>IFERROR(__xludf.DUMMYFUNCTION("""COMPUTED_VALUE"""),"")</f>
        <v/>
      </c>
      <c r="G398" s="503" t="str">
        <f>IFERROR(__xludf.DUMMYFUNCTION("""COMPUTED_VALUE"""),"")</f>
        <v/>
      </c>
      <c r="H398" s="501" t="str">
        <f>IFERROR(__xludf.DUMMYFUNCTION("""COMPUTED_VALUE"""),"")</f>
        <v/>
      </c>
      <c r="I398" s="503" t="str">
        <f>IFERROR(__xludf.DUMMYFUNCTION("""COMPUTED_VALUE"""),"")</f>
        <v/>
      </c>
      <c r="J398" s="501" t="str">
        <f>IFERROR(__xludf.DUMMYFUNCTION("""COMPUTED_VALUE"""),"")</f>
        <v/>
      </c>
      <c r="K398" s="503" t="str">
        <f>IFERROR(__xludf.DUMMYFUNCTION("""COMPUTED_VALUE"""),"")</f>
        <v/>
      </c>
      <c r="L398" s="501" t="str">
        <f>IFERROR(__xludf.DUMMYFUNCTION("""COMPUTED_VALUE"""),"")</f>
        <v/>
      </c>
      <c r="M398" s="504">
        <f>IFERROR(__xludf.DUMMYFUNCTION("""COMPUTED_VALUE"""),1.0)</f>
        <v>1</v>
      </c>
      <c r="N398" s="501" t="str">
        <f>IFERROR(__xludf.DUMMYFUNCTION("""COMPUTED_VALUE"""),"")</f>
        <v/>
      </c>
      <c r="O398" s="501" t="str">
        <f>IFERROR(__xludf.DUMMYFUNCTION("""COMPUTED_VALUE"""),"")</f>
        <v/>
      </c>
      <c r="P398" s="503" t="str">
        <f>IFERROR(__xludf.DUMMYFUNCTION("""COMPUTED_VALUE"""),"")</f>
        <v/>
      </c>
      <c r="Q398" s="501" t="str">
        <f>IFERROR(__xludf.DUMMYFUNCTION("""COMPUTED_VALUE"""),"")</f>
        <v/>
      </c>
      <c r="R398" s="501" t="str">
        <f>IFERROR(__xludf.DUMMYFUNCTION("""COMPUTED_VALUE"""),"")</f>
        <v/>
      </c>
      <c r="S398" s="503" t="str">
        <f>IFERROR(__xludf.DUMMYFUNCTION("""COMPUTED_VALUE"""),"")</f>
        <v/>
      </c>
      <c r="T398" s="503" t="str">
        <f>IFERROR(__xludf.DUMMYFUNCTION("""COMPUTED_VALUE"""),"utm_source=facebook&amp;utm_medium=socialmedia&amp;utm_campaign=&amp;utm_content=&amp;referrer=facebook")</f>
        <v>utm_source=facebook&amp;utm_medium=socialmedia&amp;utm_campaign=&amp;utm_content=&amp;referrer=facebook</v>
      </c>
    </row>
    <row r="399">
      <c r="A399" s="501" t="str">
        <f>IFERROR(__xludf.DUMMYFUNCTION("""COMPUTED_VALUE"""),"september")</f>
        <v>september</v>
      </c>
      <c r="B399" s="501">
        <f>IFERROR(__xludf.DUMMYFUNCTION("""COMPUTED_VALUE"""),39.0)</f>
        <v>39</v>
      </c>
      <c r="C399" s="501" t="str">
        <f>IFERROR(__xludf.DUMMYFUNCTION("""COMPUTED_VALUE"""),"dinsdag")</f>
        <v>dinsdag</v>
      </c>
      <c r="D399" s="502">
        <f>IFERROR(__xludf.DUMMYFUNCTION("""COMPUTED_VALUE"""),43732.0)</f>
        <v>43732</v>
      </c>
      <c r="E399" s="502">
        <f>IFERROR(__xludf.DUMMYFUNCTION("""COMPUTED_VALUE"""),43732.0)</f>
        <v>43732</v>
      </c>
      <c r="F399" s="501" t="str">
        <f>IFERROR(__xludf.DUMMYFUNCTION("""COMPUTED_VALUE"""),"")</f>
        <v/>
      </c>
      <c r="G399" s="503" t="str">
        <f>IFERROR(__xludf.DUMMYFUNCTION("""COMPUTED_VALUE"""),"")</f>
        <v/>
      </c>
      <c r="H399" s="501" t="str">
        <f>IFERROR(__xludf.DUMMYFUNCTION("""COMPUTED_VALUE"""),"")</f>
        <v/>
      </c>
      <c r="I399" s="503" t="str">
        <f>IFERROR(__xludf.DUMMYFUNCTION("""COMPUTED_VALUE"""),"")</f>
        <v/>
      </c>
      <c r="J399" s="501" t="str">
        <f>IFERROR(__xludf.DUMMYFUNCTION("""COMPUTED_VALUE"""),"")</f>
        <v/>
      </c>
      <c r="K399" s="503" t="str">
        <f>IFERROR(__xludf.DUMMYFUNCTION("""COMPUTED_VALUE"""),"")</f>
        <v/>
      </c>
      <c r="L399" s="501" t="str">
        <f>IFERROR(__xludf.DUMMYFUNCTION("""COMPUTED_VALUE"""),"")</f>
        <v/>
      </c>
      <c r="M399" s="504">
        <f>IFERROR(__xludf.DUMMYFUNCTION("""COMPUTED_VALUE"""),1.0)</f>
        <v>1</v>
      </c>
      <c r="N399" s="501" t="str">
        <f>IFERROR(__xludf.DUMMYFUNCTION("""COMPUTED_VALUE"""),"")</f>
        <v/>
      </c>
      <c r="O399" s="501" t="str">
        <f>IFERROR(__xludf.DUMMYFUNCTION("""COMPUTED_VALUE"""),"")</f>
        <v/>
      </c>
      <c r="P399" s="503" t="str">
        <f>IFERROR(__xludf.DUMMYFUNCTION("""COMPUTED_VALUE"""),"")</f>
        <v/>
      </c>
      <c r="Q399" s="501" t="str">
        <f>IFERROR(__xludf.DUMMYFUNCTION("""COMPUTED_VALUE"""),"")</f>
        <v/>
      </c>
      <c r="R399" s="501" t="str">
        <f>IFERROR(__xludf.DUMMYFUNCTION("""COMPUTED_VALUE"""),"")</f>
        <v/>
      </c>
      <c r="S399" s="503" t="str">
        <f>IFERROR(__xludf.DUMMYFUNCTION("""COMPUTED_VALUE"""),"")</f>
        <v/>
      </c>
      <c r="T399" s="503" t="str">
        <f>IFERROR(__xludf.DUMMYFUNCTION("""COMPUTED_VALUE"""),"utm_source=facebook&amp;utm_medium=socialmedia&amp;utm_campaign=&amp;utm_content=&amp;referrer=facebook")</f>
        <v>utm_source=facebook&amp;utm_medium=socialmedia&amp;utm_campaign=&amp;utm_content=&amp;referrer=facebook</v>
      </c>
    </row>
    <row r="400">
      <c r="A400" s="501" t="str">
        <f>IFERROR(__xludf.DUMMYFUNCTION("""COMPUTED_VALUE"""),"september")</f>
        <v>september</v>
      </c>
      <c r="B400" s="501">
        <f>IFERROR(__xludf.DUMMYFUNCTION("""COMPUTED_VALUE"""),39.0)</f>
        <v>39</v>
      </c>
      <c r="C400" s="501" t="str">
        <f>IFERROR(__xludf.DUMMYFUNCTION("""COMPUTED_VALUE"""),"woensdag")</f>
        <v>woensdag</v>
      </c>
      <c r="D400" s="502">
        <f>IFERROR(__xludf.DUMMYFUNCTION("""COMPUTED_VALUE"""),43733.0)</f>
        <v>43733</v>
      </c>
      <c r="E400" s="502">
        <f>IFERROR(__xludf.DUMMYFUNCTION("""COMPUTED_VALUE"""),43733.0)</f>
        <v>43733</v>
      </c>
      <c r="F400" s="501" t="str">
        <f>IFERROR(__xludf.DUMMYFUNCTION("""COMPUTED_VALUE"""),"")</f>
        <v/>
      </c>
      <c r="G400" s="503" t="str">
        <f>IFERROR(__xludf.DUMMYFUNCTION("""COMPUTED_VALUE"""),"")</f>
        <v/>
      </c>
      <c r="H400" s="501" t="str">
        <f>IFERROR(__xludf.DUMMYFUNCTION("""COMPUTED_VALUE"""),"")</f>
        <v/>
      </c>
      <c r="I400" s="503" t="str">
        <f>IFERROR(__xludf.DUMMYFUNCTION("""COMPUTED_VALUE"""),"")</f>
        <v/>
      </c>
      <c r="J400" s="501" t="str">
        <f>IFERROR(__xludf.DUMMYFUNCTION("""COMPUTED_VALUE"""),"")</f>
        <v/>
      </c>
      <c r="K400" s="503" t="str">
        <f>IFERROR(__xludf.DUMMYFUNCTION("""COMPUTED_VALUE"""),"")</f>
        <v/>
      </c>
      <c r="L400" s="501" t="str">
        <f>IFERROR(__xludf.DUMMYFUNCTION("""COMPUTED_VALUE"""),"")</f>
        <v/>
      </c>
      <c r="M400" s="504">
        <f>IFERROR(__xludf.DUMMYFUNCTION("""COMPUTED_VALUE"""),1.0)</f>
        <v>1</v>
      </c>
      <c r="N400" s="501" t="str">
        <f>IFERROR(__xludf.DUMMYFUNCTION("""COMPUTED_VALUE"""),"")</f>
        <v/>
      </c>
      <c r="O400" s="501" t="str">
        <f>IFERROR(__xludf.DUMMYFUNCTION("""COMPUTED_VALUE"""),"")</f>
        <v/>
      </c>
      <c r="P400" s="503" t="str">
        <f>IFERROR(__xludf.DUMMYFUNCTION("""COMPUTED_VALUE"""),"")</f>
        <v/>
      </c>
      <c r="Q400" s="501" t="str">
        <f>IFERROR(__xludf.DUMMYFUNCTION("""COMPUTED_VALUE"""),"")</f>
        <v/>
      </c>
      <c r="R400" s="501" t="str">
        <f>IFERROR(__xludf.DUMMYFUNCTION("""COMPUTED_VALUE"""),"")</f>
        <v/>
      </c>
      <c r="S400" s="503" t="str">
        <f>IFERROR(__xludf.DUMMYFUNCTION("""COMPUTED_VALUE"""),"")</f>
        <v/>
      </c>
      <c r="T400" s="503" t="str">
        <f>IFERROR(__xludf.DUMMYFUNCTION("""COMPUTED_VALUE"""),"utm_source=facebook&amp;utm_medium=socialmedia&amp;utm_campaign=&amp;utm_content=&amp;referrer=facebook")</f>
        <v>utm_source=facebook&amp;utm_medium=socialmedia&amp;utm_campaign=&amp;utm_content=&amp;referrer=facebook</v>
      </c>
    </row>
    <row r="401">
      <c r="A401" s="501" t="str">
        <f>IFERROR(__xludf.DUMMYFUNCTION("""COMPUTED_VALUE"""),"september")</f>
        <v>september</v>
      </c>
      <c r="B401" s="501">
        <f>IFERROR(__xludf.DUMMYFUNCTION("""COMPUTED_VALUE"""),39.0)</f>
        <v>39</v>
      </c>
      <c r="C401" s="501" t="str">
        <f>IFERROR(__xludf.DUMMYFUNCTION("""COMPUTED_VALUE"""),"donderdag")</f>
        <v>donderdag</v>
      </c>
      <c r="D401" s="502">
        <f>IFERROR(__xludf.DUMMYFUNCTION("""COMPUTED_VALUE"""),43734.0)</f>
        <v>43734</v>
      </c>
      <c r="E401" s="502">
        <f>IFERROR(__xludf.DUMMYFUNCTION("""COMPUTED_VALUE"""),43734.0)</f>
        <v>43734</v>
      </c>
      <c r="F401" s="501" t="str">
        <f>IFERROR(__xludf.DUMMYFUNCTION("""COMPUTED_VALUE"""),"")</f>
        <v/>
      </c>
      <c r="G401" s="503" t="str">
        <f>IFERROR(__xludf.DUMMYFUNCTION("""COMPUTED_VALUE"""),"")</f>
        <v/>
      </c>
      <c r="H401" s="501" t="str">
        <f>IFERROR(__xludf.DUMMYFUNCTION("""COMPUTED_VALUE"""),"")</f>
        <v/>
      </c>
      <c r="I401" s="503" t="str">
        <f>IFERROR(__xludf.DUMMYFUNCTION("""COMPUTED_VALUE"""),"")</f>
        <v/>
      </c>
      <c r="J401" s="501" t="str">
        <f>IFERROR(__xludf.DUMMYFUNCTION("""COMPUTED_VALUE"""),"")</f>
        <v/>
      </c>
      <c r="K401" s="503" t="str">
        <f>IFERROR(__xludf.DUMMYFUNCTION("""COMPUTED_VALUE"""),"")</f>
        <v/>
      </c>
      <c r="L401" s="501" t="str">
        <f>IFERROR(__xludf.DUMMYFUNCTION("""COMPUTED_VALUE"""),"")</f>
        <v/>
      </c>
      <c r="M401" s="504">
        <f>IFERROR(__xludf.DUMMYFUNCTION("""COMPUTED_VALUE"""),1.0)</f>
        <v>1</v>
      </c>
      <c r="N401" s="501" t="str">
        <f>IFERROR(__xludf.DUMMYFUNCTION("""COMPUTED_VALUE"""),"")</f>
        <v/>
      </c>
      <c r="O401" s="501" t="str">
        <f>IFERROR(__xludf.DUMMYFUNCTION("""COMPUTED_VALUE"""),"")</f>
        <v/>
      </c>
      <c r="P401" s="503" t="str">
        <f>IFERROR(__xludf.DUMMYFUNCTION("""COMPUTED_VALUE"""),"")</f>
        <v/>
      </c>
      <c r="Q401" s="501" t="str">
        <f>IFERROR(__xludf.DUMMYFUNCTION("""COMPUTED_VALUE"""),"")</f>
        <v/>
      </c>
      <c r="R401" s="501" t="str">
        <f>IFERROR(__xludf.DUMMYFUNCTION("""COMPUTED_VALUE"""),"")</f>
        <v/>
      </c>
      <c r="S401" s="503" t="str">
        <f>IFERROR(__xludf.DUMMYFUNCTION("""COMPUTED_VALUE"""),"")</f>
        <v/>
      </c>
      <c r="T401" s="503" t="str">
        <f>IFERROR(__xludf.DUMMYFUNCTION("""COMPUTED_VALUE"""),"utm_source=facebook&amp;utm_medium=socialmedia&amp;utm_campaign=&amp;utm_content=&amp;referrer=facebook")</f>
        <v>utm_source=facebook&amp;utm_medium=socialmedia&amp;utm_campaign=&amp;utm_content=&amp;referrer=facebook</v>
      </c>
    </row>
    <row r="402">
      <c r="A402" s="501" t="str">
        <f>IFERROR(__xludf.DUMMYFUNCTION("""COMPUTED_VALUE"""),"september")</f>
        <v>september</v>
      </c>
      <c r="B402" s="501">
        <f>IFERROR(__xludf.DUMMYFUNCTION("""COMPUTED_VALUE"""),39.0)</f>
        <v>39</v>
      </c>
      <c r="C402" s="501" t="str">
        <f>IFERROR(__xludf.DUMMYFUNCTION("""COMPUTED_VALUE"""),"vrijdag")</f>
        <v>vrijdag</v>
      </c>
      <c r="D402" s="502">
        <f>IFERROR(__xludf.DUMMYFUNCTION("""COMPUTED_VALUE"""),43735.0)</f>
        <v>43735</v>
      </c>
      <c r="E402" s="502">
        <f>IFERROR(__xludf.DUMMYFUNCTION("""COMPUTED_VALUE"""),43735.0)</f>
        <v>43735</v>
      </c>
      <c r="F402" s="501" t="str">
        <f>IFERROR(__xludf.DUMMYFUNCTION("""COMPUTED_VALUE"""),"")</f>
        <v/>
      </c>
      <c r="G402" s="503" t="str">
        <f>IFERROR(__xludf.DUMMYFUNCTION("""COMPUTED_VALUE"""),"")</f>
        <v/>
      </c>
      <c r="H402" s="501" t="str">
        <f>IFERROR(__xludf.DUMMYFUNCTION("""COMPUTED_VALUE"""),"")</f>
        <v/>
      </c>
      <c r="I402" s="503" t="str">
        <f>IFERROR(__xludf.DUMMYFUNCTION("""COMPUTED_VALUE"""),"")</f>
        <v/>
      </c>
      <c r="J402" s="501" t="str">
        <f>IFERROR(__xludf.DUMMYFUNCTION("""COMPUTED_VALUE"""),"")</f>
        <v/>
      </c>
      <c r="K402" s="503" t="str">
        <f>IFERROR(__xludf.DUMMYFUNCTION("""COMPUTED_VALUE"""),"")</f>
        <v/>
      </c>
      <c r="L402" s="501" t="str">
        <f>IFERROR(__xludf.DUMMYFUNCTION("""COMPUTED_VALUE"""),"")</f>
        <v/>
      </c>
      <c r="M402" s="504">
        <f>IFERROR(__xludf.DUMMYFUNCTION("""COMPUTED_VALUE"""),1.0)</f>
        <v>1</v>
      </c>
      <c r="N402" s="501" t="str">
        <f>IFERROR(__xludf.DUMMYFUNCTION("""COMPUTED_VALUE"""),"")</f>
        <v/>
      </c>
      <c r="O402" s="501" t="str">
        <f>IFERROR(__xludf.DUMMYFUNCTION("""COMPUTED_VALUE"""),"")</f>
        <v/>
      </c>
      <c r="P402" s="503" t="str">
        <f>IFERROR(__xludf.DUMMYFUNCTION("""COMPUTED_VALUE"""),"")</f>
        <v/>
      </c>
      <c r="Q402" s="501" t="str">
        <f>IFERROR(__xludf.DUMMYFUNCTION("""COMPUTED_VALUE"""),"")</f>
        <v/>
      </c>
      <c r="R402" s="501" t="str">
        <f>IFERROR(__xludf.DUMMYFUNCTION("""COMPUTED_VALUE"""),"")</f>
        <v/>
      </c>
      <c r="S402" s="503" t="str">
        <f>IFERROR(__xludf.DUMMYFUNCTION("""COMPUTED_VALUE"""),"")</f>
        <v/>
      </c>
      <c r="T402" s="503" t="str">
        <f>IFERROR(__xludf.DUMMYFUNCTION("""COMPUTED_VALUE"""),"utm_source=facebook&amp;utm_medium=socialmedia&amp;utm_campaign=&amp;utm_content=&amp;referrer=facebook")</f>
        <v>utm_source=facebook&amp;utm_medium=socialmedia&amp;utm_campaign=&amp;utm_content=&amp;referrer=facebook</v>
      </c>
    </row>
    <row r="403">
      <c r="A403" s="501" t="str">
        <f>IFERROR(__xludf.DUMMYFUNCTION("""COMPUTED_VALUE"""),"september")</f>
        <v>september</v>
      </c>
      <c r="B403" s="501">
        <f>IFERROR(__xludf.DUMMYFUNCTION("""COMPUTED_VALUE"""),39.0)</f>
        <v>39</v>
      </c>
      <c r="C403" s="501" t="str">
        <f>IFERROR(__xludf.DUMMYFUNCTION("""COMPUTED_VALUE"""),"zaterdag")</f>
        <v>zaterdag</v>
      </c>
      <c r="D403" s="502">
        <f>IFERROR(__xludf.DUMMYFUNCTION("""COMPUTED_VALUE"""),43736.0)</f>
        <v>43736</v>
      </c>
      <c r="E403" s="502">
        <f>IFERROR(__xludf.DUMMYFUNCTION("""COMPUTED_VALUE"""),43736.0)</f>
        <v>43736</v>
      </c>
      <c r="F403" s="501" t="str">
        <f>IFERROR(__xludf.DUMMYFUNCTION("""COMPUTED_VALUE"""),"")</f>
        <v/>
      </c>
      <c r="G403" s="503" t="str">
        <f>IFERROR(__xludf.DUMMYFUNCTION("""COMPUTED_VALUE"""),"")</f>
        <v/>
      </c>
      <c r="H403" s="501" t="str">
        <f>IFERROR(__xludf.DUMMYFUNCTION("""COMPUTED_VALUE"""),"")</f>
        <v/>
      </c>
      <c r="I403" s="503" t="str">
        <f>IFERROR(__xludf.DUMMYFUNCTION("""COMPUTED_VALUE"""),"")</f>
        <v/>
      </c>
      <c r="J403" s="501" t="str">
        <f>IFERROR(__xludf.DUMMYFUNCTION("""COMPUTED_VALUE"""),"")</f>
        <v/>
      </c>
      <c r="K403" s="503" t="str">
        <f>IFERROR(__xludf.DUMMYFUNCTION("""COMPUTED_VALUE"""),"")</f>
        <v/>
      </c>
      <c r="L403" s="501" t="str">
        <f>IFERROR(__xludf.DUMMYFUNCTION("""COMPUTED_VALUE"""),"")</f>
        <v/>
      </c>
      <c r="M403" s="504">
        <f>IFERROR(__xludf.DUMMYFUNCTION("""COMPUTED_VALUE"""),1.0)</f>
        <v>1</v>
      </c>
      <c r="N403" s="501" t="str">
        <f>IFERROR(__xludf.DUMMYFUNCTION("""COMPUTED_VALUE"""),"")</f>
        <v/>
      </c>
      <c r="O403" s="501" t="str">
        <f>IFERROR(__xludf.DUMMYFUNCTION("""COMPUTED_VALUE"""),"")</f>
        <v/>
      </c>
      <c r="P403" s="503" t="str">
        <f>IFERROR(__xludf.DUMMYFUNCTION("""COMPUTED_VALUE"""),"")</f>
        <v/>
      </c>
      <c r="Q403" s="501" t="str">
        <f>IFERROR(__xludf.DUMMYFUNCTION("""COMPUTED_VALUE"""),"")</f>
        <v/>
      </c>
      <c r="R403" s="501" t="str">
        <f>IFERROR(__xludf.DUMMYFUNCTION("""COMPUTED_VALUE"""),"")</f>
        <v/>
      </c>
      <c r="S403" s="503" t="str">
        <f>IFERROR(__xludf.DUMMYFUNCTION("""COMPUTED_VALUE"""),"")</f>
        <v/>
      </c>
      <c r="T403" s="503" t="str">
        <f>IFERROR(__xludf.DUMMYFUNCTION("""COMPUTED_VALUE"""),"utm_source=facebook&amp;utm_medium=socialmedia&amp;utm_campaign=&amp;utm_content=&amp;referrer=facebook")</f>
        <v>utm_source=facebook&amp;utm_medium=socialmedia&amp;utm_campaign=&amp;utm_content=&amp;referrer=facebook</v>
      </c>
    </row>
    <row r="404">
      <c r="A404" s="501" t="str">
        <f>IFERROR(__xludf.DUMMYFUNCTION("""COMPUTED_VALUE"""),"september")</f>
        <v>september</v>
      </c>
      <c r="B404" s="501">
        <f>IFERROR(__xludf.DUMMYFUNCTION("""COMPUTED_VALUE"""),40.0)</f>
        <v>40</v>
      </c>
      <c r="C404" s="501" t="str">
        <f>IFERROR(__xludf.DUMMYFUNCTION("""COMPUTED_VALUE"""),"zondag")</f>
        <v>zondag</v>
      </c>
      <c r="D404" s="502">
        <f>IFERROR(__xludf.DUMMYFUNCTION("""COMPUTED_VALUE"""),43737.0)</f>
        <v>43737</v>
      </c>
      <c r="E404" s="502">
        <f>IFERROR(__xludf.DUMMYFUNCTION("""COMPUTED_VALUE"""),43737.0)</f>
        <v>43737</v>
      </c>
      <c r="F404" s="501" t="str">
        <f>IFERROR(__xludf.DUMMYFUNCTION("""COMPUTED_VALUE"""),"")</f>
        <v/>
      </c>
      <c r="G404" s="503" t="str">
        <f>IFERROR(__xludf.DUMMYFUNCTION("""COMPUTED_VALUE"""),"")</f>
        <v/>
      </c>
      <c r="H404" s="501" t="str">
        <f>IFERROR(__xludf.DUMMYFUNCTION("""COMPUTED_VALUE"""),"")</f>
        <v/>
      </c>
      <c r="I404" s="503" t="str">
        <f>IFERROR(__xludf.DUMMYFUNCTION("""COMPUTED_VALUE"""),"")</f>
        <v/>
      </c>
      <c r="J404" s="501" t="str">
        <f>IFERROR(__xludf.DUMMYFUNCTION("""COMPUTED_VALUE"""),"")</f>
        <v/>
      </c>
      <c r="K404" s="503" t="str">
        <f>IFERROR(__xludf.DUMMYFUNCTION("""COMPUTED_VALUE"""),"")</f>
        <v/>
      </c>
      <c r="L404" s="501" t="str">
        <f>IFERROR(__xludf.DUMMYFUNCTION("""COMPUTED_VALUE"""),"")</f>
        <v/>
      </c>
      <c r="M404" s="504">
        <f>IFERROR(__xludf.DUMMYFUNCTION("""COMPUTED_VALUE"""),1.0)</f>
        <v>1</v>
      </c>
      <c r="N404" s="501" t="str">
        <f>IFERROR(__xludf.DUMMYFUNCTION("""COMPUTED_VALUE"""),"")</f>
        <v/>
      </c>
      <c r="O404" s="501" t="str">
        <f>IFERROR(__xludf.DUMMYFUNCTION("""COMPUTED_VALUE"""),"")</f>
        <v/>
      </c>
      <c r="P404" s="503" t="str">
        <f>IFERROR(__xludf.DUMMYFUNCTION("""COMPUTED_VALUE"""),"")</f>
        <v/>
      </c>
      <c r="Q404" s="501" t="str">
        <f>IFERROR(__xludf.DUMMYFUNCTION("""COMPUTED_VALUE"""),"")</f>
        <v/>
      </c>
      <c r="R404" s="501" t="str">
        <f>IFERROR(__xludf.DUMMYFUNCTION("""COMPUTED_VALUE"""),"")</f>
        <v/>
      </c>
      <c r="S404" s="503" t="str">
        <f>IFERROR(__xludf.DUMMYFUNCTION("""COMPUTED_VALUE"""),"")</f>
        <v/>
      </c>
      <c r="T404" s="503" t="str">
        <f>IFERROR(__xludf.DUMMYFUNCTION("""COMPUTED_VALUE"""),"utm_source=facebook&amp;utm_medium=socialmedia&amp;utm_campaign=&amp;utm_content=&amp;referrer=facebook")</f>
        <v>utm_source=facebook&amp;utm_medium=socialmedia&amp;utm_campaign=&amp;utm_content=&amp;referrer=facebook</v>
      </c>
    </row>
    <row r="405">
      <c r="A405" s="501" t="str">
        <f>IFERROR(__xludf.DUMMYFUNCTION("""COMPUTED_VALUE"""),"september")</f>
        <v>september</v>
      </c>
      <c r="B405" s="501">
        <f>IFERROR(__xludf.DUMMYFUNCTION("""COMPUTED_VALUE"""),40.0)</f>
        <v>40</v>
      </c>
      <c r="C405" s="501" t="str">
        <f>IFERROR(__xludf.DUMMYFUNCTION("""COMPUTED_VALUE"""),"maandag")</f>
        <v>maandag</v>
      </c>
      <c r="D405" s="502">
        <f>IFERROR(__xludf.DUMMYFUNCTION("""COMPUTED_VALUE"""),43738.0)</f>
        <v>43738</v>
      </c>
      <c r="E405" s="502">
        <f>IFERROR(__xludf.DUMMYFUNCTION("""COMPUTED_VALUE"""),43738.0)</f>
        <v>43738</v>
      </c>
      <c r="F405" s="501" t="str">
        <f>IFERROR(__xludf.DUMMYFUNCTION("""COMPUTED_VALUE"""),"")</f>
        <v/>
      </c>
      <c r="G405" s="503" t="str">
        <f>IFERROR(__xludf.DUMMYFUNCTION("""COMPUTED_VALUE"""),"")</f>
        <v/>
      </c>
      <c r="H405" s="501" t="str">
        <f>IFERROR(__xludf.DUMMYFUNCTION("""COMPUTED_VALUE"""),"")</f>
        <v/>
      </c>
      <c r="I405" s="503" t="str">
        <f>IFERROR(__xludf.DUMMYFUNCTION("""COMPUTED_VALUE"""),"")</f>
        <v/>
      </c>
      <c r="J405" s="501" t="str">
        <f>IFERROR(__xludf.DUMMYFUNCTION("""COMPUTED_VALUE"""),"")</f>
        <v/>
      </c>
      <c r="K405" s="503" t="str">
        <f>IFERROR(__xludf.DUMMYFUNCTION("""COMPUTED_VALUE"""),"")</f>
        <v/>
      </c>
      <c r="L405" s="501" t="str">
        <f>IFERROR(__xludf.DUMMYFUNCTION("""COMPUTED_VALUE"""),"")</f>
        <v/>
      </c>
      <c r="M405" s="504">
        <f>IFERROR(__xludf.DUMMYFUNCTION("""COMPUTED_VALUE"""),1.0)</f>
        <v>1</v>
      </c>
      <c r="N405" s="501" t="str">
        <f>IFERROR(__xludf.DUMMYFUNCTION("""COMPUTED_VALUE"""),"")</f>
        <v/>
      </c>
      <c r="O405" s="501" t="str">
        <f>IFERROR(__xludf.DUMMYFUNCTION("""COMPUTED_VALUE"""),"")</f>
        <v/>
      </c>
      <c r="P405" s="503" t="str">
        <f>IFERROR(__xludf.DUMMYFUNCTION("""COMPUTED_VALUE"""),"")</f>
        <v/>
      </c>
      <c r="Q405" s="501" t="str">
        <f>IFERROR(__xludf.DUMMYFUNCTION("""COMPUTED_VALUE"""),"")</f>
        <v/>
      </c>
      <c r="R405" s="501" t="str">
        <f>IFERROR(__xludf.DUMMYFUNCTION("""COMPUTED_VALUE"""),"")</f>
        <v/>
      </c>
      <c r="S405" s="503" t="str">
        <f>IFERROR(__xludf.DUMMYFUNCTION("""COMPUTED_VALUE"""),"")</f>
        <v/>
      </c>
      <c r="T405" s="503" t="str">
        <f>IFERROR(__xludf.DUMMYFUNCTION("""COMPUTED_VALUE"""),"utm_source=facebook&amp;utm_medium=socialmedia&amp;utm_campaign=&amp;utm_content=&amp;referrer=facebook")</f>
        <v>utm_source=facebook&amp;utm_medium=socialmedia&amp;utm_campaign=&amp;utm_content=&amp;referrer=facebook</v>
      </c>
    </row>
    <row r="406">
      <c r="A406" s="501" t="str">
        <f>IFERROR(__xludf.DUMMYFUNCTION("""COMPUTED_VALUE"""),"oktober")</f>
        <v>oktober</v>
      </c>
      <c r="B406" s="501">
        <f>IFERROR(__xludf.DUMMYFUNCTION("""COMPUTED_VALUE"""),40.0)</f>
        <v>40</v>
      </c>
      <c r="C406" s="501" t="str">
        <f>IFERROR(__xludf.DUMMYFUNCTION("""COMPUTED_VALUE"""),"dinsdag")</f>
        <v>dinsdag</v>
      </c>
      <c r="D406" s="502">
        <f>IFERROR(__xludf.DUMMYFUNCTION("""COMPUTED_VALUE"""),43739.0)</f>
        <v>43739</v>
      </c>
      <c r="E406" s="502">
        <f>IFERROR(__xludf.DUMMYFUNCTION("""COMPUTED_VALUE"""),43769.0)</f>
        <v>43769</v>
      </c>
      <c r="F406" s="501" t="str">
        <f>IFERROR(__xludf.DUMMYFUNCTION("""COMPUTED_VALUE"""),"")</f>
        <v/>
      </c>
      <c r="G406" s="503" t="str">
        <f>IFERROR(__xludf.DUMMYFUNCTION("""COMPUTED_VALUE"""),"")</f>
        <v/>
      </c>
      <c r="H406" s="501" t="str">
        <f>IFERROR(__xludf.DUMMYFUNCTION("""COMPUTED_VALUE"""),"AOC verhuizen do")</f>
        <v>AOC verhuizen do</v>
      </c>
      <c r="I406" s="503" t="str">
        <f>IFERROR(__xludf.DUMMYFUNCTION("""COMPUTED_VALUE"""),"")</f>
        <v/>
      </c>
      <c r="J406" s="501" t="str">
        <f>IFERROR(__xludf.DUMMYFUNCTION("""COMPUTED_VALUE"""),"Briefen")</f>
        <v>Briefen</v>
      </c>
      <c r="K406" s="505" t="str">
        <f>IFERROR(__xludf.DUMMYFUNCTION("""COMPUTED_VALUE""")," URl bevat nieuwe woning 14 dagen ")</f>
        <v>URl bevat nieuwe woning 14 dagen</v>
      </c>
      <c r="L406" s="506">
        <f>IFERROR(__xludf.DUMMYFUNCTION("""COMPUTED_VALUE"""),300.0)</f>
        <v>300</v>
      </c>
      <c r="M406" s="504">
        <f>IFERROR(__xludf.DUMMYFUNCTION("""COMPUTED_VALUE"""),31.0)</f>
        <v>31</v>
      </c>
      <c r="N406" s="501" t="str">
        <f>IFERROR(__xludf.DUMMYFUNCTION("""COMPUTED_VALUE"""),"Product")</f>
        <v>Product</v>
      </c>
      <c r="O406" s="501" t="str">
        <f>IFERROR(__xludf.DUMMYFUNCTION("""COMPUTED_VALUE"""),"Facebook")</f>
        <v>Facebook</v>
      </c>
      <c r="P406" s="503" t="str">
        <f>IFERROR(__xludf.DUMMYFUNCTION("""COMPUTED_VALUE"""),"Facebook - Do - AOC")</f>
        <v>Facebook - Do - AOC</v>
      </c>
      <c r="Q406" s="501" t="str">
        <f>IFERROR(__xludf.DUMMYFUNCTION("""COMPUTED_VALUE"""),"Conversie - Waarde")</f>
        <v>Conversie - Waarde</v>
      </c>
      <c r="R406" s="501" t="str">
        <f>IFERROR(__xludf.DUMMYFUNCTION("""COMPUTED_VALUE"""),"Dark")</f>
        <v>Dark</v>
      </c>
      <c r="S406" s="503" t="str">
        <f>IFERROR(__xludf.DUMMYFUNCTION("""COMPUTED_VALUE"""),"")</f>
        <v/>
      </c>
      <c r="T406"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407">
      <c r="A407" s="501" t="str">
        <f>IFERROR(__xludf.DUMMYFUNCTION("""COMPUTED_VALUE"""),"oktober")</f>
        <v>oktober</v>
      </c>
      <c r="B407" s="501">
        <f>IFERROR(__xludf.DUMMYFUNCTION("""COMPUTED_VALUE"""),40.0)</f>
        <v>40</v>
      </c>
      <c r="C407" s="501" t="str">
        <f>IFERROR(__xludf.DUMMYFUNCTION("""COMPUTED_VALUE"""),"dinsdag")</f>
        <v>dinsdag</v>
      </c>
      <c r="D407" s="502">
        <f>IFERROR(__xludf.DUMMYFUNCTION("""COMPUTED_VALUE"""),43739.0)</f>
        <v>43739</v>
      </c>
      <c r="E407" s="502">
        <f>IFERROR(__xludf.DUMMYFUNCTION("""COMPUTED_VALUE"""),43769.0)</f>
        <v>43769</v>
      </c>
      <c r="F407" s="501" t="str">
        <f>IFERROR(__xludf.DUMMYFUNCTION("""COMPUTED_VALUE"""),"")</f>
        <v/>
      </c>
      <c r="G407" s="503" t="str">
        <f>IFERROR(__xludf.DUMMYFUNCTION("""COMPUTED_VALUE"""),"")</f>
        <v/>
      </c>
      <c r="H407" s="501" t="str">
        <f>IFERROR(__xludf.DUMMYFUNCTION("""COMPUTED_VALUE"""),"AOC verjaardag do")</f>
        <v>AOC verjaardag do</v>
      </c>
      <c r="I407" s="503" t="str">
        <f>IFERROR(__xludf.DUMMYFUNCTION("""COMPUTED_VALUE"""),"")</f>
        <v/>
      </c>
      <c r="J407" s="501" t="str">
        <f>IFERROR(__xludf.DUMMYFUNCTION("""COMPUTED_VALUE"""),"Briefen")</f>
        <v>Briefen</v>
      </c>
      <c r="K407" s="505" t="str">
        <f>IFERROR(__xludf.DUMMYFUNCTION("""COMPUTED_VALUE""")," Goeie vrienden van jarige 7-30 dagen ")</f>
        <v>Goeie vrienden van jarige 7-30 dagen</v>
      </c>
      <c r="L407" s="506">
        <f>IFERROR(__xludf.DUMMYFUNCTION("""COMPUTED_VALUE"""),300.0)</f>
        <v>300</v>
      </c>
      <c r="M407" s="504">
        <f>IFERROR(__xludf.DUMMYFUNCTION("""COMPUTED_VALUE"""),31.0)</f>
        <v>31</v>
      </c>
      <c r="N407" s="501" t="str">
        <f>IFERROR(__xludf.DUMMYFUNCTION("""COMPUTED_VALUE"""),"Product")</f>
        <v>Product</v>
      </c>
      <c r="O407" s="501" t="str">
        <f>IFERROR(__xludf.DUMMYFUNCTION("""COMPUTED_VALUE"""),"Facebook")</f>
        <v>Facebook</v>
      </c>
      <c r="P407" s="503" t="str">
        <f>IFERROR(__xludf.DUMMYFUNCTION("""COMPUTED_VALUE"""),"Facebook - Do - AOC")</f>
        <v>Facebook - Do - AOC</v>
      </c>
      <c r="Q407" s="501" t="str">
        <f>IFERROR(__xludf.DUMMYFUNCTION("""COMPUTED_VALUE"""),"Conversie - Waarde")</f>
        <v>Conversie - Waarde</v>
      </c>
      <c r="R407" s="501" t="str">
        <f>IFERROR(__xludf.DUMMYFUNCTION("""COMPUTED_VALUE"""),"Dark")</f>
        <v>Dark</v>
      </c>
      <c r="S407" s="503" t="str">
        <f>IFERROR(__xludf.DUMMYFUNCTION("""COMPUTED_VALUE"""),"")</f>
        <v/>
      </c>
      <c r="T407"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08">
      <c r="A408" s="501" t="str">
        <f>IFERROR(__xludf.DUMMYFUNCTION("""COMPUTED_VALUE"""),"oktober")</f>
        <v>oktober</v>
      </c>
      <c r="B408" s="501">
        <f>IFERROR(__xludf.DUMMYFUNCTION("""COMPUTED_VALUE"""),40.0)</f>
        <v>40</v>
      </c>
      <c r="C408" s="501" t="str">
        <f>IFERROR(__xludf.DUMMYFUNCTION("""COMPUTED_VALUE"""),"dinsdag")</f>
        <v>dinsdag</v>
      </c>
      <c r="D408" s="502">
        <f>IFERROR(__xludf.DUMMYFUNCTION("""COMPUTED_VALUE"""),43739.0)</f>
        <v>43739</v>
      </c>
      <c r="E408" s="502">
        <f>IFERROR(__xludf.DUMMYFUNCTION("""COMPUTED_VALUE"""),43769.0)</f>
        <v>43769</v>
      </c>
      <c r="F408" s="501" t="str">
        <f>IFERROR(__xludf.DUMMYFUNCTION("""COMPUTED_VALUE"""),"")</f>
        <v/>
      </c>
      <c r="G408" s="503" t="str">
        <f>IFERROR(__xludf.DUMMYFUNCTION("""COMPUTED_VALUE"""),"")</f>
        <v/>
      </c>
      <c r="H408" s="501" t="str">
        <f>IFERROR(__xludf.DUMMYFUNCTION("""COMPUTED_VALUE"""),"AOC verjaardag do")</f>
        <v>AOC verjaardag do</v>
      </c>
      <c r="I408" s="503" t="str">
        <f>IFERROR(__xludf.DUMMYFUNCTION("""COMPUTED_VALUE"""),"")</f>
        <v/>
      </c>
      <c r="J408" s="501" t="str">
        <f>IFERROR(__xludf.DUMMYFUNCTION("""COMPUTED_VALUE"""),"Briefen")</f>
        <v>Briefen</v>
      </c>
      <c r="K408" s="505" t="str">
        <f>IFERROR(__xludf.DUMMYFUNCTION("""COMPUTED_VALUE""")," URL bevat verjaardag 2-7 dagen ")</f>
        <v>URL bevat verjaardag 2-7 dagen</v>
      </c>
      <c r="L408" s="506">
        <f>IFERROR(__xludf.DUMMYFUNCTION("""COMPUTED_VALUE"""),1200.0)</f>
        <v>1200</v>
      </c>
      <c r="M408" s="504">
        <f>IFERROR(__xludf.DUMMYFUNCTION("""COMPUTED_VALUE"""),31.0)</f>
        <v>31</v>
      </c>
      <c r="N408" s="501" t="str">
        <f>IFERROR(__xludf.DUMMYFUNCTION("""COMPUTED_VALUE"""),"Product")</f>
        <v>Product</v>
      </c>
      <c r="O408" s="501" t="str">
        <f>IFERROR(__xludf.DUMMYFUNCTION("""COMPUTED_VALUE"""),"Facebook")</f>
        <v>Facebook</v>
      </c>
      <c r="P408" s="503" t="str">
        <f>IFERROR(__xludf.DUMMYFUNCTION("""COMPUTED_VALUE"""),"Facebook - Do - AOC")</f>
        <v>Facebook - Do - AOC</v>
      </c>
      <c r="Q408" s="501" t="str">
        <f>IFERROR(__xludf.DUMMYFUNCTION("""COMPUTED_VALUE"""),"Conversie - Waarde")</f>
        <v>Conversie - Waarde</v>
      </c>
      <c r="R408" s="501" t="str">
        <f>IFERROR(__xludf.DUMMYFUNCTION("""COMPUTED_VALUE"""),"Dark")</f>
        <v>Dark</v>
      </c>
      <c r="S408" s="503" t="str">
        <f>IFERROR(__xludf.DUMMYFUNCTION("""COMPUTED_VALUE"""),"")</f>
        <v/>
      </c>
      <c r="T408"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09">
      <c r="A409" s="501" t="str">
        <f>IFERROR(__xludf.DUMMYFUNCTION("""COMPUTED_VALUE"""),"oktober")</f>
        <v>oktober</v>
      </c>
      <c r="B409" s="501">
        <f>IFERROR(__xludf.DUMMYFUNCTION("""COMPUTED_VALUE"""),40.0)</f>
        <v>40</v>
      </c>
      <c r="C409" s="501" t="str">
        <f>IFERROR(__xludf.DUMMYFUNCTION("""COMPUTED_VALUE"""),"dinsdag")</f>
        <v>dinsdag</v>
      </c>
      <c r="D409" s="502">
        <f>IFERROR(__xludf.DUMMYFUNCTION("""COMPUTED_VALUE"""),43739.0)</f>
        <v>43739</v>
      </c>
      <c r="E409" s="502">
        <f>IFERROR(__xludf.DUMMYFUNCTION("""COMPUTED_VALUE"""),43769.0)</f>
        <v>43769</v>
      </c>
      <c r="F409" s="501" t="str">
        <f>IFERROR(__xludf.DUMMYFUNCTION("""COMPUTED_VALUE"""),"")</f>
        <v/>
      </c>
      <c r="G409" s="503" t="str">
        <f>IFERROR(__xludf.DUMMYFUNCTION("""COMPUTED_VALUE"""),"")</f>
        <v/>
      </c>
      <c r="H409" s="501" t="str">
        <f>IFERROR(__xludf.DUMMYFUNCTION("""COMPUTED_VALUE"""),"AOC geboorte do")</f>
        <v>AOC geboorte do</v>
      </c>
      <c r="I409" s="503" t="str">
        <f>IFERROR(__xludf.DUMMYFUNCTION("""COMPUTED_VALUE"""),"")</f>
        <v/>
      </c>
      <c r="J409" s="501" t="str">
        <f>IFERROR(__xludf.DUMMYFUNCTION("""COMPUTED_VALUE"""),"Briefen")</f>
        <v>Briefen</v>
      </c>
      <c r="K409" s="505" t="str">
        <f>IFERROR(__xludf.DUMMYFUNCTION("""COMPUTED_VALUE""")," URL bevat geboorte 2-7 dagen ")</f>
        <v>URL bevat geboorte 2-7 dagen</v>
      </c>
      <c r="L409" s="506">
        <f>IFERROR(__xludf.DUMMYFUNCTION("""COMPUTED_VALUE"""),1200.0)</f>
        <v>1200</v>
      </c>
      <c r="M409" s="504">
        <f>IFERROR(__xludf.DUMMYFUNCTION("""COMPUTED_VALUE"""),31.0)</f>
        <v>31</v>
      </c>
      <c r="N409" s="501" t="str">
        <f>IFERROR(__xludf.DUMMYFUNCTION("""COMPUTED_VALUE"""),"Product")</f>
        <v>Product</v>
      </c>
      <c r="O409" s="501" t="str">
        <f>IFERROR(__xludf.DUMMYFUNCTION("""COMPUTED_VALUE"""),"Facebook")</f>
        <v>Facebook</v>
      </c>
      <c r="P409" s="503" t="str">
        <f>IFERROR(__xludf.DUMMYFUNCTION("""COMPUTED_VALUE"""),"Facebook - Do - AOC")</f>
        <v>Facebook - Do - AOC</v>
      </c>
      <c r="Q409" s="501" t="str">
        <f>IFERROR(__xludf.DUMMYFUNCTION("""COMPUTED_VALUE"""),"Conversie - Waarde")</f>
        <v>Conversie - Waarde</v>
      </c>
      <c r="R409" s="501" t="str">
        <f>IFERROR(__xludf.DUMMYFUNCTION("""COMPUTED_VALUE"""),"Dark")</f>
        <v>Dark</v>
      </c>
      <c r="S409" s="503" t="str">
        <f>IFERROR(__xludf.DUMMYFUNCTION("""COMPUTED_VALUE"""),"")</f>
        <v/>
      </c>
      <c r="T409"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410">
      <c r="A410" s="501" t="str">
        <f>IFERROR(__xludf.DUMMYFUNCTION("""COMPUTED_VALUE"""),"oktober")</f>
        <v>oktober</v>
      </c>
      <c r="B410" s="501">
        <f>IFERROR(__xludf.DUMMYFUNCTION("""COMPUTED_VALUE"""),40.0)</f>
        <v>40</v>
      </c>
      <c r="C410" s="501" t="str">
        <f>IFERROR(__xludf.DUMMYFUNCTION("""COMPUTED_VALUE"""),"dinsdag")</f>
        <v>dinsdag</v>
      </c>
      <c r="D410" s="502">
        <f>IFERROR(__xludf.DUMMYFUNCTION("""COMPUTED_VALUE"""),43739.0)</f>
        <v>43739</v>
      </c>
      <c r="E410" s="502">
        <f>IFERROR(__xludf.DUMMYFUNCTION("""COMPUTED_VALUE"""),43769.0)</f>
        <v>43769</v>
      </c>
      <c r="F410" s="501" t="str">
        <f>IFERROR(__xludf.DUMMYFUNCTION("""COMPUTED_VALUE"""),"")</f>
        <v/>
      </c>
      <c r="G410" s="503" t="str">
        <f>IFERROR(__xludf.DUMMYFUNCTION("""COMPUTED_VALUE"""),"")</f>
        <v/>
      </c>
      <c r="H410" s="501" t="str">
        <f>IFERROR(__xludf.DUMMYFUNCTION("""COMPUTED_VALUE"""),"AOC verhuizen think")</f>
        <v>AOC verhuizen think</v>
      </c>
      <c r="I410" s="503" t="str">
        <f>IFERROR(__xludf.DUMMYFUNCTION("""COMPUTED_VALUE"""),"")</f>
        <v/>
      </c>
      <c r="J410" s="501" t="str">
        <f>IFERROR(__xludf.DUMMYFUNCTION("""COMPUTED_VALUE"""),"Briefen")</f>
        <v>Briefen</v>
      </c>
      <c r="K410" s="505" t="str">
        <f>IFERROR(__xludf.DUMMYFUNCTION("""COMPUTED_VALUE""")," Vrienden van recent verhuisd ")</f>
        <v>Vrienden van recent verhuisd</v>
      </c>
      <c r="L410" s="506">
        <f>IFERROR(__xludf.DUMMYFUNCTION("""COMPUTED_VALUE"""),300.0)</f>
        <v>300</v>
      </c>
      <c r="M410" s="504">
        <f>IFERROR(__xludf.DUMMYFUNCTION("""COMPUTED_VALUE"""),31.0)</f>
        <v>31</v>
      </c>
      <c r="N410" s="501" t="str">
        <f>IFERROR(__xludf.DUMMYFUNCTION("""COMPUTED_VALUE"""),"Geven/ontvangen")</f>
        <v>Geven/ontvangen</v>
      </c>
      <c r="O410" s="501" t="str">
        <f>IFERROR(__xludf.DUMMYFUNCTION("""COMPUTED_VALUE"""),"Facebook")</f>
        <v>Facebook</v>
      </c>
      <c r="P410" s="503" t="str">
        <f>IFERROR(__xludf.DUMMYFUNCTION("""COMPUTED_VALUE"""),"Facebook - Think - AOC")</f>
        <v>Facebook - Think - AOC</v>
      </c>
      <c r="Q410" s="501" t="str">
        <f>IFERROR(__xludf.DUMMYFUNCTION("""COMPUTED_VALUE"""),"Conversie - Landingspagina")</f>
        <v>Conversie - Landingspagina</v>
      </c>
      <c r="R410" s="501" t="str">
        <f>IFERROR(__xludf.DUMMYFUNCTION("""COMPUTED_VALUE"""),"Dark")</f>
        <v>Dark</v>
      </c>
      <c r="S410" s="503" t="str">
        <f>IFERROR(__xludf.DUMMYFUNCTION("""COMPUTED_VALUE"""),"")</f>
        <v/>
      </c>
      <c r="T410"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411">
      <c r="A411" s="501" t="str">
        <f>IFERROR(__xludf.DUMMYFUNCTION("""COMPUTED_VALUE"""),"oktober")</f>
        <v>oktober</v>
      </c>
      <c r="B411" s="501">
        <f>IFERROR(__xludf.DUMMYFUNCTION("""COMPUTED_VALUE"""),40.0)</f>
        <v>40</v>
      </c>
      <c r="C411" s="501" t="str">
        <f>IFERROR(__xludf.DUMMYFUNCTION("""COMPUTED_VALUE"""),"dinsdag")</f>
        <v>dinsdag</v>
      </c>
      <c r="D411" s="502">
        <f>IFERROR(__xludf.DUMMYFUNCTION("""COMPUTED_VALUE"""),43739.0)</f>
        <v>43739</v>
      </c>
      <c r="E411" s="502">
        <f>IFERROR(__xludf.DUMMYFUNCTION("""COMPUTED_VALUE"""),43769.0)</f>
        <v>43769</v>
      </c>
      <c r="F411" s="501" t="str">
        <f>IFERROR(__xludf.DUMMYFUNCTION("""COMPUTED_VALUE"""),"")</f>
        <v/>
      </c>
      <c r="G411" s="503" t="str">
        <f>IFERROR(__xludf.DUMMYFUNCTION("""COMPUTED_VALUE"""),"")</f>
        <v/>
      </c>
      <c r="H411" s="501" t="str">
        <f>IFERROR(__xludf.DUMMYFUNCTION("""COMPUTED_VALUE"""),"AOC verhuizen see")</f>
        <v>AOC verhuizen see</v>
      </c>
      <c r="I411" s="503" t="str">
        <f>IFERROR(__xludf.DUMMYFUNCTION("""COMPUTED_VALUE"""),"")</f>
        <v/>
      </c>
      <c r="J411" s="501" t="str">
        <f>IFERROR(__xludf.DUMMYFUNCTION("""COMPUTED_VALUE"""),"Briefen")</f>
        <v>Briefen</v>
      </c>
      <c r="K411" s="505" t="str">
        <f>IFERROR(__xludf.DUMMYFUNCTION("""COMPUTED_VALUE""")," Vrouw 25-64 (excl klanten, vrienden van verhuisde personen en fans) ")</f>
        <v>Vrouw 25-64 (excl klanten, vrienden van verhuisde personen en fans)</v>
      </c>
      <c r="L411" s="506">
        <f>IFERROR(__xludf.DUMMYFUNCTION("""COMPUTED_VALUE"""),600.0)</f>
        <v>600</v>
      </c>
      <c r="M411" s="504">
        <f>IFERROR(__xludf.DUMMYFUNCTION("""COMPUTED_VALUE"""),31.0)</f>
        <v>31</v>
      </c>
      <c r="N411" s="501" t="str">
        <f>IFERROR(__xludf.DUMMYFUNCTION("""COMPUTED_VALUE"""),"Merk")</f>
        <v>Merk</v>
      </c>
      <c r="O411" s="501" t="str">
        <f>IFERROR(__xludf.DUMMYFUNCTION("""COMPUTED_VALUE"""),"FB + Instagram")</f>
        <v>FB + Instagram</v>
      </c>
      <c r="P411" s="503" t="str">
        <f>IFERROR(__xludf.DUMMYFUNCTION("""COMPUTED_VALUE"""),"Facebook - See - AOC")</f>
        <v>Facebook - See - AOC</v>
      </c>
      <c r="Q411" s="501" t="str">
        <f>IFERROR(__xludf.DUMMYFUNCTION("""COMPUTED_VALUE"""),"Bereik")</f>
        <v>Bereik</v>
      </c>
      <c r="R411" s="501" t="str">
        <f>IFERROR(__xludf.DUMMYFUNCTION("""COMPUTED_VALUE"""),"Dark")</f>
        <v>Dark</v>
      </c>
      <c r="S411" s="503" t="str">
        <f>IFERROR(__xludf.DUMMYFUNCTION("""COMPUTED_VALUE"""),"")</f>
        <v/>
      </c>
      <c r="T411"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412">
      <c r="A412" s="501" t="str">
        <f>IFERROR(__xludf.DUMMYFUNCTION("""COMPUTED_VALUE"""),"oktober")</f>
        <v>oktober</v>
      </c>
      <c r="B412" s="501">
        <f>IFERROR(__xludf.DUMMYFUNCTION("""COMPUTED_VALUE"""),40.0)</f>
        <v>40</v>
      </c>
      <c r="C412" s="501" t="str">
        <f>IFERROR(__xludf.DUMMYFUNCTION("""COMPUTED_VALUE"""),"dinsdag")</f>
        <v>dinsdag</v>
      </c>
      <c r="D412" s="502">
        <f>IFERROR(__xludf.DUMMYFUNCTION("""COMPUTED_VALUE"""),43739.0)</f>
        <v>43739</v>
      </c>
      <c r="E412" s="502">
        <f>IFERROR(__xludf.DUMMYFUNCTION("""COMPUTED_VALUE"""),43769.0)</f>
        <v>43769</v>
      </c>
      <c r="F412" s="501" t="str">
        <f>IFERROR(__xludf.DUMMYFUNCTION("""COMPUTED_VALUE"""),"")</f>
        <v/>
      </c>
      <c r="G412" s="503" t="str">
        <f>IFERROR(__xludf.DUMMYFUNCTION("""COMPUTED_VALUE"""),"")</f>
        <v/>
      </c>
      <c r="H412" s="501" t="str">
        <f>IFERROR(__xludf.DUMMYFUNCTION("""COMPUTED_VALUE"""),"AOC verjaardag see")</f>
        <v>AOC verjaardag see</v>
      </c>
      <c r="I412" s="503" t="str">
        <f>IFERROR(__xludf.DUMMYFUNCTION("""COMPUTED_VALUE"""),"")</f>
        <v/>
      </c>
      <c r="J412" s="501" t="str">
        <f>IFERROR(__xludf.DUMMYFUNCTION("""COMPUTED_VALUE"""),"Briefen")</f>
        <v>Briefen</v>
      </c>
      <c r="K412" s="505" t="str">
        <f>IFERROR(__xludf.DUMMYFUNCTION("""COMPUTED_VALUE""")," See - Geboorte ")</f>
        <v>See - Geboorte</v>
      </c>
      <c r="L412" s="506">
        <f>IFERROR(__xludf.DUMMYFUNCTION("""COMPUTED_VALUE"""),1200.0)</f>
        <v>1200</v>
      </c>
      <c r="M412" s="504">
        <f>IFERROR(__xludf.DUMMYFUNCTION("""COMPUTED_VALUE"""),31.0)</f>
        <v>31</v>
      </c>
      <c r="N412" s="501" t="str">
        <f>IFERROR(__xludf.DUMMYFUNCTION("""COMPUTED_VALUE"""),"Merk")</f>
        <v>Merk</v>
      </c>
      <c r="O412" s="501" t="str">
        <f>IFERROR(__xludf.DUMMYFUNCTION("""COMPUTED_VALUE"""),"FB + Instagram")</f>
        <v>FB + Instagram</v>
      </c>
      <c r="P412" s="503" t="str">
        <f>IFERROR(__xludf.DUMMYFUNCTION("""COMPUTED_VALUE"""),"Facebook - See - AOC")</f>
        <v>Facebook - See - AOC</v>
      </c>
      <c r="Q412" s="501" t="str">
        <f>IFERROR(__xludf.DUMMYFUNCTION("""COMPUTED_VALUE"""),"Bereik")</f>
        <v>Bereik</v>
      </c>
      <c r="R412" s="501" t="str">
        <f>IFERROR(__xludf.DUMMYFUNCTION("""COMPUTED_VALUE"""),"Dark")</f>
        <v>Dark</v>
      </c>
      <c r="S412" s="503" t="str">
        <f>IFERROR(__xludf.DUMMYFUNCTION("""COMPUTED_VALUE"""),"")</f>
        <v/>
      </c>
      <c r="T412"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413">
      <c r="A413" s="501" t="str">
        <f>IFERROR(__xludf.DUMMYFUNCTION("""COMPUTED_VALUE"""),"oktober")</f>
        <v>oktober</v>
      </c>
      <c r="B413" s="501">
        <f>IFERROR(__xludf.DUMMYFUNCTION("""COMPUTED_VALUE"""),40.0)</f>
        <v>40</v>
      </c>
      <c r="C413" s="501" t="str">
        <f>IFERROR(__xludf.DUMMYFUNCTION("""COMPUTED_VALUE"""),"dinsdag")</f>
        <v>dinsdag</v>
      </c>
      <c r="D413" s="502">
        <f>IFERROR(__xludf.DUMMYFUNCTION("""COMPUTED_VALUE"""),43739.0)</f>
        <v>43739</v>
      </c>
      <c r="E413" s="502">
        <f>IFERROR(__xludf.DUMMYFUNCTION("""COMPUTED_VALUE"""),43769.0)</f>
        <v>43769</v>
      </c>
      <c r="F413" s="501" t="str">
        <f>IFERROR(__xludf.DUMMYFUNCTION("""COMPUTED_VALUE"""),"")</f>
        <v/>
      </c>
      <c r="G413" s="503" t="str">
        <f>IFERROR(__xludf.DUMMYFUNCTION("""COMPUTED_VALUE"""),"")</f>
        <v/>
      </c>
      <c r="H413" s="501" t="str">
        <f>IFERROR(__xludf.DUMMYFUNCTION("""COMPUTED_VALUE"""),"AOC geboorte see")</f>
        <v>AOC geboorte see</v>
      </c>
      <c r="I413" s="503" t="str">
        <f>IFERROR(__xludf.DUMMYFUNCTION("""COMPUTED_VALUE"""),"")</f>
        <v/>
      </c>
      <c r="J413" s="501" t="str">
        <f>IFERROR(__xludf.DUMMYFUNCTION("""COMPUTED_VALUE"""),"Briefen")</f>
        <v>Briefen</v>
      </c>
      <c r="K413" s="505" t="str">
        <f>IFERROR(__xludf.DUMMYFUNCTION("""COMPUTED_VALUE""")," See - Verjaardag ")</f>
        <v>See - Verjaardag</v>
      </c>
      <c r="L413" s="506">
        <f>IFERROR(__xludf.DUMMYFUNCTION("""COMPUTED_VALUE"""),2400.0)</f>
        <v>2400</v>
      </c>
      <c r="M413" s="504">
        <f>IFERROR(__xludf.DUMMYFUNCTION("""COMPUTED_VALUE"""),31.0)</f>
        <v>31</v>
      </c>
      <c r="N413" s="501" t="str">
        <f>IFERROR(__xludf.DUMMYFUNCTION("""COMPUTED_VALUE"""),"Merk")</f>
        <v>Merk</v>
      </c>
      <c r="O413" s="501" t="str">
        <f>IFERROR(__xludf.DUMMYFUNCTION("""COMPUTED_VALUE"""),"FB + Instagram")</f>
        <v>FB + Instagram</v>
      </c>
      <c r="P413" s="503" t="str">
        <f>IFERROR(__xludf.DUMMYFUNCTION("""COMPUTED_VALUE"""),"Facebook - See - AOC")</f>
        <v>Facebook - See - AOC</v>
      </c>
      <c r="Q413" s="501" t="str">
        <f>IFERROR(__xludf.DUMMYFUNCTION("""COMPUTED_VALUE"""),"Bereik")</f>
        <v>Bereik</v>
      </c>
      <c r="R413" s="501" t="str">
        <f>IFERROR(__xludf.DUMMYFUNCTION("""COMPUTED_VALUE"""),"Dark")</f>
        <v>Dark</v>
      </c>
      <c r="S413" s="503" t="str">
        <f>IFERROR(__xludf.DUMMYFUNCTION("""COMPUTED_VALUE"""),"")</f>
        <v/>
      </c>
      <c r="T413"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414">
      <c r="A414" s="501" t="str">
        <f>IFERROR(__xludf.DUMMYFUNCTION("""COMPUTED_VALUE"""),"oktober")</f>
        <v>oktober</v>
      </c>
      <c r="B414" s="501">
        <f>IFERROR(__xludf.DUMMYFUNCTION("""COMPUTED_VALUE"""),40.0)</f>
        <v>40</v>
      </c>
      <c r="C414" s="501" t="str">
        <f>IFERROR(__xludf.DUMMYFUNCTION("""COMPUTED_VALUE"""),"dinsdag")</f>
        <v>dinsdag</v>
      </c>
      <c r="D414" s="502">
        <f>IFERROR(__xludf.DUMMYFUNCTION("""COMPUTED_VALUE"""),43739.0)</f>
        <v>43739</v>
      </c>
      <c r="E414" s="502">
        <f>IFERROR(__xludf.DUMMYFUNCTION("""COMPUTED_VALUE"""),43739.0)</f>
        <v>43739</v>
      </c>
      <c r="F414" s="501" t="str">
        <f>IFERROR(__xludf.DUMMYFUNCTION("""COMPUTED_VALUE"""),"")</f>
        <v/>
      </c>
      <c r="G414" s="503" t="str">
        <f>IFERROR(__xludf.DUMMYFUNCTION("""COMPUTED_VALUE"""),"")</f>
        <v/>
      </c>
      <c r="H414" s="501" t="str">
        <f>IFERROR(__xludf.DUMMYFUNCTION("""COMPUTED_VALUE"""),"")</f>
        <v/>
      </c>
      <c r="I414" s="503" t="str">
        <f>IFERROR(__xludf.DUMMYFUNCTION("""COMPUTED_VALUE"""),"")</f>
        <v/>
      </c>
      <c r="J414" s="501" t="str">
        <f>IFERROR(__xludf.DUMMYFUNCTION("""COMPUTED_VALUE"""),"")</f>
        <v/>
      </c>
      <c r="K414" s="503" t="str">
        <f>IFERROR(__xludf.DUMMYFUNCTION("""COMPUTED_VALUE"""),"")</f>
        <v/>
      </c>
      <c r="L414" s="501" t="str">
        <f>IFERROR(__xludf.DUMMYFUNCTION("""COMPUTED_VALUE"""),"")</f>
        <v/>
      </c>
      <c r="M414" s="504">
        <f>IFERROR(__xludf.DUMMYFUNCTION("""COMPUTED_VALUE"""),1.0)</f>
        <v>1</v>
      </c>
      <c r="N414" s="501" t="str">
        <f>IFERROR(__xludf.DUMMYFUNCTION("""COMPUTED_VALUE"""),"")</f>
        <v/>
      </c>
      <c r="O414" s="501" t="str">
        <f>IFERROR(__xludf.DUMMYFUNCTION("""COMPUTED_VALUE"""),"")</f>
        <v/>
      </c>
      <c r="P414" s="503" t="str">
        <f>IFERROR(__xludf.DUMMYFUNCTION("""COMPUTED_VALUE"""),"")</f>
        <v/>
      </c>
      <c r="Q414" s="501" t="str">
        <f>IFERROR(__xludf.DUMMYFUNCTION("""COMPUTED_VALUE"""),"")</f>
        <v/>
      </c>
      <c r="R414" s="501" t="str">
        <f>IFERROR(__xludf.DUMMYFUNCTION("""COMPUTED_VALUE"""),"")</f>
        <v/>
      </c>
      <c r="S414" s="503" t="str">
        <f>IFERROR(__xludf.DUMMYFUNCTION("""COMPUTED_VALUE"""),"")</f>
        <v/>
      </c>
      <c r="T414" s="503" t="str">
        <f>IFERROR(__xludf.DUMMYFUNCTION("""COMPUTED_VALUE"""),"utm_source=facebook&amp;utm_medium=socialmedia&amp;utm_campaign=&amp;utm_content=&amp;referrer=facebook")</f>
        <v>utm_source=facebook&amp;utm_medium=socialmedia&amp;utm_campaign=&amp;utm_content=&amp;referrer=facebook</v>
      </c>
    </row>
    <row r="415">
      <c r="A415" s="501" t="str">
        <f>IFERROR(__xludf.DUMMYFUNCTION("""COMPUTED_VALUE"""),"oktober")</f>
        <v>oktober</v>
      </c>
      <c r="B415" s="501">
        <f>IFERROR(__xludf.DUMMYFUNCTION("""COMPUTED_VALUE"""),40.0)</f>
        <v>40</v>
      </c>
      <c r="C415" s="501" t="str">
        <f>IFERROR(__xludf.DUMMYFUNCTION("""COMPUTED_VALUE"""),"woensdag")</f>
        <v>woensdag</v>
      </c>
      <c r="D415" s="502">
        <f>IFERROR(__xludf.DUMMYFUNCTION("""COMPUTED_VALUE"""),43740.0)</f>
        <v>43740</v>
      </c>
      <c r="E415" s="502">
        <f>IFERROR(__xludf.DUMMYFUNCTION("""COMPUTED_VALUE"""),43740.0)</f>
        <v>43740</v>
      </c>
      <c r="F415" s="501" t="str">
        <f>IFERROR(__xludf.DUMMYFUNCTION("""COMPUTED_VALUE"""),"")</f>
        <v/>
      </c>
      <c r="G415" s="503" t="str">
        <f>IFERROR(__xludf.DUMMYFUNCTION("""COMPUTED_VALUE"""),"")</f>
        <v/>
      </c>
      <c r="H415" s="501" t="str">
        <f>IFERROR(__xludf.DUMMYFUNCTION("""COMPUTED_VALUE"""),"")</f>
        <v/>
      </c>
      <c r="I415" s="503" t="str">
        <f>IFERROR(__xludf.DUMMYFUNCTION("""COMPUTED_VALUE"""),"")</f>
        <v/>
      </c>
      <c r="J415" s="501" t="str">
        <f>IFERROR(__xludf.DUMMYFUNCTION("""COMPUTED_VALUE"""),"")</f>
        <v/>
      </c>
      <c r="K415" s="503" t="str">
        <f>IFERROR(__xludf.DUMMYFUNCTION("""COMPUTED_VALUE"""),"")</f>
        <v/>
      </c>
      <c r="L415" s="501" t="str">
        <f>IFERROR(__xludf.DUMMYFUNCTION("""COMPUTED_VALUE"""),"")</f>
        <v/>
      </c>
      <c r="M415" s="504">
        <f>IFERROR(__xludf.DUMMYFUNCTION("""COMPUTED_VALUE"""),1.0)</f>
        <v>1</v>
      </c>
      <c r="N415" s="501" t="str">
        <f>IFERROR(__xludf.DUMMYFUNCTION("""COMPUTED_VALUE"""),"")</f>
        <v/>
      </c>
      <c r="O415" s="501" t="str">
        <f>IFERROR(__xludf.DUMMYFUNCTION("""COMPUTED_VALUE"""),"")</f>
        <v/>
      </c>
      <c r="P415" s="503" t="str">
        <f>IFERROR(__xludf.DUMMYFUNCTION("""COMPUTED_VALUE"""),"")</f>
        <v/>
      </c>
      <c r="Q415" s="501" t="str">
        <f>IFERROR(__xludf.DUMMYFUNCTION("""COMPUTED_VALUE"""),"")</f>
        <v/>
      </c>
      <c r="R415" s="501" t="str">
        <f>IFERROR(__xludf.DUMMYFUNCTION("""COMPUTED_VALUE"""),"")</f>
        <v/>
      </c>
      <c r="S415" s="503" t="str">
        <f>IFERROR(__xludf.DUMMYFUNCTION("""COMPUTED_VALUE"""),"")</f>
        <v/>
      </c>
      <c r="T415" s="503" t="str">
        <f>IFERROR(__xludf.DUMMYFUNCTION("""COMPUTED_VALUE"""),"utm_source=facebook&amp;utm_medium=socialmedia&amp;utm_campaign=&amp;utm_content=&amp;referrer=facebook")</f>
        <v>utm_source=facebook&amp;utm_medium=socialmedia&amp;utm_campaign=&amp;utm_content=&amp;referrer=facebook</v>
      </c>
    </row>
    <row r="416">
      <c r="A416" s="501" t="str">
        <f>IFERROR(__xludf.DUMMYFUNCTION("""COMPUTED_VALUE"""),"oktober")</f>
        <v>oktober</v>
      </c>
      <c r="B416" s="501">
        <f>IFERROR(__xludf.DUMMYFUNCTION("""COMPUTED_VALUE"""),40.0)</f>
        <v>40</v>
      </c>
      <c r="C416" s="501" t="str">
        <f>IFERROR(__xludf.DUMMYFUNCTION("""COMPUTED_VALUE"""),"donderdag")</f>
        <v>donderdag</v>
      </c>
      <c r="D416" s="502">
        <f>IFERROR(__xludf.DUMMYFUNCTION("""COMPUTED_VALUE"""),43741.0)</f>
        <v>43741</v>
      </c>
      <c r="E416" s="502">
        <f>IFERROR(__xludf.DUMMYFUNCTION("""COMPUTED_VALUE"""),43741.0)</f>
        <v>43741</v>
      </c>
      <c r="F416" s="501" t="str">
        <f>IFERROR(__xludf.DUMMYFUNCTION("""COMPUTED_VALUE"""),"")</f>
        <v/>
      </c>
      <c r="G416" s="503" t="str">
        <f>IFERROR(__xludf.DUMMYFUNCTION("""COMPUTED_VALUE"""),"")</f>
        <v/>
      </c>
      <c r="H416" s="501" t="str">
        <f>IFERROR(__xludf.DUMMYFUNCTION("""COMPUTED_VALUE"""),"")</f>
        <v/>
      </c>
      <c r="I416" s="503" t="str">
        <f>IFERROR(__xludf.DUMMYFUNCTION("""COMPUTED_VALUE"""),"")</f>
        <v/>
      </c>
      <c r="J416" s="501" t="str">
        <f>IFERROR(__xludf.DUMMYFUNCTION("""COMPUTED_VALUE"""),"")</f>
        <v/>
      </c>
      <c r="K416" s="503" t="str">
        <f>IFERROR(__xludf.DUMMYFUNCTION("""COMPUTED_VALUE"""),"")</f>
        <v/>
      </c>
      <c r="L416" s="501" t="str">
        <f>IFERROR(__xludf.DUMMYFUNCTION("""COMPUTED_VALUE"""),"")</f>
        <v/>
      </c>
      <c r="M416" s="504">
        <f>IFERROR(__xludf.DUMMYFUNCTION("""COMPUTED_VALUE"""),1.0)</f>
        <v>1</v>
      </c>
      <c r="N416" s="501" t="str">
        <f>IFERROR(__xludf.DUMMYFUNCTION("""COMPUTED_VALUE"""),"")</f>
        <v/>
      </c>
      <c r="O416" s="501" t="str">
        <f>IFERROR(__xludf.DUMMYFUNCTION("""COMPUTED_VALUE"""),"")</f>
        <v/>
      </c>
      <c r="P416" s="503" t="str">
        <f>IFERROR(__xludf.DUMMYFUNCTION("""COMPUTED_VALUE"""),"")</f>
        <v/>
      </c>
      <c r="Q416" s="501" t="str">
        <f>IFERROR(__xludf.DUMMYFUNCTION("""COMPUTED_VALUE"""),"")</f>
        <v/>
      </c>
      <c r="R416" s="501" t="str">
        <f>IFERROR(__xludf.DUMMYFUNCTION("""COMPUTED_VALUE"""),"")</f>
        <v/>
      </c>
      <c r="S416" s="503" t="str">
        <f>IFERROR(__xludf.DUMMYFUNCTION("""COMPUTED_VALUE"""),"")</f>
        <v/>
      </c>
      <c r="T416" s="503" t="str">
        <f>IFERROR(__xludf.DUMMYFUNCTION("""COMPUTED_VALUE"""),"utm_source=facebook&amp;utm_medium=socialmedia&amp;utm_campaign=&amp;utm_content=&amp;referrer=facebook")</f>
        <v>utm_source=facebook&amp;utm_medium=socialmedia&amp;utm_campaign=&amp;utm_content=&amp;referrer=facebook</v>
      </c>
    </row>
    <row r="417">
      <c r="A417" s="501" t="str">
        <f>IFERROR(__xludf.DUMMYFUNCTION("""COMPUTED_VALUE"""),"oktober")</f>
        <v>oktober</v>
      </c>
      <c r="B417" s="501">
        <f>IFERROR(__xludf.DUMMYFUNCTION("""COMPUTED_VALUE"""),40.0)</f>
        <v>40</v>
      </c>
      <c r="C417" s="501" t="str">
        <f>IFERROR(__xludf.DUMMYFUNCTION("""COMPUTED_VALUE"""),"vrijdag")</f>
        <v>vrijdag</v>
      </c>
      <c r="D417" s="502">
        <f>IFERROR(__xludf.DUMMYFUNCTION("""COMPUTED_VALUE"""),43742.0)</f>
        <v>43742</v>
      </c>
      <c r="E417" s="502">
        <f>IFERROR(__xludf.DUMMYFUNCTION("""COMPUTED_VALUE"""),43742.0)</f>
        <v>43742</v>
      </c>
      <c r="F417" s="501" t="str">
        <f>IFERROR(__xludf.DUMMYFUNCTION("""COMPUTED_VALUE"""),"")</f>
        <v/>
      </c>
      <c r="G417" s="503" t="str">
        <f>IFERROR(__xludf.DUMMYFUNCTION("""COMPUTED_VALUE"""),"")</f>
        <v/>
      </c>
      <c r="H417" s="501" t="str">
        <f>IFERROR(__xludf.DUMMYFUNCTION("""COMPUTED_VALUE"""),"")</f>
        <v/>
      </c>
      <c r="I417" s="503" t="str">
        <f>IFERROR(__xludf.DUMMYFUNCTION("""COMPUTED_VALUE"""),"")</f>
        <v/>
      </c>
      <c r="J417" s="501" t="str">
        <f>IFERROR(__xludf.DUMMYFUNCTION("""COMPUTED_VALUE"""),"")</f>
        <v/>
      </c>
      <c r="K417" s="503" t="str">
        <f>IFERROR(__xludf.DUMMYFUNCTION("""COMPUTED_VALUE"""),"")</f>
        <v/>
      </c>
      <c r="L417" s="501" t="str">
        <f>IFERROR(__xludf.DUMMYFUNCTION("""COMPUTED_VALUE"""),"")</f>
        <v/>
      </c>
      <c r="M417" s="504">
        <f>IFERROR(__xludf.DUMMYFUNCTION("""COMPUTED_VALUE"""),1.0)</f>
        <v>1</v>
      </c>
      <c r="N417" s="501" t="str">
        <f>IFERROR(__xludf.DUMMYFUNCTION("""COMPUTED_VALUE"""),"")</f>
        <v/>
      </c>
      <c r="O417" s="501" t="str">
        <f>IFERROR(__xludf.DUMMYFUNCTION("""COMPUTED_VALUE"""),"")</f>
        <v/>
      </c>
      <c r="P417" s="503" t="str">
        <f>IFERROR(__xludf.DUMMYFUNCTION("""COMPUTED_VALUE"""),"")</f>
        <v/>
      </c>
      <c r="Q417" s="501" t="str">
        <f>IFERROR(__xludf.DUMMYFUNCTION("""COMPUTED_VALUE"""),"")</f>
        <v/>
      </c>
      <c r="R417" s="501" t="str">
        <f>IFERROR(__xludf.DUMMYFUNCTION("""COMPUTED_VALUE"""),"")</f>
        <v/>
      </c>
      <c r="S417" s="503" t="str">
        <f>IFERROR(__xludf.DUMMYFUNCTION("""COMPUTED_VALUE"""),"")</f>
        <v/>
      </c>
      <c r="T417" s="503" t="str">
        <f>IFERROR(__xludf.DUMMYFUNCTION("""COMPUTED_VALUE"""),"utm_source=facebook&amp;utm_medium=socialmedia&amp;utm_campaign=&amp;utm_content=&amp;referrer=facebook")</f>
        <v>utm_source=facebook&amp;utm_medium=socialmedia&amp;utm_campaign=&amp;utm_content=&amp;referrer=facebook</v>
      </c>
    </row>
    <row r="418">
      <c r="A418" s="501" t="str">
        <f>IFERROR(__xludf.DUMMYFUNCTION("""COMPUTED_VALUE"""),"oktober")</f>
        <v>oktober</v>
      </c>
      <c r="B418" s="501">
        <f>IFERROR(__xludf.DUMMYFUNCTION("""COMPUTED_VALUE"""),40.0)</f>
        <v>40</v>
      </c>
      <c r="C418" s="501" t="str">
        <f>IFERROR(__xludf.DUMMYFUNCTION("""COMPUTED_VALUE"""),"zaterdag")</f>
        <v>zaterdag</v>
      </c>
      <c r="D418" s="502">
        <f>IFERROR(__xludf.DUMMYFUNCTION("""COMPUTED_VALUE"""),43743.0)</f>
        <v>43743</v>
      </c>
      <c r="E418" s="502">
        <f>IFERROR(__xludf.DUMMYFUNCTION("""COMPUTED_VALUE"""),43743.0)</f>
        <v>43743</v>
      </c>
      <c r="F418" s="501" t="str">
        <f>IFERROR(__xludf.DUMMYFUNCTION("""COMPUTED_VALUE"""),"")</f>
        <v/>
      </c>
      <c r="G418" s="503" t="str">
        <f>IFERROR(__xludf.DUMMYFUNCTION("""COMPUTED_VALUE"""),"")</f>
        <v/>
      </c>
      <c r="H418" s="501" t="str">
        <f>IFERROR(__xludf.DUMMYFUNCTION("""COMPUTED_VALUE"""),"")</f>
        <v/>
      </c>
      <c r="I418" s="503" t="str">
        <f>IFERROR(__xludf.DUMMYFUNCTION("""COMPUTED_VALUE"""),"")</f>
        <v/>
      </c>
      <c r="J418" s="501" t="str">
        <f>IFERROR(__xludf.DUMMYFUNCTION("""COMPUTED_VALUE"""),"")</f>
        <v/>
      </c>
      <c r="K418" s="503" t="str">
        <f>IFERROR(__xludf.DUMMYFUNCTION("""COMPUTED_VALUE"""),"")</f>
        <v/>
      </c>
      <c r="L418" s="501" t="str">
        <f>IFERROR(__xludf.DUMMYFUNCTION("""COMPUTED_VALUE"""),"")</f>
        <v/>
      </c>
      <c r="M418" s="504">
        <f>IFERROR(__xludf.DUMMYFUNCTION("""COMPUTED_VALUE"""),1.0)</f>
        <v>1</v>
      </c>
      <c r="N418" s="501" t="str">
        <f>IFERROR(__xludf.DUMMYFUNCTION("""COMPUTED_VALUE"""),"")</f>
        <v/>
      </c>
      <c r="O418" s="501" t="str">
        <f>IFERROR(__xludf.DUMMYFUNCTION("""COMPUTED_VALUE"""),"")</f>
        <v/>
      </c>
      <c r="P418" s="503" t="str">
        <f>IFERROR(__xludf.DUMMYFUNCTION("""COMPUTED_VALUE"""),"")</f>
        <v/>
      </c>
      <c r="Q418" s="501" t="str">
        <f>IFERROR(__xludf.DUMMYFUNCTION("""COMPUTED_VALUE"""),"")</f>
        <v/>
      </c>
      <c r="R418" s="501" t="str">
        <f>IFERROR(__xludf.DUMMYFUNCTION("""COMPUTED_VALUE"""),"")</f>
        <v/>
      </c>
      <c r="S418" s="503" t="str">
        <f>IFERROR(__xludf.DUMMYFUNCTION("""COMPUTED_VALUE"""),"")</f>
        <v/>
      </c>
      <c r="T418" s="503" t="str">
        <f>IFERROR(__xludf.DUMMYFUNCTION("""COMPUTED_VALUE"""),"utm_source=facebook&amp;utm_medium=socialmedia&amp;utm_campaign=&amp;utm_content=&amp;referrer=facebook")</f>
        <v>utm_source=facebook&amp;utm_medium=socialmedia&amp;utm_campaign=&amp;utm_content=&amp;referrer=facebook</v>
      </c>
    </row>
    <row r="419">
      <c r="A419" s="501" t="str">
        <f>IFERROR(__xludf.DUMMYFUNCTION("""COMPUTED_VALUE"""),"oktober")</f>
        <v>oktober</v>
      </c>
      <c r="B419" s="501">
        <f>IFERROR(__xludf.DUMMYFUNCTION("""COMPUTED_VALUE"""),41.0)</f>
        <v>41</v>
      </c>
      <c r="C419" s="501" t="str">
        <f>IFERROR(__xludf.DUMMYFUNCTION("""COMPUTED_VALUE"""),"zondag")</f>
        <v>zondag</v>
      </c>
      <c r="D419" s="502">
        <f>IFERROR(__xludf.DUMMYFUNCTION("""COMPUTED_VALUE"""),43744.0)</f>
        <v>43744</v>
      </c>
      <c r="E419" s="502">
        <f>IFERROR(__xludf.DUMMYFUNCTION("""COMPUTED_VALUE"""),43744.0)</f>
        <v>43744</v>
      </c>
      <c r="F419" s="501" t="str">
        <f>IFERROR(__xludf.DUMMYFUNCTION("""COMPUTED_VALUE"""),"")</f>
        <v/>
      </c>
      <c r="G419" s="503" t="str">
        <f>IFERROR(__xludf.DUMMYFUNCTION("""COMPUTED_VALUE"""),"")</f>
        <v/>
      </c>
      <c r="H419" s="501" t="str">
        <f>IFERROR(__xludf.DUMMYFUNCTION("""COMPUTED_VALUE"""),"")</f>
        <v/>
      </c>
      <c r="I419" s="503" t="str">
        <f>IFERROR(__xludf.DUMMYFUNCTION("""COMPUTED_VALUE"""),"")</f>
        <v/>
      </c>
      <c r="J419" s="501" t="str">
        <f>IFERROR(__xludf.DUMMYFUNCTION("""COMPUTED_VALUE"""),"")</f>
        <v/>
      </c>
      <c r="K419" s="503" t="str">
        <f>IFERROR(__xludf.DUMMYFUNCTION("""COMPUTED_VALUE"""),"")</f>
        <v/>
      </c>
      <c r="L419" s="501" t="str">
        <f>IFERROR(__xludf.DUMMYFUNCTION("""COMPUTED_VALUE"""),"")</f>
        <v/>
      </c>
      <c r="M419" s="504">
        <f>IFERROR(__xludf.DUMMYFUNCTION("""COMPUTED_VALUE"""),1.0)</f>
        <v>1</v>
      </c>
      <c r="N419" s="501" t="str">
        <f>IFERROR(__xludf.DUMMYFUNCTION("""COMPUTED_VALUE"""),"")</f>
        <v/>
      </c>
      <c r="O419" s="501" t="str">
        <f>IFERROR(__xludf.DUMMYFUNCTION("""COMPUTED_VALUE"""),"")</f>
        <v/>
      </c>
      <c r="P419" s="503" t="str">
        <f>IFERROR(__xludf.DUMMYFUNCTION("""COMPUTED_VALUE"""),"")</f>
        <v/>
      </c>
      <c r="Q419" s="501" t="str">
        <f>IFERROR(__xludf.DUMMYFUNCTION("""COMPUTED_VALUE"""),"")</f>
        <v/>
      </c>
      <c r="R419" s="501" t="str">
        <f>IFERROR(__xludf.DUMMYFUNCTION("""COMPUTED_VALUE"""),"")</f>
        <v/>
      </c>
      <c r="S419" s="503" t="str">
        <f>IFERROR(__xludf.DUMMYFUNCTION("""COMPUTED_VALUE"""),"")</f>
        <v/>
      </c>
      <c r="T419" s="503" t="str">
        <f>IFERROR(__xludf.DUMMYFUNCTION("""COMPUTED_VALUE"""),"utm_source=facebook&amp;utm_medium=socialmedia&amp;utm_campaign=&amp;utm_content=&amp;referrer=facebook")</f>
        <v>utm_source=facebook&amp;utm_medium=socialmedia&amp;utm_campaign=&amp;utm_content=&amp;referrer=facebook</v>
      </c>
    </row>
    <row r="420">
      <c r="A420" s="501" t="str">
        <f>IFERROR(__xludf.DUMMYFUNCTION("""COMPUTED_VALUE"""),"oktober")</f>
        <v>oktober</v>
      </c>
      <c r="B420" s="501">
        <f>IFERROR(__xludf.DUMMYFUNCTION("""COMPUTED_VALUE"""),41.0)</f>
        <v>41</v>
      </c>
      <c r="C420" s="501" t="str">
        <f>IFERROR(__xludf.DUMMYFUNCTION("""COMPUTED_VALUE"""),"maandag")</f>
        <v>maandag</v>
      </c>
      <c r="D420" s="502">
        <f>IFERROR(__xludf.DUMMYFUNCTION("""COMPUTED_VALUE"""),43745.0)</f>
        <v>43745</v>
      </c>
      <c r="E420" s="502">
        <f>IFERROR(__xludf.DUMMYFUNCTION("""COMPUTED_VALUE"""),43745.0)</f>
        <v>43745</v>
      </c>
      <c r="F420" s="501" t="str">
        <f>IFERROR(__xludf.DUMMYFUNCTION("""COMPUTED_VALUE"""),"")</f>
        <v/>
      </c>
      <c r="G420" s="503" t="str">
        <f>IFERROR(__xludf.DUMMYFUNCTION("""COMPUTED_VALUE"""),"")</f>
        <v/>
      </c>
      <c r="H420" s="501" t="str">
        <f>IFERROR(__xludf.DUMMYFUNCTION("""COMPUTED_VALUE"""),"")</f>
        <v/>
      </c>
      <c r="I420" s="503" t="str">
        <f>IFERROR(__xludf.DUMMYFUNCTION("""COMPUTED_VALUE"""),"")</f>
        <v/>
      </c>
      <c r="J420" s="501" t="str">
        <f>IFERROR(__xludf.DUMMYFUNCTION("""COMPUTED_VALUE"""),"")</f>
        <v/>
      </c>
      <c r="K420" s="503" t="str">
        <f>IFERROR(__xludf.DUMMYFUNCTION("""COMPUTED_VALUE"""),"")</f>
        <v/>
      </c>
      <c r="L420" s="501" t="str">
        <f>IFERROR(__xludf.DUMMYFUNCTION("""COMPUTED_VALUE"""),"")</f>
        <v/>
      </c>
      <c r="M420" s="504">
        <f>IFERROR(__xludf.DUMMYFUNCTION("""COMPUTED_VALUE"""),1.0)</f>
        <v>1</v>
      </c>
      <c r="N420" s="501" t="str">
        <f>IFERROR(__xludf.DUMMYFUNCTION("""COMPUTED_VALUE"""),"")</f>
        <v/>
      </c>
      <c r="O420" s="501" t="str">
        <f>IFERROR(__xludf.DUMMYFUNCTION("""COMPUTED_VALUE"""),"")</f>
        <v/>
      </c>
      <c r="P420" s="503" t="str">
        <f>IFERROR(__xludf.DUMMYFUNCTION("""COMPUTED_VALUE"""),"")</f>
        <v/>
      </c>
      <c r="Q420" s="501" t="str">
        <f>IFERROR(__xludf.DUMMYFUNCTION("""COMPUTED_VALUE"""),"")</f>
        <v/>
      </c>
      <c r="R420" s="501" t="str">
        <f>IFERROR(__xludf.DUMMYFUNCTION("""COMPUTED_VALUE"""),"")</f>
        <v/>
      </c>
      <c r="S420" s="503" t="str">
        <f>IFERROR(__xludf.DUMMYFUNCTION("""COMPUTED_VALUE"""),"")</f>
        <v/>
      </c>
      <c r="T420" s="503" t="str">
        <f>IFERROR(__xludf.DUMMYFUNCTION("""COMPUTED_VALUE"""),"utm_source=facebook&amp;utm_medium=socialmedia&amp;utm_campaign=&amp;utm_content=&amp;referrer=facebook")</f>
        <v>utm_source=facebook&amp;utm_medium=socialmedia&amp;utm_campaign=&amp;utm_content=&amp;referrer=facebook</v>
      </c>
    </row>
    <row r="421">
      <c r="A421" s="501" t="str">
        <f>IFERROR(__xludf.DUMMYFUNCTION("""COMPUTED_VALUE"""),"oktober")</f>
        <v>oktober</v>
      </c>
      <c r="B421" s="501">
        <f>IFERROR(__xludf.DUMMYFUNCTION("""COMPUTED_VALUE"""),41.0)</f>
        <v>41</v>
      </c>
      <c r="C421" s="501" t="str">
        <f>IFERROR(__xludf.DUMMYFUNCTION("""COMPUTED_VALUE"""),"dinsdag")</f>
        <v>dinsdag</v>
      </c>
      <c r="D421" s="502">
        <f>IFERROR(__xludf.DUMMYFUNCTION("""COMPUTED_VALUE"""),43746.0)</f>
        <v>43746</v>
      </c>
      <c r="E421" s="502">
        <f>IFERROR(__xludf.DUMMYFUNCTION("""COMPUTED_VALUE"""),43746.0)</f>
        <v>43746</v>
      </c>
      <c r="F421" s="501" t="str">
        <f>IFERROR(__xludf.DUMMYFUNCTION("""COMPUTED_VALUE"""),"")</f>
        <v/>
      </c>
      <c r="G421" s="503" t="str">
        <f>IFERROR(__xludf.DUMMYFUNCTION("""COMPUTED_VALUE"""),"")</f>
        <v/>
      </c>
      <c r="H421" s="501" t="str">
        <f>IFERROR(__xludf.DUMMYFUNCTION("""COMPUTED_VALUE"""),"")</f>
        <v/>
      </c>
      <c r="I421" s="503" t="str">
        <f>IFERROR(__xludf.DUMMYFUNCTION("""COMPUTED_VALUE"""),"")</f>
        <v/>
      </c>
      <c r="J421" s="501" t="str">
        <f>IFERROR(__xludf.DUMMYFUNCTION("""COMPUTED_VALUE"""),"")</f>
        <v/>
      </c>
      <c r="K421" s="503" t="str">
        <f>IFERROR(__xludf.DUMMYFUNCTION("""COMPUTED_VALUE"""),"")</f>
        <v/>
      </c>
      <c r="L421" s="501" t="str">
        <f>IFERROR(__xludf.DUMMYFUNCTION("""COMPUTED_VALUE"""),"")</f>
        <v/>
      </c>
      <c r="M421" s="504">
        <f>IFERROR(__xludf.DUMMYFUNCTION("""COMPUTED_VALUE"""),1.0)</f>
        <v>1</v>
      </c>
      <c r="N421" s="501" t="str">
        <f>IFERROR(__xludf.DUMMYFUNCTION("""COMPUTED_VALUE"""),"")</f>
        <v/>
      </c>
      <c r="O421" s="501" t="str">
        <f>IFERROR(__xludf.DUMMYFUNCTION("""COMPUTED_VALUE"""),"")</f>
        <v/>
      </c>
      <c r="P421" s="503" t="str">
        <f>IFERROR(__xludf.DUMMYFUNCTION("""COMPUTED_VALUE"""),"")</f>
        <v/>
      </c>
      <c r="Q421" s="501" t="str">
        <f>IFERROR(__xludf.DUMMYFUNCTION("""COMPUTED_VALUE"""),"")</f>
        <v/>
      </c>
      <c r="R421" s="501" t="str">
        <f>IFERROR(__xludf.DUMMYFUNCTION("""COMPUTED_VALUE"""),"")</f>
        <v/>
      </c>
      <c r="S421" s="503" t="str">
        <f>IFERROR(__xludf.DUMMYFUNCTION("""COMPUTED_VALUE"""),"")</f>
        <v/>
      </c>
      <c r="T421" s="503" t="str">
        <f>IFERROR(__xludf.DUMMYFUNCTION("""COMPUTED_VALUE"""),"utm_source=facebook&amp;utm_medium=socialmedia&amp;utm_campaign=&amp;utm_content=&amp;referrer=facebook")</f>
        <v>utm_source=facebook&amp;utm_medium=socialmedia&amp;utm_campaign=&amp;utm_content=&amp;referrer=facebook</v>
      </c>
    </row>
    <row r="422">
      <c r="A422" s="501" t="str">
        <f>IFERROR(__xludf.DUMMYFUNCTION("""COMPUTED_VALUE"""),"oktober")</f>
        <v>oktober</v>
      </c>
      <c r="B422" s="501">
        <f>IFERROR(__xludf.DUMMYFUNCTION("""COMPUTED_VALUE"""),41.0)</f>
        <v>41</v>
      </c>
      <c r="C422" s="501" t="str">
        <f>IFERROR(__xludf.DUMMYFUNCTION("""COMPUTED_VALUE"""),"woensdag")</f>
        <v>woensdag</v>
      </c>
      <c r="D422" s="502">
        <f>IFERROR(__xludf.DUMMYFUNCTION("""COMPUTED_VALUE"""),43747.0)</f>
        <v>43747</v>
      </c>
      <c r="E422" s="502">
        <f>IFERROR(__xludf.DUMMYFUNCTION("""COMPUTED_VALUE"""),43747.0)</f>
        <v>43747</v>
      </c>
      <c r="F422" s="501" t="str">
        <f>IFERROR(__xludf.DUMMYFUNCTION("""COMPUTED_VALUE"""),"")</f>
        <v/>
      </c>
      <c r="G422" s="503" t="str">
        <f>IFERROR(__xludf.DUMMYFUNCTION("""COMPUTED_VALUE"""),"")</f>
        <v/>
      </c>
      <c r="H422" s="501" t="str">
        <f>IFERROR(__xludf.DUMMYFUNCTION("""COMPUTED_VALUE"""),"")</f>
        <v/>
      </c>
      <c r="I422" s="503" t="str">
        <f>IFERROR(__xludf.DUMMYFUNCTION("""COMPUTED_VALUE"""),"")</f>
        <v/>
      </c>
      <c r="J422" s="501" t="str">
        <f>IFERROR(__xludf.DUMMYFUNCTION("""COMPUTED_VALUE"""),"")</f>
        <v/>
      </c>
      <c r="K422" s="503" t="str">
        <f>IFERROR(__xludf.DUMMYFUNCTION("""COMPUTED_VALUE"""),"")</f>
        <v/>
      </c>
      <c r="L422" s="501" t="str">
        <f>IFERROR(__xludf.DUMMYFUNCTION("""COMPUTED_VALUE"""),"")</f>
        <v/>
      </c>
      <c r="M422" s="504">
        <f>IFERROR(__xludf.DUMMYFUNCTION("""COMPUTED_VALUE"""),1.0)</f>
        <v>1</v>
      </c>
      <c r="N422" s="501" t="str">
        <f>IFERROR(__xludf.DUMMYFUNCTION("""COMPUTED_VALUE"""),"")</f>
        <v/>
      </c>
      <c r="O422" s="501" t="str">
        <f>IFERROR(__xludf.DUMMYFUNCTION("""COMPUTED_VALUE"""),"")</f>
        <v/>
      </c>
      <c r="P422" s="503" t="str">
        <f>IFERROR(__xludf.DUMMYFUNCTION("""COMPUTED_VALUE"""),"")</f>
        <v/>
      </c>
      <c r="Q422" s="501" t="str">
        <f>IFERROR(__xludf.DUMMYFUNCTION("""COMPUTED_VALUE"""),"")</f>
        <v/>
      </c>
      <c r="R422" s="501" t="str">
        <f>IFERROR(__xludf.DUMMYFUNCTION("""COMPUTED_VALUE"""),"")</f>
        <v/>
      </c>
      <c r="S422" s="503" t="str">
        <f>IFERROR(__xludf.DUMMYFUNCTION("""COMPUTED_VALUE"""),"")</f>
        <v/>
      </c>
      <c r="T422" s="503" t="str">
        <f>IFERROR(__xludf.DUMMYFUNCTION("""COMPUTED_VALUE"""),"utm_source=facebook&amp;utm_medium=socialmedia&amp;utm_campaign=&amp;utm_content=&amp;referrer=facebook")</f>
        <v>utm_source=facebook&amp;utm_medium=socialmedia&amp;utm_campaign=&amp;utm_content=&amp;referrer=facebook</v>
      </c>
    </row>
    <row r="423">
      <c r="A423" s="501" t="str">
        <f>IFERROR(__xludf.DUMMYFUNCTION("""COMPUTED_VALUE"""),"oktober")</f>
        <v>oktober</v>
      </c>
      <c r="B423" s="501">
        <f>IFERROR(__xludf.DUMMYFUNCTION("""COMPUTED_VALUE"""),41.0)</f>
        <v>41</v>
      </c>
      <c r="C423" s="501" t="str">
        <f>IFERROR(__xludf.DUMMYFUNCTION("""COMPUTED_VALUE"""),"donderdag")</f>
        <v>donderdag</v>
      </c>
      <c r="D423" s="502">
        <f>IFERROR(__xludf.DUMMYFUNCTION("""COMPUTED_VALUE"""),43748.0)</f>
        <v>43748</v>
      </c>
      <c r="E423" s="502">
        <f>IFERROR(__xludf.DUMMYFUNCTION("""COMPUTED_VALUE"""),43748.0)</f>
        <v>43748</v>
      </c>
      <c r="F423" s="501" t="str">
        <f>IFERROR(__xludf.DUMMYFUNCTION("""COMPUTED_VALUE"""),"")</f>
        <v/>
      </c>
      <c r="G423" s="503" t="str">
        <f>IFERROR(__xludf.DUMMYFUNCTION("""COMPUTED_VALUE"""),"")</f>
        <v/>
      </c>
      <c r="H423" s="501" t="str">
        <f>IFERROR(__xludf.DUMMYFUNCTION("""COMPUTED_VALUE"""),"")</f>
        <v/>
      </c>
      <c r="I423" s="503" t="str">
        <f>IFERROR(__xludf.DUMMYFUNCTION("""COMPUTED_VALUE"""),"")</f>
        <v/>
      </c>
      <c r="J423" s="501" t="str">
        <f>IFERROR(__xludf.DUMMYFUNCTION("""COMPUTED_VALUE"""),"")</f>
        <v/>
      </c>
      <c r="K423" s="503" t="str">
        <f>IFERROR(__xludf.DUMMYFUNCTION("""COMPUTED_VALUE"""),"")</f>
        <v/>
      </c>
      <c r="L423" s="501" t="str">
        <f>IFERROR(__xludf.DUMMYFUNCTION("""COMPUTED_VALUE"""),"")</f>
        <v/>
      </c>
      <c r="M423" s="504">
        <f>IFERROR(__xludf.DUMMYFUNCTION("""COMPUTED_VALUE"""),1.0)</f>
        <v>1</v>
      </c>
      <c r="N423" s="501" t="str">
        <f>IFERROR(__xludf.DUMMYFUNCTION("""COMPUTED_VALUE"""),"")</f>
        <v/>
      </c>
      <c r="O423" s="501" t="str">
        <f>IFERROR(__xludf.DUMMYFUNCTION("""COMPUTED_VALUE"""),"")</f>
        <v/>
      </c>
      <c r="P423" s="503" t="str">
        <f>IFERROR(__xludf.DUMMYFUNCTION("""COMPUTED_VALUE"""),"")</f>
        <v/>
      </c>
      <c r="Q423" s="501" t="str">
        <f>IFERROR(__xludf.DUMMYFUNCTION("""COMPUTED_VALUE"""),"")</f>
        <v/>
      </c>
      <c r="R423" s="501" t="str">
        <f>IFERROR(__xludf.DUMMYFUNCTION("""COMPUTED_VALUE"""),"")</f>
        <v/>
      </c>
      <c r="S423" s="503" t="str">
        <f>IFERROR(__xludf.DUMMYFUNCTION("""COMPUTED_VALUE"""),"")</f>
        <v/>
      </c>
      <c r="T423" s="503" t="str">
        <f>IFERROR(__xludf.DUMMYFUNCTION("""COMPUTED_VALUE"""),"utm_source=facebook&amp;utm_medium=socialmedia&amp;utm_campaign=&amp;utm_content=&amp;referrer=facebook")</f>
        <v>utm_source=facebook&amp;utm_medium=socialmedia&amp;utm_campaign=&amp;utm_content=&amp;referrer=facebook</v>
      </c>
    </row>
    <row r="424">
      <c r="A424" s="501" t="str">
        <f>IFERROR(__xludf.DUMMYFUNCTION("""COMPUTED_VALUE"""),"oktober")</f>
        <v>oktober</v>
      </c>
      <c r="B424" s="501">
        <f>IFERROR(__xludf.DUMMYFUNCTION("""COMPUTED_VALUE"""),41.0)</f>
        <v>41</v>
      </c>
      <c r="C424" s="501" t="str">
        <f>IFERROR(__xludf.DUMMYFUNCTION("""COMPUTED_VALUE"""),"vrijdag")</f>
        <v>vrijdag</v>
      </c>
      <c r="D424" s="502">
        <f>IFERROR(__xludf.DUMMYFUNCTION("""COMPUTED_VALUE"""),43749.0)</f>
        <v>43749</v>
      </c>
      <c r="E424" s="502">
        <f>IFERROR(__xludf.DUMMYFUNCTION("""COMPUTED_VALUE"""),43749.0)</f>
        <v>43749</v>
      </c>
      <c r="F424" s="501" t="str">
        <f>IFERROR(__xludf.DUMMYFUNCTION("""COMPUTED_VALUE"""),"")</f>
        <v/>
      </c>
      <c r="G424" s="503" t="str">
        <f>IFERROR(__xludf.DUMMYFUNCTION("""COMPUTED_VALUE"""),"")</f>
        <v/>
      </c>
      <c r="H424" s="501" t="str">
        <f>IFERROR(__xludf.DUMMYFUNCTION("""COMPUTED_VALUE"""),"")</f>
        <v/>
      </c>
      <c r="I424" s="503" t="str">
        <f>IFERROR(__xludf.DUMMYFUNCTION("""COMPUTED_VALUE"""),"")</f>
        <v/>
      </c>
      <c r="J424" s="501" t="str">
        <f>IFERROR(__xludf.DUMMYFUNCTION("""COMPUTED_VALUE"""),"")</f>
        <v/>
      </c>
      <c r="K424" s="503" t="str">
        <f>IFERROR(__xludf.DUMMYFUNCTION("""COMPUTED_VALUE"""),"")</f>
        <v/>
      </c>
      <c r="L424" s="501" t="str">
        <f>IFERROR(__xludf.DUMMYFUNCTION("""COMPUTED_VALUE"""),"")</f>
        <v/>
      </c>
      <c r="M424" s="504">
        <f>IFERROR(__xludf.DUMMYFUNCTION("""COMPUTED_VALUE"""),1.0)</f>
        <v>1</v>
      </c>
      <c r="N424" s="501" t="str">
        <f>IFERROR(__xludf.DUMMYFUNCTION("""COMPUTED_VALUE"""),"")</f>
        <v/>
      </c>
      <c r="O424" s="501" t="str">
        <f>IFERROR(__xludf.DUMMYFUNCTION("""COMPUTED_VALUE"""),"")</f>
        <v/>
      </c>
      <c r="P424" s="503" t="str">
        <f>IFERROR(__xludf.DUMMYFUNCTION("""COMPUTED_VALUE"""),"")</f>
        <v/>
      </c>
      <c r="Q424" s="501" t="str">
        <f>IFERROR(__xludf.DUMMYFUNCTION("""COMPUTED_VALUE"""),"")</f>
        <v/>
      </c>
      <c r="R424" s="501" t="str">
        <f>IFERROR(__xludf.DUMMYFUNCTION("""COMPUTED_VALUE"""),"")</f>
        <v/>
      </c>
      <c r="S424" s="503" t="str">
        <f>IFERROR(__xludf.DUMMYFUNCTION("""COMPUTED_VALUE"""),"")</f>
        <v/>
      </c>
      <c r="T424" s="503" t="str">
        <f>IFERROR(__xludf.DUMMYFUNCTION("""COMPUTED_VALUE"""),"utm_source=facebook&amp;utm_medium=socialmedia&amp;utm_campaign=&amp;utm_content=&amp;referrer=facebook")</f>
        <v>utm_source=facebook&amp;utm_medium=socialmedia&amp;utm_campaign=&amp;utm_content=&amp;referrer=facebook</v>
      </c>
    </row>
    <row r="425">
      <c r="A425" s="501" t="str">
        <f>IFERROR(__xludf.DUMMYFUNCTION("""COMPUTED_VALUE"""),"oktober")</f>
        <v>oktober</v>
      </c>
      <c r="B425" s="501">
        <f>IFERROR(__xludf.DUMMYFUNCTION("""COMPUTED_VALUE"""),41.0)</f>
        <v>41</v>
      </c>
      <c r="C425" s="501" t="str">
        <f>IFERROR(__xludf.DUMMYFUNCTION("""COMPUTED_VALUE"""),"zaterdag")</f>
        <v>zaterdag</v>
      </c>
      <c r="D425" s="502">
        <f>IFERROR(__xludf.DUMMYFUNCTION("""COMPUTED_VALUE"""),43750.0)</f>
        <v>43750</v>
      </c>
      <c r="E425" s="502">
        <f>IFERROR(__xludf.DUMMYFUNCTION("""COMPUTED_VALUE"""),43750.0)</f>
        <v>43750</v>
      </c>
      <c r="F425" s="501" t="str">
        <f>IFERROR(__xludf.DUMMYFUNCTION("""COMPUTED_VALUE"""),"")</f>
        <v/>
      </c>
      <c r="G425" s="503" t="str">
        <f>IFERROR(__xludf.DUMMYFUNCTION("""COMPUTED_VALUE"""),"")</f>
        <v/>
      </c>
      <c r="H425" s="501" t="str">
        <f>IFERROR(__xludf.DUMMYFUNCTION("""COMPUTED_VALUE"""),"")</f>
        <v/>
      </c>
      <c r="I425" s="503" t="str">
        <f>IFERROR(__xludf.DUMMYFUNCTION("""COMPUTED_VALUE"""),"")</f>
        <v/>
      </c>
      <c r="J425" s="501" t="str">
        <f>IFERROR(__xludf.DUMMYFUNCTION("""COMPUTED_VALUE"""),"")</f>
        <v/>
      </c>
      <c r="K425" s="503" t="str">
        <f>IFERROR(__xludf.DUMMYFUNCTION("""COMPUTED_VALUE"""),"")</f>
        <v/>
      </c>
      <c r="L425" s="501" t="str">
        <f>IFERROR(__xludf.DUMMYFUNCTION("""COMPUTED_VALUE"""),"")</f>
        <v/>
      </c>
      <c r="M425" s="504">
        <f>IFERROR(__xludf.DUMMYFUNCTION("""COMPUTED_VALUE"""),1.0)</f>
        <v>1</v>
      </c>
      <c r="N425" s="501" t="str">
        <f>IFERROR(__xludf.DUMMYFUNCTION("""COMPUTED_VALUE"""),"")</f>
        <v/>
      </c>
      <c r="O425" s="501" t="str">
        <f>IFERROR(__xludf.DUMMYFUNCTION("""COMPUTED_VALUE"""),"")</f>
        <v/>
      </c>
      <c r="P425" s="503" t="str">
        <f>IFERROR(__xludf.DUMMYFUNCTION("""COMPUTED_VALUE"""),"")</f>
        <v/>
      </c>
      <c r="Q425" s="501" t="str">
        <f>IFERROR(__xludf.DUMMYFUNCTION("""COMPUTED_VALUE"""),"")</f>
        <v/>
      </c>
      <c r="R425" s="501" t="str">
        <f>IFERROR(__xludf.DUMMYFUNCTION("""COMPUTED_VALUE"""),"")</f>
        <v/>
      </c>
      <c r="S425" s="503" t="str">
        <f>IFERROR(__xludf.DUMMYFUNCTION("""COMPUTED_VALUE"""),"")</f>
        <v/>
      </c>
      <c r="T425" s="503" t="str">
        <f>IFERROR(__xludf.DUMMYFUNCTION("""COMPUTED_VALUE"""),"utm_source=facebook&amp;utm_medium=socialmedia&amp;utm_campaign=&amp;utm_content=&amp;referrer=facebook")</f>
        <v>utm_source=facebook&amp;utm_medium=socialmedia&amp;utm_campaign=&amp;utm_content=&amp;referrer=facebook</v>
      </c>
    </row>
    <row r="426">
      <c r="A426" s="501" t="str">
        <f>IFERROR(__xludf.DUMMYFUNCTION("""COMPUTED_VALUE"""),"oktober")</f>
        <v>oktober</v>
      </c>
      <c r="B426" s="501">
        <f>IFERROR(__xludf.DUMMYFUNCTION("""COMPUTED_VALUE"""),42.0)</f>
        <v>42</v>
      </c>
      <c r="C426" s="501" t="str">
        <f>IFERROR(__xludf.DUMMYFUNCTION("""COMPUTED_VALUE"""),"zondag")</f>
        <v>zondag</v>
      </c>
      <c r="D426" s="502">
        <f>IFERROR(__xludf.DUMMYFUNCTION("""COMPUTED_VALUE"""),43751.0)</f>
        <v>43751</v>
      </c>
      <c r="E426" s="502">
        <f>IFERROR(__xludf.DUMMYFUNCTION("""COMPUTED_VALUE"""),43751.0)</f>
        <v>43751</v>
      </c>
      <c r="F426" s="501" t="str">
        <f>IFERROR(__xludf.DUMMYFUNCTION("""COMPUTED_VALUE"""),"")</f>
        <v/>
      </c>
      <c r="G426" s="503" t="str">
        <f>IFERROR(__xludf.DUMMYFUNCTION("""COMPUTED_VALUE"""),"")</f>
        <v/>
      </c>
      <c r="H426" s="501" t="str">
        <f>IFERROR(__xludf.DUMMYFUNCTION("""COMPUTED_VALUE"""),"")</f>
        <v/>
      </c>
      <c r="I426" s="503" t="str">
        <f>IFERROR(__xludf.DUMMYFUNCTION("""COMPUTED_VALUE"""),"")</f>
        <v/>
      </c>
      <c r="J426" s="501" t="str">
        <f>IFERROR(__xludf.DUMMYFUNCTION("""COMPUTED_VALUE"""),"")</f>
        <v/>
      </c>
      <c r="K426" s="503" t="str">
        <f>IFERROR(__xludf.DUMMYFUNCTION("""COMPUTED_VALUE"""),"")</f>
        <v/>
      </c>
      <c r="L426" s="501" t="str">
        <f>IFERROR(__xludf.DUMMYFUNCTION("""COMPUTED_VALUE"""),"")</f>
        <v/>
      </c>
      <c r="M426" s="504">
        <f>IFERROR(__xludf.DUMMYFUNCTION("""COMPUTED_VALUE"""),1.0)</f>
        <v>1</v>
      </c>
      <c r="N426" s="501" t="str">
        <f>IFERROR(__xludf.DUMMYFUNCTION("""COMPUTED_VALUE"""),"")</f>
        <v/>
      </c>
      <c r="O426" s="501" t="str">
        <f>IFERROR(__xludf.DUMMYFUNCTION("""COMPUTED_VALUE"""),"")</f>
        <v/>
      </c>
      <c r="P426" s="503" t="str">
        <f>IFERROR(__xludf.DUMMYFUNCTION("""COMPUTED_VALUE"""),"")</f>
        <v/>
      </c>
      <c r="Q426" s="501" t="str">
        <f>IFERROR(__xludf.DUMMYFUNCTION("""COMPUTED_VALUE"""),"")</f>
        <v/>
      </c>
      <c r="R426" s="501" t="str">
        <f>IFERROR(__xludf.DUMMYFUNCTION("""COMPUTED_VALUE"""),"")</f>
        <v/>
      </c>
      <c r="S426" s="503" t="str">
        <f>IFERROR(__xludf.DUMMYFUNCTION("""COMPUTED_VALUE"""),"")</f>
        <v/>
      </c>
      <c r="T426" s="503" t="str">
        <f>IFERROR(__xludf.DUMMYFUNCTION("""COMPUTED_VALUE"""),"utm_source=facebook&amp;utm_medium=socialmedia&amp;utm_campaign=&amp;utm_content=&amp;referrer=facebook")</f>
        <v>utm_source=facebook&amp;utm_medium=socialmedia&amp;utm_campaign=&amp;utm_content=&amp;referrer=facebook</v>
      </c>
    </row>
    <row r="427">
      <c r="A427" s="501" t="str">
        <f>IFERROR(__xludf.DUMMYFUNCTION("""COMPUTED_VALUE"""),"oktober")</f>
        <v>oktober</v>
      </c>
      <c r="B427" s="501">
        <f>IFERROR(__xludf.DUMMYFUNCTION("""COMPUTED_VALUE"""),42.0)</f>
        <v>42</v>
      </c>
      <c r="C427" s="501" t="str">
        <f>IFERROR(__xludf.DUMMYFUNCTION("""COMPUTED_VALUE"""),"maandag")</f>
        <v>maandag</v>
      </c>
      <c r="D427" s="502">
        <f>IFERROR(__xludf.DUMMYFUNCTION("""COMPUTED_VALUE"""),43752.0)</f>
        <v>43752</v>
      </c>
      <c r="E427" s="502">
        <f>IFERROR(__xludf.DUMMYFUNCTION("""COMPUTED_VALUE"""),43752.0)</f>
        <v>43752</v>
      </c>
      <c r="F427" s="501" t="str">
        <f>IFERROR(__xludf.DUMMYFUNCTION("""COMPUTED_VALUE"""),"")</f>
        <v/>
      </c>
      <c r="G427" s="503" t="str">
        <f>IFERROR(__xludf.DUMMYFUNCTION("""COMPUTED_VALUE"""),"")</f>
        <v/>
      </c>
      <c r="H427" s="501" t="str">
        <f>IFERROR(__xludf.DUMMYFUNCTION("""COMPUTED_VALUE"""),"")</f>
        <v/>
      </c>
      <c r="I427" s="503" t="str">
        <f>IFERROR(__xludf.DUMMYFUNCTION("""COMPUTED_VALUE"""),"")</f>
        <v/>
      </c>
      <c r="J427" s="501" t="str">
        <f>IFERROR(__xludf.DUMMYFUNCTION("""COMPUTED_VALUE"""),"")</f>
        <v/>
      </c>
      <c r="K427" s="503" t="str">
        <f>IFERROR(__xludf.DUMMYFUNCTION("""COMPUTED_VALUE"""),"")</f>
        <v/>
      </c>
      <c r="L427" s="501" t="str">
        <f>IFERROR(__xludf.DUMMYFUNCTION("""COMPUTED_VALUE"""),"")</f>
        <v/>
      </c>
      <c r="M427" s="504">
        <f>IFERROR(__xludf.DUMMYFUNCTION("""COMPUTED_VALUE"""),1.0)</f>
        <v>1</v>
      </c>
      <c r="N427" s="501" t="str">
        <f>IFERROR(__xludf.DUMMYFUNCTION("""COMPUTED_VALUE"""),"")</f>
        <v/>
      </c>
      <c r="O427" s="501" t="str">
        <f>IFERROR(__xludf.DUMMYFUNCTION("""COMPUTED_VALUE"""),"")</f>
        <v/>
      </c>
      <c r="P427" s="503" t="str">
        <f>IFERROR(__xludf.DUMMYFUNCTION("""COMPUTED_VALUE"""),"")</f>
        <v/>
      </c>
      <c r="Q427" s="501" t="str">
        <f>IFERROR(__xludf.DUMMYFUNCTION("""COMPUTED_VALUE"""),"")</f>
        <v/>
      </c>
      <c r="R427" s="501" t="str">
        <f>IFERROR(__xludf.DUMMYFUNCTION("""COMPUTED_VALUE"""),"")</f>
        <v/>
      </c>
      <c r="S427" s="503" t="str">
        <f>IFERROR(__xludf.DUMMYFUNCTION("""COMPUTED_VALUE"""),"")</f>
        <v/>
      </c>
      <c r="T427" s="503" t="str">
        <f>IFERROR(__xludf.DUMMYFUNCTION("""COMPUTED_VALUE"""),"utm_source=facebook&amp;utm_medium=socialmedia&amp;utm_campaign=&amp;utm_content=&amp;referrer=facebook")</f>
        <v>utm_source=facebook&amp;utm_medium=socialmedia&amp;utm_campaign=&amp;utm_content=&amp;referrer=facebook</v>
      </c>
    </row>
    <row r="428">
      <c r="A428" s="501" t="str">
        <f>IFERROR(__xludf.DUMMYFUNCTION("""COMPUTED_VALUE"""),"oktober")</f>
        <v>oktober</v>
      </c>
      <c r="B428" s="501">
        <f>IFERROR(__xludf.DUMMYFUNCTION("""COMPUTED_VALUE"""),42.0)</f>
        <v>42</v>
      </c>
      <c r="C428" s="501" t="str">
        <f>IFERROR(__xludf.DUMMYFUNCTION("""COMPUTED_VALUE"""),"dinsdag")</f>
        <v>dinsdag</v>
      </c>
      <c r="D428" s="502">
        <f>IFERROR(__xludf.DUMMYFUNCTION("""COMPUTED_VALUE"""),43753.0)</f>
        <v>43753</v>
      </c>
      <c r="E428" s="502">
        <f>IFERROR(__xludf.DUMMYFUNCTION("""COMPUTED_VALUE"""),43753.0)</f>
        <v>43753</v>
      </c>
      <c r="F428" s="501" t="str">
        <f>IFERROR(__xludf.DUMMYFUNCTION("""COMPUTED_VALUE"""),"")</f>
        <v/>
      </c>
      <c r="G428" s="503" t="str">
        <f>IFERROR(__xludf.DUMMYFUNCTION("""COMPUTED_VALUE"""),"")</f>
        <v/>
      </c>
      <c r="H428" s="501" t="str">
        <f>IFERROR(__xludf.DUMMYFUNCTION("""COMPUTED_VALUE"""),"")</f>
        <v/>
      </c>
      <c r="I428" s="503" t="str">
        <f>IFERROR(__xludf.DUMMYFUNCTION("""COMPUTED_VALUE"""),"")</f>
        <v/>
      </c>
      <c r="J428" s="501" t="str">
        <f>IFERROR(__xludf.DUMMYFUNCTION("""COMPUTED_VALUE"""),"")</f>
        <v/>
      </c>
      <c r="K428" s="503" t="str">
        <f>IFERROR(__xludf.DUMMYFUNCTION("""COMPUTED_VALUE"""),"")</f>
        <v/>
      </c>
      <c r="L428" s="501" t="str">
        <f>IFERROR(__xludf.DUMMYFUNCTION("""COMPUTED_VALUE"""),"")</f>
        <v/>
      </c>
      <c r="M428" s="504">
        <f>IFERROR(__xludf.DUMMYFUNCTION("""COMPUTED_VALUE"""),1.0)</f>
        <v>1</v>
      </c>
      <c r="N428" s="501" t="str">
        <f>IFERROR(__xludf.DUMMYFUNCTION("""COMPUTED_VALUE"""),"")</f>
        <v/>
      </c>
      <c r="O428" s="501" t="str">
        <f>IFERROR(__xludf.DUMMYFUNCTION("""COMPUTED_VALUE"""),"")</f>
        <v/>
      </c>
      <c r="P428" s="503" t="str">
        <f>IFERROR(__xludf.DUMMYFUNCTION("""COMPUTED_VALUE"""),"")</f>
        <v/>
      </c>
      <c r="Q428" s="501" t="str">
        <f>IFERROR(__xludf.DUMMYFUNCTION("""COMPUTED_VALUE"""),"")</f>
        <v/>
      </c>
      <c r="R428" s="501" t="str">
        <f>IFERROR(__xludf.DUMMYFUNCTION("""COMPUTED_VALUE"""),"")</f>
        <v/>
      </c>
      <c r="S428" s="503" t="str">
        <f>IFERROR(__xludf.DUMMYFUNCTION("""COMPUTED_VALUE"""),"")</f>
        <v/>
      </c>
      <c r="T428" s="503" t="str">
        <f>IFERROR(__xludf.DUMMYFUNCTION("""COMPUTED_VALUE"""),"utm_source=facebook&amp;utm_medium=socialmedia&amp;utm_campaign=&amp;utm_content=&amp;referrer=facebook")</f>
        <v>utm_source=facebook&amp;utm_medium=socialmedia&amp;utm_campaign=&amp;utm_content=&amp;referrer=facebook</v>
      </c>
    </row>
    <row r="429">
      <c r="A429" s="501" t="str">
        <f>IFERROR(__xludf.DUMMYFUNCTION("""COMPUTED_VALUE"""),"oktober")</f>
        <v>oktober</v>
      </c>
      <c r="B429" s="501">
        <f>IFERROR(__xludf.DUMMYFUNCTION("""COMPUTED_VALUE"""),42.0)</f>
        <v>42</v>
      </c>
      <c r="C429" s="501" t="str">
        <f>IFERROR(__xludf.DUMMYFUNCTION("""COMPUTED_VALUE"""),"woensdag")</f>
        <v>woensdag</v>
      </c>
      <c r="D429" s="502">
        <f>IFERROR(__xludf.DUMMYFUNCTION("""COMPUTED_VALUE"""),43754.0)</f>
        <v>43754</v>
      </c>
      <c r="E429" s="502">
        <f>IFERROR(__xludf.DUMMYFUNCTION("""COMPUTED_VALUE"""),43754.0)</f>
        <v>43754</v>
      </c>
      <c r="F429" s="501" t="str">
        <f>IFERROR(__xludf.DUMMYFUNCTION("""COMPUTED_VALUE"""),"")</f>
        <v/>
      </c>
      <c r="G429" s="503" t="str">
        <f>IFERROR(__xludf.DUMMYFUNCTION("""COMPUTED_VALUE"""),"")</f>
        <v/>
      </c>
      <c r="H429" s="501" t="str">
        <f>IFERROR(__xludf.DUMMYFUNCTION("""COMPUTED_VALUE"""),"")</f>
        <v/>
      </c>
      <c r="I429" s="503" t="str">
        <f>IFERROR(__xludf.DUMMYFUNCTION("""COMPUTED_VALUE"""),"")</f>
        <v/>
      </c>
      <c r="J429" s="501" t="str">
        <f>IFERROR(__xludf.DUMMYFUNCTION("""COMPUTED_VALUE"""),"")</f>
        <v/>
      </c>
      <c r="K429" s="503" t="str">
        <f>IFERROR(__xludf.DUMMYFUNCTION("""COMPUTED_VALUE"""),"")</f>
        <v/>
      </c>
      <c r="L429" s="501" t="str">
        <f>IFERROR(__xludf.DUMMYFUNCTION("""COMPUTED_VALUE"""),"")</f>
        <v/>
      </c>
      <c r="M429" s="504">
        <f>IFERROR(__xludf.DUMMYFUNCTION("""COMPUTED_VALUE"""),1.0)</f>
        <v>1</v>
      </c>
      <c r="N429" s="501" t="str">
        <f>IFERROR(__xludf.DUMMYFUNCTION("""COMPUTED_VALUE"""),"")</f>
        <v/>
      </c>
      <c r="O429" s="501" t="str">
        <f>IFERROR(__xludf.DUMMYFUNCTION("""COMPUTED_VALUE"""),"")</f>
        <v/>
      </c>
      <c r="P429" s="503" t="str">
        <f>IFERROR(__xludf.DUMMYFUNCTION("""COMPUTED_VALUE"""),"")</f>
        <v/>
      </c>
      <c r="Q429" s="501" t="str">
        <f>IFERROR(__xludf.DUMMYFUNCTION("""COMPUTED_VALUE"""),"")</f>
        <v/>
      </c>
      <c r="R429" s="501" t="str">
        <f>IFERROR(__xludf.DUMMYFUNCTION("""COMPUTED_VALUE"""),"")</f>
        <v/>
      </c>
      <c r="S429" s="503" t="str">
        <f>IFERROR(__xludf.DUMMYFUNCTION("""COMPUTED_VALUE"""),"")</f>
        <v/>
      </c>
      <c r="T429" s="503" t="str">
        <f>IFERROR(__xludf.DUMMYFUNCTION("""COMPUTED_VALUE"""),"utm_source=facebook&amp;utm_medium=socialmedia&amp;utm_campaign=&amp;utm_content=&amp;referrer=facebook")</f>
        <v>utm_source=facebook&amp;utm_medium=socialmedia&amp;utm_campaign=&amp;utm_content=&amp;referrer=facebook</v>
      </c>
    </row>
    <row r="430">
      <c r="A430" s="501" t="str">
        <f>IFERROR(__xludf.DUMMYFUNCTION("""COMPUTED_VALUE"""),"oktober")</f>
        <v>oktober</v>
      </c>
      <c r="B430" s="501">
        <f>IFERROR(__xludf.DUMMYFUNCTION("""COMPUTED_VALUE"""),42.0)</f>
        <v>42</v>
      </c>
      <c r="C430" s="501" t="str">
        <f>IFERROR(__xludf.DUMMYFUNCTION("""COMPUTED_VALUE"""),"donderdag")</f>
        <v>donderdag</v>
      </c>
      <c r="D430" s="502">
        <f>IFERROR(__xludf.DUMMYFUNCTION("""COMPUTED_VALUE"""),43755.0)</f>
        <v>43755</v>
      </c>
      <c r="E430" s="502">
        <f>IFERROR(__xludf.DUMMYFUNCTION("""COMPUTED_VALUE"""),43755.0)</f>
        <v>43755</v>
      </c>
      <c r="F430" s="501" t="str">
        <f>IFERROR(__xludf.DUMMYFUNCTION("""COMPUTED_VALUE"""),"")</f>
        <v/>
      </c>
      <c r="G430" s="503" t="str">
        <f>IFERROR(__xludf.DUMMYFUNCTION("""COMPUTED_VALUE"""),"")</f>
        <v/>
      </c>
      <c r="H430" s="501" t="str">
        <f>IFERROR(__xludf.DUMMYFUNCTION("""COMPUTED_VALUE"""),"")</f>
        <v/>
      </c>
      <c r="I430" s="503" t="str">
        <f>IFERROR(__xludf.DUMMYFUNCTION("""COMPUTED_VALUE"""),"")</f>
        <v/>
      </c>
      <c r="J430" s="501" t="str">
        <f>IFERROR(__xludf.DUMMYFUNCTION("""COMPUTED_VALUE"""),"")</f>
        <v/>
      </c>
      <c r="K430" s="503" t="str">
        <f>IFERROR(__xludf.DUMMYFUNCTION("""COMPUTED_VALUE"""),"")</f>
        <v/>
      </c>
      <c r="L430" s="501" t="str">
        <f>IFERROR(__xludf.DUMMYFUNCTION("""COMPUTED_VALUE"""),"")</f>
        <v/>
      </c>
      <c r="M430" s="504">
        <f>IFERROR(__xludf.DUMMYFUNCTION("""COMPUTED_VALUE"""),1.0)</f>
        <v>1</v>
      </c>
      <c r="N430" s="501" t="str">
        <f>IFERROR(__xludf.DUMMYFUNCTION("""COMPUTED_VALUE"""),"")</f>
        <v/>
      </c>
      <c r="O430" s="501" t="str">
        <f>IFERROR(__xludf.DUMMYFUNCTION("""COMPUTED_VALUE"""),"")</f>
        <v/>
      </c>
      <c r="P430" s="503" t="str">
        <f>IFERROR(__xludf.DUMMYFUNCTION("""COMPUTED_VALUE"""),"")</f>
        <v/>
      </c>
      <c r="Q430" s="501" t="str">
        <f>IFERROR(__xludf.DUMMYFUNCTION("""COMPUTED_VALUE"""),"")</f>
        <v/>
      </c>
      <c r="R430" s="501" t="str">
        <f>IFERROR(__xludf.DUMMYFUNCTION("""COMPUTED_VALUE"""),"")</f>
        <v/>
      </c>
      <c r="S430" s="503" t="str">
        <f>IFERROR(__xludf.DUMMYFUNCTION("""COMPUTED_VALUE"""),"")</f>
        <v/>
      </c>
      <c r="T430" s="503" t="str">
        <f>IFERROR(__xludf.DUMMYFUNCTION("""COMPUTED_VALUE"""),"utm_source=facebook&amp;utm_medium=socialmedia&amp;utm_campaign=&amp;utm_content=&amp;referrer=facebook")</f>
        <v>utm_source=facebook&amp;utm_medium=socialmedia&amp;utm_campaign=&amp;utm_content=&amp;referrer=facebook</v>
      </c>
    </row>
    <row r="431">
      <c r="A431" s="501" t="str">
        <f>IFERROR(__xludf.DUMMYFUNCTION("""COMPUTED_VALUE"""),"oktober")</f>
        <v>oktober</v>
      </c>
      <c r="B431" s="501">
        <f>IFERROR(__xludf.DUMMYFUNCTION("""COMPUTED_VALUE"""),42.0)</f>
        <v>42</v>
      </c>
      <c r="C431" s="501" t="str">
        <f>IFERROR(__xludf.DUMMYFUNCTION("""COMPUTED_VALUE"""),"vrijdag")</f>
        <v>vrijdag</v>
      </c>
      <c r="D431" s="502">
        <f>IFERROR(__xludf.DUMMYFUNCTION("""COMPUTED_VALUE"""),43756.0)</f>
        <v>43756</v>
      </c>
      <c r="E431" s="502">
        <f>IFERROR(__xludf.DUMMYFUNCTION("""COMPUTED_VALUE"""),43756.0)</f>
        <v>43756</v>
      </c>
      <c r="F431" s="501" t="str">
        <f>IFERROR(__xludf.DUMMYFUNCTION("""COMPUTED_VALUE"""),"")</f>
        <v/>
      </c>
      <c r="G431" s="503" t="str">
        <f>IFERROR(__xludf.DUMMYFUNCTION("""COMPUTED_VALUE"""),"")</f>
        <v/>
      </c>
      <c r="H431" s="501" t="str">
        <f>IFERROR(__xludf.DUMMYFUNCTION("""COMPUTED_VALUE"""),"")</f>
        <v/>
      </c>
      <c r="I431" s="503" t="str">
        <f>IFERROR(__xludf.DUMMYFUNCTION("""COMPUTED_VALUE"""),"")</f>
        <v/>
      </c>
      <c r="J431" s="501" t="str">
        <f>IFERROR(__xludf.DUMMYFUNCTION("""COMPUTED_VALUE"""),"")</f>
        <v/>
      </c>
      <c r="K431" s="503" t="str">
        <f>IFERROR(__xludf.DUMMYFUNCTION("""COMPUTED_VALUE"""),"")</f>
        <v/>
      </c>
      <c r="L431" s="501" t="str">
        <f>IFERROR(__xludf.DUMMYFUNCTION("""COMPUTED_VALUE"""),"")</f>
        <v/>
      </c>
      <c r="M431" s="504">
        <f>IFERROR(__xludf.DUMMYFUNCTION("""COMPUTED_VALUE"""),1.0)</f>
        <v>1</v>
      </c>
      <c r="N431" s="501" t="str">
        <f>IFERROR(__xludf.DUMMYFUNCTION("""COMPUTED_VALUE"""),"")</f>
        <v/>
      </c>
      <c r="O431" s="501" t="str">
        <f>IFERROR(__xludf.DUMMYFUNCTION("""COMPUTED_VALUE"""),"")</f>
        <v/>
      </c>
      <c r="P431" s="503" t="str">
        <f>IFERROR(__xludf.DUMMYFUNCTION("""COMPUTED_VALUE"""),"")</f>
        <v/>
      </c>
      <c r="Q431" s="501" t="str">
        <f>IFERROR(__xludf.DUMMYFUNCTION("""COMPUTED_VALUE"""),"")</f>
        <v/>
      </c>
      <c r="R431" s="501" t="str">
        <f>IFERROR(__xludf.DUMMYFUNCTION("""COMPUTED_VALUE"""),"")</f>
        <v/>
      </c>
      <c r="S431" s="503" t="str">
        <f>IFERROR(__xludf.DUMMYFUNCTION("""COMPUTED_VALUE"""),"")</f>
        <v/>
      </c>
      <c r="T431" s="503" t="str">
        <f>IFERROR(__xludf.DUMMYFUNCTION("""COMPUTED_VALUE"""),"utm_source=facebook&amp;utm_medium=socialmedia&amp;utm_campaign=&amp;utm_content=&amp;referrer=facebook")</f>
        <v>utm_source=facebook&amp;utm_medium=socialmedia&amp;utm_campaign=&amp;utm_content=&amp;referrer=facebook</v>
      </c>
    </row>
    <row r="432">
      <c r="A432" s="501" t="str">
        <f>IFERROR(__xludf.DUMMYFUNCTION("""COMPUTED_VALUE"""),"oktober")</f>
        <v>oktober</v>
      </c>
      <c r="B432" s="501">
        <f>IFERROR(__xludf.DUMMYFUNCTION("""COMPUTED_VALUE"""),42.0)</f>
        <v>42</v>
      </c>
      <c r="C432" s="501" t="str">
        <f>IFERROR(__xludf.DUMMYFUNCTION("""COMPUTED_VALUE"""),"zaterdag")</f>
        <v>zaterdag</v>
      </c>
      <c r="D432" s="502">
        <f>IFERROR(__xludf.DUMMYFUNCTION("""COMPUTED_VALUE"""),43757.0)</f>
        <v>43757</v>
      </c>
      <c r="E432" s="502">
        <f>IFERROR(__xludf.DUMMYFUNCTION("""COMPUTED_VALUE"""),43757.0)</f>
        <v>43757</v>
      </c>
      <c r="F432" s="501" t="str">
        <f>IFERROR(__xludf.DUMMYFUNCTION("""COMPUTED_VALUE"""),"")</f>
        <v/>
      </c>
      <c r="G432" s="503" t="str">
        <f>IFERROR(__xludf.DUMMYFUNCTION("""COMPUTED_VALUE"""),"")</f>
        <v/>
      </c>
      <c r="H432" s="501" t="str">
        <f>IFERROR(__xludf.DUMMYFUNCTION("""COMPUTED_VALUE"""),"")</f>
        <v/>
      </c>
      <c r="I432" s="503" t="str">
        <f>IFERROR(__xludf.DUMMYFUNCTION("""COMPUTED_VALUE"""),"")</f>
        <v/>
      </c>
      <c r="J432" s="501" t="str">
        <f>IFERROR(__xludf.DUMMYFUNCTION("""COMPUTED_VALUE"""),"")</f>
        <v/>
      </c>
      <c r="K432" s="503" t="str">
        <f>IFERROR(__xludf.DUMMYFUNCTION("""COMPUTED_VALUE"""),"")</f>
        <v/>
      </c>
      <c r="L432" s="501" t="str">
        <f>IFERROR(__xludf.DUMMYFUNCTION("""COMPUTED_VALUE"""),"")</f>
        <v/>
      </c>
      <c r="M432" s="504">
        <f>IFERROR(__xludf.DUMMYFUNCTION("""COMPUTED_VALUE"""),1.0)</f>
        <v>1</v>
      </c>
      <c r="N432" s="501" t="str">
        <f>IFERROR(__xludf.DUMMYFUNCTION("""COMPUTED_VALUE"""),"")</f>
        <v/>
      </c>
      <c r="O432" s="501" t="str">
        <f>IFERROR(__xludf.DUMMYFUNCTION("""COMPUTED_VALUE"""),"")</f>
        <v/>
      </c>
      <c r="P432" s="503" t="str">
        <f>IFERROR(__xludf.DUMMYFUNCTION("""COMPUTED_VALUE"""),"")</f>
        <v/>
      </c>
      <c r="Q432" s="501" t="str">
        <f>IFERROR(__xludf.DUMMYFUNCTION("""COMPUTED_VALUE"""),"")</f>
        <v/>
      </c>
      <c r="R432" s="501" t="str">
        <f>IFERROR(__xludf.DUMMYFUNCTION("""COMPUTED_VALUE"""),"")</f>
        <v/>
      </c>
      <c r="S432" s="503" t="str">
        <f>IFERROR(__xludf.DUMMYFUNCTION("""COMPUTED_VALUE"""),"")</f>
        <v/>
      </c>
      <c r="T432" s="503" t="str">
        <f>IFERROR(__xludf.DUMMYFUNCTION("""COMPUTED_VALUE"""),"utm_source=facebook&amp;utm_medium=socialmedia&amp;utm_campaign=&amp;utm_content=&amp;referrer=facebook")</f>
        <v>utm_source=facebook&amp;utm_medium=socialmedia&amp;utm_campaign=&amp;utm_content=&amp;referrer=facebook</v>
      </c>
    </row>
    <row r="433">
      <c r="A433" s="501" t="str">
        <f>IFERROR(__xludf.DUMMYFUNCTION("""COMPUTED_VALUE"""),"oktober")</f>
        <v>oktober</v>
      </c>
      <c r="B433" s="501">
        <f>IFERROR(__xludf.DUMMYFUNCTION("""COMPUTED_VALUE"""),43.0)</f>
        <v>43</v>
      </c>
      <c r="C433" s="501" t="str">
        <f>IFERROR(__xludf.DUMMYFUNCTION("""COMPUTED_VALUE"""),"zondag")</f>
        <v>zondag</v>
      </c>
      <c r="D433" s="502">
        <f>IFERROR(__xludf.DUMMYFUNCTION("""COMPUTED_VALUE"""),43758.0)</f>
        <v>43758</v>
      </c>
      <c r="E433" s="502">
        <f>IFERROR(__xludf.DUMMYFUNCTION("""COMPUTED_VALUE"""),43758.0)</f>
        <v>43758</v>
      </c>
      <c r="F433" s="501" t="str">
        <f>IFERROR(__xludf.DUMMYFUNCTION("""COMPUTED_VALUE"""),"")</f>
        <v/>
      </c>
      <c r="G433" s="503" t="str">
        <f>IFERROR(__xludf.DUMMYFUNCTION("""COMPUTED_VALUE"""),"")</f>
        <v/>
      </c>
      <c r="H433" s="501" t="str">
        <f>IFERROR(__xludf.DUMMYFUNCTION("""COMPUTED_VALUE"""),"")</f>
        <v/>
      </c>
      <c r="I433" s="503" t="str">
        <f>IFERROR(__xludf.DUMMYFUNCTION("""COMPUTED_VALUE"""),"")</f>
        <v/>
      </c>
      <c r="J433" s="501" t="str">
        <f>IFERROR(__xludf.DUMMYFUNCTION("""COMPUTED_VALUE"""),"")</f>
        <v/>
      </c>
      <c r="K433" s="503" t="str">
        <f>IFERROR(__xludf.DUMMYFUNCTION("""COMPUTED_VALUE"""),"")</f>
        <v/>
      </c>
      <c r="L433" s="501" t="str">
        <f>IFERROR(__xludf.DUMMYFUNCTION("""COMPUTED_VALUE"""),"")</f>
        <v/>
      </c>
      <c r="M433" s="504">
        <f>IFERROR(__xludf.DUMMYFUNCTION("""COMPUTED_VALUE"""),1.0)</f>
        <v>1</v>
      </c>
      <c r="N433" s="501" t="str">
        <f>IFERROR(__xludf.DUMMYFUNCTION("""COMPUTED_VALUE"""),"")</f>
        <v/>
      </c>
      <c r="O433" s="501" t="str">
        <f>IFERROR(__xludf.DUMMYFUNCTION("""COMPUTED_VALUE"""),"")</f>
        <v/>
      </c>
      <c r="P433" s="503" t="str">
        <f>IFERROR(__xludf.DUMMYFUNCTION("""COMPUTED_VALUE"""),"")</f>
        <v/>
      </c>
      <c r="Q433" s="501" t="str">
        <f>IFERROR(__xludf.DUMMYFUNCTION("""COMPUTED_VALUE"""),"")</f>
        <v/>
      </c>
      <c r="R433" s="501" t="str">
        <f>IFERROR(__xludf.DUMMYFUNCTION("""COMPUTED_VALUE"""),"")</f>
        <v/>
      </c>
      <c r="S433" s="503" t="str">
        <f>IFERROR(__xludf.DUMMYFUNCTION("""COMPUTED_VALUE"""),"")</f>
        <v/>
      </c>
      <c r="T433" s="503" t="str">
        <f>IFERROR(__xludf.DUMMYFUNCTION("""COMPUTED_VALUE"""),"utm_source=facebook&amp;utm_medium=socialmedia&amp;utm_campaign=&amp;utm_content=&amp;referrer=facebook")</f>
        <v>utm_source=facebook&amp;utm_medium=socialmedia&amp;utm_campaign=&amp;utm_content=&amp;referrer=facebook</v>
      </c>
    </row>
    <row r="434">
      <c r="A434" s="501" t="str">
        <f>IFERROR(__xludf.DUMMYFUNCTION("""COMPUTED_VALUE"""),"oktober")</f>
        <v>oktober</v>
      </c>
      <c r="B434" s="501">
        <f>IFERROR(__xludf.DUMMYFUNCTION("""COMPUTED_VALUE"""),43.0)</f>
        <v>43</v>
      </c>
      <c r="C434" s="501" t="str">
        <f>IFERROR(__xludf.DUMMYFUNCTION("""COMPUTED_VALUE"""),"maandag")</f>
        <v>maandag</v>
      </c>
      <c r="D434" s="502">
        <f>IFERROR(__xludf.DUMMYFUNCTION("""COMPUTED_VALUE"""),43759.0)</f>
        <v>43759</v>
      </c>
      <c r="E434" s="502">
        <f>IFERROR(__xludf.DUMMYFUNCTION("""COMPUTED_VALUE"""),43759.0)</f>
        <v>43759</v>
      </c>
      <c r="F434" s="501" t="str">
        <f>IFERROR(__xludf.DUMMYFUNCTION("""COMPUTED_VALUE"""),"")</f>
        <v/>
      </c>
      <c r="G434" s="503" t="str">
        <f>IFERROR(__xludf.DUMMYFUNCTION("""COMPUTED_VALUE"""),"")</f>
        <v/>
      </c>
      <c r="H434" s="501" t="str">
        <f>IFERROR(__xludf.DUMMYFUNCTION("""COMPUTED_VALUE"""),"")</f>
        <v/>
      </c>
      <c r="I434" s="503" t="str">
        <f>IFERROR(__xludf.DUMMYFUNCTION("""COMPUTED_VALUE"""),"")</f>
        <v/>
      </c>
      <c r="J434" s="501" t="str">
        <f>IFERROR(__xludf.DUMMYFUNCTION("""COMPUTED_VALUE"""),"")</f>
        <v/>
      </c>
      <c r="K434" s="503" t="str">
        <f>IFERROR(__xludf.DUMMYFUNCTION("""COMPUTED_VALUE"""),"")</f>
        <v/>
      </c>
      <c r="L434" s="501" t="str">
        <f>IFERROR(__xludf.DUMMYFUNCTION("""COMPUTED_VALUE"""),"")</f>
        <v/>
      </c>
      <c r="M434" s="504">
        <f>IFERROR(__xludf.DUMMYFUNCTION("""COMPUTED_VALUE"""),1.0)</f>
        <v>1</v>
      </c>
      <c r="N434" s="501" t="str">
        <f>IFERROR(__xludf.DUMMYFUNCTION("""COMPUTED_VALUE"""),"")</f>
        <v/>
      </c>
      <c r="O434" s="501" t="str">
        <f>IFERROR(__xludf.DUMMYFUNCTION("""COMPUTED_VALUE"""),"")</f>
        <v/>
      </c>
      <c r="P434" s="503" t="str">
        <f>IFERROR(__xludf.DUMMYFUNCTION("""COMPUTED_VALUE"""),"")</f>
        <v/>
      </c>
      <c r="Q434" s="501" t="str">
        <f>IFERROR(__xludf.DUMMYFUNCTION("""COMPUTED_VALUE"""),"")</f>
        <v/>
      </c>
      <c r="R434" s="501" t="str">
        <f>IFERROR(__xludf.DUMMYFUNCTION("""COMPUTED_VALUE"""),"")</f>
        <v/>
      </c>
      <c r="S434" s="503" t="str">
        <f>IFERROR(__xludf.DUMMYFUNCTION("""COMPUTED_VALUE"""),"")</f>
        <v/>
      </c>
      <c r="T434" s="503" t="str">
        <f>IFERROR(__xludf.DUMMYFUNCTION("""COMPUTED_VALUE"""),"utm_source=facebook&amp;utm_medium=socialmedia&amp;utm_campaign=&amp;utm_content=&amp;referrer=facebook")</f>
        <v>utm_source=facebook&amp;utm_medium=socialmedia&amp;utm_campaign=&amp;utm_content=&amp;referrer=facebook</v>
      </c>
    </row>
    <row r="435">
      <c r="A435" s="501" t="str">
        <f>IFERROR(__xludf.DUMMYFUNCTION("""COMPUTED_VALUE"""),"oktober")</f>
        <v>oktober</v>
      </c>
      <c r="B435" s="501">
        <f>IFERROR(__xludf.DUMMYFUNCTION("""COMPUTED_VALUE"""),43.0)</f>
        <v>43</v>
      </c>
      <c r="C435" s="501" t="str">
        <f>IFERROR(__xludf.DUMMYFUNCTION("""COMPUTED_VALUE"""),"dinsdag")</f>
        <v>dinsdag</v>
      </c>
      <c r="D435" s="502">
        <f>IFERROR(__xludf.DUMMYFUNCTION("""COMPUTED_VALUE"""),43760.0)</f>
        <v>43760</v>
      </c>
      <c r="E435" s="502">
        <f>IFERROR(__xludf.DUMMYFUNCTION("""COMPUTED_VALUE"""),43760.0)</f>
        <v>43760</v>
      </c>
      <c r="F435" s="501" t="str">
        <f>IFERROR(__xludf.DUMMYFUNCTION("""COMPUTED_VALUE"""),"")</f>
        <v/>
      </c>
      <c r="G435" s="503" t="str">
        <f>IFERROR(__xludf.DUMMYFUNCTION("""COMPUTED_VALUE"""),"")</f>
        <v/>
      </c>
      <c r="H435" s="501" t="str">
        <f>IFERROR(__xludf.DUMMYFUNCTION("""COMPUTED_VALUE"""),"")</f>
        <v/>
      </c>
      <c r="I435" s="503" t="str">
        <f>IFERROR(__xludf.DUMMYFUNCTION("""COMPUTED_VALUE"""),"")</f>
        <v/>
      </c>
      <c r="J435" s="501" t="str">
        <f>IFERROR(__xludf.DUMMYFUNCTION("""COMPUTED_VALUE"""),"")</f>
        <v/>
      </c>
      <c r="K435" s="503" t="str">
        <f>IFERROR(__xludf.DUMMYFUNCTION("""COMPUTED_VALUE"""),"")</f>
        <v/>
      </c>
      <c r="L435" s="501" t="str">
        <f>IFERROR(__xludf.DUMMYFUNCTION("""COMPUTED_VALUE"""),"")</f>
        <v/>
      </c>
      <c r="M435" s="504">
        <f>IFERROR(__xludf.DUMMYFUNCTION("""COMPUTED_VALUE"""),1.0)</f>
        <v>1</v>
      </c>
      <c r="N435" s="501" t="str">
        <f>IFERROR(__xludf.DUMMYFUNCTION("""COMPUTED_VALUE"""),"")</f>
        <v/>
      </c>
      <c r="O435" s="501" t="str">
        <f>IFERROR(__xludf.DUMMYFUNCTION("""COMPUTED_VALUE"""),"")</f>
        <v/>
      </c>
      <c r="P435" s="503" t="str">
        <f>IFERROR(__xludf.DUMMYFUNCTION("""COMPUTED_VALUE"""),"")</f>
        <v/>
      </c>
      <c r="Q435" s="501" t="str">
        <f>IFERROR(__xludf.DUMMYFUNCTION("""COMPUTED_VALUE"""),"")</f>
        <v/>
      </c>
      <c r="R435" s="501" t="str">
        <f>IFERROR(__xludf.DUMMYFUNCTION("""COMPUTED_VALUE"""),"")</f>
        <v/>
      </c>
      <c r="S435" s="503" t="str">
        <f>IFERROR(__xludf.DUMMYFUNCTION("""COMPUTED_VALUE"""),"")</f>
        <v/>
      </c>
      <c r="T435" s="503" t="str">
        <f>IFERROR(__xludf.DUMMYFUNCTION("""COMPUTED_VALUE"""),"utm_source=facebook&amp;utm_medium=socialmedia&amp;utm_campaign=&amp;utm_content=&amp;referrer=facebook")</f>
        <v>utm_source=facebook&amp;utm_medium=socialmedia&amp;utm_campaign=&amp;utm_content=&amp;referrer=facebook</v>
      </c>
    </row>
    <row r="436">
      <c r="A436" s="501" t="str">
        <f>IFERROR(__xludf.DUMMYFUNCTION("""COMPUTED_VALUE"""),"oktober")</f>
        <v>oktober</v>
      </c>
      <c r="B436" s="501">
        <f>IFERROR(__xludf.DUMMYFUNCTION("""COMPUTED_VALUE"""),43.0)</f>
        <v>43</v>
      </c>
      <c r="C436" s="501" t="str">
        <f>IFERROR(__xludf.DUMMYFUNCTION("""COMPUTED_VALUE"""),"woensdag")</f>
        <v>woensdag</v>
      </c>
      <c r="D436" s="502">
        <f>IFERROR(__xludf.DUMMYFUNCTION("""COMPUTED_VALUE"""),43761.0)</f>
        <v>43761</v>
      </c>
      <c r="E436" s="502">
        <f>IFERROR(__xludf.DUMMYFUNCTION("""COMPUTED_VALUE"""),43761.0)</f>
        <v>43761</v>
      </c>
      <c r="F436" s="501" t="str">
        <f>IFERROR(__xludf.DUMMYFUNCTION("""COMPUTED_VALUE"""),"")</f>
        <v/>
      </c>
      <c r="G436" s="503" t="str">
        <f>IFERROR(__xludf.DUMMYFUNCTION("""COMPUTED_VALUE"""),"")</f>
        <v/>
      </c>
      <c r="H436" s="501" t="str">
        <f>IFERROR(__xludf.DUMMYFUNCTION("""COMPUTED_VALUE"""),"")</f>
        <v/>
      </c>
      <c r="I436" s="503" t="str">
        <f>IFERROR(__xludf.DUMMYFUNCTION("""COMPUTED_VALUE"""),"")</f>
        <v/>
      </c>
      <c r="J436" s="501" t="str">
        <f>IFERROR(__xludf.DUMMYFUNCTION("""COMPUTED_VALUE"""),"")</f>
        <v/>
      </c>
      <c r="K436" s="503" t="str">
        <f>IFERROR(__xludf.DUMMYFUNCTION("""COMPUTED_VALUE"""),"")</f>
        <v/>
      </c>
      <c r="L436" s="501" t="str">
        <f>IFERROR(__xludf.DUMMYFUNCTION("""COMPUTED_VALUE"""),"")</f>
        <v/>
      </c>
      <c r="M436" s="504">
        <f>IFERROR(__xludf.DUMMYFUNCTION("""COMPUTED_VALUE"""),1.0)</f>
        <v>1</v>
      </c>
      <c r="N436" s="501" t="str">
        <f>IFERROR(__xludf.DUMMYFUNCTION("""COMPUTED_VALUE"""),"")</f>
        <v/>
      </c>
      <c r="O436" s="501" t="str">
        <f>IFERROR(__xludf.DUMMYFUNCTION("""COMPUTED_VALUE"""),"")</f>
        <v/>
      </c>
      <c r="P436" s="503" t="str">
        <f>IFERROR(__xludf.DUMMYFUNCTION("""COMPUTED_VALUE"""),"")</f>
        <v/>
      </c>
      <c r="Q436" s="501" t="str">
        <f>IFERROR(__xludf.DUMMYFUNCTION("""COMPUTED_VALUE"""),"")</f>
        <v/>
      </c>
      <c r="R436" s="501" t="str">
        <f>IFERROR(__xludf.DUMMYFUNCTION("""COMPUTED_VALUE"""),"")</f>
        <v/>
      </c>
      <c r="S436" s="503" t="str">
        <f>IFERROR(__xludf.DUMMYFUNCTION("""COMPUTED_VALUE"""),"")</f>
        <v/>
      </c>
      <c r="T436" s="503" t="str">
        <f>IFERROR(__xludf.DUMMYFUNCTION("""COMPUTED_VALUE"""),"utm_source=facebook&amp;utm_medium=socialmedia&amp;utm_campaign=&amp;utm_content=&amp;referrer=facebook")</f>
        <v>utm_source=facebook&amp;utm_medium=socialmedia&amp;utm_campaign=&amp;utm_content=&amp;referrer=facebook</v>
      </c>
    </row>
    <row r="437">
      <c r="A437" s="501" t="str">
        <f>IFERROR(__xludf.DUMMYFUNCTION("""COMPUTED_VALUE"""),"oktober")</f>
        <v>oktober</v>
      </c>
      <c r="B437" s="501">
        <f>IFERROR(__xludf.DUMMYFUNCTION("""COMPUTED_VALUE"""),43.0)</f>
        <v>43</v>
      </c>
      <c r="C437" s="501" t="str">
        <f>IFERROR(__xludf.DUMMYFUNCTION("""COMPUTED_VALUE"""),"donderdag")</f>
        <v>donderdag</v>
      </c>
      <c r="D437" s="502">
        <f>IFERROR(__xludf.DUMMYFUNCTION("""COMPUTED_VALUE"""),43762.0)</f>
        <v>43762</v>
      </c>
      <c r="E437" s="502">
        <f>IFERROR(__xludf.DUMMYFUNCTION("""COMPUTED_VALUE"""),43762.0)</f>
        <v>43762</v>
      </c>
      <c r="F437" s="501" t="str">
        <f>IFERROR(__xludf.DUMMYFUNCTION("""COMPUTED_VALUE"""),"")</f>
        <v/>
      </c>
      <c r="G437" s="503" t="str">
        <f>IFERROR(__xludf.DUMMYFUNCTION("""COMPUTED_VALUE"""),"")</f>
        <v/>
      </c>
      <c r="H437" s="501" t="str">
        <f>IFERROR(__xludf.DUMMYFUNCTION("""COMPUTED_VALUE"""),"")</f>
        <v/>
      </c>
      <c r="I437" s="503" t="str">
        <f>IFERROR(__xludf.DUMMYFUNCTION("""COMPUTED_VALUE"""),"")</f>
        <v/>
      </c>
      <c r="J437" s="501" t="str">
        <f>IFERROR(__xludf.DUMMYFUNCTION("""COMPUTED_VALUE"""),"")</f>
        <v/>
      </c>
      <c r="K437" s="503" t="str">
        <f>IFERROR(__xludf.DUMMYFUNCTION("""COMPUTED_VALUE"""),"")</f>
        <v/>
      </c>
      <c r="L437" s="501" t="str">
        <f>IFERROR(__xludf.DUMMYFUNCTION("""COMPUTED_VALUE"""),"")</f>
        <v/>
      </c>
      <c r="M437" s="504">
        <f>IFERROR(__xludf.DUMMYFUNCTION("""COMPUTED_VALUE"""),1.0)</f>
        <v>1</v>
      </c>
      <c r="N437" s="501" t="str">
        <f>IFERROR(__xludf.DUMMYFUNCTION("""COMPUTED_VALUE"""),"")</f>
        <v/>
      </c>
      <c r="O437" s="501" t="str">
        <f>IFERROR(__xludf.DUMMYFUNCTION("""COMPUTED_VALUE"""),"")</f>
        <v/>
      </c>
      <c r="P437" s="503" t="str">
        <f>IFERROR(__xludf.DUMMYFUNCTION("""COMPUTED_VALUE"""),"")</f>
        <v/>
      </c>
      <c r="Q437" s="501" t="str">
        <f>IFERROR(__xludf.DUMMYFUNCTION("""COMPUTED_VALUE"""),"")</f>
        <v/>
      </c>
      <c r="R437" s="501" t="str">
        <f>IFERROR(__xludf.DUMMYFUNCTION("""COMPUTED_VALUE"""),"")</f>
        <v/>
      </c>
      <c r="S437" s="503" t="str">
        <f>IFERROR(__xludf.DUMMYFUNCTION("""COMPUTED_VALUE"""),"")</f>
        <v/>
      </c>
      <c r="T437" s="503" t="str">
        <f>IFERROR(__xludf.DUMMYFUNCTION("""COMPUTED_VALUE"""),"utm_source=facebook&amp;utm_medium=socialmedia&amp;utm_campaign=&amp;utm_content=&amp;referrer=facebook")</f>
        <v>utm_source=facebook&amp;utm_medium=socialmedia&amp;utm_campaign=&amp;utm_content=&amp;referrer=facebook</v>
      </c>
    </row>
    <row r="438">
      <c r="A438" s="501" t="str">
        <f>IFERROR(__xludf.DUMMYFUNCTION("""COMPUTED_VALUE"""),"oktober")</f>
        <v>oktober</v>
      </c>
      <c r="B438" s="501">
        <f>IFERROR(__xludf.DUMMYFUNCTION("""COMPUTED_VALUE"""),43.0)</f>
        <v>43</v>
      </c>
      <c r="C438" s="501" t="str">
        <f>IFERROR(__xludf.DUMMYFUNCTION("""COMPUTED_VALUE"""),"vrijdag")</f>
        <v>vrijdag</v>
      </c>
      <c r="D438" s="502">
        <f>IFERROR(__xludf.DUMMYFUNCTION("""COMPUTED_VALUE"""),43763.0)</f>
        <v>43763</v>
      </c>
      <c r="E438" s="502">
        <f>IFERROR(__xludf.DUMMYFUNCTION("""COMPUTED_VALUE"""),43763.0)</f>
        <v>43763</v>
      </c>
      <c r="F438" s="501" t="str">
        <f>IFERROR(__xludf.DUMMYFUNCTION("""COMPUTED_VALUE"""),"")</f>
        <v/>
      </c>
      <c r="G438" s="503" t="str">
        <f>IFERROR(__xludf.DUMMYFUNCTION("""COMPUTED_VALUE"""),"")</f>
        <v/>
      </c>
      <c r="H438" s="501" t="str">
        <f>IFERROR(__xludf.DUMMYFUNCTION("""COMPUTED_VALUE"""),"")</f>
        <v/>
      </c>
      <c r="I438" s="503" t="str">
        <f>IFERROR(__xludf.DUMMYFUNCTION("""COMPUTED_VALUE"""),"")</f>
        <v/>
      </c>
      <c r="J438" s="501" t="str">
        <f>IFERROR(__xludf.DUMMYFUNCTION("""COMPUTED_VALUE"""),"")</f>
        <v/>
      </c>
      <c r="K438" s="503" t="str">
        <f>IFERROR(__xludf.DUMMYFUNCTION("""COMPUTED_VALUE"""),"")</f>
        <v/>
      </c>
      <c r="L438" s="501" t="str">
        <f>IFERROR(__xludf.DUMMYFUNCTION("""COMPUTED_VALUE"""),"")</f>
        <v/>
      </c>
      <c r="M438" s="504">
        <f>IFERROR(__xludf.DUMMYFUNCTION("""COMPUTED_VALUE"""),1.0)</f>
        <v>1</v>
      </c>
      <c r="N438" s="501" t="str">
        <f>IFERROR(__xludf.DUMMYFUNCTION("""COMPUTED_VALUE"""),"")</f>
        <v/>
      </c>
      <c r="O438" s="501" t="str">
        <f>IFERROR(__xludf.DUMMYFUNCTION("""COMPUTED_VALUE"""),"")</f>
        <v/>
      </c>
      <c r="P438" s="503" t="str">
        <f>IFERROR(__xludf.DUMMYFUNCTION("""COMPUTED_VALUE"""),"")</f>
        <v/>
      </c>
      <c r="Q438" s="501" t="str">
        <f>IFERROR(__xludf.DUMMYFUNCTION("""COMPUTED_VALUE"""),"")</f>
        <v/>
      </c>
      <c r="R438" s="501" t="str">
        <f>IFERROR(__xludf.DUMMYFUNCTION("""COMPUTED_VALUE"""),"")</f>
        <v/>
      </c>
      <c r="S438" s="503" t="str">
        <f>IFERROR(__xludf.DUMMYFUNCTION("""COMPUTED_VALUE"""),"")</f>
        <v/>
      </c>
      <c r="T438" s="503" t="str">
        <f>IFERROR(__xludf.DUMMYFUNCTION("""COMPUTED_VALUE"""),"utm_source=facebook&amp;utm_medium=socialmedia&amp;utm_campaign=&amp;utm_content=&amp;referrer=facebook")</f>
        <v>utm_source=facebook&amp;utm_medium=socialmedia&amp;utm_campaign=&amp;utm_content=&amp;referrer=facebook</v>
      </c>
    </row>
    <row r="439">
      <c r="A439" s="501" t="str">
        <f>IFERROR(__xludf.DUMMYFUNCTION("""COMPUTED_VALUE"""),"oktober")</f>
        <v>oktober</v>
      </c>
      <c r="B439" s="501">
        <f>IFERROR(__xludf.DUMMYFUNCTION("""COMPUTED_VALUE"""),43.0)</f>
        <v>43</v>
      </c>
      <c r="C439" s="501" t="str">
        <f>IFERROR(__xludf.DUMMYFUNCTION("""COMPUTED_VALUE"""),"zaterdag")</f>
        <v>zaterdag</v>
      </c>
      <c r="D439" s="502">
        <f>IFERROR(__xludf.DUMMYFUNCTION("""COMPUTED_VALUE"""),43764.0)</f>
        <v>43764</v>
      </c>
      <c r="E439" s="502">
        <f>IFERROR(__xludf.DUMMYFUNCTION("""COMPUTED_VALUE"""),43764.0)</f>
        <v>43764</v>
      </c>
      <c r="F439" s="501" t="str">
        <f>IFERROR(__xludf.DUMMYFUNCTION("""COMPUTED_VALUE"""),"")</f>
        <v/>
      </c>
      <c r="G439" s="503" t="str">
        <f>IFERROR(__xludf.DUMMYFUNCTION("""COMPUTED_VALUE"""),"")</f>
        <v/>
      </c>
      <c r="H439" s="501" t="str">
        <f>IFERROR(__xludf.DUMMYFUNCTION("""COMPUTED_VALUE"""),"")</f>
        <v/>
      </c>
      <c r="I439" s="503" t="str">
        <f>IFERROR(__xludf.DUMMYFUNCTION("""COMPUTED_VALUE"""),"")</f>
        <v/>
      </c>
      <c r="J439" s="501" t="str">
        <f>IFERROR(__xludf.DUMMYFUNCTION("""COMPUTED_VALUE"""),"")</f>
        <v/>
      </c>
      <c r="K439" s="503" t="str">
        <f>IFERROR(__xludf.DUMMYFUNCTION("""COMPUTED_VALUE"""),"")</f>
        <v/>
      </c>
      <c r="L439" s="501" t="str">
        <f>IFERROR(__xludf.DUMMYFUNCTION("""COMPUTED_VALUE"""),"")</f>
        <v/>
      </c>
      <c r="M439" s="504">
        <f>IFERROR(__xludf.DUMMYFUNCTION("""COMPUTED_VALUE"""),1.0)</f>
        <v>1</v>
      </c>
      <c r="N439" s="501" t="str">
        <f>IFERROR(__xludf.DUMMYFUNCTION("""COMPUTED_VALUE"""),"")</f>
        <v/>
      </c>
      <c r="O439" s="501" t="str">
        <f>IFERROR(__xludf.DUMMYFUNCTION("""COMPUTED_VALUE"""),"")</f>
        <v/>
      </c>
      <c r="P439" s="503" t="str">
        <f>IFERROR(__xludf.DUMMYFUNCTION("""COMPUTED_VALUE"""),"")</f>
        <v/>
      </c>
      <c r="Q439" s="501" t="str">
        <f>IFERROR(__xludf.DUMMYFUNCTION("""COMPUTED_VALUE"""),"")</f>
        <v/>
      </c>
      <c r="R439" s="501" t="str">
        <f>IFERROR(__xludf.DUMMYFUNCTION("""COMPUTED_VALUE"""),"")</f>
        <v/>
      </c>
      <c r="S439" s="503" t="str">
        <f>IFERROR(__xludf.DUMMYFUNCTION("""COMPUTED_VALUE"""),"")</f>
        <v/>
      </c>
      <c r="T439" s="503" t="str">
        <f>IFERROR(__xludf.DUMMYFUNCTION("""COMPUTED_VALUE"""),"utm_source=facebook&amp;utm_medium=socialmedia&amp;utm_campaign=&amp;utm_content=&amp;referrer=facebook")</f>
        <v>utm_source=facebook&amp;utm_medium=socialmedia&amp;utm_campaign=&amp;utm_content=&amp;referrer=facebook</v>
      </c>
    </row>
    <row r="440">
      <c r="A440" s="501" t="str">
        <f>IFERROR(__xludf.DUMMYFUNCTION("""COMPUTED_VALUE"""),"oktober")</f>
        <v>oktober</v>
      </c>
      <c r="B440" s="501">
        <f>IFERROR(__xludf.DUMMYFUNCTION("""COMPUTED_VALUE"""),44.0)</f>
        <v>44</v>
      </c>
      <c r="C440" s="501" t="str">
        <f>IFERROR(__xludf.DUMMYFUNCTION("""COMPUTED_VALUE"""),"zondag")</f>
        <v>zondag</v>
      </c>
      <c r="D440" s="502">
        <f>IFERROR(__xludf.DUMMYFUNCTION("""COMPUTED_VALUE"""),43765.0)</f>
        <v>43765</v>
      </c>
      <c r="E440" s="502">
        <f>IFERROR(__xludf.DUMMYFUNCTION("""COMPUTED_VALUE"""),43765.0)</f>
        <v>43765</v>
      </c>
      <c r="F440" s="501" t="str">
        <f>IFERROR(__xludf.DUMMYFUNCTION("""COMPUTED_VALUE"""),"")</f>
        <v/>
      </c>
      <c r="G440" s="503" t="str">
        <f>IFERROR(__xludf.DUMMYFUNCTION("""COMPUTED_VALUE"""),"")</f>
        <v/>
      </c>
      <c r="H440" s="501" t="str">
        <f>IFERROR(__xludf.DUMMYFUNCTION("""COMPUTED_VALUE"""),"")</f>
        <v/>
      </c>
      <c r="I440" s="503" t="str">
        <f>IFERROR(__xludf.DUMMYFUNCTION("""COMPUTED_VALUE"""),"")</f>
        <v/>
      </c>
      <c r="J440" s="501" t="str">
        <f>IFERROR(__xludf.DUMMYFUNCTION("""COMPUTED_VALUE"""),"")</f>
        <v/>
      </c>
      <c r="K440" s="503" t="str">
        <f>IFERROR(__xludf.DUMMYFUNCTION("""COMPUTED_VALUE"""),"")</f>
        <v/>
      </c>
      <c r="L440" s="501" t="str">
        <f>IFERROR(__xludf.DUMMYFUNCTION("""COMPUTED_VALUE"""),"")</f>
        <v/>
      </c>
      <c r="M440" s="504">
        <f>IFERROR(__xludf.DUMMYFUNCTION("""COMPUTED_VALUE"""),1.0)</f>
        <v>1</v>
      </c>
      <c r="N440" s="501" t="str">
        <f>IFERROR(__xludf.DUMMYFUNCTION("""COMPUTED_VALUE"""),"")</f>
        <v/>
      </c>
      <c r="O440" s="501" t="str">
        <f>IFERROR(__xludf.DUMMYFUNCTION("""COMPUTED_VALUE"""),"")</f>
        <v/>
      </c>
      <c r="P440" s="503" t="str">
        <f>IFERROR(__xludf.DUMMYFUNCTION("""COMPUTED_VALUE"""),"")</f>
        <v/>
      </c>
      <c r="Q440" s="501" t="str">
        <f>IFERROR(__xludf.DUMMYFUNCTION("""COMPUTED_VALUE"""),"")</f>
        <v/>
      </c>
      <c r="R440" s="501" t="str">
        <f>IFERROR(__xludf.DUMMYFUNCTION("""COMPUTED_VALUE"""),"")</f>
        <v/>
      </c>
      <c r="S440" s="503" t="str">
        <f>IFERROR(__xludf.DUMMYFUNCTION("""COMPUTED_VALUE"""),"")</f>
        <v/>
      </c>
      <c r="T440" s="503" t="str">
        <f>IFERROR(__xludf.DUMMYFUNCTION("""COMPUTED_VALUE"""),"utm_source=facebook&amp;utm_medium=socialmedia&amp;utm_campaign=&amp;utm_content=&amp;referrer=facebook")</f>
        <v>utm_source=facebook&amp;utm_medium=socialmedia&amp;utm_campaign=&amp;utm_content=&amp;referrer=facebook</v>
      </c>
    </row>
    <row r="441">
      <c r="A441" s="501" t="str">
        <f>IFERROR(__xludf.DUMMYFUNCTION("""COMPUTED_VALUE"""),"oktober")</f>
        <v>oktober</v>
      </c>
      <c r="B441" s="501">
        <f>IFERROR(__xludf.DUMMYFUNCTION("""COMPUTED_VALUE"""),44.0)</f>
        <v>44</v>
      </c>
      <c r="C441" s="501" t="str">
        <f>IFERROR(__xludf.DUMMYFUNCTION("""COMPUTED_VALUE"""),"maandag")</f>
        <v>maandag</v>
      </c>
      <c r="D441" s="502">
        <f>IFERROR(__xludf.DUMMYFUNCTION("""COMPUTED_VALUE"""),43766.0)</f>
        <v>43766</v>
      </c>
      <c r="E441" s="502">
        <f>IFERROR(__xludf.DUMMYFUNCTION("""COMPUTED_VALUE"""),43766.0)</f>
        <v>43766</v>
      </c>
      <c r="F441" s="501" t="str">
        <f>IFERROR(__xludf.DUMMYFUNCTION("""COMPUTED_VALUE"""),"")</f>
        <v/>
      </c>
      <c r="G441" s="503" t="str">
        <f>IFERROR(__xludf.DUMMYFUNCTION("""COMPUTED_VALUE"""),"")</f>
        <v/>
      </c>
      <c r="H441" s="501" t="str">
        <f>IFERROR(__xludf.DUMMYFUNCTION("""COMPUTED_VALUE"""),"")</f>
        <v/>
      </c>
      <c r="I441" s="503" t="str">
        <f>IFERROR(__xludf.DUMMYFUNCTION("""COMPUTED_VALUE"""),"")</f>
        <v/>
      </c>
      <c r="J441" s="501" t="str">
        <f>IFERROR(__xludf.DUMMYFUNCTION("""COMPUTED_VALUE"""),"")</f>
        <v/>
      </c>
      <c r="K441" s="503" t="str">
        <f>IFERROR(__xludf.DUMMYFUNCTION("""COMPUTED_VALUE"""),"")</f>
        <v/>
      </c>
      <c r="L441" s="501" t="str">
        <f>IFERROR(__xludf.DUMMYFUNCTION("""COMPUTED_VALUE"""),"")</f>
        <v/>
      </c>
      <c r="M441" s="504">
        <f>IFERROR(__xludf.DUMMYFUNCTION("""COMPUTED_VALUE"""),1.0)</f>
        <v>1</v>
      </c>
      <c r="N441" s="501" t="str">
        <f>IFERROR(__xludf.DUMMYFUNCTION("""COMPUTED_VALUE"""),"")</f>
        <v/>
      </c>
      <c r="O441" s="501" t="str">
        <f>IFERROR(__xludf.DUMMYFUNCTION("""COMPUTED_VALUE"""),"")</f>
        <v/>
      </c>
      <c r="P441" s="503" t="str">
        <f>IFERROR(__xludf.DUMMYFUNCTION("""COMPUTED_VALUE"""),"")</f>
        <v/>
      </c>
      <c r="Q441" s="501" t="str">
        <f>IFERROR(__xludf.DUMMYFUNCTION("""COMPUTED_VALUE"""),"")</f>
        <v/>
      </c>
      <c r="R441" s="501" t="str">
        <f>IFERROR(__xludf.DUMMYFUNCTION("""COMPUTED_VALUE"""),"")</f>
        <v/>
      </c>
      <c r="S441" s="503" t="str">
        <f>IFERROR(__xludf.DUMMYFUNCTION("""COMPUTED_VALUE"""),"")</f>
        <v/>
      </c>
      <c r="T441" s="503" t="str">
        <f>IFERROR(__xludf.DUMMYFUNCTION("""COMPUTED_VALUE"""),"utm_source=facebook&amp;utm_medium=socialmedia&amp;utm_campaign=&amp;utm_content=&amp;referrer=facebook")</f>
        <v>utm_source=facebook&amp;utm_medium=socialmedia&amp;utm_campaign=&amp;utm_content=&amp;referrer=facebook</v>
      </c>
    </row>
    <row r="442">
      <c r="A442" s="501" t="str">
        <f>IFERROR(__xludf.DUMMYFUNCTION("""COMPUTED_VALUE"""),"oktober")</f>
        <v>oktober</v>
      </c>
      <c r="B442" s="501">
        <f>IFERROR(__xludf.DUMMYFUNCTION("""COMPUTED_VALUE"""),44.0)</f>
        <v>44</v>
      </c>
      <c r="C442" s="501" t="str">
        <f>IFERROR(__xludf.DUMMYFUNCTION("""COMPUTED_VALUE"""),"dinsdag")</f>
        <v>dinsdag</v>
      </c>
      <c r="D442" s="502">
        <f>IFERROR(__xludf.DUMMYFUNCTION("""COMPUTED_VALUE"""),43767.0)</f>
        <v>43767</v>
      </c>
      <c r="E442" s="502">
        <f>IFERROR(__xludf.DUMMYFUNCTION("""COMPUTED_VALUE"""),43767.0)</f>
        <v>43767</v>
      </c>
      <c r="F442" s="501" t="str">
        <f>IFERROR(__xludf.DUMMYFUNCTION("""COMPUTED_VALUE"""),"")</f>
        <v/>
      </c>
      <c r="G442" s="503" t="str">
        <f>IFERROR(__xludf.DUMMYFUNCTION("""COMPUTED_VALUE"""),"")</f>
        <v/>
      </c>
      <c r="H442" s="501" t="str">
        <f>IFERROR(__xludf.DUMMYFUNCTION("""COMPUTED_VALUE"""),"")</f>
        <v/>
      </c>
      <c r="I442" s="503" t="str">
        <f>IFERROR(__xludf.DUMMYFUNCTION("""COMPUTED_VALUE"""),"")</f>
        <v/>
      </c>
      <c r="J442" s="501" t="str">
        <f>IFERROR(__xludf.DUMMYFUNCTION("""COMPUTED_VALUE"""),"")</f>
        <v/>
      </c>
      <c r="K442" s="503" t="str">
        <f>IFERROR(__xludf.DUMMYFUNCTION("""COMPUTED_VALUE"""),"")</f>
        <v/>
      </c>
      <c r="L442" s="501" t="str">
        <f>IFERROR(__xludf.DUMMYFUNCTION("""COMPUTED_VALUE"""),"")</f>
        <v/>
      </c>
      <c r="M442" s="504">
        <f>IFERROR(__xludf.DUMMYFUNCTION("""COMPUTED_VALUE"""),1.0)</f>
        <v>1</v>
      </c>
      <c r="N442" s="501" t="str">
        <f>IFERROR(__xludf.DUMMYFUNCTION("""COMPUTED_VALUE"""),"")</f>
        <v/>
      </c>
      <c r="O442" s="501" t="str">
        <f>IFERROR(__xludf.DUMMYFUNCTION("""COMPUTED_VALUE"""),"")</f>
        <v/>
      </c>
      <c r="P442" s="503" t="str">
        <f>IFERROR(__xludf.DUMMYFUNCTION("""COMPUTED_VALUE"""),"")</f>
        <v/>
      </c>
      <c r="Q442" s="501" t="str">
        <f>IFERROR(__xludf.DUMMYFUNCTION("""COMPUTED_VALUE"""),"")</f>
        <v/>
      </c>
      <c r="R442" s="501" t="str">
        <f>IFERROR(__xludf.DUMMYFUNCTION("""COMPUTED_VALUE"""),"")</f>
        <v/>
      </c>
      <c r="S442" s="503" t="str">
        <f>IFERROR(__xludf.DUMMYFUNCTION("""COMPUTED_VALUE"""),"")</f>
        <v/>
      </c>
      <c r="T442" s="503" t="str">
        <f>IFERROR(__xludf.DUMMYFUNCTION("""COMPUTED_VALUE"""),"utm_source=facebook&amp;utm_medium=socialmedia&amp;utm_campaign=&amp;utm_content=&amp;referrer=facebook")</f>
        <v>utm_source=facebook&amp;utm_medium=socialmedia&amp;utm_campaign=&amp;utm_content=&amp;referrer=facebook</v>
      </c>
    </row>
    <row r="443">
      <c r="A443" s="501" t="str">
        <f>IFERROR(__xludf.DUMMYFUNCTION("""COMPUTED_VALUE"""),"oktober")</f>
        <v>oktober</v>
      </c>
      <c r="B443" s="501">
        <f>IFERROR(__xludf.DUMMYFUNCTION("""COMPUTED_VALUE"""),44.0)</f>
        <v>44</v>
      </c>
      <c r="C443" s="501" t="str">
        <f>IFERROR(__xludf.DUMMYFUNCTION("""COMPUTED_VALUE"""),"woensdag")</f>
        <v>woensdag</v>
      </c>
      <c r="D443" s="502">
        <f>IFERROR(__xludf.DUMMYFUNCTION("""COMPUTED_VALUE"""),43768.0)</f>
        <v>43768</v>
      </c>
      <c r="E443" s="502">
        <f>IFERROR(__xludf.DUMMYFUNCTION("""COMPUTED_VALUE"""),43768.0)</f>
        <v>43768</v>
      </c>
      <c r="F443" s="501" t="str">
        <f>IFERROR(__xludf.DUMMYFUNCTION("""COMPUTED_VALUE"""),"")</f>
        <v/>
      </c>
      <c r="G443" s="503" t="str">
        <f>IFERROR(__xludf.DUMMYFUNCTION("""COMPUTED_VALUE"""),"")</f>
        <v/>
      </c>
      <c r="H443" s="501" t="str">
        <f>IFERROR(__xludf.DUMMYFUNCTION("""COMPUTED_VALUE"""),"")</f>
        <v/>
      </c>
      <c r="I443" s="503" t="str">
        <f>IFERROR(__xludf.DUMMYFUNCTION("""COMPUTED_VALUE"""),"")</f>
        <v/>
      </c>
      <c r="J443" s="501" t="str">
        <f>IFERROR(__xludf.DUMMYFUNCTION("""COMPUTED_VALUE"""),"")</f>
        <v/>
      </c>
      <c r="K443" s="503" t="str">
        <f>IFERROR(__xludf.DUMMYFUNCTION("""COMPUTED_VALUE"""),"")</f>
        <v/>
      </c>
      <c r="L443" s="501" t="str">
        <f>IFERROR(__xludf.DUMMYFUNCTION("""COMPUTED_VALUE"""),"")</f>
        <v/>
      </c>
      <c r="M443" s="504">
        <f>IFERROR(__xludf.DUMMYFUNCTION("""COMPUTED_VALUE"""),1.0)</f>
        <v>1</v>
      </c>
      <c r="N443" s="501" t="str">
        <f>IFERROR(__xludf.DUMMYFUNCTION("""COMPUTED_VALUE"""),"")</f>
        <v/>
      </c>
      <c r="O443" s="501" t="str">
        <f>IFERROR(__xludf.DUMMYFUNCTION("""COMPUTED_VALUE"""),"")</f>
        <v/>
      </c>
      <c r="P443" s="503" t="str">
        <f>IFERROR(__xludf.DUMMYFUNCTION("""COMPUTED_VALUE"""),"")</f>
        <v/>
      </c>
      <c r="Q443" s="501" t="str">
        <f>IFERROR(__xludf.DUMMYFUNCTION("""COMPUTED_VALUE"""),"")</f>
        <v/>
      </c>
      <c r="R443" s="501" t="str">
        <f>IFERROR(__xludf.DUMMYFUNCTION("""COMPUTED_VALUE"""),"")</f>
        <v/>
      </c>
      <c r="S443" s="503" t="str">
        <f>IFERROR(__xludf.DUMMYFUNCTION("""COMPUTED_VALUE"""),"")</f>
        <v/>
      </c>
      <c r="T443" s="503" t="str">
        <f>IFERROR(__xludf.DUMMYFUNCTION("""COMPUTED_VALUE"""),"utm_source=facebook&amp;utm_medium=socialmedia&amp;utm_campaign=&amp;utm_content=&amp;referrer=facebook")</f>
        <v>utm_source=facebook&amp;utm_medium=socialmedia&amp;utm_campaign=&amp;utm_content=&amp;referrer=facebook</v>
      </c>
    </row>
    <row r="444">
      <c r="A444" s="501" t="str">
        <f>IFERROR(__xludf.DUMMYFUNCTION("""COMPUTED_VALUE"""),"oktober")</f>
        <v>oktober</v>
      </c>
      <c r="B444" s="501">
        <f>IFERROR(__xludf.DUMMYFUNCTION("""COMPUTED_VALUE"""),44.0)</f>
        <v>44</v>
      </c>
      <c r="C444" s="501" t="str">
        <f>IFERROR(__xludf.DUMMYFUNCTION("""COMPUTED_VALUE"""),"donderdag")</f>
        <v>donderdag</v>
      </c>
      <c r="D444" s="502">
        <f>IFERROR(__xludf.DUMMYFUNCTION("""COMPUTED_VALUE"""),43769.0)</f>
        <v>43769</v>
      </c>
      <c r="E444" s="502">
        <f>IFERROR(__xludf.DUMMYFUNCTION("""COMPUTED_VALUE"""),43769.0)</f>
        <v>43769</v>
      </c>
      <c r="F444" s="501" t="str">
        <f>IFERROR(__xludf.DUMMYFUNCTION("""COMPUTED_VALUE"""),"")</f>
        <v/>
      </c>
      <c r="G444" s="503" t="str">
        <f>IFERROR(__xludf.DUMMYFUNCTION("""COMPUTED_VALUE"""),"")</f>
        <v/>
      </c>
      <c r="H444" s="501" t="str">
        <f>IFERROR(__xludf.DUMMYFUNCTION("""COMPUTED_VALUE"""),"")</f>
        <v/>
      </c>
      <c r="I444" s="503" t="str">
        <f>IFERROR(__xludf.DUMMYFUNCTION("""COMPUTED_VALUE"""),"")</f>
        <v/>
      </c>
      <c r="J444" s="501" t="str">
        <f>IFERROR(__xludf.DUMMYFUNCTION("""COMPUTED_VALUE"""),"")</f>
        <v/>
      </c>
      <c r="K444" s="503" t="str">
        <f>IFERROR(__xludf.DUMMYFUNCTION("""COMPUTED_VALUE"""),"")</f>
        <v/>
      </c>
      <c r="L444" s="501" t="str">
        <f>IFERROR(__xludf.DUMMYFUNCTION("""COMPUTED_VALUE"""),"")</f>
        <v/>
      </c>
      <c r="M444" s="504">
        <f>IFERROR(__xludf.DUMMYFUNCTION("""COMPUTED_VALUE"""),1.0)</f>
        <v>1</v>
      </c>
      <c r="N444" s="501" t="str">
        <f>IFERROR(__xludf.DUMMYFUNCTION("""COMPUTED_VALUE"""),"")</f>
        <v/>
      </c>
      <c r="O444" s="501" t="str">
        <f>IFERROR(__xludf.DUMMYFUNCTION("""COMPUTED_VALUE"""),"")</f>
        <v/>
      </c>
      <c r="P444" s="503" t="str">
        <f>IFERROR(__xludf.DUMMYFUNCTION("""COMPUTED_VALUE"""),"")</f>
        <v/>
      </c>
      <c r="Q444" s="501" t="str">
        <f>IFERROR(__xludf.DUMMYFUNCTION("""COMPUTED_VALUE"""),"")</f>
        <v/>
      </c>
      <c r="R444" s="501" t="str">
        <f>IFERROR(__xludf.DUMMYFUNCTION("""COMPUTED_VALUE"""),"")</f>
        <v/>
      </c>
      <c r="S444" s="503" t="str">
        <f>IFERROR(__xludf.DUMMYFUNCTION("""COMPUTED_VALUE"""),"")</f>
        <v/>
      </c>
      <c r="T444" s="503" t="str">
        <f>IFERROR(__xludf.DUMMYFUNCTION("""COMPUTED_VALUE"""),"utm_source=facebook&amp;utm_medium=socialmedia&amp;utm_campaign=&amp;utm_content=&amp;referrer=facebook")</f>
        <v>utm_source=facebook&amp;utm_medium=socialmedia&amp;utm_campaign=&amp;utm_content=&amp;referrer=facebook</v>
      </c>
    </row>
    <row r="445">
      <c r="A445" s="501" t="str">
        <f>IFERROR(__xludf.DUMMYFUNCTION("""COMPUTED_VALUE"""),"november")</f>
        <v>november</v>
      </c>
      <c r="B445" s="501">
        <f>IFERROR(__xludf.DUMMYFUNCTION("""COMPUTED_VALUE"""),44.0)</f>
        <v>44</v>
      </c>
      <c r="C445" s="501" t="str">
        <f>IFERROR(__xludf.DUMMYFUNCTION("""COMPUTED_VALUE"""),"vrijdag")</f>
        <v>vrijdag</v>
      </c>
      <c r="D445" s="502">
        <f>IFERROR(__xludf.DUMMYFUNCTION("""COMPUTED_VALUE"""),43770.0)</f>
        <v>43770</v>
      </c>
      <c r="E445" s="502">
        <f>IFERROR(__xludf.DUMMYFUNCTION("""COMPUTED_VALUE"""),43799.0)</f>
        <v>43799</v>
      </c>
      <c r="F445" s="501" t="str">
        <f>IFERROR(__xludf.DUMMYFUNCTION("""COMPUTED_VALUE"""),"")</f>
        <v/>
      </c>
      <c r="G445" s="503" t="str">
        <f>IFERROR(__xludf.DUMMYFUNCTION("""COMPUTED_VALUE"""),"")</f>
        <v/>
      </c>
      <c r="H445" s="501" t="str">
        <f>IFERROR(__xludf.DUMMYFUNCTION("""COMPUTED_VALUE"""),"AOC verhuizen do")</f>
        <v>AOC verhuizen do</v>
      </c>
      <c r="I445" s="503" t="str">
        <f>IFERROR(__xludf.DUMMYFUNCTION("""COMPUTED_VALUE"""),"")</f>
        <v/>
      </c>
      <c r="J445" s="501" t="str">
        <f>IFERROR(__xludf.DUMMYFUNCTION("""COMPUTED_VALUE"""),"Briefen")</f>
        <v>Briefen</v>
      </c>
      <c r="K445" s="505" t="str">
        <f>IFERROR(__xludf.DUMMYFUNCTION("""COMPUTED_VALUE""")," URl bevat nieuwe woning 14 dagen ")</f>
        <v>URl bevat nieuwe woning 14 dagen</v>
      </c>
      <c r="L445" s="506">
        <f>IFERROR(__xludf.DUMMYFUNCTION("""COMPUTED_VALUE"""),300.0)</f>
        <v>300</v>
      </c>
      <c r="M445" s="504">
        <f>IFERROR(__xludf.DUMMYFUNCTION("""COMPUTED_VALUE"""),30.0)</f>
        <v>30</v>
      </c>
      <c r="N445" s="501" t="str">
        <f>IFERROR(__xludf.DUMMYFUNCTION("""COMPUTED_VALUE"""),"Product")</f>
        <v>Product</v>
      </c>
      <c r="O445" s="501" t="str">
        <f>IFERROR(__xludf.DUMMYFUNCTION("""COMPUTED_VALUE"""),"Facebook")</f>
        <v>Facebook</v>
      </c>
      <c r="P445" s="503" t="str">
        <f>IFERROR(__xludf.DUMMYFUNCTION("""COMPUTED_VALUE"""),"Facebook - Do - AOC")</f>
        <v>Facebook - Do - AOC</v>
      </c>
      <c r="Q445" s="501" t="str">
        <f>IFERROR(__xludf.DUMMYFUNCTION("""COMPUTED_VALUE"""),"Conversie - Waarde")</f>
        <v>Conversie - Waarde</v>
      </c>
      <c r="R445" s="501" t="str">
        <f>IFERROR(__xludf.DUMMYFUNCTION("""COMPUTED_VALUE"""),"Dark")</f>
        <v>Dark</v>
      </c>
      <c r="S445" s="503" t="str">
        <f>IFERROR(__xludf.DUMMYFUNCTION("""COMPUTED_VALUE"""),"")</f>
        <v/>
      </c>
      <c r="T445"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446">
      <c r="A446" s="501" t="str">
        <f>IFERROR(__xludf.DUMMYFUNCTION("""COMPUTED_VALUE"""),"november")</f>
        <v>november</v>
      </c>
      <c r="B446" s="501">
        <f>IFERROR(__xludf.DUMMYFUNCTION("""COMPUTED_VALUE"""),44.0)</f>
        <v>44</v>
      </c>
      <c r="C446" s="501" t="str">
        <f>IFERROR(__xludf.DUMMYFUNCTION("""COMPUTED_VALUE"""),"vrijdag")</f>
        <v>vrijdag</v>
      </c>
      <c r="D446" s="502">
        <f>IFERROR(__xludf.DUMMYFUNCTION("""COMPUTED_VALUE"""),43770.0)</f>
        <v>43770</v>
      </c>
      <c r="E446" s="502">
        <f>IFERROR(__xludf.DUMMYFUNCTION("""COMPUTED_VALUE"""),43799.0)</f>
        <v>43799</v>
      </c>
      <c r="F446" s="501" t="str">
        <f>IFERROR(__xludf.DUMMYFUNCTION("""COMPUTED_VALUE"""),"")</f>
        <v/>
      </c>
      <c r="G446" s="503" t="str">
        <f>IFERROR(__xludf.DUMMYFUNCTION("""COMPUTED_VALUE"""),"")</f>
        <v/>
      </c>
      <c r="H446" s="501" t="str">
        <f>IFERROR(__xludf.DUMMYFUNCTION("""COMPUTED_VALUE"""),"AOC verjaardag do")</f>
        <v>AOC verjaardag do</v>
      </c>
      <c r="I446" s="503" t="str">
        <f>IFERROR(__xludf.DUMMYFUNCTION("""COMPUTED_VALUE"""),"")</f>
        <v/>
      </c>
      <c r="J446" s="501" t="str">
        <f>IFERROR(__xludf.DUMMYFUNCTION("""COMPUTED_VALUE"""),"Briefen")</f>
        <v>Briefen</v>
      </c>
      <c r="K446" s="505" t="str">
        <f>IFERROR(__xludf.DUMMYFUNCTION("""COMPUTED_VALUE""")," Goeie vrienden van jarige 7-30 dagen ")</f>
        <v>Goeie vrienden van jarige 7-30 dagen</v>
      </c>
      <c r="L446" s="506">
        <f>IFERROR(__xludf.DUMMYFUNCTION("""COMPUTED_VALUE"""),300.0)</f>
        <v>300</v>
      </c>
      <c r="M446" s="504">
        <f>IFERROR(__xludf.DUMMYFUNCTION("""COMPUTED_VALUE"""),30.0)</f>
        <v>30</v>
      </c>
      <c r="N446" s="501" t="str">
        <f>IFERROR(__xludf.DUMMYFUNCTION("""COMPUTED_VALUE"""),"Product")</f>
        <v>Product</v>
      </c>
      <c r="O446" s="501" t="str">
        <f>IFERROR(__xludf.DUMMYFUNCTION("""COMPUTED_VALUE"""),"Facebook")</f>
        <v>Facebook</v>
      </c>
      <c r="P446" s="503" t="str">
        <f>IFERROR(__xludf.DUMMYFUNCTION("""COMPUTED_VALUE"""),"Facebook - Do - AOC")</f>
        <v>Facebook - Do - AOC</v>
      </c>
      <c r="Q446" s="501" t="str">
        <f>IFERROR(__xludf.DUMMYFUNCTION("""COMPUTED_VALUE"""),"Conversie - Waarde")</f>
        <v>Conversie - Waarde</v>
      </c>
      <c r="R446" s="501" t="str">
        <f>IFERROR(__xludf.DUMMYFUNCTION("""COMPUTED_VALUE"""),"Dark")</f>
        <v>Dark</v>
      </c>
      <c r="S446" s="503" t="str">
        <f>IFERROR(__xludf.DUMMYFUNCTION("""COMPUTED_VALUE"""),"")</f>
        <v/>
      </c>
      <c r="T446"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47">
      <c r="A447" s="501" t="str">
        <f>IFERROR(__xludf.DUMMYFUNCTION("""COMPUTED_VALUE"""),"november")</f>
        <v>november</v>
      </c>
      <c r="B447" s="501">
        <f>IFERROR(__xludf.DUMMYFUNCTION("""COMPUTED_VALUE"""),44.0)</f>
        <v>44</v>
      </c>
      <c r="C447" s="501" t="str">
        <f>IFERROR(__xludf.DUMMYFUNCTION("""COMPUTED_VALUE"""),"vrijdag")</f>
        <v>vrijdag</v>
      </c>
      <c r="D447" s="502">
        <f>IFERROR(__xludf.DUMMYFUNCTION("""COMPUTED_VALUE"""),43770.0)</f>
        <v>43770</v>
      </c>
      <c r="E447" s="502">
        <f>IFERROR(__xludf.DUMMYFUNCTION("""COMPUTED_VALUE"""),43799.0)</f>
        <v>43799</v>
      </c>
      <c r="F447" s="501" t="str">
        <f>IFERROR(__xludf.DUMMYFUNCTION("""COMPUTED_VALUE"""),"")</f>
        <v/>
      </c>
      <c r="G447" s="503" t="str">
        <f>IFERROR(__xludf.DUMMYFUNCTION("""COMPUTED_VALUE"""),"")</f>
        <v/>
      </c>
      <c r="H447" s="501" t="str">
        <f>IFERROR(__xludf.DUMMYFUNCTION("""COMPUTED_VALUE"""),"AOC verjaardag do")</f>
        <v>AOC verjaardag do</v>
      </c>
      <c r="I447" s="503" t="str">
        <f>IFERROR(__xludf.DUMMYFUNCTION("""COMPUTED_VALUE"""),"")</f>
        <v/>
      </c>
      <c r="J447" s="501" t="str">
        <f>IFERROR(__xludf.DUMMYFUNCTION("""COMPUTED_VALUE"""),"Briefen")</f>
        <v>Briefen</v>
      </c>
      <c r="K447" s="505" t="str">
        <f>IFERROR(__xludf.DUMMYFUNCTION("""COMPUTED_VALUE""")," URL bevat verjaardag 2-7 dagen ")</f>
        <v>URL bevat verjaardag 2-7 dagen</v>
      </c>
      <c r="L447" s="506">
        <f>IFERROR(__xludf.DUMMYFUNCTION("""COMPUTED_VALUE"""),1200.0)</f>
        <v>1200</v>
      </c>
      <c r="M447" s="504">
        <f>IFERROR(__xludf.DUMMYFUNCTION("""COMPUTED_VALUE"""),30.0)</f>
        <v>30</v>
      </c>
      <c r="N447" s="501" t="str">
        <f>IFERROR(__xludf.DUMMYFUNCTION("""COMPUTED_VALUE"""),"Product")</f>
        <v>Product</v>
      </c>
      <c r="O447" s="501" t="str">
        <f>IFERROR(__xludf.DUMMYFUNCTION("""COMPUTED_VALUE"""),"Facebook")</f>
        <v>Facebook</v>
      </c>
      <c r="P447" s="503" t="str">
        <f>IFERROR(__xludf.DUMMYFUNCTION("""COMPUTED_VALUE"""),"Facebook - Do - AOC")</f>
        <v>Facebook - Do - AOC</v>
      </c>
      <c r="Q447" s="501" t="str">
        <f>IFERROR(__xludf.DUMMYFUNCTION("""COMPUTED_VALUE"""),"Conversie - Waarde")</f>
        <v>Conversie - Waarde</v>
      </c>
      <c r="R447" s="501" t="str">
        <f>IFERROR(__xludf.DUMMYFUNCTION("""COMPUTED_VALUE"""),"Dark")</f>
        <v>Dark</v>
      </c>
      <c r="S447" s="503" t="str">
        <f>IFERROR(__xludf.DUMMYFUNCTION("""COMPUTED_VALUE"""),"")</f>
        <v/>
      </c>
      <c r="T447"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48">
      <c r="A448" s="501" t="str">
        <f>IFERROR(__xludf.DUMMYFUNCTION("""COMPUTED_VALUE"""),"november")</f>
        <v>november</v>
      </c>
      <c r="B448" s="501">
        <f>IFERROR(__xludf.DUMMYFUNCTION("""COMPUTED_VALUE"""),44.0)</f>
        <v>44</v>
      </c>
      <c r="C448" s="501" t="str">
        <f>IFERROR(__xludf.DUMMYFUNCTION("""COMPUTED_VALUE"""),"vrijdag")</f>
        <v>vrijdag</v>
      </c>
      <c r="D448" s="502">
        <f>IFERROR(__xludf.DUMMYFUNCTION("""COMPUTED_VALUE"""),43770.0)</f>
        <v>43770</v>
      </c>
      <c r="E448" s="502">
        <f>IFERROR(__xludf.DUMMYFUNCTION("""COMPUTED_VALUE"""),43799.0)</f>
        <v>43799</v>
      </c>
      <c r="F448" s="501" t="str">
        <f>IFERROR(__xludf.DUMMYFUNCTION("""COMPUTED_VALUE"""),"")</f>
        <v/>
      </c>
      <c r="G448" s="503" t="str">
        <f>IFERROR(__xludf.DUMMYFUNCTION("""COMPUTED_VALUE"""),"")</f>
        <v/>
      </c>
      <c r="H448" s="501" t="str">
        <f>IFERROR(__xludf.DUMMYFUNCTION("""COMPUTED_VALUE"""),"AOC geboorte do")</f>
        <v>AOC geboorte do</v>
      </c>
      <c r="I448" s="503" t="str">
        <f>IFERROR(__xludf.DUMMYFUNCTION("""COMPUTED_VALUE"""),"")</f>
        <v/>
      </c>
      <c r="J448" s="501" t="str">
        <f>IFERROR(__xludf.DUMMYFUNCTION("""COMPUTED_VALUE"""),"Briefen")</f>
        <v>Briefen</v>
      </c>
      <c r="K448" s="505" t="str">
        <f>IFERROR(__xludf.DUMMYFUNCTION("""COMPUTED_VALUE""")," URL bevat geboorte 2-7 dagen ")</f>
        <v>URL bevat geboorte 2-7 dagen</v>
      </c>
      <c r="L448" s="506">
        <f>IFERROR(__xludf.DUMMYFUNCTION("""COMPUTED_VALUE"""),1200.0)</f>
        <v>1200</v>
      </c>
      <c r="M448" s="504">
        <f>IFERROR(__xludf.DUMMYFUNCTION("""COMPUTED_VALUE"""),30.0)</f>
        <v>30</v>
      </c>
      <c r="N448" s="501" t="str">
        <f>IFERROR(__xludf.DUMMYFUNCTION("""COMPUTED_VALUE"""),"Product")</f>
        <v>Product</v>
      </c>
      <c r="O448" s="501" t="str">
        <f>IFERROR(__xludf.DUMMYFUNCTION("""COMPUTED_VALUE"""),"Facebook")</f>
        <v>Facebook</v>
      </c>
      <c r="P448" s="503" t="str">
        <f>IFERROR(__xludf.DUMMYFUNCTION("""COMPUTED_VALUE"""),"Facebook - Do - AOC")</f>
        <v>Facebook - Do - AOC</v>
      </c>
      <c r="Q448" s="501" t="str">
        <f>IFERROR(__xludf.DUMMYFUNCTION("""COMPUTED_VALUE"""),"Conversie - Waarde")</f>
        <v>Conversie - Waarde</v>
      </c>
      <c r="R448" s="501" t="str">
        <f>IFERROR(__xludf.DUMMYFUNCTION("""COMPUTED_VALUE"""),"Dark")</f>
        <v>Dark</v>
      </c>
      <c r="S448" s="503" t="str">
        <f>IFERROR(__xludf.DUMMYFUNCTION("""COMPUTED_VALUE"""),"")</f>
        <v/>
      </c>
      <c r="T448"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449">
      <c r="A449" s="501" t="str">
        <f>IFERROR(__xludf.DUMMYFUNCTION("""COMPUTED_VALUE"""),"november")</f>
        <v>november</v>
      </c>
      <c r="B449" s="501">
        <f>IFERROR(__xludf.DUMMYFUNCTION("""COMPUTED_VALUE"""),44.0)</f>
        <v>44</v>
      </c>
      <c r="C449" s="501" t="str">
        <f>IFERROR(__xludf.DUMMYFUNCTION("""COMPUTED_VALUE"""),"vrijdag")</f>
        <v>vrijdag</v>
      </c>
      <c r="D449" s="502">
        <f>IFERROR(__xludf.DUMMYFUNCTION("""COMPUTED_VALUE"""),43770.0)</f>
        <v>43770</v>
      </c>
      <c r="E449" s="502">
        <f>IFERROR(__xludf.DUMMYFUNCTION("""COMPUTED_VALUE"""),43799.0)</f>
        <v>43799</v>
      </c>
      <c r="F449" s="501" t="str">
        <f>IFERROR(__xludf.DUMMYFUNCTION("""COMPUTED_VALUE"""),"")</f>
        <v/>
      </c>
      <c r="G449" s="503" t="str">
        <f>IFERROR(__xludf.DUMMYFUNCTION("""COMPUTED_VALUE"""),"")</f>
        <v/>
      </c>
      <c r="H449" s="501" t="str">
        <f>IFERROR(__xludf.DUMMYFUNCTION("""COMPUTED_VALUE"""),"AOC verhuizen think")</f>
        <v>AOC verhuizen think</v>
      </c>
      <c r="I449" s="503" t="str">
        <f>IFERROR(__xludf.DUMMYFUNCTION("""COMPUTED_VALUE"""),"")</f>
        <v/>
      </c>
      <c r="J449" s="501" t="str">
        <f>IFERROR(__xludf.DUMMYFUNCTION("""COMPUTED_VALUE"""),"Briefen")</f>
        <v>Briefen</v>
      </c>
      <c r="K449" s="505" t="str">
        <f>IFERROR(__xludf.DUMMYFUNCTION("""COMPUTED_VALUE""")," Vrienden van recent verhuisd ")</f>
        <v>Vrienden van recent verhuisd</v>
      </c>
      <c r="L449" s="506">
        <f>IFERROR(__xludf.DUMMYFUNCTION("""COMPUTED_VALUE"""),300.0)</f>
        <v>300</v>
      </c>
      <c r="M449" s="504">
        <f>IFERROR(__xludf.DUMMYFUNCTION("""COMPUTED_VALUE"""),30.0)</f>
        <v>30</v>
      </c>
      <c r="N449" s="501" t="str">
        <f>IFERROR(__xludf.DUMMYFUNCTION("""COMPUTED_VALUE"""),"Geven/ontvangen")</f>
        <v>Geven/ontvangen</v>
      </c>
      <c r="O449" s="501" t="str">
        <f>IFERROR(__xludf.DUMMYFUNCTION("""COMPUTED_VALUE"""),"Facebook")</f>
        <v>Facebook</v>
      </c>
      <c r="P449" s="503" t="str">
        <f>IFERROR(__xludf.DUMMYFUNCTION("""COMPUTED_VALUE"""),"Facebook - Think - AOC")</f>
        <v>Facebook - Think - AOC</v>
      </c>
      <c r="Q449" s="501" t="str">
        <f>IFERROR(__xludf.DUMMYFUNCTION("""COMPUTED_VALUE"""),"Conversie - Landingspagina")</f>
        <v>Conversie - Landingspagina</v>
      </c>
      <c r="R449" s="501" t="str">
        <f>IFERROR(__xludf.DUMMYFUNCTION("""COMPUTED_VALUE"""),"Dark")</f>
        <v>Dark</v>
      </c>
      <c r="S449" s="503" t="str">
        <f>IFERROR(__xludf.DUMMYFUNCTION("""COMPUTED_VALUE"""),"")</f>
        <v/>
      </c>
      <c r="T449"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450">
      <c r="A450" s="501" t="str">
        <f>IFERROR(__xludf.DUMMYFUNCTION("""COMPUTED_VALUE"""),"november")</f>
        <v>november</v>
      </c>
      <c r="B450" s="501">
        <f>IFERROR(__xludf.DUMMYFUNCTION("""COMPUTED_VALUE"""),44.0)</f>
        <v>44</v>
      </c>
      <c r="C450" s="501" t="str">
        <f>IFERROR(__xludf.DUMMYFUNCTION("""COMPUTED_VALUE"""),"vrijdag")</f>
        <v>vrijdag</v>
      </c>
      <c r="D450" s="502">
        <f>IFERROR(__xludf.DUMMYFUNCTION("""COMPUTED_VALUE"""),43770.0)</f>
        <v>43770</v>
      </c>
      <c r="E450" s="502">
        <f>IFERROR(__xludf.DUMMYFUNCTION("""COMPUTED_VALUE"""),43799.0)</f>
        <v>43799</v>
      </c>
      <c r="F450" s="501" t="str">
        <f>IFERROR(__xludf.DUMMYFUNCTION("""COMPUTED_VALUE"""),"")</f>
        <v/>
      </c>
      <c r="G450" s="503" t="str">
        <f>IFERROR(__xludf.DUMMYFUNCTION("""COMPUTED_VALUE"""),"")</f>
        <v/>
      </c>
      <c r="H450" s="501" t="str">
        <f>IFERROR(__xludf.DUMMYFUNCTION("""COMPUTED_VALUE"""),"AOC verhuizen see")</f>
        <v>AOC verhuizen see</v>
      </c>
      <c r="I450" s="503" t="str">
        <f>IFERROR(__xludf.DUMMYFUNCTION("""COMPUTED_VALUE"""),"")</f>
        <v/>
      </c>
      <c r="J450" s="501" t="str">
        <f>IFERROR(__xludf.DUMMYFUNCTION("""COMPUTED_VALUE"""),"Briefen")</f>
        <v>Briefen</v>
      </c>
      <c r="K450" s="505" t="str">
        <f>IFERROR(__xludf.DUMMYFUNCTION("""COMPUTED_VALUE""")," Vrouw 25-64 (excl klanten, vrienden van verhuisde personen en fans) ")</f>
        <v>Vrouw 25-64 (excl klanten, vrienden van verhuisde personen en fans)</v>
      </c>
      <c r="L450" s="506">
        <f>IFERROR(__xludf.DUMMYFUNCTION("""COMPUTED_VALUE"""),600.0)</f>
        <v>600</v>
      </c>
      <c r="M450" s="504">
        <f>IFERROR(__xludf.DUMMYFUNCTION("""COMPUTED_VALUE"""),30.0)</f>
        <v>30</v>
      </c>
      <c r="N450" s="501" t="str">
        <f>IFERROR(__xludf.DUMMYFUNCTION("""COMPUTED_VALUE"""),"Merk")</f>
        <v>Merk</v>
      </c>
      <c r="O450" s="501" t="str">
        <f>IFERROR(__xludf.DUMMYFUNCTION("""COMPUTED_VALUE"""),"FB + Instagram")</f>
        <v>FB + Instagram</v>
      </c>
      <c r="P450" s="503" t="str">
        <f>IFERROR(__xludf.DUMMYFUNCTION("""COMPUTED_VALUE"""),"Facebook - See - AOC")</f>
        <v>Facebook - See - AOC</v>
      </c>
      <c r="Q450" s="501" t="str">
        <f>IFERROR(__xludf.DUMMYFUNCTION("""COMPUTED_VALUE"""),"Bereik")</f>
        <v>Bereik</v>
      </c>
      <c r="R450" s="501" t="str">
        <f>IFERROR(__xludf.DUMMYFUNCTION("""COMPUTED_VALUE"""),"Dark")</f>
        <v>Dark</v>
      </c>
      <c r="S450" s="503" t="str">
        <f>IFERROR(__xludf.DUMMYFUNCTION("""COMPUTED_VALUE"""),"")</f>
        <v/>
      </c>
      <c r="T450"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451">
      <c r="A451" s="501" t="str">
        <f>IFERROR(__xludf.DUMMYFUNCTION("""COMPUTED_VALUE"""),"november")</f>
        <v>november</v>
      </c>
      <c r="B451" s="501">
        <f>IFERROR(__xludf.DUMMYFUNCTION("""COMPUTED_VALUE"""),44.0)</f>
        <v>44</v>
      </c>
      <c r="C451" s="501" t="str">
        <f>IFERROR(__xludf.DUMMYFUNCTION("""COMPUTED_VALUE"""),"vrijdag")</f>
        <v>vrijdag</v>
      </c>
      <c r="D451" s="502">
        <f>IFERROR(__xludf.DUMMYFUNCTION("""COMPUTED_VALUE"""),43770.0)</f>
        <v>43770</v>
      </c>
      <c r="E451" s="502">
        <f>IFERROR(__xludf.DUMMYFUNCTION("""COMPUTED_VALUE"""),43799.0)</f>
        <v>43799</v>
      </c>
      <c r="F451" s="501" t="str">
        <f>IFERROR(__xludf.DUMMYFUNCTION("""COMPUTED_VALUE"""),"")</f>
        <v/>
      </c>
      <c r="G451" s="503" t="str">
        <f>IFERROR(__xludf.DUMMYFUNCTION("""COMPUTED_VALUE"""),"")</f>
        <v/>
      </c>
      <c r="H451" s="501" t="str">
        <f>IFERROR(__xludf.DUMMYFUNCTION("""COMPUTED_VALUE"""),"AOC verjaardag see")</f>
        <v>AOC verjaardag see</v>
      </c>
      <c r="I451" s="503" t="str">
        <f>IFERROR(__xludf.DUMMYFUNCTION("""COMPUTED_VALUE"""),"")</f>
        <v/>
      </c>
      <c r="J451" s="501" t="str">
        <f>IFERROR(__xludf.DUMMYFUNCTION("""COMPUTED_VALUE"""),"Briefen")</f>
        <v>Briefen</v>
      </c>
      <c r="K451" s="505" t="str">
        <f>IFERROR(__xludf.DUMMYFUNCTION("""COMPUTED_VALUE""")," See - Geboorte ")</f>
        <v>See - Geboorte</v>
      </c>
      <c r="L451" s="506">
        <f>IFERROR(__xludf.DUMMYFUNCTION("""COMPUTED_VALUE"""),1200.0)</f>
        <v>1200</v>
      </c>
      <c r="M451" s="504">
        <f>IFERROR(__xludf.DUMMYFUNCTION("""COMPUTED_VALUE"""),30.0)</f>
        <v>30</v>
      </c>
      <c r="N451" s="501" t="str">
        <f>IFERROR(__xludf.DUMMYFUNCTION("""COMPUTED_VALUE"""),"Merk")</f>
        <v>Merk</v>
      </c>
      <c r="O451" s="501" t="str">
        <f>IFERROR(__xludf.DUMMYFUNCTION("""COMPUTED_VALUE"""),"FB + Instagram")</f>
        <v>FB + Instagram</v>
      </c>
      <c r="P451" s="503" t="str">
        <f>IFERROR(__xludf.DUMMYFUNCTION("""COMPUTED_VALUE"""),"Facebook - See - AOC")</f>
        <v>Facebook - See - AOC</v>
      </c>
      <c r="Q451" s="501" t="str">
        <f>IFERROR(__xludf.DUMMYFUNCTION("""COMPUTED_VALUE"""),"Bereik")</f>
        <v>Bereik</v>
      </c>
      <c r="R451" s="501" t="str">
        <f>IFERROR(__xludf.DUMMYFUNCTION("""COMPUTED_VALUE"""),"Dark")</f>
        <v>Dark</v>
      </c>
      <c r="S451" s="503" t="str">
        <f>IFERROR(__xludf.DUMMYFUNCTION("""COMPUTED_VALUE"""),"")</f>
        <v/>
      </c>
      <c r="T451"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452">
      <c r="A452" s="501" t="str">
        <f>IFERROR(__xludf.DUMMYFUNCTION("""COMPUTED_VALUE"""),"november")</f>
        <v>november</v>
      </c>
      <c r="B452" s="501">
        <f>IFERROR(__xludf.DUMMYFUNCTION("""COMPUTED_VALUE"""),44.0)</f>
        <v>44</v>
      </c>
      <c r="C452" s="501" t="str">
        <f>IFERROR(__xludf.DUMMYFUNCTION("""COMPUTED_VALUE"""),"vrijdag")</f>
        <v>vrijdag</v>
      </c>
      <c r="D452" s="502">
        <f>IFERROR(__xludf.DUMMYFUNCTION("""COMPUTED_VALUE"""),43770.0)</f>
        <v>43770</v>
      </c>
      <c r="E452" s="502">
        <f>IFERROR(__xludf.DUMMYFUNCTION("""COMPUTED_VALUE"""),43799.0)</f>
        <v>43799</v>
      </c>
      <c r="F452" s="501" t="str">
        <f>IFERROR(__xludf.DUMMYFUNCTION("""COMPUTED_VALUE"""),"")</f>
        <v/>
      </c>
      <c r="G452" s="503" t="str">
        <f>IFERROR(__xludf.DUMMYFUNCTION("""COMPUTED_VALUE"""),"")</f>
        <v/>
      </c>
      <c r="H452" s="501" t="str">
        <f>IFERROR(__xludf.DUMMYFUNCTION("""COMPUTED_VALUE"""),"AOC geboorte see")</f>
        <v>AOC geboorte see</v>
      </c>
      <c r="I452" s="503" t="str">
        <f>IFERROR(__xludf.DUMMYFUNCTION("""COMPUTED_VALUE"""),"")</f>
        <v/>
      </c>
      <c r="J452" s="501" t="str">
        <f>IFERROR(__xludf.DUMMYFUNCTION("""COMPUTED_VALUE"""),"Briefen")</f>
        <v>Briefen</v>
      </c>
      <c r="K452" s="505" t="str">
        <f>IFERROR(__xludf.DUMMYFUNCTION("""COMPUTED_VALUE""")," See - Verjaardag ")</f>
        <v>See - Verjaardag</v>
      </c>
      <c r="L452" s="506">
        <f>IFERROR(__xludf.DUMMYFUNCTION("""COMPUTED_VALUE"""),2400.0)</f>
        <v>2400</v>
      </c>
      <c r="M452" s="504">
        <f>IFERROR(__xludf.DUMMYFUNCTION("""COMPUTED_VALUE"""),30.0)</f>
        <v>30</v>
      </c>
      <c r="N452" s="501" t="str">
        <f>IFERROR(__xludf.DUMMYFUNCTION("""COMPUTED_VALUE"""),"Merk")</f>
        <v>Merk</v>
      </c>
      <c r="O452" s="501" t="str">
        <f>IFERROR(__xludf.DUMMYFUNCTION("""COMPUTED_VALUE"""),"FB + Instagram")</f>
        <v>FB + Instagram</v>
      </c>
      <c r="P452" s="503" t="str">
        <f>IFERROR(__xludf.DUMMYFUNCTION("""COMPUTED_VALUE"""),"Facebook - See - AOC")</f>
        <v>Facebook - See - AOC</v>
      </c>
      <c r="Q452" s="501" t="str">
        <f>IFERROR(__xludf.DUMMYFUNCTION("""COMPUTED_VALUE"""),"Bereik")</f>
        <v>Bereik</v>
      </c>
      <c r="R452" s="501" t="str">
        <f>IFERROR(__xludf.DUMMYFUNCTION("""COMPUTED_VALUE"""),"Dark")</f>
        <v>Dark</v>
      </c>
      <c r="S452" s="503" t="str">
        <f>IFERROR(__xludf.DUMMYFUNCTION("""COMPUTED_VALUE"""),"")</f>
        <v/>
      </c>
      <c r="T452"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453">
      <c r="A453" s="501" t="str">
        <f>IFERROR(__xludf.DUMMYFUNCTION("""COMPUTED_VALUE"""),"november")</f>
        <v>november</v>
      </c>
      <c r="B453" s="501">
        <f>IFERROR(__xludf.DUMMYFUNCTION("""COMPUTED_VALUE"""),44.0)</f>
        <v>44</v>
      </c>
      <c r="C453" s="501" t="str">
        <f>IFERROR(__xludf.DUMMYFUNCTION("""COMPUTED_VALUE"""),"vrijdag")</f>
        <v>vrijdag</v>
      </c>
      <c r="D453" s="502">
        <f>IFERROR(__xludf.DUMMYFUNCTION("""COMPUTED_VALUE"""),43770.0)</f>
        <v>43770</v>
      </c>
      <c r="E453" s="502">
        <f>IFERROR(__xludf.DUMMYFUNCTION("""COMPUTED_VALUE"""),43770.0)</f>
        <v>43770</v>
      </c>
      <c r="F453" s="501" t="str">
        <f>IFERROR(__xludf.DUMMYFUNCTION("""COMPUTED_VALUE"""),"")</f>
        <v/>
      </c>
      <c r="G453" s="503" t="str">
        <f>IFERROR(__xludf.DUMMYFUNCTION("""COMPUTED_VALUE"""),"")</f>
        <v/>
      </c>
      <c r="H453" s="501" t="str">
        <f>IFERROR(__xludf.DUMMYFUNCTION("""COMPUTED_VALUE"""),"")</f>
        <v/>
      </c>
      <c r="I453" s="503" t="str">
        <f>IFERROR(__xludf.DUMMYFUNCTION("""COMPUTED_VALUE"""),"")</f>
        <v/>
      </c>
      <c r="J453" s="501" t="str">
        <f>IFERROR(__xludf.DUMMYFUNCTION("""COMPUTED_VALUE"""),"")</f>
        <v/>
      </c>
      <c r="K453" s="503" t="str">
        <f>IFERROR(__xludf.DUMMYFUNCTION("""COMPUTED_VALUE"""),"")</f>
        <v/>
      </c>
      <c r="L453" s="501" t="str">
        <f>IFERROR(__xludf.DUMMYFUNCTION("""COMPUTED_VALUE"""),"")</f>
        <v/>
      </c>
      <c r="M453" s="504">
        <f>IFERROR(__xludf.DUMMYFUNCTION("""COMPUTED_VALUE"""),1.0)</f>
        <v>1</v>
      </c>
      <c r="N453" s="501" t="str">
        <f>IFERROR(__xludf.DUMMYFUNCTION("""COMPUTED_VALUE"""),"")</f>
        <v/>
      </c>
      <c r="O453" s="501" t="str">
        <f>IFERROR(__xludf.DUMMYFUNCTION("""COMPUTED_VALUE"""),"")</f>
        <v/>
      </c>
      <c r="P453" s="503" t="str">
        <f>IFERROR(__xludf.DUMMYFUNCTION("""COMPUTED_VALUE"""),"")</f>
        <v/>
      </c>
      <c r="Q453" s="501" t="str">
        <f>IFERROR(__xludf.DUMMYFUNCTION("""COMPUTED_VALUE"""),"")</f>
        <v/>
      </c>
      <c r="R453" s="501" t="str">
        <f>IFERROR(__xludf.DUMMYFUNCTION("""COMPUTED_VALUE"""),"")</f>
        <v/>
      </c>
      <c r="S453" s="503" t="str">
        <f>IFERROR(__xludf.DUMMYFUNCTION("""COMPUTED_VALUE"""),"")</f>
        <v/>
      </c>
      <c r="T453" s="503" t="str">
        <f>IFERROR(__xludf.DUMMYFUNCTION("""COMPUTED_VALUE"""),"utm_source=facebook&amp;utm_medium=socialmedia&amp;utm_campaign=&amp;utm_content=&amp;referrer=facebook")</f>
        <v>utm_source=facebook&amp;utm_medium=socialmedia&amp;utm_campaign=&amp;utm_content=&amp;referrer=facebook</v>
      </c>
    </row>
    <row r="454">
      <c r="A454" s="501" t="str">
        <f>IFERROR(__xludf.DUMMYFUNCTION("""COMPUTED_VALUE"""),"november")</f>
        <v>november</v>
      </c>
      <c r="B454" s="501">
        <f>IFERROR(__xludf.DUMMYFUNCTION("""COMPUTED_VALUE"""),44.0)</f>
        <v>44</v>
      </c>
      <c r="C454" s="501" t="str">
        <f>IFERROR(__xludf.DUMMYFUNCTION("""COMPUTED_VALUE"""),"zaterdag")</f>
        <v>zaterdag</v>
      </c>
      <c r="D454" s="502">
        <f>IFERROR(__xludf.DUMMYFUNCTION("""COMPUTED_VALUE"""),43771.0)</f>
        <v>43771</v>
      </c>
      <c r="E454" s="502">
        <f>IFERROR(__xludf.DUMMYFUNCTION("""COMPUTED_VALUE"""),43771.0)</f>
        <v>43771</v>
      </c>
      <c r="F454" s="501" t="str">
        <f>IFERROR(__xludf.DUMMYFUNCTION("""COMPUTED_VALUE"""),"")</f>
        <v/>
      </c>
      <c r="G454" s="503" t="str">
        <f>IFERROR(__xludf.DUMMYFUNCTION("""COMPUTED_VALUE"""),"")</f>
        <v/>
      </c>
      <c r="H454" s="501" t="str">
        <f>IFERROR(__xludf.DUMMYFUNCTION("""COMPUTED_VALUE"""),"")</f>
        <v/>
      </c>
      <c r="I454" s="503" t="str">
        <f>IFERROR(__xludf.DUMMYFUNCTION("""COMPUTED_VALUE"""),"")</f>
        <v/>
      </c>
      <c r="J454" s="501" t="str">
        <f>IFERROR(__xludf.DUMMYFUNCTION("""COMPUTED_VALUE"""),"")</f>
        <v/>
      </c>
      <c r="K454" s="503" t="str">
        <f>IFERROR(__xludf.DUMMYFUNCTION("""COMPUTED_VALUE"""),"")</f>
        <v/>
      </c>
      <c r="L454" s="501" t="str">
        <f>IFERROR(__xludf.DUMMYFUNCTION("""COMPUTED_VALUE"""),"")</f>
        <v/>
      </c>
      <c r="M454" s="504">
        <f>IFERROR(__xludf.DUMMYFUNCTION("""COMPUTED_VALUE"""),1.0)</f>
        <v>1</v>
      </c>
      <c r="N454" s="501" t="str">
        <f>IFERROR(__xludf.DUMMYFUNCTION("""COMPUTED_VALUE"""),"")</f>
        <v/>
      </c>
      <c r="O454" s="501" t="str">
        <f>IFERROR(__xludf.DUMMYFUNCTION("""COMPUTED_VALUE"""),"")</f>
        <v/>
      </c>
      <c r="P454" s="503" t="str">
        <f>IFERROR(__xludf.DUMMYFUNCTION("""COMPUTED_VALUE"""),"")</f>
        <v/>
      </c>
      <c r="Q454" s="501" t="str">
        <f>IFERROR(__xludf.DUMMYFUNCTION("""COMPUTED_VALUE"""),"")</f>
        <v/>
      </c>
      <c r="R454" s="501" t="str">
        <f>IFERROR(__xludf.DUMMYFUNCTION("""COMPUTED_VALUE"""),"")</f>
        <v/>
      </c>
      <c r="S454" s="503" t="str">
        <f>IFERROR(__xludf.DUMMYFUNCTION("""COMPUTED_VALUE"""),"")</f>
        <v/>
      </c>
      <c r="T454" s="503" t="str">
        <f>IFERROR(__xludf.DUMMYFUNCTION("""COMPUTED_VALUE"""),"utm_source=facebook&amp;utm_medium=socialmedia&amp;utm_campaign=&amp;utm_content=&amp;referrer=facebook")</f>
        <v>utm_source=facebook&amp;utm_medium=socialmedia&amp;utm_campaign=&amp;utm_content=&amp;referrer=facebook</v>
      </c>
    </row>
    <row r="455">
      <c r="A455" s="501" t="str">
        <f>IFERROR(__xludf.DUMMYFUNCTION("""COMPUTED_VALUE"""),"november")</f>
        <v>november</v>
      </c>
      <c r="B455" s="501">
        <f>IFERROR(__xludf.DUMMYFUNCTION("""COMPUTED_VALUE"""),45.0)</f>
        <v>45</v>
      </c>
      <c r="C455" s="501" t="str">
        <f>IFERROR(__xludf.DUMMYFUNCTION("""COMPUTED_VALUE"""),"zondag")</f>
        <v>zondag</v>
      </c>
      <c r="D455" s="502">
        <f>IFERROR(__xludf.DUMMYFUNCTION("""COMPUTED_VALUE"""),43772.0)</f>
        <v>43772</v>
      </c>
      <c r="E455" s="502">
        <f>IFERROR(__xludf.DUMMYFUNCTION("""COMPUTED_VALUE"""),43772.0)</f>
        <v>43772</v>
      </c>
      <c r="F455" s="501" t="str">
        <f>IFERROR(__xludf.DUMMYFUNCTION("""COMPUTED_VALUE"""),"")</f>
        <v/>
      </c>
      <c r="G455" s="503" t="str">
        <f>IFERROR(__xludf.DUMMYFUNCTION("""COMPUTED_VALUE"""),"")</f>
        <v/>
      </c>
      <c r="H455" s="501" t="str">
        <f>IFERROR(__xludf.DUMMYFUNCTION("""COMPUTED_VALUE"""),"")</f>
        <v/>
      </c>
      <c r="I455" s="503" t="str">
        <f>IFERROR(__xludf.DUMMYFUNCTION("""COMPUTED_VALUE"""),"")</f>
        <v/>
      </c>
      <c r="J455" s="501" t="str">
        <f>IFERROR(__xludf.DUMMYFUNCTION("""COMPUTED_VALUE"""),"")</f>
        <v/>
      </c>
      <c r="K455" s="503" t="str">
        <f>IFERROR(__xludf.DUMMYFUNCTION("""COMPUTED_VALUE"""),"")</f>
        <v/>
      </c>
      <c r="L455" s="501" t="str">
        <f>IFERROR(__xludf.DUMMYFUNCTION("""COMPUTED_VALUE"""),"")</f>
        <v/>
      </c>
      <c r="M455" s="504">
        <f>IFERROR(__xludf.DUMMYFUNCTION("""COMPUTED_VALUE"""),1.0)</f>
        <v>1</v>
      </c>
      <c r="N455" s="501" t="str">
        <f>IFERROR(__xludf.DUMMYFUNCTION("""COMPUTED_VALUE"""),"")</f>
        <v/>
      </c>
      <c r="O455" s="501" t="str">
        <f>IFERROR(__xludf.DUMMYFUNCTION("""COMPUTED_VALUE"""),"")</f>
        <v/>
      </c>
      <c r="P455" s="503" t="str">
        <f>IFERROR(__xludf.DUMMYFUNCTION("""COMPUTED_VALUE"""),"")</f>
        <v/>
      </c>
      <c r="Q455" s="501" t="str">
        <f>IFERROR(__xludf.DUMMYFUNCTION("""COMPUTED_VALUE"""),"")</f>
        <v/>
      </c>
      <c r="R455" s="501" t="str">
        <f>IFERROR(__xludf.DUMMYFUNCTION("""COMPUTED_VALUE"""),"")</f>
        <v/>
      </c>
      <c r="S455" s="503" t="str">
        <f>IFERROR(__xludf.DUMMYFUNCTION("""COMPUTED_VALUE"""),"")</f>
        <v/>
      </c>
      <c r="T455" s="503" t="str">
        <f>IFERROR(__xludf.DUMMYFUNCTION("""COMPUTED_VALUE"""),"utm_source=facebook&amp;utm_medium=socialmedia&amp;utm_campaign=&amp;utm_content=&amp;referrer=facebook")</f>
        <v>utm_source=facebook&amp;utm_medium=socialmedia&amp;utm_campaign=&amp;utm_content=&amp;referrer=facebook</v>
      </c>
    </row>
    <row r="456">
      <c r="A456" s="501" t="str">
        <f>IFERROR(__xludf.DUMMYFUNCTION("""COMPUTED_VALUE"""),"november")</f>
        <v>november</v>
      </c>
      <c r="B456" s="501">
        <f>IFERROR(__xludf.DUMMYFUNCTION("""COMPUTED_VALUE"""),45.0)</f>
        <v>45</v>
      </c>
      <c r="C456" s="501" t="str">
        <f>IFERROR(__xludf.DUMMYFUNCTION("""COMPUTED_VALUE"""),"maandag")</f>
        <v>maandag</v>
      </c>
      <c r="D456" s="502">
        <f>IFERROR(__xludf.DUMMYFUNCTION("""COMPUTED_VALUE"""),43773.0)</f>
        <v>43773</v>
      </c>
      <c r="E456" s="502">
        <f>IFERROR(__xludf.DUMMYFUNCTION("""COMPUTED_VALUE"""),43773.0)</f>
        <v>43773</v>
      </c>
      <c r="F456" s="501" t="str">
        <f>IFERROR(__xludf.DUMMYFUNCTION("""COMPUTED_VALUE"""),"")</f>
        <v/>
      </c>
      <c r="G456" s="503" t="str">
        <f>IFERROR(__xludf.DUMMYFUNCTION("""COMPUTED_VALUE"""),"")</f>
        <v/>
      </c>
      <c r="H456" s="501" t="str">
        <f>IFERROR(__xludf.DUMMYFUNCTION("""COMPUTED_VALUE"""),"")</f>
        <v/>
      </c>
      <c r="I456" s="503" t="str">
        <f>IFERROR(__xludf.DUMMYFUNCTION("""COMPUTED_VALUE"""),"")</f>
        <v/>
      </c>
      <c r="J456" s="501" t="str">
        <f>IFERROR(__xludf.DUMMYFUNCTION("""COMPUTED_VALUE"""),"")</f>
        <v/>
      </c>
      <c r="K456" s="503" t="str">
        <f>IFERROR(__xludf.DUMMYFUNCTION("""COMPUTED_VALUE"""),"")</f>
        <v/>
      </c>
      <c r="L456" s="501" t="str">
        <f>IFERROR(__xludf.DUMMYFUNCTION("""COMPUTED_VALUE"""),"")</f>
        <v/>
      </c>
      <c r="M456" s="504">
        <f>IFERROR(__xludf.DUMMYFUNCTION("""COMPUTED_VALUE"""),1.0)</f>
        <v>1</v>
      </c>
      <c r="N456" s="501" t="str">
        <f>IFERROR(__xludf.DUMMYFUNCTION("""COMPUTED_VALUE"""),"")</f>
        <v/>
      </c>
      <c r="O456" s="501" t="str">
        <f>IFERROR(__xludf.DUMMYFUNCTION("""COMPUTED_VALUE"""),"")</f>
        <v/>
      </c>
      <c r="P456" s="503" t="str">
        <f>IFERROR(__xludf.DUMMYFUNCTION("""COMPUTED_VALUE"""),"")</f>
        <v/>
      </c>
      <c r="Q456" s="501" t="str">
        <f>IFERROR(__xludf.DUMMYFUNCTION("""COMPUTED_VALUE"""),"")</f>
        <v/>
      </c>
      <c r="R456" s="501" t="str">
        <f>IFERROR(__xludf.DUMMYFUNCTION("""COMPUTED_VALUE"""),"")</f>
        <v/>
      </c>
      <c r="S456" s="503" t="str">
        <f>IFERROR(__xludf.DUMMYFUNCTION("""COMPUTED_VALUE"""),"")</f>
        <v/>
      </c>
      <c r="T456" s="503" t="str">
        <f>IFERROR(__xludf.DUMMYFUNCTION("""COMPUTED_VALUE"""),"utm_source=facebook&amp;utm_medium=socialmedia&amp;utm_campaign=&amp;utm_content=&amp;referrer=facebook")</f>
        <v>utm_source=facebook&amp;utm_medium=socialmedia&amp;utm_campaign=&amp;utm_content=&amp;referrer=facebook</v>
      </c>
    </row>
    <row r="457">
      <c r="A457" s="501" t="str">
        <f>IFERROR(__xludf.DUMMYFUNCTION("""COMPUTED_VALUE"""),"november")</f>
        <v>november</v>
      </c>
      <c r="B457" s="501">
        <f>IFERROR(__xludf.DUMMYFUNCTION("""COMPUTED_VALUE"""),45.0)</f>
        <v>45</v>
      </c>
      <c r="C457" s="501" t="str">
        <f>IFERROR(__xludf.DUMMYFUNCTION("""COMPUTED_VALUE"""),"dinsdag")</f>
        <v>dinsdag</v>
      </c>
      <c r="D457" s="502">
        <f>IFERROR(__xludf.DUMMYFUNCTION("""COMPUTED_VALUE"""),43774.0)</f>
        <v>43774</v>
      </c>
      <c r="E457" s="502">
        <f>IFERROR(__xludf.DUMMYFUNCTION("""COMPUTED_VALUE"""),43774.0)</f>
        <v>43774</v>
      </c>
      <c r="F457" s="501" t="str">
        <f>IFERROR(__xludf.DUMMYFUNCTION("""COMPUTED_VALUE"""),"")</f>
        <v/>
      </c>
      <c r="G457" s="503" t="str">
        <f>IFERROR(__xludf.DUMMYFUNCTION("""COMPUTED_VALUE"""),"")</f>
        <v/>
      </c>
      <c r="H457" s="501" t="str">
        <f>IFERROR(__xludf.DUMMYFUNCTION("""COMPUTED_VALUE"""),"")</f>
        <v/>
      </c>
      <c r="I457" s="503" t="str">
        <f>IFERROR(__xludf.DUMMYFUNCTION("""COMPUTED_VALUE"""),"")</f>
        <v/>
      </c>
      <c r="J457" s="501" t="str">
        <f>IFERROR(__xludf.DUMMYFUNCTION("""COMPUTED_VALUE"""),"")</f>
        <v/>
      </c>
      <c r="K457" s="503" t="str">
        <f>IFERROR(__xludf.DUMMYFUNCTION("""COMPUTED_VALUE"""),"")</f>
        <v/>
      </c>
      <c r="L457" s="501" t="str">
        <f>IFERROR(__xludf.DUMMYFUNCTION("""COMPUTED_VALUE"""),"")</f>
        <v/>
      </c>
      <c r="M457" s="504">
        <f>IFERROR(__xludf.DUMMYFUNCTION("""COMPUTED_VALUE"""),1.0)</f>
        <v>1</v>
      </c>
      <c r="N457" s="501" t="str">
        <f>IFERROR(__xludf.DUMMYFUNCTION("""COMPUTED_VALUE"""),"")</f>
        <v/>
      </c>
      <c r="O457" s="501" t="str">
        <f>IFERROR(__xludf.DUMMYFUNCTION("""COMPUTED_VALUE"""),"")</f>
        <v/>
      </c>
      <c r="P457" s="503" t="str">
        <f>IFERROR(__xludf.DUMMYFUNCTION("""COMPUTED_VALUE"""),"")</f>
        <v/>
      </c>
      <c r="Q457" s="501" t="str">
        <f>IFERROR(__xludf.DUMMYFUNCTION("""COMPUTED_VALUE"""),"")</f>
        <v/>
      </c>
      <c r="R457" s="501" t="str">
        <f>IFERROR(__xludf.DUMMYFUNCTION("""COMPUTED_VALUE"""),"")</f>
        <v/>
      </c>
      <c r="S457" s="503" t="str">
        <f>IFERROR(__xludf.DUMMYFUNCTION("""COMPUTED_VALUE"""),"")</f>
        <v/>
      </c>
      <c r="T457" s="503" t="str">
        <f>IFERROR(__xludf.DUMMYFUNCTION("""COMPUTED_VALUE"""),"utm_source=facebook&amp;utm_medium=socialmedia&amp;utm_campaign=&amp;utm_content=&amp;referrer=facebook")</f>
        <v>utm_source=facebook&amp;utm_medium=socialmedia&amp;utm_campaign=&amp;utm_content=&amp;referrer=facebook</v>
      </c>
    </row>
    <row r="458">
      <c r="A458" s="501" t="str">
        <f>IFERROR(__xludf.DUMMYFUNCTION("""COMPUTED_VALUE"""),"november")</f>
        <v>november</v>
      </c>
      <c r="B458" s="501">
        <f>IFERROR(__xludf.DUMMYFUNCTION("""COMPUTED_VALUE"""),45.0)</f>
        <v>45</v>
      </c>
      <c r="C458" s="501" t="str">
        <f>IFERROR(__xludf.DUMMYFUNCTION("""COMPUTED_VALUE"""),"woensdag")</f>
        <v>woensdag</v>
      </c>
      <c r="D458" s="502">
        <f>IFERROR(__xludf.DUMMYFUNCTION("""COMPUTED_VALUE"""),43775.0)</f>
        <v>43775</v>
      </c>
      <c r="E458" s="502">
        <f>IFERROR(__xludf.DUMMYFUNCTION("""COMPUTED_VALUE"""),43775.0)</f>
        <v>43775</v>
      </c>
      <c r="F458" s="501" t="str">
        <f>IFERROR(__xludf.DUMMYFUNCTION("""COMPUTED_VALUE"""),"")</f>
        <v/>
      </c>
      <c r="G458" s="503" t="str">
        <f>IFERROR(__xludf.DUMMYFUNCTION("""COMPUTED_VALUE"""),"")</f>
        <v/>
      </c>
      <c r="H458" s="501" t="str">
        <f>IFERROR(__xludf.DUMMYFUNCTION("""COMPUTED_VALUE"""),"")</f>
        <v/>
      </c>
      <c r="I458" s="503" t="str">
        <f>IFERROR(__xludf.DUMMYFUNCTION("""COMPUTED_VALUE"""),"")</f>
        <v/>
      </c>
      <c r="J458" s="501" t="str">
        <f>IFERROR(__xludf.DUMMYFUNCTION("""COMPUTED_VALUE"""),"")</f>
        <v/>
      </c>
      <c r="K458" s="503" t="str">
        <f>IFERROR(__xludf.DUMMYFUNCTION("""COMPUTED_VALUE"""),"")</f>
        <v/>
      </c>
      <c r="L458" s="501" t="str">
        <f>IFERROR(__xludf.DUMMYFUNCTION("""COMPUTED_VALUE"""),"")</f>
        <v/>
      </c>
      <c r="M458" s="504">
        <f>IFERROR(__xludf.DUMMYFUNCTION("""COMPUTED_VALUE"""),1.0)</f>
        <v>1</v>
      </c>
      <c r="N458" s="501" t="str">
        <f>IFERROR(__xludf.DUMMYFUNCTION("""COMPUTED_VALUE"""),"")</f>
        <v/>
      </c>
      <c r="O458" s="501" t="str">
        <f>IFERROR(__xludf.DUMMYFUNCTION("""COMPUTED_VALUE"""),"")</f>
        <v/>
      </c>
      <c r="P458" s="503" t="str">
        <f>IFERROR(__xludf.DUMMYFUNCTION("""COMPUTED_VALUE"""),"")</f>
        <v/>
      </c>
      <c r="Q458" s="501" t="str">
        <f>IFERROR(__xludf.DUMMYFUNCTION("""COMPUTED_VALUE"""),"")</f>
        <v/>
      </c>
      <c r="R458" s="501" t="str">
        <f>IFERROR(__xludf.DUMMYFUNCTION("""COMPUTED_VALUE"""),"")</f>
        <v/>
      </c>
      <c r="S458" s="503" t="str">
        <f>IFERROR(__xludf.DUMMYFUNCTION("""COMPUTED_VALUE"""),"")</f>
        <v/>
      </c>
      <c r="T458" s="503" t="str">
        <f>IFERROR(__xludf.DUMMYFUNCTION("""COMPUTED_VALUE"""),"utm_source=facebook&amp;utm_medium=socialmedia&amp;utm_campaign=&amp;utm_content=&amp;referrer=facebook")</f>
        <v>utm_source=facebook&amp;utm_medium=socialmedia&amp;utm_campaign=&amp;utm_content=&amp;referrer=facebook</v>
      </c>
    </row>
    <row r="459">
      <c r="A459" s="501" t="str">
        <f>IFERROR(__xludf.DUMMYFUNCTION("""COMPUTED_VALUE"""),"november")</f>
        <v>november</v>
      </c>
      <c r="B459" s="501">
        <f>IFERROR(__xludf.DUMMYFUNCTION("""COMPUTED_VALUE"""),45.0)</f>
        <v>45</v>
      </c>
      <c r="C459" s="501" t="str">
        <f>IFERROR(__xludf.DUMMYFUNCTION("""COMPUTED_VALUE"""),"donderdag")</f>
        <v>donderdag</v>
      </c>
      <c r="D459" s="502">
        <f>IFERROR(__xludf.DUMMYFUNCTION("""COMPUTED_VALUE"""),43776.0)</f>
        <v>43776</v>
      </c>
      <c r="E459" s="502">
        <f>IFERROR(__xludf.DUMMYFUNCTION("""COMPUTED_VALUE"""),43776.0)</f>
        <v>43776</v>
      </c>
      <c r="F459" s="501" t="str">
        <f>IFERROR(__xludf.DUMMYFUNCTION("""COMPUTED_VALUE"""),"")</f>
        <v/>
      </c>
      <c r="G459" s="503" t="str">
        <f>IFERROR(__xludf.DUMMYFUNCTION("""COMPUTED_VALUE"""),"")</f>
        <v/>
      </c>
      <c r="H459" s="501" t="str">
        <f>IFERROR(__xludf.DUMMYFUNCTION("""COMPUTED_VALUE"""),"")</f>
        <v/>
      </c>
      <c r="I459" s="503" t="str">
        <f>IFERROR(__xludf.DUMMYFUNCTION("""COMPUTED_VALUE"""),"")</f>
        <v/>
      </c>
      <c r="J459" s="501" t="str">
        <f>IFERROR(__xludf.DUMMYFUNCTION("""COMPUTED_VALUE"""),"")</f>
        <v/>
      </c>
      <c r="K459" s="503" t="str">
        <f>IFERROR(__xludf.DUMMYFUNCTION("""COMPUTED_VALUE"""),"")</f>
        <v/>
      </c>
      <c r="L459" s="501" t="str">
        <f>IFERROR(__xludf.DUMMYFUNCTION("""COMPUTED_VALUE"""),"")</f>
        <v/>
      </c>
      <c r="M459" s="504">
        <f>IFERROR(__xludf.DUMMYFUNCTION("""COMPUTED_VALUE"""),1.0)</f>
        <v>1</v>
      </c>
      <c r="N459" s="501" t="str">
        <f>IFERROR(__xludf.DUMMYFUNCTION("""COMPUTED_VALUE"""),"")</f>
        <v/>
      </c>
      <c r="O459" s="501" t="str">
        <f>IFERROR(__xludf.DUMMYFUNCTION("""COMPUTED_VALUE"""),"")</f>
        <v/>
      </c>
      <c r="P459" s="503" t="str">
        <f>IFERROR(__xludf.DUMMYFUNCTION("""COMPUTED_VALUE"""),"")</f>
        <v/>
      </c>
      <c r="Q459" s="501" t="str">
        <f>IFERROR(__xludf.DUMMYFUNCTION("""COMPUTED_VALUE"""),"")</f>
        <v/>
      </c>
      <c r="R459" s="501" t="str">
        <f>IFERROR(__xludf.DUMMYFUNCTION("""COMPUTED_VALUE"""),"")</f>
        <v/>
      </c>
      <c r="S459" s="503" t="str">
        <f>IFERROR(__xludf.DUMMYFUNCTION("""COMPUTED_VALUE"""),"")</f>
        <v/>
      </c>
      <c r="T459" s="503" t="str">
        <f>IFERROR(__xludf.DUMMYFUNCTION("""COMPUTED_VALUE"""),"utm_source=facebook&amp;utm_medium=socialmedia&amp;utm_campaign=&amp;utm_content=&amp;referrer=facebook")</f>
        <v>utm_source=facebook&amp;utm_medium=socialmedia&amp;utm_campaign=&amp;utm_content=&amp;referrer=facebook</v>
      </c>
    </row>
    <row r="460">
      <c r="A460" s="501" t="str">
        <f>IFERROR(__xludf.DUMMYFUNCTION("""COMPUTED_VALUE"""),"november")</f>
        <v>november</v>
      </c>
      <c r="B460" s="501">
        <f>IFERROR(__xludf.DUMMYFUNCTION("""COMPUTED_VALUE"""),45.0)</f>
        <v>45</v>
      </c>
      <c r="C460" s="501" t="str">
        <f>IFERROR(__xludf.DUMMYFUNCTION("""COMPUTED_VALUE"""),"vrijdag")</f>
        <v>vrijdag</v>
      </c>
      <c r="D460" s="502">
        <f>IFERROR(__xludf.DUMMYFUNCTION("""COMPUTED_VALUE"""),43777.0)</f>
        <v>43777</v>
      </c>
      <c r="E460" s="502">
        <f>IFERROR(__xludf.DUMMYFUNCTION("""COMPUTED_VALUE"""),43777.0)</f>
        <v>43777</v>
      </c>
      <c r="F460" s="501" t="str">
        <f>IFERROR(__xludf.DUMMYFUNCTION("""COMPUTED_VALUE"""),"")</f>
        <v/>
      </c>
      <c r="G460" s="503" t="str">
        <f>IFERROR(__xludf.DUMMYFUNCTION("""COMPUTED_VALUE"""),"")</f>
        <v/>
      </c>
      <c r="H460" s="501" t="str">
        <f>IFERROR(__xludf.DUMMYFUNCTION("""COMPUTED_VALUE"""),"")</f>
        <v/>
      </c>
      <c r="I460" s="503" t="str">
        <f>IFERROR(__xludf.DUMMYFUNCTION("""COMPUTED_VALUE"""),"")</f>
        <v/>
      </c>
      <c r="J460" s="501" t="str">
        <f>IFERROR(__xludf.DUMMYFUNCTION("""COMPUTED_VALUE"""),"")</f>
        <v/>
      </c>
      <c r="K460" s="503" t="str">
        <f>IFERROR(__xludf.DUMMYFUNCTION("""COMPUTED_VALUE"""),"")</f>
        <v/>
      </c>
      <c r="L460" s="501" t="str">
        <f>IFERROR(__xludf.DUMMYFUNCTION("""COMPUTED_VALUE"""),"")</f>
        <v/>
      </c>
      <c r="M460" s="504">
        <f>IFERROR(__xludf.DUMMYFUNCTION("""COMPUTED_VALUE"""),1.0)</f>
        <v>1</v>
      </c>
      <c r="N460" s="501" t="str">
        <f>IFERROR(__xludf.DUMMYFUNCTION("""COMPUTED_VALUE"""),"")</f>
        <v/>
      </c>
      <c r="O460" s="501" t="str">
        <f>IFERROR(__xludf.DUMMYFUNCTION("""COMPUTED_VALUE"""),"")</f>
        <v/>
      </c>
      <c r="P460" s="503" t="str">
        <f>IFERROR(__xludf.DUMMYFUNCTION("""COMPUTED_VALUE"""),"")</f>
        <v/>
      </c>
      <c r="Q460" s="501" t="str">
        <f>IFERROR(__xludf.DUMMYFUNCTION("""COMPUTED_VALUE"""),"")</f>
        <v/>
      </c>
      <c r="R460" s="501" t="str">
        <f>IFERROR(__xludf.DUMMYFUNCTION("""COMPUTED_VALUE"""),"")</f>
        <v/>
      </c>
      <c r="S460" s="503" t="str">
        <f>IFERROR(__xludf.DUMMYFUNCTION("""COMPUTED_VALUE"""),"")</f>
        <v/>
      </c>
      <c r="T460" s="503" t="str">
        <f>IFERROR(__xludf.DUMMYFUNCTION("""COMPUTED_VALUE"""),"utm_source=facebook&amp;utm_medium=socialmedia&amp;utm_campaign=&amp;utm_content=&amp;referrer=facebook")</f>
        <v>utm_source=facebook&amp;utm_medium=socialmedia&amp;utm_campaign=&amp;utm_content=&amp;referrer=facebook</v>
      </c>
    </row>
    <row r="461">
      <c r="A461" s="501" t="str">
        <f>IFERROR(__xludf.DUMMYFUNCTION("""COMPUTED_VALUE"""),"november")</f>
        <v>november</v>
      </c>
      <c r="B461" s="501">
        <f>IFERROR(__xludf.DUMMYFUNCTION("""COMPUTED_VALUE"""),45.0)</f>
        <v>45</v>
      </c>
      <c r="C461" s="501" t="str">
        <f>IFERROR(__xludf.DUMMYFUNCTION("""COMPUTED_VALUE"""),"zaterdag")</f>
        <v>zaterdag</v>
      </c>
      <c r="D461" s="502">
        <f>IFERROR(__xludf.DUMMYFUNCTION("""COMPUTED_VALUE"""),43778.0)</f>
        <v>43778</v>
      </c>
      <c r="E461" s="502">
        <f>IFERROR(__xludf.DUMMYFUNCTION("""COMPUTED_VALUE"""),43778.0)</f>
        <v>43778</v>
      </c>
      <c r="F461" s="501" t="str">
        <f>IFERROR(__xludf.DUMMYFUNCTION("""COMPUTED_VALUE"""),"")</f>
        <v/>
      </c>
      <c r="G461" s="503" t="str">
        <f>IFERROR(__xludf.DUMMYFUNCTION("""COMPUTED_VALUE"""),"")</f>
        <v/>
      </c>
      <c r="H461" s="501" t="str">
        <f>IFERROR(__xludf.DUMMYFUNCTION("""COMPUTED_VALUE"""),"")</f>
        <v/>
      </c>
      <c r="I461" s="503" t="str">
        <f>IFERROR(__xludf.DUMMYFUNCTION("""COMPUTED_VALUE"""),"")</f>
        <v/>
      </c>
      <c r="J461" s="501" t="str">
        <f>IFERROR(__xludf.DUMMYFUNCTION("""COMPUTED_VALUE"""),"")</f>
        <v/>
      </c>
      <c r="K461" s="503" t="str">
        <f>IFERROR(__xludf.DUMMYFUNCTION("""COMPUTED_VALUE"""),"")</f>
        <v/>
      </c>
      <c r="L461" s="501" t="str">
        <f>IFERROR(__xludf.DUMMYFUNCTION("""COMPUTED_VALUE"""),"")</f>
        <v/>
      </c>
      <c r="M461" s="504">
        <f>IFERROR(__xludf.DUMMYFUNCTION("""COMPUTED_VALUE"""),1.0)</f>
        <v>1</v>
      </c>
      <c r="N461" s="501" t="str">
        <f>IFERROR(__xludf.DUMMYFUNCTION("""COMPUTED_VALUE"""),"")</f>
        <v/>
      </c>
      <c r="O461" s="501" t="str">
        <f>IFERROR(__xludf.DUMMYFUNCTION("""COMPUTED_VALUE"""),"")</f>
        <v/>
      </c>
      <c r="P461" s="503" t="str">
        <f>IFERROR(__xludf.DUMMYFUNCTION("""COMPUTED_VALUE"""),"")</f>
        <v/>
      </c>
      <c r="Q461" s="501" t="str">
        <f>IFERROR(__xludf.DUMMYFUNCTION("""COMPUTED_VALUE"""),"")</f>
        <v/>
      </c>
      <c r="R461" s="501" t="str">
        <f>IFERROR(__xludf.DUMMYFUNCTION("""COMPUTED_VALUE"""),"")</f>
        <v/>
      </c>
      <c r="S461" s="503" t="str">
        <f>IFERROR(__xludf.DUMMYFUNCTION("""COMPUTED_VALUE"""),"")</f>
        <v/>
      </c>
      <c r="T461" s="503" t="str">
        <f>IFERROR(__xludf.DUMMYFUNCTION("""COMPUTED_VALUE"""),"utm_source=facebook&amp;utm_medium=socialmedia&amp;utm_campaign=&amp;utm_content=&amp;referrer=facebook")</f>
        <v>utm_source=facebook&amp;utm_medium=socialmedia&amp;utm_campaign=&amp;utm_content=&amp;referrer=facebook</v>
      </c>
    </row>
    <row r="462">
      <c r="A462" s="501" t="str">
        <f>IFERROR(__xludf.DUMMYFUNCTION("""COMPUTED_VALUE"""),"november")</f>
        <v>november</v>
      </c>
      <c r="B462" s="501">
        <f>IFERROR(__xludf.DUMMYFUNCTION("""COMPUTED_VALUE"""),46.0)</f>
        <v>46</v>
      </c>
      <c r="C462" s="501" t="str">
        <f>IFERROR(__xludf.DUMMYFUNCTION("""COMPUTED_VALUE"""),"zondag")</f>
        <v>zondag</v>
      </c>
      <c r="D462" s="502">
        <f>IFERROR(__xludf.DUMMYFUNCTION("""COMPUTED_VALUE"""),43779.0)</f>
        <v>43779</v>
      </c>
      <c r="E462" s="502">
        <f>IFERROR(__xludf.DUMMYFUNCTION("""COMPUTED_VALUE"""),43779.0)</f>
        <v>43779</v>
      </c>
      <c r="F462" s="501" t="str">
        <f>IFERROR(__xludf.DUMMYFUNCTION("""COMPUTED_VALUE"""),"")</f>
        <v/>
      </c>
      <c r="G462" s="503" t="str">
        <f>IFERROR(__xludf.DUMMYFUNCTION("""COMPUTED_VALUE"""),"")</f>
        <v/>
      </c>
      <c r="H462" s="501" t="str">
        <f>IFERROR(__xludf.DUMMYFUNCTION("""COMPUTED_VALUE"""),"")</f>
        <v/>
      </c>
      <c r="I462" s="503" t="str">
        <f>IFERROR(__xludf.DUMMYFUNCTION("""COMPUTED_VALUE"""),"")</f>
        <v/>
      </c>
      <c r="J462" s="501" t="str">
        <f>IFERROR(__xludf.DUMMYFUNCTION("""COMPUTED_VALUE"""),"")</f>
        <v/>
      </c>
      <c r="K462" s="503" t="str">
        <f>IFERROR(__xludf.DUMMYFUNCTION("""COMPUTED_VALUE"""),"")</f>
        <v/>
      </c>
      <c r="L462" s="501" t="str">
        <f>IFERROR(__xludf.DUMMYFUNCTION("""COMPUTED_VALUE"""),"")</f>
        <v/>
      </c>
      <c r="M462" s="504">
        <f>IFERROR(__xludf.DUMMYFUNCTION("""COMPUTED_VALUE"""),1.0)</f>
        <v>1</v>
      </c>
      <c r="N462" s="501" t="str">
        <f>IFERROR(__xludf.DUMMYFUNCTION("""COMPUTED_VALUE"""),"")</f>
        <v/>
      </c>
      <c r="O462" s="501" t="str">
        <f>IFERROR(__xludf.DUMMYFUNCTION("""COMPUTED_VALUE"""),"")</f>
        <v/>
      </c>
      <c r="P462" s="503" t="str">
        <f>IFERROR(__xludf.DUMMYFUNCTION("""COMPUTED_VALUE"""),"")</f>
        <v/>
      </c>
      <c r="Q462" s="501" t="str">
        <f>IFERROR(__xludf.DUMMYFUNCTION("""COMPUTED_VALUE"""),"")</f>
        <v/>
      </c>
      <c r="R462" s="501" t="str">
        <f>IFERROR(__xludf.DUMMYFUNCTION("""COMPUTED_VALUE"""),"")</f>
        <v/>
      </c>
      <c r="S462" s="503" t="str">
        <f>IFERROR(__xludf.DUMMYFUNCTION("""COMPUTED_VALUE"""),"")</f>
        <v/>
      </c>
      <c r="T462" s="503" t="str">
        <f>IFERROR(__xludf.DUMMYFUNCTION("""COMPUTED_VALUE"""),"utm_source=facebook&amp;utm_medium=socialmedia&amp;utm_campaign=&amp;utm_content=&amp;referrer=facebook")</f>
        <v>utm_source=facebook&amp;utm_medium=socialmedia&amp;utm_campaign=&amp;utm_content=&amp;referrer=facebook</v>
      </c>
    </row>
    <row r="463">
      <c r="A463" s="501" t="str">
        <f>IFERROR(__xludf.DUMMYFUNCTION("""COMPUTED_VALUE"""),"november")</f>
        <v>november</v>
      </c>
      <c r="B463" s="501">
        <f>IFERROR(__xludf.DUMMYFUNCTION("""COMPUTED_VALUE"""),46.0)</f>
        <v>46</v>
      </c>
      <c r="C463" s="501" t="str">
        <f>IFERROR(__xludf.DUMMYFUNCTION("""COMPUTED_VALUE"""),"maandag")</f>
        <v>maandag</v>
      </c>
      <c r="D463" s="502">
        <f>IFERROR(__xludf.DUMMYFUNCTION("""COMPUTED_VALUE"""),43780.0)</f>
        <v>43780</v>
      </c>
      <c r="E463" s="502">
        <f>IFERROR(__xludf.DUMMYFUNCTION("""COMPUTED_VALUE"""),43780.0)</f>
        <v>43780</v>
      </c>
      <c r="F463" s="501" t="str">
        <f>IFERROR(__xludf.DUMMYFUNCTION("""COMPUTED_VALUE"""),"")</f>
        <v/>
      </c>
      <c r="G463" s="503" t="str">
        <f>IFERROR(__xludf.DUMMYFUNCTION("""COMPUTED_VALUE"""),"")</f>
        <v/>
      </c>
      <c r="H463" s="501" t="str">
        <f>IFERROR(__xludf.DUMMYFUNCTION("""COMPUTED_VALUE"""),"")</f>
        <v/>
      </c>
      <c r="I463" s="503" t="str">
        <f>IFERROR(__xludf.DUMMYFUNCTION("""COMPUTED_VALUE"""),"")</f>
        <v/>
      </c>
      <c r="J463" s="501" t="str">
        <f>IFERROR(__xludf.DUMMYFUNCTION("""COMPUTED_VALUE"""),"")</f>
        <v/>
      </c>
      <c r="K463" s="503" t="str">
        <f>IFERROR(__xludf.DUMMYFUNCTION("""COMPUTED_VALUE"""),"")</f>
        <v/>
      </c>
      <c r="L463" s="501" t="str">
        <f>IFERROR(__xludf.DUMMYFUNCTION("""COMPUTED_VALUE"""),"")</f>
        <v/>
      </c>
      <c r="M463" s="504">
        <f>IFERROR(__xludf.DUMMYFUNCTION("""COMPUTED_VALUE"""),1.0)</f>
        <v>1</v>
      </c>
      <c r="N463" s="501" t="str">
        <f>IFERROR(__xludf.DUMMYFUNCTION("""COMPUTED_VALUE"""),"")</f>
        <v/>
      </c>
      <c r="O463" s="501" t="str">
        <f>IFERROR(__xludf.DUMMYFUNCTION("""COMPUTED_VALUE"""),"")</f>
        <v/>
      </c>
      <c r="P463" s="503" t="str">
        <f>IFERROR(__xludf.DUMMYFUNCTION("""COMPUTED_VALUE"""),"")</f>
        <v/>
      </c>
      <c r="Q463" s="501" t="str">
        <f>IFERROR(__xludf.DUMMYFUNCTION("""COMPUTED_VALUE"""),"")</f>
        <v/>
      </c>
      <c r="R463" s="501" t="str">
        <f>IFERROR(__xludf.DUMMYFUNCTION("""COMPUTED_VALUE"""),"")</f>
        <v/>
      </c>
      <c r="S463" s="503" t="str">
        <f>IFERROR(__xludf.DUMMYFUNCTION("""COMPUTED_VALUE"""),"")</f>
        <v/>
      </c>
      <c r="T463" s="503" t="str">
        <f>IFERROR(__xludf.DUMMYFUNCTION("""COMPUTED_VALUE"""),"utm_source=facebook&amp;utm_medium=socialmedia&amp;utm_campaign=&amp;utm_content=&amp;referrer=facebook")</f>
        <v>utm_source=facebook&amp;utm_medium=socialmedia&amp;utm_campaign=&amp;utm_content=&amp;referrer=facebook</v>
      </c>
    </row>
    <row r="464">
      <c r="A464" s="501" t="str">
        <f>IFERROR(__xludf.DUMMYFUNCTION("""COMPUTED_VALUE"""),"november")</f>
        <v>november</v>
      </c>
      <c r="B464" s="501">
        <f>IFERROR(__xludf.DUMMYFUNCTION("""COMPUTED_VALUE"""),46.0)</f>
        <v>46</v>
      </c>
      <c r="C464" s="501" t="str">
        <f>IFERROR(__xludf.DUMMYFUNCTION("""COMPUTED_VALUE"""),"dinsdag")</f>
        <v>dinsdag</v>
      </c>
      <c r="D464" s="502">
        <f>IFERROR(__xludf.DUMMYFUNCTION("""COMPUTED_VALUE"""),43781.0)</f>
        <v>43781</v>
      </c>
      <c r="E464" s="502">
        <f>IFERROR(__xludf.DUMMYFUNCTION("""COMPUTED_VALUE"""),43781.0)</f>
        <v>43781</v>
      </c>
      <c r="F464" s="501" t="str">
        <f>IFERROR(__xludf.DUMMYFUNCTION("""COMPUTED_VALUE"""),"")</f>
        <v/>
      </c>
      <c r="G464" s="503" t="str">
        <f>IFERROR(__xludf.DUMMYFUNCTION("""COMPUTED_VALUE"""),"")</f>
        <v/>
      </c>
      <c r="H464" s="501" t="str">
        <f>IFERROR(__xludf.DUMMYFUNCTION("""COMPUTED_VALUE"""),"")</f>
        <v/>
      </c>
      <c r="I464" s="503" t="str">
        <f>IFERROR(__xludf.DUMMYFUNCTION("""COMPUTED_VALUE"""),"")</f>
        <v/>
      </c>
      <c r="J464" s="501" t="str">
        <f>IFERROR(__xludf.DUMMYFUNCTION("""COMPUTED_VALUE"""),"")</f>
        <v/>
      </c>
      <c r="K464" s="503" t="str">
        <f>IFERROR(__xludf.DUMMYFUNCTION("""COMPUTED_VALUE"""),"")</f>
        <v/>
      </c>
      <c r="L464" s="501" t="str">
        <f>IFERROR(__xludf.DUMMYFUNCTION("""COMPUTED_VALUE"""),"")</f>
        <v/>
      </c>
      <c r="M464" s="504">
        <f>IFERROR(__xludf.DUMMYFUNCTION("""COMPUTED_VALUE"""),1.0)</f>
        <v>1</v>
      </c>
      <c r="N464" s="501" t="str">
        <f>IFERROR(__xludf.DUMMYFUNCTION("""COMPUTED_VALUE"""),"")</f>
        <v/>
      </c>
      <c r="O464" s="501" t="str">
        <f>IFERROR(__xludf.DUMMYFUNCTION("""COMPUTED_VALUE"""),"")</f>
        <v/>
      </c>
      <c r="P464" s="503" t="str">
        <f>IFERROR(__xludf.DUMMYFUNCTION("""COMPUTED_VALUE"""),"")</f>
        <v/>
      </c>
      <c r="Q464" s="501" t="str">
        <f>IFERROR(__xludf.DUMMYFUNCTION("""COMPUTED_VALUE"""),"")</f>
        <v/>
      </c>
      <c r="R464" s="501" t="str">
        <f>IFERROR(__xludf.DUMMYFUNCTION("""COMPUTED_VALUE"""),"")</f>
        <v/>
      </c>
      <c r="S464" s="503" t="str">
        <f>IFERROR(__xludf.DUMMYFUNCTION("""COMPUTED_VALUE"""),"")</f>
        <v/>
      </c>
      <c r="T464" s="503" t="str">
        <f>IFERROR(__xludf.DUMMYFUNCTION("""COMPUTED_VALUE"""),"utm_source=facebook&amp;utm_medium=socialmedia&amp;utm_campaign=&amp;utm_content=&amp;referrer=facebook")</f>
        <v>utm_source=facebook&amp;utm_medium=socialmedia&amp;utm_campaign=&amp;utm_content=&amp;referrer=facebook</v>
      </c>
    </row>
    <row r="465">
      <c r="A465" s="501" t="str">
        <f>IFERROR(__xludf.DUMMYFUNCTION("""COMPUTED_VALUE"""),"november")</f>
        <v>november</v>
      </c>
      <c r="B465" s="501">
        <f>IFERROR(__xludf.DUMMYFUNCTION("""COMPUTED_VALUE"""),46.0)</f>
        <v>46</v>
      </c>
      <c r="C465" s="501" t="str">
        <f>IFERROR(__xludf.DUMMYFUNCTION("""COMPUTED_VALUE"""),"woensdag")</f>
        <v>woensdag</v>
      </c>
      <c r="D465" s="502">
        <f>IFERROR(__xludf.DUMMYFUNCTION("""COMPUTED_VALUE"""),43782.0)</f>
        <v>43782</v>
      </c>
      <c r="E465" s="502">
        <f>IFERROR(__xludf.DUMMYFUNCTION("""COMPUTED_VALUE"""),43782.0)</f>
        <v>43782</v>
      </c>
      <c r="F465" s="501" t="str">
        <f>IFERROR(__xludf.DUMMYFUNCTION("""COMPUTED_VALUE"""),"")</f>
        <v/>
      </c>
      <c r="G465" s="503" t="str">
        <f>IFERROR(__xludf.DUMMYFUNCTION("""COMPUTED_VALUE"""),"")</f>
        <v/>
      </c>
      <c r="H465" s="501" t="str">
        <f>IFERROR(__xludf.DUMMYFUNCTION("""COMPUTED_VALUE"""),"")</f>
        <v/>
      </c>
      <c r="I465" s="503" t="str">
        <f>IFERROR(__xludf.DUMMYFUNCTION("""COMPUTED_VALUE"""),"")</f>
        <v/>
      </c>
      <c r="J465" s="501" t="str">
        <f>IFERROR(__xludf.DUMMYFUNCTION("""COMPUTED_VALUE"""),"")</f>
        <v/>
      </c>
      <c r="K465" s="503" t="str">
        <f>IFERROR(__xludf.DUMMYFUNCTION("""COMPUTED_VALUE"""),"")</f>
        <v/>
      </c>
      <c r="L465" s="501" t="str">
        <f>IFERROR(__xludf.DUMMYFUNCTION("""COMPUTED_VALUE"""),"")</f>
        <v/>
      </c>
      <c r="M465" s="504">
        <f>IFERROR(__xludf.DUMMYFUNCTION("""COMPUTED_VALUE"""),1.0)</f>
        <v>1</v>
      </c>
      <c r="N465" s="501" t="str">
        <f>IFERROR(__xludf.DUMMYFUNCTION("""COMPUTED_VALUE"""),"")</f>
        <v/>
      </c>
      <c r="O465" s="501" t="str">
        <f>IFERROR(__xludf.DUMMYFUNCTION("""COMPUTED_VALUE"""),"")</f>
        <v/>
      </c>
      <c r="P465" s="503" t="str">
        <f>IFERROR(__xludf.DUMMYFUNCTION("""COMPUTED_VALUE"""),"")</f>
        <v/>
      </c>
      <c r="Q465" s="501" t="str">
        <f>IFERROR(__xludf.DUMMYFUNCTION("""COMPUTED_VALUE"""),"")</f>
        <v/>
      </c>
      <c r="R465" s="501" t="str">
        <f>IFERROR(__xludf.DUMMYFUNCTION("""COMPUTED_VALUE"""),"")</f>
        <v/>
      </c>
      <c r="S465" s="503" t="str">
        <f>IFERROR(__xludf.DUMMYFUNCTION("""COMPUTED_VALUE"""),"")</f>
        <v/>
      </c>
      <c r="T465" s="503" t="str">
        <f>IFERROR(__xludf.DUMMYFUNCTION("""COMPUTED_VALUE"""),"utm_source=facebook&amp;utm_medium=socialmedia&amp;utm_campaign=&amp;utm_content=&amp;referrer=facebook")</f>
        <v>utm_source=facebook&amp;utm_medium=socialmedia&amp;utm_campaign=&amp;utm_content=&amp;referrer=facebook</v>
      </c>
    </row>
    <row r="466">
      <c r="A466" s="501" t="str">
        <f>IFERROR(__xludf.DUMMYFUNCTION("""COMPUTED_VALUE"""),"november")</f>
        <v>november</v>
      </c>
      <c r="B466" s="501">
        <f>IFERROR(__xludf.DUMMYFUNCTION("""COMPUTED_VALUE"""),46.0)</f>
        <v>46</v>
      </c>
      <c r="C466" s="501" t="str">
        <f>IFERROR(__xludf.DUMMYFUNCTION("""COMPUTED_VALUE"""),"donderdag")</f>
        <v>donderdag</v>
      </c>
      <c r="D466" s="502">
        <f>IFERROR(__xludf.DUMMYFUNCTION("""COMPUTED_VALUE"""),43783.0)</f>
        <v>43783</v>
      </c>
      <c r="E466" s="502">
        <f>IFERROR(__xludf.DUMMYFUNCTION("""COMPUTED_VALUE"""),43783.0)</f>
        <v>43783</v>
      </c>
      <c r="F466" s="501" t="str">
        <f>IFERROR(__xludf.DUMMYFUNCTION("""COMPUTED_VALUE"""),"")</f>
        <v/>
      </c>
      <c r="G466" s="503" t="str">
        <f>IFERROR(__xludf.DUMMYFUNCTION("""COMPUTED_VALUE"""),"")</f>
        <v/>
      </c>
      <c r="H466" s="501" t="str">
        <f>IFERROR(__xludf.DUMMYFUNCTION("""COMPUTED_VALUE"""),"")</f>
        <v/>
      </c>
      <c r="I466" s="503" t="str">
        <f>IFERROR(__xludf.DUMMYFUNCTION("""COMPUTED_VALUE"""),"")</f>
        <v/>
      </c>
      <c r="J466" s="501" t="str">
        <f>IFERROR(__xludf.DUMMYFUNCTION("""COMPUTED_VALUE"""),"")</f>
        <v/>
      </c>
      <c r="K466" s="503" t="str">
        <f>IFERROR(__xludf.DUMMYFUNCTION("""COMPUTED_VALUE"""),"")</f>
        <v/>
      </c>
      <c r="L466" s="501" t="str">
        <f>IFERROR(__xludf.DUMMYFUNCTION("""COMPUTED_VALUE"""),"")</f>
        <v/>
      </c>
      <c r="M466" s="504">
        <f>IFERROR(__xludf.DUMMYFUNCTION("""COMPUTED_VALUE"""),1.0)</f>
        <v>1</v>
      </c>
      <c r="N466" s="501" t="str">
        <f>IFERROR(__xludf.DUMMYFUNCTION("""COMPUTED_VALUE"""),"")</f>
        <v/>
      </c>
      <c r="O466" s="501" t="str">
        <f>IFERROR(__xludf.DUMMYFUNCTION("""COMPUTED_VALUE"""),"")</f>
        <v/>
      </c>
      <c r="P466" s="503" t="str">
        <f>IFERROR(__xludf.DUMMYFUNCTION("""COMPUTED_VALUE"""),"")</f>
        <v/>
      </c>
      <c r="Q466" s="501" t="str">
        <f>IFERROR(__xludf.DUMMYFUNCTION("""COMPUTED_VALUE"""),"")</f>
        <v/>
      </c>
      <c r="R466" s="501" t="str">
        <f>IFERROR(__xludf.DUMMYFUNCTION("""COMPUTED_VALUE"""),"")</f>
        <v/>
      </c>
      <c r="S466" s="503" t="str">
        <f>IFERROR(__xludf.DUMMYFUNCTION("""COMPUTED_VALUE"""),"")</f>
        <v/>
      </c>
      <c r="T466" s="503" t="str">
        <f>IFERROR(__xludf.DUMMYFUNCTION("""COMPUTED_VALUE"""),"utm_source=facebook&amp;utm_medium=socialmedia&amp;utm_campaign=&amp;utm_content=&amp;referrer=facebook")</f>
        <v>utm_source=facebook&amp;utm_medium=socialmedia&amp;utm_campaign=&amp;utm_content=&amp;referrer=facebook</v>
      </c>
    </row>
    <row r="467">
      <c r="A467" s="501" t="str">
        <f>IFERROR(__xludf.DUMMYFUNCTION("""COMPUTED_VALUE"""),"november")</f>
        <v>november</v>
      </c>
      <c r="B467" s="501">
        <f>IFERROR(__xludf.DUMMYFUNCTION("""COMPUTED_VALUE"""),46.0)</f>
        <v>46</v>
      </c>
      <c r="C467" s="501" t="str">
        <f>IFERROR(__xludf.DUMMYFUNCTION("""COMPUTED_VALUE"""),"vrijdag")</f>
        <v>vrijdag</v>
      </c>
      <c r="D467" s="502">
        <f>IFERROR(__xludf.DUMMYFUNCTION("""COMPUTED_VALUE"""),43784.0)</f>
        <v>43784</v>
      </c>
      <c r="E467" s="502">
        <f>IFERROR(__xludf.DUMMYFUNCTION("""COMPUTED_VALUE"""),43784.0)</f>
        <v>43784</v>
      </c>
      <c r="F467" s="501" t="str">
        <f>IFERROR(__xludf.DUMMYFUNCTION("""COMPUTED_VALUE"""),"")</f>
        <v/>
      </c>
      <c r="G467" s="503" t="str">
        <f>IFERROR(__xludf.DUMMYFUNCTION("""COMPUTED_VALUE"""),"")</f>
        <v/>
      </c>
      <c r="H467" s="501" t="str">
        <f>IFERROR(__xludf.DUMMYFUNCTION("""COMPUTED_VALUE"""),"")</f>
        <v/>
      </c>
      <c r="I467" s="503" t="str">
        <f>IFERROR(__xludf.DUMMYFUNCTION("""COMPUTED_VALUE"""),"")</f>
        <v/>
      </c>
      <c r="J467" s="501" t="str">
        <f>IFERROR(__xludf.DUMMYFUNCTION("""COMPUTED_VALUE"""),"")</f>
        <v/>
      </c>
      <c r="K467" s="503" t="str">
        <f>IFERROR(__xludf.DUMMYFUNCTION("""COMPUTED_VALUE"""),"")</f>
        <v/>
      </c>
      <c r="L467" s="501" t="str">
        <f>IFERROR(__xludf.DUMMYFUNCTION("""COMPUTED_VALUE"""),"")</f>
        <v/>
      </c>
      <c r="M467" s="504">
        <f>IFERROR(__xludf.DUMMYFUNCTION("""COMPUTED_VALUE"""),1.0)</f>
        <v>1</v>
      </c>
      <c r="N467" s="501" t="str">
        <f>IFERROR(__xludf.DUMMYFUNCTION("""COMPUTED_VALUE"""),"")</f>
        <v/>
      </c>
      <c r="O467" s="501" t="str">
        <f>IFERROR(__xludf.DUMMYFUNCTION("""COMPUTED_VALUE"""),"")</f>
        <v/>
      </c>
      <c r="P467" s="503" t="str">
        <f>IFERROR(__xludf.DUMMYFUNCTION("""COMPUTED_VALUE"""),"")</f>
        <v/>
      </c>
      <c r="Q467" s="501" t="str">
        <f>IFERROR(__xludf.DUMMYFUNCTION("""COMPUTED_VALUE"""),"")</f>
        <v/>
      </c>
      <c r="R467" s="501" t="str">
        <f>IFERROR(__xludf.DUMMYFUNCTION("""COMPUTED_VALUE"""),"")</f>
        <v/>
      </c>
      <c r="S467" s="503" t="str">
        <f>IFERROR(__xludf.DUMMYFUNCTION("""COMPUTED_VALUE"""),"")</f>
        <v/>
      </c>
      <c r="T467" s="503" t="str">
        <f>IFERROR(__xludf.DUMMYFUNCTION("""COMPUTED_VALUE"""),"utm_source=facebook&amp;utm_medium=socialmedia&amp;utm_campaign=&amp;utm_content=&amp;referrer=facebook")</f>
        <v>utm_source=facebook&amp;utm_medium=socialmedia&amp;utm_campaign=&amp;utm_content=&amp;referrer=facebook</v>
      </c>
    </row>
    <row r="468">
      <c r="A468" s="501" t="str">
        <f>IFERROR(__xludf.DUMMYFUNCTION("""COMPUTED_VALUE"""),"november")</f>
        <v>november</v>
      </c>
      <c r="B468" s="501">
        <f>IFERROR(__xludf.DUMMYFUNCTION("""COMPUTED_VALUE"""),46.0)</f>
        <v>46</v>
      </c>
      <c r="C468" s="501" t="str">
        <f>IFERROR(__xludf.DUMMYFUNCTION("""COMPUTED_VALUE"""),"zaterdag")</f>
        <v>zaterdag</v>
      </c>
      <c r="D468" s="502">
        <f>IFERROR(__xludf.DUMMYFUNCTION("""COMPUTED_VALUE"""),43785.0)</f>
        <v>43785</v>
      </c>
      <c r="E468" s="502">
        <f>IFERROR(__xludf.DUMMYFUNCTION("""COMPUTED_VALUE"""),43785.0)</f>
        <v>43785</v>
      </c>
      <c r="F468" s="501" t="str">
        <f>IFERROR(__xludf.DUMMYFUNCTION("""COMPUTED_VALUE"""),"")</f>
        <v/>
      </c>
      <c r="G468" s="503" t="str">
        <f>IFERROR(__xludf.DUMMYFUNCTION("""COMPUTED_VALUE"""),"")</f>
        <v/>
      </c>
      <c r="H468" s="501" t="str">
        <f>IFERROR(__xludf.DUMMYFUNCTION("""COMPUTED_VALUE"""),"")</f>
        <v/>
      </c>
      <c r="I468" s="503" t="str">
        <f>IFERROR(__xludf.DUMMYFUNCTION("""COMPUTED_VALUE"""),"")</f>
        <v/>
      </c>
      <c r="J468" s="501" t="str">
        <f>IFERROR(__xludf.DUMMYFUNCTION("""COMPUTED_VALUE"""),"")</f>
        <v/>
      </c>
      <c r="K468" s="503" t="str">
        <f>IFERROR(__xludf.DUMMYFUNCTION("""COMPUTED_VALUE"""),"")</f>
        <v/>
      </c>
      <c r="L468" s="501" t="str">
        <f>IFERROR(__xludf.DUMMYFUNCTION("""COMPUTED_VALUE"""),"")</f>
        <v/>
      </c>
      <c r="M468" s="504">
        <f>IFERROR(__xludf.DUMMYFUNCTION("""COMPUTED_VALUE"""),1.0)</f>
        <v>1</v>
      </c>
      <c r="N468" s="501" t="str">
        <f>IFERROR(__xludf.DUMMYFUNCTION("""COMPUTED_VALUE"""),"")</f>
        <v/>
      </c>
      <c r="O468" s="501" t="str">
        <f>IFERROR(__xludf.DUMMYFUNCTION("""COMPUTED_VALUE"""),"")</f>
        <v/>
      </c>
      <c r="P468" s="503" t="str">
        <f>IFERROR(__xludf.DUMMYFUNCTION("""COMPUTED_VALUE"""),"")</f>
        <v/>
      </c>
      <c r="Q468" s="501" t="str">
        <f>IFERROR(__xludf.DUMMYFUNCTION("""COMPUTED_VALUE"""),"")</f>
        <v/>
      </c>
      <c r="R468" s="501" t="str">
        <f>IFERROR(__xludf.DUMMYFUNCTION("""COMPUTED_VALUE"""),"")</f>
        <v/>
      </c>
      <c r="S468" s="503" t="str">
        <f>IFERROR(__xludf.DUMMYFUNCTION("""COMPUTED_VALUE"""),"")</f>
        <v/>
      </c>
      <c r="T468" s="503" t="str">
        <f>IFERROR(__xludf.DUMMYFUNCTION("""COMPUTED_VALUE"""),"utm_source=facebook&amp;utm_medium=socialmedia&amp;utm_campaign=&amp;utm_content=&amp;referrer=facebook")</f>
        <v>utm_source=facebook&amp;utm_medium=socialmedia&amp;utm_campaign=&amp;utm_content=&amp;referrer=facebook</v>
      </c>
    </row>
    <row r="469">
      <c r="A469" s="501" t="str">
        <f>IFERROR(__xludf.DUMMYFUNCTION("""COMPUTED_VALUE"""),"november")</f>
        <v>november</v>
      </c>
      <c r="B469" s="501">
        <f>IFERROR(__xludf.DUMMYFUNCTION("""COMPUTED_VALUE"""),47.0)</f>
        <v>47</v>
      </c>
      <c r="C469" s="501" t="str">
        <f>IFERROR(__xludf.DUMMYFUNCTION("""COMPUTED_VALUE"""),"zondag")</f>
        <v>zondag</v>
      </c>
      <c r="D469" s="502">
        <f>IFERROR(__xludf.DUMMYFUNCTION("""COMPUTED_VALUE"""),43786.0)</f>
        <v>43786</v>
      </c>
      <c r="E469" s="502">
        <f>IFERROR(__xludf.DUMMYFUNCTION("""COMPUTED_VALUE"""),43786.0)</f>
        <v>43786</v>
      </c>
      <c r="F469" s="501" t="str">
        <f>IFERROR(__xludf.DUMMYFUNCTION("""COMPUTED_VALUE"""),"")</f>
        <v/>
      </c>
      <c r="G469" s="503" t="str">
        <f>IFERROR(__xludf.DUMMYFUNCTION("""COMPUTED_VALUE"""),"")</f>
        <v/>
      </c>
      <c r="H469" s="501" t="str">
        <f>IFERROR(__xludf.DUMMYFUNCTION("""COMPUTED_VALUE"""),"")</f>
        <v/>
      </c>
      <c r="I469" s="503" t="str">
        <f>IFERROR(__xludf.DUMMYFUNCTION("""COMPUTED_VALUE"""),"")</f>
        <v/>
      </c>
      <c r="J469" s="501" t="str">
        <f>IFERROR(__xludf.DUMMYFUNCTION("""COMPUTED_VALUE"""),"")</f>
        <v/>
      </c>
      <c r="K469" s="503" t="str">
        <f>IFERROR(__xludf.DUMMYFUNCTION("""COMPUTED_VALUE"""),"")</f>
        <v/>
      </c>
      <c r="L469" s="501" t="str">
        <f>IFERROR(__xludf.DUMMYFUNCTION("""COMPUTED_VALUE"""),"")</f>
        <v/>
      </c>
      <c r="M469" s="504">
        <f>IFERROR(__xludf.DUMMYFUNCTION("""COMPUTED_VALUE"""),1.0)</f>
        <v>1</v>
      </c>
      <c r="N469" s="501" t="str">
        <f>IFERROR(__xludf.DUMMYFUNCTION("""COMPUTED_VALUE"""),"")</f>
        <v/>
      </c>
      <c r="O469" s="501" t="str">
        <f>IFERROR(__xludf.DUMMYFUNCTION("""COMPUTED_VALUE"""),"")</f>
        <v/>
      </c>
      <c r="P469" s="503" t="str">
        <f>IFERROR(__xludf.DUMMYFUNCTION("""COMPUTED_VALUE"""),"")</f>
        <v/>
      </c>
      <c r="Q469" s="501" t="str">
        <f>IFERROR(__xludf.DUMMYFUNCTION("""COMPUTED_VALUE"""),"")</f>
        <v/>
      </c>
      <c r="R469" s="501" t="str">
        <f>IFERROR(__xludf.DUMMYFUNCTION("""COMPUTED_VALUE"""),"")</f>
        <v/>
      </c>
      <c r="S469" s="503" t="str">
        <f>IFERROR(__xludf.DUMMYFUNCTION("""COMPUTED_VALUE"""),"")</f>
        <v/>
      </c>
      <c r="T469" s="503" t="str">
        <f>IFERROR(__xludf.DUMMYFUNCTION("""COMPUTED_VALUE"""),"utm_source=facebook&amp;utm_medium=socialmedia&amp;utm_campaign=&amp;utm_content=&amp;referrer=facebook")</f>
        <v>utm_source=facebook&amp;utm_medium=socialmedia&amp;utm_campaign=&amp;utm_content=&amp;referrer=facebook</v>
      </c>
    </row>
    <row r="470">
      <c r="A470" s="501" t="str">
        <f>IFERROR(__xludf.DUMMYFUNCTION("""COMPUTED_VALUE"""),"november")</f>
        <v>november</v>
      </c>
      <c r="B470" s="501">
        <f>IFERROR(__xludf.DUMMYFUNCTION("""COMPUTED_VALUE"""),47.0)</f>
        <v>47</v>
      </c>
      <c r="C470" s="501" t="str">
        <f>IFERROR(__xludf.DUMMYFUNCTION("""COMPUTED_VALUE"""),"maandag")</f>
        <v>maandag</v>
      </c>
      <c r="D470" s="502">
        <f>IFERROR(__xludf.DUMMYFUNCTION("""COMPUTED_VALUE"""),43787.0)</f>
        <v>43787</v>
      </c>
      <c r="E470" s="502">
        <f>IFERROR(__xludf.DUMMYFUNCTION("""COMPUTED_VALUE"""),43787.0)</f>
        <v>43787</v>
      </c>
      <c r="F470" s="501" t="str">
        <f>IFERROR(__xludf.DUMMYFUNCTION("""COMPUTED_VALUE"""),"")</f>
        <v/>
      </c>
      <c r="G470" s="503" t="str">
        <f>IFERROR(__xludf.DUMMYFUNCTION("""COMPUTED_VALUE"""),"")</f>
        <v/>
      </c>
      <c r="H470" s="501" t="str">
        <f>IFERROR(__xludf.DUMMYFUNCTION("""COMPUTED_VALUE"""),"")</f>
        <v/>
      </c>
      <c r="I470" s="503" t="str">
        <f>IFERROR(__xludf.DUMMYFUNCTION("""COMPUTED_VALUE"""),"")</f>
        <v/>
      </c>
      <c r="J470" s="501" t="str">
        <f>IFERROR(__xludf.DUMMYFUNCTION("""COMPUTED_VALUE"""),"")</f>
        <v/>
      </c>
      <c r="K470" s="503" t="str">
        <f>IFERROR(__xludf.DUMMYFUNCTION("""COMPUTED_VALUE"""),"")</f>
        <v/>
      </c>
      <c r="L470" s="501" t="str">
        <f>IFERROR(__xludf.DUMMYFUNCTION("""COMPUTED_VALUE"""),"")</f>
        <v/>
      </c>
      <c r="M470" s="504">
        <f>IFERROR(__xludf.DUMMYFUNCTION("""COMPUTED_VALUE"""),1.0)</f>
        <v>1</v>
      </c>
      <c r="N470" s="501" t="str">
        <f>IFERROR(__xludf.DUMMYFUNCTION("""COMPUTED_VALUE"""),"")</f>
        <v/>
      </c>
      <c r="O470" s="501" t="str">
        <f>IFERROR(__xludf.DUMMYFUNCTION("""COMPUTED_VALUE"""),"")</f>
        <v/>
      </c>
      <c r="P470" s="503" t="str">
        <f>IFERROR(__xludf.DUMMYFUNCTION("""COMPUTED_VALUE"""),"")</f>
        <v/>
      </c>
      <c r="Q470" s="501" t="str">
        <f>IFERROR(__xludf.DUMMYFUNCTION("""COMPUTED_VALUE"""),"")</f>
        <v/>
      </c>
      <c r="R470" s="501" t="str">
        <f>IFERROR(__xludf.DUMMYFUNCTION("""COMPUTED_VALUE"""),"")</f>
        <v/>
      </c>
      <c r="S470" s="503" t="str">
        <f>IFERROR(__xludf.DUMMYFUNCTION("""COMPUTED_VALUE"""),"")</f>
        <v/>
      </c>
      <c r="T470" s="503" t="str">
        <f>IFERROR(__xludf.DUMMYFUNCTION("""COMPUTED_VALUE"""),"utm_source=facebook&amp;utm_medium=socialmedia&amp;utm_campaign=&amp;utm_content=&amp;referrer=facebook")</f>
        <v>utm_source=facebook&amp;utm_medium=socialmedia&amp;utm_campaign=&amp;utm_content=&amp;referrer=facebook</v>
      </c>
    </row>
    <row r="471">
      <c r="A471" s="501" t="str">
        <f>IFERROR(__xludf.DUMMYFUNCTION("""COMPUTED_VALUE"""),"november")</f>
        <v>november</v>
      </c>
      <c r="B471" s="501">
        <f>IFERROR(__xludf.DUMMYFUNCTION("""COMPUTED_VALUE"""),47.0)</f>
        <v>47</v>
      </c>
      <c r="C471" s="501" t="str">
        <f>IFERROR(__xludf.DUMMYFUNCTION("""COMPUTED_VALUE"""),"dinsdag")</f>
        <v>dinsdag</v>
      </c>
      <c r="D471" s="502">
        <f>IFERROR(__xludf.DUMMYFUNCTION("""COMPUTED_VALUE"""),43788.0)</f>
        <v>43788</v>
      </c>
      <c r="E471" s="502">
        <f>IFERROR(__xludf.DUMMYFUNCTION("""COMPUTED_VALUE"""),43788.0)</f>
        <v>43788</v>
      </c>
      <c r="F471" s="501" t="str">
        <f>IFERROR(__xludf.DUMMYFUNCTION("""COMPUTED_VALUE"""),"")</f>
        <v/>
      </c>
      <c r="G471" s="503" t="str">
        <f>IFERROR(__xludf.DUMMYFUNCTION("""COMPUTED_VALUE"""),"")</f>
        <v/>
      </c>
      <c r="H471" s="501" t="str">
        <f>IFERROR(__xludf.DUMMYFUNCTION("""COMPUTED_VALUE"""),"")</f>
        <v/>
      </c>
      <c r="I471" s="503" t="str">
        <f>IFERROR(__xludf.DUMMYFUNCTION("""COMPUTED_VALUE"""),"")</f>
        <v/>
      </c>
      <c r="J471" s="501" t="str">
        <f>IFERROR(__xludf.DUMMYFUNCTION("""COMPUTED_VALUE"""),"")</f>
        <v/>
      </c>
      <c r="K471" s="503" t="str">
        <f>IFERROR(__xludf.DUMMYFUNCTION("""COMPUTED_VALUE"""),"")</f>
        <v/>
      </c>
      <c r="L471" s="501" t="str">
        <f>IFERROR(__xludf.DUMMYFUNCTION("""COMPUTED_VALUE"""),"")</f>
        <v/>
      </c>
      <c r="M471" s="504">
        <f>IFERROR(__xludf.DUMMYFUNCTION("""COMPUTED_VALUE"""),1.0)</f>
        <v>1</v>
      </c>
      <c r="N471" s="501" t="str">
        <f>IFERROR(__xludf.DUMMYFUNCTION("""COMPUTED_VALUE"""),"")</f>
        <v/>
      </c>
      <c r="O471" s="501" t="str">
        <f>IFERROR(__xludf.DUMMYFUNCTION("""COMPUTED_VALUE"""),"")</f>
        <v/>
      </c>
      <c r="P471" s="503" t="str">
        <f>IFERROR(__xludf.DUMMYFUNCTION("""COMPUTED_VALUE"""),"")</f>
        <v/>
      </c>
      <c r="Q471" s="501" t="str">
        <f>IFERROR(__xludf.DUMMYFUNCTION("""COMPUTED_VALUE"""),"")</f>
        <v/>
      </c>
      <c r="R471" s="501" t="str">
        <f>IFERROR(__xludf.DUMMYFUNCTION("""COMPUTED_VALUE"""),"")</f>
        <v/>
      </c>
      <c r="S471" s="503" t="str">
        <f>IFERROR(__xludf.DUMMYFUNCTION("""COMPUTED_VALUE"""),"")</f>
        <v/>
      </c>
      <c r="T471" s="503" t="str">
        <f>IFERROR(__xludf.DUMMYFUNCTION("""COMPUTED_VALUE"""),"utm_source=facebook&amp;utm_medium=socialmedia&amp;utm_campaign=&amp;utm_content=&amp;referrer=facebook")</f>
        <v>utm_source=facebook&amp;utm_medium=socialmedia&amp;utm_campaign=&amp;utm_content=&amp;referrer=facebook</v>
      </c>
    </row>
    <row r="472">
      <c r="A472" s="501" t="str">
        <f>IFERROR(__xludf.DUMMYFUNCTION("""COMPUTED_VALUE"""),"november")</f>
        <v>november</v>
      </c>
      <c r="B472" s="501">
        <f>IFERROR(__xludf.DUMMYFUNCTION("""COMPUTED_VALUE"""),47.0)</f>
        <v>47</v>
      </c>
      <c r="C472" s="501" t="str">
        <f>IFERROR(__xludf.DUMMYFUNCTION("""COMPUTED_VALUE"""),"woensdag")</f>
        <v>woensdag</v>
      </c>
      <c r="D472" s="502">
        <f>IFERROR(__xludf.DUMMYFUNCTION("""COMPUTED_VALUE"""),43789.0)</f>
        <v>43789</v>
      </c>
      <c r="E472" s="502">
        <f>IFERROR(__xludf.DUMMYFUNCTION("""COMPUTED_VALUE"""),43789.0)</f>
        <v>43789</v>
      </c>
      <c r="F472" s="501" t="str">
        <f>IFERROR(__xludf.DUMMYFUNCTION("""COMPUTED_VALUE"""),"")</f>
        <v/>
      </c>
      <c r="G472" s="503" t="str">
        <f>IFERROR(__xludf.DUMMYFUNCTION("""COMPUTED_VALUE"""),"")</f>
        <v/>
      </c>
      <c r="H472" s="501" t="str">
        <f>IFERROR(__xludf.DUMMYFUNCTION("""COMPUTED_VALUE"""),"")</f>
        <v/>
      </c>
      <c r="I472" s="503" t="str">
        <f>IFERROR(__xludf.DUMMYFUNCTION("""COMPUTED_VALUE"""),"")</f>
        <v/>
      </c>
      <c r="J472" s="501" t="str">
        <f>IFERROR(__xludf.DUMMYFUNCTION("""COMPUTED_VALUE"""),"")</f>
        <v/>
      </c>
      <c r="K472" s="503" t="str">
        <f>IFERROR(__xludf.DUMMYFUNCTION("""COMPUTED_VALUE"""),"")</f>
        <v/>
      </c>
      <c r="L472" s="501" t="str">
        <f>IFERROR(__xludf.DUMMYFUNCTION("""COMPUTED_VALUE"""),"")</f>
        <v/>
      </c>
      <c r="M472" s="504">
        <f>IFERROR(__xludf.DUMMYFUNCTION("""COMPUTED_VALUE"""),1.0)</f>
        <v>1</v>
      </c>
      <c r="N472" s="501" t="str">
        <f>IFERROR(__xludf.DUMMYFUNCTION("""COMPUTED_VALUE"""),"")</f>
        <v/>
      </c>
      <c r="O472" s="501" t="str">
        <f>IFERROR(__xludf.DUMMYFUNCTION("""COMPUTED_VALUE"""),"")</f>
        <v/>
      </c>
      <c r="P472" s="503" t="str">
        <f>IFERROR(__xludf.DUMMYFUNCTION("""COMPUTED_VALUE"""),"")</f>
        <v/>
      </c>
      <c r="Q472" s="501" t="str">
        <f>IFERROR(__xludf.DUMMYFUNCTION("""COMPUTED_VALUE"""),"")</f>
        <v/>
      </c>
      <c r="R472" s="501" t="str">
        <f>IFERROR(__xludf.DUMMYFUNCTION("""COMPUTED_VALUE"""),"")</f>
        <v/>
      </c>
      <c r="S472" s="503" t="str">
        <f>IFERROR(__xludf.DUMMYFUNCTION("""COMPUTED_VALUE"""),"")</f>
        <v/>
      </c>
      <c r="T472" s="503" t="str">
        <f>IFERROR(__xludf.DUMMYFUNCTION("""COMPUTED_VALUE"""),"utm_source=facebook&amp;utm_medium=socialmedia&amp;utm_campaign=&amp;utm_content=&amp;referrer=facebook")</f>
        <v>utm_source=facebook&amp;utm_medium=socialmedia&amp;utm_campaign=&amp;utm_content=&amp;referrer=facebook</v>
      </c>
    </row>
    <row r="473">
      <c r="A473" s="501" t="str">
        <f>IFERROR(__xludf.DUMMYFUNCTION("""COMPUTED_VALUE"""),"november")</f>
        <v>november</v>
      </c>
      <c r="B473" s="501">
        <f>IFERROR(__xludf.DUMMYFUNCTION("""COMPUTED_VALUE"""),47.0)</f>
        <v>47</v>
      </c>
      <c r="C473" s="501" t="str">
        <f>IFERROR(__xludf.DUMMYFUNCTION("""COMPUTED_VALUE"""),"donderdag")</f>
        <v>donderdag</v>
      </c>
      <c r="D473" s="502">
        <f>IFERROR(__xludf.DUMMYFUNCTION("""COMPUTED_VALUE"""),43790.0)</f>
        <v>43790</v>
      </c>
      <c r="E473" s="502">
        <f>IFERROR(__xludf.DUMMYFUNCTION("""COMPUTED_VALUE"""),43790.0)</f>
        <v>43790</v>
      </c>
      <c r="F473" s="501" t="str">
        <f>IFERROR(__xludf.DUMMYFUNCTION("""COMPUTED_VALUE"""),"")</f>
        <v/>
      </c>
      <c r="G473" s="503" t="str">
        <f>IFERROR(__xludf.DUMMYFUNCTION("""COMPUTED_VALUE"""),"")</f>
        <v/>
      </c>
      <c r="H473" s="501" t="str">
        <f>IFERROR(__xludf.DUMMYFUNCTION("""COMPUTED_VALUE"""),"")</f>
        <v/>
      </c>
      <c r="I473" s="503" t="str">
        <f>IFERROR(__xludf.DUMMYFUNCTION("""COMPUTED_VALUE"""),"")</f>
        <v/>
      </c>
      <c r="J473" s="501" t="str">
        <f>IFERROR(__xludf.DUMMYFUNCTION("""COMPUTED_VALUE"""),"")</f>
        <v/>
      </c>
      <c r="K473" s="503" t="str">
        <f>IFERROR(__xludf.DUMMYFUNCTION("""COMPUTED_VALUE"""),"")</f>
        <v/>
      </c>
      <c r="L473" s="501" t="str">
        <f>IFERROR(__xludf.DUMMYFUNCTION("""COMPUTED_VALUE"""),"")</f>
        <v/>
      </c>
      <c r="M473" s="504">
        <f>IFERROR(__xludf.DUMMYFUNCTION("""COMPUTED_VALUE"""),1.0)</f>
        <v>1</v>
      </c>
      <c r="N473" s="501" t="str">
        <f>IFERROR(__xludf.DUMMYFUNCTION("""COMPUTED_VALUE"""),"")</f>
        <v/>
      </c>
      <c r="O473" s="501" t="str">
        <f>IFERROR(__xludf.DUMMYFUNCTION("""COMPUTED_VALUE"""),"")</f>
        <v/>
      </c>
      <c r="P473" s="503" t="str">
        <f>IFERROR(__xludf.DUMMYFUNCTION("""COMPUTED_VALUE"""),"")</f>
        <v/>
      </c>
      <c r="Q473" s="501" t="str">
        <f>IFERROR(__xludf.DUMMYFUNCTION("""COMPUTED_VALUE"""),"")</f>
        <v/>
      </c>
      <c r="R473" s="501" t="str">
        <f>IFERROR(__xludf.DUMMYFUNCTION("""COMPUTED_VALUE"""),"")</f>
        <v/>
      </c>
      <c r="S473" s="503" t="str">
        <f>IFERROR(__xludf.DUMMYFUNCTION("""COMPUTED_VALUE"""),"")</f>
        <v/>
      </c>
      <c r="T473" s="503" t="str">
        <f>IFERROR(__xludf.DUMMYFUNCTION("""COMPUTED_VALUE"""),"utm_source=facebook&amp;utm_medium=socialmedia&amp;utm_campaign=&amp;utm_content=&amp;referrer=facebook")</f>
        <v>utm_source=facebook&amp;utm_medium=socialmedia&amp;utm_campaign=&amp;utm_content=&amp;referrer=facebook</v>
      </c>
    </row>
    <row r="474">
      <c r="A474" s="501" t="str">
        <f>IFERROR(__xludf.DUMMYFUNCTION("""COMPUTED_VALUE"""),"november")</f>
        <v>november</v>
      </c>
      <c r="B474" s="501">
        <f>IFERROR(__xludf.DUMMYFUNCTION("""COMPUTED_VALUE"""),47.0)</f>
        <v>47</v>
      </c>
      <c r="C474" s="501" t="str">
        <f>IFERROR(__xludf.DUMMYFUNCTION("""COMPUTED_VALUE"""),"vrijdag")</f>
        <v>vrijdag</v>
      </c>
      <c r="D474" s="502">
        <f>IFERROR(__xludf.DUMMYFUNCTION("""COMPUTED_VALUE"""),43791.0)</f>
        <v>43791</v>
      </c>
      <c r="E474" s="502">
        <f>IFERROR(__xludf.DUMMYFUNCTION("""COMPUTED_VALUE"""),43791.0)</f>
        <v>43791</v>
      </c>
      <c r="F474" s="501" t="str">
        <f>IFERROR(__xludf.DUMMYFUNCTION("""COMPUTED_VALUE"""),"")</f>
        <v/>
      </c>
      <c r="G474" s="503" t="str">
        <f>IFERROR(__xludf.DUMMYFUNCTION("""COMPUTED_VALUE"""),"")</f>
        <v/>
      </c>
      <c r="H474" s="501" t="str">
        <f>IFERROR(__xludf.DUMMYFUNCTION("""COMPUTED_VALUE"""),"")</f>
        <v/>
      </c>
      <c r="I474" s="503" t="str">
        <f>IFERROR(__xludf.DUMMYFUNCTION("""COMPUTED_VALUE"""),"")</f>
        <v/>
      </c>
      <c r="J474" s="501" t="str">
        <f>IFERROR(__xludf.DUMMYFUNCTION("""COMPUTED_VALUE"""),"")</f>
        <v/>
      </c>
      <c r="K474" s="503" t="str">
        <f>IFERROR(__xludf.DUMMYFUNCTION("""COMPUTED_VALUE"""),"")</f>
        <v/>
      </c>
      <c r="L474" s="501" t="str">
        <f>IFERROR(__xludf.DUMMYFUNCTION("""COMPUTED_VALUE"""),"")</f>
        <v/>
      </c>
      <c r="M474" s="504">
        <f>IFERROR(__xludf.DUMMYFUNCTION("""COMPUTED_VALUE"""),1.0)</f>
        <v>1</v>
      </c>
      <c r="N474" s="501" t="str">
        <f>IFERROR(__xludf.DUMMYFUNCTION("""COMPUTED_VALUE"""),"")</f>
        <v/>
      </c>
      <c r="O474" s="501" t="str">
        <f>IFERROR(__xludf.DUMMYFUNCTION("""COMPUTED_VALUE"""),"")</f>
        <v/>
      </c>
      <c r="P474" s="503" t="str">
        <f>IFERROR(__xludf.DUMMYFUNCTION("""COMPUTED_VALUE"""),"")</f>
        <v/>
      </c>
      <c r="Q474" s="501" t="str">
        <f>IFERROR(__xludf.DUMMYFUNCTION("""COMPUTED_VALUE"""),"")</f>
        <v/>
      </c>
      <c r="R474" s="501" t="str">
        <f>IFERROR(__xludf.DUMMYFUNCTION("""COMPUTED_VALUE"""),"")</f>
        <v/>
      </c>
      <c r="S474" s="503" t="str">
        <f>IFERROR(__xludf.DUMMYFUNCTION("""COMPUTED_VALUE"""),"")</f>
        <v/>
      </c>
      <c r="T474" s="503" t="str">
        <f>IFERROR(__xludf.DUMMYFUNCTION("""COMPUTED_VALUE"""),"utm_source=facebook&amp;utm_medium=socialmedia&amp;utm_campaign=&amp;utm_content=&amp;referrer=facebook")</f>
        <v>utm_source=facebook&amp;utm_medium=socialmedia&amp;utm_campaign=&amp;utm_content=&amp;referrer=facebook</v>
      </c>
    </row>
    <row r="475">
      <c r="A475" s="501" t="str">
        <f>IFERROR(__xludf.DUMMYFUNCTION("""COMPUTED_VALUE"""),"november")</f>
        <v>november</v>
      </c>
      <c r="B475" s="501">
        <f>IFERROR(__xludf.DUMMYFUNCTION("""COMPUTED_VALUE"""),47.0)</f>
        <v>47</v>
      </c>
      <c r="C475" s="501" t="str">
        <f>IFERROR(__xludf.DUMMYFUNCTION("""COMPUTED_VALUE"""),"zaterdag")</f>
        <v>zaterdag</v>
      </c>
      <c r="D475" s="502">
        <f>IFERROR(__xludf.DUMMYFUNCTION("""COMPUTED_VALUE"""),43792.0)</f>
        <v>43792</v>
      </c>
      <c r="E475" s="502">
        <f>IFERROR(__xludf.DUMMYFUNCTION("""COMPUTED_VALUE"""),43792.0)</f>
        <v>43792</v>
      </c>
      <c r="F475" s="501" t="str">
        <f>IFERROR(__xludf.DUMMYFUNCTION("""COMPUTED_VALUE"""),"")</f>
        <v/>
      </c>
      <c r="G475" s="503" t="str">
        <f>IFERROR(__xludf.DUMMYFUNCTION("""COMPUTED_VALUE"""),"")</f>
        <v/>
      </c>
      <c r="H475" s="501" t="str">
        <f>IFERROR(__xludf.DUMMYFUNCTION("""COMPUTED_VALUE"""),"")</f>
        <v/>
      </c>
      <c r="I475" s="503" t="str">
        <f>IFERROR(__xludf.DUMMYFUNCTION("""COMPUTED_VALUE"""),"")</f>
        <v/>
      </c>
      <c r="J475" s="501" t="str">
        <f>IFERROR(__xludf.DUMMYFUNCTION("""COMPUTED_VALUE"""),"")</f>
        <v/>
      </c>
      <c r="K475" s="503" t="str">
        <f>IFERROR(__xludf.DUMMYFUNCTION("""COMPUTED_VALUE"""),"")</f>
        <v/>
      </c>
      <c r="L475" s="501" t="str">
        <f>IFERROR(__xludf.DUMMYFUNCTION("""COMPUTED_VALUE"""),"")</f>
        <v/>
      </c>
      <c r="M475" s="504">
        <f>IFERROR(__xludf.DUMMYFUNCTION("""COMPUTED_VALUE"""),1.0)</f>
        <v>1</v>
      </c>
      <c r="N475" s="501" t="str">
        <f>IFERROR(__xludf.DUMMYFUNCTION("""COMPUTED_VALUE"""),"")</f>
        <v/>
      </c>
      <c r="O475" s="501" t="str">
        <f>IFERROR(__xludf.DUMMYFUNCTION("""COMPUTED_VALUE"""),"")</f>
        <v/>
      </c>
      <c r="P475" s="503" t="str">
        <f>IFERROR(__xludf.DUMMYFUNCTION("""COMPUTED_VALUE"""),"")</f>
        <v/>
      </c>
      <c r="Q475" s="501" t="str">
        <f>IFERROR(__xludf.DUMMYFUNCTION("""COMPUTED_VALUE"""),"")</f>
        <v/>
      </c>
      <c r="R475" s="501" t="str">
        <f>IFERROR(__xludf.DUMMYFUNCTION("""COMPUTED_VALUE"""),"")</f>
        <v/>
      </c>
      <c r="S475" s="503" t="str">
        <f>IFERROR(__xludf.DUMMYFUNCTION("""COMPUTED_VALUE"""),"")</f>
        <v/>
      </c>
      <c r="T475" s="503" t="str">
        <f>IFERROR(__xludf.DUMMYFUNCTION("""COMPUTED_VALUE"""),"utm_source=facebook&amp;utm_medium=socialmedia&amp;utm_campaign=&amp;utm_content=&amp;referrer=facebook")</f>
        <v>utm_source=facebook&amp;utm_medium=socialmedia&amp;utm_campaign=&amp;utm_content=&amp;referrer=facebook</v>
      </c>
    </row>
    <row r="476">
      <c r="A476" s="501" t="str">
        <f>IFERROR(__xludf.DUMMYFUNCTION("""COMPUTED_VALUE"""),"november")</f>
        <v>november</v>
      </c>
      <c r="B476" s="501">
        <f>IFERROR(__xludf.DUMMYFUNCTION("""COMPUTED_VALUE"""),48.0)</f>
        <v>48</v>
      </c>
      <c r="C476" s="501" t="str">
        <f>IFERROR(__xludf.DUMMYFUNCTION("""COMPUTED_VALUE"""),"zondag")</f>
        <v>zondag</v>
      </c>
      <c r="D476" s="502">
        <f>IFERROR(__xludf.DUMMYFUNCTION("""COMPUTED_VALUE"""),43793.0)</f>
        <v>43793</v>
      </c>
      <c r="E476" s="502">
        <f>IFERROR(__xludf.DUMMYFUNCTION("""COMPUTED_VALUE"""),43793.0)</f>
        <v>43793</v>
      </c>
      <c r="F476" s="501" t="str">
        <f>IFERROR(__xludf.DUMMYFUNCTION("""COMPUTED_VALUE"""),"")</f>
        <v/>
      </c>
      <c r="G476" s="503" t="str">
        <f>IFERROR(__xludf.DUMMYFUNCTION("""COMPUTED_VALUE"""),"")</f>
        <v/>
      </c>
      <c r="H476" s="501" t="str">
        <f>IFERROR(__xludf.DUMMYFUNCTION("""COMPUTED_VALUE"""),"")</f>
        <v/>
      </c>
      <c r="I476" s="503" t="str">
        <f>IFERROR(__xludf.DUMMYFUNCTION("""COMPUTED_VALUE"""),"")</f>
        <v/>
      </c>
      <c r="J476" s="501" t="str">
        <f>IFERROR(__xludf.DUMMYFUNCTION("""COMPUTED_VALUE"""),"")</f>
        <v/>
      </c>
      <c r="K476" s="503" t="str">
        <f>IFERROR(__xludf.DUMMYFUNCTION("""COMPUTED_VALUE"""),"")</f>
        <v/>
      </c>
      <c r="L476" s="501" t="str">
        <f>IFERROR(__xludf.DUMMYFUNCTION("""COMPUTED_VALUE"""),"")</f>
        <v/>
      </c>
      <c r="M476" s="504">
        <f>IFERROR(__xludf.DUMMYFUNCTION("""COMPUTED_VALUE"""),1.0)</f>
        <v>1</v>
      </c>
      <c r="N476" s="501" t="str">
        <f>IFERROR(__xludf.DUMMYFUNCTION("""COMPUTED_VALUE"""),"")</f>
        <v/>
      </c>
      <c r="O476" s="501" t="str">
        <f>IFERROR(__xludf.DUMMYFUNCTION("""COMPUTED_VALUE"""),"")</f>
        <v/>
      </c>
      <c r="P476" s="503" t="str">
        <f>IFERROR(__xludf.DUMMYFUNCTION("""COMPUTED_VALUE"""),"")</f>
        <v/>
      </c>
      <c r="Q476" s="501" t="str">
        <f>IFERROR(__xludf.DUMMYFUNCTION("""COMPUTED_VALUE"""),"")</f>
        <v/>
      </c>
      <c r="R476" s="501" t="str">
        <f>IFERROR(__xludf.DUMMYFUNCTION("""COMPUTED_VALUE"""),"")</f>
        <v/>
      </c>
      <c r="S476" s="503" t="str">
        <f>IFERROR(__xludf.DUMMYFUNCTION("""COMPUTED_VALUE"""),"")</f>
        <v/>
      </c>
      <c r="T476" s="503" t="str">
        <f>IFERROR(__xludf.DUMMYFUNCTION("""COMPUTED_VALUE"""),"utm_source=facebook&amp;utm_medium=socialmedia&amp;utm_campaign=&amp;utm_content=&amp;referrer=facebook")</f>
        <v>utm_source=facebook&amp;utm_medium=socialmedia&amp;utm_campaign=&amp;utm_content=&amp;referrer=facebook</v>
      </c>
    </row>
    <row r="477">
      <c r="A477" s="501" t="str">
        <f>IFERROR(__xludf.DUMMYFUNCTION("""COMPUTED_VALUE"""),"november")</f>
        <v>november</v>
      </c>
      <c r="B477" s="501">
        <f>IFERROR(__xludf.DUMMYFUNCTION("""COMPUTED_VALUE"""),48.0)</f>
        <v>48</v>
      </c>
      <c r="C477" s="501" t="str">
        <f>IFERROR(__xludf.DUMMYFUNCTION("""COMPUTED_VALUE"""),"maandag")</f>
        <v>maandag</v>
      </c>
      <c r="D477" s="502">
        <f>IFERROR(__xludf.DUMMYFUNCTION("""COMPUTED_VALUE"""),43794.0)</f>
        <v>43794</v>
      </c>
      <c r="E477" s="502">
        <f>IFERROR(__xludf.DUMMYFUNCTION("""COMPUTED_VALUE"""),43794.0)</f>
        <v>43794</v>
      </c>
      <c r="F477" s="501" t="str">
        <f>IFERROR(__xludf.DUMMYFUNCTION("""COMPUTED_VALUE"""),"")</f>
        <v/>
      </c>
      <c r="G477" s="503" t="str">
        <f>IFERROR(__xludf.DUMMYFUNCTION("""COMPUTED_VALUE"""),"")</f>
        <v/>
      </c>
      <c r="H477" s="501" t="str">
        <f>IFERROR(__xludf.DUMMYFUNCTION("""COMPUTED_VALUE"""),"")</f>
        <v/>
      </c>
      <c r="I477" s="503" t="str">
        <f>IFERROR(__xludf.DUMMYFUNCTION("""COMPUTED_VALUE"""),"")</f>
        <v/>
      </c>
      <c r="J477" s="501" t="str">
        <f>IFERROR(__xludf.DUMMYFUNCTION("""COMPUTED_VALUE"""),"")</f>
        <v/>
      </c>
      <c r="K477" s="503" t="str">
        <f>IFERROR(__xludf.DUMMYFUNCTION("""COMPUTED_VALUE"""),"")</f>
        <v/>
      </c>
      <c r="L477" s="501" t="str">
        <f>IFERROR(__xludf.DUMMYFUNCTION("""COMPUTED_VALUE"""),"")</f>
        <v/>
      </c>
      <c r="M477" s="504">
        <f>IFERROR(__xludf.DUMMYFUNCTION("""COMPUTED_VALUE"""),1.0)</f>
        <v>1</v>
      </c>
      <c r="N477" s="501" t="str">
        <f>IFERROR(__xludf.DUMMYFUNCTION("""COMPUTED_VALUE"""),"")</f>
        <v/>
      </c>
      <c r="O477" s="501" t="str">
        <f>IFERROR(__xludf.DUMMYFUNCTION("""COMPUTED_VALUE"""),"")</f>
        <v/>
      </c>
      <c r="P477" s="503" t="str">
        <f>IFERROR(__xludf.DUMMYFUNCTION("""COMPUTED_VALUE"""),"")</f>
        <v/>
      </c>
      <c r="Q477" s="501" t="str">
        <f>IFERROR(__xludf.DUMMYFUNCTION("""COMPUTED_VALUE"""),"")</f>
        <v/>
      </c>
      <c r="R477" s="501" t="str">
        <f>IFERROR(__xludf.DUMMYFUNCTION("""COMPUTED_VALUE"""),"")</f>
        <v/>
      </c>
      <c r="S477" s="503" t="str">
        <f>IFERROR(__xludf.DUMMYFUNCTION("""COMPUTED_VALUE"""),"")</f>
        <v/>
      </c>
      <c r="T477" s="503" t="str">
        <f>IFERROR(__xludf.DUMMYFUNCTION("""COMPUTED_VALUE"""),"utm_source=facebook&amp;utm_medium=socialmedia&amp;utm_campaign=&amp;utm_content=&amp;referrer=facebook")</f>
        <v>utm_source=facebook&amp;utm_medium=socialmedia&amp;utm_campaign=&amp;utm_content=&amp;referrer=facebook</v>
      </c>
    </row>
    <row r="478">
      <c r="A478" s="501" t="str">
        <f>IFERROR(__xludf.DUMMYFUNCTION("""COMPUTED_VALUE"""),"november")</f>
        <v>november</v>
      </c>
      <c r="B478" s="501">
        <f>IFERROR(__xludf.DUMMYFUNCTION("""COMPUTED_VALUE"""),48.0)</f>
        <v>48</v>
      </c>
      <c r="C478" s="501" t="str">
        <f>IFERROR(__xludf.DUMMYFUNCTION("""COMPUTED_VALUE"""),"dinsdag")</f>
        <v>dinsdag</v>
      </c>
      <c r="D478" s="502">
        <f>IFERROR(__xludf.DUMMYFUNCTION("""COMPUTED_VALUE"""),43795.0)</f>
        <v>43795</v>
      </c>
      <c r="E478" s="502">
        <f>IFERROR(__xludf.DUMMYFUNCTION("""COMPUTED_VALUE"""),43795.0)</f>
        <v>43795</v>
      </c>
      <c r="F478" s="501" t="str">
        <f>IFERROR(__xludf.DUMMYFUNCTION("""COMPUTED_VALUE"""),"")</f>
        <v/>
      </c>
      <c r="G478" s="503" t="str">
        <f>IFERROR(__xludf.DUMMYFUNCTION("""COMPUTED_VALUE"""),"")</f>
        <v/>
      </c>
      <c r="H478" s="501" t="str">
        <f>IFERROR(__xludf.DUMMYFUNCTION("""COMPUTED_VALUE"""),"")</f>
        <v/>
      </c>
      <c r="I478" s="503" t="str">
        <f>IFERROR(__xludf.DUMMYFUNCTION("""COMPUTED_VALUE"""),"")</f>
        <v/>
      </c>
      <c r="J478" s="501" t="str">
        <f>IFERROR(__xludf.DUMMYFUNCTION("""COMPUTED_VALUE"""),"")</f>
        <v/>
      </c>
      <c r="K478" s="503" t="str">
        <f>IFERROR(__xludf.DUMMYFUNCTION("""COMPUTED_VALUE"""),"")</f>
        <v/>
      </c>
      <c r="L478" s="501" t="str">
        <f>IFERROR(__xludf.DUMMYFUNCTION("""COMPUTED_VALUE"""),"")</f>
        <v/>
      </c>
      <c r="M478" s="504">
        <f>IFERROR(__xludf.DUMMYFUNCTION("""COMPUTED_VALUE"""),1.0)</f>
        <v>1</v>
      </c>
      <c r="N478" s="501" t="str">
        <f>IFERROR(__xludf.DUMMYFUNCTION("""COMPUTED_VALUE"""),"")</f>
        <v/>
      </c>
      <c r="O478" s="501" t="str">
        <f>IFERROR(__xludf.DUMMYFUNCTION("""COMPUTED_VALUE"""),"")</f>
        <v/>
      </c>
      <c r="P478" s="503" t="str">
        <f>IFERROR(__xludf.DUMMYFUNCTION("""COMPUTED_VALUE"""),"")</f>
        <v/>
      </c>
      <c r="Q478" s="501" t="str">
        <f>IFERROR(__xludf.DUMMYFUNCTION("""COMPUTED_VALUE"""),"")</f>
        <v/>
      </c>
      <c r="R478" s="501" t="str">
        <f>IFERROR(__xludf.DUMMYFUNCTION("""COMPUTED_VALUE"""),"")</f>
        <v/>
      </c>
      <c r="S478" s="503" t="str">
        <f>IFERROR(__xludf.DUMMYFUNCTION("""COMPUTED_VALUE"""),"")</f>
        <v/>
      </c>
      <c r="T478" s="503" t="str">
        <f>IFERROR(__xludf.DUMMYFUNCTION("""COMPUTED_VALUE"""),"utm_source=facebook&amp;utm_medium=socialmedia&amp;utm_campaign=&amp;utm_content=&amp;referrer=facebook")</f>
        <v>utm_source=facebook&amp;utm_medium=socialmedia&amp;utm_campaign=&amp;utm_content=&amp;referrer=facebook</v>
      </c>
    </row>
    <row r="479">
      <c r="A479" s="501" t="str">
        <f>IFERROR(__xludf.DUMMYFUNCTION("""COMPUTED_VALUE"""),"november")</f>
        <v>november</v>
      </c>
      <c r="B479" s="501">
        <f>IFERROR(__xludf.DUMMYFUNCTION("""COMPUTED_VALUE"""),48.0)</f>
        <v>48</v>
      </c>
      <c r="C479" s="501" t="str">
        <f>IFERROR(__xludf.DUMMYFUNCTION("""COMPUTED_VALUE"""),"woensdag")</f>
        <v>woensdag</v>
      </c>
      <c r="D479" s="502">
        <f>IFERROR(__xludf.DUMMYFUNCTION("""COMPUTED_VALUE"""),43796.0)</f>
        <v>43796</v>
      </c>
      <c r="E479" s="502">
        <f>IFERROR(__xludf.DUMMYFUNCTION("""COMPUTED_VALUE"""),43796.0)</f>
        <v>43796</v>
      </c>
      <c r="F479" s="501" t="str">
        <f>IFERROR(__xludf.DUMMYFUNCTION("""COMPUTED_VALUE"""),"")</f>
        <v/>
      </c>
      <c r="G479" s="503" t="str">
        <f>IFERROR(__xludf.DUMMYFUNCTION("""COMPUTED_VALUE"""),"")</f>
        <v/>
      </c>
      <c r="H479" s="501" t="str">
        <f>IFERROR(__xludf.DUMMYFUNCTION("""COMPUTED_VALUE"""),"")</f>
        <v/>
      </c>
      <c r="I479" s="503" t="str">
        <f>IFERROR(__xludf.DUMMYFUNCTION("""COMPUTED_VALUE"""),"")</f>
        <v/>
      </c>
      <c r="J479" s="501" t="str">
        <f>IFERROR(__xludf.DUMMYFUNCTION("""COMPUTED_VALUE"""),"")</f>
        <v/>
      </c>
      <c r="K479" s="503" t="str">
        <f>IFERROR(__xludf.DUMMYFUNCTION("""COMPUTED_VALUE"""),"")</f>
        <v/>
      </c>
      <c r="L479" s="501" t="str">
        <f>IFERROR(__xludf.DUMMYFUNCTION("""COMPUTED_VALUE"""),"")</f>
        <v/>
      </c>
      <c r="M479" s="504">
        <f>IFERROR(__xludf.DUMMYFUNCTION("""COMPUTED_VALUE"""),1.0)</f>
        <v>1</v>
      </c>
      <c r="N479" s="501" t="str">
        <f>IFERROR(__xludf.DUMMYFUNCTION("""COMPUTED_VALUE"""),"")</f>
        <v/>
      </c>
      <c r="O479" s="501" t="str">
        <f>IFERROR(__xludf.DUMMYFUNCTION("""COMPUTED_VALUE"""),"")</f>
        <v/>
      </c>
      <c r="P479" s="503" t="str">
        <f>IFERROR(__xludf.DUMMYFUNCTION("""COMPUTED_VALUE"""),"")</f>
        <v/>
      </c>
      <c r="Q479" s="501" t="str">
        <f>IFERROR(__xludf.DUMMYFUNCTION("""COMPUTED_VALUE"""),"")</f>
        <v/>
      </c>
      <c r="R479" s="501" t="str">
        <f>IFERROR(__xludf.DUMMYFUNCTION("""COMPUTED_VALUE"""),"")</f>
        <v/>
      </c>
      <c r="S479" s="503" t="str">
        <f>IFERROR(__xludf.DUMMYFUNCTION("""COMPUTED_VALUE"""),"")</f>
        <v/>
      </c>
      <c r="T479" s="503" t="str">
        <f>IFERROR(__xludf.DUMMYFUNCTION("""COMPUTED_VALUE"""),"utm_source=facebook&amp;utm_medium=socialmedia&amp;utm_campaign=&amp;utm_content=&amp;referrer=facebook")</f>
        <v>utm_source=facebook&amp;utm_medium=socialmedia&amp;utm_campaign=&amp;utm_content=&amp;referrer=facebook</v>
      </c>
    </row>
    <row r="480">
      <c r="A480" s="501" t="str">
        <f>IFERROR(__xludf.DUMMYFUNCTION("""COMPUTED_VALUE"""),"november")</f>
        <v>november</v>
      </c>
      <c r="B480" s="501">
        <f>IFERROR(__xludf.DUMMYFUNCTION("""COMPUTED_VALUE"""),48.0)</f>
        <v>48</v>
      </c>
      <c r="C480" s="501" t="str">
        <f>IFERROR(__xludf.DUMMYFUNCTION("""COMPUTED_VALUE"""),"donderdag")</f>
        <v>donderdag</v>
      </c>
      <c r="D480" s="502">
        <f>IFERROR(__xludf.DUMMYFUNCTION("""COMPUTED_VALUE"""),43797.0)</f>
        <v>43797</v>
      </c>
      <c r="E480" s="502">
        <f>IFERROR(__xludf.DUMMYFUNCTION("""COMPUTED_VALUE"""),43797.0)</f>
        <v>43797</v>
      </c>
      <c r="F480" s="501" t="str">
        <f>IFERROR(__xludf.DUMMYFUNCTION("""COMPUTED_VALUE"""),"")</f>
        <v/>
      </c>
      <c r="G480" s="503" t="str">
        <f>IFERROR(__xludf.DUMMYFUNCTION("""COMPUTED_VALUE"""),"")</f>
        <v/>
      </c>
      <c r="H480" s="501" t="str">
        <f>IFERROR(__xludf.DUMMYFUNCTION("""COMPUTED_VALUE"""),"")</f>
        <v/>
      </c>
      <c r="I480" s="503" t="str">
        <f>IFERROR(__xludf.DUMMYFUNCTION("""COMPUTED_VALUE"""),"")</f>
        <v/>
      </c>
      <c r="J480" s="501" t="str">
        <f>IFERROR(__xludf.DUMMYFUNCTION("""COMPUTED_VALUE"""),"")</f>
        <v/>
      </c>
      <c r="K480" s="503" t="str">
        <f>IFERROR(__xludf.DUMMYFUNCTION("""COMPUTED_VALUE"""),"")</f>
        <v/>
      </c>
      <c r="L480" s="501" t="str">
        <f>IFERROR(__xludf.DUMMYFUNCTION("""COMPUTED_VALUE"""),"")</f>
        <v/>
      </c>
      <c r="M480" s="504">
        <f>IFERROR(__xludf.DUMMYFUNCTION("""COMPUTED_VALUE"""),1.0)</f>
        <v>1</v>
      </c>
      <c r="N480" s="501" t="str">
        <f>IFERROR(__xludf.DUMMYFUNCTION("""COMPUTED_VALUE"""),"")</f>
        <v/>
      </c>
      <c r="O480" s="501" t="str">
        <f>IFERROR(__xludf.DUMMYFUNCTION("""COMPUTED_VALUE"""),"")</f>
        <v/>
      </c>
      <c r="P480" s="503" t="str">
        <f>IFERROR(__xludf.DUMMYFUNCTION("""COMPUTED_VALUE"""),"")</f>
        <v/>
      </c>
      <c r="Q480" s="501" t="str">
        <f>IFERROR(__xludf.DUMMYFUNCTION("""COMPUTED_VALUE"""),"")</f>
        <v/>
      </c>
      <c r="R480" s="501" t="str">
        <f>IFERROR(__xludf.DUMMYFUNCTION("""COMPUTED_VALUE"""),"")</f>
        <v/>
      </c>
      <c r="S480" s="503" t="str">
        <f>IFERROR(__xludf.DUMMYFUNCTION("""COMPUTED_VALUE"""),"")</f>
        <v/>
      </c>
      <c r="T480" s="503" t="str">
        <f>IFERROR(__xludf.DUMMYFUNCTION("""COMPUTED_VALUE"""),"utm_source=facebook&amp;utm_medium=socialmedia&amp;utm_campaign=&amp;utm_content=&amp;referrer=facebook")</f>
        <v>utm_source=facebook&amp;utm_medium=socialmedia&amp;utm_campaign=&amp;utm_content=&amp;referrer=facebook</v>
      </c>
    </row>
    <row r="481">
      <c r="A481" s="501" t="str">
        <f>IFERROR(__xludf.DUMMYFUNCTION("""COMPUTED_VALUE"""),"november")</f>
        <v>november</v>
      </c>
      <c r="B481" s="501">
        <f>IFERROR(__xludf.DUMMYFUNCTION("""COMPUTED_VALUE"""),48.0)</f>
        <v>48</v>
      </c>
      <c r="C481" s="501" t="str">
        <f>IFERROR(__xludf.DUMMYFUNCTION("""COMPUTED_VALUE"""),"vrijdag")</f>
        <v>vrijdag</v>
      </c>
      <c r="D481" s="502">
        <f>IFERROR(__xludf.DUMMYFUNCTION("""COMPUTED_VALUE"""),43798.0)</f>
        <v>43798</v>
      </c>
      <c r="E481" s="502">
        <f>IFERROR(__xludf.DUMMYFUNCTION("""COMPUTED_VALUE"""),43798.0)</f>
        <v>43798</v>
      </c>
      <c r="F481" s="501" t="str">
        <f>IFERROR(__xludf.DUMMYFUNCTION("""COMPUTED_VALUE"""),"")</f>
        <v/>
      </c>
      <c r="G481" s="503" t="str">
        <f>IFERROR(__xludf.DUMMYFUNCTION("""COMPUTED_VALUE"""),"")</f>
        <v/>
      </c>
      <c r="H481" s="501" t="str">
        <f>IFERROR(__xludf.DUMMYFUNCTION("""COMPUTED_VALUE"""),"")</f>
        <v/>
      </c>
      <c r="I481" s="503" t="str">
        <f>IFERROR(__xludf.DUMMYFUNCTION("""COMPUTED_VALUE"""),"")</f>
        <v/>
      </c>
      <c r="J481" s="501" t="str">
        <f>IFERROR(__xludf.DUMMYFUNCTION("""COMPUTED_VALUE"""),"")</f>
        <v/>
      </c>
      <c r="K481" s="503" t="str">
        <f>IFERROR(__xludf.DUMMYFUNCTION("""COMPUTED_VALUE"""),"")</f>
        <v/>
      </c>
      <c r="L481" s="501" t="str">
        <f>IFERROR(__xludf.DUMMYFUNCTION("""COMPUTED_VALUE"""),"")</f>
        <v/>
      </c>
      <c r="M481" s="504">
        <f>IFERROR(__xludf.DUMMYFUNCTION("""COMPUTED_VALUE"""),1.0)</f>
        <v>1</v>
      </c>
      <c r="N481" s="501" t="str">
        <f>IFERROR(__xludf.DUMMYFUNCTION("""COMPUTED_VALUE"""),"")</f>
        <v/>
      </c>
      <c r="O481" s="501" t="str">
        <f>IFERROR(__xludf.DUMMYFUNCTION("""COMPUTED_VALUE"""),"")</f>
        <v/>
      </c>
      <c r="P481" s="503" t="str">
        <f>IFERROR(__xludf.DUMMYFUNCTION("""COMPUTED_VALUE"""),"")</f>
        <v/>
      </c>
      <c r="Q481" s="501" t="str">
        <f>IFERROR(__xludf.DUMMYFUNCTION("""COMPUTED_VALUE"""),"")</f>
        <v/>
      </c>
      <c r="R481" s="501" t="str">
        <f>IFERROR(__xludf.DUMMYFUNCTION("""COMPUTED_VALUE"""),"")</f>
        <v/>
      </c>
      <c r="S481" s="503" t="str">
        <f>IFERROR(__xludf.DUMMYFUNCTION("""COMPUTED_VALUE"""),"")</f>
        <v/>
      </c>
      <c r="T481" s="503" t="str">
        <f>IFERROR(__xludf.DUMMYFUNCTION("""COMPUTED_VALUE"""),"utm_source=facebook&amp;utm_medium=socialmedia&amp;utm_campaign=&amp;utm_content=&amp;referrer=facebook")</f>
        <v>utm_source=facebook&amp;utm_medium=socialmedia&amp;utm_campaign=&amp;utm_content=&amp;referrer=facebook</v>
      </c>
    </row>
    <row r="482">
      <c r="A482" s="501" t="str">
        <f>IFERROR(__xludf.DUMMYFUNCTION("""COMPUTED_VALUE"""),"november")</f>
        <v>november</v>
      </c>
      <c r="B482" s="501">
        <f>IFERROR(__xludf.DUMMYFUNCTION("""COMPUTED_VALUE"""),48.0)</f>
        <v>48</v>
      </c>
      <c r="C482" s="501" t="str">
        <f>IFERROR(__xludf.DUMMYFUNCTION("""COMPUTED_VALUE"""),"zaterdag")</f>
        <v>zaterdag</v>
      </c>
      <c r="D482" s="502">
        <f>IFERROR(__xludf.DUMMYFUNCTION("""COMPUTED_VALUE"""),43799.0)</f>
        <v>43799</v>
      </c>
      <c r="E482" s="502">
        <f>IFERROR(__xludf.DUMMYFUNCTION("""COMPUTED_VALUE"""),43799.0)</f>
        <v>43799</v>
      </c>
      <c r="F482" s="501" t="str">
        <f>IFERROR(__xludf.DUMMYFUNCTION("""COMPUTED_VALUE"""),"")</f>
        <v/>
      </c>
      <c r="G482" s="503" t="str">
        <f>IFERROR(__xludf.DUMMYFUNCTION("""COMPUTED_VALUE"""),"")</f>
        <v/>
      </c>
      <c r="H482" s="501" t="str">
        <f>IFERROR(__xludf.DUMMYFUNCTION("""COMPUTED_VALUE"""),"")</f>
        <v/>
      </c>
      <c r="I482" s="503" t="str">
        <f>IFERROR(__xludf.DUMMYFUNCTION("""COMPUTED_VALUE"""),"")</f>
        <v/>
      </c>
      <c r="J482" s="501" t="str">
        <f>IFERROR(__xludf.DUMMYFUNCTION("""COMPUTED_VALUE"""),"")</f>
        <v/>
      </c>
      <c r="K482" s="503" t="str">
        <f>IFERROR(__xludf.DUMMYFUNCTION("""COMPUTED_VALUE"""),"")</f>
        <v/>
      </c>
      <c r="L482" s="501" t="str">
        <f>IFERROR(__xludf.DUMMYFUNCTION("""COMPUTED_VALUE"""),"")</f>
        <v/>
      </c>
      <c r="M482" s="504">
        <f>IFERROR(__xludf.DUMMYFUNCTION("""COMPUTED_VALUE"""),1.0)</f>
        <v>1</v>
      </c>
      <c r="N482" s="501" t="str">
        <f>IFERROR(__xludf.DUMMYFUNCTION("""COMPUTED_VALUE"""),"")</f>
        <v/>
      </c>
      <c r="O482" s="501" t="str">
        <f>IFERROR(__xludf.DUMMYFUNCTION("""COMPUTED_VALUE"""),"")</f>
        <v/>
      </c>
      <c r="P482" s="503" t="str">
        <f>IFERROR(__xludf.DUMMYFUNCTION("""COMPUTED_VALUE"""),"")</f>
        <v/>
      </c>
      <c r="Q482" s="501" t="str">
        <f>IFERROR(__xludf.DUMMYFUNCTION("""COMPUTED_VALUE"""),"")</f>
        <v/>
      </c>
      <c r="R482" s="501" t="str">
        <f>IFERROR(__xludf.DUMMYFUNCTION("""COMPUTED_VALUE"""),"")</f>
        <v/>
      </c>
      <c r="S482" s="503" t="str">
        <f>IFERROR(__xludf.DUMMYFUNCTION("""COMPUTED_VALUE"""),"")</f>
        <v/>
      </c>
      <c r="T482" s="503" t="str">
        <f>IFERROR(__xludf.DUMMYFUNCTION("""COMPUTED_VALUE"""),"utm_source=facebook&amp;utm_medium=socialmedia&amp;utm_campaign=&amp;utm_content=&amp;referrer=facebook")</f>
        <v>utm_source=facebook&amp;utm_medium=socialmedia&amp;utm_campaign=&amp;utm_content=&amp;referrer=facebook</v>
      </c>
    </row>
    <row r="483">
      <c r="A483" s="501" t="str">
        <f>IFERROR(__xludf.DUMMYFUNCTION("""COMPUTED_VALUE"""),"december")</f>
        <v>december</v>
      </c>
      <c r="B483" s="501">
        <f>IFERROR(__xludf.DUMMYFUNCTION("""COMPUTED_VALUE"""),49.0)</f>
        <v>49</v>
      </c>
      <c r="C483" s="501" t="str">
        <f>IFERROR(__xludf.DUMMYFUNCTION("""COMPUTED_VALUE"""),"zondag")</f>
        <v>zondag</v>
      </c>
      <c r="D483" s="502">
        <f>IFERROR(__xludf.DUMMYFUNCTION("""COMPUTED_VALUE"""),43800.0)</f>
        <v>43800</v>
      </c>
      <c r="E483" s="502">
        <f>IFERROR(__xludf.DUMMYFUNCTION("""COMPUTED_VALUE"""),43830.0)</f>
        <v>43830</v>
      </c>
      <c r="F483" s="501" t="str">
        <f>IFERROR(__xludf.DUMMYFUNCTION("""COMPUTED_VALUE"""),"")</f>
        <v/>
      </c>
      <c r="G483" s="503" t="str">
        <f>IFERROR(__xludf.DUMMYFUNCTION("""COMPUTED_VALUE"""),"")</f>
        <v/>
      </c>
      <c r="H483" s="501" t="str">
        <f>IFERROR(__xludf.DUMMYFUNCTION("""COMPUTED_VALUE"""),"AOC verhuizen do")</f>
        <v>AOC verhuizen do</v>
      </c>
      <c r="I483" s="503" t="str">
        <f>IFERROR(__xludf.DUMMYFUNCTION("""COMPUTED_VALUE"""),"")</f>
        <v/>
      </c>
      <c r="J483" s="501" t="str">
        <f>IFERROR(__xludf.DUMMYFUNCTION("""COMPUTED_VALUE"""),"Briefen")</f>
        <v>Briefen</v>
      </c>
      <c r="K483" s="505" t="str">
        <f>IFERROR(__xludf.DUMMYFUNCTION("""COMPUTED_VALUE""")," URl bevat nieuwe woning 14 dagen ")</f>
        <v>URl bevat nieuwe woning 14 dagen</v>
      </c>
      <c r="L483" s="506">
        <f>IFERROR(__xludf.DUMMYFUNCTION("""COMPUTED_VALUE"""),300.0)</f>
        <v>300</v>
      </c>
      <c r="M483" s="504">
        <f>IFERROR(__xludf.DUMMYFUNCTION("""COMPUTED_VALUE"""),31.0)</f>
        <v>31</v>
      </c>
      <c r="N483" s="501" t="str">
        <f>IFERROR(__xludf.DUMMYFUNCTION("""COMPUTED_VALUE"""),"Product")</f>
        <v>Product</v>
      </c>
      <c r="O483" s="501" t="str">
        <f>IFERROR(__xludf.DUMMYFUNCTION("""COMPUTED_VALUE"""),"Facebook")</f>
        <v>Facebook</v>
      </c>
      <c r="P483" s="503" t="str">
        <f>IFERROR(__xludf.DUMMYFUNCTION("""COMPUTED_VALUE"""),"Facebook - Do - AOC")</f>
        <v>Facebook - Do - AOC</v>
      </c>
      <c r="Q483" s="501" t="str">
        <f>IFERROR(__xludf.DUMMYFUNCTION("""COMPUTED_VALUE"""),"Conversie - Waarde")</f>
        <v>Conversie - Waarde</v>
      </c>
      <c r="R483" s="501" t="str">
        <f>IFERROR(__xludf.DUMMYFUNCTION("""COMPUTED_VALUE"""),"Dark")</f>
        <v>Dark</v>
      </c>
      <c r="S483" s="503" t="str">
        <f>IFERROR(__xludf.DUMMYFUNCTION("""COMPUTED_VALUE"""),"")</f>
        <v/>
      </c>
      <c r="T483" s="503" t="str">
        <f>IFERROR(__xludf.DUMMYFUNCTION("""COMPUTED_VALUE"""),"utm_source=facebook&amp;utm_medium=socialmedia&amp;utm_campaign=facebook_-_do_-_aoc&amp;utm_content=aocverhuizendo&amp;referrer=facebook")</f>
        <v>utm_source=facebook&amp;utm_medium=socialmedia&amp;utm_campaign=facebook_-_do_-_aoc&amp;utm_content=aocverhuizendo&amp;referrer=facebook</v>
      </c>
    </row>
    <row r="484">
      <c r="A484" s="501" t="str">
        <f>IFERROR(__xludf.DUMMYFUNCTION("""COMPUTED_VALUE"""),"december")</f>
        <v>december</v>
      </c>
      <c r="B484" s="501">
        <f>IFERROR(__xludf.DUMMYFUNCTION("""COMPUTED_VALUE"""),49.0)</f>
        <v>49</v>
      </c>
      <c r="C484" s="501" t="str">
        <f>IFERROR(__xludf.DUMMYFUNCTION("""COMPUTED_VALUE"""),"zondag")</f>
        <v>zondag</v>
      </c>
      <c r="D484" s="502">
        <f>IFERROR(__xludf.DUMMYFUNCTION("""COMPUTED_VALUE"""),43800.0)</f>
        <v>43800</v>
      </c>
      <c r="E484" s="502">
        <f>IFERROR(__xludf.DUMMYFUNCTION("""COMPUTED_VALUE"""),43830.0)</f>
        <v>43830</v>
      </c>
      <c r="F484" s="501" t="str">
        <f>IFERROR(__xludf.DUMMYFUNCTION("""COMPUTED_VALUE"""),"")</f>
        <v/>
      </c>
      <c r="G484" s="503" t="str">
        <f>IFERROR(__xludf.DUMMYFUNCTION("""COMPUTED_VALUE"""),"")</f>
        <v/>
      </c>
      <c r="H484" s="501" t="str">
        <f>IFERROR(__xludf.DUMMYFUNCTION("""COMPUTED_VALUE"""),"AOC verjaardag do")</f>
        <v>AOC verjaardag do</v>
      </c>
      <c r="I484" s="503" t="str">
        <f>IFERROR(__xludf.DUMMYFUNCTION("""COMPUTED_VALUE"""),"")</f>
        <v/>
      </c>
      <c r="J484" s="501" t="str">
        <f>IFERROR(__xludf.DUMMYFUNCTION("""COMPUTED_VALUE"""),"Briefen")</f>
        <v>Briefen</v>
      </c>
      <c r="K484" s="505" t="str">
        <f>IFERROR(__xludf.DUMMYFUNCTION("""COMPUTED_VALUE""")," Goeie vrienden van jarige 7-30 dagen ")</f>
        <v>Goeie vrienden van jarige 7-30 dagen</v>
      </c>
      <c r="L484" s="506">
        <f>IFERROR(__xludf.DUMMYFUNCTION("""COMPUTED_VALUE"""),300.0)</f>
        <v>300</v>
      </c>
      <c r="M484" s="504">
        <f>IFERROR(__xludf.DUMMYFUNCTION("""COMPUTED_VALUE"""),31.0)</f>
        <v>31</v>
      </c>
      <c r="N484" s="501" t="str">
        <f>IFERROR(__xludf.DUMMYFUNCTION("""COMPUTED_VALUE"""),"Product")</f>
        <v>Product</v>
      </c>
      <c r="O484" s="501" t="str">
        <f>IFERROR(__xludf.DUMMYFUNCTION("""COMPUTED_VALUE"""),"Facebook")</f>
        <v>Facebook</v>
      </c>
      <c r="P484" s="503" t="str">
        <f>IFERROR(__xludf.DUMMYFUNCTION("""COMPUTED_VALUE"""),"Facebook - Do - AOC")</f>
        <v>Facebook - Do - AOC</v>
      </c>
      <c r="Q484" s="501" t="str">
        <f>IFERROR(__xludf.DUMMYFUNCTION("""COMPUTED_VALUE"""),"Conversie - Waarde")</f>
        <v>Conversie - Waarde</v>
      </c>
      <c r="R484" s="501" t="str">
        <f>IFERROR(__xludf.DUMMYFUNCTION("""COMPUTED_VALUE"""),"Dark")</f>
        <v>Dark</v>
      </c>
      <c r="S484" s="503" t="str">
        <f>IFERROR(__xludf.DUMMYFUNCTION("""COMPUTED_VALUE"""),"")</f>
        <v/>
      </c>
      <c r="T484"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85">
      <c r="A485" s="501" t="str">
        <f>IFERROR(__xludf.DUMMYFUNCTION("""COMPUTED_VALUE"""),"december")</f>
        <v>december</v>
      </c>
      <c r="B485" s="501">
        <f>IFERROR(__xludf.DUMMYFUNCTION("""COMPUTED_VALUE"""),49.0)</f>
        <v>49</v>
      </c>
      <c r="C485" s="501" t="str">
        <f>IFERROR(__xludf.DUMMYFUNCTION("""COMPUTED_VALUE"""),"zondag")</f>
        <v>zondag</v>
      </c>
      <c r="D485" s="502">
        <f>IFERROR(__xludf.DUMMYFUNCTION("""COMPUTED_VALUE"""),43800.0)</f>
        <v>43800</v>
      </c>
      <c r="E485" s="502">
        <f>IFERROR(__xludf.DUMMYFUNCTION("""COMPUTED_VALUE"""),43830.0)</f>
        <v>43830</v>
      </c>
      <c r="F485" s="501" t="str">
        <f>IFERROR(__xludf.DUMMYFUNCTION("""COMPUTED_VALUE"""),"")</f>
        <v/>
      </c>
      <c r="G485" s="503" t="str">
        <f>IFERROR(__xludf.DUMMYFUNCTION("""COMPUTED_VALUE"""),"")</f>
        <v/>
      </c>
      <c r="H485" s="501" t="str">
        <f>IFERROR(__xludf.DUMMYFUNCTION("""COMPUTED_VALUE"""),"AOC verjaardag do")</f>
        <v>AOC verjaardag do</v>
      </c>
      <c r="I485" s="503" t="str">
        <f>IFERROR(__xludf.DUMMYFUNCTION("""COMPUTED_VALUE"""),"")</f>
        <v/>
      </c>
      <c r="J485" s="501" t="str">
        <f>IFERROR(__xludf.DUMMYFUNCTION("""COMPUTED_VALUE"""),"Briefen")</f>
        <v>Briefen</v>
      </c>
      <c r="K485" s="505" t="str">
        <f>IFERROR(__xludf.DUMMYFUNCTION("""COMPUTED_VALUE""")," URL bevat verjaardag 2-7 dagen ")</f>
        <v>URL bevat verjaardag 2-7 dagen</v>
      </c>
      <c r="L485" s="506">
        <f>IFERROR(__xludf.DUMMYFUNCTION("""COMPUTED_VALUE"""),1200.0)</f>
        <v>1200</v>
      </c>
      <c r="M485" s="504">
        <f>IFERROR(__xludf.DUMMYFUNCTION("""COMPUTED_VALUE"""),31.0)</f>
        <v>31</v>
      </c>
      <c r="N485" s="501" t="str">
        <f>IFERROR(__xludf.DUMMYFUNCTION("""COMPUTED_VALUE"""),"Product")</f>
        <v>Product</v>
      </c>
      <c r="O485" s="501" t="str">
        <f>IFERROR(__xludf.DUMMYFUNCTION("""COMPUTED_VALUE"""),"Facebook")</f>
        <v>Facebook</v>
      </c>
      <c r="P485" s="503" t="str">
        <f>IFERROR(__xludf.DUMMYFUNCTION("""COMPUTED_VALUE"""),"Facebook - Do - AOC")</f>
        <v>Facebook - Do - AOC</v>
      </c>
      <c r="Q485" s="501" t="str">
        <f>IFERROR(__xludf.DUMMYFUNCTION("""COMPUTED_VALUE"""),"Conversie - Waarde")</f>
        <v>Conversie - Waarde</v>
      </c>
      <c r="R485" s="501" t="str">
        <f>IFERROR(__xludf.DUMMYFUNCTION("""COMPUTED_VALUE"""),"Dark")</f>
        <v>Dark</v>
      </c>
      <c r="S485" s="503" t="str">
        <f>IFERROR(__xludf.DUMMYFUNCTION("""COMPUTED_VALUE"""),"")</f>
        <v/>
      </c>
      <c r="T485" s="503" t="str">
        <f>IFERROR(__xludf.DUMMYFUNCTION("""COMPUTED_VALUE"""),"utm_source=facebook&amp;utm_medium=socialmedia&amp;utm_campaign=facebook_-_do_-_aoc&amp;utm_content=aocverjaardagdo&amp;referrer=facebook")</f>
        <v>utm_source=facebook&amp;utm_medium=socialmedia&amp;utm_campaign=facebook_-_do_-_aoc&amp;utm_content=aocverjaardagdo&amp;referrer=facebook</v>
      </c>
    </row>
    <row r="486">
      <c r="A486" s="501" t="str">
        <f>IFERROR(__xludf.DUMMYFUNCTION("""COMPUTED_VALUE"""),"december")</f>
        <v>december</v>
      </c>
      <c r="B486" s="501">
        <f>IFERROR(__xludf.DUMMYFUNCTION("""COMPUTED_VALUE"""),49.0)</f>
        <v>49</v>
      </c>
      <c r="C486" s="501" t="str">
        <f>IFERROR(__xludf.DUMMYFUNCTION("""COMPUTED_VALUE"""),"zondag")</f>
        <v>zondag</v>
      </c>
      <c r="D486" s="502">
        <f>IFERROR(__xludf.DUMMYFUNCTION("""COMPUTED_VALUE"""),43800.0)</f>
        <v>43800</v>
      </c>
      <c r="E486" s="502">
        <f>IFERROR(__xludf.DUMMYFUNCTION("""COMPUTED_VALUE"""),43830.0)</f>
        <v>43830</v>
      </c>
      <c r="F486" s="501" t="str">
        <f>IFERROR(__xludf.DUMMYFUNCTION("""COMPUTED_VALUE"""),"")</f>
        <v/>
      </c>
      <c r="G486" s="503" t="str">
        <f>IFERROR(__xludf.DUMMYFUNCTION("""COMPUTED_VALUE"""),"")</f>
        <v/>
      </c>
      <c r="H486" s="501" t="str">
        <f>IFERROR(__xludf.DUMMYFUNCTION("""COMPUTED_VALUE"""),"AOC geboorte do")</f>
        <v>AOC geboorte do</v>
      </c>
      <c r="I486" s="503" t="str">
        <f>IFERROR(__xludf.DUMMYFUNCTION("""COMPUTED_VALUE"""),"")</f>
        <v/>
      </c>
      <c r="J486" s="501" t="str">
        <f>IFERROR(__xludf.DUMMYFUNCTION("""COMPUTED_VALUE"""),"Briefen")</f>
        <v>Briefen</v>
      </c>
      <c r="K486" s="505" t="str">
        <f>IFERROR(__xludf.DUMMYFUNCTION("""COMPUTED_VALUE""")," URL bevat geboorte 2-7 dagen ")</f>
        <v>URL bevat geboorte 2-7 dagen</v>
      </c>
      <c r="L486" s="506">
        <f>IFERROR(__xludf.DUMMYFUNCTION("""COMPUTED_VALUE"""),1200.0)</f>
        <v>1200</v>
      </c>
      <c r="M486" s="504">
        <f>IFERROR(__xludf.DUMMYFUNCTION("""COMPUTED_VALUE"""),31.0)</f>
        <v>31</v>
      </c>
      <c r="N486" s="501" t="str">
        <f>IFERROR(__xludf.DUMMYFUNCTION("""COMPUTED_VALUE"""),"Product")</f>
        <v>Product</v>
      </c>
      <c r="O486" s="501" t="str">
        <f>IFERROR(__xludf.DUMMYFUNCTION("""COMPUTED_VALUE"""),"Facebook")</f>
        <v>Facebook</v>
      </c>
      <c r="P486" s="503" t="str">
        <f>IFERROR(__xludf.DUMMYFUNCTION("""COMPUTED_VALUE"""),"Facebook - Do - AOC")</f>
        <v>Facebook - Do - AOC</v>
      </c>
      <c r="Q486" s="501" t="str">
        <f>IFERROR(__xludf.DUMMYFUNCTION("""COMPUTED_VALUE"""),"Conversie - Waarde")</f>
        <v>Conversie - Waarde</v>
      </c>
      <c r="R486" s="501" t="str">
        <f>IFERROR(__xludf.DUMMYFUNCTION("""COMPUTED_VALUE"""),"Dark")</f>
        <v>Dark</v>
      </c>
      <c r="S486" s="503" t="str">
        <f>IFERROR(__xludf.DUMMYFUNCTION("""COMPUTED_VALUE"""),"")</f>
        <v/>
      </c>
      <c r="T486" s="503" t="str">
        <f>IFERROR(__xludf.DUMMYFUNCTION("""COMPUTED_VALUE"""),"utm_source=facebook&amp;utm_medium=socialmedia&amp;utm_campaign=facebook_-_do_-_aoc&amp;utm_content=aocgeboortedo&amp;referrer=facebook")</f>
        <v>utm_source=facebook&amp;utm_medium=socialmedia&amp;utm_campaign=facebook_-_do_-_aoc&amp;utm_content=aocgeboortedo&amp;referrer=facebook</v>
      </c>
    </row>
    <row r="487">
      <c r="A487" s="501" t="str">
        <f>IFERROR(__xludf.DUMMYFUNCTION("""COMPUTED_VALUE"""),"december")</f>
        <v>december</v>
      </c>
      <c r="B487" s="501">
        <f>IFERROR(__xludf.DUMMYFUNCTION("""COMPUTED_VALUE"""),49.0)</f>
        <v>49</v>
      </c>
      <c r="C487" s="501" t="str">
        <f>IFERROR(__xludf.DUMMYFUNCTION("""COMPUTED_VALUE"""),"zondag")</f>
        <v>zondag</v>
      </c>
      <c r="D487" s="502">
        <f>IFERROR(__xludf.DUMMYFUNCTION("""COMPUTED_VALUE"""),43800.0)</f>
        <v>43800</v>
      </c>
      <c r="E487" s="502">
        <f>IFERROR(__xludf.DUMMYFUNCTION("""COMPUTED_VALUE"""),43830.0)</f>
        <v>43830</v>
      </c>
      <c r="F487" s="501" t="str">
        <f>IFERROR(__xludf.DUMMYFUNCTION("""COMPUTED_VALUE"""),"")</f>
        <v/>
      </c>
      <c r="G487" s="503" t="str">
        <f>IFERROR(__xludf.DUMMYFUNCTION("""COMPUTED_VALUE"""),"")</f>
        <v/>
      </c>
      <c r="H487" s="501" t="str">
        <f>IFERROR(__xludf.DUMMYFUNCTION("""COMPUTED_VALUE"""),"AOC verhuizen think")</f>
        <v>AOC verhuizen think</v>
      </c>
      <c r="I487" s="503" t="str">
        <f>IFERROR(__xludf.DUMMYFUNCTION("""COMPUTED_VALUE"""),"")</f>
        <v/>
      </c>
      <c r="J487" s="501" t="str">
        <f>IFERROR(__xludf.DUMMYFUNCTION("""COMPUTED_VALUE"""),"Briefen")</f>
        <v>Briefen</v>
      </c>
      <c r="K487" s="505" t="str">
        <f>IFERROR(__xludf.DUMMYFUNCTION("""COMPUTED_VALUE""")," Vrienden van recent verhuisd ")</f>
        <v>Vrienden van recent verhuisd</v>
      </c>
      <c r="L487" s="506">
        <f>IFERROR(__xludf.DUMMYFUNCTION("""COMPUTED_VALUE"""),300.0)</f>
        <v>300</v>
      </c>
      <c r="M487" s="504">
        <f>IFERROR(__xludf.DUMMYFUNCTION("""COMPUTED_VALUE"""),31.0)</f>
        <v>31</v>
      </c>
      <c r="N487" s="501" t="str">
        <f>IFERROR(__xludf.DUMMYFUNCTION("""COMPUTED_VALUE"""),"Geven/ontvangen")</f>
        <v>Geven/ontvangen</v>
      </c>
      <c r="O487" s="501" t="str">
        <f>IFERROR(__xludf.DUMMYFUNCTION("""COMPUTED_VALUE"""),"Facebook")</f>
        <v>Facebook</v>
      </c>
      <c r="P487" s="503" t="str">
        <f>IFERROR(__xludf.DUMMYFUNCTION("""COMPUTED_VALUE"""),"Facebook - Think - AOC")</f>
        <v>Facebook - Think - AOC</v>
      </c>
      <c r="Q487" s="501" t="str">
        <f>IFERROR(__xludf.DUMMYFUNCTION("""COMPUTED_VALUE"""),"Conversie - Landingspagina")</f>
        <v>Conversie - Landingspagina</v>
      </c>
      <c r="R487" s="501" t="str">
        <f>IFERROR(__xludf.DUMMYFUNCTION("""COMPUTED_VALUE"""),"Dark")</f>
        <v>Dark</v>
      </c>
      <c r="S487" s="503" t="str">
        <f>IFERROR(__xludf.DUMMYFUNCTION("""COMPUTED_VALUE"""),"")</f>
        <v/>
      </c>
      <c r="T487" s="503" t="str">
        <f>IFERROR(__xludf.DUMMYFUNCTION("""COMPUTED_VALUE"""),"utm_source=facebook&amp;utm_medium=socialmedia&amp;utm_campaign=facebook_-_think_-_aoc&amp;utm_content=aocverhuizenthink&amp;referrer=facebook")</f>
        <v>utm_source=facebook&amp;utm_medium=socialmedia&amp;utm_campaign=facebook_-_think_-_aoc&amp;utm_content=aocverhuizenthink&amp;referrer=facebook</v>
      </c>
    </row>
    <row r="488">
      <c r="A488" s="501" t="str">
        <f>IFERROR(__xludf.DUMMYFUNCTION("""COMPUTED_VALUE"""),"december")</f>
        <v>december</v>
      </c>
      <c r="B488" s="501">
        <f>IFERROR(__xludf.DUMMYFUNCTION("""COMPUTED_VALUE"""),49.0)</f>
        <v>49</v>
      </c>
      <c r="C488" s="501" t="str">
        <f>IFERROR(__xludf.DUMMYFUNCTION("""COMPUTED_VALUE"""),"zondag")</f>
        <v>zondag</v>
      </c>
      <c r="D488" s="502">
        <f>IFERROR(__xludf.DUMMYFUNCTION("""COMPUTED_VALUE"""),43800.0)</f>
        <v>43800</v>
      </c>
      <c r="E488" s="502">
        <f>IFERROR(__xludf.DUMMYFUNCTION("""COMPUTED_VALUE"""),43830.0)</f>
        <v>43830</v>
      </c>
      <c r="F488" s="501" t="str">
        <f>IFERROR(__xludf.DUMMYFUNCTION("""COMPUTED_VALUE"""),"")</f>
        <v/>
      </c>
      <c r="G488" s="503" t="str">
        <f>IFERROR(__xludf.DUMMYFUNCTION("""COMPUTED_VALUE"""),"")</f>
        <v/>
      </c>
      <c r="H488" s="501" t="str">
        <f>IFERROR(__xludf.DUMMYFUNCTION("""COMPUTED_VALUE"""),"AOC verhuizen see")</f>
        <v>AOC verhuizen see</v>
      </c>
      <c r="I488" s="503" t="str">
        <f>IFERROR(__xludf.DUMMYFUNCTION("""COMPUTED_VALUE"""),"")</f>
        <v/>
      </c>
      <c r="J488" s="501" t="str">
        <f>IFERROR(__xludf.DUMMYFUNCTION("""COMPUTED_VALUE"""),"Briefen")</f>
        <v>Briefen</v>
      </c>
      <c r="K488" s="505" t="str">
        <f>IFERROR(__xludf.DUMMYFUNCTION("""COMPUTED_VALUE""")," Vrouw 25-64 (excl klanten, vrienden van verhuisde personen en fans) ")</f>
        <v>Vrouw 25-64 (excl klanten, vrienden van verhuisde personen en fans)</v>
      </c>
      <c r="L488" s="506">
        <f>IFERROR(__xludf.DUMMYFUNCTION("""COMPUTED_VALUE"""),600.0)</f>
        <v>600</v>
      </c>
      <c r="M488" s="504">
        <f>IFERROR(__xludf.DUMMYFUNCTION("""COMPUTED_VALUE"""),31.0)</f>
        <v>31</v>
      </c>
      <c r="N488" s="501" t="str">
        <f>IFERROR(__xludf.DUMMYFUNCTION("""COMPUTED_VALUE"""),"Merk")</f>
        <v>Merk</v>
      </c>
      <c r="O488" s="501" t="str">
        <f>IFERROR(__xludf.DUMMYFUNCTION("""COMPUTED_VALUE"""),"FB + Instagram")</f>
        <v>FB + Instagram</v>
      </c>
      <c r="P488" s="503" t="str">
        <f>IFERROR(__xludf.DUMMYFUNCTION("""COMPUTED_VALUE"""),"Facebook - See - AOC")</f>
        <v>Facebook - See - AOC</v>
      </c>
      <c r="Q488" s="501" t="str">
        <f>IFERROR(__xludf.DUMMYFUNCTION("""COMPUTED_VALUE"""),"Bereik")</f>
        <v>Bereik</v>
      </c>
      <c r="R488" s="501" t="str">
        <f>IFERROR(__xludf.DUMMYFUNCTION("""COMPUTED_VALUE"""),"Dark")</f>
        <v>Dark</v>
      </c>
      <c r="S488" s="503" t="str">
        <f>IFERROR(__xludf.DUMMYFUNCTION("""COMPUTED_VALUE"""),"")</f>
        <v/>
      </c>
      <c r="T488" s="503" t="str">
        <f>IFERROR(__xludf.DUMMYFUNCTION("""COMPUTED_VALUE"""),"utm_source=facebook&amp;utm_medium=socialmedia&amp;utm_campaign=facebook_-_see_-_aoc&amp;utm_content=aocverhuizensee&amp;referrer=facebook")</f>
        <v>utm_source=facebook&amp;utm_medium=socialmedia&amp;utm_campaign=facebook_-_see_-_aoc&amp;utm_content=aocverhuizensee&amp;referrer=facebook</v>
      </c>
    </row>
    <row r="489">
      <c r="A489" s="501" t="str">
        <f>IFERROR(__xludf.DUMMYFUNCTION("""COMPUTED_VALUE"""),"december")</f>
        <v>december</v>
      </c>
      <c r="B489" s="501">
        <f>IFERROR(__xludf.DUMMYFUNCTION("""COMPUTED_VALUE"""),49.0)</f>
        <v>49</v>
      </c>
      <c r="C489" s="501" t="str">
        <f>IFERROR(__xludf.DUMMYFUNCTION("""COMPUTED_VALUE"""),"zondag")</f>
        <v>zondag</v>
      </c>
      <c r="D489" s="502">
        <f>IFERROR(__xludf.DUMMYFUNCTION("""COMPUTED_VALUE"""),43800.0)</f>
        <v>43800</v>
      </c>
      <c r="E489" s="502">
        <f>IFERROR(__xludf.DUMMYFUNCTION("""COMPUTED_VALUE"""),43830.0)</f>
        <v>43830</v>
      </c>
      <c r="F489" s="501" t="str">
        <f>IFERROR(__xludf.DUMMYFUNCTION("""COMPUTED_VALUE"""),"")</f>
        <v/>
      </c>
      <c r="G489" s="503" t="str">
        <f>IFERROR(__xludf.DUMMYFUNCTION("""COMPUTED_VALUE"""),"")</f>
        <v/>
      </c>
      <c r="H489" s="501" t="str">
        <f>IFERROR(__xludf.DUMMYFUNCTION("""COMPUTED_VALUE"""),"AOC verjaardag see")</f>
        <v>AOC verjaardag see</v>
      </c>
      <c r="I489" s="503" t="str">
        <f>IFERROR(__xludf.DUMMYFUNCTION("""COMPUTED_VALUE"""),"")</f>
        <v/>
      </c>
      <c r="J489" s="501" t="str">
        <f>IFERROR(__xludf.DUMMYFUNCTION("""COMPUTED_VALUE"""),"Briefen")</f>
        <v>Briefen</v>
      </c>
      <c r="K489" s="505" t="str">
        <f>IFERROR(__xludf.DUMMYFUNCTION("""COMPUTED_VALUE""")," See - Geboorte ")</f>
        <v>See - Geboorte</v>
      </c>
      <c r="L489" s="506">
        <f>IFERROR(__xludf.DUMMYFUNCTION("""COMPUTED_VALUE"""),1200.0)</f>
        <v>1200</v>
      </c>
      <c r="M489" s="504">
        <f>IFERROR(__xludf.DUMMYFUNCTION("""COMPUTED_VALUE"""),31.0)</f>
        <v>31</v>
      </c>
      <c r="N489" s="501" t="str">
        <f>IFERROR(__xludf.DUMMYFUNCTION("""COMPUTED_VALUE"""),"Merk")</f>
        <v>Merk</v>
      </c>
      <c r="O489" s="501" t="str">
        <f>IFERROR(__xludf.DUMMYFUNCTION("""COMPUTED_VALUE"""),"FB + Instagram")</f>
        <v>FB + Instagram</v>
      </c>
      <c r="P489" s="503" t="str">
        <f>IFERROR(__xludf.DUMMYFUNCTION("""COMPUTED_VALUE"""),"Facebook - See - AOC")</f>
        <v>Facebook - See - AOC</v>
      </c>
      <c r="Q489" s="501" t="str">
        <f>IFERROR(__xludf.DUMMYFUNCTION("""COMPUTED_VALUE"""),"Bereik")</f>
        <v>Bereik</v>
      </c>
      <c r="R489" s="501" t="str">
        <f>IFERROR(__xludf.DUMMYFUNCTION("""COMPUTED_VALUE"""),"Dark")</f>
        <v>Dark</v>
      </c>
      <c r="S489" s="503" t="str">
        <f>IFERROR(__xludf.DUMMYFUNCTION("""COMPUTED_VALUE"""),"")</f>
        <v/>
      </c>
      <c r="T489" s="503" t="str">
        <f>IFERROR(__xludf.DUMMYFUNCTION("""COMPUTED_VALUE"""),"utm_source=facebook&amp;utm_medium=socialmedia&amp;utm_campaign=facebook_-_see_-_aoc&amp;utm_content=aocverjaardagsee&amp;referrer=facebook")</f>
        <v>utm_source=facebook&amp;utm_medium=socialmedia&amp;utm_campaign=facebook_-_see_-_aoc&amp;utm_content=aocverjaardagsee&amp;referrer=facebook</v>
      </c>
    </row>
    <row r="490">
      <c r="A490" s="501" t="str">
        <f>IFERROR(__xludf.DUMMYFUNCTION("""COMPUTED_VALUE"""),"december")</f>
        <v>december</v>
      </c>
      <c r="B490" s="501">
        <f>IFERROR(__xludf.DUMMYFUNCTION("""COMPUTED_VALUE"""),49.0)</f>
        <v>49</v>
      </c>
      <c r="C490" s="501" t="str">
        <f>IFERROR(__xludf.DUMMYFUNCTION("""COMPUTED_VALUE"""),"zondag")</f>
        <v>zondag</v>
      </c>
      <c r="D490" s="502">
        <f>IFERROR(__xludf.DUMMYFUNCTION("""COMPUTED_VALUE"""),43800.0)</f>
        <v>43800</v>
      </c>
      <c r="E490" s="502">
        <f>IFERROR(__xludf.DUMMYFUNCTION("""COMPUTED_VALUE"""),43830.0)</f>
        <v>43830</v>
      </c>
      <c r="F490" s="501" t="str">
        <f>IFERROR(__xludf.DUMMYFUNCTION("""COMPUTED_VALUE"""),"")</f>
        <v/>
      </c>
      <c r="G490" s="503" t="str">
        <f>IFERROR(__xludf.DUMMYFUNCTION("""COMPUTED_VALUE"""),"")</f>
        <v/>
      </c>
      <c r="H490" s="501" t="str">
        <f>IFERROR(__xludf.DUMMYFUNCTION("""COMPUTED_VALUE"""),"AOC geboorte see")</f>
        <v>AOC geboorte see</v>
      </c>
      <c r="I490" s="503" t="str">
        <f>IFERROR(__xludf.DUMMYFUNCTION("""COMPUTED_VALUE"""),"")</f>
        <v/>
      </c>
      <c r="J490" s="501" t="str">
        <f>IFERROR(__xludf.DUMMYFUNCTION("""COMPUTED_VALUE"""),"Briefen")</f>
        <v>Briefen</v>
      </c>
      <c r="K490" s="505" t="str">
        <f>IFERROR(__xludf.DUMMYFUNCTION("""COMPUTED_VALUE""")," See - Verjaardag ")</f>
        <v>See - Verjaardag</v>
      </c>
      <c r="L490" s="506">
        <f>IFERROR(__xludf.DUMMYFUNCTION("""COMPUTED_VALUE"""),2400.0)</f>
        <v>2400</v>
      </c>
      <c r="M490" s="504">
        <f>IFERROR(__xludf.DUMMYFUNCTION("""COMPUTED_VALUE"""),31.0)</f>
        <v>31</v>
      </c>
      <c r="N490" s="501" t="str">
        <f>IFERROR(__xludf.DUMMYFUNCTION("""COMPUTED_VALUE"""),"Merk")</f>
        <v>Merk</v>
      </c>
      <c r="O490" s="501" t="str">
        <f>IFERROR(__xludf.DUMMYFUNCTION("""COMPUTED_VALUE"""),"FB + Instagram")</f>
        <v>FB + Instagram</v>
      </c>
      <c r="P490" s="503" t="str">
        <f>IFERROR(__xludf.DUMMYFUNCTION("""COMPUTED_VALUE"""),"Facebook - See - AOC")</f>
        <v>Facebook - See - AOC</v>
      </c>
      <c r="Q490" s="501" t="str">
        <f>IFERROR(__xludf.DUMMYFUNCTION("""COMPUTED_VALUE"""),"Bereik")</f>
        <v>Bereik</v>
      </c>
      <c r="R490" s="501" t="str">
        <f>IFERROR(__xludf.DUMMYFUNCTION("""COMPUTED_VALUE"""),"Dark")</f>
        <v>Dark</v>
      </c>
      <c r="S490" s="503" t="str">
        <f>IFERROR(__xludf.DUMMYFUNCTION("""COMPUTED_VALUE"""),"")</f>
        <v/>
      </c>
      <c r="T490" s="503" t="str">
        <f>IFERROR(__xludf.DUMMYFUNCTION("""COMPUTED_VALUE"""),"utm_source=facebook&amp;utm_medium=socialmedia&amp;utm_campaign=facebook_-_see_-_aoc&amp;utm_content=aocgeboortesee&amp;referrer=facebook")</f>
        <v>utm_source=facebook&amp;utm_medium=socialmedia&amp;utm_campaign=facebook_-_see_-_aoc&amp;utm_content=aocgeboortesee&amp;referrer=facebook</v>
      </c>
    </row>
    <row r="491">
      <c r="A491" s="501" t="str">
        <f>IFERROR(__xludf.DUMMYFUNCTION("""COMPUTED_VALUE"""),"december")</f>
        <v>december</v>
      </c>
      <c r="B491" s="501">
        <f>IFERROR(__xludf.DUMMYFUNCTION("""COMPUTED_VALUE"""),49.0)</f>
        <v>49</v>
      </c>
      <c r="C491" s="501" t="str">
        <f>IFERROR(__xludf.DUMMYFUNCTION("""COMPUTED_VALUE"""),"zondag")</f>
        <v>zondag</v>
      </c>
      <c r="D491" s="502">
        <f>IFERROR(__xludf.DUMMYFUNCTION("""COMPUTED_VALUE"""),43800.0)</f>
        <v>43800</v>
      </c>
      <c r="E491" s="502">
        <f>IFERROR(__xludf.DUMMYFUNCTION("""COMPUTED_VALUE"""),43800.0)</f>
        <v>43800</v>
      </c>
      <c r="F491" s="501" t="str">
        <f>IFERROR(__xludf.DUMMYFUNCTION("""COMPUTED_VALUE"""),"")</f>
        <v/>
      </c>
      <c r="G491" s="503" t="str">
        <f>IFERROR(__xludf.DUMMYFUNCTION("""COMPUTED_VALUE"""),"")</f>
        <v/>
      </c>
      <c r="H491" s="501" t="str">
        <f>IFERROR(__xludf.DUMMYFUNCTION("""COMPUTED_VALUE"""),"")</f>
        <v/>
      </c>
      <c r="I491" s="503" t="str">
        <f>IFERROR(__xludf.DUMMYFUNCTION("""COMPUTED_VALUE"""),"")</f>
        <v/>
      </c>
      <c r="J491" s="501" t="str">
        <f>IFERROR(__xludf.DUMMYFUNCTION("""COMPUTED_VALUE"""),"")</f>
        <v/>
      </c>
      <c r="K491" s="503" t="str">
        <f>IFERROR(__xludf.DUMMYFUNCTION("""COMPUTED_VALUE"""),"")</f>
        <v/>
      </c>
      <c r="L491" s="501" t="str">
        <f>IFERROR(__xludf.DUMMYFUNCTION("""COMPUTED_VALUE"""),"")</f>
        <v/>
      </c>
      <c r="M491" s="504">
        <f>IFERROR(__xludf.DUMMYFUNCTION("""COMPUTED_VALUE"""),1.0)</f>
        <v>1</v>
      </c>
      <c r="N491" s="501" t="str">
        <f>IFERROR(__xludf.DUMMYFUNCTION("""COMPUTED_VALUE"""),"")</f>
        <v/>
      </c>
      <c r="O491" s="501" t="str">
        <f>IFERROR(__xludf.DUMMYFUNCTION("""COMPUTED_VALUE"""),"")</f>
        <v/>
      </c>
      <c r="P491" s="503" t="str">
        <f>IFERROR(__xludf.DUMMYFUNCTION("""COMPUTED_VALUE"""),"")</f>
        <v/>
      </c>
      <c r="Q491" s="501" t="str">
        <f>IFERROR(__xludf.DUMMYFUNCTION("""COMPUTED_VALUE"""),"")</f>
        <v/>
      </c>
      <c r="R491" s="501" t="str">
        <f>IFERROR(__xludf.DUMMYFUNCTION("""COMPUTED_VALUE"""),"")</f>
        <v/>
      </c>
      <c r="S491" s="503" t="str">
        <f>IFERROR(__xludf.DUMMYFUNCTION("""COMPUTED_VALUE"""),"")</f>
        <v/>
      </c>
      <c r="T491" s="503" t="str">
        <f>IFERROR(__xludf.DUMMYFUNCTION("""COMPUTED_VALUE"""),"utm_source=facebook&amp;utm_medium=socialmedia&amp;utm_campaign=&amp;utm_content=&amp;referrer=facebook")</f>
        <v>utm_source=facebook&amp;utm_medium=socialmedia&amp;utm_campaign=&amp;utm_content=&amp;referrer=facebook</v>
      </c>
    </row>
    <row r="492">
      <c r="A492" s="501" t="str">
        <f>IFERROR(__xludf.DUMMYFUNCTION("""COMPUTED_VALUE"""),"december")</f>
        <v>december</v>
      </c>
      <c r="B492" s="501">
        <f>IFERROR(__xludf.DUMMYFUNCTION("""COMPUTED_VALUE"""),49.0)</f>
        <v>49</v>
      </c>
      <c r="C492" s="501" t="str">
        <f>IFERROR(__xludf.DUMMYFUNCTION("""COMPUTED_VALUE"""),"maandag")</f>
        <v>maandag</v>
      </c>
      <c r="D492" s="502">
        <f>IFERROR(__xludf.DUMMYFUNCTION("""COMPUTED_VALUE"""),43801.0)</f>
        <v>43801</v>
      </c>
      <c r="E492" s="502">
        <f>IFERROR(__xludf.DUMMYFUNCTION("""COMPUTED_VALUE"""),43801.0)</f>
        <v>43801</v>
      </c>
      <c r="F492" s="501" t="str">
        <f>IFERROR(__xludf.DUMMYFUNCTION("""COMPUTED_VALUE"""),"")</f>
        <v/>
      </c>
      <c r="G492" s="503" t="str">
        <f>IFERROR(__xludf.DUMMYFUNCTION("""COMPUTED_VALUE"""),"")</f>
        <v/>
      </c>
      <c r="H492" s="501" t="str">
        <f>IFERROR(__xludf.DUMMYFUNCTION("""COMPUTED_VALUE"""),"")</f>
        <v/>
      </c>
      <c r="I492" s="503" t="str">
        <f>IFERROR(__xludf.DUMMYFUNCTION("""COMPUTED_VALUE"""),"")</f>
        <v/>
      </c>
      <c r="J492" s="501" t="str">
        <f>IFERROR(__xludf.DUMMYFUNCTION("""COMPUTED_VALUE"""),"")</f>
        <v/>
      </c>
      <c r="K492" s="503" t="str">
        <f>IFERROR(__xludf.DUMMYFUNCTION("""COMPUTED_VALUE"""),"")</f>
        <v/>
      </c>
      <c r="L492" s="501" t="str">
        <f>IFERROR(__xludf.DUMMYFUNCTION("""COMPUTED_VALUE"""),"")</f>
        <v/>
      </c>
      <c r="M492" s="504">
        <f>IFERROR(__xludf.DUMMYFUNCTION("""COMPUTED_VALUE"""),1.0)</f>
        <v>1</v>
      </c>
      <c r="N492" s="501" t="str">
        <f>IFERROR(__xludf.DUMMYFUNCTION("""COMPUTED_VALUE"""),"")</f>
        <v/>
      </c>
      <c r="O492" s="501" t="str">
        <f>IFERROR(__xludf.DUMMYFUNCTION("""COMPUTED_VALUE"""),"")</f>
        <v/>
      </c>
      <c r="P492" s="503" t="str">
        <f>IFERROR(__xludf.DUMMYFUNCTION("""COMPUTED_VALUE"""),"")</f>
        <v/>
      </c>
      <c r="Q492" s="501" t="str">
        <f>IFERROR(__xludf.DUMMYFUNCTION("""COMPUTED_VALUE"""),"")</f>
        <v/>
      </c>
      <c r="R492" s="501" t="str">
        <f>IFERROR(__xludf.DUMMYFUNCTION("""COMPUTED_VALUE"""),"")</f>
        <v/>
      </c>
      <c r="S492" s="503" t="str">
        <f>IFERROR(__xludf.DUMMYFUNCTION("""COMPUTED_VALUE"""),"")</f>
        <v/>
      </c>
      <c r="T492" s="503" t="str">
        <f>IFERROR(__xludf.DUMMYFUNCTION("""COMPUTED_VALUE"""),"utm_source=facebook&amp;utm_medium=socialmedia&amp;utm_campaign=&amp;utm_content=&amp;referrer=facebook")</f>
        <v>utm_source=facebook&amp;utm_medium=socialmedia&amp;utm_campaign=&amp;utm_content=&amp;referrer=facebook</v>
      </c>
    </row>
    <row r="493">
      <c r="A493" s="508" t="str">
        <f>IFERROR(__xludf.DUMMYFUNCTION("""COMPUTED_VALUE"""),"december")</f>
        <v>december</v>
      </c>
      <c r="B493" s="508">
        <f>IFERROR(__xludf.DUMMYFUNCTION("""COMPUTED_VALUE"""),49.0)</f>
        <v>49</v>
      </c>
      <c r="C493" s="508" t="str">
        <f>IFERROR(__xludf.DUMMYFUNCTION("""COMPUTED_VALUE"""),"dinsdag")</f>
        <v>dinsdag</v>
      </c>
      <c r="D493" s="509">
        <f>IFERROR(__xludf.DUMMYFUNCTION("""COMPUTED_VALUE"""),43802.0)</f>
        <v>43802</v>
      </c>
      <c r="E493" s="509">
        <f>IFERROR(__xludf.DUMMYFUNCTION("""COMPUTED_VALUE"""),43802.0)</f>
        <v>43802</v>
      </c>
      <c r="F493" s="508" t="str">
        <f>IFERROR(__xludf.DUMMYFUNCTION("""COMPUTED_VALUE"""),"")</f>
        <v/>
      </c>
      <c r="G493" s="510" t="str">
        <f>IFERROR(__xludf.DUMMYFUNCTION("""COMPUTED_VALUE"""),"")</f>
        <v/>
      </c>
      <c r="H493" s="508" t="str">
        <f>IFERROR(__xludf.DUMMYFUNCTION("""COMPUTED_VALUE"""),"")</f>
        <v/>
      </c>
      <c r="I493" s="510" t="str">
        <f>IFERROR(__xludf.DUMMYFUNCTION("""COMPUTED_VALUE"""),"")</f>
        <v/>
      </c>
      <c r="J493" s="508" t="str">
        <f>IFERROR(__xludf.DUMMYFUNCTION("""COMPUTED_VALUE"""),"")</f>
        <v/>
      </c>
      <c r="K493" s="510" t="str">
        <f>IFERROR(__xludf.DUMMYFUNCTION("""COMPUTED_VALUE"""),"")</f>
        <v/>
      </c>
      <c r="L493" s="508" t="str">
        <f>IFERROR(__xludf.DUMMYFUNCTION("""COMPUTED_VALUE"""),"")</f>
        <v/>
      </c>
      <c r="M493" s="511">
        <f>IFERROR(__xludf.DUMMYFUNCTION("""COMPUTED_VALUE"""),1.0)</f>
        <v>1</v>
      </c>
      <c r="N493" s="508" t="str">
        <f>IFERROR(__xludf.DUMMYFUNCTION("""COMPUTED_VALUE"""),"")</f>
        <v/>
      </c>
      <c r="O493" s="508" t="str">
        <f>IFERROR(__xludf.DUMMYFUNCTION("""COMPUTED_VALUE"""),"")</f>
        <v/>
      </c>
      <c r="P493" s="510" t="str">
        <f>IFERROR(__xludf.DUMMYFUNCTION("""COMPUTED_VALUE"""),"")</f>
        <v/>
      </c>
      <c r="Q493" s="508" t="str">
        <f>IFERROR(__xludf.DUMMYFUNCTION("""COMPUTED_VALUE"""),"")</f>
        <v/>
      </c>
      <c r="R493" s="508" t="str">
        <f>IFERROR(__xludf.DUMMYFUNCTION("""COMPUTED_VALUE"""),"")</f>
        <v/>
      </c>
      <c r="S493" s="510" t="str">
        <f>IFERROR(__xludf.DUMMYFUNCTION("""COMPUTED_VALUE"""),"")</f>
        <v/>
      </c>
      <c r="T493" s="510" t="str">
        <f>IFERROR(__xludf.DUMMYFUNCTION("""COMPUTED_VALUE"""),"utm_source=facebook&amp;utm_medium=socialmedia&amp;utm_campaign=&amp;utm_content=&amp;referrer=facebook")</f>
        <v>utm_source=facebook&amp;utm_medium=socialmedia&amp;utm_campaign=&amp;utm_content=&amp;referrer=facebook</v>
      </c>
    </row>
    <row r="494">
      <c r="A494" s="508" t="str">
        <f>IFERROR(__xludf.DUMMYFUNCTION("""COMPUTED_VALUE"""),"december")</f>
        <v>december</v>
      </c>
      <c r="B494" s="508">
        <f>IFERROR(__xludf.DUMMYFUNCTION("""COMPUTED_VALUE"""),49.0)</f>
        <v>49</v>
      </c>
      <c r="C494" s="508" t="str">
        <f>IFERROR(__xludf.DUMMYFUNCTION("""COMPUTED_VALUE"""),"woensdag")</f>
        <v>woensdag</v>
      </c>
      <c r="D494" s="509">
        <f>IFERROR(__xludf.DUMMYFUNCTION("""COMPUTED_VALUE"""),43803.0)</f>
        <v>43803</v>
      </c>
      <c r="E494" s="509">
        <f>IFERROR(__xludf.DUMMYFUNCTION("""COMPUTED_VALUE"""),43803.0)</f>
        <v>43803</v>
      </c>
      <c r="F494" s="508" t="str">
        <f>IFERROR(__xludf.DUMMYFUNCTION("""COMPUTED_VALUE"""),"")</f>
        <v/>
      </c>
      <c r="G494" s="510" t="str">
        <f>IFERROR(__xludf.DUMMYFUNCTION("""COMPUTED_VALUE"""),"")</f>
        <v/>
      </c>
      <c r="H494" s="508" t="str">
        <f>IFERROR(__xludf.DUMMYFUNCTION("""COMPUTED_VALUE"""),"")</f>
        <v/>
      </c>
      <c r="I494" s="510" t="str">
        <f>IFERROR(__xludf.DUMMYFUNCTION("""COMPUTED_VALUE"""),"")</f>
        <v/>
      </c>
      <c r="J494" s="508" t="str">
        <f>IFERROR(__xludf.DUMMYFUNCTION("""COMPUTED_VALUE"""),"")</f>
        <v/>
      </c>
      <c r="K494" s="510" t="str">
        <f>IFERROR(__xludf.DUMMYFUNCTION("""COMPUTED_VALUE"""),"")</f>
        <v/>
      </c>
      <c r="L494" s="508" t="str">
        <f>IFERROR(__xludf.DUMMYFUNCTION("""COMPUTED_VALUE"""),"")</f>
        <v/>
      </c>
      <c r="M494" s="511">
        <f>IFERROR(__xludf.DUMMYFUNCTION("""COMPUTED_VALUE"""),1.0)</f>
        <v>1</v>
      </c>
      <c r="N494" s="508" t="str">
        <f>IFERROR(__xludf.DUMMYFUNCTION("""COMPUTED_VALUE"""),"")</f>
        <v/>
      </c>
      <c r="O494" s="508" t="str">
        <f>IFERROR(__xludf.DUMMYFUNCTION("""COMPUTED_VALUE"""),"")</f>
        <v/>
      </c>
      <c r="P494" s="510" t="str">
        <f>IFERROR(__xludf.DUMMYFUNCTION("""COMPUTED_VALUE"""),"")</f>
        <v/>
      </c>
      <c r="Q494" s="508" t="str">
        <f>IFERROR(__xludf.DUMMYFUNCTION("""COMPUTED_VALUE"""),"")</f>
        <v/>
      </c>
      <c r="R494" s="508" t="str">
        <f>IFERROR(__xludf.DUMMYFUNCTION("""COMPUTED_VALUE"""),"")</f>
        <v/>
      </c>
      <c r="S494" s="510" t="str">
        <f>IFERROR(__xludf.DUMMYFUNCTION("""COMPUTED_VALUE"""),"")</f>
        <v/>
      </c>
      <c r="T494" s="510" t="str">
        <f>IFERROR(__xludf.DUMMYFUNCTION("""COMPUTED_VALUE"""),"utm_source=facebook&amp;utm_medium=socialmedia&amp;utm_campaign=&amp;utm_content=&amp;referrer=facebook")</f>
        <v>utm_source=facebook&amp;utm_medium=socialmedia&amp;utm_campaign=&amp;utm_content=&amp;referrer=facebook</v>
      </c>
    </row>
    <row r="495">
      <c r="A495" s="508" t="str">
        <f>IFERROR(__xludf.DUMMYFUNCTION("""COMPUTED_VALUE"""),"december")</f>
        <v>december</v>
      </c>
      <c r="B495" s="508">
        <f>IFERROR(__xludf.DUMMYFUNCTION("""COMPUTED_VALUE"""),49.0)</f>
        <v>49</v>
      </c>
      <c r="C495" s="508" t="str">
        <f>IFERROR(__xludf.DUMMYFUNCTION("""COMPUTED_VALUE"""),"donderdag")</f>
        <v>donderdag</v>
      </c>
      <c r="D495" s="509">
        <f>IFERROR(__xludf.DUMMYFUNCTION("""COMPUTED_VALUE"""),43804.0)</f>
        <v>43804</v>
      </c>
      <c r="E495" s="509">
        <f>IFERROR(__xludf.DUMMYFUNCTION("""COMPUTED_VALUE"""),43804.0)</f>
        <v>43804</v>
      </c>
      <c r="F495" s="508" t="str">
        <f>IFERROR(__xludf.DUMMYFUNCTION("""COMPUTED_VALUE"""),"")</f>
        <v/>
      </c>
      <c r="G495" s="510" t="str">
        <f>IFERROR(__xludf.DUMMYFUNCTION("""COMPUTED_VALUE"""),"")</f>
        <v/>
      </c>
      <c r="H495" s="508" t="str">
        <f>IFERROR(__xludf.DUMMYFUNCTION("""COMPUTED_VALUE"""),"")</f>
        <v/>
      </c>
      <c r="I495" s="510" t="str">
        <f>IFERROR(__xludf.DUMMYFUNCTION("""COMPUTED_VALUE"""),"")</f>
        <v/>
      </c>
      <c r="J495" s="508" t="str">
        <f>IFERROR(__xludf.DUMMYFUNCTION("""COMPUTED_VALUE"""),"")</f>
        <v/>
      </c>
      <c r="K495" s="510" t="str">
        <f>IFERROR(__xludf.DUMMYFUNCTION("""COMPUTED_VALUE"""),"")</f>
        <v/>
      </c>
      <c r="L495" s="508" t="str">
        <f>IFERROR(__xludf.DUMMYFUNCTION("""COMPUTED_VALUE"""),"")</f>
        <v/>
      </c>
      <c r="M495" s="511">
        <f>IFERROR(__xludf.DUMMYFUNCTION("""COMPUTED_VALUE"""),1.0)</f>
        <v>1</v>
      </c>
      <c r="N495" s="508" t="str">
        <f>IFERROR(__xludf.DUMMYFUNCTION("""COMPUTED_VALUE"""),"")</f>
        <v/>
      </c>
      <c r="O495" s="508" t="str">
        <f>IFERROR(__xludf.DUMMYFUNCTION("""COMPUTED_VALUE"""),"")</f>
        <v/>
      </c>
      <c r="P495" s="510" t="str">
        <f>IFERROR(__xludf.DUMMYFUNCTION("""COMPUTED_VALUE"""),"")</f>
        <v/>
      </c>
      <c r="Q495" s="508" t="str">
        <f>IFERROR(__xludf.DUMMYFUNCTION("""COMPUTED_VALUE"""),"")</f>
        <v/>
      </c>
      <c r="R495" s="508" t="str">
        <f>IFERROR(__xludf.DUMMYFUNCTION("""COMPUTED_VALUE"""),"")</f>
        <v/>
      </c>
      <c r="S495" s="510" t="str">
        <f>IFERROR(__xludf.DUMMYFUNCTION("""COMPUTED_VALUE"""),"")</f>
        <v/>
      </c>
      <c r="T495" s="510" t="str">
        <f>IFERROR(__xludf.DUMMYFUNCTION("""COMPUTED_VALUE"""),"utm_source=facebook&amp;utm_medium=socialmedia&amp;utm_campaign=&amp;utm_content=&amp;referrer=facebook")</f>
        <v>utm_source=facebook&amp;utm_medium=socialmedia&amp;utm_campaign=&amp;utm_content=&amp;referrer=facebook</v>
      </c>
    </row>
    <row r="496">
      <c r="A496" s="508" t="str">
        <f>IFERROR(__xludf.DUMMYFUNCTION("""COMPUTED_VALUE"""),"december")</f>
        <v>december</v>
      </c>
      <c r="B496" s="508">
        <f>IFERROR(__xludf.DUMMYFUNCTION("""COMPUTED_VALUE"""),49.0)</f>
        <v>49</v>
      </c>
      <c r="C496" s="508" t="str">
        <f>IFERROR(__xludf.DUMMYFUNCTION("""COMPUTED_VALUE"""),"vrijdag")</f>
        <v>vrijdag</v>
      </c>
      <c r="D496" s="509">
        <f>IFERROR(__xludf.DUMMYFUNCTION("""COMPUTED_VALUE"""),43805.0)</f>
        <v>43805</v>
      </c>
      <c r="E496" s="509">
        <f>IFERROR(__xludf.DUMMYFUNCTION("""COMPUTED_VALUE"""),43805.0)</f>
        <v>43805</v>
      </c>
      <c r="F496" s="508" t="str">
        <f>IFERROR(__xludf.DUMMYFUNCTION("""COMPUTED_VALUE"""),"")</f>
        <v/>
      </c>
      <c r="G496" s="510" t="str">
        <f>IFERROR(__xludf.DUMMYFUNCTION("""COMPUTED_VALUE"""),"")</f>
        <v/>
      </c>
      <c r="H496" s="508" t="str">
        <f>IFERROR(__xludf.DUMMYFUNCTION("""COMPUTED_VALUE"""),"")</f>
        <v/>
      </c>
      <c r="I496" s="510" t="str">
        <f>IFERROR(__xludf.DUMMYFUNCTION("""COMPUTED_VALUE"""),"")</f>
        <v/>
      </c>
      <c r="J496" s="508" t="str">
        <f>IFERROR(__xludf.DUMMYFUNCTION("""COMPUTED_VALUE"""),"")</f>
        <v/>
      </c>
      <c r="K496" s="510" t="str">
        <f>IFERROR(__xludf.DUMMYFUNCTION("""COMPUTED_VALUE"""),"")</f>
        <v/>
      </c>
      <c r="L496" s="508" t="str">
        <f>IFERROR(__xludf.DUMMYFUNCTION("""COMPUTED_VALUE"""),"")</f>
        <v/>
      </c>
      <c r="M496" s="511">
        <f>IFERROR(__xludf.DUMMYFUNCTION("""COMPUTED_VALUE"""),1.0)</f>
        <v>1</v>
      </c>
      <c r="N496" s="508" t="str">
        <f>IFERROR(__xludf.DUMMYFUNCTION("""COMPUTED_VALUE"""),"")</f>
        <v/>
      </c>
      <c r="O496" s="508" t="str">
        <f>IFERROR(__xludf.DUMMYFUNCTION("""COMPUTED_VALUE"""),"")</f>
        <v/>
      </c>
      <c r="P496" s="510" t="str">
        <f>IFERROR(__xludf.DUMMYFUNCTION("""COMPUTED_VALUE"""),"")</f>
        <v/>
      </c>
      <c r="Q496" s="508" t="str">
        <f>IFERROR(__xludf.DUMMYFUNCTION("""COMPUTED_VALUE"""),"")</f>
        <v/>
      </c>
      <c r="R496" s="508" t="str">
        <f>IFERROR(__xludf.DUMMYFUNCTION("""COMPUTED_VALUE"""),"")</f>
        <v/>
      </c>
      <c r="S496" s="510" t="str">
        <f>IFERROR(__xludf.DUMMYFUNCTION("""COMPUTED_VALUE"""),"")</f>
        <v/>
      </c>
      <c r="T496" s="510" t="str">
        <f>IFERROR(__xludf.DUMMYFUNCTION("""COMPUTED_VALUE"""),"utm_source=facebook&amp;utm_medium=socialmedia&amp;utm_campaign=&amp;utm_content=&amp;referrer=facebook")</f>
        <v>utm_source=facebook&amp;utm_medium=socialmedia&amp;utm_campaign=&amp;utm_content=&amp;referrer=facebook</v>
      </c>
    </row>
    <row r="497">
      <c r="A497" s="508" t="str">
        <f>IFERROR(__xludf.DUMMYFUNCTION("""COMPUTED_VALUE"""),"december")</f>
        <v>december</v>
      </c>
      <c r="B497" s="508">
        <f>IFERROR(__xludf.DUMMYFUNCTION("""COMPUTED_VALUE"""),49.0)</f>
        <v>49</v>
      </c>
      <c r="C497" s="508" t="str">
        <f>IFERROR(__xludf.DUMMYFUNCTION("""COMPUTED_VALUE"""),"zaterdag")</f>
        <v>zaterdag</v>
      </c>
      <c r="D497" s="509">
        <f>IFERROR(__xludf.DUMMYFUNCTION("""COMPUTED_VALUE"""),43806.0)</f>
        <v>43806</v>
      </c>
      <c r="E497" s="509">
        <f>IFERROR(__xludf.DUMMYFUNCTION("""COMPUTED_VALUE"""),43806.0)</f>
        <v>43806</v>
      </c>
      <c r="F497" s="508" t="str">
        <f>IFERROR(__xludf.DUMMYFUNCTION("""COMPUTED_VALUE"""),"")</f>
        <v/>
      </c>
      <c r="G497" s="510" t="str">
        <f>IFERROR(__xludf.DUMMYFUNCTION("""COMPUTED_VALUE"""),"")</f>
        <v/>
      </c>
      <c r="H497" s="508" t="str">
        <f>IFERROR(__xludf.DUMMYFUNCTION("""COMPUTED_VALUE"""),"")</f>
        <v/>
      </c>
      <c r="I497" s="510" t="str">
        <f>IFERROR(__xludf.DUMMYFUNCTION("""COMPUTED_VALUE"""),"")</f>
        <v/>
      </c>
      <c r="J497" s="508" t="str">
        <f>IFERROR(__xludf.DUMMYFUNCTION("""COMPUTED_VALUE"""),"")</f>
        <v/>
      </c>
      <c r="K497" s="510" t="str">
        <f>IFERROR(__xludf.DUMMYFUNCTION("""COMPUTED_VALUE"""),"")</f>
        <v/>
      </c>
      <c r="L497" s="508" t="str">
        <f>IFERROR(__xludf.DUMMYFUNCTION("""COMPUTED_VALUE"""),"")</f>
        <v/>
      </c>
      <c r="M497" s="511">
        <f>IFERROR(__xludf.DUMMYFUNCTION("""COMPUTED_VALUE"""),1.0)</f>
        <v>1</v>
      </c>
      <c r="N497" s="508" t="str">
        <f>IFERROR(__xludf.DUMMYFUNCTION("""COMPUTED_VALUE"""),"")</f>
        <v/>
      </c>
      <c r="O497" s="508" t="str">
        <f>IFERROR(__xludf.DUMMYFUNCTION("""COMPUTED_VALUE"""),"")</f>
        <v/>
      </c>
      <c r="P497" s="510" t="str">
        <f>IFERROR(__xludf.DUMMYFUNCTION("""COMPUTED_VALUE"""),"")</f>
        <v/>
      </c>
      <c r="Q497" s="508" t="str">
        <f>IFERROR(__xludf.DUMMYFUNCTION("""COMPUTED_VALUE"""),"")</f>
        <v/>
      </c>
      <c r="R497" s="508" t="str">
        <f>IFERROR(__xludf.DUMMYFUNCTION("""COMPUTED_VALUE"""),"")</f>
        <v/>
      </c>
      <c r="S497" s="510" t="str">
        <f>IFERROR(__xludf.DUMMYFUNCTION("""COMPUTED_VALUE"""),"")</f>
        <v/>
      </c>
      <c r="T497" s="510" t="str">
        <f>IFERROR(__xludf.DUMMYFUNCTION("""COMPUTED_VALUE"""),"utm_source=facebook&amp;utm_medium=socialmedia&amp;utm_campaign=&amp;utm_content=&amp;referrer=facebook")</f>
        <v>utm_source=facebook&amp;utm_medium=socialmedia&amp;utm_campaign=&amp;utm_content=&amp;referrer=facebook</v>
      </c>
    </row>
    <row r="498">
      <c r="A498" s="508" t="str">
        <f>IFERROR(__xludf.DUMMYFUNCTION("""COMPUTED_VALUE"""),"december")</f>
        <v>december</v>
      </c>
      <c r="B498" s="508">
        <f>IFERROR(__xludf.DUMMYFUNCTION("""COMPUTED_VALUE"""),50.0)</f>
        <v>50</v>
      </c>
      <c r="C498" s="508" t="str">
        <f>IFERROR(__xludf.DUMMYFUNCTION("""COMPUTED_VALUE"""),"zondag")</f>
        <v>zondag</v>
      </c>
      <c r="D498" s="509">
        <f>IFERROR(__xludf.DUMMYFUNCTION("""COMPUTED_VALUE"""),43807.0)</f>
        <v>43807</v>
      </c>
      <c r="E498" s="509">
        <f>IFERROR(__xludf.DUMMYFUNCTION("""COMPUTED_VALUE"""),43807.0)</f>
        <v>43807</v>
      </c>
      <c r="F498" s="508" t="str">
        <f>IFERROR(__xludf.DUMMYFUNCTION("""COMPUTED_VALUE"""),"")</f>
        <v/>
      </c>
      <c r="G498" s="510" t="str">
        <f>IFERROR(__xludf.DUMMYFUNCTION("""COMPUTED_VALUE"""),"")</f>
        <v/>
      </c>
      <c r="H498" s="508" t="str">
        <f>IFERROR(__xludf.DUMMYFUNCTION("""COMPUTED_VALUE"""),"")</f>
        <v/>
      </c>
      <c r="I498" s="510" t="str">
        <f>IFERROR(__xludf.DUMMYFUNCTION("""COMPUTED_VALUE"""),"")</f>
        <v/>
      </c>
      <c r="J498" s="508" t="str">
        <f>IFERROR(__xludf.DUMMYFUNCTION("""COMPUTED_VALUE"""),"")</f>
        <v/>
      </c>
      <c r="K498" s="510" t="str">
        <f>IFERROR(__xludf.DUMMYFUNCTION("""COMPUTED_VALUE"""),"")</f>
        <v/>
      </c>
      <c r="L498" s="508" t="str">
        <f>IFERROR(__xludf.DUMMYFUNCTION("""COMPUTED_VALUE"""),"")</f>
        <v/>
      </c>
      <c r="M498" s="511">
        <f>IFERROR(__xludf.DUMMYFUNCTION("""COMPUTED_VALUE"""),1.0)</f>
        <v>1</v>
      </c>
      <c r="N498" s="508" t="str">
        <f>IFERROR(__xludf.DUMMYFUNCTION("""COMPUTED_VALUE"""),"")</f>
        <v/>
      </c>
      <c r="O498" s="508" t="str">
        <f>IFERROR(__xludf.DUMMYFUNCTION("""COMPUTED_VALUE"""),"")</f>
        <v/>
      </c>
      <c r="P498" s="510" t="str">
        <f>IFERROR(__xludf.DUMMYFUNCTION("""COMPUTED_VALUE"""),"")</f>
        <v/>
      </c>
      <c r="Q498" s="508" t="str">
        <f>IFERROR(__xludf.DUMMYFUNCTION("""COMPUTED_VALUE"""),"")</f>
        <v/>
      </c>
      <c r="R498" s="508" t="str">
        <f>IFERROR(__xludf.DUMMYFUNCTION("""COMPUTED_VALUE"""),"")</f>
        <v/>
      </c>
      <c r="S498" s="510" t="str">
        <f>IFERROR(__xludf.DUMMYFUNCTION("""COMPUTED_VALUE"""),"")</f>
        <v/>
      </c>
      <c r="T498" s="510" t="str">
        <f>IFERROR(__xludf.DUMMYFUNCTION("""COMPUTED_VALUE"""),"utm_source=facebook&amp;utm_medium=socialmedia&amp;utm_campaign=&amp;utm_content=&amp;referrer=facebook")</f>
        <v>utm_source=facebook&amp;utm_medium=socialmedia&amp;utm_campaign=&amp;utm_content=&amp;referrer=facebook</v>
      </c>
    </row>
    <row r="499">
      <c r="A499" s="508" t="str">
        <f>IFERROR(__xludf.DUMMYFUNCTION("""COMPUTED_VALUE"""),"december")</f>
        <v>december</v>
      </c>
      <c r="B499" s="508">
        <f>IFERROR(__xludf.DUMMYFUNCTION("""COMPUTED_VALUE"""),50.0)</f>
        <v>50</v>
      </c>
      <c r="C499" s="508" t="str">
        <f>IFERROR(__xludf.DUMMYFUNCTION("""COMPUTED_VALUE"""),"maandag")</f>
        <v>maandag</v>
      </c>
      <c r="D499" s="509">
        <f>IFERROR(__xludf.DUMMYFUNCTION("""COMPUTED_VALUE"""),43808.0)</f>
        <v>43808</v>
      </c>
      <c r="E499" s="509">
        <f>IFERROR(__xludf.DUMMYFUNCTION("""COMPUTED_VALUE"""),43808.0)</f>
        <v>43808</v>
      </c>
      <c r="F499" s="508" t="str">
        <f>IFERROR(__xludf.DUMMYFUNCTION("""COMPUTED_VALUE"""),"")</f>
        <v/>
      </c>
      <c r="G499" s="510" t="str">
        <f>IFERROR(__xludf.DUMMYFUNCTION("""COMPUTED_VALUE"""),"")</f>
        <v/>
      </c>
      <c r="H499" s="508" t="str">
        <f>IFERROR(__xludf.DUMMYFUNCTION("""COMPUTED_VALUE"""),"")</f>
        <v/>
      </c>
      <c r="I499" s="510" t="str">
        <f>IFERROR(__xludf.DUMMYFUNCTION("""COMPUTED_VALUE"""),"")</f>
        <v/>
      </c>
      <c r="J499" s="508" t="str">
        <f>IFERROR(__xludf.DUMMYFUNCTION("""COMPUTED_VALUE"""),"")</f>
        <v/>
      </c>
      <c r="K499" s="510" t="str">
        <f>IFERROR(__xludf.DUMMYFUNCTION("""COMPUTED_VALUE"""),"")</f>
        <v/>
      </c>
      <c r="L499" s="508" t="str">
        <f>IFERROR(__xludf.DUMMYFUNCTION("""COMPUTED_VALUE"""),"")</f>
        <v/>
      </c>
      <c r="M499" s="511">
        <f>IFERROR(__xludf.DUMMYFUNCTION("""COMPUTED_VALUE"""),1.0)</f>
        <v>1</v>
      </c>
      <c r="N499" s="508" t="str">
        <f>IFERROR(__xludf.DUMMYFUNCTION("""COMPUTED_VALUE"""),"")</f>
        <v/>
      </c>
      <c r="O499" s="508" t="str">
        <f>IFERROR(__xludf.DUMMYFUNCTION("""COMPUTED_VALUE"""),"")</f>
        <v/>
      </c>
      <c r="P499" s="510" t="str">
        <f>IFERROR(__xludf.DUMMYFUNCTION("""COMPUTED_VALUE"""),"")</f>
        <v/>
      </c>
      <c r="Q499" s="508" t="str">
        <f>IFERROR(__xludf.DUMMYFUNCTION("""COMPUTED_VALUE"""),"")</f>
        <v/>
      </c>
      <c r="R499" s="508" t="str">
        <f>IFERROR(__xludf.DUMMYFUNCTION("""COMPUTED_VALUE"""),"")</f>
        <v/>
      </c>
      <c r="S499" s="510" t="str">
        <f>IFERROR(__xludf.DUMMYFUNCTION("""COMPUTED_VALUE"""),"")</f>
        <v/>
      </c>
      <c r="T499" s="510" t="str">
        <f>IFERROR(__xludf.DUMMYFUNCTION("""COMPUTED_VALUE"""),"utm_source=facebook&amp;utm_medium=socialmedia&amp;utm_campaign=&amp;utm_content=&amp;referrer=facebook")</f>
        <v>utm_source=facebook&amp;utm_medium=socialmedia&amp;utm_campaign=&amp;utm_content=&amp;referrer=facebook</v>
      </c>
    </row>
    <row r="500">
      <c r="A500" s="508" t="str">
        <f>IFERROR(__xludf.DUMMYFUNCTION("""COMPUTED_VALUE"""),"december")</f>
        <v>december</v>
      </c>
      <c r="B500" s="508">
        <f>IFERROR(__xludf.DUMMYFUNCTION("""COMPUTED_VALUE"""),50.0)</f>
        <v>50</v>
      </c>
      <c r="C500" s="508" t="str">
        <f>IFERROR(__xludf.DUMMYFUNCTION("""COMPUTED_VALUE"""),"dinsdag")</f>
        <v>dinsdag</v>
      </c>
      <c r="D500" s="509">
        <f>IFERROR(__xludf.DUMMYFUNCTION("""COMPUTED_VALUE"""),43809.0)</f>
        <v>43809</v>
      </c>
      <c r="E500" s="509">
        <f>IFERROR(__xludf.DUMMYFUNCTION("""COMPUTED_VALUE"""),43809.0)</f>
        <v>43809</v>
      </c>
      <c r="F500" s="508" t="str">
        <f>IFERROR(__xludf.DUMMYFUNCTION("""COMPUTED_VALUE"""),"")</f>
        <v/>
      </c>
      <c r="G500" s="510" t="str">
        <f>IFERROR(__xludf.DUMMYFUNCTION("""COMPUTED_VALUE"""),"")</f>
        <v/>
      </c>
      <c r="H500" s="508" t="str">
        <f>IFERROR(__xludf.DUMMYFUNCTION("""COMPUTED_VALUE"""),"")</f>
        <v/>
      </c>
      <c r="I500" s="510" t="str">
        <f>IFERROR(__xludf.DUMMYFUNCTION("""COMPUTED_VALUE"""),"")</f>
        <v/>
      </c>
      <c r="J500" s="508" t="str">
        <f>IFERROR(__xludf.DUMMYFUNCTION("""COMPUTED_VALUE"""),"")</f>
        <v/>
      </c>
      <c r="K500" s="510" t="str">
        <f>IFERROR(__xludf.DUMMYFUNCTION("""COMPUTED_VALUE"""),"")</f>
        <v/>
      </c>
      <c r="L500" s="508" t="str">
        <f>IFERROR(__xludf.DUMMYFUNCTION("""COMPUTED_VALUE"""),"")</f>
        <v/>
      </c>
      <c r="M500" s="511">
        <f>IFERROR(__xludf.DUMMYFUNCTION("""COMPUTED_VALUE"""),1.0)</f>
        <v>1</v>
      </c>
      <c r="N500" s="508" t="str">
        <f>IFERROR(__xludf.DUMMYFUNCTION("""COMPUTED_VALUE"""),"")</f>
        <v/>
      </c>
      <c r="O500" s="508" t="str">
        <f>IFERROR(__xludf.DUMMYFUNCTION("""COMPUTED_VALUE"""),"")</f>
        <v/>
      </c>
      <c r="P500" s="510" t="str">
        <f>IFERROR(__xludf.DUMMYFUNCTION("""COMPUTED_VALUE"""),"")</f>
        <v/>
      </c>
      <c r="Q500" s="508" t="str">
        <f>IFERROR(__xludf.DUMMYFUNCTION("""COMPUTED_VALUE"""),"")</f>
        <v/>
      </c>
      <c r="R500" s="508" t="str">
        <f>IFERROR(__xludf.DUMMYFUNCTION("""COMPUTED_VALUE"""),"")</f>
        <v/>
      </c>
      <c r="S500" s="510" t="str">
        <f>IFERROR(__xludf.DUMMYFUNCTION("""COMPUTED_VALUE"""),"")</f>
        <v/>
      </c>
      <c r="T500" s="510" t="str">
        <f>IFERROR(__xludf.DUMMYFUNCTION("""COMPUTED_VALUE"""),"utm_source=facebook&amp;utm_medium=socialmedia&amp;utm_campaign=&amp;utm_content=&amp;referrer=facebook")</f>
        <v>utm_source=facebook&amp;utm_medium=socialmedia&amp;utm_campaign=&amp;utm_content=&amp;referrer=facebook</v>
      </c>
    </row>
    <row r="501">
      <c r="A501" s="508" t="str">
        <f>IFERROR(__xludf.DUMMYFUNCTION("""COMPUTED_VALUE"""),"december")</f>
        <v>december</v>
      </c>
      <c r="B501" s="508">
        <f>IFERROR(__xludf.DUMMYFUNCTION("""COMPUTED_VALUE"""),50.0)</f>
        <v>50</v>
      </c>
      <c r="C501" s="508" t="str">
        <f>IFERROR(__xludf.DUMMYFUNCTION("""COMPUTED_VALUE"""),"woensdag")</f>
        <v>woensdag</v>
      </c>
      <c r="D501" s="509">
        <f>IFERROR(__xludf.DUMMYFUNCTION("""COMPUTED_VALUE"""),43810.0)</f>
        <v>43810</v>
      </c>
      <c r="E501" s="509">
        <f>IFERROR(__xludf.DUMMYFUNCTION("""COMPUTED_VALUE"""),43810.0)</f>
        <v>43810</v>
      </c>
      <c r="F501" s="508" t="str">
        <f>IFERROR(__xludf.DUMMYFUNCTION("""COMPUTED_VALUE"""),"")</f>
        <v/>
      </c>
      <c r="G501" s="510" t="str">
        <f>IFERROR(__xludf.DUMMYFUNCTION("""COMPUTED_VALUE"""),"")</f>
        <v/>
      </c>
      <c r="H501" s="508" t="str">
        <f>IFERROR(__xludf.DUMMYFUNCTION("""COMPUTED_VALUE"""),"")</f>
        <v/>
      </c>
      <c r="I501" s="510" t="str">
        <f>IFERROR(__xludf.DUMMYFUNCTION("""COMPUTED_VALUE"""),"")</f>
        <v/>
      </c>
      <c r="J501" s="508" t="str">
        <f>IFERROR(__xludf.DUMMYFUNCTION("""COMPUTED_VALUE"""),"")</f>
        <v/>
      </c>
      <c r="K501" s="510" t="str">
        <f>IFERROR(__xludf.DUMMYFUNCTION("""COMPUTED_VALUE"""),"")</f>
        <v/>
      </c>
      <c r="L501" s="508" t="str">
        <f>IFERROR(__xludf.DUMMYFUNCTION("""COMPUTED_VALUE"""),"")</f>
        <v/>
      </c>
      <c r="M501" s="511">
        <f>IFERROR(__xludf.DUMMYFUNCTION("""COMPUTED_VALUE"""),1.0)</f>
        <v>1</v>
      </c>
      <c r="N501" s="508" t="str">
        <f>IFERROR(__xludf.DUMMYFUNCTION("""COMPUTED_VALUE"""),"")</f>
        <v/>
      </c>
      <c r="O501" s="508" t="str">
        <f>IFERROR(__xludf.DUMMYFUNCTION("""COMPUTED_VALUE"""),"")</f>
        <v/>
      </c>
      <c r="P501" s="510" t="str">
        <f>IFERROR(__xludf.DUMMYFUNCTION("""COMPUTED_VALUE"""),"")</f>
        <v/>
      </c>
      <c r="Q501" s="508" t="str">
        <f>IFERROR(__xludf.DUMMYFUNCTION("""COMPUTED_VALUE"""),"")</f>
        <v/>
      </c>
      <c r="R501" s="508" t="str">
        <f>IFERROR(__xludf.DUMMYFUNCTION("""COMPUTED_VALUE"""),"")</f>
        <v/>
      </c>
      <c r="S501" s="510" t="str">
        <f>IFERROR(__xludf.DUMMYFUNCTION("""COMPUTED_VALUE"""),"")</f>
        <v/>
      </c>
      <c r="T501" s="510" t="str">
        <f>IFERROR(__xludf.DUMMYFUNCTION("""COMPUTED_VALUE"""),"utm_source=facebook&amp;utm_medium=socialmedia&amp;utm_campaign=&amp;utm_content=&amp;referrer=facebook")</f>
        <v>utm_source=facebook&amp;utm_medium=socialmedia&amp;utm_campaign=&amp;utm_content=&amp;referrer=facebook</v>
      </c>
    </row>
    <row r="502">
      <c r="A502" s="508" t="str">
        <f>IFERROR(__xludf.DUMMYFUNCTION("""COMPUTED_VALUE"""),"december")</f>
        <v>december</v>
      </c>
      <c r="B502" s="508">
        <f>IFERROR(__xludf.DUMMYFUNCTION("""COMPUTED_VALUE"""),50.0)</f>
        <v>50</v>
      </c>
      <c r="C502" s="508" t="str">
        <f>IFERROR(__xludf.DUMMYFUNCTION("""COMPUTED_VALUE"""),"donderdag")</f>
        <v>donderdag</v>
      </c>
      <c r="D502" s="509">
        <f>IFERROR(__xludf.DUMMYFUNCTION("""COMPUTED_VALUE"""),43811.0)</f>
        <v>43811</v>
      </c>
      <c r="E502" s="509">
        <f>IFERROR(__xludf.DUMMYFUNCTION("""COMPUTED_VALUE"""),43811.0)</f>
        <v>43811</v>
      </c>
      <c r="F502" s="508" t="str">
        <f>IFERROR(__xludf.DUMMYFUNCTION("""COMPUTED_VALUE"""),"")</f>
        <v/>
      </c>
      <c r="G502" s="510" t="str">
        <f>IFERROR(__xludf.DUMMYFUNCTION("""COMPUTED_VALUE"""),"")</f>
        <v/>
      </c>
      <c r="H502" s="508" t="str">
        <f>IFERROR(__xludf.DUMMYFUNCTION("""COMPUTED_VALUE"""),"")</f>
        <v/>
      </c>
      <c r="I502" s="510" t="str">
        <f>IFERROR(__xludf.DUMMYFUNCTION("""COMPUTED_VALUE"""),"")</f>
        <v/>
      </c>
      <c r="J502" s="508" t="str">
        <f>IFERROR(__xludf.DUMMYFUNCTION("""COMPUTED_VALUE"""),"")</f>
        <v/>
      </c>
      <c r="K502" s="510" t="str">
        <f>IFERROR(__xludf.DUMMYFUNCTION("""COMPUTED_VALUE"""),"")</f>
        <v/>
      </c>
      <c r="L502" s="508" t="str">
        <f>IFERROR(__xludf.DUMMYFUNCTION("""COMPUTED_VALUE"""),"")</f>
        <v/>
      </c>
      <c r="M502" s="511">
        <f>IFERROR(__xludf.DUMMYFUNCTION("""COMPUTED_VALUE"""),1.0)</f>
        <v>1</v>
      </c>
      <c r="N502" s="508" t="str">
        <f>IFERROR(__xludf.DUMMYFUNCTION("""COMPUTED_VALUE"""),"")</f>
        <v/>
      </c>
      <c r="O502" s="508" t="str">
        <f>IFERROR(__xludf.DUMMYFUNCTION("""COMPUTED_VALUE"""),"")</f>
        <v/>
      </c>
      <c r="P502" s="510" t="str">
        <f>IFERROR(__xludf.DUMMYFUNCTION("""COMPUTED_VALUE"""),"")</f>
        <v/>
      </c>
      <c r="Q502" s="508" t="str">
        <f>IFERROR(__xludf.DUMMYFUNCTION("""COMPUTED_VALUE"""),"")</f>
        <v/>
      </c>
      <c r="R502" s="508" t="str">
        <f>IFERROR(__xludf.DUMMYFUNCTION("""COMPUTED_VALUE"""),"")</f>
        <v/>
      </c>
      <c r="S502" s="510" t="str">
        <f>IFERROR(__xludf.DUMMYFUNCTION("""COMPUTED_VALUE"""),"")</f>
        <v/>
      </c>
      <c r="T502" s="510" t="str">
        <f>IFERROR(__xludf.DUMMYFUNCTION("""COMPUTED_VALUE"""),"utm_source=facebook&amp;utm_medium=socialmedia&amp;utm_campaign=&amp;utm_content=&amp;referrer=facebook")</f>
        <v>utm_source=facebook&amp;utm_medium=socialmedia&amp;utm_campaign=&amp;utm_content=&amp;referrer=facebook</v>
      </c>
    </row>
    <row r="503">
      <c r="A503" s="508" t="str">
        <f>IFERROR(__xludf.DUMMYFUNCTION("""COMPUTED_VALUE"""),"december")</f>
        <v>december</v>
      </c>
      <c r="B503" s="508">
        <f>IFERROR(__xludf.DUMMYFUNCTION("""COMPUTED_VALUE"""),50.0)</f>
        <v>50</v>
      </c>
      <c r="C503" s="508" t="str">
        <f>IFERROR(__xludf.DUMMYFUNCTION("""COMPUTED_VALUE"""),"vrijdag")</f>
        <v>vrijdag</v>
      </c>
      <c r="D503" s="509">
        <f>IFERROR(__xludf.DUMMYFUNCTION("""COMPUTED_VALUE"""),43812.0)</f>
        <v>43812</v>
      </c>
      <c r="E503" s="509">
        <f>IFERROR(__xludf.DUMMYFUNCTION("""COMPUTED_VALUE"""),43812.0)</f>
        <v>43812</v>
      </c>
      <c r="F503" s="508" t="str">
        <f>IFERROR(__xludf.DUMMYFUNCTION("""COMPUTED_VALUE"""),"")</f>
        <v/>
      </c>
      <c r="G503" s="510" t="str">
        <f>IFERROR(__xludf.DUMMYFUNCTION("""COMPUTED_VALUE"""),"")</f>
        <v/>
      </c>
      <c r="H503" s="508" t="str">
        <f>IFERROR(__xludf.DUMMYFUNCTION("""COMPUTED_VALUE"""),"")</f>
        <v/>
      </c>
      <c r="I503" s="510" t="str">
        <f>IFERROR(__xludf.DUMMYFUNCTION("""COMPUTED_VALUE"""),"")</f>
        <v/>
      </c>
      <c r="J503" s="508" t="str">
        <f>IFERROR(__xludf.DUMMYFUNCTION("""COMPUTED_VALUE"""),"")</f>
        <v/>
      </c>
      <c r="K503" s="510" t="str">
        <f>IFERROR(__xludf.DUMMYFUNCTION("""COMPUTED_VALUE"""),"")</f>
        <v/>
      </c>
      <c r="L503" s="508" t="str">
        <f>IFERROR(__xludf.DUMMYFUNCTION("""COMPUTED_VALUE"""),"")</f>
        <v/>
      </c>
      <c r="M503" s="511">
        <f>IFERROR(__xludf.DUMMYFUNCTION("""COMPUTED_VALUE"""),1.0)</f>
        <v>1</v>
      </c>
      <c r="N503" s="508" t="str">
        <f>IFERROR(__xludf.DUMMYFUNCTION("""COMPUTED_VALUE"""),"")</f>
        <v/>
      </c>
      <c r="O503" s="508" t="str">
        <f>IFERROR(__xludf.DUMMYFUNCTION("""COMPUTED_VALUE"""),"")</f>
        <v/>
      </c>
      <c r="P503" s="510" t="str">
        <f>IFERROR(__xludf.DUMMYFUNCTION("""COMPUTED_VALUE"""),"")</f>
        <v/>
      </c>
      <c r="Q503" s="508" t="str">
        <f>IFERROR(__xludf.DUMMYFUNCTION("""COMPUTED_VALUE"""),"")</f>
        <v/>
      </c>
      <c r="R503" s="508" t="str">
        <f>IFERROR(__xludf.DUMMYFUNCTION("""COMPUTED_VALUE"""),"")</f>
        <v/>
      </c>
      <c r="S503" s="510" t="str">
        <f>IFERROR(__xludf.DUMMYFUNCTION("""COMPUTED_VALUE"""),"")</f>
        <v/>
      </c>
      <c r="T503" s="510" t="str">
        <f>IFERROR(__xludf.DUMMYFUNCTION("""COMPUTED_VALUE"""),"utm_source=facebook&amp;utm_medium=socialmedia&amp;utm_campaign=&amp;utm_content=&amp;referrer=facebook")</f>
        <v>utm_source=facebook&amp;utm_medium=socialmedia&amp;utm_campaign=&amp;utm_content=&amp;referrer=facebook</v>
      </c>
    </row>
    <row r="504">
      <c r="A504" s="508" t="str">
        <f>IFERROR(__xludf.DUMMYFUNCTION("""COMPUTED_VALUE"""),"december")</f>
        <v>december</v>
      </c>
      <c r="B504" s="508">
        <f>IFERROR(__xludf.DUMMYFUNCTION("""COMPUTED_VALUE"""),50.0)</f>
        <v>50</v>
      </c>
      <c r="C504" s="508" t="str">
        <f>IFERROR(__xludf.DUMMYFUNCTION("""COMPUTED_VALUE"""),"zaterdag")</f>
        <v>zaterdag</v>
      </c>
      <c r="D504" s="509">
        <f>IFERROR(__xludf.DUMMYFUNCTION("""COMPUTED_VALUE"""),43813.0)</f>
        <v>43813</v>
      </c>
      <c r="E504" s="509">
        <f>IFERROR(__xludf.DUMMYFUNCTION("""COMPUTED_VALUE"""),43813.0)</f>
        <v>43813</v>
      </c>
      <c r="F504" s="508" t="str">
        <f>IFERROR(__xludf.DUMMYFUNCTION("""COMPUTED_VALUE"""),"")</f>
        <v/>
      </c>
      <c r="G504" s="510" t="str">
        <f>IFERROR(__xludf.DUMMYFUNCTION("""COMPUTED_VALUE"""),"")</f>
        <v/>
      </c>
      <c r="H504" s="508" t="str">
        <f>IFERROR(__xludf.DUMMYFUNCTION("""COMPUTED_VALUE"""),"")</f>
        <v/>
      </c>
      <c r="I504" s="510" t="str">
        <f>IFERROR(__xludf.DUMMYFUNCTION("""COMPUTED_VALUE"""),"")</f>
        <v/>
      </c>
      <c r="J504" s="508" t="str">
        <f>IFERROR(__xludf.DUMMYFUNCTION("""COMPUTED_VALUE"""),"")</f>
        <v/>
      </c>
      <c r="K504" s="510" t="str">
        <f>IFERROR(__xludf.DUMMYFUNCTION("""COMPUTED_VALUE"""),"")</f>
        <v/>
      </c>
      <c r="L504" s="508" t="str">
        <f>IFERROR(__xludf.DUMMYFUNCTION("""COMPUTED_VALUE"""),"")</f>
        <v/>
      </c>
      <c r="M504" s="511">
        <f>IFERROR(__xludf.DUMMYFUNCTION("""COMPUTED_VALUE"""),1.0)</f>
        <v>1</v>
      </c>
      <c r="N504" s="508" t="str">
        <f>IFERROR(__xludf.DUMMYFUNCTION("""COMPUTED_VALUE"""),"")</f>
        <v/>
      </c>
      <c r="O504" s="508" t="str">
        <f>IFERROR(__xludf.DUMMYFUNCTION("""COMPUTED_VALUE"""),"")</f>
        <v/>
      </c>
      <c r="P504" s="510" t="str">
        <f>IFERROR(__xludf.DUMMYFUNCTION("""COMPUTED_VALUE"""),"")</f>
        <v/>
      </c>
      <c r="Q504" s="508" t="str">
        <f>IFERROR(__xludf.DUMMYFUNCTION("""COMPUTED_VALUE"""),"")</f>
        <v/>
      </c>
      <c r="R504" s="508" t="str">
        <f>IFERROR(__xludf.DUMMYFUNCTION("""COMPUTED_VALUE"""),"")</f>
        <v/>
      </c>
      <c r="S504" s="510" t="str">
        <f>IFERROR(__xludf.DUMMYFUNCTION("""COMPUTED_VALUE"""),"")</f>
        <v/>
      </c>
      <c r="T504" s="510" t="str">
        <f>IFERROR(__xludf.DUMMYFUNCTION("""COMPUTED_VALUE"""),"utm_source=facebook&amp;utm_medium=socialmedia&amp;utm_campaign=&amp;utm_content=&amp;referrer=facebook")</f>
        <v>utm_source=facebook&amp;utm_medium=socialmedia&amp;utm_campaign=&amp;utm_content=&amp;referrer=facebook</v>
      </c>
    </row>
    <row r="505">
      <c r="A505" s="508" t="str">
        <f>IFERROR(__xludf.DUMMYFUNCTION("""COMPUTED_VALUE"""),"december")</f>
        <v>december</v>
      </c>
      <c r="B505" s="508">
        <f>IFERROR(__xludf.DUMMYFUNCTION("""COMPUTED_VALUE"""),51.0)</f>
        <v>51</v>
      </c>
      <c r="C505" s="508" t="str">
        <f>IFERROR(__xludf.DUMMYFUNCTION("""COMPUTED_VALUE"""),"zondag")</f>
        <v>zondag</v>
      </c>
      <c r="D505" s="509">
        <f>IFERROR(__xludf.DUMMYFUNCTION("""COMPUTED_VALUE"""),43814.0)</f>
        <v>43814</v>
      </c>
      <c r="E505" s="509">
        <f>IFERROR(__xludf.DUMMYFUNCTION("""COMPUTED_VALUE"""),43814.0)</f>
        <v>43814</v>
      </c>
      <c r="F505" s="508" t="str">
        <f>IFERROR(__xludf.DUMMYFUNCTION("""COMPUTED_VALUE"""),"")</f>
        <v/>
      </c>
      <c r="G505" s="510" t="str">
        <f>IFERROR(__xludf.DUMMYFUNCTION("""COMPUTED_VALUE"""),"")</f>
        <v/>
      </c>
      <c r="H505" s="508" t="str">
        <f>IFERROR(__xludf.DUMMYFUNCTION("""COMPUTED_VALUE"""),"")</f>
        <v/>
      </c>
      <c r="I505" s="510" t="str">
        <f>IFERROR(__xludf.DUMMYFUNCTION("""COMPUTED_VALUE"""),"")</f>
        <v/>
      </c>
      <c r="J505" s="508" t="str">
        <f>IFERROR(__xludf.DUMMYFUNCTION("""COMPUTED_VALUE"""),"")</f>
        <v/>
      </c>
      <c r="K505" s="510" t="str">
        <f>IFERROR(__xludf.DUMMYFUNCTION("""COMPUTED_VALUE"""),"")</f>
        <v/>
      </c>
      <c r="L505" s="508" t="str">
        <f>IFERROR(__xludf.DUMMYFUNCTION("""COMPUTED_VALUE"""),"")</f>
        <v/>
      </c>
      <c r="M505" s="511">
        <f>IFERROR(__xludf.DUMMYFUNCTION("""COMPUTED_VALUE"""),1.0)</f>
        <v>1</v>
      </c>
      <c r="N505" s="508" t="str">
        <f>IFERROR(__xludf.DUMMYFUNCTION("""COMPUTED_VALUE"""),"")</f>
        <v/>
      </c>
      <c r="O505" s="508" t="str">
        <f>IFERROR(__xludf.DUMMYFUNCTION("""COMPUTED_VALUE"""),"")</f>
        <v/>
      </c>
      <c r="P505" s="510" t="str">
        <f>IFERROR(__xludf.DUMMYFUNCTION("""COMPUTED_VALUE"""),"")</f>
        <v/>
      </c>
      <c r="Q505" s="508" t="str">
        <f>IFERROR(__xludf.DUMMYFUNCTION("""COMPUTED_VALUE"""),"")</f>
        <v/>
      </c>
      <c r="R505" s="508" t="str">
        <f>IFERROR(__xludf.DUMMYFUNCTION("""COMPUTED_VALUE"""),"")</f>
        <v/>
      </c>
      <c r="S505" s="510" t="str">
        <f>IFERROR(__xludf.DUMMYFUNCTION("""COMPUTED_VALUE"""),"")</f>
        <v/>
      </c>
      <c r="T505" s="510" t="str">
        <f>IFERROR(__xludf.DUMMYFUNCTION("""COMPUTED_VALUE"""),"utm_source=facebook&amp;utm_medium=socialmedia&amp;utm_campaign=&amp;utm_content=&amp;referrer=facebook")</f>
        <v>utm_source=facebook&amp;utm_medium=socialmedia&amp;utm_campaign=&amp;utm_content=&amp;referrer=facebook</v>
      </c>
    </row>
    <row r="506">
      <c r="A506" s="508" t="str">
        <f>IFERROR(__xludf.DUMMYFUNCTION("""COMPUTED_VALUE"""),"december")</f>
        <v>december</v>
      </c>
      <c r="B506" s="508">
        <f>IFERROR(__xludf.DUMMYFUNCTION("""COMPUTED_VALUE"""),51.0)</f>
        <v>51</v>
      </c>
      <c r="C506" s="508" t="str">
        <f>IFERROR(__xludf.DUMMYFUNCTION("""COMPUTED_VALUE"""),"maandag")</f>
        <v>maandag</v>
      </c>
      <c r="D506" s="509">
        <f>IFERROR(__xludf.DUMMYFUNCTION("""COMPUTED_VALUE"""),43815.0)</f>
        <v>43815</v>
      </c>
      <c r="E506" s="509">
        <f>IFERROR(__xludf.DUMMYFUNCTION("""COMPUTED_VALUE"""),43815.0)</f>
        <v>43815</v>
      </c>
      <c r="F506" s="508" t="str">
        <f>IFERROR(__xludf.DUMMYFUNCTION("""COMPUTED_VALUE"""),"")</f>
        <v/>
      </c>
      <c r="G506" s="510" t="str">
        <f>IFERROR(__xludf.DUMMYFUNCTION("""COMPUTED_VALUE"""),"")</f>
        <v/>
      </c>
      <c r="H506" s="508" t="str">
        <f>IFERROR(__xludf.DUMMYFUNCTION("""COMPUTED_VALUE"""),"")</f>
        <v/>
      </c>
      <c r="I506" s="510" t="str">
        <f>IFERROR(__xludf.DUMMYFUNCTION("""COMPUTED_VALUE"""),"")</f>
        <v/>
      </c>
      <c r="J506" s="508" t="str">
        <f>IFERROR(__xludf.DUMMYFUNCTION("""COMPUTED_VALUE"""),"")</f>
        <v/>
      </c>
      <c r="K506" s="510" t="str">
        <f>IFERROR(__xludf.DUMMYFUNCTION("""COMPUTED_VALUE"""),"")</f>
        <v/>
      </c>
      <c r="L506" s="508" t="str">
        <f>IFERROR(__xludf.DUMMYFUNCTION("""COMPUTED_VALUE"""),"")</f>
        <v/>
      </c>
      <c r="M506" s="511">
        <f>IFERROR(__xludf.DUMMYFUNCTION("""COMPUTED_VALUE"""),1.0)</f>
        <v>1</v>
      </c>
      <c r="N506" s="508" t="str">
        <f>IFERROR(__xludf.DUMMYFUNCTION("""COMPUTED_VALUE"""),"")</f>
        <v/>
      </c>
      <c r="O506" s="508" t="str">
        <f>IFERROR(__xludf.DUMMYFUNCTION("""COMPUTED_VALUE"""),"")</f>
        <v/>
      </c>
      <c r="P506" s="510" t="str">
        <f>IFERROR(__xludf.DUMMYFUNCTION("""COMPUTED_VALUE"""),"")</f>
        <v/>
      </c>
      <c r="Q506" s="508" t="str">
        <f>IFERROR(__xludf.DUMMYFUNCTION("""COMPUTED_VALUE"""),"")</f>
        <v/>
      </c>
      <c r="R506" s="508" t="str">
        <f>IFERROR(__xludf.DUMMYFUNCTION("""COMPUTED_VALUE"""),"")</f>
        <v/>
      </c>
      <c r="S506" s="510" t="str">
        <f>IFERROR(__xludf.DUMMYFUNCTION("""COMPUTED_VALUE"""),"")</f>
        <v/>
      </c>
      <c r="T506" s="510" t="str">
        <f>IFERROR(__xludf.DUMMYFUNCTION("""COMPUTED_VALUE"""),"utm_source=facebook&amp;utm_medium=socialmedia&amp;utm_campaign=&amp;utm_content=&amp;referrer=facebook")</f>
        <v>utm_source=facebook&amp;utm_medium=socialmedia&amp;utm_campaign=&amp;utm_content=&amp;referrer=facebook</v>
      </c>
    </row>
    <row r="507">
      <c r="A507" s="508" t="str">
        <f>IFERROR(__xludf.DUMMYFUNCTION("""COMPUTED_VALUE"""),"december")</f>
        <v>december</v>
      </c>
      <c r="B507" s="508">
        <f>IFERROR(__xludf.DUMMYFUNCTION("""COMPUTED_VALUE"""),51.0)</f>
        <v>51</v>
      </c>
      <c r="C507" s="508" t="str">
        <f>IFERROR(__xludf.DUMMYFUNCTION("""COMPUTED_VALUE"""),"dinsdag")</f>
        <v>dinsdag</v>
      </c>
      <c r="D507" s="509">
        <f>IFERROR(__xludf.DUMMYFUNCTION("""COMPUTED_VALUE"""),43816.0)</f>
        <v>43816</v>
      </c>
      <c r="E507" s="509">
        <f>IFERROR(__xludf.DUMMYFUNCTION("""COMPUTED_VALUE"""),43816.0)</f>
        <v>43816</v>
      </c>
      <c r="F507" s="508" t="str">
        <f>IFERROR(__xludf.DUMMYFUNCTION("""COMPUTED_VALUE"""),"")</f>
        <v/>
      </c>
      <c r="G507" s="510" t="str">
        <f>IFERROR(__xludf.DUMMYFUNCTION("""COMPUTED_VALUE"""),"")</f>
        <v/>
      </c>
      <c r="H507" s="508" t="str">
        <f>IFERROR(__xludf.DUMMYFUNCTION("""COMPUTED_VALUE"""),"")</f>
        <v/>
      </c>
      <c r="I507" s="510" t="str">
        <f>IFERROR(__xludf.DUMMYFUNCTION("""COMPUTED_VALUE"""),"")</f>
        <v/>
      </c>
      <c r="J507" s="508" t="str">
        <f>IFERROR(__xludf.DUMMYFUNCTION("""COMPUTED_VALUE"""),"")</f>
        <v/>
      </c>
      <c r="K507" s="510" t="str">
        <f>IFERROR(__xludf.DUMMYFUNCTION("""COMPUTED_VALUE"""),"")</f>
        <v/>
      </c>
      <c r="L507" s="508" t="str">
        <f>IFERROR(__xludf.DUMMYFUNCTION("""COMPUTED_VALUE"""),"")</f>
        <v/>
      </c>
      <c r="M507" s="511">
        <f>IFERROR(__xludf.DUMMYFUNCTION("""COMPUTED_VALUE"""),1.0)</f>
        <v>1</v>
      </c>
      <c r="N507" s="508" t="str">
        <f>IFERROR(__xludf.DUMMYFUNCTION("""COMPUTED_VALUE"""),"")</f>
        <v/>
      </c>
      <c r="O507" s="508" t="str">
        <f>IFERROR(__xludf.DUMMYFUNCTION("""COMPUTED_VALUE"""),"")</f>
        <v/>
      </c>
      <c r="P507" s="510" t="str">
        <f>IFERROR(__xludf.DUMMYFUNCTION("""COMPUTED_VALUE"""),"")</f>
        <v/>
      </c>
      <c r="Q507" s="508" t="str">
        <f>IFERROR(__xludf.DUMMYFUNCTION("""COMPUTED_VALUE"""),"")</f>
        <v/>
      </c>
      <c r="R507" s="508" t="str">
        <f>IFERROR(__xludf.DUMMYFUNCTION("""COMPUTED_VALUE"""),"")</f>
        <v/>
      </c>
      <c r="S507" s="510" t="str">
        <f>IFERROR(__xludf.DUMMYFUNCTION("""COMPUTED_VALUE"""),"")</f>
        <v/>
      </c>
      <c r="T507" s="510" t="str">
        <f>IFERROR(__xludf.DUMMYFUNCTION("""COMPUTED_VALUE"""),"utm_source=facebook&amp;utm_medium=socialmedia&amp;utm_campaign=&amp;utm_content=&amp;referrer=facebook")</f>
        <v>utm_source=facebook&amp;utm_medium=socialmedia&amp;utm_campaign=&amp;utm_content=&amp;referrer=facebook</v>
      </c>
    </row>
    <row r="508">
      <c r="A508" s="508" t="str">
        <f>IFERROR(__xludf.DUMMYFUNCTION("""COMPUTED_VALUE"""),"december")</f>
        <v>december</v>
      </c>
      <c r="B508" s="508">
        <f>IFERROR(__xludf.DUMMYFUNCTION("""COMPUTED_VALUE"""),51.0)</f>
        <v>51</v>
      </c>
      <c r="C508" s="508" t="str">
        <f>IFERROR(__xludf.DUMMYFUNCTION("""COMPUTED_VALUE"""),"woensdag")</f>
        <v>woensdag</v>
      </c>
      <c r="D508" s="509">
        <f>IFERROR(__xludf.DUMMYFUNCTION("""COMPUTED_VALUE"""),43817.0)</f>
        <v>43817</v>
      </c>
      <c r="E508" s="509">
        <f>IFERROR(__xludf.DUMMYFUNCTION("""COMPUTED_VALUE"""),43817.0)</f>
        <v>43817</v>
      </c>
      <c r="F508" s="508" t="str">
        <f>IFERROR(__xludf.DUMMYFUNCTION("""COMPUTED_VALUE"""),"")</f>
        <v/>
      </c>
      <c r="G508" s="510" t="str">
        <f>IFERROR(__xludf.DUMMYFUNCTION("""COMPUTED_VALUE"""),"")</f>
        <v/>
      </c>
      <c r="H508" s="508" t="str">
        <f>IFERROR(__xludf.DUMMYFUNCTION("""COMPUTED_VALUE"""),"")</f>
        <v/>
      </c>
      <c r="I508" s="510" t="str">
        <f>IFERROR(__xludf.DUMMYFUNCTION("""COMPUTED_VALUE"""),"")</f>
        <v/>
      </c>
      <c r="J508" s="508" t="str">
        <f>IFERROR(__xludf.DUMMYFUNCTION("""COMPUTED_VALUE"""),"")</f>
        <v/>
      </c>
      <c r="K508" s="510" t="str">
        <f>IFERROR(__xludf.DUMMYFUNCTION("""COMPUTED_VALUE"""),"")</f>
        <v/>
      </c>
      <c r="L508" s="508" t="str">
        <f>IFERROR(__xludf.DUMMYFUNCTION("""COMPUTED_VALUE"""),"")</f>
        <v/>
      </c>
      <c r="M508" s="511">
        <f>IFERROR(__xludf.DUMMYFUNCTION("""COMPUTED_VALUE"""),1.0)</f>
        <v>1</v>
      </c>
      <c r="N508" s="508" t="str">
        <f>IFERROR(__xludf.DUMMYFUNCTION("""COMPUTED_VALUE"""),"")</f>
        <v/>
      </c>
      <c r="O508" s="508" t="str">
        <f>IFERROR(__xludf.DUMMYFUNCTION("""COMPUTED_VALUE"""),"")</f>
        <v/>
      </c>
      <c r="P508" s="510" t="str">
        <f>IFERROR(__xludf.DUMMYFUNCTION("""COMPUTED_VALUE"""),"")</f>
        <v/>
      </c>
      <c r="Q508" s="508" t="str">
        <f>IFERROR(__xludf.DUMMYFUNCTION("""COMPUTED_VALUE"""),"")</f>
        <v/>
      </c>
      <c r="R508" s="508" t="str">
        <f>IFERROR(__xludf.DUMMYFUNCTION("""COMPUTED_VALUE"""),"")</f>
        <v/>
      </c>
      <c r="S508" s="510" t="str">
        <f>IFERROR(__xludf.DUMMYFUNCTION("""COMPUTED_VALUE"""),"")</f>
        <v/>
      </c>
      <c r="T508" s="510" t="str">
        <f>IFERROR(__xludf.DUMMYFUNCTION("""COMPUTED_VALUE"""),"utm_source=facebook&amp;utm_medium=socialmedia&amp;utm_campaign=&amp;utm_content=&amp;referrer=facebook")</f>
        <v>utm_source=facebook&amp;utm_medium=socialmedia&amp;utm_campaign=&amp;utm_content=&amp;referrer=facebook</v>
      </c>
    </row>
    <row r="509">
      <c r="A509" s="508" t="str">
        <f>IFERROR(__xludf.DUMMYFUNCTION("""COMPUTED_VALUE"""),"december")</f>
        <v>december</v>
      </c>
      <c r="B509" s="508">
        <f>IFERROR(__xludf.DUMMYFUNCTION("""COMPUTED_VALUE"""),51.0)</f>
        <v>51</v>
      </c>
      <c r="C509" s="508" t="str">
        <f>IFERROR(__xludf.DUMMYFUNCTION("""COMPUTED_VALUE"""),"donderdag")</f>
        <v>donderdag</v>
      </c>
      <c r="D509" s="509">
        <f>IFERROR(__xludf.DUMMYFUNCTION("""COMPUTED_VALUE"""),43818.0)</f>
        <v>43818</v>
      </c>
      <c r="E509" s="509">
        <f>IFERROR(__xludf.DUMMYFUNCTION("""COMPUTED_VALUE"""),43818.0)</f>
        <v>43818</v>
      </c>
      <c r="F509" s="508" t="str">
        <f>IFERROR(__xludf.DUMMYFUNCTION("""COMPUTED_VALUE"""),"")</f>
        <v/>
      </c>
      <c r="G509" s="510" t="str">
        <f>IFERROR(__xludf.DUMMYFUNCTION("""COMPUTED_VALUE"""),"")</f>
        <v/>
      </c>
      <c r="H509" s="508" t="str">
        <f>IFERROR(__xludf.DUMMYFUNCTION("""COMPUTED_VALUE"""),"")</f>
        <v/>
      </c>
      <c r="I509" s="510" t="str">
        <f>IFERROR(__xludf.DUMMYFUNCTION("""COMPUTED_VALUE"""),"")</f>
        <v/>
      </c>
      <c r="J509" s="508" t="str">
        <f>IFERROR(__xludf.DUMMYFUNCTION("""COMPUTED_VALUE"""),"")</f>
        <v/>
      </c>
      <c r="K509" s="510" t="str">
        <f>IFERROR(__xludf.DUMMYFUNCTION("""COMPUTED_VALUE"""),"")</f>
        <v/>
      </c>
      <c r="L509" s="508" t="str">
        <f>IFERROR(__xludf.DUMMYFUNCTION("""COMPUTED_VALUE"""),"")</f>
        <v/>
      </c>
      <c r="M509" s="511">
        <f>IFERROR(__xludf.DUMMYFUNCTION("""COMPUTED_VALUE"""),1.0)</f>
        <v>1</v>
      </c>
      <c r="N509" s="508" t="str">
        <f>IFERROR(__xludf.DUMMYFUNCTION("""COMPUTED_VALUE"""),"")</f>
        <v/>
      </c>
      <c r="O509" s="508" t="str">
        <f>IFERROR(__xludf.DUMMYFUNCTION("""COMPUTED_VALUE"""),"")</f>
        <v/>
      </c>
      <c r="P509" s="510" t="str">
        <f>IFERROR(__xludf.DUMMYFUNCTION("""COMPUTED_VALUE"""),"")</f>
        <v/>
      </c>
      <c r="Q509" s="508" t="str">
        <f>IFERROR(__xludf.DUMMYFUNCTION("""COMPUTED_VALUE"""),"")</f>
        <v/>
      </c>
      <c r="R509" s="508" t="str">
        <f>IFERROR(__xludf.DUMMYFUNCTION("""COMPUTED_VALUE"""),"")</f>
        <v/>
      </c>
      <c r="S509" s="510" t="str">
        <f>IFERROR(__xludf.DUMMYFUNCTION("""COMPUTED_VALUE"""),"")</f>
        <v/>
      </c>
      <c r="T509" s="510" t="str">
        <f>IFERROR(__xludf.DUMMYFUNCTION("""COMPUTED_VALUE"""),"utm_source=facebook&amp;utm_medium=socialmedia&amp;utm_campaign=&amp;utm_content=&amp;referrer=facebook")</f>
        <v>utm_source=facebook&amp;utm_medium=socialmedia&amp;utm_campaign=&amp;utm_content=&amp;referrer=facebook</v>
      </c>
    </row>
    <row r="510">
      <c r="A510" s="508" t="str">
        <f>IFERROR(__xludf.DUMMYFUNCTION("""COMPUTED_VALUE"""),"december")</f>
        <v>december</v>
      </c>
      <c r="B510" s="508">
        <f>IFERROR(__xludf.DUMMYFUNCTION("""COMPUTED_VALUE"""),51.0)</f>
        <v>51</v>
      </c>
      <c r="C510" s="508" t="str">
        <f>IFERROR(__xludf.DUMMYFUNCTION("""COMPUTED_VALUE"""),"vrijdag")</f>
        <v>vrijdag</v>
      </c>
      <c r="D510" s="509">
        <f>IFERROR(__xludf.DUMMYFUNCTION("""COMPUTED_VALUE"""),43819.0)</f>
        <v>43819</v>
      </c>
      <c r="E510" s="509">
        <f>IFERROR(__xludf.DUMMYFUNCTION("""COMPUTED_VALUE"""),43819.0)</f>
        <v>43819</v>
      </c>
      <c r="F510" s="508" t="str">
        <f>IFERROR(__xludf.DUMMYFUNCTION("""COMPUTED_VALUE"""),"")</f>
        <v/>
      </c>
      <c r="G510" s="510" t="str">
        <f>IFERROR(__xludf.DUMMYFUNCTION("""COMPUTED_VALUE"""),"")</f>
        <v/>
      </c>
      <c r="H510" s="508" t="str">
        <f>IFERROR(__xludf.DUMMYFUNCTION("""COMPUTED_VALUE"""),"")</f>
        <v/>
      </c>
      <c r="I510" s="510" t="str">
        <f>IFERROR(__xludf.DUMMYFUNCTION("""COMPUTED_VALUE"""),"")</f>
        <v/>
      </c>
      <c r="J510" s="508" t="str">
        <f>IFERROR(__xludf.DUMMYFUNCTION("""COMPUTED_VALUE"""),"")</f>
        <v/>
      </c>
      <c r="K510" s="510" t="str">
        <f>IFERROR(__xludf.DUMMYFUNCTION("""COMPUTED_VALUE"""),"")</f>
        <v/>
      </c>
      <c r="L510" s="508" t="str">
        <f>IFERROR(__xludf.DUMMYFUNCTION("""COMPUTED_VALUE"""),"")</f>
        <v/>
      </c>
      <c r="M510" s="511">
        <f>IFERROR(__xludf.DUMMYFUNCTION("""COMPUTED_VALUE"""),1.0)</f>
        <v>1</v>
      </c>
      <c r="N510" s="508" t="str">
        <f>IFERROR(__xludf.DUMMYFUNCTION("""COMPUTED_VALUE"""),"")</f>
        <v/>
      </c>
      <c r="O510" s="508" t="str">
        <f>IFERROR(__xludf.DUMMYFUNCTION("""COMPUTED_VALUE"""),"")</f>
        <v/>
      </c>
      <c r="P510" s="510" t="str">
        <f>IFERROR(__xludf.DUMMYFUNCTION("""COMPUTED_VALUE"""),"")</f>
        <v/>
      </c>
      <c r="Q510" s="508" t="str">
        <f>IFERROR(__xludf.DUMMYFUNCTION("""COMPUTED_VALUE"""),"")</f>
        <v/>
      </c>
      <c r="R510" s="508" t="str">
        <f>IFERROR(__xludf.DUMMYFUNCTION("""COMPUTED_VALUE"""),"")</f>
        <v/>
      </c>
      <c r="S510" s="510" t="str">
        <f>IFERROR(__xludf.DUMMYFUNCTION("""COMPUTED_VALUE"""),"")</f>
        <v/>
      </c>
      <c r="T510" s="510" t="str">
        <f>IFERROR(__xludf.DUMMYFUNCTION("""COMPUTED_VALUE"""),"utm_source=facebook&amp;utm_medium=socialmedia&amp;utm_campaign=&amp;utm_content=&amp;referrer=facebook")</f>
        <v>utm_source=facebook&amp;utm_medium=socialmedia&amp;utm_campaign=&amp;utm_content=&amp;referrer=facebook</v>
      </c>
    </row>
    <row r="511">
      <c r="A511" s="508" t="str">
        <f>IFERROR(__xludf.DUMMYFUNCTION("""COMPUTED_VALUE"""),"december")</f>
        <v>december</v>
      </c>
      <c r="B511" s="508">
        <f>IFERROR(__xludf.DUMMYFUNCTION("""COMPUTED_VALUE"""),51.0)</f>
        <v>51</v>
      </c>
      <c r="C511" s="508" t="str">
        <f>IFERROR(__xludf.DUMMYFUNCTION("""COMPUTED_VALUE"""),"zaterdag")</f>
        <v>zaterdag</v>
      </c>
      <c r="D511" s="509">
        <f>IFERROR(__xludf.DUMMYFUNCTION("""COMPUTED_VALUE"""),43820.0)</f>
        <v>43820</v>
      </c>
      <c r="E511" s="509">
        <f>IFERROR(__xludf.DUMMYFUNCTION("""COMPUTED_VALUE"""),43820.0)</f>
        <v>43820</v>
      </c>
      <c r="F511" s="508" t="str">
        <f>IFERROR(__xludf.DUMMYFUNCTION("""COMPUTED_VALUE"""),"")</f>
        <v/>
      </c>
      <c r="G511" s="510" t="str">
        <f>IFERROR(__xludf.DUMMYFUNCTION("""COMPUTED_VALUE"""),"")</f>
        <v/>
      </c>
      <c r="H511" s="508" t="str">
        <f>IFERROR(__xludf.DUMMYFUNCTION("""COMPUTED_VALUE"""),"")</f>
        <v/>
      </c>
      <c r="I511" s="510" t="str">
        <f>IFERROR(__xludf.DUMMYFUNCTION("""COMPUTED_VALUE"""),"")</f>
        <v/>
      </c>
      <c r="J511" s="508" t="str">
        <f>IFERROR(__xludf.DUMMYFUNCTION("""COMPUTED_VALUE"""),"")</f>
        <v/>
      </c>
      <c r="K511" s="510" t="str">
        <f>IFERROR(__xludf.DUMMYFUNCTION("""COMPUTED_VALUE"""),"")</f>
        <v/>
      </c>
      <c r="L511" s="508" t="str">
        <f>IFERROR(__xludf.DUMMYFUNCTION("""COMPUTED_VALUE"""),"")</f>
        <v/>
      </c>
      <c r="M511" s="511">
        <f>IFERROR(__xludf.DUMMYFUNCTION("""COMPUTED_VALUE"""),1.0)</f>
        <v>1</v>
      </c>
      <c r="N511" s="508" t="str">
        <f>IFERROR(__xludf.DUMMYFUNCTION("""COMPUTED_VALUE"""),"")</f>
        <v/>
      </c>
      <c r="O511" s="508" t="str">
        <f>IFERROR(__xludf.DUMMYFUNCTION("""COMPUTED_VALUE"""),"")</f>
        <v/>
      </c>
      <c r="P511" s="510" t="str">
        <f>IFERROR(__xludf.DUMMYFUNCTION("""COMPUTED_VALUE"""),"")</f>
        <v/>
      </c>
      <c r="Q511" s="508" t="str">
        <f>IFERROR(__xludf.DUMMYFUNCTION("""COMPUTED_VALUE"""),"")</f>
        <v/>
      </c>
      <c r="R511" s="508" t="str">
        <f>IFERROR(__xludf.DUMMYFUNCTION("""COMPUTED_VALUE"""),"")</f>
        <v/>
      </c>
      <c r="S511" s="510" t="str">
        <f>IFERROR(__xludf.DUMMYFUNCTION("""COMPUTED_VALUE"""),"")</f>
        <v/>
      </c>
      <c r="T511" s="510" t="str">
        <f>IFERROR(__xludf.DUMMYFUNCTION("""COMPUTED_VALUE"""),"utm_source=facebook&amp;utm_medium=socialmedia&amp;utm_campaign=&amp;utm_content=&amp;referrer=facebook")</f>
        <v>utm_source=facebook&amp;utm_medium=socialmedia&amp;utm_campaign=&amp;utm_content=&amp;referrer=facebook</v>
      </c>
    </row>
    <row r="512">
      <c r="A512" s="508" t="str">
        <f>IFERROR(__xludf.DUMMYFUNCTION("""COMPUTED_VALUE"""),"december")</f>
        <v>december</v>
      </c>
      <c r="B512" s="508">
        <f>IFERROR(__xludf.DUMMYFUNCTION("""COMPUTED_VALUE"""),52.0)</f>
        <v>52</v>
      </c>
      <c r="C512" s="508" t="str">
        <f>IFERROR(__xludf.DUMMYFUNCTION("""COMPUTED_VALUE"""),"zondag")</f>
        <v>zondag</v>
      </c>
      <c r="D512" s="509">
        <f>IFERROR(__xludf.DUMMYFUNCTION("""COMPUTED_VALUE"""),43821.0)</f>
        <v>43821</v>
      </c>
      <c r="E512" s="509">
        <f>IFERROR(__xludf.DUMMYFUNCTION("""COMPUTED_VALUE"""),43821.0)</f>
        <v>43821</v>
      </c>
      <c r="F512" s="508" t="str">
        <f>IFERROR(__xludf.DUMMYFUNCTION("""COMPUTED_VALUE"""),"")</f>
        <v/>
      </c>
      <c r="G512" s="510" t="str">
        <f>IFERROR(__xludf.DUMMYFUNCTION("""COMPUTED_VALUE"""),"")</f>
        <v/>
      </c>
      <c r="H512" s="508" t="str">
        <f>IFERROR(__xludf.DUMMYFUNCTION("""COMPUTED_VALUE"""),"")</f>
        <v/>
      </c>
      <c r="I512" s="510" t="str">
        <f>IFERROR(__xludf.DUMMYFUNCTION("""COMPUTED_VALUE"""),"")</f>
        <v/>
      </c>
      <c r="J512" s="508" t="str">
        <f>IFERROR(__xludf.DUMMYFUNCTION("""COMPUTED_VALUE"""),"")</f>
        <v/>
      </c>
      <c r="K512" s="510" t="str">
        <f>IFERROR(__xludf.DUMMYFUNCTION("""COMPUTED_VALUE"""),"")</f>
        <v/>
      </c>
      <c r="L512" s="508" t="str">
        <f>IFERROR(__xludf.DUMMYFUNCTION("""COMPUTED_VALUE"""),"")</f>
        <v/>
      </c>
      <c r="M512" s="511">
        <f>IFERROR(__xludf.DUMMYFUNCTION("""COMPUTED_VALUE"""),1.0)</f>
        <v>1</v>
      </c>
      <c r="N512" s="508" t="str">
        <f>IFERROR(__xludf.DUMMYFUNCTION("""COMPUTED_VALUE"""),"")</f>
        <v/>
      </c>
      <c r="O512" s="508" t="str">
        <f>IFERROR(__xludf.DUMMYFUNCTION("""COMPUTED_VALUE"""),"")</f>
        <v/>
      </c>
      <c r="P512" s="510" t="str">
        <f>IFERROR(__xludf.DUMMYFUNCTION("""COMPUTED_VALUE"""),"")</f>
        <v/>
      </c>
      <c r="Q512" s="508" t="str">
        <f>IFERROR(__xludf.DUMMYFUNCTION("""COMPUTED_VALUE"""),"")</f>
        <v/>
      </c>
      <c r="R512" s="508" t="str">
        <f>IFERROR(__xludf.DUMMYFUNCTION("""COMPUTED_VALUE"""),"")</f>
        <v/>
      </c>
      <c r="S512" s="510" t="str">
        <f>IFERROR(__xludf.DUMMYFUNCTION("""COMPUTED_VALUE"""),"")</f>
        <v/>
      </c>
      <c r="T512" s="510" t="str">
        <f>IFERROR(__xludf.DUMMYFUNCTION("""COMPUTED_VALUE"""),"utm_source=facebook&amp;utm_medium=socialmedia&amp;utm_campaign=&amp;utm_content=&amp;referrer=facebook")</f>
        <v>utm_source=facebook&amp;utm_medium=socialmedia&amp;utm_campaign=&amp;utm_content=&amp;referrer=facebook</v>
      </c>
    </row>
    <row r="513">
      <c r="A513" s="508" t="str">
        <f>IFERROR(__xludf.DUMMYFUNCTION("""COMPUTED_VALUE"""),"december")</f>
        <v>december</v>
      </c>
      <c r="B513" s="508">
        <f>IFERROR(__xludf.DUMMYFUNCTION("""COMPUTED_VALUE"""),52.0)</f>
        <v>52</v>
      </c>
      <c r="C513" s="508" t="str">
        <f>IFERROR(__xludf.DUMMYFUNCTION("""COMPUTED_VALUE"""),"maandag")</f>
        <v>maandag</v>
      </c>
      <c r="D513" s="509">
        <f>IFERROR(__xludf.DUMMYFUNCTION("""COMPUTED_VALUE"""),43822.0)</f>
        <v>43822</v>
      </c>
      <c r="E513" s="509">
        <f>IFERROR(__xludf.DUMMYFUNCTION("""COMPUTED_VALUE"""),43822.0)</f>
        <v>43822</v>
      </c>
      <c r="F513" s="508" t="str">
        <f>IFERROR(__xludf.DUMMYFUNCTION("""COMPUTED_VALUE"""),"")</f>
        <v/>
      </c>
      <c r="G513" s="510" t="str">
        <f>IFERROR(__xludf.DUMMYFUNCTION("""COMPUTED_VALUE"""),"")</f>
        <v/>
      </c>
      <c r="H513" s="508" t="str">
        <f>IFERROR(__xludf.DUMMYFUNCTION("""COMPUTED_VALUE"""),"")</f>
        <v/>
      </c>
      <c r="I513" s="510" t="str">
        <f>IFERROR(__xludf.DUMMYFUNCTION("""COMPUTED_VALUE"""),"")</f>
        <v/>
      </c>
      <c r="J513" s="508" t="str">
        <f>IFERROR(__xludf.DUMMYFUNCTION("""COMPUTED_VALUE"""),"")</f>
        <v/>
      </c>
      <c r="K513" s="510" t="str">
        <f>IFERROR(__xludf.DUMMYFUNCTION("""COMPUTED_VALUE"""),"")</f>
        <v/>
      </c>
      <c r="L513" s="508" t="str">
        <f>IFERROR(__xludf.DUMMYFUNCTION("""COMPUTED_VALUE"""),"")</f>
        <v/>
      </c>
      <c r="M513" s="511">
        <f>IFERROR(__xludf.DUMMYFUNCTION("""COMPUTED_VALUE"""),1.0)</f>
        <v>1</v>
      </c>
      <c r="N513" s="508" t="str">
        <f>IFERROR(__xludf.DUMMYFUNCTION("""COMPUTED_VALUE"""),"")</f>
        <v/>
      </c>
      <c r="O513" s="508" t="str">
        <f>IFERROR(__xludf.DUMMYFUNCTION("""COMPUTED_VALUE"""),"")</f>
        <v/>
      </c>
      <c r="P513" s="510" t="str">
        <f>IFERROR(__xludf.DUMMYFUNCTION("""COMPUTED_VALUE"""),"")</f>
        <v/>
      </c>
      <c r="Q513" s="508" t="str">
        <f>IFERROR(__xludf.DUMMYFUNCTION("""COMPUTED_VALUE"""),"")</f>
        <v/>
      </c>
      <c r="R513" s="508" t="str">
        <f>IFERROR(__xludf.DUMMYFUNCTION("""COMPUTED_VALUE"""),"")</f>
        <v/>
      </c>
      <c r="S513" s="510" t="str">
        <f>IFERROR(__xludf.DUMMYFUNCTION("""COMPUTED_VALUE"""),"")</f>
        <v/>
      </c>
      <c r="T513" s="510" t="str">
        <f>IFERROR(__xludf.DUMMYFUNCTION("""COMPUTED_VALUE"""),"utm_source=facebook&amp;utm_medium=socialmedia&amp;utm_campaign=&amp;utm_content=&amp;referrer=facebook")</f>
        <v>utm_source=facebook&amp;utm_medium=socialmedia&amp;utm_campaign=&amp;utm_content=&amp;referrer=facebook</v>
      </c>
    </row>
    <row r="514">
      <c r="A514" s="508" t="str">
        <f>IFERROR(__xludf.DUMMYFUNCTION("""COMPUTED_VALUE"""),"december")</f>
        <v>december</v>
      </c>
      <c r="B514" s="508">
        <f>IFERROR(__xludf.DUMMYFUNCTION("""COMPUTED_VALUE"""),52.0)</f>
        <v>52</v>
      </c>
      <c r="C514" s="508" t="str">
        <f>IFERROR(__xludf.DUMMYFUNCTION("""COMPUTED_VALUE"""),"dinsdag")</f>
        <v>dinsdag</v>
      </c>
      <c r="D514" s="509">
        <f>IFERROR(__xludf.DUMMYFUNCTION("""COMPUTED_VALUE"""),43823.0)</f>
        <v>43823</v>
      </c>
      <c r="E514" s="509">
        <f>IFERROR(__xludf.DUMMYFUNCTION("""COMPUTED_VALUE"""),43823.0)</f>
        <v>43823</v>
      </c>
      <c r="F514" s="508" t="str">
        <f>IFERROR(__xludf.DUMMYFUNCTION("""COMPUTED_VALUE"""),"")</f>
        <v/>
      </c>
      <c r="G514" s="510" t="str">
        <f>IFERROR(__xludf.DUMMYFUNCTION("""COMPUTED_VALUE"""),"")</f>
        <v/>
      </c>
      <c r="H514" s="508" t="str">
        <f>IFERROR(__xludf.DUMMYFUNCTION("""COMPUTED_VALUE"""),"")</f>
        <v/>
      </c>
      <c r="I514" s="510" t="str">
        <f>IFERROR(__xludf.DUMMYFUNCTION("""COMPUTED_VALUE"""),"")</f>
        <v/>
      </c>
      <c r="J514" s="508" t="str">
        <f>IFERROR(__xludf.DUMMYFUNCTION("""COMPUTED_VALUE"""),"")</f>
        <v/>
      </c>
      <c r="K514" s="510" t="str">
        <f>IFERROR(__xludf.DUMMYFUNCTION("""COMPUTED_VALUE"""),"")</f>
        <v/>
      </c>
      <c r="L514" s="508" t="str">
        <f>IFERROR(__xludf.DUMMYFUNCTION("""COMPUTED_VALUE"""),"")</f>
        <v/>
      </c>
      <c r="M514" s="511">
        <f>IFERROR(__xludf.DUMMYFUNCTION("""COMPUTED_VALUE"""),1.0)</f>
        <v>1</v>
      </c>
      <c r="N514" s="508" t="str">
        <f>IFERROR(__xludf.DUMMYFUNCTION("""COMPUTED_VALUE"""),"")</f>
        <v/>
      </c>
      <c r="O514" s="508" t="str">
        <f>IFERROR(__xludf.DUMMYFUNCTION("""COMPUTED_VALUE"""),"")</f>
        <v/>
      </c>
      <c r="P514" s="510" t="str">
        <f>IFERROR(__xludf.DUMMYFUNCTION("""COMPUTED_VALUE"""),"")</f>
        <v/>
      </c>
      <c r="Q514" s="508" t="str">
        <f>IFERROR(__xludf.DUMMYFUNCTION("""COMPUTED_VALUE"""),"")</f>
        <v/>
      </c>
      <c r="R514" s="508" t="str">
        <f>IFERROR(__xludf.DUMMYFUNCTION("""COMPUTED_VALUE"""),"")</f>
        <v/>
      </c>
      <c r="S514" s="510" t="str">
        <f>IFERROR(__xludf.DUMMYFUNCTION("""COMPUTED_VALUE"""),"")</f>
        <v/>
      </c>
      <c r="T514" s="510" t="str">
        <f>IFERROR(__xludf.DUMMYFUNCTION("""COMPUTED_VALUE"""),"utm_source=facebook&amp;utm_medium=socialmedia&amp;utm_campaign=&amp;utm_content=&amp;referrer=facebook")</f>
        <v>utm_source=facebook&amp;utm_medium=socialmedia&amp;utm_campaign=&amp;utm_content=&amp;referrer=facebook</v>
      </c>
    </row>
    <row r="515">
      <c r="A515" s="508" t="str">
        <f>IFERROR(__xludf.DUMMYFUNCTION("""COMPUTED_VALUE"""),"december")</f>
        <v>december</v>
      </c>
      <c r="B515" s="508">
        <f>IFERROR(__xludf.DUMMYFUNCTION("""COMPUTED_VALUE"""),52.0)</f>
        <v>52</v>
      </c>
      <c r="C515" s="508" t="str">
        <f>IFERROR(__xludf.DUMMYFUNCTION("""COMPUTED_VALUE"""),"woensdag")</f>
        <v>woensdag</v>
      </c>
      <c r="D515" s="509">
        <f>IFERROR(__xludf.DUMMYFUNCTION("""COMPUTED_VALUE"""),43824.0)</f>
        <v>43824</v>
      </c>
      <c r="E515" s="509">
        <f>IFERROR(__xludf.DUMMYFUNCTION("""COMPUTED_VALUE"""),43824.0)</f>
        <v>43824</v>
      </c>
      <c r="F515" s="508" t="str">
        <f>IFERROR(__xludf.DUMMYFUNCTION("""COMPUTED_VALUE"""),"")</f>
        <v/>
      </c>
      <c r="G515" s="510" t="str">
        <f>IFERROR(__xludf.DUMMYFUNCTION("""COMPUTED_VALUE"""),"")</f>
        <v/>
      </c>
      <c r="H515" s="508" t="str">
        <f>IFERROR(__xludf.DUMMYFUNCTION("""COMPUTED_VALUE"""),"")</f>
        <v/>
      </c>
      <c r="I515" s="510" t="str">
        <f>IFERROR(__xludf.DUMMYFUNCTION("""COMPUTED_VALUE"""),"")</f>
        <v/>
      </c>
      <c r="J515" s="508" t="str">
        <f>IFERROR(__xludf.DUMMYFUNCTION("""COMPUTED_VALUE"""),"")</f>
        <v/>
      </c>
      <c r="K515" s="510" t="str">
        <f>IFERROR(__xludf.DUMMYFUNCTION("""COMPUTED_VALUE"""),"")</f>
        <v/>
      </c>
      <c r="L515" s="508" t="str">
        <f>IFERROR(__xludf.DUMMYFUNCTION("""COMPUTED_VALUE"""),"")</f>
        <v/>
      </c>
      <c r="M515" s="511">
        <f>IFERROR(__xludf.DUMMYFUNCTION("""COMPUTED_VALUE"""),1.0)</f>
        <v>1</v>
      </c>
      <c r="N515" s="508" t="str">
        <f>IFERROR(__xludf.DUMMYFUNCTION("""COMPUTED_VALUE"""),"")</f>
        <v/>
      </c>
      <c r="O515" s="508" t="str">
        <f>IFERROR(__xludf.DUMMYFUNCTION("""COMPUTED_VALUE"""),"")</f>
        <v/>
      </c>
      <c r="P515" s="510" t="str">
        <f>IFERROR(__xludf.DUMMYFUNCTION("""COMPUTED_VALUE"""),"")</f>
        <v/>
      </c>
      <c r="Q515" s="508" t="str">
        <f>IFERROR(__xludf.DUMMYFUNCTION("""COMPUTED_VALUE"""),"")</f>
        <v/>
      </c>
      <c r="R515" s="508" t="str">
        <f>IFERROR(__xludf.DUMMYFUNCTION("""COMPUTED_VALUE"""),"")</f>
        <v/>
      </c>
      <c r="S515" s="510" t="str">
        <f>IFERROR(__xludf.DUMMYFUNCTION("""COMPUTED_VALUE"""),"")</f>
        <v/>
      </c>
      <c r="T515" s="510" t="str">
        <f>IFERROR(__xludf.DUMMYFUNCTION("""COMPUTED_VALUE"""),"utm_source=facebook&amp;utm_medium=socialmedia&amp;utm_campaign=&amp;utm_content=&amp;referrer=facebook")</f>
        <v>utm_source=facebook&amp;utm_medium=socialmedia&amp;utm_campaign=&amp;utm_content=&amp;referrer=facebook</v>
      </c>
    </row>
    <row r="516">
      <c r="A516" s="508" t="str">
        <f>IFERROR(__xludf.DUMMYFUNCTION("""COMPUTED_VALUE"""),"december")</f>
        <v>december</v>
      </c>
      <c r="B516" s="508">
        <f>IFERROR(__xludf.DUMMYFUNCTION("""COMPUTED_VALUE"""),52.0)</f>
        <v>52</v>
      </c>
      <c r="C516" s="508" t="str">
        <f>IFERROR(__xludf.DUMMYFUNCTION("""COMPUTED_VALUE"""),"donderdag")</f>
        <v>donderdag</v>
      </c>
      <c r="D516" s="509">
        <f>IFERROR(__xludf.DUMMYFUNCTION("""COMPUTED_VALUE"""),43825.0)</f>
        <v>43825</v>
      </c>
      <c r="E516" s="509">
        <f>IFERROR(__xludf.DUMMYFUNCTION("""COMPUTED_VALUE"""),43825.0)</f>
        <v>43825</v>
      </c>
      <c r="F516" s="508" t="str">
        <f>IFERROR(__xludf.DUMMYFUNCTION("""COMPUTED_VALUE"""),"")</f>
        <v/>
      </c>
      <c r="G516" s="510" t="str">
        <f>IFERROR(__xludf.DUMMYFUNCTION("""COMPUTED_VALUE"""),"")</f>
        <v/>
      </c>
      <c r="H516" s="508" t="str">
        <f>IFERROR(__xludf.DUMMYFUNCTION("""COMPUTED_VALUE"""),"")</f>
        <v/>
      </c>
      <c r="I516" s="510" t="str">
        <f>IFERROR(__xludf.DUMMYFUNCTION("""COMPUTED_VALUE"""),"")</f>
        <v/>
      </c>
      <c r="J516" s="508" t="str">
        <f>IFERROR(__xludf.DUMMYFUNCTION("""COMPUTED_VALUE"""),"")</f>
        <v/>
      </c>
      <c r="K516" s="510" t="str">
        <f>IFERROR(__xludf.DUMMYFUNCTION("""COMPUTED_VALUE"""),"")</f>
        <v/>
      </c>
      <c r="L516" s="508" t="str">
        <f>IFERROR(__xludf.DUMMYFUNCTION("""COMPUTED_VALUE"""),"")</f>
        <v/>
      </c>
      <c r="M516" s="511">
        <f>IFERROR(__xludf.DUMMYFUNCTION("""COMPUTED_VALUE"""),1.0)</f>
        <v>1</v>
      </c>
      <c r="N516" s="508" t="str">
        <f>IFERROR(__xludf.DUMMYFUNCTION("""COMPUTED_VALUE"""),"")</f>
        <v/>
      </c>
      <c r="O516" s="508" t="str">
        <f>IFERROR(__xludf.DUMMYFUNCTION("""COMPUTED_VALUE"""),"")</f>
        <v/>
      </c>
      <c r="P516" s="510" t="str">
        <f>IFERROR(__xludf.DUMMYFUNCTION("""COMPUTED_VALUE"""),"")</f>
        <v/>
      </c>
      <c r="Q516" s="508" t="str">
        <f>IFERROR(__xludf.DUMMYFUNCTION("""COMPUTED_VALUE"""),"")</f>
        <v/>
      </c>
      <c r="R516" s="508" t="str">
        <f>IFERROR(__xludf.DUMMYFUNCTION("""COMPUTED_VALUE"""),"")</f>
        <v/>
      </c>
      <c r="S516" s="510" t="str">
        <f>IFERROR(__xludf.DUMMYFUNCTION("""COMPUTED_VALUE"""),"")</f>
        <v/>
      </c>
      <c r="T516" s="510" t="str">
        <f>IFERROR(__xludf.DUMMYFUNCTION("""COMPUTED_VALUE"""),"utm_source=facebook&amp;utm_medium=socialmedia&amp;utm_campaign=&amp;utm_content=&amp;referrer=facebook")</f>
        <v>utm_source=facebook&amp;utm_medium=socialmedia&amp;utm_campaign=&amp;utm_content=&amp;referrer=facebook</v>
      </c>
    </row>
    <row r="517">
      <c r="A517" s="508" t="str">
        <f>IFERROR(__xludf.DUMMYFUNCTION("""COMPUTED_VALUE"""),"december")</f>
        <v>december</v>
      </c>
      <c r="B517" s="508">
        <f>IFERROR(__xludf.DUMMYFUNCTION("""COMPUTED_VALUE"""),52.0)</f>
        <v>52</v>
      </c>
      <c r="C517" s="508" t="str">
        <f>IFERROR(__xludf.DUMMYFUNCTION("""COMPUTED_VALUE"""),"vrijdag")</f>
        <v>vrijdag</v>
      </c>
      <c r="D517" s="509">
        <f>IFERROR(__xludf.DUMMYFUNCTION("""COMPUTED_VALUE"""),43826.0)</f>
        <v>43826</v>
      </c>
      <c r="E517" s="509">
        <f>IFERROR(__xludf.DUMMYFUNCTION("""COMPUTED_VALUE"""),43826.0)</f>
        <v>43826</v>
      </c>
      <c r="F517" s="508" t="str">
        <f>IFERROR(__xludf.DUMMYFUNCTION("""COMPUTED_VALUE"""),"")</f>
        <v/>
      </c>
      <c r="G517" s="510" t="str">
        <f>IFERROR(__xludf.DUMMYFUNCTION("""COMPUTED_VALUE"""),"")</f>
        <v/>
      </c>
      <c r="H517" s="508" t="str">
        <f>IFERROR(__xludf.DUMMYFUNCTION("""COMPUTED_VALUE"""),"")</f>
        <v/>
      </c>
      <c r="I517" s="510" t="str">
        <f>IFERROR(__xludf.DUMMYFUNCTION("""COMPUTED_VALUE"""),"")</f>
        <v/>
      </c>
      <c r="J517" s="508" t="str">
        <f>IFERROR(__xludf.DUMMYFUNCTION("""COMPUTED_VALUE"""),"")</f>
        <v/>
      </c>
      <c r="K517" s="510" t="str">
        <f>IFERROR(__xludf.DUMMYFUNCTION("""COMPUTED_VALUE"""),"")</f>
        <v/>
      </c>
      <c r="L517" s="508" t="str">
        <f>IFERROR(__xludf.DUMMYFUNCTION("""COMPUTED_VALUE"""),"")</f>
        <v/>
      </c>
      <c r="M517" s="511">
        <f>IFERROR(__xludf.DUMMYFUNCTION("""COMPUTED_VALUE"""),1.0)</f>
        <v>1</v>
      </c>
      <c r="N517" s="508" t="str">
        <f>IFERROR(__xludf.DUMMYFUNCTION("""COMPUTED_VALUE"""),"")</f>
        <v/>
      </c>
      <c r="O517" s="508" t="str">
        <f>IFERROR(__xludf.DUMMYFUNCTION("""COMPUTED_VALUE"""),"")</f>
        <v/>
      </c>
      <c r="P517" s="510" t="str">
        <f>IFERROR(__xludf.DUMMYFUNCTION("""COMPUTED_VALUE"""),"")</f>
        <v/>
      </c>
      <c r="Q517" s="508" t="str">
        <f>IFERROR(__xludf.DUMMYFUNCTION("""COMPUTED_VALUE"""),"")</f>
        <v/>
      </c>
      <c r="R517" s="508" t="str">
        <f>IFERROR(__xludf.DUMMYFUNCTION("""COMPUTED_VALUE"""),"")</f>
        <v/>
      </c>
      <c r="S517" s="510" t="str">
        <f>IFERROR(__xludf.DUMMYFUNCTION("""COMPUTED_VALUE"""),"")</f>
        <v/>
      </c>
      <c r="T517" s="510" t="str">
        <f>IFERROR(__xludf.DUMMYFUNCTION("""COMPUTED_VALUE"""),"utm_source=facebook&amp;utm_medium=socialmedia&amp;utm_campaign=&amp;utm_content=&amp;referrer=facebook")</f>
        <v>utm_source=facebook&amp;utm_medium=socialmedia&amp;utm_campaign=&amp;utm_content=&amp;referrer=facebook</v>
      </c>
    </row>
    <row r="518">
      <c r="A518" s="508" t="str">
        <f>IFERROR(__xludf.DUMMYFUNCTION("""COMPUTED_VALUE"""),"december")</f>
        <v>december</v>
      </c>
      <c r="B518" s="508">
        <f>IFERROR(__xludf.DUMMYFUNCTION("""COMPUTED_VALUE"""),52.0)</f>
        <v>52</v>
      </c>
      <c r="C518" s="508" t="str">
        <f>IFERROR(__xludf.DUMMYFUNCTION("""COMPUTED_VALUE"""),"zaterdag")</f>
        <v>zaterdag</v>
      </c>
      <c r="D518" s="509">
        <f>IFERROR(__xludf.DUMMYFUNCTION("""COMPUTED_VALUE"""),43827.0)</f>
        <v>43827</v>
      </c>
      <c r="E518" s="509">
        <f>IFERROR(__xludf.DUMMYFUNCTION("""COMPUTED_VALUE"""),43827.0)</f>
        <v>43827</v>
      </c>
      <c r="F518" s="508" t="str">
        <f>IFERROR(__xludf.DUMMYFUNCTION("""COMPUTED_VALUE"""),"")</f>
        <v/>
      </c>
      <c r="G518" s="510" t="str">
        <f>IFERROR(__xludf.DUMMYFUNCTION("""COMPUTED_VALUE"""),"")</f>
        <v/>
      </c>
      <c r="H518" s="508" t="str">
        <f>IFERROR(__xludf.DUMMYFUNCTION("""COMPUTED_VALUE"""),"")</f>
        <v/>
      </c>
      <c r="I518" s="510" t="str">
        <f>IFERROR(__xludf.DUMMYFUNCTION("""COMPUTED_VALUE"""),"")</f>
        <v/>
      </c>
      <c r="J518" s="508" t="str">
        <f>IFERROR(__xludf.DUMMYFUNCTION("""COMPUTED_VALUE"""),"")</f>
        <v/>
      </c>
      <c r="K518" s="510" t="str">
        <f>IFERROR(__xludf.DUMMYFUNCTION("""COMPUTED_VALUE"""),"")</f>
        <v/>
      </c>
      <c r="L518" s="508" t="str">
        <f>IFERROR(__xludf.DUMMYFUNCTION("""COMPUTED_VALUE"""),"")</f>
        <v/>
      </c>
      <c r="M518" s="511">
        <f>IFERROR(__xludf.DUMMYFUNCTION("""COMPUTED_VALUE"""),1.0)</f>
        <v>1</v>
      </c>
      <c r="N518" s="508" t="str">
        <f>IFERROR(__xludf.DUMMYFUNCTION("""COMPUTED_VALUE"""),"")</f>
        <v/>
      </c>
      <c r="O518" s="508" t="str">
        <f>IFERROR(__xludf.DUMMYFUNCTION("""COMPUTED_VALUE"""),"")</f>
        <v/>
      </c>
      <c r="P518" s="510" t="str">
        <f>IFERROR(__xludf.DUMMYFUNCTION("""COMPUTED_VALUE"""),"")</f>
        <v/>
      </c>
      <c r="Q518" s="508" t="str">
        <f>IFERROR(__xludf.DUMMYFUNCTION("""COMPUTED_VALUE"""),"")</f>
        <v/>
      </c>
      <c r="R518" s="508" t="str">
        <f>IFERROR(__xludf.DUMMYFUNCTION("""COMPUTED_VALUE"""),"")</f>
        <v/>
      </c>
      <c r="S518" s="510" t="str">
        <f>IFERROR(__xludf.DUMMYFUNCTION("""COMPUTED_VALUE"""),"")</f>
        <v/>
      </c>
      <c r="T518" s="510" t="str">
        <f>IFERROR(__xludf.DUMMYFUNCTION("""COMPUTED_VALUE"""),"utm_source=facebook&amp;utm_medium=socialmedia&amp;utm_campaign=&amp;utm_content=&amp;referrer=facebook")</f>
        <v>utm_source=facebook&amp;utm_medium=socialmedia&amp;utm_campaign=&amp;utm_content=&amp;referrer=facebook</v>
      </c>
    </row>
    <row r="519">
      <c r="A519" s="508" t="str">
        <f>IFERROR(__xludf.DUMMYFUNCTION("""COMPUTED_VALUE"""),"december")</f>
        <v>december</v>
      </c>
      <c r="B519" s="508">
        <f>IFERROR(__xludf.DUMMYFUNCTION("""COMPUTED_VALUE"""),53.0)</f>
        <v>53</v>
      </c>
      <c r="C519" s="508" t="str">
        <f>IFERROR(__xludf.DUMMYFUNCTION("""COMPUTED_VALUE"""),"zondag")</f>
        <v>zondag</v>
      </c>
      <c r="D519" s="509">
        <f>IFERROR(__xludf.DUMMYFUNCTION("""COMPUTED_VALUE"""),43828.0)</f>
        <v>43828</v>
      </c>
      <c r="E519" s="509">
        <f>IFERROR(__xludf.DUMMYFUNCTION("""COMPUTED_VALUE"""),43828.0)</f>
        <v>43828</v>
      </c>
      <c r="F519" s="508" t="str">
        <f>IFERROR(__xludf.DUMMYFUNCTION("""COMPUTED_VALUE"""),"")</f>
        <v/>
      </c>
      <c r="G519" s="510" t="str">
        <f>IFERROR(__xludf.DUMMYFUNCTION("""COMPUTED_VALUE"""),"")</f>
        <v/>
      </c>
      <c r="H519" s="508" t="str">
        <f>IFERROR(__xludf.DUMMYFUNCTION("""COMPUTED_VALUE"""),"")</f>
        <v/>
      </c>
      <c r="I519" s="510" t="str">
        <f>IFERROR(__xludf.DUMMYFUNCTION("""COMPUTED_VALUE"""),"")</f>
        <v/>
      </c>
      <c r="J519" s="508" t="str">
        <f>IFERROR(__xludf.DUMMYFUNCTION("""COMPUTED_VALUE"""),"")</f>
        <v/>
      </c>
      <c r="K519" s="510" t="str">
        <f>IFERROR(__xludf.DUMMYFUNCTION("""COMPUTED_VALUE"""),"")</f>
        <v/>
      </c>
      <c r="L519" s="508" t="str">
        <f>IFERROR(__xludf.DUMMYFUNCTION("""COMPUTED_VALUE"""),"")</f>
        <v/>
      </c>
      <c r="M519" s="511">
        <f>IFERROR(__xludf.DUMMYFUNCTION("""COMPUTED_VALUE"""),1.0)</f>
        <v>1</v>
      </c>
      <c r="N519" s="508" t="str">
        <f>IFERROR(__xludf.DUMMYFUNCTION("""COMPUTED_VALUE"""),"")</f>
        <v/>
      </c>
      <c r="O519" s="508" t="str">
        <f>IFERROR(__xludf.DUMMYFUNCTION("""COMPUTED_VALUE"""),"")</f>
        <v/>
      </c>
      <c r="P519" s="510" t="str">
        <f>IFERROR(__xludf.DUMMYFUNCTION("""COMPUTED_VALUE"""),"")</f>
        <v/>
      </c>
      <c r="Q519" s="508" t="str">
        <f>IFERROR(__xludf.DUMMYFUNCTION("""COMPUTED_VALUE"""),"")</f>
        <v/>
      </c>
      <c r="R519" s="508" t="str">
        <f>IFERROR(__xludf.DUMMYFUNCTION("""COMPUTED_VALUE"""),"")</f>
        <v/>
      </c>
      <c r="S519" s="510" t="str">
        <f>IFERROR(__xludf.DUMMYFUNCTION("""COMPUTED_VALUE"""),"")</f>
        <v/>
      </c>
      <c r="T519" s="510" t="str">
        <f>IFERROR(__xludf.DUMMYFUNCTION("""COMPUTED_VALUE"""),"utm_source=facebook&amp;utm_medium=socialmedia&amp;utm_campaign=&amp;utm_content=&amp;referrer=facebook")</f>
        <v>utm_source=facebook&amp;utm_medium=socialmedia&amp;utm_campaign=&amp;utm_content=&amp;referrer=facebook</v>
      </c>
    </row>
    <row r="520">
      <c r="A520" s="508" t="str">
        <f>IFERROR(__xludf.DUMMYFUNCTION("""COMPUTED_VALUE"""),"december")</f>
        <v>december</v>
      </c>
      <c r="B520" s="508">
        <f>IFERROR(__xludf.DUMMYFUNCTION("""COMPUTED_VALUE"""),53.0)</f>
        <v>53</v>
      </c>
      <c r="C520" s="508" t="str">
        <f>IFERROR(__xludf.DUMMYFUNCTION("""COMPUTED_VALUE"""),"maandag")</f>
        <v>maandag</v>
      </c>
      <c r="D520" s="509">
        <f>IFERROR(__xludf.DUMMYFUNCTION("""COMPUTED_VALUE"""),43829.0)</f>
        <v>43829</v>
      </c>
      <c r="E520" s="509">
        <f>IFERROR(__xludf.DUMMYFUNCTION("""COMPUTED_VALUE"""),43829.0)</f>
        <v>43829</v>
      </c>
      <c r="F520" s="508" t="str">
        <f>IFERROR(__xludf.DUMMYFUNCTION("""COMPUTED_VALUE"""),"")</f>
        <v/>
      </c>
      <c r="G520" s="510" t="str">
        <f>IFERROR(__xludf.DUMMYFUNCTION("""COMPUTED_VALUE"""),"")</f>
        <v/>
      </c>
      <c r="H520" s="508" t="str">
        <f>IFERROR(__xludf.DUMMYFUNCTION("""COMPUTED_VALUE"""),"")</f>
        <v/>
      </c>
      <c r="I520" s="510" t="str">
        <f>IFERROR(__xludf.DUMMYFUNCTION("""COMPUTED_VALUE"""),"")</f>
        <v/>
      </c>
      <c r="J520" s="508" t="str">
        <f>IFERROR(__xludf.DUMMYFUNCTION("""COMPUTED_VALUE"""),"")</f>
        <v/>
      </c>
      <c r="K520" s="510" t="str">
        <f>IFERROR(__xludf.DUMMYFUNCTION("""COMPUTED_VALUE"""),"")</f>
        <v/>
      </c>
      <c r="L520" s="508" t="str">
        <f>IFERROR(__xludf.DUMMYFUNCTION("""COMPUTED_VALUE"""),"")</f>
        <v/>
      </c>
      <c r="M520" s="511">
        <f>IFERROR(__xludf.DUMMYFUNCTION("""COMPUTED_VALUE"""),1.0)</f>
        <v>1</v>
      </c>
      <c r="N520" s="508" t="str">
        <f>IFERROR(__xludf.DUMMYFUNCTION("""COMPUTED_VALUE"""),"")</f>
        <v/>
      </c>
      <c r="O520" s="508" t="str">
        <f>IFERROR(__xludf.DUMMYFUNCTION("""COMPUTED_VALUE"""),"")</f>
        <v/>
      </c>
      <c r="P520" s="510" t="str">
        <f>IFERROR(__xludf.DUMMYFUNCTION("""COMPUTED_VALUE"""),"")</f>
        <v/>
      </c>
      <c r="Q520" s="508" t="str">
        <f>IFERROR(__xludf.DUMMYFUNCTION("""COMPUTED_VALUE"""),"")</f>
        <v/>
      </c>
      <c r="R520" s="508" t="str">
        <f>IFERROR(__xludf.DUMMYFUNCTION("""COMPUTED_VALUE"""),"")</f>
        <v/>
      </c>
      <c r="S520" s="510" t="str">
        <f>IFERROR(__xludf.DUMMYFUNCTION("""COMPUTED_VALUE"""),"")</f>
        <v/>
      </c>
      <c r="T520" s="510" t="str">
        <f>IFERROR(__xludf.DUMMYFUNCTION("""COMPUTED_VALUE"""),"utm_source=facebook&amp;utm_medium=socialmedia&amp;utm_campaign=&amp;utm_content=&amp;referrer=facebook")</f>
        <v>utm_source=facebook&amp;utm_medium=socialmedia&amp;utm_campaign=&amp;utm_content=&amp;referrer=facebook</v>
      </c>
    </row>
    <row r="521">
      <c r="A521" s="508" t="str">
        <f>IFERROR(__xludf.DUMMYFUNCTION("""COMPUTED_VALUE"""),"december")</f>
        <v>december</v>
      </c>
      <c r="B521" s="508">
        <f>IFERROR(__xludf.DUMMYFUNCTION("""COMPUTED_VALUE"""),53.0)</f>
        <v>53</v>
      </c>
      <c r="C521" s="508" t="str">
        <f>IFERROR(__xludf.DUMMYFUNCTION("""COMPUTED_VALUE"""),"dinsdag")</f>
        <v>dinsdag</v>
      </c>
      <c r="D521" s="509">
        <f>IFERROR(__xludf.DUMMYFUNCTION("""COMPUTED_VALUE"""),43830.0)</f>
        <v>43830</v>
      </c>
      <c r="E521" s="509">
        <f>IFERROR(__xludf.DUMMYFUNCTION("""COMPUTED_VALUE"""),43830.0)</f>
        <v>43830</v>
      </c>
      <c r="F521" s="508" t="str">
        <f>IFERROR(__xludf.DUMMYFUNCTION("""COMPUTED_VALUE"""),"")</f>
        <v/>
      </c>
      <c r="G521" s="510" t="str">
        <f>IFERROR(__xludf.DUMMYFUNCTION("""COMPUTED_VALUE"""),"")</f>
        <v/>
      </c>
      <c r="H521" s="508" t="str">
        <f>IFERROR(__xludf.DUMMYFUNCTION("""COMPUTED_VALUE"""),"")</f>
        <v/>
      </c>
      <c r="I521" s="510" t="str">
        <f>IFERROR(__xludf.DUMMYFUNCTION("""COMPUTED_VALUE"""),"")</f>
        <v/>
      </c>
      <c r="J521" s="508" t="str">
        <f>IFERROR(__xludf.DUMMYFUNCTION("""COMPUTED_VALUE"""),"")</f>
        <v/>
      </c>
      <c r="K521" s="510" t="str">
        <f>IFERROR(__xludf.DUMMYFUNCTION("""COMPUTED_VALUE"""),"")</f>
        <v/>
      </c>
      <c r="L521" s="508" t="str">
        <f>IFERROR(__xludf.DUMMYFUNCTION("""COMPUTED_VALUE"""),"")</f>
        <v/>
      </c>
      <c r="M521" s="511">
        <f>IFERROR(__xludf.DUMMYFUNCTION("""COMPUTED_VALUE"""),1.0)</f>
        <v>1</v>
      </c>
      <c r="N521" s="508" t="str">
        <f>IFERROR(__xludf.DUMMYFUNCTION("""COMPUTED_VALUE"""),"")</f>
        <v/>
      </c>
      <c r="O521" s="508" t="str">
        <f>IFERROR(__xludf.DUMMYFUNCTION("""COMPUTED_VALUE"""),"")</f>
        <v/>
      </c>
      <c r="P521" s="510" t="str">
        <f>IFERROR(__xludf.DUMMYFUNCTION("""COMPUTED_VALUE"""),"")</f>
        <v/>
      </c>
      <c r="Q521" s="508" t="str">
        <f>IFERROR(__xludf.DUMMYFUNCTION("""COMPUTED_VALUE"""),"")</f>
        <v/>
      </c>
      <c r="R521" s="508" t="str">
        <f>IFERROR(__xludf.DUMMYFUNCTION("""COMPUTED_VALUE"""),"")</f>
        <v/>
      </c>
      <c r="S521" s="510" t="str">
        <f>IFERROR(__xludf.DUMMYFUNCTION("""COMPUTED_VALUE"""),"")</f>
        <v/>
      </c>
      <c r="T521" s="510" t="str">
        <f>IFERROR(__xludf.DUMMYFUNCTION("""COMPUTED_VALUE"""),"utm_source=facebook&amp;utm_medium=socialmedia&amp;utm_campaign=&amp;utm_content=&amp;referrer=facebook")</f>
        <v>utm_source=facebook&amp;utm_medium=socialmedia&amp;utm_campaign=&amp;utm_content=&amp;referrer=facebook</v>
      </c>
    </row>
    <row r="522">
      <c r="A522" s="508" t="str">
        <f>IFERROR(__xludf.DUMMYFUNCTION("""COMPUTED_VALUE"""),"")</f>
        <v/>
      </c>
      <c r="B522" s="508" t="str">
        <f>IFERROR(__xludf.DUMMYFUNCTION("""COMPUTED_VALUE"""),"")</f>
        <v/>
      </c>
      <c r="C522" s="508" t="str">
        <f>IFERROR(__xludf.DUMMYFUNCTION("""COMPUTED_VALUE"""),"")</f>
        <v/>
      </c>
      <c r="D522" s="508" t="str">
        <f>IFERROR(__xludf.DUMMYFUNCTION("""COMPUTED_VALUE"""),"")</f>
        <v/>
      </c>
      <c r="E522" s="508" t="str">
        <f>IFERROR(__xludf.DUMMYFUNCTION("""COMPUTED_VALUE"""),"")</f>
        <v/>
      </c>
      <c r="F522" s="508" t="str">
        <f>IFERROR(__xludf.DUMMYFUNCTION("""COMPUTED_VALUE"""),"")</f>
        <v/>
      </c>
      <c r="G522" s="510" t="str">
        <f>IFERROR(__xludf.DUMMYFUNCTION("""COMPUTED_VALUE"""),"")</f>
        <v/>
      </c>
      <c r="H522" s="508" t="str">
        <f>IFERROR(__xludf.DUMMYFUNCTION("""COMPUTED_VALUE"""),"")</f>
        <v/>
      </c>
      <c r="I522" s="510" t="str">
        <f>IFERROR(__xludf.DUMMYFUNCTION("""COMPUTED_VALUE"""),"")</f>
        <v/>
      </c>
      <c r="J522" s="508" t="str">
        <f>IFERROR(__xludf.DUMMYFUNCTION("""COMPUTED_VALUE"""),"")</f>
        <v/>
      </c>
      <c r="K522" s="510" t="str">
        <f>IFERROR(__xludf.DUMMYFUNCTION("""COMPUTED_VALUE"""),"")</f>
        <v/>
      </c>
      <c r="L522" s="508" t="str">
        <f>IFERROR(__xludf.DUMMYFUNCTION("""COMPUTED_VALUE"""),"")</f>
        <v/>
      </c>
      <c r="M522" s="508" t="str">
        <f>IFERROR(__xludf.DUMMYFUNCTION("""COMPUTED_VALUE"""),"")</f>
        <v/>
      </c>
      <c r="N522" s="508" t="str">
        <f>IFERROR(__xludf.DUMMYFUNCTION("""COMPUTED_VALUE"""),"")</f>
        <v/>
      </c>
      <c r="O522" s="508" t="str">
        <f>IFERROR(__xludf.DUMMYFUNCTION("""COMPUTED_VALUE"""),"")</f>
        <v/>
      </c>
      <c r="P522" s="510" t="str">
        <f>IFERROR(__xludf.DUMMYFUNCTION("""COMPUTED_VALUE"""),"")</f>
        <v/>
      </c>
      <c r="Q522" s="508" t="str">
        <f>IFERROR(__xludf.DUMMYFUNCTION("""COMPUTED_VALUE"""),"")</f>
        <v/>
      </c>
      <c r="R522" s="508" t="str">
        <f>IFERROR(__xludf.DUMMYFUNCTION("""COMPUTED_VALUE"""),"")</f>
        <v/>
      </c>
      <c r="S522" s="510" t="str">
        <f>IFERROR(__xludf.DUMMYFUNCTION("""COMPUTED_VALUE"""),"")</f>
        <v/>
      </c>
      <c r="T522" s="510" t="str">
        <f>IFERROR(__xludf.DUMMYFUNCTION("""COMPUTED_VALUE"""),"utm_source=facebook&amp;utm_medium=socialmedia&amp;utm_campaign=&amp;utm_content=&amp;referrer=facebook")</f>
        <v>utm_source=facebook&amp;utm_medium=socialmedia&amp;utm_campaign=&amp;utm_content=&amp;referrer=facebook</v>
      </c>
    </row>
    <row r="523">
      <c r="A523" s="508" t="str">
        <f>IFERROR(__xludf.DUMMYFUNCTION("""COMPUTED_VALUE"""),"")</f>
        <v/>
      </c>
      <c r="B523" s="508" t="str">
        <f>IFERROR(__xludf.DUMMYFUNCTION("""COMPUTED_VALUE"""),"")</f>
        <v/>
      </c>
      <c r="C523" s="508" t="str">
        <f>IFERROR(__xludf.DUMMYFUNCTION("""COMPUTED_VALUE"""),"")</f>
        <v/>
      </c>
      <c r="D523" s="508" t="str">
        <f>IFERROR(__xludf.DUMMYFUNCTION("""COMPUTED_VALUE"""),"")</f>
        <v/>
      </c>
      <c r="E523" s="508" t="str">
        <f>IFERROR(__xludf.DUMMYFUNCTION("""COMPUTED_VALUE"""),"")</f>
        <v/>
      </c>
      <c r="F523" s="508" t="str">
        <f>IFERROR(__xludf.DUMMYFUNCTION("""COMPUTED_VALUE"""),"")</f>
        <v/>
      </c>
      <c r="G523" s="510" t="str">
        <f>IFERROR(__xludf.DUMMYFUNCTION("""COMPUTED_VALUE"""),"")</f>
        <v/>
      </c>
      <c r="H523" s="508" t="str">
        <f>IFERROR(__xludf.DUMMYFUNCTION("""COMPUTED_VALUE"""),"")</f>
        <v/>
      </c>
      <c r="I523" s="510" t="str">
        <f>IFERROR(__xludf.DUMMYFUNCTION("""COMPUTED_VALUE"""),"")</f>
        <v/>
      </c>
      <c r="J523" s="508" t="str">
        <f>IFERROR(__xludf.DUMMYFUNCTION("""COMPUTED_VALUE"""),"")</f>
        <v/>
      </c>
      <c r="K523" s="510" t="str">
        <f>IFERROR(__xludf.DUMMYFUNCTION("""COMPUTED_VALUE"""),"")</f>
        <v/>
      </c>
      <c r="L523" s="508" t="str">
        <f>IFERROR(__xludf.DUMMYFUNCTION("""COMPUTED_VALUE"""),"")</f>
        <v/>
      </c>
      <c r="M523" s="508" t="str">
        <f>IFERROR(__xludf.DUMMYFUNCTION("""COMPUTED_VALUE"""),"")</f>
        <v/>
      </c>
      <c r="N523" s="508" t="str">
        <f>IFERROR(__xludf.DUMMYFUNCTION("""COMPUTED_VALUE"""),"")</f>
        <v/>
      </c>
      <c r="O523" s="508" t="str">
        <f>IFERROR(__xludf.DUMMYFUNCTION("""COMPUTED_VALUE"""),"")</f>
        <v/>
      </c>
      <c r="P523" s="510" t="str">
        <f>IFERROR(__xludf.DUMMYFUNCTION("""COMPUTED_VALUE"""),"")</f>
        <v/>
      </c>
      <c r="Q523" s="508" t="str">
        <f>IFERROR(__xludf.DUMMYFUNCTION("""COMPUTED_VALUE"""),"")</f>
        <v/>
      </c>
      <c r="R523" s="508" t="str">
        <f>IFERROR(__xludf.DUMMYFUNCTION("""COMPUTED_VALUE"""),"")</f>
        <v/>
      </c>
      <c r="S523" s="510" t="str">
        <f>IFERROR(__xludf.DUMMYFUNCTION("""COMPUTED_VALUE"""),"")</f>
        <v/>
      </c>
      <c r="T523" s="510" t="str">
        <f>IFERROR(__xludf.DUMMYFUNCTION("""COMPUTED_VALUE"""),"")</f>
        <v/>
      </c>
    </row>
    <row r="524">
      <c r="A524" s="508" t="str">
        <f>IFERROR(__xludf.DUMMYFUNCTION("""COMPUTED_VALUE"""),"")</f>
        <v/>
      </c>
      <c r="B524" s="508" t="str">
        <f>IFERROR(__xludf.DUMMYFUNCTION("""COMPUTED_VALUE"""),"")</f>
        <v/>
      </c>
      <c r="C524" s="508" t="str">
        <f>IFERROR(__xludf.DUMMYFUNCTION("""COMPUTED_VALUE"""),"")</f>
        <v/>
      </c>
      <c r="D524" s="508" t="str">
        <f>IFERROR(__xludf.DUMMYFUNCTION("""COMPUTED_VALUE"""),"")</f>
        <v/>
      </c>
      <c r="E524" s="508" t="str">
        <f>IFERROR(__xludf.DUMMYFUNCTION("""COMPUTED_VALUE"""),"")</f>
        <v/>
      </c>
      <c r="F524" s="508" t="str">
        <f>IFERROR(__xludf.DUMMYFUNCTION("""COMPUTED_VALUE"""),"")</f>
        <v/>
      </c>
      <c r="G524" s="510" t="str">
        <f>IFERROR(__xludf.DUMMYFUNCTION("""COMPUTED_VALUE"""),"")</f>
        <v/>
      </c>
      <c r="H524" s="508" t="str">
        <f>IFERROR(__xludf.DUMMYFUNCTION("""COMPUTED_VALUE"""),"")</f>
        <v/>
      </c>
      <c r="I524" s="510" t="str">
        <f>IFERROR(__xludf.DUMMYFUNCTION("""COMPUTED_VALUE"""),"")</f>
        <v/>
      </c>
      <c r="J524" s="508" t="str">
        <f>IFERROR(__xludf.DUMMYFUNCTION("""COMPUTED_VALUE"""),"")</f>
        <v/>
      </c>
      <c r="K524" s="510" t="str">
        <f>IFERROR(__xludf.DUMMYFUNCTION("""COMPUTED_VALUE"""),"")</f>
        <v/>
      </c>
      <c r="L524" s="508" t="str">
        <f>IFERROR(__xludf.DUMMYFUNCTION("""COMPUTED_VALUE"""),"")</f>
        <v/>
      </c>
      <c r="M524" s="508" t="str">
        <f>IFERROR(__xludf.DUMMYFUNCTION("""COMPUTED_VALUE"""),"")</f>
        <v/>
      </c>
      <c r="N524" s="508" t="str">
        <f>IFERROR(__xludf.DUMMYFUNCTION("""COMPUTED_VALUE"""),"")</f>
        <v/>
      </c>
      <c r="O524" s="508" t="str">
        <f>IFERROR(__xludf.DUMMYFUNCTION("""COMPUTED_VALUE"""),"")</f>
        <v/>
      </c>
      <c r="P524" s="510" t="str">
        <f>IFERROR(__xludf.DUMMYFUNCTION("""COMPUTED_VALUE"""),"")</f>
        <v/>
      </c>
      <c r="Q524" s="508" t="str">
        <f>IFERROR(__xludf.DUMMYFUNCTION("""COMPUTED_VALUE"""),"")</f>
        <v/>
      </c>
      <c r="R524" s="508" t="str">
        <f>IFERROR(__xludf.DUMMYFUNCTION("""COMPUTED_VALUE"""),"")</f>
        <v/>
      </c>
      <c r="S524" s="510" t="str">
        <f>IFERROR(__xludf.DUMMYFUNCTION("""COMPUTED_VALUE"""),"")</f>
        <v/>
      </c>
      <c r="T524" s="510" t="str">
        <f>IFERROR(__xludf.DUMMYFUNCTION("""COMPUTED_VALUE"""),"")</f>
        <v/>
      </c>
    </row>
    <row r="525">
      <c r="A525" s="508" t="str">
        <f>IFERROR(__xludf.DUMMYFUNCTION("""COMPUTED_VALUE"""),"")</f>
        <v/>
      </c>
      <c r="B525" s="508" t="str">
        <f>IFERROR(__xludf.DUMMYFUNCTION("""COMPUTED_VALUE"""),"")</f>
        <v/>
      </c>
      <c r="C525" s="508" t="str">
        <f>IFERROR(__xludf.DUMMYFUNCTION("""COMPUTED_VALUE"""),"")</f>
        <v/>
      </c>
      <c r="D525" s="508" t="str">
        <f>IFERROR(__xludf.DUMMYFUNCTION("""COMPUTED_VALUE"""),"")</f>
        <v/>
      </c>
      <c r="E525" s="508" t="str">
        <f>IFERROR(__xludf.DUMMYFUNCTION("""COMPUTED_VALUE"""),"")</f>
        <v/>
      </c>
      <c r="F525" s="508" t="str">
        <f>IFERROR(__xludf.DUMMYFUNCTION("""COMPUTED_VALUE"""),"")</f>
        <v/>
      </c>
      <c r="G525" s="510" t="str">
        <f>IFERROR(__xludf.DUMMYFUNCTION("""COMPUTED_VALUE"""),"")</f>
        <v/>
      </c>
      <c r="H525" s="508" t="str">
        <f>IFERROR(__xludf.DUMMYFUNCTION("""COMPUTED_VALUE"""),"")</f>
        <v/>
      </c>
      <c r="I525" s="510" t="str">
        <f>IFERROR(__xludf.DUMMYFUNCTION("""COMPUTED_VALUE"""),"")</f>
        <v/>
      </c>
      <c r="J525" s="508" t="str">
        <f>IFERROR(__xludf.DUMMYFUNCTION("""COMPUTED_VALUE"""),"")</f>
        <v/>
      </c>
      <c r="K525" s="510" t="str">
        <f>IFERROR(__xludf.DUMMYFUNCTION("""COMPUTED_VALUE"""),"")</f>
        <v/>
      </c>
      <c r="L525" s="508" t="str">
        <f>IFERROR(__xludf.DUMMYFUNCTION("""COMPUTED_VALUE"""),"")</f>
        <v/>
      </c>
      <c r="M525" s="508" t="str">
        <f>IFERROR(__xludf.DUMMYFUNCTION("""COMPUTED_VALUE"""),"")</f>
        <v/>
      </c>
      <c r="N525" s="508" t="str">
        <f>IFERROR(__xludf.DUMMYFUNCTION("""COMPUTED_VALUE"""),"")</f>
        <v/>
      </c>
      <c r="O525" s="508" t="str">
        <f>IFERROR(__xludf.DUMMYFUNCTION("""COMPUTED_VALUE"""),"")</f>
        <v/>
      </c>
      <c r="P525" s="510" t="str">
        <f>IFERROR(__xludf.DUMMYFUNCTION("""COMPUTED_VALUE"""),"")</f>
        <v/>
      </c>
      <c r="Q525" s="508" t="str">
        <f>IFERROR(__xludf.DUMMYFUNCTION("""COMPUTED_VALUE"""),"")</f>
        <v/>
      </c>
      <c r="R525" s="508" t="str">
        <f>IFERROR(__xludf.DUMMYFUNCTION("""COMPUTED_VALUE"""),"")</f>
        <v/>
      </c>
      <c r="S525" s="510" t="str">
        <f>IFERROR(__xludf.DUMMYFUNCTION("""COMPUTED_VALUE"""),"")</f>
        <v/>
      </c>
      <c r="T525" s="510" t="str">
        <f>IFERROR(__xludf.DUMMYFUNCTION("""COMPUTED_VALUE"""),"")</f>
        <v/>
      </c>
    </row>
    <row r="526">
      <c r="A526" s="508" t="str">
        <f>IFERROR(__xludf.DUMMYFUNCTION("""COMPUTED_VALUE"""),"")</f>
        <v/>
      </c>
      <c r="B526" s="508" t="str">
        <f>IFERROR(__xludf.DUMMYFUNCTION("""COMPUTED_VALUE"""),"")</f>
        <v/>
      </c>
      <c r="C526" s="508" t="str">
        <f>IFERROR(__xludf.DUMMYFUNCTION("""COMPUTED_VALUE"""),"")</f>
        <v/>
      </c>
      <c r="D526" s="508" t="str">
        <f>IFERROR(__xludf.DUMMYFUNCTION("""COMPUTED_VALUE"""),"")</f>
        <v/>
      </c>
      <c r="E526" s="508" t="str">
        <f>IFERROR(__xludf.DUMMYFUNCTION("""COMPUTED_VALUE"""),"")</f>
        <v/>
      </c>
      <c r="F526" s="508" t="str">
        <f>IFERROR(__xludf.DUMMYFUNCTION("""COMPUTED_VALUE"""),"")</f>
        <v/>
      </c>
      <c r="G526" s="510" t="str">
        <f>IFERROR(__xludf.DUMMYFUNCTION("""COMPUTED_VALUE"""),"")</f>
        <v/>
      </c>
      <c r="H526" s="508" t="str">
        <f>IFERROR(__xludf.DUMMYFUNCTION("""COMPUTED_VALUE"""),"")</f>
        <v/>
      </c>
      <c r="I526" s="510" t="str">
        <f>IFERROR(__xludf.DUMMYFUNCTION("""COMPUTED_VALUE"""),"")</f>
        <v/>
      </c>
      <c r="J526" s="508" t="str">
        <f>IFERROR(__xludf.DUMMYFUNCTION("""COMPUTED_VALUE"""),"")</f>
        <v/>
      </c>
      <c r="K526" s="510" t="str">
        <f>IFERROR(__xludf.DUMMYFUNCTION("""COMPUTED_VALUE"""),"")</f>
        <v/>
      </c>
      <c r="L526" s="508" t="str">
        <f>IFERROR(__xludf.DUMMYFUNCTION("""COMPUTED_VALUE"""),"")</f>
        <v/>
      </c>
      <c r="M526" s="508" t="str">
        <f>IFERROR(__xludf.DUMMYFUNCTION("""COMPUTED_VALUE"""),"")</f>
        <v/>
      </c>
      <c r="N526" s="508" t="str">
        <f>IFERROR(__xludf.DUMMYFUNCTION("""COMPUTED_VALUE"""),"")</f>
        <v/>
      </c>
      <c r="O526" s="508" t="str">
        <f>IFERROR(__xludf.DUMMYFUNCTION("""COMPUTED_VALUE"""),"")</f>
        <v/>
      </c>
      <c r="P526" s="510" t="str">
        <f>IFERROR(__xludf.DUMMYFUNCTION("""COMPUTED_VALUE"""),"")</f>
        <v/>
      </c>
      <c r="Q526" s="508" t="str">
        <f>IFERROR(__xludf.DUMMYFUNCTION("""COMPUTED_VALUE"""),"")</f>
        <v/>
      </c>
      <c r="R526" s="508" t="str">
        <f>IFERROR(__xludf.DUMMYFUNCTION("""COMPUTED_VALUE"""),"")</f>
        <v/>
      </c>
      <c r="S526" s="510" t="str">
        <f>IFERROR(__xludf.DUMMYFUNCTION("""COMPUTED_VALUE"""),"")</f>
        <v/>
      </c>
      <c r="T526" s="510" t="str">
        <f>IFERROR(__xludf.DUMMYFUNCTION("""COMPUTED_VALUE"""),"")</f>
        <v/>
      </c>
    </row>
    <row r="527">
      <c r="A527" s="508" t="str">
        <f>IFERROR(__xludf.DUMMYFUNCTION("""COMPUTED_VALUE"""),"")</f>
        <v/>
      </c>
      <c r="B527" s="508" t="str">
        <f>IFERROR(__xludf.DUMMYFUNCTION("""COMPUTED_VALUE"""),"")</f>
        <v/>
      </c>
      <c r="C527" s="508" t="str">
        <f>IFERROR(__xludf.DUMMYFUNCTION("""COMPUTED_VALUE"""),"")</f>
        <v/>
      </c>
      <c r="D527" s="508" t="str">
        <f>IFERROR(__xludf.DUMMYFUNCTION("""COMPUTED_VALUE"""),"")</f>
        <v/>
      </c>
      <c r="E527" s="508" t="str">
        <f>IFERROR(__xludf.DUMMYFUNCTION("""COMPUTED_VALUE"""),"")</f>
        <v/>
      </c>
      <c r="F527" s="508" t="str">
        <f>IFERROR(__xludf.DUMMYFUNCTION("""COMPUTED_VALUE"""),"")</f>
        <v/>
      </c>
      <c r="G527" s="510" t="str">
        <f>IFERROR(__xludf.DUMMYFUNCTION("""COMPUTED_VALUE"""),"")</f>
        <v/>
      </c>
      <c r="H527" s="508" t="str">
        <f>IFERROR(__xludf.DUMMYFUNCTION("""COMPUTED_VALUE"""),"")</f>
        <v/>
      </c>
      <c r="I527" s="510" t="str">
        <f>IFERROR(__xludf.DUMMYFUNCTION("""COMPUTED_VALUE"""),"")</f>
        <v/>
      </c>
      <c r="J527" s="508" t="str">
        <f>IFERROR(__xludf.DUMMYFUNCTION("""COMPUTED_VALUE"""),"")</f>
        <v/>
      </c>
      <c r="K527" s="510" t="str">
        <f>IFERROR(__xludf.DUMMYFUNCTION("""COMPUTED_VALUE"""),"")</f>
        <v/>
      </c>
      <c r="L527" s="508" t="str">
        <f>IFERROR(__xludf.DUMMYFUNCTION("""COMPUTED_VALUE"""),"")</f>
        <v/>
      </c>
      <c r="M527" s="508" t="str">
        <f>IFERROR(__xludf.DUMMYFUNCTION("""COMPUTED_VALUE"""),"")</f>
        <v/>
      </c>
      <c r="N527" s="508" t="str">
        <f>IFERROR(__xludf.DUMMYFUNCTION("""COMPUTED_VALUE"""),"")</f>
        <v/>
      </c>
      <c r="O527" s="508" t="str">
        <f>IFERROR(__xludf.DUMMYFUNCTION("""COMPUTED_VALUE"""),"")</f>
        <v/>
      </c>
      <c r="P527" s="510" t="str">
        <f>IFERROR(__xludf.DUMMYFUNCTION("""COMPUTED_VALUE"""),"")</f>
        <v/>
      </c>
      <c r="Q527" s="508" t="str">
        <f>IFERROR(__xludf.DUMMYFUNCTION("""COMPUTED_VALUE"""),"")</f>
        <v/>
      </c>
      <c r="R527" s="508" t="str">
        <f>IFERROR(__xludf.DUMMYFUNCTION("""COMPUTED_VALUE"""),"")</f>
        <v/>
      </c>
      <c r="S527" s="510" t="str">
        <f>IFERROR(__xludf.DUMMYFUNCTION("""COMPUTED_VALUE"""),"")</f>
        <v/>
      </c>
      <c r="T527" s="510" t="str">
        <f>IFERROR(__xludf.DUMMYFUNCTION("""COMPUTED_VALUE"""),"")</f>
        <v/>
      </c>
    </row>
    <row r="528">
      <c r="A528" s="508" t="str">
        <f>IFERROR(__xludf.DUMMYFUNCTION("""COMPUTED_VALUE"""),"")</f>
        <v/>
      </c>
      <c r="B528" s="508" t="str">
        <f>IFERROR(__xludf.DUMMYFUNCTION("""COMPUTED_VALUE"""),"")</f>
        <v/>
      </c>
      <c r="C528" s="508" t="str">
        <f>IFERROR(__xludf.DUMMYFUNCTION("""COMPUTED_VALUE"""),"")</f>
        <v/>
      </c>
      <c r="D528" s="508" t="str">
        <f>IFERROR(__xludf.DUMMYFUNCTION("""COMPUTED_VALUE"""),"")</f>
        <v/>
      </c>
      <c r="E528" s="508" t="str">
        <f>IFERROR(__xludf.DUMMYFUNCTION("""COMPUTED_VALUE"""),"")</f>
        <v/>
      </c>
      <c r="F528" s="508" t="str">
        <f>IFERROR(__xludf.DUMMYFUNCTION("""COMPUTED_VALUE"""),"")</f>
        <v/>
      </c>
      <c r="G528" s="510" t="str">
        <f>IFERROR(__xludf.DUMMYFUNCTION("""COMPUTED_VALUE"""),"")</f>
        <v/>
      </c>
      <c r="H528" s="508" t="str">
        <f>IFERROR(__xludf.DUMMYFUNCTION("""COMPUTED_VALUE"""),"")</f>
        <v/>
      </c>
      <c r="I528" s="510" t="str">
        <f>IFERROR(__xludf.DUMMYFUNCTION("""COMPUTED_VALUE"""),"")</f>
        <v/>
      </c>
      <c r="J528" s="508" t="str">
        <f>IFERROR(__xludf.DUMMYFUNCTION("""COMPUTED_VALUE"""),"")</f>
        <v/>
      </c>
      <c r="K528" s="510" t="str">
        <f>IFERROR(__xludf.DUMMYFUNCTION("""COMPUTED_VALUE"""),"")</f>
        <v/>
      </c>
      <c r="L528" s="508" t="str">
        <f>IFERROR(__xludf.DUMMYFUNCTION("""COMPUTED_VALUE"""),"")</f>
        <v/>
      </c>
      <c r="M528" s="508" t="str">
        <f>IFERROR(__xludf.DUMMYFUNCTION("""COMPUTED_VALUE"""),"")</f>
        <v/>
      </c>
      <c r="N528" s="508" t="str">
        <f>IFERROR(__xludf.DUMMYFUNCTION("""COMPUTED_VALUE"""),"")</f>
        <v/>
      </c>
      <c r="O528" s="508" t="str">
        <f>IFERROR(__xludf.DUMMYFUNCTION("""COMPUTED_VALUE"""),"")</f>
        <v/>
      </c>
      <c r="P528" s="510" t="str">
        <f>IFERROR(__xludf.DUMMYFUNCTION("""COMPUTED_VALUE"""),"")</f>
        <v/>
      </c>
      <c r="Q528" s="508" t="str">
        <f>IFERROR(__xludf.DUMMYFUNCTION("""COMPUTED_VALUE"""),"")</f>
        <v/>
      </c>
      <c r="R528" s="508" t="str">
        <f>IFERROR(__xludf.DUMMYFUNCTION("""COMPUTED_VALUE"""),"")</f>
        <v/>
      </c>
      <c r="S528" s="510" t="str">
        <f>IFERROR(__xludf.DUMMYFUNCTION("""COMPUTED_VALUE"""),"")</f>
        <v/>
      </c>
      <c r="T528" s="510" t="str">
        <f>IFERROR(__xludf.DUMMYFUNCTION("""COMPUTED_VALUE"""),"")</f>
        <v/>
      </c>
    </row>
    <row r="529">
      <c r="A529" s="508" t="str">
        <f>IFERROR(__xludf.DUMMYFUNCTION("""COMPUTED_VALUE"""),"")</f>
        <v/>
      </c>
      <c r="B529" s="508" t="str">
        <f>IFERROR(__xludf.DUMMYFUNCTION("""COMPUTED_VALUE"""),"")</f>
        <v/>
      </c>
      <c r="C529" s="508" t="str">
        <f>IFERROR(__xludf.DUMMYFUNCTION("""COMPUTED_VALUE"""),"")</f>
        <v/>
      </c>
      <c r="D529" s="508" t="str">
        <f>IFERROR(__xludf.DUMMYFUNCTION("""COMPUTED_VALUE"""),"")</f>
        <v/>
      </c>
      <c r="E529" s="508" t="str">
        <f>IFERROR(__xludf.DUMMYFUNCTION("""COMPUTED_VALUE"""),"")</f>
        <v/>
      </c>
      <c r="F529" s="508" t="str">
        <f>IFERROR(__xludf.DUMMYFUNCTION("""COMPUTED_VALUE"""),"")</f>
        <v/>
      </c>
      <c r="G529" s="510" t="str">
        <f>IFERROR(__xludf.DUMMYFUNCTION("""COMPUTED_VALUE"""),"")</f>
        <v/>
      </c>
      <c r="H529" s="508" t="str">
        <f>IFERROR(__xludf.DUMMYFUNCTION("""COMPUTED_VALUE"""),"")</f>
        <v/>
      </c>
      <c r="I529" s="510" t="str">
        <f>IFERROR(__xludf.DUMMYFUNCTION("""COMPUTED_VALUE"""),"")</f>
        <v/>
      </c>
      <c r="J529" s="508" t="str">
        <f>IFERROR(__xludf.DUMMYFUNCTION("""COMPUTED_VALUE"""),"")</f>
        <v/>
      </c>
      <c r="K529" s="510" t="str">
        <f>IFERROR(__xludf.DUMMYFUNCTION("""COMPUTED_VALUE"""),"")</f>
        <v/>
      </c>
      <c r="L529" s="508" t="str">
        <f>IFERROR(__xludf.DUMMYFUNCTION("""COMPUTED_VALUE"""),"")</f>
        <v/>
      </c>
      <c r="M529" s="508" t="str">
        <f>IFERROR(__xludf.DUMMYFUNCTION("""COMPUTED_VALUE"""),"")</f>
        <v/>
      </c>
      <c r="N529" s="508" t="str">
        <f>IFERROR(__xludf.DUMMYFUNCTION("""COMPUTED_VALUE"""),"")</f>
        <v/>
      </c>
      <c r="O529" s="508" t="str">
        <f>IFERROR(__xludf.DUMMYFUNCTION("""COMPUTED_VALUE"""),"")</f>
        <v/>
      </c>
      <c r="P529" s="510" t="str">
        <f>IFERROR(__xludf.DUMMYFUNCTION("""COMPUTED_VALUE"""),"")</f>
        <v/>
      </c>
      <c r="Q529" s="508" t="str">
        <f>IFERROR(__xludf.DUMMYFUNCTION("""COMPUTED_VALUE"""),"")</f>
        <v/>
      </c>
      <c r="R529" s="508" t="str">
        <f>IFERROR(__xludf.DUMMYFUNCTION("""COMPUTED_VALUE"""),"")</f>
        <v/>
      </c>
      <c r="S529" s="510" t="str">
        <f>IFERROR(__xludf.DUMMYFUNCTION("""COMPUTED_VALUE"""),"")</f>
        <v/>
      </c>
      <c r="T529" s="510" t="str">
        <f>IFERROR(__xludf.DUMMYFUNCTION("""COMPUTED_VALUE"""),"")</f>
        <v/>
      </c>
    </row>
    <row r="530">
      <c r="A530" s="508" t="str">
        <f>IFERROR(__xludf.DUMMYFUNCTION("""COMPUTED_VALUE"""),"")</f>
        <v/>
      </c>
      <c r="B530" s="508" t="str">
        <f>IFERROR(__xludf.DUMMYFUNCTION("""COMPUTED_VALUE"""),"")</f>
        <v/>
      </c>
      <c r="C530" s="508" t="str">
        <f>IFERROR(__xludf.DUMMYFUNCTION("""COMPUTED_VALUE"""),"")</f>
        <v/>
      </c>
      <c r="D530" s="508" t="str">
        <f>IFERROR(__xludf.DUMMYFUNCTION("""COMPUTED_VALUE"""),"")</f>
        <v/>
      </c>
      <c r="E530" s="508" t="str">
        <f>IFERROR(__xludf.DUMMYFUNCTION("""COMPUTED_VALUE"""),"")</f>
        <v/>
      </c>
      <c r="F530" s="508" t="str">
        <f>IFERROR(__xludf.DUMMYFUNCTION("""COMPUTED_VALUE"""),"")</f>
        <v/>
      </c>
      <c r="G530" s="510" t="str">
        <f>IFERROR(__xludf.DUMMYFUNCTION("""COMPUTED_VALUE"""),"")</f>
        <v/>
      </c>
      <c r="H530" s="508" t="str">
        <f>IFERROR(__xludf.DUMMYFUNCTION("""COMPUTED_VALUE"""),"")</f>
        <v/>
      </c>
      <c r="I530" s="510" t="str">
        <f>IFERROR(__xludf.DUMMYFUNCTION("""COMPUTED_VALUE"""),"")</f>
        <v/>
      </c>
      <c r="J530" s="508" t="str">
        <f>IFERROR(__xludf.DUMMYFUNCTION("""COMPUTED_VALUE"""),"")</f>
        <v/>
      </c>
      <c r="K530" s="510" t="str">
        <f>IFERROR(__xludf.DUMMYFUNCTION("""COMPUTED_VALUE"""),"")</f>
        <v/>
      </c>
      <c r="L530" s="508" t="str">
        <f>IFERROR(__xludf.DUMMYFUNCTION("""COMPUTED_VALUE"""),"")</f>
        <v/>
      </c>
      <c r="M530" s="508" t="str">
        <f>IFERROR(__xludf.DUMMYFUNCTION("""COMPUTED_VALUE"""),"")</f>
        <v/>
      </c>
      <c r="N530" s="508" t="str">
        <f>IFERROR(__xludf.DUMMYFUNCTION("""COMPUTED_VALUE"""),"")</f>
        <v/>
      </c>
      <c r="O530" s="508" t="str">
        <f>IFERROR(__xludf.DUMMYFUNCTION("""COMPUTED_VALUE"""),"")</f>
        <v/>
      </c>
      <c r="P530" s="510" t="str">
        <f>IFERROR(__xludf.DUMMYFUNCTION("""COMPUTED_VALUE"""),"")</f>
        <v/>
      </c>
      <c r="Q530" s="508" t="str">
        <f>IFERROR(__xludf.DUMMYFUNCTION("""COMPUTED_VALUE"""),"")</f>
        <v/>
      </c>
      <c r="R530" s="508" t="str">
        <f>IFERROR(__xludf.DUMMYFUNCTION("""COMPUTED_VALUE"""),"")</f>
        <v/>
      </c>
      <c r="S530" s="510" t="str">
        <f>IFERROR(__xludf.DUMMYFUNCTION("""COMPUTED_VALUE"""),"")</f>
        <v/>
      </c>
      <c r="T530" s="510" t="str">
        <f>IFERROR(__xludf.DUMMYFUNCTION("""COMPUTED_VALUE"""),"")</f>
        <v/>
      </c>
    </row>
    <row r="531">
      <c r="A531" s="508" t="str">
        <f>IFERROR(__xludf.DUMMYFUNCTION("""COMPUTED_VALUE"""),"")</f>
        <v/>
      </c>
      <c r="B531" s="508" t="str">
        <f>IFERROR(__xludf.DUMMYFUNCTION("""COMPUTED_VALUE"""),"")</f>
        <v/>
      </c>
      <c r="C531" s="508" t="str">
        <f>IFERROR(__xludf.DUMMYFUNCTION("""COMPUTED_VALUE"""),"")</f>
        <v/>
      </c>
      <c r="D531" s="508" t="str">
        <f>IFERROR(__xludf.DUMMYFUNCTION("""COMPUTED_VALUE"""),"")</f>
        <v/>
      </c>
      <c r="E531" s="508" t="str">
        <f>IFERROR(__xludf.DUMMYFUNCTION("""COMPUTED_VALUE"""),"")</f>
        <v/>
      </c>
      <c r="F531" s="508" t="str">
        <f>IFERROR(__xludf.DUMMYFUNCTION("""COMPUTED_VALUE"""),"")</f>
        <v/>
      </c>
      <c r="G531" s="510" t="str">
        <f>IFERROR(__xludf.DUMMYFUNCTION("""COMPUTED_VALUE"""),"")</f>
        <v/>
      </c>
      <c r="H531" s="508" t="str">
        <f>IFERROR(__xludf.DUMMYFUNCTION("""COMPUTED_VALUE"""),"")</f>
        <v/>
      </c>
      <c r="I531" s="510" t="str">
        <f>IFERROR(__xludf.DUMMYFUNCTION("""COMPUTED_VALUE"""),"")</f>
        <v/>
      </c>
      <c r="J531" s="508" t="str">
        <f>IFERROR(__xludf.DUMMYFUNCTION("""COMPUTED_VALUE"""),"")</f>
        <v/>
      </c>
      <c r="K531" s="510" t="str">
        <f>IFERROR(__xludf.DUMMYFUNCTION("""COMPUTED_VALUE"""),"")</f>
        <v/>
      </c>
      <c r="L531" s="508" t="str">
        <f>IFERROR(__xludf.DUMMYFUNCTION("""COMPUTED_VALUE"""),"")</f>
        <v/>
      </c>
      <c r="M531" s="508" t="str">
        <f>IFERROR(__xludf.DUMMYFUNCTION("""COMPUTED_VALUE"""),"")</f>
        <v/>
      </c>
      <c r="N531" s="508" t="str">
        <f>IFERROR(__xludf.DUMMYFUNCTION("""COMPUTED_VALUE"""),"")</f>
        <v/>
      </c>
      <c r="O531" s="508" t="str">
        <f>IFERROR(__xludf.DUMMYFUNCTION("""COMPUTED_VALUE"""),"")</f>
        <v/>
      </c>
      <c r="P531" s="510" t="str">
        <f>IFERROR(__xludf.DUMMYFUNCTION("""COMPUTED_VALUE"""),"")</f>
        <v/>
      </c>
      <c r="Q531" s="508" t="str">
        <f>IFERROR(__xludf.DUMMYFUNCTION("""COMPUTED_VALUE"""),"")</f>
        <v/>
      </c>
      <c r="R531" s="508" t="str">
        <f>IFERROR(__xludf.DUMMYFUNCTION("""COMPUTED_VALUE"""),"")</f>
        <v/>
      </c>
      <c r="S531" s="510" t="str">
        <f>IFERROR(__xludf.DUMMYFUNCTION("""COMPUTED_VALUE"""),"")</f>
        <v/>
      </c>
      <c r="T531" s="510" t="str">
        <f>IFERROR(__xludf.DUMMYFUNCTION("""COMPUTED_VALUE"""),"")</f>
        <v/>
      </c>
    </row>
    <row r="532">
      <c r="A532" s="508" t="str">
        <f>IFERROR(__xludf.DUMMYFUNCTION("""COMPUTED_VALUE"""),"")</f>
        <v/>
      </c>
      <c r="B532" s="508" t="str">
        <f>IFERROR(__xludf.DUMMYFUNCTION("""COMPUTED_VALUE"""),"")</f>
        <v/>
      </c>
      <c r="C532" s="508" t="str">
        <f>IFERROR(__xludf.DUMMYFUNCTION("""COMPUTED_VALUE"""),"")</f>
        <v/>
      </c>
      <c r="D532" s="508" t="str">
        <f>IFERROR(__xludf.DUMMYFUNCTION("""COMPUTED_VALUE"""),"")</f>
        <v/>
      </c>
      <c r="E532" s="508" t="str">
        <f>IFERROR(__xludf.DUMMYFUNCTION("""COMPUTED_VALUE"""),"")</f>
        <v/>
      </c>
      <c r="F532" s="508" t="str">
        <f>IFERROR(__xludf.DUMMYFUNCTION("""COMPUTED_VALUE"""),"")</f>
        <v/>
      </c>
      <c r="G532" s="510" t="str">
        <f>IFERROR(__xludf.DUMMYFUNCTION("""COMPUTED_VALUE"""),"")</f>
        <v/>
      </c>
      <c r="H532" s="508" t="str">
        <f>IFERROR(__xludf.DUMMYFUNCTION("""COMPUTED_VALUE"""),"")</f>
        <v/>
      </c>
      <c r="I532" s="510" t="str">
        <f>IFERROR(__xludf.DUMMYFUNCTION("""COMPUTED_VALUE"""),"")</f>
        <v/>
      </c>
      <c r="J532" s="508" t="str">
        <f>IFERROR(__xludf.DUMMYFUNCTION("""COMPUTED_VALUE"""),"")</f>
        <v/>
      </c>
      <c r="K532" s="510" t="str">
        <f>IFERROR(__xludf.DUMMYFUNCTION("""COMPUTED_VALUE"""),"")</f>
        <v/>
      </c>
      <c r="L532" s="508" t="str">
        <f>IFERROR(__xludf.DUMMYFUNCTION("""COMPUTED_VALUE"""),"")</f>
        <v/>
      </c>
      <c r="M532" s="508" t="str">
        <f>IFERROR(__xludf.DUMMYFUNCTION("""COMPUTED_VALUE"""),"")</f>
        <v/>
      </c>
      <c r="N532" s="508" t="str">
        <f>IFERROR(__xludf.DUMMYFUNCTION("""COMPUTED_VALUE"""),"")</f>
        <v/>
      </c>
      <c r="O532" s="508" t="str">
        <f>IFERROR(__xludf.DUMMYFUNCTION("""COMPUTED_VALUE"""),"")</f>
        <v/>
      </c>
      <c r="P532" s="510" t="str">
        <f>IFERROR(__xludf.DUMMYFUNCTION("""COMPUTED_VALUE"""),"")</f>
        <v/>
      </c>
      <c r="Q532" s="508" t="str">
        <f>IFERROR(__xludf.DUMMYFUNCTION("""COMPUTED_VALUE"""),"")</f>
        <v/>
      </c>
      <c r="R532" s="508" t="str">
        <f>IFERROR(__xludf.DUMMYFUNCTION("""COMPUTED_VALUE"""),"")</f>
        <v/>
      </c>
      <c r="S532" s="510" t="str">
        <f>IFERROR(__xludf.DUMMYFUNCTION("""COMPUTED_VALUE"""),"")</f>
        <v/>
      </c>
      <c r="T532" s="510" t="str">
        <f>IFERROR(__xludf.DUMMYFUNCTION("""COMPUTED_VALUE"""),"")</f>
        <v/>
      </c>
    </row>
    <row r="533">
      <c r="A533" s="508" t="str">
        <f>IFERROR(__xludf.DUMMYFUNCTION("""COMPUTED_VALUE"""),"")</f>
        <v/>
      </c>
      <c r="B533" s="508" t="str">
        <f>IFERROR(__xludf.DUMMYFUNCTION("""COMPUTED_VALUE"""),"")</f>
        <v/>
      </c>
      <c r="C533" s="508" t="str">
        <f>IFERROR(__xludf.DUMMYFUNCTION("""COMPUTED_VALUE"""),"")</f>
        <v/>
      </c>
      <c r="D533" s="508" t="str">
        <f>IFERROR(__xludf.DUMMYFUNCTION("""COMPUTED_VALUE"""),"")</f>
        <v/>
      </c>
      <c r="E533" s="508" t="str">
        <f>IFERROR(__xludf.DUMMYFUNCTION("""COMPUTED_VALUE"""),"")</f>
        <v/>
      </c>
      <c r="F533" s="508" t="str">
        <f>IFERROR(__xludf.DUMMYFUNCTION("""COMPUTED_VALUE"""),"")</f>
        <v/>
      </c>
      <c r="G533" s="510" t="str">
        <f>IFERROR(__xludf.DUMMYFUNCTION("""COMPUTED_VALUE"""),"")</f>
        <v/>
      </c>
      <c r="H533" s="508" t="str">
        <f>IFERROR(__xludf.DUMMYFUNCTION("""COMPUTED_VALUE"""),"")</f>
        <v/>
      </c>
      <c r="I533" s="510" t="str">
        <f>IFERROR(__xludf.DUMMYFUNCTION("""COMPUTED_VALUE"""),"")</f>
        <v/>
      </c>
      <c r="J533" s="508" t="str">
        <f>IFERROR(__xludf.DUMMYFUNCTION("""COMPUTED_VALUE"""),"")</f>
        <v/>
      </c>
      <c r="K533" s="510" t="str">
        <f>IFERROR(__xludf.DUMMYFUNCTION("""COMPUTED_VALUE"""),"")</f>
        <v/>
      </c>
      <c r="L533" s="508" t="str">
        <f>IFERROR(__xludf.DUMMYFUNCTION("""COMPUTED_VALUE"""),"")</f>
        <v/>
      </c>
      <c r="M533" s="508" t="str">
        <f>IFERROR(__xludf.DUMMYFUNCTION("""COMPUTED_VALUE"""),"")</f>
        <v/>
      </c>
      <c r="N533" s="508" t="str">
        <f>IFERROR(__xludf.DUMMYFUNCTION("""COMPUTED_VALUE"""),"")</f>
        <v/>
      </c>
      <c r="O533" s="508" t="str">
        <f>IFERROR(__xludf.DUMMYFUNCTION("""COMPUTED_VALUE"""),"")</f>
        <v/>
      </c>
      <c r="P533" s="510" t="str">
        <f>IFERROR(__xludf.DUMMYFUNCTION("""COMPUTED_VALUE"""),"")</f>
        <v/>
      </c>
      <c r="Q533" s="508" t="str">
        <f>IFERROR(__xludf.DUMMYFUNCTION("""COMPUTED_VALUE"""),"")</f>
        <v/>
      </c>
      <c r="R533" s="508" t="str">
        <f>IFERROR(__xludf.DUMMYFUNCTION("""COMPUTED_VALUE"""),"")</f>
        <v/>
      </c>
      <c r="S533" s="510" t="str">
        <f>IFERROR(__xludf.DUMMYFUNCTION("""COMPUTED_VALUE"""),"")</f>
        <v/>
      </c>
      <c r="T533" s="510" t="str">
        <f>IFERROR(__xludf.DUMMYFUNCTION("""COMPUTED_VALUE"""),"")</f>
        <v/>
      </c>
    </row>
    <row r="534">
      <c r="A534" s="508" t="str">
        <f>IFERROR(__xludf.DUMMYFUNCTION("""COMPUTED_VALUE"""),"")</f>
        <v/>
      </c>
      <c r="B534" s="508" t="str">
        <f>IFERROR(__xludf.DUMMYFUNCTION("""COMPUTED_VALUE"""),"")</f>
        <v/>
      </c>
      <c r="C534" s="508" t="str">
        <f>IFERROR(__xludf.DUMMYFUNCTION("""COMPUTED_VALUE"""),"")</f>
        <v/>
      </c>
      <c r="D534" s="508" t="str">
        <f>IFERROR(__xludf.DUMMYFUNCTION("""COMPUTED_VALUE"""),"")</f>
        <v/>
      </c>
      <c r="E534" s="508" t="str">
        <f>IFERROR(__xludf.DUMMYFUNCTION("""COMPUTED_VALUE"""),"")</f>
        <v/>
      </c>
      <c r="F534" s="508" t="str">
        <f>IFERROR(__xludf.DUMMYFUNCTION("""COMPUTED_VALUE"""),"")</f>
        <v/>
      </c>
      <c r="G534" s="510" t="str">
        <f>IFERROR(__xludf.DUMMYFUNCTION("""COMPUTED_VALUE"""),"")</f>
        <v/>
      </c>
      <c r="H534" s="508" t="str">
        <f>IFERROR(__xludf.DUMMYFUNCTION("""COMPUTED_VALUE"""),"")</f>
        <v/>
      </c>
      <c r="I534" s="510" t="str">
        <f>IFERROR(__xludf.DUMMYFUNCTION("""COMPUTED_VALUE"""),"")</f>
        <v/>
      </c>
      <c r="J534" s="508" t="str">
        <f>IFERROR(__xludf.DUMMYFUNCTION("""COMPUTED_VALUE"""),"")</f>
        <v/>
      </c>
      <c r="K534" s="510" t="str">
        <f>IFERROR(__xludf.DUMMYFUNCTION("""COMPUTED_VALUE"""),"")</f>
        <v/>
      </c>
      <c r="L534" s="508" t="str">
        <f>IFERROR(__xludf.DUMMYFUNCTION("""COMPUTED_VALUE"""),"")</f>
        <v/>
      </c>
      <c r="M534" s="508" t="str">
        <f>IFERROR(__xludf.DUMMYFUNCTION("""COMPUTED_VALUE"""),"")</f>
        <v/>
      </c>
      <c r="N534" s="508" t="str">
        <f>IFERROR(__xludf.DUMMYFUNCTION("""COMPUTED_VALUE"""),"")</f>
        <v/>
      </c>
      <c r="O534" s="508" t="str">
        <f>IFERROR(__xludf.DUMMYFUNCTION("""COMPUTED_VALUE"""),"")</f>
        <v/>
      </c>
      <c r="P534" s="510" t="str">
        <f>IFERROR(__xludf.DUMMYFUNCTION("""COMPUTED_VALUE"""),"")</f>
        <v/>
      </c>
      <c r="Q534" s="508" t="str">
        <f>IFERROR(__xludf.DUMMYFUNCTION("""COMPUTED_VALUE"""),"")</f>
        <v/>
      </c>
      <c r="R534" s="508" t="str">
        <f>IFERROR(__xludf.DUMMYFUNCTION("""COMPUTED_VALUE"""),"")</f>
        <v/>
      </c>
      <c r="S534" s="510" t="str">
        <f>IFERROR(__xludf.DUMMYFUNCTION("""COMPUTED_VALUE"""),"")</f>
        <v/>
      </c>
      <c r="T534" s="510" t="str">
        <f>IFERROR(__xludf.DUMMYFUNCTION("""COMPUTED_VALUE"""),"")</f>
        <v/>
      </c>
    </row>
    <row r="535">
      <c r="A535" s="508" t="str">
        <f>IFERROR(__xludf.DUMMYFUNCTION("""COMPUTED_VALUE"""),"")</f>
        <v/>
      </c>
      <c r="B535" s="508" t="str">
        <f>IFERROR(__xludf.DUMMYFUNCTION("""COMPUTED_VALUE"""),"")</f>
        <v/>
      </c>
      <c r="C535" s="508" t="str">
        <f>IFERROR(__xludf.DUMMYFUNCTION("""COMPUTED_VALUE"""),"")</f>
        <v/>
      </c>
      <c r="D535" s="508" t="str">
        <f>IFERROR(__xludf.DUMMYFUNCTION("""COMPUTED_VALUE"""),"")</f>
        <v/>
      </c>
      <c r="E535" s="508" t="str">
        <f>IFERROR(__xludf.DUMMYFUNCTION("""COMPUTED_VALUE"""),"")</f>
        <v/>
      </c>
      <c r="F535" s="508" t="str">
        <f>IFERROR(__xludf.DUMMYFUNCTION("""COMPUTED_VALUE"""),"")</f>
        <v/>
      </c>
      <c r="G535" s="510" t="str">
        <f>IFERROR(__xludf.DUMMYFUNCTION("""COMPUTED_VALUE"""),"")</f>
        <v/>
      </c>
      <c r="H535" s="508" t="str">
        <f>IFERROR(__xludf.DUMMYFUNCTION("""COMPUTED_VALUE"""),"")</f>
        <v/>
      </c>
      <c r="I535" s="510" t="str">
        <f>IFERROR(__xludf.DUMMYFUNCTION("""COMPUTED_VALUE"""),"")</f>
        <v/>
      </c>
      <c r="J535" s="508" t="str">
        <f>IFERROR(__xludf.DUMMYFUNCTION("""COMPUTED_VALUE"""),"")</f>
        <v/>
      </c>
      <c r="K535" s="510" t="str">
        <f>IFERROR(__xludf.DUMMYFUNCTION("""COMPUTED_VALUE"""),"")</f>
        <v/>
      </c>
      <c r="L535" s="508" t="str">
        <f>IFERROR(__xludf.DUMMYFUNCTION("""COMPUTED_VALUE"""),"")</f>
        <v/>
      </c>
      <c r="M535" s="508" t="str">
        <f>IFERROR(__xludf.DUMMYFUNCTION("""COMPUTED_VALUE"""),"")</f>
        <v/>
      </c>
      <c r="N535" s="508" t="str">
        <f>IFERROR(__xludf.DUMMYFUNCTION("""COMPUTED_VALUE"""),"")</f>
        <v/>
      </c>
      <c r="O535" s="508" t="str">
        <f>IFERROR(__xludf.DUMMYFUNCTION("""COMPUTED_VALUE"""),"")</f>
        <v/>
      </c>
      <c r="P535" s="510" t="str">
        <f>IFERROR(__xludf.DUMMYFUNCTION("""COMPUTED_VALUE"""),"")</f>
        <v/>
      </c>
      <c r="Q535" s="508" t="str">
        <f>IFERROR(__xludf.DUMMYFUNCTION("""COMPUTED_VALUE"""),"")</f>
        <v/>
      </c>
      <c r="R535" s="508" t="str">
        <f>IFERROR(__xludf.DUMMYFUNCTION("""COMPUTED_VALUE"""),"")</f>
        <v/>
      </c>
      <c r="S535" s="510" t="str">
        <f>IFERROR(__xludf.DUMMYFUNCTION("""COMPUTED_VALUE"""),"")</f>
        <v/>
      </c>
      <c r="T535" s="510" t="str">
        <f>IFERROR(__xludf.DUMMYFUNCTION("""COMPUTED_VALUE"""),"")</f>
        <v/>
      </c>
    </row>
    <row r="536">
      <c r="A536" s="508" t="str">
        <f>IFERROR(__xludf.DUMMYFUNCTION("""COMPUTED_VALUE"""),"")</f>
        <v/>
      </c>
      <c r="B536" s="508" t="str">
        <f>IFERROR(__xludf.DUMMYFUNCTION("""COMPUTED_VALUE"""),"")</f>
        <v/>
      </c>
      <c r="C536" s="508" t="str">
        <f>IFERROR(__xludf.DUMMYFUNCTION("""COMPUTED_VALUE"""),"")</f>
        <v/>
      </c>
      <c r="D536" s="508" t="str">
        <f>IFERROR(__xludf.DUMMYFUNCTION("""COMPUTED_VALUE"""),"")</f>
        <v/>
      </c>
      <c r="E536" s="508" t="str">
        <f>IFERROR(__xludf.DUMMYFUNCTION("""COMPUTED_VALUE"""),"")</f>
        <v/>
      </c>
      <c r="F536" s="508" t="str">
        <f>IFERROR(__xludf.DUMMYFUNCTION("""COMPUTED_VALUE"""),"")</f>
        <v/>
      </c>
      <c r="G536" s="510" t="str">
        <f>IFERROR(__xludf.DUMMYFUNCTION("""COMPUTED_VALUE"""),"")</f>
        <v/>
      </c>
      <c r="H536" s="508" t="str">
        <f>IFERROR(__xludf.DUMMYFUNCTION("""COMPUTED_VALUE"""),"")</f>
        <v/>
      </c>
      <c r="I536" s="510" t="str">
        <f>IFERROR(__xludf.DUMMYFUNCTION("""COMPUTED_VALUE"""),"")</f>
        <v/>
      </c>
      <c r="J536" s="508" t="str">
        <f>IFERROR(__xludf.DUMMYFUNCTION("""COMPUTED_VALUE"""),"")</f>
        <v/>
      </c>
      <c r="K536" s="510" t="str">
        <f>IFERROR(__xludf.DUMMYFUNCTION("""COMPUTED_VALUE"""),"")</f>
        <v/>
      </c>
      <c r="L536" s="508" t="str">
        <f>IFERROR(__xludf.DUMMYFUNCTION("""COMPUTED_VALUE"""),"")</f>
        <v/>
      </c>
      <c r="M536" s="508" t="str">
        <f>IFERROR(__xludf.DUMMYFUNCTION("""COMPUTED_VALUE"""),"")</f>
        <v/>
      </c>
      <c r="N536" s="508" t="str">
        <f>IFERROR(__xludf.DUMMYFUNCTION("""COMPUTED_VALUE"""),"")</f>
        <v/>
      </c>
      <c r="O536" s="508" t="str">
        <f>IFERROR(__xludf.DUMMYFUNCTION("""COMPUTED_VALUE"""),"")</f>
        <v/>
      </c>
      <c r="P536" s="510" t="str">
        <f>IFERROR(__xludf.DUMMYFUNCTION("""COMPUTED_VALUE"""),"")</f>
        <v/>
      </c>
      <c r="Q536" s="508" t="str">
        <f>IFERROR(__xludf.DUMMYFUNCTION("""COMPUTED_VALUE"""),"")</f>
        <v/>
      </c>
      <c r="R536" s="508" t="str">
        <f>IFERROR(__xludf.DUMMYFUNCTION("""COMPUTED_VALUE"""),"")</f>
        <v/>
      </c>
      <c r="S536" s="510" t="str">
        <f>IFERROR(__xludf.DUMMYFUNCTION("""COMPUTED_VALUE"""),"")</f>
        <v/>
      </c>
      <c r="T536" s="510" t="str">
        <f>IFERROR(__xludf.DUMMYFUNCTION("""COMPUTED_VALUE"""),"")</f>
        <v/>
      </c>
    </row>
    <row r="537">
      <c r="A537" s="508" t="str">
        <f>IFERROR(__xludf.DUMMYFUNCTION("""COMPUTED_VALUE"""),"")</f>
        <v/>
      </c>
      <c r="B537" s="508" t="str">
        <f>IFERROR(__xludf.DUMMYFUNCTION("""COMPUTED_VALUE"""),"")</f>
        <v/>
      </c>
      <c r="C537" s="508" t="str">
        <f>IFERROR(__xludf.DUMMYFUNCTION("""COMPUTED_VALUE"""),"")</f>
        <v/>
      </c>
      <c r="D537" s="508" t="str">
        <f>IFERROR(__xludf.DUMMYFUNCTION("""COMPUTED_VALUE"""),"")</f>
        <v/>
      </c>
      <c r="E537" s="508" t="str">
        <f>IFERROR(__xludf.DUMMYFUNCTION("""COMPUTED_VALUE"""),"")</f>
        <v/>
      </c>
      <c r="F537" s="508" t="str">
        <f>IFERROR(__xludf.DUMMYFUNCTION("""COMPUTED_VALUE"""),"")</f>
        <v/>
      </c>
      <c r="G537" s="510" t="str">
        <f>IFERROR(__xludf.DUMMYFUNCTION("""COMPUTED_VALUE"""),"")</f>
        <v/>
      </c>
      <c r="H537" s="508" t="str">
        <f>IFERROR(__xludf.DUMMYFUNCTION("""COMPUTED_VALUE"""),"")</f>
        <v/>
      </c>
      <c r="I537" s="510" t="str">
        <f>IFERROR(__xludf.DUMMYFUNCTION("""COMPUTED_VALUE"""),"")</f>
        <v/>
      </c>
      <c r="J537" s="508" t="str">
        <f>IFERROR(__xludf.DUMMYFUNCTION("""COMPUTED_VALUE"""),"")</f>
        <v/>
      </c>
      <c r="K537" s="510" t="str">
        <f>IFERROR(__xludf.DUMMYFUNCTION("""COMPUTED_VALUE"""),"")</f>
        <v/>
      </c>
      <c r="L537" s="508" t="str">
        <f>IFERROR(__xludf.DUMMYFUNCTION("""COMPUTED_VALUE"""),"")</f>
        <v/>
      </c>
      <c r="M537" s="508" t="str">
        <f>IFERROR(__xludf.DUMMYFUNCTION("""COMPUTED_VALUE"""),"")</f>
        <v/>
      </c>
      <c r="N537" s="508" t="str">
        <f>IFERROR(__xludf.DUMMYFUNCTION("""COMPUTED_VALUE"""),"")</f>
        <v/>
      </c>
      <c r="O537" s="508" t="str">
        <f>IFERROR(__xludf.DUMMYFUNCTION("""COMPUTED_VALUE"""),"")</f>
        <v/>
      </c>
      <c r="P537" s="510" t="str">
        <f>IFERROR(__xludf.DUMMYFUNCTION("""COMPUTED_VALUE"""),"")</f>
        <v/>
      </c>
      <c r="Q537" s="508" t="str">
        <f>IFERROR(__xludf.DUMMYFUNCTION("""COMPUTED_VALUE"""),"")</f>
        <v/>
      </c>
      <c r="R537" s="508" t="str">
        <f>IFERROR(__xludf.DUMMYFUNCTION("""COMPUTED_VALUE"""),"")</f>
        <v/>
      </c>
      <c r="S537" s="510" t="str">
        <f>IFERROR(__xludf.DUMMYFUNCTION("""COMPUTED_VALUE"""),"")</f>
        <v/>
      </c>
      <c r="T537" s="510" t="str">
        <f>IFERROR(__xludf.DUMMYFUNCTION("""COMPUTED_VALUE"""),"")</f>
        <v/>
      </c>
    </row>
    <row r="538">
      <c r="A538" s="508" t="str">
        <f>IFERROR(__xludf.DUMMYFUNCTION("""COMPUTED_VALUE"""),"")</f>
        <v/>
      </c>
      <c r="B538" s="508" t="str">
        <f>IFERROR(__xludf.DUMMYFUNCTION("""COMPUTED_VALUE"""),"")</f>
        <v/>
      </c>
      <c r="C538" s="508" t="str">
        <f>IFERROR(__xludf.DUMMYFUNCTION("""COMPUTED_VALUE"""),"")</f>
        <v/>
      </c>
      <c r="D538" s="508" t="str">
        <f>IFERROR(__xludf.DUMMYFUNCTION("""COMPUTED_VALUE"""),"")</f>
        <v/>
      </c>
      <c r="E538" s="508" t="str">
        <f>IFERROR(__xludf.DUMMYFUNCTION("""COMPUTED_VALUE"""),"")</f>
        <v/>
      </c>
      <c r="F538" s="508" t="str">
        <f>IFERROR(__xludf.DUMMYFUNCTION("""COMPUTED_VALUE"""),"")</f>
        <v/>
      </c>
      <c r="G538" s="510" t="str">
        <f>IFERROR(__xludf.DUMMYFUNCTION("""COMPUTED_VALUE"""),"")</f>
        <v/>
      </c>
      <c r="H538" s="508" t="str">
        <f>IFERROR(__xludf.DUMMYFUNCTION("""COMPUTED_VALUE"""),"")</f>
        <v/>
      </c>
      <c r="I538" s="510" t="str">
        <f>IFERROR(__xludf.DUMMYFUNCTION("""COMPUTED_VALUE"""),"")</f>
        <v/>
      </c>
      <c r="J538" s="508" t="str">
        <f>IFERROR(__xludf.DUMMYFUNCTION("""COMPUTED_VALUE"""),"")</f>
        <v/>
      </c>
      <c r="K538" s="510" t="str">
        <f>IFERROR(__xludf.DUMMYFUNCTION("""COMPUTED_VALUE"""),"")</f>
        <v/>
      </c>
      <c r="L538" s="508" t="str">
        <f>IFERROR(__xludf.DUMMYFUNCTION("""COMPUTED_VALUE"""),"")</f>
        <v/>
      </c>
      <c r="M538" s="508" t="str">
        <f>IFERROR(__xludf.DUMMYFUNCTION("""COMPUTED_VALUE"""),"")</f>
        <v/>
      </c>
      <c r="N538" s="508" t="str">
        <f>IFERROR(__xludf.DUMMYFUNCTION("""COMPUTED_VALUE"""),"")</f>
        <v/>
      </c>
      <c r="O538" s="508" t="str">
        <f>IFERROR(__xludf.DUMMYFUNCTION("""COMPUTED_VALUE"""),"")</f>
        <v/>
      </c>
      <c r="P538" s="510" t="str">
        <f>IFERROR(__xludf.DUMMYFUNCTION("""COMPUTED_VALUE"""),"")</f>
        <v/>
      </c>
      <c r="Q538" s="508" t="str">
        <f>IFERROR(__xludf.DUMMYFUNCTION("""COMPUTED_VALUE"""),"")</f>
        <v/>
      </c>
      <c r="R538" s="508" t="str">
        <f>IFERROR(__xludf.DUMMYFUNCTION("""COMPUTED_VALUE"""),"")</f>
        <v/>
      </c>
      <c r="S538" s="510" t="str">
        <f>IFERROR(__xludf.DUMMYFUNCTION("""COMPUTED_VALUE"""),"")</f>
        <v/>
      </c>
      <c r="T538" s="510" t="str">
        <f>IFERROR(__xludf.DUMMYFUNCTION("""COMPUTED_VALUE"""),"")</f>
        <v/>
      </c>
    </row>
    <row r="539">
      <c r="A539" s="508" t="str">
        <f>IFERROR(__xludf.DUMMYFUNCTION("""COMPUTED_VALUE"""),"")</f>
        <v/>
      </c>
      <c r="B539" s="508" t="str">
        <f>IFERROR(__xludf.DUMMYFUNCTION("""COMPUTED_VALUE"""),"")</f>
        <v/>
      </c>
      <c r="C539" s="508" t="str">
        <f>IFERROR(__xludf.DUMMYFUNCTION("""COMPUTED_VALUE"""),"")</f>
        <v/>
      </c>
      <c r="D539" s="508" t="str">
        <f>IFERROR(__xludf.DUMMYFUNCTION("""COMPUTED_VALUE"""),"")</f>
        <v/>
      </c>
      <c r="E539" s="508" t="str">
        <f>IFERROR(__xludf.DUMMYFUNCTION("""COMPUTED_VALUE"""),"")</f>
        <v/>
      </c>
      <c r="F539" s="508" t="str">
        <f>IFERROR(__xludf.DUMMYFUNCTION("""COMPUTED_VALUE"""),"")</f>
        <v/>
      </c>
      <c r="G539" s="510" t="str">
        <f>IFERROR(__xludf.DUMMYFUNCTION("""COMPUTED_VALUE"""),"")</f>
        <v/>
      </c>
      <c r="H539" s="508" t="str">
        <f>IFERROR(__xludf.DUMMYFUNCTION("""COMPUTED_VALUE"""),"")</f>
        <v/>
      </c>
      <c r="I539" s="510" t="str">
        <f>IFERROR(__xludf.DUMMYFUNCTION("""COMPUTED_VALUE"""),"")</f>
        <v/>
      </c>
      <c r="J539" s="508" t="str">
        <f>IFERROR(__xludf.DUMMYFUNCTION("""COMPUTED_VALUE"""),"")</f>
        <v/>
      </c>
      <c r="K539" s="510" t="str">
        <f>IFERROR(__xludf.DUMMYFUNCTION("""COMPUTED_VALUE"""),"")</f>
        <v/>
      </c>
      <c r="L539" s="508" t="str">
        <f>IFERROR(__xludf.DUMMYFUNCTION("""COMPUTED_VALUE"""),"")</f>
        <v/>
      </c>
      <c r="M539" s="508" t="str">
        <f>IFERROR(__xludf.DUMMYFUNCTION("""COMPUTED_VALUE"""),"")</f>
        <v/>
      </c>
      <c r="N539" s="508" t="str">
        <f>IFERROR(__xludf.DUMMYFUNCTION("""COMPUTED_VALUE"""),"")</f>
        <v/>
      </c>
      <c r="O539" s="508" t="str">
        <f>IFERROR(__xludf.DUMMYFUNCTION("""COMPUTED_VALUE"""),"")</f>
        <v/>
      </c>
      <c r="P539" s="510" t="str">
        <f>IFERROR(__xludf.DUMMYFUNCTION("""COMPUTED_VALUE"""),"")</f>
        <v/>
      </c>
      <c r="Q539" s="508" t="str">
        <f>IFERROR(__xludf.DUMMYFUNCTION("""COMPUTED_VALUE"""),"")</f>
        <v/>
      </c>
      <c r="R539" s="508" t="str">
        <f>IFERROR(__xludf.DUMMYFUNCTION("""COMPUTED_VALUE"""),"")</f>
        <v/>
      </c>
      <c r="S539" s="510" t="str">
        <f>IFERROR(__xludf.DUMMYFUNCTION("""COMPUTED_VALUE"""),"")</f>
        <v/>
      </c>
      <c r="T539" s="510" t="str">
        <f>IFERROR(__xludf.DUMMYFUNCTION("""COMPUTED_VALUE"""),"")</f>
        <v/>
      </c>
    </row>
    <row r="540">
      <c r="A540" s="508" t="str">
        <f>IFERROR(__xludf.DUMMYFUNCTION("""COMPUTED_VALUE"""),"")</f>
        <v/>
      </c>
      <c r="B540" s="508" t="str">
        <f>IFERROR(__xludf.DUMMYFUNCTION("""COMPUTED_VALUE"""),"")</f>
        <v/>
      </c>
      <c r="C540" s="508" t="str">
        <f>IFERROR(__xludf.DUMMYFUNCTION("""COMPUTED_VALUE"""),"")</f>
        <v/>
      </c>
      <c r="D540" s="508" t="str">
        <f>IFERROR(__xludf.DUMMYFUNCTION("""COMPUTED_VALUE"""),"")</f>
        <v/>
      </c>
      <c r="E540" s="508" t="str">
        <f>IFERROR(__xludf.DUMMYFUNCTION("""COMPUTED_VALUE"""),"")</f>
        <v/>
      </c>
      <c r="F540" s="508" t="str">
        <f>IFERROR(__xludf.DUMMYFUNCTION("""COMPUTED_VALUE"""),"")</f>
        <v/>
      </c>
      <c r="G540" s="510" t="str">
        <f>IFERROR(__xludf.DUMMYFUNCTION("""COMPUTED_VALUE"""),"")</f>
        <v/>
      </c>
      <c r="H540" s="508" t="str">
        <f>IFERROR(__xludf.DUMMYFUNCTION("""COMPUTED_VALUE"""),"")</f>
        <v/>
      </c>
      <c r="I540" s="510" t="str">
        <f>IFERROR(__xludf.DUMMYFUNCTION("""COMPUTED_VALUE"""),"")</f>
        <v/>
      </c>
      <c r="J540" s="508" t="str">
        <f>IFERROR(__xludf.DUMMYFUNCTION("""COMPUTED_VALUE"""),"")</f>
        <v/>
      </c>
      <c r="K540" s="510" t="str">
        <f>IFERROR(__xludf.DUMMYFUNCTION("""COMPUTED_VALUE"""),"")</f>
        <v/>
      </c>
      <c r="L540" s="508" t="str">
        <f>IFERROR(__xludf.DUMMYFUNCTION("""COMPUTED_VALUE"""),"")</f>
        <v/>
      </c>
      <c r="M540" s="508" t="str">
        <f>IFERROR(__xludf.DUMMYFUNCTION("""COMPUTED_VALUE"""),"")</f>
        <v/>
      </c>
      <c r="N540" s="508" t="str">
        <f>IFERROR(__xludf.DUMMYFUNCTION("""COMPUTED_VALUE"""),"")</f>
        <v/>
      </c>
      <c r="O540" s="508" t="str">
        <f>IFERROR(__xludf.DUMMYFUNCTION("""COMPUTED_VALUE"""),"")</f>
        <v/>
      </c>
      <c r="P540" s="510" t="str">
        <f>IFERROR(__xludf.DUMMYFUNCTION("""COMPUTED_VALUE"""),"")</f>
        <v/>
      </c>
      <c r="Q540" s="508" t="str">
        <f>IFERROR(__xludf.DUMMYFUNCTION("""COMPUTED_VALUE"""),"")</f>
        <v/>
      </c>
      <c r="R540" s="508" t="str">
        <f>IFERROR(__xludf.DUMMYFUNCTION("""COMPUTED_VALUE"""),"")</f>
        <v/>
      </c>
      <c r="S540" s="510" t="str">
        <f>IFERROR(__xludf.DUMMYFUNCTION("""COMPUTED_VALUE"""),"")</f>
        <v/>
      </c>
      <c r="T540" s="510" t="str">
        <f>IFERROR(__xludf.DUMMYFUNCTION("""COMPUTED_VALUE"""),"")</f>
        <v/>
      </c>
    </row>
    <row r="541">
      <c r="A541" s="508" t="str">
        <f>IFERROR(__xludf.DUMMYFUNCTION("""COMPUTED_VALUE"""),"")</f>
        <v/>
      </c>
      <c r="B541" s="508" t="str">
        <f>IFERROR(__xludf.DUMMYFUNCTION("""COMPUTED_VALUE"""),"")</f>
        <v/>
      </c>
      <c r="C541" s="508" t="str">
        <f>IFERROR(__xludf.DUMMYFUNCTION("""COMPUTED_VALUE"""),"")</f>
        <v/>
      </c>
      <c r="D541" s="508" t="str">
        <f>IFERROR(__xludf.DUMMYFUNCTION("""COMPUTED_VALUE"""),"")</f>
        <v/>
      </c>
      <c r="E541" s="508" t="str">
        <f>IFERROR(__xludf.DUMMYFUNCTION("""COMPUTED_VALUE"""),"")</f>
        <v/>
      </c>
      <c r="F541" s="508" t="str">
        <f>IFERROR(__xludf.DUMMYFUNCTION("""COMPUTED_VALUE"""),"")</f>
        <v/>
      </c>
      <c r="G541" s="510" t="str">
        <f>IFERROR(__xludf.DUMMYFUNCTION("""COMPUTED_VALUE"""),"")</f>
        <v/>
      </c>
      <c r="H541" s="508" t="str">
        <f>IFERROR(__xludf.DUMMYFUNCTION("""COMPUTED_VALUE"""),"")</f>
        <v/>
      </c>
      <c r="I541" s="510" t="str">
        <f>IFERROR(__xludf.DUMMYFUNCTION("""COMPUTED_VALUE"""),"")</f>
        <v/>
      </c>
      <c r="J541" s="508" t="str">
        <f>IFERROR(__xludf.DUMMYFUNCTION("""COMPUTED_VALUE"""),"")</f>
        <v/>
      </c>
      <c r="K541" s="510" t="str">
        <f>IFERROR(__xludf.DUMMYFUNCTION("""COMPUTED_VALUE"""),"")</f>
        <v/>
      </c>
      <c r="L541" s="508" t="str">
        <f>IFERROR(__xludf.DUMMYFUNCTION("""COMPUTED_VALUE"""),"")</f>
        <v/>
      </c>
      <c r="M541" s="508" t="str">
        <f>IFERROR(__xludf.DUMMYFUNCTION("""COMPUTED_VALUE"""),"")</f>
        <v/>
      </c>
      <c r="N541" s="508" t="str">
        <f>IFERROR(__xludf.DUMMYFUNCTION("""COMPUTED_VALUE"""),"")</f>
        <v/>
      </c>
      <c r="O541" s="508" t="str">
        <f>IFERROR(__xludf.DUMMYFUNCTION("""COMPUTED_VALUE"""),"")</f>
        <v/>
      </c>
      <c r="P541" s="510" t="str">
        <f>IFERROR(__xludf.DUMMYFUNCTION("""COMPUTED_VALUE"""),"")</f>
        <v/>
      </c>
      <c r="Q541" s="508" t="str">
        <f>IFERROR(__xludf.DUMMYFUNCTION("""COMPUTED_VALUE"""),"")</f>
        <v/>
      </c>
      <c r="R541" s="508" t="str">
        <f>IFERROR(__xludf.DUMMYFUNCTION("""COMPUTED_VALUE"""),"")</f>
        <v/>
      </c>
      <c r="S541" s="510" t="str">
        <f>IFERROR(__xludf.DUMMYFUNCTION("""COMPUTED_VALUE"""),"")</f>
        <v/>
      </c>
      <c r="T541" s="510" t="str">
        <f>IFERROR(__xludf.DUMMYFUNCTION("""COMPUTED_VALUE"""),"")</f>
        <v/>
      </c>
    </row>
    <row r="542">
      <c r="A542" s="508" t="str">
        <f>IFERROR(__xludf.DUMMYFUNCTION("""COMPUTED_VALUE"""),"")</f>
        <v/>
      </c>
      <c r="B542" s="508" t="str">
        <f>IFERROR(__xludf.DUMMYFUNCTION("""COMPUTED_VALUE"""),"")</f>
        <v/>
      </c>
      <c r="C542" s="508" t="str">
        <f>IFERROR(__xludf.DUMMYFUNCTION("""COMPUTED_VALUE"""),"")</f>
        <v/>
      </c>
      <c r="D542" s="508" t="str">
        <f>IFERROR(__xludf.DUMMYFUNCTION("""COMPUTED_VALUE"""),"")</f>
        <v/>
      </c>
      <c r="E542" s="508" t="str">
        <f>IFERROR(__xludf.DUMMYFUNCTION("""COMPUTED_VALUE"""),"")</f>
        <v/>
      </c>
      <c r="F542" s="508" t="str">
        <f>IFERROR(__xludf.DUMMYFUNCTION("""COMPUTED_VALUE"""),"")</f>
        <v/>
      </c>
      <c r="G542" s="510" t="str">
        <f>IFERROR(__xludf.DUMMYFUNCTION("""COMPUTED_VALUE"""),"")</f>
        <v/>
      </c>
      <c r="H542" s="508" t="str">
        <f>IFERROR(__xludf.DUMMYFUNCTION("""COMPUTED_VALUE"""),"")</f>
        <v/>
      </c>
      <c r="I542" s="510" t="str">
        <f>IFERROR(__xludf.DUMMYFUNCTION("""COMPUTED_VALUE"""),"")</f>
        <v/>
      </c>
      <c r="J542" s="508" t="str">
        <f>IFERROR(__xludf.DUMMYFUNCTION("""COMPUTED_VALUE"""),"")</f>
        <v/>
      </c>
      <c r="K542" s="510" t="str">
        <f>IFERROR(__xludf.DUMMYFUNCTION("""COMPUTED_VALUE"""),"")</f>
        <v/>
      </c>
      <c r="L542" s="508" t="str">
        <f>IFERROR(__xludf.DUMMYFUNCTION("""COMPUTED_VALUE"""),"")</f>
        <v/>
      </c>
      <c r="M542" s="508" t="str">
        <f>IFERROR(__xludf.DUMMYFUNCTION("""COMPUTED_VALUE"""),"")</f>
        <v/>
      </c>
      <c r="N542" s="508" t="str">
        <f>IFERROR(__xludf.DUMMYFUNCTION("""COMPUTED_VALUE"""),"")</f>
        <v/>
      </c>
      <c r="O542" s="508" t="str">
        <f>IFERROR(__xludf.DUMMYFUNCTION("""COMPUTED_VALUE"""),"")</f>
        <v/>
      </c>
      <c r="P542" s="510" t="str">
        <f>IFERROR(__xludf.DUMMYFUNCTION("""COMPUTED_VALUE"""),"")</f>
        <v/>
      </c>
      <c r="Q542" s="508" t="str">
        <f>IFERROR(__xludf.DUMMYFUNCTION("""COMPUTED_VALUE"""),"")</f>
        <v/>
      </c>
      <c r="R542" s="508" t="str">
        <f>IFERROR(__xludf.DUMMYFUNCTION("""COMPUTED_VALUE"""),"")</f>
        <v/>
      </c>
      <c r="S542" s="510" t="str">
        <f>IFERROR(__xludf.DUMMYFUNCTION("""COMPUTED_VALUE"""),"")</f>
        <v/>
      </c>
      <c r="T542" s="510" t="str">
        <f>IFERROR(__xludf.DUMMYFUNCTION("""COMPUTED_VALUE"""),"")</f>
        <v/>
      </c>
    </row>
    <row r="543">
      <c r="A543" s="508" t="str">
        <f>IFERROR(__xludf.DUMMYFUNCTION("""COMPUTED_VALUE"""),"")</f>
        <v/>
      </c>
      <c r="B543" s="508" t="str">
        <f>IFERROR(__xludf.DUMMYFUNCTION("""COMPUTED_VALUE"""),"")</f>
        <v/>
      </c>
      <c r="C543" s="508" t="str">
        <f>IFERROR(__xludf.DUMMYFUNCTION("""COMPUTED_VALUE"""),"")</f>
        <v/>
      </c>
      <c r="D543" s="508" t="str">
        <f>IFERROR(__xludf.DUMMYFUNCTION("""COMPUTED_VALUE"""),"")</f>
        <v/>
      </c>
      <c r="E543" s="508" t="str">
        <f>IFERROR(__xludf.DUMMYFUNCTION("""COMPUTED_VALUE"""),"")</f>
        <v/>
      </c>
      <c r="F543" s="508" t="str">
        <f>IFERROR(__xludf.DUMMYFUNCTION("""COMPUTED_VALUE"""),"")</f>
        <v/>
      </c>
      <c r="G543" s="510" t="str">
        <f>IFERROR(__xludf.DUMMYFUNCTION("""COMPUTED_VALUE"""),"")</f>
        <v/>
      </c>
      <c r="H543" s="508" t="str">
        <f>IFERROR(__xludf.DUMMYFUNCTION("""COMPUTED_VALUE"""),"")</f>
        <v/>
      </c>
      <c r="I543" s="510" t="str">
        <f>IFERROR(__xludf.DUMMYFUNCTION("""COMPUTED_VALUE"""),"")</f>
        <v/>
      </c>
      <c r="J543" s="508" t="str">
        <f>IFERROR(__xludf.DUMMYFUNCTION("""COMPUTED_VALUE"""),"")</f>
        <v/>
      </c>
      <c r="K543" s="510" t="str">
        <f>IFERROR(__xludf.DUMMYFUNCTION("""COMPUTED_VALUE"""),"")</f>
        <v/>
      </c>
      <c r="L543" s="508" t="str">
        <f>IFERROR(__xludf.DUMMYFUNCTION("""COMPUTED_VALUE"""),"")</f>
        <v/>
      </c>
      <c r="M543" s="508" t="str">
        <f>IFERROR(__xludf.DUMMYFUNCTION("""COMPUTED_VALUE"""),"")</f>
        <v/>
      </c>
      <c r="N543" s="508" t="str">
        <f>IFERROR(__xludf.DUMMYFUNCTION("""COMPUTED_VALUE"""),"")</f>
        <v/>
      </c>
      <c r="O543" s="508" t="str">
        <f>IFERROR(__xludf.DUMMYFUNCTION("""COMPUTED_VALUE"""),"")</f>
        <v/>
      </c>
      <c r="P543" s="510" t="str">
        <f>IFERROR(__xludf.DUMMYFUNCTION("""COMPUTED_VALUE"""),"")</f>
        <v/>
      </c>
      <c r="Q543" s="508" t="str">
        <f>IFERROR(__xludf.DUMMYFUNCTION("""COMPUTED_VALUE"""),"")</f>
        <v/>
      </c>
      <c r="R543" s="508" t="str">
        <f>IFERROR(__xludf.DUMMYFUNCTION("""COMPUTED_VALUE"""),"")</f>
        <v/>
      </c>
      <c r="S543" s="510" t="str">
        <f>IFERROR(__xludf.DUMMYFUNCTION("""COMPUTED_VALUE"""),"")</f>
        <v/>
      </c>
      <c r="T543" s="510" t="str">
        <f>IFERROR(__xludf.DUMMYFUNCTION("""COMPUTED_VALUE"""),"")</f>
        <v/>
      </c>
    </row>
    <row r="544">
      <c r="A544" s="508" t="str">
        <f>IFERROR(__xludf.DUMMYFUNCTION("""COMPUTED_VALUE"""),"")</f>
        <v/>
      </c>
      <c r="B544" s="508" t="str">
        <f>IFERROR(__xludf.DUMMYFUNCTION("""COMPUTED_VALUE"""),"")</f>
        <v/>
      </c>
      <c r="C544" s="508" t="str">
        <f>IFERROR(__xludf.DUMMYFUNCTION("""COMPUTED_VALUE"""),"")</f>
        <v/>
      </c>
      <c r="D544" s="508" t="str">
        <f>IFERROR(__xludf.DUMMYFUNCTION("""COMPUTED_VALUE"""),"")</f>
        <v/>
      </c>
      <c r="E544" s="508" t="str">
        <f>IFERROR(__xludf.DUMMYFUNCTION("""COMPUTED_VALUE"""),"")</f>
        <v/>
      </c>
      <c r="F544" s="508" t="str">
        <f>IFERROR(__xludf.DUMMYFUNCTION("""COMPUTED_VALUE"""),"")</f>
        <v/>
      </c>
      <c r="G544" s="510" t="str">
        <f>IFERROR(__xludf.DUMMYFUNCTION("""COMPUTED_VALUE"""),"")</f>
        <v/>
      </c>
      <c r="H544" s="508" t="str">
        <f>IFERROR(__xludf.DUMMYFUNCTION("""COMPUTED_VALUE"""),"")</f>
        <v/>
      </c>
      <c r="I544" s="510" t="str">
        <f>IFERROR(__xludf.DUMMYFUNCTION("""COMPUTED_VALUE"""),"")</f>
        <v/>
      </c>
      <c r="J544" s="508" t="str">
        <f>IFERROR(__xludf.DUMMYFUNCTION("""COMPUTED_VALUE"""),"")</f>
        <v/>
      </c>
      <c r="K544" s="510" t="str">
        <f>IFERROR(__xludf.DUMMYFUNCTION("""COMPUTED_VALUE"""),"")</f>
        <v/>
      </c>
      <c r="L544" s="508" t="str">
        <f>IFERROR(__xludf.DUMMYFUNCTION("""COMPUTED_VALUE"""),"")</f>
        <v/>
      </c>
      <c r="M544" s="508" t="str">
        <f>IFERROR(__xludf.DUMMYFUNCTION("""COMPUTED_VALUE"""),"")</f>
        <v/>
      </c>
      <c r="N544" s="508" t="str">
        <f>IFERROR(__xludf.DUMMYFUNCTION("""COMPUTED_VALUE"""),"")</f>
        <v/>
      </c>
      <c r="O544" s="508" t="str">
        <f>IFERROR(__xludf.DUMMYFUNCTION("""COMPUTED_VALUE"""),"")</f>
        <v/>
      </c>
      <c r="P544" s="510" t="str">
        <f>IFERROR(__xludf.DUMMYFUNCTION("""COMPUTED_VALUE"""),"")</f>
        <v/>
      </c>
      <c r="Q544" s="508" t="str">
        <f>IFERROR(__xludf.DUMMYFUNCTION("""COMPUTED_VALUE"""),"")</f>
        <v/>
      </c>
      <c r="R544" s="508" t="str">
        <f>IFERROR(__xludf.DUMMYFUNCTION("""COMPUTED_VALUE"""),"")</f>
        <v/>
      </c>
      <c r="S544" s="510" t="str">
        <f>IFERROR(__xludf.DUMMYFUNCTION("""COMPUTED_VALUE"""),"")</f>
        <v/>
      </c>
      <c r="T544" s="510" t="str">
        <f>IFERROR(__xludf.DUMMYFUNCTION("""COMPUTED_VALUE"""),"")</f>
        <v/>
      </c>
    </row>
    <row r="545">
      <c r="A545" s="508" t="str">
        <f>IFERROR(__xludf.DUMMYFUNCTION("""COMPUTED_VALUE"""),"")</f>
        <v/>
      </c>
      <c r="B545" s="508" t="str">
        <f>IFERROR(__xludf.DUMMYFUNCTION("""COMPUTED_VALUE"""),"")</f>
        <v/>
      </c>
      <c r="C545" s="508" t="str">
        <f>IFERROR(__xludf.DUMMYFUNCTION("""COMPUTED_VALUE"""),"")</f>
        <v/>
      </c>
      <c r="D545" s="508" t="str">
        <f>IFERROR(__xludf.DUMMYFUNCTION("""COMPUTED_VALUE"""),"")</f>
        <v/>
      </c>
      <c r="E545" s="508" t="str">
        <f>IFERROR(__xludf.DUMMYFUNCTION("""COMPUTED_VALUE"""),"")</f>
        <v/>
      </c>
      <c r="F545" s="508" t="str">
        <f>IFERROR(__xludf.DUMMYFUNCTION("""COMPUTED_VALUE"""),"")</f>
        <v/>
      </c>
      <c r="G545" s="510" t="str">
        <f>IFERROR(__xludf.DUMMYFUNCTION("""COMPUTED_VALUE"""),"")</f>
        <v/>
      </c>
      <c r="H545" s="508" t="str">
        <f>IFERROR(__xludf.DUMMYFUNCTION("""COMPUTED_VALUE"""),"")</f>
        <v/>
      </c>
      <c r="I545" s="510" t="str">
        <f>IFERROR(__xludf.DUMMYFUNCTION("""COMPUTED_VALUE"""),"")</f>
        <v/>
      </c>
      <c r="J545" s="508" t="str">
        <f>IFERROR(__xludf.DUMMYFUNCTION("""COMPUTED_VALUE"""),"")</f>
        <v/>
      </c>
      <c r="K545" s="510" t="str">
        <f>IFERROR(__xludf.DUMMYFUNCTION("""COMPUTED_VALUE"""),"")</f>
        <v/>
      </c>
      <c r="L545" s="508" t="str">
        <f>IFERROR(__xludf.DUMMYFUNCTION("""COMPUTED_VALUE"""),"")</f>
        <v/>
      </c>
      <c r="M545" s="508" t="str">
        <f>IFERROR(__xludf.DUMMYFUNCTION("""COMPUTED_VALUE"""),"")</f>
        <v/>
      </c>
      <c r="N545" s="508" t="str">
        <f>IFERROR(__xludf.DUMMYFUNCTION("""COMPUTED_VALUE"""),"")</f>
        <v/>
      </c>
      <c r="O545" s="508" t="str">
        <f>IFERROR(__xludf.DUMMYFUNCTION("""COMPUTED_VALUE"""),"")</f>
        <v/>
      </c>
      <c r="P545" s="510" t="str">
        <f>IFERROR(__xludf.DUMMYFUNCTION("""COMPUTED_VALUE"""),"")</f>
        <v/>
      </c>
      <c r="Q545" s="508" t="str">
        <f>IFERROR(__xludf.DUMMYFUNCTION("""COMPUTED_VALUE"""),"")</f>
        <v/>
      </c>
      <c r="R545" s="508" t="str">
        <f>IFERROR(__xludf.DUMMYFUNCTION("""COMPUTED_VALUE"""),"")</f>
        <v/>
      </c>
      <c r="S545" s="510" t="str">
        <f>IFERROR(__xludf.DUMMYFUNCTION("""COMPUTED_VALUE"""),"")</f>
        <v/>
      </c>
      <c r="T545" s="510" t="str">
        <f>IFERROR(__xludf.DUMMYFUNCTION("""COMPUTED_VALUE"""),"")</f>
        <v/>
      </c>
    </row>
    <row r="546">
      <c r="A546" s="508" t="str">
        <f>IFERROR(__xludf.DUMMYFUNCTION("""COMPUTED_VALUE"""),"")</f>
        <v/>
      </c>
      <c r="B546" s="508" t="str">
        <f>IFERROR(__xludf.DUMMYFUNCTION("""COMPUTED_VALUE"""),"")</f>
        <v/>
      </c>
      <c r="C546" s="508" t="str">
        <f>IFERROR(__xludf.DUMMYFUNCTION("""COMPUTED_VALUE"""),"")</f>
        <v/>
      </c>
      <c r="D546" s="508" t="str">
        <f>IFERROR(__xludf.DUMMYFUNCTION("""COMPUTED_VALUE"""),"")</f>
        <v/>
      </c>
      <c r="E546" s="508" t="str">
        <f>IFERROR(__xludf.DUMMYFUNCTION("""COMPUTED_VALUE"""),"")</f>
        <v/>
      </c>
      <c r="F546" s="508" t="str">
        <f>IFERROR(__xludf.DUMMYFUNCTION("""COMPUTED_VALUE"""),"")</f>
        <v/>
      </c>
      <c r="G546" s="510" t="str">
        <f>IFERROR(__xludf.DUMMYFUNCTION("""COMPUTED_VALUE"""),"")</f>
        <v/>
      </c>
      <c r="H546" s="508" t="str">
        <f>IFERROR(__xludf.DUMMYFUNCTION("""COMPUTED_VALUE"""),"")</f>
        <v/>
      </c>
      <c r="I546" s="510" t="str">
        <f>IFERROR(__xludf.DUMMYFUNCTION("""COMPUTED_VALUE"""),"")</f>
        <v/>
      </c>
      <c r="J546" s="508" t="str">
        <f>IFERROR(__xludf.DUMMYFUNCTION("""COMPUTED_VALUE"""),"")</f>
        <v/>
      </c>
      <c r="K546" s="510" t="str">
        <f>IFERROR(__xludf.DUMMYFUNCTION("""COMPUTED_VALUE"""),"")</f>
        <v/>
      </c>
      <c r="L546" s="508" t="str">
        <f>IFERROR(__xludf.DUMMYFUNCTION("""COMPUTED_VALUE"""),"")</f>
        <v/>
      </c>
      <c r="M546" s="508" t="str">
        <f>IFERROR(__xludf.DUMMYFUNCTION("""COMPUTED_VALUE"""),"")</f>
        <v/>
      </c>
      <c r="N546" s="508" t="str">
        <f>IFERROR(__xludf.DUMMYFUNCTION("""COMPUTED_VALUE"""),"")</f>
        <v/>
      </c>
      <c r="O546" s="508" t="str">
        <f>IFERROR(__xludf.DUMMYFUNCTION("""COMPUTED_VALUE"""),"")</f>
        <v/>
      </c>
      <c r="P546" s="510" t="str">
        <f>IFERROR(__xludf.DUMMYFUNCTION("""COMPUTED_VALUE"""),"")</f>
        <v/>
      </c>
      <c r="Q546" s="508" t="str">
        <f>IFERROR(__xludf.DUMMYFUNCTION("""COMPUTED_VALUE"""),"")</f>
        <v/>
      </c>
      <c r="R546" s="508" t="str">
        <f>IFERROR(__xludf.DUMMYFUNCTION("""COMPUTED_VALUE"""),"")</f>
        <v/>
      </c>
      <c r="S546" s="510" t="str">
        <f>IFERROR(__xludf.DUMMYFUNCTION("""COMPUTED_VALUE"""),"")</f>
        <v/>
      </c>
      <c r="T546" s="510" t="str">
        <f>IFERROR(__xludf.DUMMYFUNCTION("""COMPUTED_VALUE"""),"")</f>
        <v/>
      </c>
    </row>
    <row r="547">
      <c r="A547" s="508" t="str">
        <f>IFERROR(__xludf.DUMMYFUNCTION("""COMPUTED_VALUE"""),"")</f>
        <v/>
      </c>
      <c r="B547" s="508" t="str">
        <f>IFERROR(__xludf.DUMMYFUNCTION("""COMPUTED_VALUE"""),"")</f>
        <v/>
      </c>
      <c r="C547" s="508" t="str">
        <f>IFERROR(__xludf.DUMMYFUNCTION("""COMPUTED_VALUE"""),"")</f>
        <v/>
      </c>
      <c r="D547" s="508" t="str">
        <f>IFERROR(__xludf.DUMMYFUNCTION("""COMPUTED_VALUE"""),"")</f>
        <v/>
      </c>
      <c r="E547" s="508" t="str">
        <f>IFERROR(__xludf.DUMMYFUNCTION("""COMPUTED_VALUE"""),"")</f>
        <v/>
      </c>
      <c r="F547" s="508" t="str">
        <f>IFERROR(__xludf.DUMMYFUNCTION("""COMPUTED_VALUE"""),"")</f>
        <v/>
      </c>
      <c r="G547" s="510" t="str">
        <f>IFERROR(__xludf.DUMMYFUNCTION("""COMPUTED_VALUE"""),"")</f>
        <v/>
      </c>
      <c r="H547" s="508" t="str">
        <f>IFERROR(__xludf.DUMMYFUNCTION("""COMPUTED_VALUE"""),"")</f>
        <v/>
      </c>
      <c r="I547" s="510" t="str">
        <f>IFERROR(__xludf.DUMMYFUNCTION("""COMPUTED_VALUE"""),"")</f>
        <v/>
      </c>
      <c r="J547" s="508" t="str">
        <f>IFERROR(__xludf.DUMMYFUNCTION("""COMPUTED_VALUE"""),"")</f>
        <v/>
      </c>
      <c r="K547" s="510" t="str">
        <f>IFERROR(__xludf.DUMMYFUNCTION("""COMPUTED_VALUE"""),"")</f>
        <v/>
      </c>
      <c r="L547" s="508" t="str">
        <f>IFERROR(__xludf.DUMMYFUNCTION("""COMPUTED_VALUE"""),"")</f>
        <v/>
      </c>
      <c r="M547" s="508" t="str">
        <f>IFERROR(__xludf.DUMMYFUNCTION("""COMPUTED_VALUE"""),"")</f>
        <v/>
      </c>
      <c r="N547" s="508" t="str">
        <f>IFERROR(__xludf.DUMMYFUNCTION("""COMPUTED_VALUE"""),"")</f>
        <v/>
      </c>
      <c r="O547" s="508" t="str">
        <f>IFERROR(__xludf.DUMMYFUNCTION("""COMPUTED_VALUE"""),"")</f>
        <v/>
      </c>
      <c r="P547" s="510" t="str">
        <f>IFERROR(__xludf.DUMMYFUNCTION("""COMPUTED_VALUE"""),"")</f>
        <v/>
      </c>
      <c r="Q547" s="508" t="str">
        <f>IFERROR(__xludf.DUMMYFUNCTION("""COMPUTED_VALUE"""),"")</f>
        <v/>
      </c>
      <c r="R547" s="508" t="str">
        <f>IFERROR(__xludf.DUMMYFUNCTION("""COMPUTED_VALUE"""),"")</f>
        <v/>
      </c>
      <c r="S547" s="510" t="str">
        <f>IFERROR(__xludf.DUMMYFUNCTION("""COMPUTED_VALUE"""),"")</f>
        <v/>
      </c>
      <c r="T547" s="510" t="str">
        <f>IFERROR(__xludf.DUMMYFUNCTION("""COMPUTED_VALUE"""),"")</f>
        <v/>
      </c>
    </row>
    <row r="548">
      <c r="A548" s="508" t="str">
        <f>IFERROR(__xludf.DUMMYFUNCTION("""COMPUTED_VALUE"""),"")</f>
        <v/>
      </c>
      <c r="B548" s="508" t="str">
        <f>IFERROR(__xludf.DUMMYFUNCTION("""COMPUTED_VALUE"""),"")</f>
        <v/>
      </c>
      <c r="C548" s="508" t="str">
        <f>IFERROR(__xludf.DUMMYFUNCTION("""COMPUTED_VALUE"""),"")</f>
        <v/>
      </c>
      <c r="D548" s="508" t="str">
        <f>IFERROR(__xludf.DUMMYFUNCTION("""COMPUTED_VALUE"""),"")</f>
        <v/>
      </c>
      <c r="E548" s="508" t="str">
        <f>IFERROR(__xludf.DUMMYFUNCTION("""COMPUTED_VALUE"""),"")</f>
        <v/>
      </c>
      <c r="F548" s="508" t="str">
        <f>IFERROR(__xludf.DUMMYFUNCTION("""COMPUTED_VALUE"""),"")</f>
        <v/>
      </c>
      <c r="G548" s="510" t="str">
        <f>IFERROR(__xludf.DUMMYFUNCTION("""COMPUTED_VALUE"""),"")</f>
        <v/>
      </c>
      <c r="H548" s="508" t="str">
        <f>IFERROR(__xludf.DUMMYFUNCTION("""COMPUTED_VALUE"""),"")</f>
        <v/>
      </c>
      <c r="I548" s="510" t="str">
        <f>IFERROR(__xludf.DUMMYFUNCTION("""COMPUTED_VALUE"""),"")</f>
        <v/>
      </c>
      <c r="J548" s="508" t="str">
        <f>IFERROR(__xludf.DUMMYFUNCTION("""COMPUTED_VALUE"""),"")</f>
        <v/>
      </c>
      <c r="K548" s="510" t="str">
        <f>IFERROR(__xludf.DUMMYFUNCTION("""COMPUTED_VALUE"""),"")</f>
        <v/>
      </c>
      <c r="L548" s="508" t="str">
        <f>IFERROR(__xludf.DUMMYFUNCTION("""COMPUTED_VALUE"""),"")</f>
        <v/>
      </c>
      <c r="M548" s="508" t="str">
        <f>IFERROR(__xludf.DUMMYFUNCTION("""COMPUTED_VALUE"""),"")</f>
        <v/>
      </c>
      <c r="N548" s="508" t="str">
        <f>IFERROR(__xludf.DUMMYFUNCTION("""COMPUTED_VALUE"""),"")</f>
        <v/>
      </c>
      <c r="O548" s="508" t="str">
        <f>IFERROR(__xludf.DUMMYFUNCTION("""COMPUTED_VALUE"""),"")</f>
        <v/>
      </c>
      <c r="P548" s="510" t="str">
        <f>IFERROR(__xludf.DUMMYFUNCTION("""COMPUTED_VALUE"""),"")</f>
        <v/>
      </c>
      <c r="Q548" s="508" t="str">
        <f>IFERROR(__xludf.DUMMYFUNCTION("""COMPUTED_VALUE"""),"")</f>
        <v/>
      </c>
      <c r="R548" s="508" t="str">
        <f>IFERROR(__xludf.DUMMYFUNCTION("""COMPUTED_VALUE"""),"")</f>
        <v/>
      </c>
      <c r="S548" s="510" t="str">
        <f>IFERROR(__xludf.DUMMYFUNCTION("""COMPUTED_VALUE"""),"")</f>
        <v/>
      </c>
      <c r="T548" s="510" t="str">
        <f>IFERROR(__xludf.DUMMYFUNCTION("""COMPUTED_VALUE"""),"")</f>
        <v/>
      </c>
    </row>
    <row r="549">
      <c r="A549" s="508" t="str">
        <f>IFERROR(__xludf.DUMMYFUNCTION("""COMPUTED_VALUE"""),"")</f>
        <v/>
      </c>
      <c r="B549" s="508" t="str">
        <f>IFERROR(__xludf.DUMMYFUNCTION("""COMPUTED_VALUE"""),"")</f>
        <v/>
      </c>
      <c r="C549" s="508" t="str">
        <f>IFERROR(__xludf.DUMMYFUNCTION("""COMPUTED_VALUE"""),"")</f>
        <v/>
      </c>
      <c r="D549" s="508" t="str">
        <f>IFERROR(__xludf.DUMMYFUNCTION("""COMPUTED_VALUE"""),"")</f>
        <v/>
      </c>
      <c r="E549" s="508" t="str">
        <f>IFERROR(__xludf.DUMMYFUNCTION("""COMPUTED_VALUE"""),"")</f>
        <v/>
      </c>
      <c r="F549" s="508" t="str">
        <f>IFERROR(__xludf.DUMMYFUNCTION("""COMPUTED_VALUE"""),"")</f>
        <v/>
      </c>
      <c r="G549" s="510" t="str">
        <f>IFERROR(__xludf.DUMMYFUNCTION("""COMPUTED_VALUE"""),"")</f>
        <v/>
      </c>
      <c r="H549" s="508" t="str">
        <f>IFERROR(__xludf.DUMMYFUNCTION("""COMPUTED_VALUE"""),"")</f>
        <v/>
      </c>
      <c r="I549" s="510" t="str">
        <f>IFERROR(__xludf.DUMMYFUNCTION("""COMPUTED_VALUE"""),"")</f>
        <v/>
      </c>
      <c r="J549" s="508" t="str">
        <f>IFERROR(__xludf.DUMMYFUNCTION("""COMPUTED_VALUE"""),"")</f>
        <v/>
      </c>
      <c r="K549" s="510" t="str">
        <f>IFERROR(__xludf.DUMMYFUNCTION("""COMPUTED_VALUE"""),"")</f>
        <v/>
      </c>
      <c r="L549" s="508" t="str">
        <f>IFERROR(__xludf.DUMMYFUNCTION("""COMPUTED_VALUE"""),"")</f>
        <v/>
      </c>
      <c r="M549" s="508" t="str">
        <f>IFERROR(__xludf.DUMMYFUNCTION("""COMPUTED_VALUE"""),"")</f>
        <v/>
      </c>
      <c r="N549" s="508" t="str">
        <f>IFERROR(__xludf.DUMMYFUNCTION("""COMPUTED_VALUE"""),"")</f>
        <v/>
      </c>
      <c r="O549" s="508" t="str">
        <f>IFERROR(__xludf.DUMMYFUNCTION("""COMPUTED_VALUE"""),"")</f>
        <v/>
      </c>
      <c r="P549" s="510" t="str">
        <f>IFERROR(__xludf.DUMMYFUNCTION("""COMPUTED_VALUE"""),"")</f>
        <v/>
      </c>
      <c r="Q549" s="508" t="str">
        <f>IFERROR(__xludf.DUMMYFUNCTION("""COMPUTED_VALUE"""),"")</f>
        <v/>
      </c>
      <c r="R549" s="508" t="str">
        <f>IFERROR(__xludf.DUMMYFUNCTION("""COMPUTED_VALUE"""),"")</f>
        <v/>
      </c>
      <c r="S549" s="510" t="str">
        <f>IFERROR(__xludf.DUMMYFUNCTION("""COMPUTED_VALUE"""),"")</f>
        <v/>
      </c>
      <c r="T549" s="510" t="str">
        <f>IFERROR(__xludf.DUMMYFUNCTION("""COMPUTED_VALUE"""),"")</f>
        <v/>
      </c>
    </row>
    <row r="550">
      <c r="A550" s="508" t="str">
        <f>IFERROR(__xludf.DUMMYFUNCTION("""COMPUTED_VALUE"""),"")</f>
        <v/>
      </c>
      <c r="B550" s="508" t="str">
        <f>IFERROR(__xludf.DUMMYFUNCTION("""COMPUTED_VALUE"""),"")</f>
        <v/>
      </c>
      <c r="C550" s="508" t="str">
        <f>IFERROR(__xludf.DUMMYFUNCTION("""COMPUTED_VALUE"""),"")</f>
        <v/>
      </c>
      <c r="D550" s="508" t="str">
        <f>IFERROR(__xludf.DUMMYFUNCTION("""COMPUTED_VALUE"""),"")</f>
        <v/>
      </c>
      <c r="E550" s="508" t="str">
        <f>IFERROR(__xludf.DUMMYFUNCTION("""COMPUTED_VALUE"""),"")</f>
        <v/>
      </c>
      <c r="F550" s="508" t="str">
        <f>IFERROR(__xludf.DUMMYFUNCTION("""COMPUTED_VALUE"""),"")</f>
        <v/>
      </c>
      <c r="G550" s="510" t="str">
        <f>IFERROR(__xludf.DUMMYFUNCTION("""COMPUTED_VALUE"""),"")</f>
        <v/>
      </c>
      <c r="H550" s="508" t="str">
        <f>IFERROR(__xludf.DUMMYFUNCTION("""COMPUTED_VALUE"""),"")</f>
        <v/>
      </c>
      <c r="I550" s="510" t="str">
        <f>IFERROR(__xludf.DUMMYFUNCTION("""COMPUTED_VALUE"""),"")</f>
        <v/>
      </c>
      <c r="J550" s="508" t="str">
        <f>IFERROR(__xludf.DUMMYFUNCTION("""COMPUTED_VALUE"""),"")</f>
        <v/>
      </c>
      <c r="K550" s="510" t="str">
        <f>IFERROR(__xludf.DUMMYFUNCTION("""COMPUTED_VALUE"""),"")</f>
        <v/>
      </c>
      <c r="L550" s="508" t="str">
        <f>IFERROR(__xludf.DUMMYFUNCTION("""COMPUTED_VALUE"""),"")</f>
        <v/>
      </c>
      <c r="M550" s="508" t="str">
        <f>IFERROR(__xludf.DUMMYFUNCTION("""COMPUTED_VALUE"""),"")</f>
        <v/>
      </c>
      <c r="N550" s="508" t="str">
        <f>IFERROR(__xludf.DUMMYFUNCTION("""COMPUTED_VALUE"""),"")</f>
        <v/>
      </c>
      <c r="O550" s="508" t="str">
        <f>IFERROR(__xludf.DUMMYFUNCTION("""COMPUTED_VALUE"""),"")</f>
        <v/>
      </c>
      <c r="P550" s="510" t="str">
        <f>IFERROR(__xludf.DUMMYFUNCTION("""COMPUTED_VALUE"""),"")</f>
        <v/>
      </c>
      <c r="Q550" s="508" t="str">
        <f>IFERROR(__xludf.DUMMYFUNCTION("""COMPUTED_VALUE"""),"")</f>
        <v/>
      </c>
      <c r="R550" s="508" t="str">
        <f>IFERROR(__xludf.DUMMYFUNCTION("""COMPUTED_VALUE"""),"")</f>
        <v/>
      </c>
      <c r="S550" s="510" t="str">
        <f>IFERROR(__xludf.DUMMYFUNCTION("""COMPUTED_VALUE"""),"")</f>
        <v/>
      </c>
      <c r="T550" s="510" t="str">
        <f>IFERROR(__xludf.DUMMYFUNCTION("""COMPUTED_VALUE"""),"")</f>
        <v/>
      </c>
    </row>
    <row r="551">
      <c r="A551" s="508" t="str">
        <f>IFERROR(__xludf.DUMMYFUNCTION("""COMPUTED_VALUE"""),"")</f>
        <v/>
      </c>
      <c r="B551" s="508" t="str">
        <f>IFERROR(__xludf.DUMMYFUNCTION("""COMPUTED_VALUE"""),"")</f>
        <v/>
      </c>
      <c r="C551" s="508" t="str">
        <f>IFERROR(__xludf.DUMMYFUNCTION("""COMPUTED_VALUE"""),"")</f>
        <v/>
      </c>
      <c r="D551" s="508" t="str">
        <f>IFERROR(__xludf.DUMMYFUNCTION("""COMPUTED_VALUE"""),"")</f>
        <v/>
      </c>
      <c r="E551" s="508" t="str">
        <f>IFERROR(__xludf.DUMMYFUNCTION("""COMPUTED_VALUE"""),"")</f>
        <v/>
      </c>
      <c r="F551" s="508" t="str">
        <f>IFERROR(__xludf.DUMMYFUNCTION("""COMPUTED_VALUE"""),"")</f>
        <v/>
      </c>
      <c r="G551" s="510" t="str">
        <f>IFERROR(__xludf.DUMMYFUNCTION("""COMPUTED_VALUE"""),"")</f>
        <v/>
      </c>
      <c r="H551" s="508" t="str">
        <f>IFERROR(__xludf.DUMMYFUNCTION("""COMPUTED_VALUE"""),"")</f>
        <v/>
      </c>
      <c r="I551" s="510" t="str">
        <f>IFERROR(__xludf.DUMMYFUNCTION("""COMPUTED_VALUE"""),"")</f>
        <v/>
      </c>
      <c r="J551" s="508" t="str">
        <f>IFERROR(__xludf.DUMMYFUNCTION("""COMPUTED_VALUE"""),"")</f>
        <v/>
      </c>
      <c r="K551" s="510" t="str">
        <f>IFERROR(__xludf.DUMMYFUNCTION("""COMPUTED_VALUE"""),"")</f>
        <v/>
      </c>
      <c r="L551" s="508" t="str">
        <f>IFERROR(__xludf.DUMMYFUNCTION("""COMPUTED_VALUE"""),"")</f>
        <v/>
      </c>
      <c r="M551" s="508" t="str">
        <f>IFERROR(__xludf.DUMMYFUNCTION("""COMPUTED_VALUE"""),"")</f>
        <v/>
      </c>
      <c r="N551" s="508" t="str">
        <f>IFERROR(__xludf.DUMMYFUNCTION("""COMPUTED_VALUE"""),"")</f>
        <v/>
      </c>
      <c r="O551" s="508" t="str">
        <f>IFERROR(__xludf.DUMMYFUNCTION("""COMPUTED_VALUE"""),"")</f>
        <v/>
      </c>
      <c r="P551" s="510" t="str">
        <f>IFERROR(__xludf.DUMMYFUNCTION("""COMPUTED_VALUE"""),"")</f>
        <v/>
      </c>
      <c r="Q551" s="508" t="str">
        <f>IFERROR(__xludf.DUMMYFUNCTION("""COMPUTED_VALUE"""),"")</f>
        <v/>
      </c>
      <c r="R551" s="508" t="str">
        <f>IFERROR(__xludf.DUMMYFUNCTION("""COMPUTED_VALUE"""),"")</f>
        <v/>
      </c>
      <c r="S551" s="510" t="str">
        <f>IFERROR(__xludf.DUMMYFUNCTION("""COMPUTED_VALUE"""),"")</f>
        <v/>
      </c>
      <c r="T551" s="510" t="str">
        <f>IFERROR(__xludf.DUMMYFUNCTION("""COMPUTED_VALUE"""),"")</f>
        <v/>
      </c>
    </row>
    <row r="552">
      <c r="A552" s="508" t="str">
        <f>IFERROR(__xludf.DUMMYFUNCTION("""COMPUTED_VALUE"""),"")</f>
        <v/>
      </c>
      <c r="B552" s="508" t="str">
        <f>IFERROR(__xludf.DUMMYFUNCTION("""COMPUTED_VALUE"""),"")</f>
        <v/>
      </c>
      <c r="C552" s="508" t="str">
        <f>IFERROR(__xludf.DUMMYFUNCTION("""COMPUTED_VALUE"""),"")</f>
        <v/>
      </c>
      <c r="D552" s="508" t="str">
        <f>IFERROR(__xludf.DUMMYFUNCTION("""COMPUTED_VALUE"""),"")</f>
        <v/>
      </c>
      <c r="E552" s="508" t="str">
        <f>IFERROR(__xludf.DUMMYFUNCTION("""COMPUTED_VALUE"""),"")</f>
        <v/>
      </c>
      <c r="F552" s="508" t="str">
        <f>IFERROR(__xludf.DUMMYFUNCTION("""COMPUTED_VALUE"""),"")</f>
        <v/>
      </c>
      <c r="G552" s="510" t="str">
        <f>IFERROR(__xludf.DUMMYFUNCTION("""COMPUTED_VALUE"""),"")</f>
        <v/>
      </c>
      <c r="H552" s="508" t="str">
        <f>IFERROR(__xludf.DUMMYFUNCTION("""COMPUTED_VALUE"""),"")</f>
        <v/>
      </c>
      <c r="I552" s="510" t="str">
        <f>IFERROR(__xludf.DUMMYFUNCTION("""COMPUTED_VALUE"""),"")</f>
        <v/>
      </c>
      <c r="J552" s="508" t="str">
        <f>IFERROR(__xludf.DUMMYFUNCTION("""COMPUTED_VALUE"""),"")</f>
        <v/>
      </c>
      <c r="K552" s="510" t="str">
        <f>IFERROR(__xludf.DUMMYFUNCTION("""COMPUTED_VALUE"""),"")</f>
        <v/>
      </c>
      <c r="L552" s="508" t="str">
        <f>IFERROR(__xludf.DUMMYFUNCTION("""COMPUTED_VALUE"""),"")</f>
        <v/>
      </c>
      <c r="M552" s="508" t="str">
        <f>IFERROR(__xludf.DUMMYFUNCTION("""COMPUTED_VALUE"""),"")</f>
        <v/>
      </c>
      <c r="N552" s="508" t="str">
        <f>IFERROR(__xludf.DUMMYFUNCTION("""COMPUTED_VALUE"""),"")</f>
        <v/>
      </c>
      <c r="O552" s="508" t="str">
        <f>IFERROR(__xludf.DUMMYFUNCTION("""COMPUTED_VALUE"""),"")</f>
        <v/>
      </c>
      <c r="P552" s="510" t="str">
        <f>IFERROR(__xludf.DUMMYFUNCTION("""COMPUTED_VALUE"""),"")</f>
        <v/>
      </c>
      <c r="Q552" s="508" t="str">
        <f>IFERROR(__xludf.DUMMYFUNCTION("""COMPUTED_VALUE"""),"")</f>
        <v/>
      </c>
      <c r="R552" s="508" t="str">
        <f>IFERROR(__xludf.DUMMYFUNCTION("""COMPUTED_VALUE"""),"")</f>
        <v/>
      </c>
      <c r="S552" s="510" t="str">
        <f>IFERROR(__xludf.DUMMYFUNCTION("""COMPUTED_VALUE"""),"")</f>
        <v/>
      </c>
      <c r="T552" s="510" t="str">
        <f>IFERROR(__xludf.DUMMYFUNCTION("""COMPUTED_VALUE"""),"")</f>
        <v/>
      </c>
    </row>
    <row r="553">
      <c r="A553" s="508" t="str">
        <f>IFERROR(__xludf.DUMMYFUNCTION("""COMPUTED_VALUE"""),"")</f>
        <v/>
      </c>
      <c r="B553" s="508" t="str">
        <f>IFERROR(__xludf.DUMMYFUNCTION("""COMPUTED_VALUE"""),"")</f>
        <v/>
      </c>
      <c r="C553" s="508" t="str">
        <f>IFERROR(__xludf.DUMMYFUNCTION("""COMPUTED_VALUE"""),"")</f>
        <v/>
      </c>
      <c r="D553" s="508" t="str">
        <f>IFERROR(__xludf.DUMMYFUNCTION("""COMPUTED_VALUE"""),"")</f>
        <v/>
      </c>
      <c r="E553" s="508" t="str">
        <f>IFERROR(__xludf.DUMMYFUNCTION("""COMPUTED_VALUE"""),"")</f>
        <v/>
      </c>
      <c r="F553" s="508" t="str">
        <f>IFERROR(__xludf.DUMMYFUNCTION("""COMPUTED_VALUE"""),"")</f>
        <v/>
      </c>
      <c r="G553" s="510" t="str">
        <f>IFERROR(__xludf.DUMMYFUNCTION("""COMPUTED_VALUE"""),"")</f>
        <v/>
      </c>
      <c r="H553" s="508" t="str">
        <f>IFERROR(__xludf.DUMMYFUNCTION("""COMPUTED_VALUE"""),"")</f>
        <v/>
      </c>
      <c r="I553" s="510" t="str">
        <f>IFERROR(__xludf.DUMMYFUNCTION("""COMPUTED_VALUE"""),"")</f>
        <v/>
      </c>
      <c r="J553" s="508" t="str">
        <f>IFERROR(__xludf.DUMMYFUNCTION("""COMPUTED_VALUE"""),"")</f>
        <v/>
      </c>
      <c r="K553" s="510" t="str">
        <f>IFERROR(__xludf.DUMMYFUNCTION("""COMPUTED_VALUE"""),"")</f>
        <v/>
      </c>
      <c r="L553" s="508" t="str">
        <f>IFERROR(__xludf.DUMMYFUNCTION("""COMPUTED_VALUE"""),"")</f>
        <v/>
      </c>
      <c r="M553" s="508" t="str">
        <f>IFERROR(__xludf.DUMMYFUNCTION("""COMPUTED_VALUE"""),"")</f>
        <v/>
      </c>
      <c r="N553" s="508" t="str">
        <f>IFERROR(__xludf.DUMMYFUNCTION("""COMPUTED_VALUE"""),"")</f>
        <v/>
      </c>
      <c r="O553" s="508" t="str">
        <f>IFERROR(__xludf.DUMMYFUNCTION("""COMPUTED_VALUE"""),"")</f>
        <v/>
      </c>
      <c r="P553" s="510" t="str">
        <f>IFERROR(__xludf.DUMMYFUNCTION("""COMPUTED_VALUE"""),"")</f>
        <v/>
      </c>
      <c r="Q553" s="508" t="str">
        <f>IFERROR(__xludf.DUMMYFUNCTION("""COMPUTED_VALUE"""),"")</f>
        <v/>
      </c>
      <c r="R553" s="508" t="str">
        <f>IFERROR(__xludf.DUMMYFUNCTION("""COMPUTED_VALUE"""),"")</f>
        <v/>
      </c>
      <c r="S553" s="510" t="str">
        <f>IFERROR(__xludf.DUMMYFUNCTION("""COMPUTED_VALUE"""),"")</f>
        <v/>
      </c>
      <c r="T553" s="510" t="str">
        <f>IFERROR(__xludf.DUMMYFUNCTION("""COMPUTED_VALUE"""),"")</f>
        <v/>
      </c>
    </row>
    <row r="554">
      <c r="A554" s="508" t="str">
        <f>IFERROR(__xludf.DUMMYFUNCTION("""COMPUTED_VALUE"""),"")</f>
        <v/>
      </c>
      <c r="B554" s="508" t="str">
        <f>IFERROR(__xludf.DUMMYFUNCTION("""COMPUTED_VALUE"""),"")</f>
        <v/>
      </c>
      <c r="C554" s="508" t="str">
        <f>IFERROR(__xludf.DUMMYFUNCTION("""COMPUTED_VALUE"""),"")</f>
        <v/>
      </c>
      <c r="D554" s="508" t="str">
        <f>IFERROR(__xludf.DUMMYFUNCTION("""COMPUTED_VALUE"""),"")</f>
        <v/>
      </c>
      <c r="E554" s="508" t="str">
        <f>IFERROR(__xludf.DUMMYFUNCTION("""COMPUTED_VALUE"""),"")</f>
        <v/>
      </c>
      <c r="F554" s="508" t="str">
        <f>IFERROR(__xludf.DUMMYFUNCTION("""COMPUTED_VALUE"""),"")</f>
        <v/>
      </c>
      <c r="G554" s="510" t="str">
        <f>IFERROR(__xludf.DUMMYFUNCTION("""COMPUTED_VALUE"""),"")</f>
        <v/>
      </c>
      <c r="H554" s="508" t="str">
        <f>IFERROR(__xludf.DUMMYFUNCTION("""COMPUTED_VALUE"""),"")</f>
        <v/>
      </c>
      <c r="I554" s="510" t="str">
        <f>IFERROR(__xludf.DUMMYFUNCTION("""COMPUTED_VALUE"""),"")</f>
        <v/>
      </c>
      <c r="J554" s="508" t="str">
        <f>IFERROR(__xludf.DUMMYFUNCTION("""COMPUTED_VALUE"""),"")</f>
        <v/>
      </c>
      <c r="K554" s="510" t="str">
        <f>IFERROR(__xludf.DUMMYFUNCTION("""COMPUTED_VALUE"""),"")</f>
        <v/>
      </c>
      <c r="L554" s="508" t="str">
        <f>IFERROR(__xludf.DUMMYFUNCTION("""COMPUTED_VALUE"""),"")</f>
        <v/>
      </c>
      <c r="M554" s="508" t="str">
        <f>IFERROR(__xludf.DUMMYFUNCTION("""COMPUTED_VALUE"""),"")</f>
        <v/>
      </c>
      <c r="N554" s="508" t="str">
        <f>IFERROR(__xludf.DUMMYFUNCTION("""COMPUTED_VALUE"""),"")</f>
        <v/>
      </c>
      <c r="O554" s="508" t="str">
        <f>IFERROR(__xludf.DUMMYFUNCTION("""COMPUTED_VALUE"""),"")</f>
        <v/>
      </c>
      <c r="P554" s="510" t="str">
        <f>IFERROR(__xludf.DUMMYFUNCTION("""COMPUTED_VALUE"""),"")</f>
        <v/>
      </c>
      <c r="Q554" s="508" t="str">
        <f>IFERROR(__xludf.DUMMYFUNCTION("""COMPUTED_VALUE"""),"")</f>
        <v/>
      </c>
      <c r="R554" s="508" t="str">
        <f>IFERROR(__xludf.DUMMYFUNCTION("""COMPUTED_VALUE"""),"")</f>
        <v/>
      </c>
      <c r="S554" s="510" t="str">
        <f>IFERROR(__xludf.DUMMYFUNCTION("""COMPUTED_VALUE"""),"")</f>
        <v/>
      </c>
      <c r="T554" s="510" t="str">
        <f>IFERROR(__xludf.DUMMYFUNCTION("""COMPUTED_VALUE"""),"")</f>
        <v/>
      </c>
    </row>
    <row r="555">
      <c r="A555" s="508" t="str">
        <f>IFERROR(__xludf.DUMMYFUNCTION("""COMPUTED_VALUE"""),"")</f>
        <v/>
      </c>
      <c r="B555" s="508" t="str">
        <f>IFERROR(__xludf.DUMMYFUNCTION("""COMPUTED_VALUE"""),"")</f>
        <v/>
      </c>
      <c r="C555" s="508" t="str">
        <f>IFERROR(__xludf.DUMMYFUNCTION("""COMPUTED_VALUE"""),"")</f>
        <v/>
      </c>
      <c r="D555" s="508" t="str">
        <f>IFERROR(__xludf.DUMMYFUNCTION("""COMPUTED_VALUE"""),"")</f>
        <v/>
      </c>
      <c r="E555" s="508" t="str">
        <f>IFERROR(__xludf.DUMMYFUNCTION("""COMPUTED_VALUE"""),"")</f>
        <v/>
      </c>
      <c r="F555" s="508" t="str">
        <f>IFERROR(__xludf.DUMMYFUNCTION("""COMPUTED_VALUE"""),"")</f>
        <v/>
      </c>
      <c r="G555" s="510" t="str">
        <f>IFERROR(__xludf.DUMMYFUNCTION("""COMPUTED_VALUE"""),"")</f>
        <v/>
      </c>
      <c r="H555" s="508" t="str">
        <f>IFERROR(__xludf.DUMMYFUNCTION("""COMPUTED_VALUE"""),"")</f>
        <v/>
      </c>
      <c r="I555" s="510" t="str">
        <f>IFERROR(__xludf.DUMMYFUNCTION("""COMPUTED_VALUE"""),"")</f>
        <v/>
      </c>
      <c r="J555" s="508" t="str">
        <f>IFERROR(__xludf.DUMMYFUNCTION("""COMPUTED_VALUE"""),"")</f>
        <v/>
      </c>
      <c r="K555" s="510" t="str">
        <f>IFERROR(__xludf.DUMMYFUNCTION("""COMPUTED_VALUE"""),"")</f>
        <v/>
      </c>
      <c r="L555" s="508" t="str">
        <f>IFERROR(__xludf.DUMMYFUNCTION("""COMPUTED_VALUE"""),"")</f>
        <v/>
      </c>
      <c r="M555" s="508" t="str">
        <f>IFERROR(__xludf.DUMMYFUNCTION("""COMPUTED_VALUE"""),"")</f>
        <v/>
      </c>
      <c r="N555" s="508" t="str">
        <f>IFERROR(__xludf.DUMMYFUNCTION("""COMPUTED_VALUE"""),"")</f>
        <v/>
      </c>
      <c r="O555" s="508" t="str">
        <f>IFERROR(__xludf.DUMMYFUNCTION("""COMPUTED_VALUE"""),"")</f>
        <v/>
      </c>
      <c r="P555" s="510" t="str">
        <f>IFERROR(__xludf.DUMMYFUNCTION("""COMPUTED_VALUE"""),"")</f>
        <v/>
      </c>
      <c r="Q555" s="508" t="str">
        <f>IFERROR(__xludf.DUMMYFUNCTION("""COMPUTED_VALUE"""),"")</f>
        <v/>
      </c>
      <c r="R555" s="508" t="str">
        <f>IFERROR(__xludf.DUMMYFUNCTION("""COMPUTED_VALUE"""),"")</f>
        <v/>
      </c>
      <c r="S555" s="510" t="str">
        <f>IFERROR(__xludf.DUMMYFUNCTION("""COMPUTED_VALUE"""),"")</f>
        <v/>
      </c>
      <c r="T555" s="510" t="str">
        <f>IFERROR(__xludf.DUMMYFUNCTION("""COMPUTED_VALUE"""),"")</f>
        <v/>
      </c>
    </row>
    <row r="556">
      <c r="A556" s="508" t="str">
        <f>IFERROR(__xludf.DUMMYFUNCTION("""COMPUTED_VALUE"""),"")</f>
        <v/>
      </c>
      <c r="B556" s="508" t="str">
        <f>IFERROR(__xludf.DUMMYFUNCTION("""COMPUTED_VALUE"""),"")</f>
        <v/>
      </c>
      <c r="C556" s="508" t="str">
        <f>IFERROR(__xludf.DUMMYFUNCTION("""COMPUTED_VALUE"""),"")</f>
        <v/>
      </c>
      <c r="D556" s="508" t="str">
        <f>IFERROR(__xludf.DUMMYFUNCTION("""COMPUTED_VALUE"""),"")</f>
        <v/>
      </c>
      <c r="E556" s="508" t="str">
        <f>IFERROR(__xludf.DUMMYFUNCTION("""COMPUTED_VALUE"""),"")</f>
        <v/>
      </c>
      <c r="F556" s="508" t="str">
        <f>IFERROR(__xludf.DUMMYFUNCTION("""COMPUTED_VALUE"""),"")</f>
        <v/>
      </c>
      <c r="G556" s="510" t="str">
        <f>IFERROR(__xludf.DUMMYFUNCTION("""COMPUTED_VALUE"""),"")</f>
        <v/>
      </c>
      <c r="H556" s="508" t="str">
        <f>IFERROR(__xludf.DUMMYFUNCTION("""COMPUTED_VALUE"""),"")</f>
        <v/>
      </c>
      <c r="I556" s="510" t="str">
        <f>IFERROR(__xludf.DUMMYFUNCTION("""COMPUTED_VALUE"""),"")</f>
        <v/>
      </c>
      <c r="J556" s="508" t="str">
        <f>IFERROR(__xludf.DUMMYFUNCTION("""COMPUTED_VALUE"""),"")</f>
        <v/>
      </c>
      <c r="K556" s="510" t="str">
        <f>IFERROR(__xludf.DUMMYFUNCTION("""COMPUTED_VALUE"""),"")</f>
        <v/>
      </c>
      <c r="L556" s="508" t="str">
        <f>IFERROR(__xludf.DUMMYFUNCTION("""COMPUTED_VALUE"""),"")</f>
        <v/>
      </c>
      <c r="M556" s="508" t="str">
        <f>IFERROR(__xludf.DUMMYFUNCTION("""COMPUTED_VALUE"""),"")</f>
        <v/>
      </c>
      <c r="N556" s="508" t="str">
        <f>IFERROR(__xludf.DUMMYFUNCTION("""COMPUTED_VALUE"""),"")</f>
        <v/>
      </c>
      <c r="O556" s="508" t="str">
        <f>IFERROR(__xludf.DUMMYFUNCTION("""COMPUTED_VALUE"""),"")</f>
        <v/>
      </c>
      <c r="P556" s="510" t="str">
        <f>IFERROR(__xludf.DUMMYFUNCTION("""COMPUTED_VALUE"""),"")</f>
        <v/>
      </c>
      <c r="Q556" s="508" t="str">
        <f>IFERROR(__xludf.DUMMYFUNCTION("""COMPUTED_VALUE"""),"")</f>
        <v/>
      </c>
      <c r="R556" s="508" t="str">
        <f>IFERROR(__xludf.DUMMYFUNCTION("""COMPUTED_VALUE"""),"")</f>
        <v/>
      </c>
      <c r="S556" s="510" t="str">
        <f>IFERROR(__xludf.DUMMYFUNCTION("""COMPUTED_VALUE"""),"")</f>
        <v/>
      </c>
      <c r="T556" s="510" t="str">
        <f>IFERROR(__xludf.DUMMYFUNCTION("""COMPUTED_VALUE"""),"")</f>
        <v/>
      </c>
    </row>
    <row r="557">
      <c r="A557" s="508" t="str">
        <f>IFERROR(__xludf.DUMMYFUNCTION("""COMPUTED_VALUE"""),"")</f>
        <v/>
      </c>
      <c r="B557" s="508" t="str">
        <f>IFERROR(__xludf.DUMMYFUNCTION("""COMPUTED_VALUE"""),"")</f>
        <v/>
      </c>
      <c r="C557" s="508" t="str">
        <f>IFERROR(__xludf.DUMMYFUNCTION("""COMPUTED_VALUE"""),"")</f>
        <v/>
      </c>
      <c r="D557" s="508" t="str">
        <f>IFERROR(__xludf.DUMMYFUNCTION("""COMPUTED_VALUE"""),"")</f>
        <v/>
      </c>
      <c r="E557" s="508" t="str">
        <f>IFERROR(__xludf.DUMMYFUNCTION("""COMPUTED_VALUE"""),"")</f>
        <v/>
      </c>
      <c r="F557" s="508" t="str">
        <f>IFERROR(__xludf.DUMMYFUNCTION("""COMPUTED_VALUE"""),"")</f>
        <v/>
      </c>
      <c r="G557" s="510" t="str">
        <f>IFERROR(__xludf.DUMMYFUNCTION("""COMPUTED_VALUE"""),"")</f>
        <v/>
      </c>
      <c r="H557" s="508" t="str">
        <f>IFERROR(__xludf.DUMMYFUNCTION("""COMPUTED_VALUE"""),"")</f>
        <v/>
      </c>
      <c r="I557" s="510" t="str">
        <f>IFERROR(__xludf.DUMMYFUNCTION("""COMPUTED_VALUE"""),"")</f>
        <v/>
      </c>
      <c r="J557" s="508" t="str">
        <f>IFERROR(__xludf.DUMMYFUNCTION("""COMPUTED_VALUE"""),"")</f>
        <v/>
      </c>
      <c r="K557" s="510" t="str">
        <f>IFERROR(__xludf.DUMMYFUNCTION("""COMPUTED_VALUE"""),"")</f>
        <v/>
      </c>
      <c r="L557" s="508" t="str">
        <f>IFERROR(__xludf.DUMMYFUNCTION("""COMPUTED_VALUE"""),"")</f>
        <v/>
      </c>
      <c r="M557" s="508" t="str">
        <f>IFERROR(__xludf.DUMMYFUNCTION("""COMPUTED_VALUE"""),"")</f>
        <v/>
      </c>
      <c r="N557" s="508" t="str">
        <f>IFERROR(__xludf.DUMMYFUNCTION("""COMPUTED_VALUE"""),"")</f>
        <v/>
      </c>
      <c r="O557" s="508" t="str">
        <f>IFERROR(__xludf.DUMMYFUNCTION("""COMPUTED_VALUE"""),"")</f>
        <v/>
      </c>
      <c r="P557" s="510" t="str">
        <f>IFERROR(__xludf.DUMMYFUNCTION("""COMPUTED_VALUE"""),"")</f>
        <v/>
      </c>
      <c r="Q557" s="508" t="str">
        <f>IFERROR(__xludf.DUMMYFUNCTION("""COMPUTED_VALUE"""),"")</f>
        <v/>
      </c>
      <c r="R557" s="508" t="str">
        <f>IFERROR(__xludf.DUMMYFUNCTION("""COMPUTED_VALUE"""),"")</f>
        <v/>
      </c>
      <c r="S557" s="510" t="str">
        <f>IFERROR(__xludf.DUMMYFUNCTION("""COMPUTED_VALUE"""),"")</f>
        <v/>
      </c>
      <c r="T557" s="510" t="str">
        <f>IFERROR(__xludf.DUMMYFUNCTION("""COMPUTED_VALUE"""),"")</f>
        <v/>
      </c>
    </row>
    <row r="558">
      <c r="A558" s="508" t="str">
        <f>IFERROR(__xludf.DUMMYFUNCTION("""COMPUTED_VALUE"""),"")</f>
        <v/>
      </c>
      <c r="B558" s="508" t="str">
        <f>IFERROR(__xludf.DUMMYFUNCTION("""COMPUTED_VALUE"""),"")</f>
        <v/>
      </c>
      <c r="C558" s="508" t="str">
        <f>IFERROR(__xludf.DUMMYFUNCTION("""COMPUTED_VALUE"""),"")</f>
        <v/>
      </c>
      <c r="D558" s="508" t="str">
        <f>IFERROR(__xludf.DUMMYFUNCTION("""COMPUTED_VALUE"""),"")</f>
        <v/>
      </c>
      <c r="E558" s="508" t="str">
        <f>IFERROR(__xludf.DUMMYFUNCTION("""COMPUTED_VALUE"""),"")</f>
        <v/>
      </c>
      <c r="F558" s="508" t="str">
        <f>IFERROR(__xludf.DUMMYFUNCTION("""COMPUTED_VALUE"""),"")</f>
        <v/>
      </c>
      <c r="G558" s="510" t="str">
        <f>IFERROR(__xludf.DUMMYFUNCTION("""COMPUTED_VALUE"""),"")</f>
        <v/>
      </c>
      <c r="H558" s="508" t="str">
        <f>IFERROR(__xludf.DUMMYFUNCTION("""COMPUTED_VALUE"""),"")</f>
        <v/>
      </c>
      <c r="I558" s="510" t="str">
        <f>IFERROR(__xludf.DUMMYFUNCTION("""COMPUTED_VALUE"""),"")</f>
        <v/>
      </c>
      <c r="J558" s="508" t="str">
        <f>IFERROR(__xludf.DUMMYFUNCTION("""COMPUTED_VALUE"""),"")</f>
        <v/>
      </c>
      <c r="K558" s="510" t="str">
        <f>IFERROR(__xludf.DUMMYFUNCTION("""COMPUTED_VALUE"""),"")</f>
        <v/>
      </c>
      <c r="L558" s="508" t="str">
        <f>IFERROR(__xludf.DUMMYFUNCTION("""COMPUTED_VALUE"""),"")</f>
        <v/>
      </c>
      <c r="M558" s="508" t="str">
        <f>IFERROR(__xludf.DUMMYFUNCTION("""COMPUTED_VALUE"""),"")</f>
        <v/>
      </c>
      <c r="N558" s="508" t="str">
        <f>IFERROR(__xludf.DUMMYFUNCTION("""COMPUTED_VALUE"""),"")</f>
        <v/>
      </c>
      <c r="O558" s="508" t="str">
        <f>IFERROR(__xludf.DUMMYFUNCTION("""COMPUTED_VALUE"""),"")</f>
        <v/>
      </c>
      <c r="P558" s="510" t="str">
        <f>IFERROR(__xludf.DUMMYFUNCTION("""COMPUTED_VALUE"""),"")</f>
        <v/>
      </c>
      <c r="Q558" s="508" t="str">
        <f>IFERROR(__xludf.DUMMYFUNCTION("""COMPUTED_VALUE"""),"")</f>
        <v/>
      </c>
      <c r="R558" s="508" t="str">
        <f>IFERROR(__xludf.DUMMYFUNCTION("""COMPUTED_VALUE"""),"")</f>
        <v/>
      </c>
      <c r="S558" s="510" t="str">
        <f>IFERROR(__xludf.DUMMYFUNCTION("""COMPUTED_VALUE"""),"")</f>
        <v/>
      </c>
      <c r="T558" s="510" t="str">
        <f>IFERROR(__xludf.DUMMYFUNCTION("""COMPUTED_VALUE"""),"")</f>
        <v/>
      </c>
    </row>
    <row r="559">
      <c r="A559" s="508" t="str">
        <f>IFERROR(__xludf.DUMMYFUNCTION("""COMPUTED_VALUE"""),"")</f>
        <v/>
      </c>
      <c r="B559" s="508" t="str">
        <f>IFERROR(__xludf.DUMMYFUNCTION("""COMPUTED_VALUE"""),"")</f>
        <v/>
      </c>
      <c r="C559" s="508" t="str">
        <f>IFERROR(__xludf.DUMMYFUNCTION("""COMPUTED_VALUE"""),"")</f>
        <v/>
      </c>
      <c r="D559" s="508" t="str">
        <f>IFERROR(__xludf.DUMMYFUNCTION("""COMPUTED_VALUE"""),"")</f>
        <v/>
      </c>
      <c r="E559" s="508" t="str">
        <f>IFERROR(__xludf.DUMMYFUNCTION("""COMPUTED_VALUE"""),"")</f>
        <v/>
      </c>
      <c r="F559" s="508" t="str">
        <f>IFERROR(__xludf.DUMMYFUNCTION("""COMPUTED_VALUE"""),"")</f>
        <v/>
      </c>
      <c r="G559" s="510" t="str">
        <f>IFERROR(__xludf.DUMMYFUNCTION("""COMPUTED_VALUE"""),"")</f>
        <v/>
      </c>
      <c r="H559" s="508" t="str">
        <f>IFERROR(__xludf.DUMMYFUNCTION("""COMPUTED_VALUE"""),"")</f>
        <v/>
      </c>
      <c r="I559" s="510" t="str">
        <f>IFERROR(__xludf.DUMMYFUNCTION("""COMPUTED_VALUE"""),"")</f>
        <v/>
      </c>
      <c r="J559" s="508" t="str">
        <f>IFERROR(__xludf.DUMMYFUNCTION("""COMPUTED_VALUE"""),"")</f>
        <v/>
      </c>
      <c r="K559" s="510" t="str">
        <f>IFERROR(__xludf.DUMMYFUNCTION("""COMPUTED_VALUE"""),"")</f>
        <v/>
      </c>
      <c r="L559" s="508" t="str">
        <f>IFERROR(__xludf.DUMMYFUNCTION("""COMPUTED_VALUE"""),"")</f>
        <v/>
      </c>
      <c r="M559" s="508" t="str">
        <f>IFERROR(__xludf.DUMMYFUNCTION("""COMPUTED_VALUE"""),"")</f>
        <v/>
      </c>
      <c r="N559" s="508" t="str">
        <f>IFERROR(__xludf.DUMMYFUNCTION("""COMPUTED_VALUE"""),"")</f>
        <v/>
      </c>
      <c r="O559" s="508" t="str">
        <f>IFERROR(__xludf.DUMMYFUNCTION("""COMPUTED_VALUE"""),"")</f>
        <v/>
      </c>
      <c r="P559" s="510" t="str">
        <f>IFERROR(__xludf.DUMMYFUNCTION("""COMPUTED_VALUE"""),"")</f>
        <v/>
      </c>
      <c r="Q559" s="508" t="str">
        <f>IFERROR(__xludf.DUMMYFUNCTION("""COMPUTED_VALUE"""),"")</f>
        <v/>
      </c>
      <c r="R559" s="508" t="str">
        <f>IFERROR(__xludf.DUMMYFUNCTION("""COMPUTED_VALUE"""),"")</f>
        <v/>
      </c>
      <c r="S559" s="510" t="str">
        <f>IFERROR(__xludf.DUMMYFUNCTION("""COMPUTED_VALUE"""),"")</f>
        <v/>
      </c>
      <c r="T559" s="510" t="str">
        <f>IFERROR(__xludf.DUMMYFUNCTION("""COMPUTED_VALUE"""),"")</f>
        <v/>
      </c>
    </row>
    <row r="560">
      <c r="A560" s="508" t="str">
        <f>IFERROR(__xludf.DUMMYFUNCTION("""COMPUTED_VALUE"""),"")</f>
        <v/>
      </c>
      <c r="B560" s="508" t="str">
        <f>IFERROR(__xludf.DUMMYFUNCTION("""COMPUTED_VALUE"""),"")</f>
        <v/>
      </c>
      <c r="C560" s="508" t="str">
        <f>IFERROR(__xludf.DUMMYFUNCTION("""COMPUTED_VALUE"""),"")</f>
        <v/>
      </c>
      <c r="D560" s="508" t="str">
        <f>IFERROR(__xludf.DUMMYFUNCTION("""COMPUTED_VALUE"""),"")</f>
        <v/>
      </c>
      <c r="E560" s="508" t="str">
        <f>IFERROR(__xludf.DUMMYFUNCTION("""COMPUTED_VALUE"""),"")</f>
        <v/>
      </c>
      <c r="F560" s="508" t="str">
        <f>IFERROR(__xludf.DUMMYFUNCTION("""COMPUTED_VALUE"""),"")</f>
        <v/>
      </c>
      <c r="G560" s="510" t="str">
        <f>IFERROR(__xludf.DUMMYFUNCTION("""COMPUTED_VALUE"""),"")</f>
        <v/>
      </c>
      <c r="H560" s="508" t="str">
        <f>IFERROR(__xludf.DUMMYFUNCTION("""COMPUTED_VALUE"""),"")</f>
        <v/>
      </c>
      <c r="I560" s="510" t="str">
        <f>IFERROR(__xludf.DUMMYFUNCTION("""COMPUTED_VALUE"""),"")</f>
        <v/>
      </c>
      <c r="J560" s="508" t="str">
        <f>IFERROR(__xludf.DUMMYFUNCTION("""COMPUTED_VALUE"""),"")</f>
        <v/>
      </c>
      <c r="K560" s="510" t="str">
        <f>IFERROR(__xludf.DUMMYFUNCTION("""COMPUTED_VALUE"""),"")</f>
        <v/>
      </c>
      <c r="L560" s="508" t="str">
        <f>IFERROR(__xludf.DUMMYFUNCTION("""COMPUTED_VALUE"""),"")</f>
        <v/>
      </c>
      <c r="M560" s="508" t="str">
        <f>IFERROR(__xludf.DUMMYFUNCTION("""COMPUTED_VALUE"""),"")</f>
        <v/>
      </c>
      <c r="N560" s="508" t="str">
        <f>IFERROR(__xludf.DUMMYFUNCTION("""COMPUTED_VALUE"""),"")</f>
        <v/>
      </c>
      <c r="O560" s="508" t="str">
        <f>IFERROR(__xludf.DUMMYFUNCTION("""COMPUTED_VALUE"""),"")</f>
        <v/>
      </c>
      <c r="P560" s="510" t="str">
        <f>IFERROR(__xludf.DUMMYFUNCTION("""COMPUTED_VALUE"""),"")</f>
        <v/>
      </c>
      <c r="Q560" s="508" t="str">
        <f>IFERROR(__xludf.DUMMYFUNCTION("""COMPUTED_VALUE"""),"")</f>
        <v/>
      </c>
      <c r="R560" s="508" t="str">
        <f>IFERROR(__xludf.DUMMYFUNCTION("""COMPUTED_VALUE"""),"")</f>
        <v/>
      </c>
      <c r="S560" s="510" t="str">
        <f>IFERROR(__xludf.DUMMYFUNCTION("""COMPUTED_VALUE"""),"")</f>
        <v/>
      </c>
      <c r="T560" s="510" t="str">
        <f>IFERROR(__xludf.DUMMYFUNCTION("""COMPUTED_VALUE"""),"")</f>
        <v/>
      </c>
    </row>
    <row r="561">
      <c r="A561" s="508" t="str">
        <f>IFERROR(__xludf.DUMMYFUNCTION("""COMPUTED_VALUE"""),"")</f>
        <v/>
      </c>
      <c r="B561" s="508" t="str">
        <f>IFERROR(__xludf.DUMMYFUNCTION("""COMPUTED_VALUE"""),"")</f>
        <v/>
      </c>
      <c r="C561" s="508" t="str">
        <f>IFERROR(__xludf.DUMMYFUNCTION("""COMPUTED_VALUE"""),"")</f>
        <v/>
      </c>
      <c r="D561" s="508" t="str">
        <f>IFERROR(__xludf.DUMMYFUNCTION("""COMPUTED_VALUE"""),"")</f>
        <v/>
      </c>
      <c r="E561" s="508" t="str">
        <f>IFERROR(__xludf.DUMMYFUNCTION("""COMPUTED_VALUE"""),"")</f>
        <v/>
      </c>
      <c r="F561" s="508" t="str">
        <f>IFERROR(__xludf.DUMMYFUNCTION("""COMPUTED_VALUE"""),"")</f>
        <v/>
      </c>
      <c r="G561" s="510" t="str">
        <f>IFERROR(__xludf.DUMMYFUNCTION("""COMPUTED_VALUE"""),"")</f>
        <v/>
      </c>
      <c r="H561" s="508" t="str">
        <f>IFERROR(__xludf.DUMMYFUNCTION("""COMPUTED_VALUE"""),"")</f>
        <v/>
      </c>
      <c r="I561" s="510" t="str">
        <f>IFERROR(__xludf.DUMMYFUNCTION("""COMPUTED_VALUE"""),"")</f>
        <v/>
      </c>
      <c r="J561" s="508" t="str">
        <f>IFERROR(__xludf.DUMMYFUNCTION("""COMPUTED_VALUE"""),"")</f>
        <v/>
      </c>
      <c r="K561" s="510" t="str">
        <f>IFERROR(__xludf.DUMMYFUNCTION("""COMPUTED_VALUE"""),"")</f>
        <v/>
      </c>
      <c r="L561" s="508" t="str">
        <f>IFERROR(__xludf.DUMMYFUNCTION("""COMPUTED_VALUE"""),"")</f>
        <v/>
      </c>
      <c r="M561" s="508" t="str">
        <f>IFERROR(__xludf.DUMMYFUNCTION("""COMPUTED_VALUE"""),"")</f>
        <v/>
      </c>
      <c r="N561" s="508" t="str">
        <f>IFERROR(__xludf.DUMMYFUNCTION("""COMPUTED_VALUE"""),"")</f>
        <v/>
      </c>
      <c r="O561" s="508" t="str">
        <f>IFERROR(__xludf.DUMMYFUNCTION("""COMPUTED_VALUE"""),"")</f>
        <v/>
      </c>
      <c r="P561" s="510" t="str">
        <f>IFERROR(__xludf.DUMMYFUNCTION("""COMPUTED_VALUE"""),"")</f>
        <v/>
      </c>
      <c r="Q561" s="508" t="str">
        <f>IFERROR(__xludf.DUMMYFUNCTION("""COMPUTED_VALUE"""),"")</f>
        <v/>
      </c>
      <c r="R561" s="508" t="str">
        <f>IFERROR(__xludf.DUMMYFUNCTION("""COMPUTED_VALUE"""),"")</f>
        <v/>
      </c>
      <c r="S561" s="510" t="str">
        <f>IFERROR(__xludf.DUMMYFUNCTION("""COMPUTED_VALUE"""),"")</f>
        <v/>
      </c>
      <c r="T561" s="510" t="str">
        <f>IFERROR(__xludf.DUMMYFUNCTION("""COMPUTED_VALUE"""),"")</f>
        <v/>
      </c>
    </row>
    <row r="562">
      <c r="A562" s="508" t="str">
        <f>IFERROR(__xludf.DUMMYFUNCTION("""COMPUTED_VALUE"""),"")</f>
        <v/>
      </c>
      <c r="B562" s="508" t="str">
        <f>IFERROR(__xludf.DUMMYFUNCTION("""COMPUTED_VALUE"""),"")</f>
        <v/>
      </c>
      <c r="C562" s="508" t="str">
        <f>IFERROR(__xludf.DUMMYFUNCTION("""COMPUTED_VALUE"""),"")</f>
        <v/>
      </c>
      <c r="D562" s="508" t="str">
        <f>IFERROR(__xludf.DUMMYFUNCTION("""COMPUTED_VALUE"""),"")</f>
        <v/>
      </c>
      <c r="E562" s="508" t="str">
        <f>IFERROR(__xludf.DUMMYFUNCTION("""COMPUTED_VALUE"""),"")</f>
        <v/>
      </c>
      <c r="F562" s="508" t="str">
        <f>IFERROR(__xludf.DUMMYFUNCTION("""COMPUTED_VALUE"""),"")</f>
        <v/>
      </c>
      <c r="G562" s="510" t="str">
        <f>IFERROR(__xludf.DUMMYFUNCTION("""COMPUTED_VALUE"""),"")</f>
        <v/>
      </c>
      <c r="H562" s="508" t="str">
        <f>IFERROR(__xludf.DUMMYFUNCTION("""COMPUTED_VALUE"""),"")</f>
        <v/>
      </c>
      <c r="I562" s="510" t="str">
        <f>IFERROR(__xludf.DUMMYFUNCTION("""COMPUTED_VALUE"""),"")</f>
        <v/>
      </c>
      <c r="J562" s="508" t="str">
        <f>IFERROR(__xludf.DUMMYFUNCTION("""COMPUTED_VALUE"""),"")</f>
        <v/>
      </c>
      <c r="K562" s="510" t="str">
        <f>IFERROR(__xludf.DUMMYFUNCTION("""COMPUTED_VALUE"""),"")</f>
        <v/>
      </c>
      <c r="L562" s="508" t="str">
        <f>IFERROR(__xludf.DUMMYFUNCTION("""COMPUTED_VALUE"""),"")</f>
        <v/>
      </c>
      <c r="M562" s="508" t="str">
        <f>IFERROR(__xludf.DUMMYFUNCTION("""COMPUTED_VALUE"""),"")</f>
        <v/>
      </c>
      <c r="N562" s="508" t="str">
        <f>IFERROR(__xludf.DUMMYFUNCTION("""COMPUTED_VALUE"""),"")</f>
        <v/>
      </c>
      <c r="O562" s="508" t="str">
        <f>IFERROR(__xludf.DUMMYFUNCTION("""COMPUTED_VALUE"""),"")</f>
        <v/>
      </c>
      <c r="P562" s="510" t="str">
        <f>IFERROR(__xludf.DUMMYFUNCTION("""COMPUTED_VALUE"""),"")</f>
        <v/>
      </c>
      <c r="Q562" s="508" t="str">
        <f>IFERROR(__xludf.DUMMYFUNCTION("""COMPUTED_VALUE"""),"")</f>
        <v/>
      </c>
      <c r="R562" s="508" t="str">
        <f>IFERROR(__xludf.DUMMYFUNCTION("""COMPUTED_VALUE"""),"")</f>
        <v/>
      </c>
      <c r="S562" s="510" t="str">
        <f>IFERROR(__xludf.DUMMYFUNCTION("""COMPUTED_VALUE"""),"")</f>
        <v/>
      </c>
      <c r="T562" s="510" t="str">
        <f>IFERROR(__xludf.DUMMYFUNCTION("""COMPUTED_VALUE"""),"")</f>
        <v/>
      </c>
    </row>
    <row r="563">
      <c r="A563" s="508" t="str">
        <f>IFERROR(__xludf.DUMMYFUNCTION("""COMPUTED_VALUE"""),"")</f>
        <v/>
      </c>
      <c r="B563" s="508" t="str">
        <f>IFERROR(__xludf.DUMMYFUNCTION("""COMPUTED_VALUE"""),"")</f>
        <v/>
      </c>
      <c r="C563" s="508" t="str">
        <f>IFERROR(__xludf.DUMMYFUNCTION("""COMPUTED_VALUE"""),"")</f>
        <v/>
      </c>
      <c r="D563" s="508" t="str">
        <f>IFERROR(__xludf.DUMMYFUNCTION("""COMPUTED_VALUE"""),"")</f>
        <v/>
      </c>
      <c r="E563" s="508" t="str">
        <f>IFERROR(__xludf.DUMMYFUNCTION("""COMPUTED_VALUE"""),"")</f>
        <v/>
      </c>
      <c r="F563" s="508" t="str">
        <f>IFERROR(__xludf.DUMMYFUNCTION("""COMPUTED_VALUE"""),"")</f>
        <v/>
      </c>
      <c r="G563" s="510" t="str">
        <f>IFERROR(__xludf.DUMMYFUNCTION("""COMPUTED_VALUE"""),"")</f>
        <v/>
      </c>
      <c r="H563" s="508" t="str">
        <f>IFERROR(__xludf.DUMMYFUNCTION("""COMPUTED_VALUE"""),"")</f>
        <v/>
      </c>
      <c r="I563" s="510" t="str">
        <f>IFERROR(__xludf.DUMMYFUNCTION("""COMPUTED_VALUE"""),"")</f>
        <v/>
      </c>
      <c r="J563" s="508" t="str">
        <f>IFERROR(__xludf.DUMMYFUNCTION("""COMPUTED_VALUE"""),"")</f>
        <v/>
      </c>
      <c r="K563" s="510" t="str">
        <f>IFERROR(__xludf.DUMMYFUNCTION("""COMPUTED_VALUE"""),"")</f>
        <v/>
      </c>
      <c r="L563" s="508" t="str">
        <f>IFERROR(__xludf.DUMMYFUNCTION("""COMPUTED_VALUE"""),"")</f>
        <v/>
      </c>
      <c r="M563" s="508" t="str">
        <f>IFERROR(__xludf.DUMMYFUNCTION("""COMPUTED_VALUE"""),"")</f>
        <v/>
      </c>
      <c r="N563" s="508" t="str">
        <f>IFERROR(__xludf.DUMMYFUNCTION("""COMPUTED_VALUE"""),"")</f>
        <v/>
      </c>
      <c r="O563" s="508" t="str">
        <f>IFERROR(__xludf.DUMMYFUNCTION("""COMPUTED_VALUE"""),"")</f>
        <v/>
      </c>
      <c r="P563" s="510" t="str">
        <f>IFERROR(__xludf.DUMMYFUNCTION("""COMPUTED_VALUE"""),"")</f>
        <v/>
      </c>
      <c r="Q563" s="508" t="str">
        <f>IFERROR(__xludf.DUMMYFUNCTION("""COMPUTED_VALUE"""),"")</f>
        <v/>
      </c>
      <c r="R563" s="508" t="str">
        <f>IFERROR(__xludf.DUMMYFUNCTION("""COMPUTED_VALUE"""),"")</f>
        <v/>
      </c>
      <c r="S563" s="510" t="str">
        <f>IFERROR(__xludf.DUMMYFUNCTION("""COMPUTED_VALUE"""),"")</f>
        <v/>
      </c>
      <c r="T563" s="510" t="str">
        <f>IFERROR(__xludf.DUMMYFUNCTION("""COMPUTED_VALUE"""),"")</f>
        <v/>
      </c>
    </row>
    <row r="564">
      <c r="A564" s="508" t="str">
        <f>IFERROR(__xludf.DUMMYFUNCTION("""COMPUTED_VALUE"""),"")</f>
        <v/>
      </c>
      <c r="B564" s="508" t="str">
        <f>IFERROR(__xludf.DUMMYFUNCTION("""COMPUTED_VALUE"""),"")</f>
        <v/>
      </c>
      <c r="C564" s="508" t="str">
        <f>IFERROR(__xludf.DUMMYFUNCTION("""COMPUTED_VALUE"""),"")</f>
        <v/>
      </c>
      <c r="D564" s="508" t="str">
        <f>IFERROR(__xludf.DUMMYFUNCTION("""COMPUTED_VALUE"""),"")</f>
        <v/>
      </c>
      <c r="E564" s="508" t="str">
        <f>IFERROR(__xludf.DUMMYFUNCTION("""COMPUTED_VALUE"""),"")</f>
        <v/>
      </c>
      <c r="F564" s="508" t="str">
        <f>IFERROR(__xludf.DUMMYFUNCTION("""COMPUTED_VALUE"""),"")</f>
        <v/>
      </c>
      <c r="G564" s="510" t="str">
        <f>IFERROR(__xludf.DUMMYFUNCTION("""COMPUTED_VALUE"""),"")</f>
        <v/>
      </c>
      <c r="H564" s="508" t="str">
        <f>IFERROR(__xludf.DUMMYFUNCTION("""COMPUTED_VALUE"""),"")</f>
        <v/>
      </c>
      <c r="I564" s="510" t="str">
        <f>IFERROR(__xludf.DUMMYFUNCTION("""COMPUTED_VALUE"""),"")</f>
        <v/>
      </c>
      <c r="J564" s="508" t="str">
        <f>IFERROR(__xludf.DUMMYFUNCTION("""COMPUTED_VALUE"""),"")</f>
        <v/>
      </c>
      <c r="K564" s="510" t="str">
        <f>IFERROR(__xludf.DUMMYFUNCTION("""COMPUTED_VALUE"""),"")</f>
        <v/>
      </c>
      <c r="L564" s="508" t="str">
        <f>IFERROR(__xludf.DUMMYFUNCTION("""COMPUTED_VALUE"""),"")</f>
        <v/>
      </c>
      <c r="M564" s="508" t="str">
        <f>IFERROR(__xludf.DUMMYFUNCTION("""COMPUTED_VALUE"""),"")</f>
        <v/>
      </c>
      <c r="N564" s="508" t="str">
        <f>IFERROR(__xludf.DUMMYFUNCTION("""COMPUTED_VALUE"""),"")</f>
        <v/>
      </c>
      <c r="O564" s="508" t="str">
        <f>IFERROR(__xludf.DUMMYFUNCTION("""COMPUTED_VALUE"""),"")</f>
        <v/>
      </c>
      <c r="P564" s="510" t="str">
        <f>IFERROR(__xludf.DUMMYFUNCTION("""COMPUTED_VALUE"""),"")</f>
        <v/>
      </c>
      <c r="Q564" s="508" t="str">
        <f>IFERROR(__xludf.DUMMYFUNCTION("""COMPUTED_VALUE"""),"")</f>
        <v/>
      </c>
      <c r="R564" s="508" t="str">
        <f>IFERROR(__xludf.DUMMYFUNCTION("""COMPUTED_VALUE"""),"")</f>
        <v/>
      </c>
      <c r="S564" s="510" t="str">
        <f>IFERROR(__xludf.DUMMYFUNCTION("""COMPUTED_VALUE"""),"")</f>
        <v/>
      </c>
      <c r="T564" s="510" t="str">
        <f>IFERROR(__xludf.DUMMYFUNCTION("""COMPUTED_VALUE"""),"")</f>
        <v/>
      </c>
    </row>
    <row r="565">
      <c r="A565" s="508" t="str">
        <f>IFERROR(__xludf.DUMMYFUNCTION("""COMPUTED_VALUE"""),"")</f>
        <v/>
      </c>
      <c r="B565" s="508" t="str">
        <f>IFERROR(__xludf.DUMMYFUNCTION("""COMPUTED_VALUE"""),"")</f>
        <v/>
      </c>
      <c r="C565" s="508" t="str">
        <f>IFERROR(__xludf.DUMMYFUNCTION("""COMPUTED_VALUE"""),"")</f>
        <v/>
      </c>
      <c r="D565" s="508" t="str">
        <f>IFERROR(__xludf.DUMMYFUNCTION("""COMPUTED_VALUE"""),"")</f>
        <v/>
      </c>
      <c r="E565" s="508" t="str">
        <f>IFERROR(__xludf.DUMMYFUNCTION("""COMPUTED_VALUE"""),"")</f>
        <v/>
      </c>
      <c r="F565" s="508" t="str">
        <f>IFERROR(__xludf.DUMMYFUNCTION("""COMPUTED_VALUE"""),"")</f>
        <v/>
      </c>
      <c r="G565" s="510" t="str">
        <f>IFERROR(__xludf.DUMMYFUNCTION("""COMPUTED_VALUE"""),"")</f>
        <v/>
      </c>
      <c r="H565" s="508" t="str">
        <f>IFERROR(__xludf.DUMMYFUNCTION("""COMPUTED_VALUE"""),"")</f>
        <v/>
      </c>
      <c r="I565" s="510" t="str">
        <f>IFERROR(__xludf.DUMMYFUNCTION("""COMPUTED_VALUE"""),"")</f>
        <v/>
      </c>
      <c r="J565" s="508" t="str">
        <f>IFERROR(__xludf.DUMMYFUNCTION("""COMPUTED_VALUE"""),"")</f>
        <v/>
      </c>
      <c r="K565" s="510" t="str">
        <f>IFERROR(__xludf.DUMMYFUNCTION("""COMPUTED_VALUE"""),"")</f>
        <v/>
      </c>
      <c r="L565" s="508" t="str">
        <f>IFERROR(__xludf.DUMMYFUNCTION("""COMPUTED_VALUE"""),"")</f>
        <v/>
      </c>
      <c r="M565" s="508" t="str">
        <f>IFERROR(__xludf.DUMMYFUNCTION("""COMPUTED_VALUE"""),"")</f>
        <v/>
      </c>
      <c r="N565" s="508" t="str">
        <f>IFERROR(__xludf.DUMMYFUNCTION("""COMPUTED_VALUE"""),"")</f>
        <v/>
      </c>
      <c r="O565" s="508" t="str">
        <f>IFERROR(__xludf.DUMMYFUNCTION("""COMPUTED_VALUE"""),"")</f>
        <v/>
      </c>
      <c r="P565" s="510" t="str">
        <f>IFERROR(__xludf.DUMMYFUNCTION("""COMPUTED_VALUE"""),"")</f>
        <v/>
      </c>
      <c r="Q565" s="508" t="str">
        <f>IFERROR(__xludf.DUMMYFUNCTION("""COMPUTED_VALUE"""),"")</f>
        <v/>
      </c>
      <c r="R565" s="508" t="str">
        <f>IFERROR(__xludf.DUMMYFUNCTION("""COMPUTED_VALUE"""),"")</f>
        <v/>
      </c>
      <c r="S565" s="510" t="str">
        <f>IFERROR(__xludf.DUMMYFUNCTION("""COMPUTED_VALUE"""),"")</f>
        <v/>
      </c>
      <c r="T565" s="510" t="str">
        <f>IFERROR(__xludf.DUMMYFUNCTION("""COMPUTED_VALUE"""),"")</f>
        <v/>
      </c>
    </row>
    <row r="566">
      <c r="A566" s="508" t="str">
        <f>IFERROR(__xludf.DUMMYFUNCTION("""COMPUTED_VALUE"""),"")</f>
        <v/>
      </c>
      <c r="B566" s="508" t="str">
        <f>IFERROR(__xludf.DUMMYFUNCTION("""COMPUTED_VALUE"""),"")</f>
        <v/>
      </c>
      <c r="C566" s="508" t="str">
        <f>IFERROR(__xludf.DUMMYFUNCTION("""COMPUTED_VALUE"""),"")</f>
        <v/>
      </c>
      <c r="D566" s="508" t="str">
        <f>IFERROR(__xludf.DUMMYFUNCTION("""COMPUTED_VALUE"""),"")</f>
        <v/>
      </c>
      <c r="E566" s="508" t="str">
        <f>IFERROR(__xludf.DUMMYFUNCTION("""COMPUTED_VALUE"""),"")</f>
        <v/>
      </c>
      <c r="F566" s="508" t="str">
        <f>IFERROR(__xludf.DUMMYFUNCTION("""COMPUTED_VALUE"""),"")</f>
        <v/>
      </c>
      <c r="G566" s="510" t="str">
        <f>IFERROR(__xludf.DUMMYFUNCTION("""COMPUTED_VALUE"""),"")</f>
        <v/>
      </c>
      <c r="H566" s="508" t="str">
        <f>IFERROR(__xludf.DUMMYFUNCTION("""COMPUTED_VALUE"""),"")</f>
        <v/>
      </c>
      <c r="I566" s="510" t="str">
        <f>IFERROR(__xludf.DUMMYFUNCTION("""COMPUTED_VALUE"""),"")</f>
        <v/>
      </c>
      <c r="J566" s="508" t="str">
        <f>IFERROR(__xludf.DUMMYFUNCTION("""COMPUTED_VALUE"""),"")</f>
        <v/>
      </c>
      <c r="K566" s="510" t="str">
        <f>IFERROR(__xludf.DUMMYFUNCTION("""COMPUTED_VALUE"""),"")</f>
        <v/>
      </c>
      <c r="L566" s="508" t="str">
        <f>IFERROR(__xludf.DUMMYFUNCTION("""COMPUTED_VALUE"""),"")</f>
        <v/>
      </c>
      <c r="M566" s="508" t="str">
        <f>IFERROR(__xludf.DUMMYFUNCTION("""COMPUTED_VALUE"""),"")</f>
        <v/>
      </c>
      <c r="N566" s="508" t="str">
        <f>IFERROR(__xludf.DUMMYFUNCTION("""COMPUTED_VALUE"""),"")</f>
        <v/>
      </c>
      <c r="O566" s="508" t="str">
        <f>IFERROR(__xludf.DUMMYFUNCTION("""COMPUTED_VALUE"""),"")</f>
        <v/>
      </c>
      <c r="P566" s="510" t="str">
        <f>IFERROR(__xludf.DUMMYFUNCTION("""COMPUTED_VALUE"""),"")</f>
        <v/>
      </c>
      <c r="Q566" s="508" t="str">
        <f>IFERROR(__xludf.DUMMYFUNCTION("""COMPUTED_VALUE"""),"")</f>
        <v/>
      </c>
      <c r="R566" s="508" t="str">
        <f>IFERROR(__xludf.DUMMYFUNCTION("""COMPUTED_VALUE"""),"")</f>
        <v/>
      </c>
      <c r="S566" s="510" t="str">
        <f>IFERROR(__xludf.DUMMYFUNCTION("""COMPUTED_VALUE"""),"")</f>
        <v/>
      </c>
      <c r="T566" s="510" t="str">
        <f>IFERROR(__xludf.DUMMYFUNCTION("""COMPUTED_VALUE"""),"")</f>
        <v/>
      </c>
    </row>
    <row r="567">
      <c r="A567" s="508" t="str">
        <f>IFERROR(__xludf.DUMMYFUNCTION("""COMPUTED_VALUE"""),"")</f>
        <v/>
      </c>
      <c r="B567" s="508" t="str">
        <f>IFERROR(__xludf.DUMMYFUNCTION("""COMPUTED_VALUE"""),"")</f>
        <v/>
      </c>
      <c r="C567" s="508" t="str">
        <f>IFERROR(__xludf.DUMMYFUNCTION("""COMPUTED_VALUE"""),"")</f>
        <v/>
      </c>
      <c r="D567" s="508" t="str">
        <f>IFERROR(__xludf.DUMMYFUNCTION("""COMPUTED_VALUE"""),"")</f>
        <v/>
      </c>
      <c r="E567" s="508" t="str">
        <f>IFERROR(__xludf.DUMMYFUNCTION("""COMPUTED_VALUE"""),"")</f>
        <v/>
      </c>
      <c r="F567" s="508" t="str">
        <f>IFERROR(__xludf.DUMMYFUNCTION("""COMPUTED_VALUE"""),"")</f>
        <v/>
      </c>
      <c r="G567" s="510" t="str">
        <f>IFERROR(__xludf.DUMMYFUNCTION("""COMPUTED_VALUE"""),"")</f>
        <v/>
      </c>
      <c r="H567" s="508" t="str">
        <f>IFERROR(__xludf.DUMMYFUNCTION("""COMPUTED_VALUE"""),"")</f>
        <v/>
      </c>
      <c r="I567" s="510" t="str">
        <f>IFERROR(__xludf.DUMMYFUNCTION("""COMPUTED_VALUE"""),"")</f>
        <v/>
      </c>
      <c r="J567" s="508" t="str">
        <f>IFERROR(__xludf.DUMMYFUNCTION("""COMPUTED_VALUE"""),"")</f>
        <v/>
      </c>
      <c r="K567" s="510" t="str">
        <f>IFERROR(__xludf.DUMMYFUNCTION("""COMPUTED_VALUE"""),"")</f>
        <v/>
      </c>
      <c r="L567" s="508" t="str">
        <f>IFERROR(__xludf.DUMMYFUNCTION("""COMPUTED_VALUE"""),"")</f>
        <v/>
      </c>
      <c r="M567" s="508" t="str">
        <f>IFERROR(__xludf.DUMMYFUNCTION("""COMPUTED_VALUE"""),"")</f>
        <v/>
      </c>
      <c r="N567" s="508" t="str">
        <f>IFERROR(__xludf.DUMMYFUNCTION("""COMPUTED_VALUE"""),"")</f>
        <v/>
      </c>
      <c r="O567" s="508" t="str">
        <f>IFERROR(__xludf.DUMMYFUNCTION("""COMPUTED_VALUE"""),"")</f>
        <v/>
      </c>
      <c r="P567" s="510" t="str">
        <f>IFERROR(__xludf.DUMMYFUNCTION("""COMPUTED_VALUE"""),"")</f>
        <v/>
      </c>
      <c r="Q567" s="508" t="str">
        <f>IFERROR(__xludf.DUMMYFUNCTION("""COMPUTED_VALUE"""),"")</f>
        <v/>
      </c>
      <c r="R567" s="508" t="str">
        <f>IFERROR(__xludf.DUMMYFUNCTION("""COMPUTED_VALUE"""),"")</f>
        <v/>
      </c>
      <c r="S567" s="510" t="str">
        <f>IFERROR(__xludf.DUMMYFUNCTION("""COMPUTED_VALUE"""),"")</f>
        <v/>
      </c>
      <c r="T567" s="510" t="str">
        <f>IFERROR(__xludf.DUMMYFUNCTION("""COMPUTED_VALUE"""),"")</f>
        <v/>
      </c>
    </row>
    <row r="568">
      <c r="A568" s="508" t="str">
        <f>IFERROR(__xludf.DUMMYFUNCTION("""COMPUTED_VALUE"""),"")</f>
        <v/>
      </c>
      <c r="B568" s="508" t="str">
        <f>IFERROR(__xludf.DUMMYFUNCTION("""COMPUTED_VALUE"""),"")</f>
        <v/>
      </c>
      <c r="C568" s="508" t="str">
        <f>IFERROR(__xludf.DUMMYFUNCTION("""COMPUTED_VALUE"""),"")</f>
        <v/>
      </c>
      <c r="D568" s="508" t="str">
        <f>IFERROR(__xludf.DUMMYFUNCTION("""COMPUTED_VALUE"""),"")</f>
        <v/>
      </c>
      <c r="E568" s="508" t="str">
        <f>IFERROR(__xludf.DUMMYFUNCTION("""COMPUTED_VALUE"""),"")</f>
        <v/>
      </c>
      <c r="F568" s="508" t="str">
        <f>IFERROR(__xludf.DUMMYFUNCTION("""COMPUTED_VALUE"""),"")</f>
        <v/>
      </c>
      <c r="G568" s="510" t="str">
        <f>IFERROR(__xludf.DUMMYFUNCTION("""COMPUTED_VALUE"""),"")</f>
        <v/>
      </c>
      <c r="H568" s="508" t="str">
        <f>IFERROR(__xludf.DUMMYFUNCTION("""COMPUTED_VALUE"""),"")</f>
        <v/>
      </c>
      <c r="I568" s="510" t="str">
        <f>IFERROR(__xludf.DUMMYFUNCTION("""COMPUTED_VALUE"""),"")</f>
        <v/>
      </c>
      <c r="J568" s="508" t="str">
        <f>IFERROR(__xludf.DUMMYFUNCTION("""COMPUTED_VALUE"""),"")</f>
        <v/>
      </c>
      <c r="K568" s="510" t="str">
        <f>IFERROR(__xludf.DUMMYFUNCTION("""COMPUTED_VALUE"""),"")</f>
        <v/>
      </c>
      <c r="L568" s="508" t="str">
        <f>IFERROR(__xludf.DUMMYFUNCTION("""COMPUTED_VALUE"""),"")</f>
        <v/>
      </c>
      <c r="M568" s="508" t="str">
        <f>IFERROR(__xludf.DUMMYFUNCTION("""COMPUTED_VALUE"""),"")</f>
        <v/>
      </c>
      <c r="N568" s="508" t="str">
        <f>IFERROR(__xludf.DUMMYFUNCTION("""COMPUTED_VALUE"""),"")</f>
        <v/>
      </c>
      <c r="O568" s="508" t="str">
        <f>IFERROR(__xludf.DUMMYFUNCTION("""COMPUTED_VALUE"""),"")</f>
        <v/>
      </c>
      <c r="P568" s="510" t="str">
        <f>IFERROR(__xludf.DUMMYFUNCTION("""COMPUTED_VALUE"""),"")</f>
        <v/>
      </c>
      <c r="Q568" s="508" t="str">
        <f>IFERROR(__xludf.DUMMYFUNCTION("""COMPUTED_VALUE"""),"")</f>
        <v/>
      </c>
      <c r="R568" s="508" t="str">
        <f>IFERROR(__xludf.DUMMYFUNCTION("""COMPUTED_VALUE"""),"")</f>
        <v/>
      </c>
      <c r="S568" s="510" t="str">
        <f>IFERROR(__xludf.DUMMYFUNCTION("""COMPUTED_VALUE"""),"")</f>
        <v/>
      </c>
      <c r="T568" s="510" t="str">
        <f>IFERROR(__xludf.DUMMYFUNCTION("""COMPUTED_VALUE"""),"")</f>
        <v/>
      </c>
    </row>
    <row r="569">
      <c r="A569" s="508" t="str">
        <f>IFERROR(__xludf.DUMMYFUNCTION("""COMPUTED_VALUE"""),"")</f>
        <v/>
      </c>
      <c r="B569" s="508" t="str">
        <f>IFERROR(__xludf.DUMMYFUNCTION("""COMPUTED_VALUE"""),"")</f>
        <v/>
      </c>
      <c r="C569" s="508" t="str">
        <f>IFERROR(__xludf.DUMMYFUNCTION("""COMPUTED_VALUE"""),"")</f>
        <v/>
      </c>
      <c r="D569" s="508" t="str">
        <f>IFERROR(__xludf.DUMMYFUNCTION("""COMPUTED_VALUE"""),"")</f>
        <v/>
      </c>
      <c r="E569" s="508" t="str">
        <f>IFERROR(__xludf.DUMMYFUNCTION("""COMPUTED_VALUE"""),"")</f>
        <v/>
      </c>
      <c r="F569" s="508" t="str">
        <f>IFERROR(__xludf.DUMMYFUNCTION("""COMPUTED_VALUE"""),"")</f>
        <v/>
      </c>
      <c r="G569" s="510" t="str">
        <f>IFERROR(__xludf.DUMMYFUNCTION("""COMPUTED_VALUE"""),"")</f>
        <v/>
      </c>
      <c r="H569" s="508" t="str">
        <f>IFERROR(__xludf.DUMMYFUNCTION("""COMPUTED_VALUE"""),"")</f>
        <v/>
      </c>
      <c r="I569" s="510" t="str">
        <f>IFERROR(__xludf.DUMMYFUNCTION("""COMPUTED_VALUE"""),"")</f>
        <v/>
      </c>
      <c r="J569" s="508" t="str">
        <f>IFERROR(__xludf.DUMMYFUNCTION("""COMPUTED_VALUE"""),"")</f>
        <v/>
      </c>
      <c r="K569" s="510" t="str">
        <f>IFERROR(__xludf.DUMMYFUNCTION("""COMPUTED_VALUE"""),"")</f>
        <v/>
      </c>
      <c r="L569" s="508" t="str">
        <f>IFERROR(__xludf.DUMMYFUNCTION("""COMPUTED_VALUE"""),"")</f>
        <v/>
      </c>
      <c r="M569" s="508" t="str">
        <f>IFERROR(__xludf.DUMMYFUNCTION("""COMPUTED_VALUE"""),"")</f>
        <v/>
      </c>
      <c r="N569" s="508" t="str">
        <f>IFERROR(__xludf.DUMMYFUNCTION("""COMPUTED_VALUE"""),"")</f>
        <v/>
      </c>
      <c r="O569" s="508" t="str">
        <f>IFERROR(__xludf.DUMMYFUNCTION("""COMPUTED_VALUE"""),"")</f>
        <v/>
      </c>
      <c r="P569" s="510" t="str">
        <f>IFERROR(__xludf.DUMMYFUNCTION("""COMPUTED_VALUE"""),"")</f>
        <v/>
      </c>
      <c r="Q569" s="508" t="str">
        <f>IFERROR(__xludf.DUMMYFUNCTION("""COMPUTED_VALUE"""),"")</f>
        <v/>
      </c>
      <c r="R569" s="508" t="str">
        <f>IFERROR(__xludf.DUMMYFUNCTION("""COMPUTED_VALUE"""),"")</f>
        <v/>
      </c>
      <c r="S569" s="510" t="str">
        <f>IFERROR(__xludf.DUMMYFUNCTION("""COMPUTED_VALUE"""),"")</f>
        <v/>
      </c>
      <c r="T569" s="510" t="str">
        <f>IFERROR(__xludf.DUMMYFUNCTION("""COMPUTED_VALUE"""),"")</f>
        <v/>
      </c>
    </row>
    <row r="570">
      <c r="A570" s="508" t="str">
        <f>IFERROR(__xludf.DUMMYFUNCTION("""COMPUTED_VALUE"""),"")</f>
        <v/>
      </c>
      <c r="B570" s="508" t="str">
        <f>IFERROR(__xludf.DUMMYFUNCTION("""COMPUTED_VALUE"""),"")</f>
        <v/>
      </c>
      <c r="C570" s="508" t="str">
        <f>IFERROR(__xludf.DUMMYFUNCTION("""COMPUTED_VALUE"""),"")</f>
        <v/>
      </c>
      <c r="D570" s="508" t="str">
        <f>IFERROR(__xludf.DUMMYFUNCTION("""COMPUTED_VALUE"""),"")</f>
        <v/>
      </c>
      <c r="E570" s="508" t="str">
        <f>IFERROR(__xludf.DUMMYFUNCTION("""COMPUTED_VALUE"""),"")</f>
        <v/>
      </c>
      <c r="F570" s="508" t="str">
        <f>IFERROR(__xludf.DUMMYFUNCTION("""COMPUTED_VALUE"""),"")</f>
        <v/>
      </c>
      <c r="G570" s="510" t="str">
        <f>IFERROR(__xludf.DUMMYFUNCTION("""COMPUTED_VALUE"""),"")</f>
        <v/>
      </c>
      <c r="H570" s="508" t="str">
        <f>IFERROR(__xludf.DUMMYFUNCTION("""COMPUTED_VALUE"""),"")</f>
        <v/>
      </c>
      <c r="I570" s="510" t="str">
        <f>IFERROR(__xludf.DUMMYFUNCTION("""COMPUTED_VALUE"""),"")</f>
        <v/>
      </c>
      <c r="J570" s="508" t="str">
        <f>IFERROR(__xludf.DUMMYFUNCTION("""COMPUTED_VALUE"""),"")</f>
        <v/>
      </c>
      <c r="K570" s="510" t="str">
        <f>IFERROR(__xludf.DUMMYFUNCTION("""COMPUTED_VALUE"""),"")</f>
        <v/>
      </c>
      <c r="L570" s="508" t="str">
        <f>IFERROR(__xludf.DUMMYFUNCTION("""COMPUTED_VALUE"""),"")</f>
        <v/>
      </c>
      <c r="M570" s="508" t="str">
        <f>IFERROR(__xludf.DUMMYFUNCTION("""COMPUTED_VALUE"""),"")</f>
        <v/>
      </c>
      <c r="N570" s="508" t="str">
        <f>IFERROR(__xludf.DUMMYFUNCTION("""COMPUTED_VALUE"""),"")</f>
        <v/>
      </c>
      <c r="O570" s="508" t="str">
        <f>IFERROR(__xludf.DUMMYFUNCTION("""COMPUTED_VALUE"""),"")</f>
        <v/>
      </c>
      <c r="P570" s="510" t="str">
        <f>IFERROR(__xludf.DUMMYFUNCTION("""COMPUTED_VALUE"""),"")</f>
        <v/>
      </c>
      <c r="Q570" s="508" t="str">
        <f>IFERROR(__xludf.DUMMYFUNCTION("""COMPUTED_VALUE"""),"")</f>
        <v/>
      </c>
      <c r="R570" s="508" t="str">
        <f>IFERROR(__xludf.DUMMYFUNCTION("""COMPUTED_VALUE"""),"")</f>
        <v/>
      </c>
      <c r="S570" s="510" t="str">
        <f>IFERROR(__xludf.DUMMYFUNCTION("""COMPUTED_VALUE"""),"")</f>
        <v/>
      </c>
      <c r="T570" s="510" t="str">
        <f>IFERROR(__xludf.DUMMYFUNCTION("""COMPUTED_VALUE"""),"")</f>
        <v/>
      </c>
    </row>
    <row r="571">
      <c r="A571" s="508" t="str">
        <f>IFERROR(__xludf.DUMMYFUNCTION("""COMPUTED_VALUE"""),"")</f>
        <v/>
      </c>
      <c r="B571" s="508" t="str">
        <f>IFERROR(__xludf.DUMMYFUNCTION("""COMPUTED_VALUE"""),"")</f>
        <v/>
      </c>
      <c r="C571" s="508" t="str">
        <f>IFERROR(__xludf.DUMMYFUNCTION("""COMPUTED_VALUE"""),"")</f>
        <v/>
      </c>
      <c r="D571" s="508" t="str">
        <f>IFERROR(__xludf.DUMMYFUNCTION("""COMPUTED_VALUE"""),"")</f>
        <v/>
      </c>
      <c r="E571" s="508" t="str">
        <f>IFERROR(__xludf.DUMMYFUNCTION("""COMPUTED_VALUE"""),"")</f>
        <v/>
      </c>
      <c r="F571" s="508" t="str">
        <f>IFERROR(__xludf.DUMMYFUNCTION("""COMPUTED_VALUE"""),"")</f>
        <v/>
      </c>
      <c r="G571" s="510" t="str">
        <f>IFERROR(__xludf.DUMMYFUNCTION("""COMPUTED_VALUE"""),"")</f>
        <v/>
      </c>
      <c r="H571" s="508" t="str">
        <f>IFERROR(__xludf.DUMMYFUNCTION("""COMPUTED_VALUE"""),"")</f>
        <v/>
      </c>
      <c r="I571" s="510" t="str">
        <f>IFERROR(__xludf.DUMMYFUNCTION("""COMPUTED_VALUE"""),"")</f>
        <v/>
      </c>
      <c r="J571" s="508" t="str">
        <f>IFERROR(__xludf.DUMMYFUNCTION("""COMPUTED_VALUE"""),"")</f>
        <v/>
      </c>
      <c r="K571" s="510" t="str">
        <f>IFERROR(__xludf.DUMMYFUNCTION("""COMPUTED_VALUE"""),"")</f>
        <v/>
      </c>
      <c r="L571" s="508" t="str">
        <f>IFERROR(__xludf.DUMMYFUNCTION("""COMPUTED_VALUE"""),"")</f>
        <v/>
      </c>
      <c r="M571" s="508" t="str">
        <f>IFERROR(__xludf.DUMMYFUNCTION("""COMPUTED_VALUE"""),"")</f>
        <v/>
      </c>
      <c r="N571" s="508" t="str">
        <f>IFERROR(__xludf.DUMMYFUNCTION("""COMPUTED_VALUE"""),"")</f>
        <v/>
      </c>
      <c r="O571" s="508" t="str">
        <f>IFERROR(__xludf.DUMMYFUNCTION("""COMPUTED_VALUE"""),"")</f>
        <v/>
      </c>
      <c r="P571" s="510" t="str">
        <f>IFERROR(__xludf.DUMMYFUNCTION("""COMPUTED_VALUE"""),"")</f>
        <v/>
      </c>
      <c r="Q571" s="508" t="str">
        <f>IFERROR(__xludf.DUMMYFUNCTION("""COMPUTED_VALUE"""),"")</f>
        <v/>
      </c>
      <c r="R571" s="508" t="str">
        <f>IFERROR(__xludf.DUMMYFUNCTION("""COMPUTED_VALUE"""),"")</f>
        <v/>
      </c>
      <c r="S571" s="510" t="str">
        <f>IFERROR(__xludf.DUMMYFUNCTION("""COMPUTED_VALUE"""),"")</f>
        <v/>
      </c>
      <c r="T571" s="510" t="str">
        <f>IFERROR(__xludf.DUMMYFUNCTION("""COMPUTED_VALUE"""),"")</f>
        <v/>
      </c>
    </row>
    <row r="572">
      <c r="A572" s="508" t="str">
        <f>IFERROR(__xludf.DUMMYFUNCTION("""COMPUTED_VALUE"""),"")</f>
        <v/>
      </c>
      <c r="B572" s="508" t="str">
        <f>IFERROR(__xludf.DUMMYFUNCTION("""COMPUTED_VALUE"""),"")</f>
        <v/>
      </c>
      <c r="C572" s="508" t="str">
        <f>IFERROR(__xludf.DUMMYFUNCTION("""COMPUTED_VALUE"""),"")</f>
        <v/>
      </c>
      <c r="D572" s="508" t="str">
        <f>IFERROR(__xludf.DUMMYFUNCTION("""COMPUTED_VALUE"""),"")</f>
        <v/>
      </c>
      <c r="E572" s="508" t="str">
        <f>IFERROR(__xludf.DUMMYFUNCTION("""COMPUTED_VALUE"""),"")</f>
        <v/>
      </c>
      <c r="F572" s="508" t="str">
        <f>IFERROR(__xludf.DUMMYFUNCTION("""COMPUTED_VALUE"""),"")</f>
        <v/>
      </c>
      <c r="G572" s="510" t="str">
        <f>IFERROR(__xludf.DUMMYFUNCTION("""COMPUTED_VALUE"""),"")</f>
        <v/>
      </c>
      <c r="H572" s="508" t="str">
        <f>IFERROR(__xludf.DUMMYFUNCTION("""COMPUTED_VALUE"""),"")</f>
        <v/>
      </c>
      <c r="I572" s="510" t="str">
        <f>IFERROR(__xludf.DUMMYFUNCTION("""COMPUTED_VALUE"""),"")</f>
        <v/>
      </c>
      <c r="J572" s="508" t="str">
        <f>IFERROR(__xludf.DUMMYFUNCTION("""COMPUTED_VALUE"""),"")</f>
        <v/>
      </c>
      <c r="K572" s="510" t="str">
        <f>IFERROR(__xludf.DUMMYFUNCTION("""COMPUTED_VALUE"""),"")</f>
        <v/>
      </c>
      <c r="L572" s="508" t="str">
        <f>IFERROR(__xludf.DUMMYFUNCTION("""COMPUTED_VALUE"""),"")</f>
        <v/>
      </c>
      <c r="M572" s="508" t="str">
        <f>IFERROR(__xludf.DUMMYFUNCTION("""COMPUTED_VALUE"""),"")</f>
        <v/>
      </c>
      <c r="N572" s="508" t="str">
        <f>IFERROR(__xludf.DUMMYFUNCTION("""COMPUTED_VALUE"""),"")</f>
        <v/>
      </c>
      <c r="O572" s="508" t="str">
        <f>IFERROR(__xludf.DUMMYFUNCTION("""COMPUTED_VALUE"""),"")</f>
        <v/>
      </c>
      <c r="P572" s="510" t="str">
        <f>IFERROR(__xludf.DUMMYFUNCTION("""COMPUTED_VALUE"""),"")</f>
        <v/>
      </c>
      <c r="Q572" s="508" t="str">
        <f>IFERROR(__xludf.DUMMYFUNCTION("""COMPUTED_VALUE"""),"")</f>
        <v/>
      </c>
      <c r="R572" s="508" t="str">
        <f>IFERROR(__xludf.DUMMYFUNCTION("""COMPUTED_VALUE"""),"")</f>
        <v/>
      </c>
      <c r="S572" s="510" t="str">
        <f>IFERROR(__xludf.DUMMYFUNCTION("""COMPUTED_VALUE"""),"")</f>
        <v/>
      </c>
      <c r="T572" s="510" t="str">
        <f>IFERROR(__xludf.DUMMYFUNCTION("""COMPUTED_VALUE"""),"")</f>
        <v/>
      </c>
    </row>
    <row r="573">
      <c r="A573" s="508" t="str">
        <f>IFERROR(__xludf.DUMMYFUNCTION("""COMPUTED_VALUE"""),"")</f>
        <v/>
      </c>
      <c r="B573" s="508" t="str">
        <f>IFERROR(__xludf.DUMMYFUNCTION("""COMPUTED_VALUE"""),"")</f>
        <v/>
      </c>
      <c r="C573" s="508" t="str">
        <f>IFERROR(__xludf.DUMMYFUNCTION("""COMPUTED_VALUE"""),"")</f>
        <v/>
      </c>
      <c r="D573" s="508" t="str">
        <f>IFERROR(__xludf.DUMMYFUNCTION("""COMPUTED_VALUE"""),"")</f>
        <v/>
      </c>
      <c r="E573" s="508" t="str">
        <f>IFERROR(__xludf.DUMMYFUNCTION("""COMPUTED_VALUE"""),"")</f>
        <v/>
      </c>
      <c r="F573" s="508" t="str">
        <f>IFERROR(__xludf.DUMMYFUNCTION("""COMPUTED_VALUE"""),"")</f>
        <v/>
      </c>
      <c r="G573" s="510" t="str">
        <f>IFERROR(__xludf.DUMMYFUNCTION("""COMPUTED_VALUE"""),"")</f>
        <v/>
      </c>
      <c r="H573" s="508" t="str">
        <f>IFERROR(__xludf.DUMMYFUNCTION("""COMPUTED_VALUE"""),"")</f>
        <v/>
      </c>
      <c r="I573" s="510" t="str">
        <f>IFERROR(__xludf.DUMMYFUNCTION("""COMPUTED_VALUE"""),"")</f>
        <v/>
      </c>
      <c r="J573" s="508" t="str">
        <f>IFERROR(__xludf.DUMMYFUNCTION("""COMPUTED_VALUE"""),"")</f>
        <v/>
      </c>
      <c r="K573" s="510" t="str">
        <f>IFERROR(__xludf.DUMMYFUNCTION("""COMPUTED_VALUE"""),"")</f>
        <v/>
      </c>
      <c r="L573" s="508" t="str">
        <f>IFERROR(__xludf.DUMMYFUNCTION("""COMPUTED_VALUE"""),"")</f>
        <v/>
      </c>
      <c r="M573" s="508" t="str">
        <f>IFERROR(__xludf.DUMMYFUNCTION("""COMPUTED_VALUE"""),"")</f>
        <v/>
      </c>
      <c r="N573" s="508" t="str">
        <f>IFERROR(__xludf.DUMMYFUNCTION("""COMPUTED_VALUE"""),"")</f>
        <v/>
      </c>
      <c r="O573" s="508" t="str">
        <f>IFERROR(__xludf.DUMMYFUNCTION("""COMPUTED_VALUE"""),"")</f>
        <v/>
      </c>
      <c r="P573" s="510" t="str">
        <f>IFERROR(__xludf.DUMMYFUNCTION("""COMPUTED_VALUE"""),"")</f>
        <v/>
      </c>
      <c r="Q573" s="508" t="str">
        <f>IFERROR(__xludf.DUMMYFUNCTION("""COMPUTED_VALUE"""),"")</f>
        <v/>
      </c>
      <c r="R573" s="508" t="str">
        <f>IFERROR(__xludf.DUMMYFUNCTION("""COMPUTED_VALUE"""),"")</f>
        <v/>
      </c>
      <c r="S573" s="510" t="str">
        <f>IFERROR(__xludf.DUMMYFUNCTION("""COMPUTED_VALUE"""),"")</f>
        <v/>
      </c>
      <c r="T573" s="510" t="str">
        <f>IFERROR(__xludf.DUMMYFUNCTION("""COMPUTED_VALUE"""),"")</f>
        <v/>
      </c>
    </row>
    <row r="574">
      <c r="A574" s="508" t="str">
        <f>IFERROR(__xludf.DUMMYFUNCTION("""COMPUTED_VALUE"""),"")</f>
        <v/>
      </c>
      <c r="B574" s="508" t="str">
        <f>IFERROR(__xludf.DUMMYFUNCTION("""COMPUTED_VALUE"""),"")</f>
        <v/>
      </c>
      <c r="C574" s="508" t="str">
        <f>IFERROR(__xludf.DUMMYFUNCTION("""COMPUTED_VALUE"""),"")</f>
        <v/>
      </c>
      <c r="D574" s="508" t="str">
        <f>IFERROR(__xludf.DUMMYFUNCTION("""COMPUTED_VALUE"""),"")</f>
        <v/>
      </c>
      <c r="E574" s="508" t="str">
        <f>IFERROR(__xludf.DUMMYFUNCTION("""COMPUTED_VALUE"""),"")</f>
        <v/>
      </c>
      <c r="F574" s="508" t="str">
        <f>IFERROR(__xludf.DUMMYFUNCTION("""COMPUTED_VALUE"""),"")</f>
        <v/>
      </c>
      <c r="G574" s="510" t="str">
        <f>IFERROR(__xludf.DUMMYFUNCTION("""COMPUTED_VALUE"""),"")</f>
        <v/>
      </c>
      <c r="H574" s="508" t="str">
        <f>IFERROR(__xludf.DUMMYFUNCTION("""COMPUTED_VALUE"""),"")</f>
        <v/>
      </c>
      <c r="I574" s="510" t="str">
        <f>IFERROR(__xludf.DUMMYFUNCTION("""COMPUTED_VALUE"""),"")</f>
        <v/>
      </c>
      <c r="J574" s="508" t="str">
        <f>IFERROR(__xludf.DUMMYFUNCTION("""COMPUTED_VALUE"""),"")</f>
        <v/>
      </c>
      <c r="K574" s="510" t="str">
        <f>IFERROR(__xludf.DUMMYFUNCTION("""COMPUTED_VALUE"""),"")</f>
        <v/>
      </c>
      <c r="L574" s="508" t="str">
        <f>IFERROR(__xludf.DUMMYFUNCTION("""COMPUTED_VALUE"""),"")</f>
        <v/>
      </c>
      <c r="M574" s="508" t="str">
        <f>IFERROR(__xludf.DUMMYFUNCTION("""COMPUTED_VALUE"""),"")</f>
        <v/>
      </c>
      <c r="N574" s="508" t="str">
        <f>IFERROR(__xludf.DUMMYFUNCTION("""COMPUTED_VALUE"""),"")</f>
        <v/>
      </c>
      <c r="O574" s="508" t="str">
        <f>IFERROR(__xludf.DUMMYFUNCTION("""COMPUTED_VALUE"""),"")</f>
        <v/>
      </c>
      <c r="P574" s="510" t="str">
        <f>IFERROR(__xludf.DUMMYFUNCTION("""COMPUTED_VALUE"""),"")</f>
        <v/>
      </c>
      <c r="Q574" s="508" t="str">
        <f>IFERROR(__xludf.DUMMYFUNCTION("""COMPUTED_VALUE"""),"")</f>
        <v/>
      </c>
      <c r="R574" s="508" t="str">
        <f>IFERROR(__xludf.DUMMYFUNCTION("""COMPUTED_VALUE"""),"")</f>
        <v/>
      </c>
      <c r="S574" s="510" t="str">
        <f>IFERROR(__xludf.DUMMYFUNCTION("""COMPUTED_VALUE"""),"")</f>
        <v/>
      </c>
      <c r="T574" s="510" t="str">
        <f>IFERROR(__xludf.DUMMYFUNCTION("""COMPUTED_VALUE"""),"")</f>
        <v/>
      </c>
    </row>
    <row r="575">
      <c r="A575" s="508" t="str">
        <f>IFERROR(__xludf.DUMMYFUNCTION("""COMPUTED_VALUE"""),"")</f>
        <v/>
      </c>
      <c r="B575" s="508" t="str">
        <f>IFERROR(__xludf.DUMMYFUNCTION("""COMPUTED_VALUE"""),"")</f>
        <v/>
      </c>
      <c r="C575" s="508" t="str">
        <f>IFERROR(__xludf.DUMMYFUNCTION("""COMPUTED_VALUE"""),"")</f>
        <v/>
      </c>
      <c r="D575" s="508" t="str">
        <f>IFERROR(__xludf.DUMMYFUNCTION("""COMPUTED_VALUE"""),"")</f>
        <v/>
      </c>
      <c r="E575" s="508" t="str">
        <f>IFERROR(__xludf.DUMMYFUNCTION("""COMPUTED_VALUE"""),"")</f>
        <v/>
      </c>
      <c r="F575" s="508" t="str">
        <f>IFERROR(__xludf.DUMMYFUNCTION("""COMPUTED_VALUE"""),"")</f>
        <v/>
      </c>
      <c r="G575" s="510" t="str">
        <f>IFERROR(__xludf.DUMMYFUNCTION("""COMPUTED_VALUE"""),"")</f>
        <v/>
      </c>
      <c r="H575" s="508" t="str">
        <f>IFERROR(__xludf.DUMMYFUNCTION("""COMPUTED_VALUE"""),"")</f>
        <v/>
      </c>
      <c r="I575" s="510" t="str">
        <f>IFERROR(__xludf.DUMMYFUNCTION("""COMPUTED_VALUE"""),"")</f>
        <v/>
      </c>
      <c r="J575" s="508" t="str">
        <f>IFERROR(__xludf.DUMMYFUNCTION("""COMPUTED_VALUE"""),"")</f>
        <v/>
      </c>
      <c r="K575" s="510" t="str">
        <f>IFERROR(__xludf.DUMMYFUNCTION("""COMPUTED_VALUE"""),"")</f>
        <v/>
      </c>
      <c r="L575" s="508" t="str">
        <f>IFERROR(__xludf.DUMMYFUNCTION("""COMPUTED_VALUE"""),"")</f>
        <v/>
      </c>
      <c r="M575" s="508" t="str">
        <f>IFERROR(__xludf.DUMMYFUNCTION("""COMPUTED_VALUE"""),"")</f>
        <v/>
      </c>
      <c r="N575" s="508" t="str">
        <f>IFERROR(__xludf.DUMMYFUNCTION("""COMPUTED_VALUE"""),"")</f>
        <v/>
      </c>
      <c r="O575" s="508" t="str">
        <f>IFERROR(__xludf.DUMMYFUNCTION("""COMPUTED_VALUE"""),"")</f>
        <v/>
      </c>
      <c r="P575" s="510" t="str">
        <f>IFERROR(__xludf.DUMMYFUNCTION("""COMPUTED_VALUE"""),"")</f>
        <v/>
      </c>
      <c r="Q575" s="508" t="str">
        <f>IFERROR(__xludf.DUMMYFUNCTION("""COMPUTED_VALUE"""),"")</f>
        <v/>
      </c>
      <c r="R575" s="508" t="str">
        <f>IFERROR(__xludf.DUMMYFUNCTION("""COMPUTED_VALUE"""),"")</f>
        <v/>
      </c>
      <c r="S575" s="510" t="str">
        <f>IFERROR(__xludf.DUMMYFUNCTION("""COMPUTED_VALUE"""),"")</f>
        <v/>
      </c>
      <c r="T575" s="510" t="str">
        <f>IFERROR(__xludf.DUMMYFUNCTION("""COMPUTED_VALUE"""),"")</f>
        <v/>
      </c>
    </row>
    <row r="576">
      <c r="A576" s="508" t="str">
        <f>IFERROR(__xludf.DUMMYFUNCTION("""COMPUTED_VALUE"""),"")</f>
        <v/>
      </c>
      <c r="B576" s="508" t="str">
        <f>IFERROR(__xludf.DUMMYFUNCTION("""COMPUTED_VALUE"""),"")</f>
        <v/>
      </c>
      <c r="C576" s="508" t="str">
        <f>IFERROR(__xludf.DUMMYFUNCTION("""COMPUTED_VALUE"""),"")</f>
        <v/>
      </c>
      <c r="D576" s="508" t="str">
        <f>IFERROR(__xludf.DUMMYFUNCTION("""COMPUTED_VALUE"""),"")</f>
        <v/>
      </c>
      <c r="E576" s="508" t="str">
        <f>IFERROR(__xludf.DUMMYFUNCTION("""COMPUTED_VALUE"""),"")</f>
        <v/>
      </c>
      <c r="F576" s="508" t="str">
        <f>IFERROR(__xludf.DUMMYFUNCTION("""COMPUTED_VALUE"""),"")</f>
        <v/>
      </c>
      <c r="G576" s="510" t="str">
        <f>IFERROR(__xludf.DUMMYFUNCTION("""COMPUTED_VALUE"""),"")</f>
        <v/>
      </c>
      <c r="H576" s="508" t="str">
        <f>IFERROR(__xludf.DUMMYFUNCTION("""COMPUTED_VALUE"""),"")</f>
        <v/>
      </c>
      <c r="I576" s="510" t="str">
        <f>IFERROR(__xludf.DUMMYFUNCTION("""COMPUTED_VALUE"""),"")</f>
        <v/>
      </c>
      <c r="J576" s="508" t="str">
        <f>IFERROR(__xludf.DUMMYFUNCTION("""COMPUTED_VALUE"""),"")</f>
        <v/>
      </c>
      <c r="K576" s="510" t="str">
        <f>IFERROR(__xludf.DUMMYFUNCTION("""COMPUTED_VALUE"""),"")</f>
        <v/>
      </c>
      <c r="L576" s="508" t="str">
        <f>IFERROR(__xludf.DUMMYFUNCTION("""COMPUTED_VALUE"""),"")</f>
        <v/>
      </c>
      <c r="M576" s="508" t="str">
        <f>IFERROR(__xludf.DUMMYFUNCTION("""COMPUTED_VALUE"""),"")</f>
        <v/>
      </c>
      <c r="N576" s="508" t="str">
        <f>IFERROR(__xludf.DUMMYFUNCTION("""COMPUTED_VALUE"""),"")</f>
        <v/>
      </c>
      <c r="O576" s="508" t="str">
        <f>IFERROR(__xludf.DUMMYFUNCTION("""COMPUTED_VALUE"""),"")</f>
        <v/>
      </c>
      <c r="P576" s="510" t="str">
        <f>IFERROR(__xludf.DUMMYFUNCTION("""COMPUTED_VALUE"""),"")</f>
        <v/>
      </c>
      <c r="Q576" s="508" t="str">
        <f>IFERROR(__xludf.DUMMYFUNCTION("""COMPUTED_VALUE"""),"")</f>
        <v/>
      </c>
      <c r="R576" s="508" t="str">
        <f>IFERROR(__xludf.DUMMYFUNCTION("""COMPUTED_VALUE"""),"")</f>
        <v/>
      </c>
      <c r="S576" s="510" t="str">
        <f>IFERROR(__xludf.DUMMYFUNCTION("""COMPUTED_VALUE"""),"")</f>
        <v/>
      </c>
      <c r="T576" s="510" t="str">
        <f>IFERROR(__xludf.DUMMYFUNCTION("""COMPUTED_VALUE"""),"")</f>
        <v/>
      </c>
    </row>
    <row r="577">
      <c r="A577" s="508" t="str">
        <f>IFERROR(__xludf.DUMMYFUNCTION("""COMPUTED_VALUE"""),"")</f>
        <v/>
      </c>
      <c r="B577" s="508" t="str">
        <f>IFERROR(__xludf.DUMMYFUNCTION("""COMPUTED_VALUE"""),"")</f>
        <v/>
      </c>
      <c r="C577" s="508" t="str">
        <f>IFERROR(__xludf.DUMMYFUNCTION("""COMPUTED_VALUE"""),"")</f>
        <v/>
      </c>
      <c r="D577" s="508" t="str">
        <f>IFERROR(__xludf.DUMMYFUNCTION("""COMPUTED_VALUE"""),"")</f>
        <v/>
      </c>
      <c r="E577" s="508" t="str">
        <f>IFERROR(__xludf.DUMMYFUNCTION("""COMPUTED_VALUE"""),"")</f>
        <v/>
      </c>
      <c r="F577" s="508" t="str">
        <f>IFERROR(__xludf.DUMMYFUNCTION("""COMPUTED_VALUE"""),"")</f>
        <v/>
      </c>
      <c r="G577" s="510" t="str">
        <f>IFERROR(__xludf.DUMMYFUNCTION("""COMPUTED_VALUE"""),"")</f>
        <v/>
      </c>
      <c r="H577" s="508" t="str">
        <f>IFERROR(__xludf.DUMMYFUNCTION("""COMPUTED_VALUE"""),"")</f>
        <v/>
      </c>
      <c r="I577" s="510" t="str">
        <f>IFERROR(__xludf.DUMMYFUNCTION("""COMPUTED_VALUE"""),"")</f>
        <v/>
      </c>
      <c r="J577" s="508" t="str">
        <f>IFERROR(__xludf.DUMMYFUNCTION("""COMPUTED_VALUE"""),"")</f>
        <v/>
      </c>
      <c r="K577" s="510" t="str">
        <f>IFERROR(__xludf.DUMMYFUNCTION("""COMPUTED_VALUE"""),"")</f>
        <v/>
      </c>
      <c r="L577" s="508" t="str">
        <f>IFERROR(__xludf.DUMMYFUNCTION("""COMPUTED_VALUE"""),"")</f>
        <v/>
      </c>
      <c r="M577" s="508" t="str">
        <f>IFERROR(__xludf.DUMMYFUNCTION("""COMPUTED_VALUE"""),"")</f>
        <v/>
      </c>
      <c r="N577" s="508" t="str">
        <f>IFERROR(__xludf.DUMMYFUNCTION("""COMPUTED_VALUE"""),"")</f>
        <v/>
      </c>
      <c r="O577" s="508" t="str">
        <f>IFERROR(__xludf.DUMMYFUNCTION("""COMPUTED_VALUE"""),"")</f>
        <v/>
      </c>
      <c r="P577" s="510" t="str">
        <f>IFERROR(__xludf.DUMMYFUNCTION("""COMPUTED_VALUE"""),"")</f>
        <v/>
      </c>
      <c r="Q577" s="508" t="str">
        <f>IFERROR(__xludf.DUMMYFUNCTION("""COMPUTED_VALUE"""),"")</f>
        <v/>
      </c>
      <c r="R577" s="508" t="str">
        <f>IFERROR(__xludf.DUMMYFUNCTION("""COMPUTED_VALUE"""),"")</f>
        <v/>
      </c>
      <c r="S577" s="510" t="str">
        <f>IFERROR(__xludf.DUMMYFUNCTION("""COMPUTED_VALUE"""),"")</f>
        <v/>
      </c>
      <c r="T577" s="510" t="str">
        <f>IFERROR(__xludf.DUMMYFUNCTION("""COMPUTED_VALUE"""),"")</f>
        <v/>
      </c>
    </row>
    <row r="578">
      <c r="A578" s="508" t="str">
        <f>IFERROR(__xludf.DUMMYFUNCTION("""COMPUTED_VALUE"""),"")</f>
        <v/>
      </c>
      <c r="B578" s="508" t="str">
        <f>IFERROR(__xludf.DUMMYFUNCTION("""COMPUTED_VALUE"""),"")</f>
        <v/>
      </c>
      <c r="C578" s="508" t="str">
        <f>IFERROR(__xludf.DUMMYFUNCTION("""COMPUTED_VALUE"""),"")</f>
        <v/>
      </c>
      <c r="D578" s="508" t="str">
        <f>IFERROR(__xludf.DUMMYFUNCTION("""COMPUTED_VALUE"""),"")</f>
        <v/>
      </c>
      <c r="E578" s="508" t="str">
        <f>IFERROR(__xludf.DUMMYFUNCTION("""COMPUTED_VALUE"""),"")</f>
        <v/>
      </c>
      <c r="F578" s="508" t="str">
        <f>IFERROR(__xludf.DUMMYFUNCTION("""COMPUTED_VALUE"""),"")</f>
        <v/>
      </c>
      <c r="G578" s="510" t="str">
        <f>IFERROR(__xludf.DUMMYFUNCTION("""COMPUTED_VALUE"""),"")</f>
        <v/>
      </c>
      <c r="H578" s="508" t="str">
        <f>IFERROR(__xludf.DUMMYFUNCTION("""COMPUTED_VALUE"""),"")</f>
        <v/>
      </c>
      <c r="I578" s="510" t="str">
        <f>IFERROR(__xludf.DUMMYFUNCTION("""COMPUTED_VALUE"""),"")</f>
        <v/>
      </c>
      <c r="J578" s="508" t="str">
        <f>IFERROR(__xludf.DUMMYFUNCTION("""COMPUTED_VALUE"""),"")</f>
        <v/>
      </c>
      <c r="K578" s="510" t="str">
        <f>IFERROR(__xludf.DUMMYFUNCTION("""COMPUTED_VALUE"""),"")</f>
        <v/>
      </c>
      <c r="L578" s="508" t="str">
        <f>IFERROR(__xludf.DUMMYFUNCTION("""COMPUTED_VALUE"""),"")</f>
        <v/>
      </c>
      <c r="M578" s="508" t="str">
        <f>IFERROR(__xludf.DUMMYFUNCTION("""COMPUTED_VALUE"""),"")</f>
        <v/>
      </c>
      <c r="N578" s="508" t="str">
        <f>IFERROR(__xludf.DUMMYFUNCTION("""COMPUTED_VALUE"""),"")</f>
        <v/>
      </c>
      <c r="O578" s="508" t="str">
        <f>IFERROR(__xludf.DUMMYFUNCTION("""COMPUTED_VALUE"""),"")</f>
        <v/>
      </c>
      <c r="P578" s="510" t="str">
        <f>IFERROR(__xludf.DUMMYFUNCTION("""COMPUTED_VALUE"""),"")</f>
        <v/>
      </c>
      <c r="Q578" s="508" t="str">
        <f>IFERROR(__xludf.DUMMYFUNCTION("""COMPUTED_VALUE"""),"")</f>
        <v/>
      </c>
      <c r="R578" s="508" t="str">
        <f>IFERROR(__xludf.DUMMYFUNCTION("""COMPUTED_VALUE"""),"")</f>
        <v/>
      </c>
      <c r="S578" s="510" t="str">
        <f>IFERROR(__xludf.DUMMYFUNCTION("""COMPUTED_VALUE"""),"")</f>
        <v/>
      </c>
      <c r="T578" s="510" t="str">
        <f>IFERROR(__xludf.DUMMYFUNCTION("""COMPUTED_VALUE"""),"")</f>
        <v/>
      </c>
    </row>
    <row r="579">
      <c r="A579" s="508" t="str">
        <f>IFERROR(__xludf.DUMMYFUNCTION("""COMPUTED_VALUE"""),"")</f>
        <v/>
      </c>
      <c r="B579" s="508" t="str">
        <f>IFERROR(__xludf.DUMMYFUNCTION("""COMPUTED_VALUE"""),"")</f>
        <v/>
      </c>
      <c r="C579" s="508" t="str">
        <f>IFERROR(__xludf.DUMMYFUNCTION("""COMPUTED_VALUE"""),"")</f>
        <v/>
      </c>
      <c r="D579" s="508" t="str">
        <f>IFERROR(__xludf.DUMMYFUNCTION("""COMPUTED_VALUE"""),"")</f>
        <v/>
      </c>
      <c r="E579" s="508" t="str">
        <f>IFERROR(__xludf.DUMMYFUNCTION("""COMPUTED_VALUE"""),"")</f>
        <v/>
      </c>
      <c r="F579" s="508" t="str">
        <f>IFERROR(__xludf.DUMMYFUNCTION("""COMPUTED_VALUE"""),"")</f>
        <v/>
      </c>
      <c r="G579" s="510" t="str">
        <f>IFERROR(__xludf.DUMMYFUNCTION("""COMPUTED_VALUE"""),"")</f>
        <v/>
      </c>
      <c r="H579" s="508" t="str">
        <f>IFERROR(__xludf.DUMMYFUNCTION("""COMPUTED_VALUE"""),"")</f>
        <v/>
      </c>
      <c r="I579" s="510" t="str">
        <f>IFERROR(__xludf.DUMMYFUNCTION("""COMPUTED_VALUE"""),"")</f>
        <v/>
      </c>
      <c r="J579" s="508" t="str">
        <f>IFERROR(__xludf.DUMMYFUNCTION("""COMPUTED_VALUE"""),"")</f>
        <v/>
      </c>
      <c r="K579" s="510" t="str">
        <f>IFERROR(__xludf.DUMMYFUNCTION("""COMPUTED_VALUE"""),"")</f>
        <v/>
      </c>
      <c r="L579" s="508" t="str">
        <f>IFERROR(__xludf.DUMMYFUNCTION("""COMPUTED_VALUE"""),"")</f>
        <v/>
      </c>
      <c r="M579" s="508" t="str">
        <f>IFERROR(__xludf.DUMMYFUNCTION("""COMPUTED_VALUE"""),"")</f>
        <v/>
      </c>
      <c r="N579" s="508" t="str">
        <f>IFERROR(__xludf.DUMMYFUNCTION("""COMPUTED_VALUE"""),"")</f>
        <v/>
      </c>
      <c r="O579" s="508" t="str">
        <f>IFERROR(__xludf.DUMMYFUNCTION("""COMPUTED_VALUE"""),"")</f>
        <v/>
      </c>
      <c r="P579" s="510" t="str">
        <f>IFERROR(__xludf.DUMMYFUNCTION("""COMPUTED_VALUE"""),"")</f>
        <v/>
      </c>
      <c r="Q579" s="508" t="str">
        <f>IFERROR(__xludf.DUMMYFUNCTION("""COMPUTED_VALUE"""),"")</f>
        <v/>
      </c>
      <c r="R579" s="508" t="str">
        <f>IFERROR(__xludf.DUMMYFUNCTION("""COMPUTED_VALUE"""),"")</f>
        <v/>
      </c>
      <c r="S579" s="510" t="str">
        <f>IFERROR(__xludf.DUMMYFUNCTION("""COMPUTED_VALUE"""),"")</f>
        <v/>
      </c>
      <c r="T579" s="510" t="str">
        <f>IFERROR(__xludf.DUMMYFUNCTION("""COMPUTED_VALUE"""),"")</f>
        <v/>
      </c>
    </row>
    <row r="580">
      <c r="A580" s="508" t="str">
        <f>IFERROR(__xludf.DUMMYFUNCTION("""COMPUTED_VALUE"""),"")</f>
        <v/>
      </c>
      <c r="B580" s="508" t="str">
        <f>IFERROR(__xludf.DUMMYFUNCTION("""COMPUTED_VALUE"""),"")</f>
        <v/>
      </c>
      <c r="C580" s="508" t="str">
        <f>IFERROR(__xludf.DUMMYFUNCTION("""COMPUTED_VALUE"""),"")</f>
        <v/>
      </c>
      <c r="D580" s="508" t="str">
        <f>IFERROR(__xludf.DUMMYFUNCTION("""COMPUTED_VALUE"""),"")</f>
        <v/>
      </c>
      <c r="E580" s="508" t="str">
        <f>IFERROR(__xludf.DUMMYFUNCTION("""COMPUTED_VALUE"""),"")</f>
        <v/>
      </c>
      <c r="F580" s="508" t="str">
        <f>IFERROR(__xludf.DUMMYFUNCTION("""COMPUTED_VALUE"""),"")</f>
        <v/>
      </c>
      <c r="G580" s="510" t="str">
        <f>IFERROR(__xludf.DUMMYFUNCTION("""COMPUTED_VALUE"""),"")</f>
        <v/>
      </c>
      <c r="H580" s="508" t="str">
        <f>IFERROR(__xludf.DUMMYFUNCTION("""COMPUTED_VALUE"""),"")</f>
        <v/>
      </c>
      <c r="I580" s="510" t="str">
        <f>IFERROR(__xludf.DUMMYFUNCTION("""COMPUTED_VALUE"""),"")</f>
        <v/>
      </c>
      <c r="J580" s="508" t="str">
        <f>IFERROR(__xludf.DUMMYFUNCTION("""COMPUTED_VALUE"""),"")</f>
        <v/>
      </c>
      <c r="K580" s="510" t="str">
        <f>IFERROR(__xludf.DUMMYFUNCTION("""COMPUTED_VALUE"""),"")</f>
        <v/>
      </c>
      <c r="L580" s="508" t="str">
        <f>IFERROR(__xludf.DUMMYFUNCTION("""COMPUTED_VALUE"""),"")</f>
        <v/>
      </c>
      <c r="M580" s="508" t="str">
        <f>IFERROR(__xludf.DUMMYFUNCTION("""COMPUTED_VALUE"""),"")</f>
        <v/>
      </c>
      <c r="N580" s="508" t="str">
        <f>IFERROR(__xludf.DUMMYFUNCTION("""COMPUTED_VALUE"""),"")</f>
        <v/>
      </c>
      <c r="O580" s="508" t="str">
        <f>IFERROR(__xludf.DUMMYFUNCTION("""COMPUTED_VALUE"""),"")</f>
        <v/>
      </c>
      <c r="P580" s="510" t="str">
        <f>IFERROR(__xludf.DUMMYFUNCTION("""COMPUTED_VALUE"""),"")</f>
        <v/>
      </c>
      <c r="Q580" s="508" t="str">
        <f>IFERROR(__xludf.DUMMYFUNCTION("""COMPUTED_VALUE"""),"")</f>
        <v/>
      </c>
      <c r="R580" s="508" t="str">
        <f>IFERROR(__xludf.DUMMYFUNCTION("""COMPUTED_VALUE"""),"")</f>
        <v/>
      </c>
      <c r="S580" s="510" t="str">
        <f>IFERROR(__xludf.DUMMYFUNCTION("""COMPUTED_VALUE"""),"")</f>
        <v/>
      </c>
      <c r="T580" s="510" t="str">
        <f>IFERROR(__xludf.DUMMYFUNCTION("""COMPUTED_VALUE"""),"")</f>
        <v/>
      </c>
    </row>
    <row r="581">
      <c r="A581" s="508" t="str">
        <f>IFERROR(__xludf.DUMMYFUNCTION("""COMPUTED_VALUE"""),"")</f>
        <v/>
      </c>
      <c r="B581" s="508" t="str">
        <f>IFERROR(__xludf.DUMMYFUNCTION("""COMPUTED_VALUE"""),"")</f>
        <v/>
      </c>
      <c r="C581" s="508" t="str">
        <f>IFERROR(__xludf.DUMMYFUNCTION("""COMPUTED_VALUE"""),"")</f>
        <v/>
      </c>
      <c r="D581" s="508" t="str">
        <f>IFERROR(__xludf.DUMMYFUNCTION("""COMPUTED_VALUE"""),"")</f>
        <v/>
      </c>
      <c r="E581" s="508" t="str">
        <f>IFERROR(__xludf.DUMMYFUNCTION("""COMPUTED_VALUE"""),"")</f>
        <v/>
      </c>
      <c r="F581" s="508" t="str">
        <f>IFERROR(__xludf.DUMMYFUNCTION("""COMPUTED_VALUE"""),"")</f>
        <v/>
      </c>
      <c r="G581" s="510" t="str">
        <f>IFERROR(__xludf.DUMMYFUNCTION("""COMPUTED_VALUE"""),"")</f>
        <v/>
      </c>
      <c r="H581" s="508" t="str">
        <f>IFERROR(__xludf.DUMMYFUNCTION("""COMPUTED_VALUE"""),"")</f>
        <v/>
      </c>
      <c r="I581" s="510" t="str">
        <f>IFERROR(__xludf.DUMMYFUNCTION("""COMPUTED_VALUE"""),"")</f>
        <v/>
      </c>
      <c r="J581" s="508" t="str">
        <f>IFERROR(__xludf.DUMMYFUNCTION("""COMPUTED_VALUE"""),"")</f>
        <v/>
      </c>
      <c r="K581" s="510" t="str">
        <f>IFERROR(__xludf.DUMMYFUNCTION("""COMPUTED_VALUE"""),"")</f>
        <v/>
      </c>
      <c r="L581" s="508" t="str">
        <f>IFERROR(__xludf.DUMMYFUNCTION("""COMPUTED_VALUE"""),"")</f>
        <v/>
      </c>
      <c r="M581" s="508" t="str">
        <f>IFERROR(__xludf.DUMMYFUNCTION("""COMPUTED_VALUE"""),"")</f>
        <v/>
      </c>
      <c r="N581" s="508" t="str">
        <f>IFERROR(__xludf.DUMMYFUNCTION("""COMPUTED_VALUE"""),"")</f>
        <v/>
      </c>
      <c r="O581" s="508" t="str">
        <f>IFERROR(__xludf.DUMMYFUNCTION("""COMPUTED_VALUE"""),"")</f>
        <v/>
      </c>
      <c r="P581" s="510" t="str">
        <f>IFERROR(__xludf.DUMMYFUNCTION("""COMPUTED_VALUE"""),"")</f>
        <v/>
      </c>
      <c r="Q581" s="508" t="str">
        <f>IFERROR(__xludf.DUMMYFUNCTION("""COMPUTED_VALUE"""),"")</f>
        <v/>
      </c>
      <c r="R581" s="508" t="str">
        <f>IFERROR(__xludf.DUMMYFUNCTION("""COMPUTED_VALUE"""),"")</f>
        <v/>
      </c>
      <c r="S581" s="510" t="str">
        <f>IFERROR(__xludf.DUMMYFUNCTION("""COMPUTED_VALUE"""),"")</f>
        <v/>
      </c>
      <c r="T581" s="510" t="str">
        <f>IFERROR(__xludf.DUMMYFUNCTION("""COMPUTED_VALUE"""),"")</f>
        <v/>
      </c>
    </row>
    <row r="582">
      <c r="A582" s="508" t="str">
        <f>IFERROR(__xludf.DUMMYFUNCTION("""COMPUTED_VALUE"""),"")</f>
        <v/>
      </c>
      <c r="B582" s="508" t="str">
        <f>IFERROR(__xludf.DUMMYFUNCTION("""COMPUTED_VALUE"""),"")</f>
        <v/>
      </c>
      <c r="C582" s="508" t="str">
        <f>IFERROR(__xludf.DUMMYFUNCTION("""COMPUTED_VALUE"""),"")</f>
        <v/>
      </c>
      <c r="D582" s="508" t="str">
        <f>IFERROR(__xludf.DUMMYFUNCTION("""COMPUTED_VALUE"""),"")</f>
        <v/>
      </c>
      <c r="E582" s="508" t="str">
        <f>IFERROR(__xludf.DUMMYFUNCTION("""COMPUTED_VALUE"""),"")</f>
        <v/>
      </c>
      <c r="F582" s="508" t="str">
        <f>IFERROR(__xludf.DUMMYFUNCTION("""COMPUTED_VALUE"""),"")</f>
        <v/>
      </c>
      <c r="G582" s="510" t="str">
        <f>IFERROR(__xludf.DUMMYFUNCTION("""COMPUTED_VALUE"""),"")</f>
        <v/>
      </c>
      <c r="H582" s="508" t="str">
        <f>IFERROR(__xludf.DUMMYFUNCTION("""COMPUTED_VALUE"""),"")</f>
        <v/>
      </c>
      <c r="I582" s="510" t="str">
        <f>IFERROR(__xludf.DUMMYFUNCTION("""COMPUTED_VALUE"""),"")</f>
        <v/>
      </c>
      <c r="J582" s="508" t="str">
        <f>IFERROR(__xludf.DUMMYFUNCTION("""COMPUTED_VALUE"""),"")</f>
        <v/>
      </c>
      <c r="K582" s="510" t="str">
        <f>IFERROR(__xludf.DUMMYFUNCTION("""COMPUTED_VALUE"""),"")</f>
        <v/>
      </c>
      <c r="L582" s="508" t="str">
        <f>IFERROR(__xludf.DUMMYFUNCTION("""COMPUTED_VALUE"""),"")</f>
        <v/>
      </c>
      <c r="M582" s="508" t="str">
        <f>IFERROR(__xludf.DUMMYFUNCTION("""COMPUTED_VALUE"""),"")</f>
        <v/>
      </c>
      <c r="N582" s="508" t="str">
        <f>IFERROR(__xludf.DUMMYFUNCTION("""COMPUTED_VALUE"""),"")</f>
        <v/>
      </c>
      <c r="O582" s="508" t="str">
        <f>IFERROR(__xludf.DUMMYFUNCTION("""COMPUTED_VALUE"""),"")</f>
        <v/>
      </c>
      <c r="P582" s="510" t="str">
        <f>IFERROR(__xludf.DUMMYFUNCTION("""COMPUTED_VALUE"""),"")</f>
        <v/>
      </c>
      <c r="Q582" s="508" t="str">
        <f>IFERROR(__xludf.DUMMYFUNCTION("""COMPUTED_VALUE"""),"")</f>
        <v/>
      </c>
      <c r="R582" s="508" t="str">
        <f>IFERROR(__xludf.DUMMYFUNCTION("""COMPUTED_VALUE"""),"")</f>
        <v/>
      </c>
      <c r="S582" s="510" t="str">
        <f>IFERROR(__xludf.DUMMYFUNCTION("""COMPUTED_VALUE"""),"")</f>
        <v/>
      </c>
      <c r="T582" s="510" t="str">
        <f>IFERROR(__xludf.DUMMYFUNCTION("""COMPUTED_VALUE"""),"")</f>
        <v/>
      </c>
    </row>
    <row r="583">
      <c r="A583" s="508" t="str">
        <f>IFERROR(__xludf.DUMMYFUNCTION("""COMPUTED_VALUE"""),"")</f>
        <v/>
      </c>
      <c r="B583" s="508" t="str">
        <f>IFERROR(__xludf.DUMMYFUNCTION("""COMPUTED_VALUE"""),"")</f>
        <v/>
      </c>
      <c r="C583" s="508" t="str">
        <f>IFERROR(__xludf.DUMMYFUNCTION("""COMPUTED_VALUE"""),"")</f>
        <v/>
      </c>
      <c r="D583" s="508" t="str">
        <f>IFERROR(__xludf.DUMMYFUNCTION("""COMPUTED_VALUE"""),"")</f>
        <v/>
      </c>
      <c r="E583" s="508" t="str">
        <f>IFERROR(__xludf.DUMMYFUNCTION("""COMPUTED_VALUE"""),"")</f>
        <v/>
      </c>
      <c r="F583" s="508" t="str">
        <f>IFERROR(__xludf.DUMMYFUNCTION("""COMPUTED_VALUE"""),"")</f>
        <v/>
      </c>
      <c r="G583" s="510" t="str">
        <f>IFERROR(__xludf.DUMMYFUNCTION("""COMPUTED_VALUE"""),"")</f>
        <v/>
      </c>
      <c r="H583" s="508" t="str">
        <f>IFERROR(__xludf.DUMMYFUNCTION("""COMPUTED_VALUE"""),"")</f>
        <v/>
      </c>
      <c r="I583" s="510" t="str">
        <f>IFERROR(__xludf.DUMMYFUNCTION("""COMPUTED_VALUE"""),"")</f>
        <v/>
      </c>
      <c r="J583" s="508" t="str">
        <f>IFERROR(__xludf.DUMMYFUNCTION("""COMPUTED_VALUE"""),"")</f>
        <v/>
      </c>
      <c r="K583" s="510" t="str">
        <f>IFERROR(__xludf.DUMMYFUNCTION("""COMPUTED_VALUE"""),"")</f>
        <v/>
      </c>
      <c r="L583" s="508" t="str">
        <f>IFERROR(__xludf.DUMMYFUNCTION("""COMPUTED_VALUE"""),"")</f>
        <v/>
      </c>
      <c r="M583" s="508" t="str">
        <f>IFERROR(__xludf.DUMMYFUNCTION("""COMPUTED_VALUE"""),"")</f>
        <v/>
      </c>
      <c r="N583" s="508" t="str">
        <f>IFERROR(__xludf.DUMMYFUNCTION("""COMPUTED_VALUE"""),"")</f>
        <v/>
      </c>
      <c r="O583" s="508" t="str">
        <f>IFERROR(__xludf.DUMMYFUNCTION("""COMPUTED_VALUE"""),"")</f>
        <v/>
      </c>
      <c r="P583" s="510" t="str">
        <f>IFERROR(__xludf.DUMMYFUNCTION("""COMPUTED_VALUE"""),"")</f>
        <v/>
      </c>
      <c r="Q583" s="508" t="str">
        <f>IFERROR(__xludf.DUMMYFUNCTION("""COMPUTED_VALUE"""),"")</f>
        <v/>
      </c>
      <c r="R583" s="508" t="str">
        <f>IFERROR(__xludf.DUMMYFUNCTION("""COMPUTED_VALUE"""),"")</f>
        <v/>
      </c>
      <c r="S583" s="510" t="str">
        <f>IFERROR(__xludf.DUMMYFUNCTION("""COMPUTED_VALUE"""),"")</f>
        <v/>
      </c>
      <c r="T583" s="510" t="str">
        <f>IFERROR(__xludf.DUMMYFUNCTION("""COMPUTED_VALUE"""),"")</f>
        <v/>
      </c>
    </row>
    <row r="584">
      <c r="A584" s="508" t="str">
        <f>IFERROR(__xludf.DUMMYFUNCTION("""COMPUTED_VALUE"""),"")</f>
        <v/>
      </c>
      <c r="B584" s="508" t="str">
        <f>IFERROR(__xludf.DUMMYFUNCTION("""COMPUTED_VALUE"""),"")</f>
        <v/>
      </c>
      <c r="C584" s="508" t="str">
        <f>IFERROR(__xludf.DUMMYFUNCTION("""COMPUTED_VALUE"""),"")</f>
        <v/>
      </c>
      <c r="D584" s="508" t="str">
        <f>IFERROR(__xludf.DUMMYFUNCTION("""COMPUTED_VALUE"""),"")</f>
        <v/>
      </c>
      <c r="E584" s="508" t="str">
        <f>IFERROR(__xludf.DUMMYFUNCTION("""COMPUTED_VALUE"""),"")</f>
        <v/>
      </c>
      <c r="F584" s="508" t="str">
        <f>IFERROR(__xludf.DUMMYFUNCTION("""COMPUTED_VALUE"""),"")</f>
        <v/>
      </c>
      <c r="G584" s="510" t="str">
        <f>IFERROR(__xludf.DUMMYFUNCTION("""COMPUTED_VALUE"""),"")</f>
        <v/>
      </c>
      <c r="H584" s="508" t="str">
        <f>IFERROR(__xludf.DUMMYFUNCTION("""COMPUTED_VALUE"""),"")</f>
        <v/>
      </c>
      <c r="I584" s="510" t="str">
        <f>IFERROR(__xludf.DUMMYFUNCTION("""COMPUTED_VALUE"""),"")</f>
        <v/>
      </c>
      <c r="J584" s="508" t="str">
        <f>IFERROR(__xludf.DUMMYFUNCTION("""COMPUTED_VALUE"""),"")</f>
        <v/>
      </c>
      <c r="K584" s="510" t="str">
        <f>IFERROR(__xludf.DUMMYFUNCTION("""COMPUTED_VALUE"""),"")</f>
        <v/>
      </c>
      <c r="L584" s="508" t="str">
        <f>IFERROR(__xludf.DUMMYFUNCTION("""COMPUTED_VALUE"""),"")</f>
        <v/>
      </c>
      <c r="M584" s="508" t="str">
        <f>IFERROR(__xludf.DUMMYFUNCTION("""COMPUTED_VALUE"""),"")</f>
        <v/>
      </c>
      <c r="N584" s="508" t="str">
        <f>IFERROR(__xludf.DUMMYFUNCTION("""COMPUTED_VALUE"""),"")</f>
        <v/>
      </c>
      <c r="O584" s="508" t="str">
        <f>IFERROR(__xludf.DUMMYFUNCTION("""COMPUTED_VALUE"""),"")</f>
        <v/>
      </c>
      <c r="P584" s="510" t="str">
        <f>IFERROR(__xludf.DUMMYFUNCTION("""COMPUTED_VALUE"""),"")</f>
        <v/>
      </c>
      <c r="Q584" s="508" t="str">
        <f>IFERROR(__xludf.DUMMYFUNCTION("""COMPUTED_VALUE"""),"")</f>
        <v/>
      </c>
      <c r="R584" s="508" t="str">
        <f>IFERROR(__xludf.DUMMYFUNCTION("""COMPUTED_VALUE"""),"")</f>
        <v/>
      </c>
      <c r="S584" s="510" t="str">
        <f>IFERROR(__xludf.DUMMYFUNCTION("""COMPUTED_VALUE"""),"")</f>
        <v/>
      </c>
      <c r="T584" s="510" t="str">
        <f>IFERROR(__xludf.DUMMYFUNCTION("""COMPUTED_VALUE"""),"")</f>
        <v/>
      </c>
    </row>
    <row r="585">
      <c r="A585" s="508" t="str">
        <f>IFERROR(__xludf.DUMMYFUNCTION("""COMPUTED_VALUE"""),"")</f>
        <v/>
      </c>
      <c r="B585" s="508" t="str">
        <f>IFERROR(__xludf.DUMMYFUNCTION("""COMPUTED_VALUE"""),"")</f>
        <v/>
      </c>
      <c r="C585" s="508" t="str">
        <f>IFERROR(__xludf.DUMMYFUNCTION("""COMPUTED_VALUE"""),"")</f>
        <v/>
      </c>
      <c r="D585" s="508" t="str">
        <f>IFERROR(__xludf.DUMMYFUNCTION("""COMPUTED_VALUE"""),"")</f>
        <v/>
      </c>
      <c r="E585" s="508" t="str">
        <f>IFERROR(__xludf.DUMMYFUNCTION("""COMPUTED_VALUE"""),"")</f>
        <v/>
      </c>
      <c r="F585" s="508" t="str">
        <f>IFERROR(__xludf.DUMMYFUNCTION("""COMPUTED_VALUE"""),"")</f>
        <v/>
      </c>
      <c r="G585" s="510" t="str">
        <f>IFERROR(__xludf.DUMMYFUNCTION("""COMPUTED_VALUE"""),"")</f>
        <v/>
      </c>
      <c r="H585" s="508" t="str">
        <f>IFERROR(__xludf.DUMMYFUNCTION("""COMPUTED_VALUE"""),"")</f>
        <v/>
      </c>
      <c r="I585" s="510" t="str">
        <f>IFERROR(__xludf.DUMMYFUNCTION("""COMPUTED_VALUE"""),"")</f>
        <v/>
      </c>
      <c r="J585" s="508" t="str">
        <f>IFERROR(__xludf.DUMMYFUNCTION("""COMPUTED_VALUE"""),"")</f>
        <v/>
      </c>
      <c r="K585" s="510" t="str">
        <f>IFERROR(__xludf.DUMMYFUNCTION("""COMPUTED_VALUE"""),"")</f>
        <v/>
      </c>
      <c r="L585" s="508" t="str">
        <f>IFERROR(__xludf.DUMMYFUNCTION("""COMPUTED_VALUE"""),"")</f>
        <v/>
      </c>
      <c r="M585" s="508" t="str">
        <f>IFERROR(__xludf.DUMMYFUNCTION("""COMPUTED_VALUE"""),"")</f>
        <v/>
      </c>
      <c r="N585" s="508" t="str">
        <f>IFERROR(__xludf.DUMMYFUNCTION("""COMPUTED_VALUE"""),"")</f>
        <v/>
      </c>
      <c r="O585" s="508" t="str">
        <f>IFERROR(__xludf.DUMMYFUNCTION("""COMPUTED_VALUE"""),"")</f>
        <v/>
      </c>
      <c r="P585" s="510" t="str">
        <f>IFERROR(__xludf.DUMMYFUNCTION("""COMPUTED_VALUE"""),"")</f>
        <v/>
      </c>
      <c r="Q585" s="508" t="str">
        <f>IFERROR(__xludf.DUMMYFUNCTION("""COMPUTED_VALUE"""),"")</f>
        <v/>
      </c>
      <c r="R585" s="508" t="str">
        <f>IFERROR(__xludf.DUMMYFUNCTION("""COMPUTED_VALUE"""),"")</f>
        <v/>
      </c>
      <c r="S585" s="510" t="str">
        <f>IFERROR(__xludf.DUMMYFUNCTION("""COMPUTED_VALUE"""),"")</f>
        <v/>
      </c>
      <c r="T585" s="510" t="str">
        <f>IFERROR(__xludf.DUMMYFUNCTION("""COMPUTED_VALUE"""),"")</f>
        <v/>
      </c>
    </row>
    <row r="586">
      <c r="A586" s="508" t="str">
        <f>IFERROR(__xludf.DUMMYFUNCTION("""COMPUTED_VALUE"""),"")</f>
        <v/>
      </c>
      <c r="B586" s="508" t="str">
        <f>IFERROR(__xludf.DUMMYFUNCTION("""COMPUTED_VALUE"""),"")</f>
        <v/>
      </c>
      <c r="C586" s="508" t="str">
        <f>IFERROR(__xludf.DUMMYFUNCTION("""COMPUTED_VALUE"""),"")</f>
        <v/>
      </c>
      <c r="D586" s="508" t="str">
        <f>IFERROR(__xludf.DUMMYFUNCTION("""COMPUTED_VALUE"""),"")</f>
        <v/>
      </c>
      <c r="E586" s="508" t="str">
        <f>IFERROR(__xludf.DUMMYFUNCTION("""COMPUTED_VALUE"""),"")</f>
        <v/>
      </c>
      <c r="F586" s="508" t="str">
        <f>IFERROR(__xludf.DUMMYFUNCTION("""COMPUTED_VALUE"""),"")</f>
        <v/>
      </c>
      <c r="G586" s="510" t="str">
        <f>IFERROR(__xludf.DUMMYFUNCTION("""COMPUTED_VALUE"""),"")</f>
        <v/>
      </c>
      <c r="H586" s="508" t="str">
        <f>IFERROR(__xludf.DUMMYFUNCTION("""COMPUTED_VALUE"""),"")</f>
        <v/>
      </c>
      <c r="I586" s="510" t="str">
        <f>IFERROR(__xludf.DUMMYFUNCTION("""COMPUTED_VALUE"""),"")</f>
        <v/>
      </c>
      <c r="J586" s="508" t="str">
        <f>IFERROR(__xludf.DUMMYFUNCTION("""COMPUTED_VALUE"""),"")</f>
        <v/>
      </c>
      <c r="K586" s="510" t="str">
        <f>IFERROR(__xludf.DUMMYFUNCTION("""COMPUTED_VALUE"""),"")</f>
        <v/>
      </c>
      <c r="L586" s="508" t="str">
        <f>IFERROR(__xludf.DUMMYFUNCTION("""COMPUTED_VALUE"""),"")</f>
        <v/>
      </c>
      <c r="M586" s="508" t="str">
        <f>IFERROR(__xludf.DUMMYFUNCTION("""COMPUTED_VALUE"""),"")</f>
        <v/>
      </c>
      <c r="N586" s="508" t="str">
        <f>IFERROR(__xludf.DUMMYFUNCTION("""COMPUTED_VALUE"""),"")</f>
        <v/>
      </c>
      <c r="O586" s="508" t="str">
        <f>IFERROR(__xludf.DUMMYFUNCTION("""COMPUTED_VALUE"""),"")</f>
        <v/>
      </c>
      <c r="P586" s="510" t="str">
        <f>IFERROR(__xludf.DUMMYFUNCTION("""COMPUTED_VALUE"""),"")</f>
        <v/>
      </c>
      <c r="Q586" s="508" t="str">
        <f>IFERROR(__xludf.DUMMYFUNCTION("""COMPUTED_VALUE"""),"")</f>
        <v/>
      </c>
      <c r="R586" s="508" t="str">
        <f>IFERROR(__xludf.DUMMYFUNCTION("""COMPUTED_VALUE"""),"")</f>
        <v/>
      </c>
      <c r="S586" s="510" t="str">
        <f>IFERROR(__xludf.DUMMYFUNCTION("""COMPUTED_VALUE"""),"")</f>
        <v/>
      </c>
      <c r="T586" s="510" t="str">
        <f>IFERROR(__xludf.DUMMYFUNCTION("""COMPUTED_VALUE"""),"")</f>
        <v/>
      </c>
    </row>
    <row r="587">
      <c r="A587" s="508" t="str">
        <f>IFERROR(__xludf.DUMMYFUNCTION("""COMPUTED_VALUE"""),"")</f>
        <v/>
      </c>
      <c r="B587" s="508" t="str">
        <f>IFERROR(__xludf.DUMMYFUNCTION("""COMPUTED_VALUE"""),"")</f>
        <v/>
      </c>
      <c r="C587" s="508" t="str">
        <f>IFERROR(__xludf.DUMMYFUNCTION("""COMPUTED_VALUE"""),"")</f>
        <v/>
      </c>
      <c r="D587" s="508" t="str">
        <f>IFERROR(__xludf.DUMMYFUNCTION("""COMPUTED_VALUE"""),"")</f>
        <v/>
      </c>
      <c r="E587" s="508" t="str">
        <f>IFERROR(__xludf.DUMMYFUNCTION("""COMPUTED_VALUE"""),"")</f>
        <v/>
      </c>
      <c r="F587" s="508" t="str">
        <f>IFERROR(__xludf.DUMMYFUNCTION("""COMPUTED_VALUE"""),"")</f>
        <v/>
      </c>
      <c r="G587" s="510" t="str">
        <f>IFERROR(__xludf.DUMMYFUNCTION("""COMPUTED_VALUE"""),"")</f>
        <v/>
      </c>
      <c r="H587" s="508" t="str">
        <f>IFERROR(__xludf.DUMMYFUNCTION("""COMPUTED_VALUE"""),"")</f>
        <v/>
      </c>
      <c r="I587" s="510" t="str">
        <f>IFERROR(__xludf.DUMMYFUNCTION("""COMPUTED_VALUE"""),"")</f>
        <v/>
      </c>
      <c r="J587" s="508" t="str">
        <f>IFERROR(__xludf.DUMMYFUNCTION("""COMPUTED_VALUE"""),"")</f>
        <v/>
      </c>
      <c r="K587" s="510" t="str">
        <f>IFERROR(__xludf.DUMMYFUNCTION("""COMPUTED_VALUE"""),"")</f>
        <v/>
      </c>
      <c r="L587" s="508" t="str">
        <f>IFERROR(__xludf.DUMMYFUNCTION("""COMPUTED_VALUE"""),"")</f>
        <v/>
      </c>
      <c r="M587" s="508" t="str">
        <f>IFERROR(__xludf.DUMMYFUNCTION("""COMPUTED_VALUE"""),"")</f>
        <v/>
      </c>
      <c r="N587" s="508" t="str">
        <f>IFERROR(__xludf.DUMMYFUNCTION("""COMPUTED_VALUE"""),"")</f>
        <v/>
      </c>
      <c r="O587" s="508" t="str">
        <f>IFERROR(__xludf.DUMMYFUNCTION("""COMPUTED_VALUE"""),"")</f>
        <v/>
      </c>
      <c r="P587" s="510" t="str">
        <f>IFERROR(__xludf.DUMMYFUNCTION("""COMPUTED_VALUE"""),"")</f>
        <v/>
      </c>
      <c r="Q587" s="508" t="str">
        <f>IFERROR(__xludf.DUMMYFUNCTION("""COMPUTED_VALUE"""),"")</f>
        <v/>
      </c>
      <c r="R587" s="508" t="str">
        <f>IFERROR(__xludf.DUMMYFUNCTION("""COMPUTED_VALUE"""),"")</f>
        <v/>
      </c>
      <c r="S587" s="510" t="str">
        <f>IFERROR(__xludf.DUMMYFUNCTION("""COMPUTED_VALUE"""),"")</f>
        <v/>
      </c>
      <c r="T587" s="510" t="str">
        <f>IFERROR(__xludf.DUMMYFUNCTION("""COMPUTED_VALUE"""),"")</f>
        <v/>
      </c>
    </row>
    <row r="588">
      <c r="A588" s="508" t="str">
        <f>IFERROR(__xludf.DUMMYFUNCTION("""COMPUTED_VALUE"""),"")</f>
        <v/>
      </c>
      <c r="B588" s="508" t="str">
        <f>IFERROR(__xludf.DUMMYFUNCTION("""COMPUTED_VALUE"""),"")</f>
        <v/>
      </c>
      <c r="C588" s="508" t="str">
        <f>IFERROR(__xludf.DUMMYFUNCTION("""COMPUTED_VALUE"""),"")</f>
        <v/>
      </c>
      <c r="D588" s="508" t="str">
        <f>IFERROR(__xludf.DUMMYFUNCTION("""COMPUTED_VALUE"""),"")</f>
        <v/>
      </c>
      <c r="E588" s="508" t="str">
        <f>IFERROR(__xludf.DUMMYFUNCTION("""COMPUTED_VALUE"""),"")</f>
        <v/>
      </c>
      <c r="F588" s="508" t="str">
        <f>IFERROR(__xludf.DUMMYFUNCTION("""COMPUTED_VALUE"""),"")</f>
        <v/>
      </c>
      <c r="G588" s="510" t="str">
        <f>IFERROR(__xludf.DUMMYFUNCTION("""COMPUTED_VALUE"""),"")</f>
        <v/>
      </c>
      <c r="H588" s="508" t="str">
        <f>IFERROR(__xludf.DUMMYFUNCTION("""COMPUTED_VALUE"""),"")</f>
        <v/>
      </c>
      <c r="I588" s="510" t="str">
        <f>IFERROR(__xludf.DUMMYFUNCTION("""COMPUTED_VALUE"""),"")</f>
        <v/>
      </c>
      <c r="J588" s="508" t="str">
        <f>IFERROR(__xludf.DUMMYFUNCTION("""COMPUTED_VALUE"""),"")</f>
        <v/>
      </c>
      <c r="K588" s="510" t="str">
        <f>IFERROR(__xludf.DUMMYFUNCTION("""COMPUTED_VALUE"""),"")</f>
        <v/>
      </c>
      <c r="L588" s="508" t="str">
        <f>IFERROR(__xludf.DUMMYFUNCTION("""COMPUTED_VALUE"""),"")</f>
        <v/>
      </c>
      <c r="M588" s="508" t="str">
        <f>IFERROR(__xludf.DUMMYFUNCTION("""COMPUTED_VALUE"""),"")</f>
        <v/>
      </c>
      <c r="N588" s="508" t="str">
        <f>IFERROR(__xludf.DUMMYFUNCTION("""COMPUTED_VALUE"""),"")</f>
        <v/>
      </c>
      <c r="O588" s="508" t="str">
        <f>IFERROR(__xludf.DUMMYFUNCTION("""COMPUTED_VALUE"""),"")</f>
        <v/>
      </c>
      <c r="P588" s="510" t="str">
        <f>IFERROR(__xludf.DUMMYFUNCTION("""COMPUTED_VALUE"""),"")</f>
        <v/>
      </c>
      <c r="Q588" s="508" t="str">
        <f>IFERROR(__xludf.DUMMYFUNCTION("""COMPUTED_VALUE"""),"")</f>
        <v/>
      </c>
      <c r="R588" s="508" t="str">
        <f>IFERROR(__xludf.DUMMYFUNCTION("""COMPUTED_VALUE"""),"")</f>
        <v/>
      </c>
      <c r="S588" s="510" t="str">
        <f>IFERROR(__xludf.DUMMYFUNCTION("""COMPUTED_VALUE"""),"")</f>
        <v/>
      </c>
      <c r="T588" s="510" t="str">
        <f>IFERROR(__xludf.DUMMYFUNCTION("""COMPUTED_VALUE"""),"")</f>
        <v/>
      </c>
    </row>
    <row r="589">
      <c r="A589" s="508" t="str">
        <f>IFERROR(__xludf.DUMMYFUNCTION("""COMPUTED_VALUE"""),"")</f>
        <v/>
      </c>
      <c r="B589" s="508" t="str">
        <f>IFERROR(__xludf.DUMMYFUNCTION("""COMPUTED_VALUE"""),"")</f>
        <v/>
      </c>
      <c r="C589" s="508" t="str">
        <f>IFERROR(__xludf.DUMMYFUNCTION("""COMPUTED_VALUE"""),"")</f>
        <v/>
      </c>
      <c r="D589" s="508" t="str">
        <f>IFERROR(__xludf.DUMMYFUNCTION("""COMPUTED_VALUE"""),"")</f>
        <v/>
      </c>
      <c r="E589" s="508" t="str">
        <f>IFERROR(__xludf.DUMMYFUNCTION("""COMPUTED_VALUE"""),"")</f>
        <v/>
      </c>
      <c r="F589" s="508" t="str">
        <f>IFERROR(__xludf.DUMMYFUNCTION("""COMPUTED_VALUE"""),"")</f>
        <v/>
      </c>
      <c r="G589" s="510" t="str">
        <f>IFERROR(__xludf.DUMMYFUNCTION("""COMPUTED_VALUE"""),"")</f>
        <v/>
      </c>
      <c r="H589" s="508" t="str">
        <f>IFERROR(__xludf.DUMMYFUNCTION("""COMPUTED_VALUE"""),"")</f>
        <v/>
      </c>
      <c r="I589" s="510" t="str">
        <f>IFERROR(__xludf.DUMMYFUNCTION("""COMPUTED_VALUE"""),"")</f>
        <v/>
      </c>
      <c r="J589" s="508" t="str">
        <f>IFERROR(__xludf.DUMMYFUNCTION("""COMPUTED_VALUE"""),"")</f>
        <v/>
      </c>
      <c r="K589" s="510" t="str">
        <f>IFERROR(__xludf.DUMMYFUNCTION("""COMPUTED_VALUE"""),"")</f>
        <v/>
      </c>
      <c r="L589" s="508" t="str">
        <f>IFERROR(__xludf.DUMMYFUNCTION("""COMPUTED_VALUE"""),"")</f>
        <v/>
      </c>
      <c r="M589" s="508" t="str">
        <f>IFERROR(__xludf.DUMMYFUNCTION("""COMPUTED_VALUE"""),"")</f>
        <v/>
      </c>
      <c r="N589" s="508" t="str">
        <f>IFERROR(__xludf.DUMMYFUNCTION("""COMPUTED_VALUE"""),"")</f>
        <v/>
      </c>
      <c r="O589" s="508" t="str">
        <f>IFERROR(__xludf.DUMMYFUNCTION("""COMPUTED_VALUE"""),"")</f>
        <v/>
      </c>
      <c r="P589" s="510" t="str">
        <f>IFERROR(__xludf.DUMMYFUNCTION("""COMPUTED_VALUE"""),"")</f>
        <v/>
      </c>
      <c r="Q589" s="508" t="str">
        <f>IFERROR(__xludf.DUMMYFUNCTION("""COMPUTED_VALUE"""),"")</f>
        <v/>
      </c>
      <c r="R589" s="508" t="str">
        <f>IFERROR(__xludf.DUMMYFUNCTION("""COMPUTED_VALUE"""),"")</f>
        <v/>
      </c>
      <c r="S589" s="510" t="str">
        <f>IFERROR(__xludf.DUMMYFUNCTION("""COMPUTED_VALUE"""),"")</f>
        <v/>
      </c>
      <c r="T589" s="510" t="str">
        <f>IFERROR(__xludf.DUMMYFUNCTION("""COMPUTED_VALUE"""),"")</f>
        <v/>
      </c>
    </row>
    <row r="590">
      <c r="A590" s="508" t="str">
        <f>IFERROR(__xludf.DUMMYFUNCTION("""COMPUTED_VALUE"""),"")</f>
        <v/>
      </c>
      <c r="B590" s="508" t="str">
        <f>IFERROR(__xludf.DUMMYFUNCTION("""COMPUTED_VALUE"""),"")</f>
        <v/>
      </c>
      <c r="C590" s="508" t="str">
        <f>IFERROR(__xludf.DUMMYFUNCTION("""COMPUTED_VALUE"""),"")</f>
        <v/>
      </c>
      <c r="D590" s="508" t="str">
        <f>IFERROR(__xludf.DUMMYFUNCTION("""COMPUTED_VALUE"""),"")</f>
        <v/>
      </c>
      <c r="E590" s="508" t="str">
        <f>IFERROR(__xludf.DUMMYFUNCTION("""COMPUTED_VALUE"""),"")</f>
        <v/>
      </c>
      <c r="F590" s="508" t="str">
        <f>IFERROR(__xludf.DUMMYFUNCTION("""COMPUTED_VALUE"""),"")</f>
        <v/>
      </c>
      <c r="G590" s="510" t="str">
        <f>IFERROR(__xludf.DUMMYFUNCTION("""COMPUTED_VALUE"""),"")</f>
        <v/>
      </c>
      <c r="H590" s="508" t="str">
        <f>IFERROR(__xludf.DUMMYFUNCTION("""COMPUTED_VALUE"""),"")</f>
        <v/>
      </c>
      <c r="I590" s="510" t="str">
        <f>IFERROR(__xludf.DUMMYFUNCTION("""COMPUTED_VALUE"""),"")</f>
        <v/>
      </c>
      <c r="J590" s="508" t="str">
        <f>IFERROR(__xludf.DUMMYFUNCTION("""COMPUTED_VALUE"""),"")</f>
        <v/>
      </c>
      <c r="K590" s="510" t="str">
        <f>IFERROR(__xludf.DUMMYFUNCTION("""COMPUTED_VALUE"""),"")</f>
        <v/>
      </c>
      <c r="L590" s="508" t="str">
        <f>IFERROR(__xludf.DUMMYFUNCTION("""COMPUTED_VALUE"""),"")</f>
        <v/>
      </c>
      <c r="M590" s="508" t="str">
        <f>IFERROR(__xludf.DUMMYFUNCTION("""COMPUTED_VALUE"""),"")</f>
        <v/>
      </c>
      <c r="N590" s="508" t="str">
        <f>IFERROR(__xludf.DUMMYFUNCTION("""COMPUTED_VALUE"""),"")</f>
        <v/>
      </c>
      <c r="O590" s="508" t="str">
        <f>IFERROR(__xludf.DUMMYFUNCTION("""COMPUTED_VALUE"""),"")</f>
        <v/>
      </c>
      <c r="P590" s="510" t="str">
        <f>IFERROR(__xludf.DUMMYFUNCTION("""COMPUTED_VALUE"""),"")</f>
        <v/>
      </c>
      <c r="Q590" s="508" t="str">
        <f>IFERROR(__xludf.DUMMYFUNCTION("""COMPUTED_VALUE"""),"")</f>
        <v/>
      </c>
      <c r="R590" s="508" t="str">
        <f>IFERROR(__xludf.DUMMYFUNCTION("""COMPUTED_VALUE"""),"")</f>
        <v/>
      </c>
      <c r="S590" s="510" t="str">
        <f>IFERROR(__xludf.DUMMYFUNCTION("""COMPUTED_VALUE"""),"")</f>
        <v/>
      </c>
      <c r="T590" s="510" t="str">
        <f>IFERROR(__xludf.DUMMYFUNCTION("""COMPUTED_VALUE"""),"")</f>
        <v/>
      </c>
    </row>
    <row r="591">
      <c r="A591" s="508" t="str">
        <f>IFERROR(__xludf.DUMMYFUNCTION("""COMPUTED_VALUE"""),"")</f>
        <v/>
      </c>
      <c r="B591" s="508" t="str">
        <f>IFERROR(__xludf.DUMMYFUNCTION("""COMPUTED_VALUE"""),"")</f>
        <v/>
      </c>
      <c r="C591" s="508" t="str">
        <f>IFERROR(__xludf.DUMMYFUNCTION("""COMPUTED_VALUE"""),"")</f>
        <v/>
      </c>
      <c r="D591" s="508" t="str">
        <f>IFERROR(__xludf.DUMMYFUNCTION("""COMPUTED_VALUE"""),"")</f>
        <v/>
      </c>
      <c r="E591" s="508" t="str">
        <f>IFERROR(__xludf.DUMMYFUNCTION("""COMPUTED_VALUE"""),"")</f>
        <v/>
      </c>
      <c r="F591" s="508" t="str">
        <f>IFERROR(__xludf.DUMMYFUNCTION("""COMPUTED_VALUE"""),"")</f>
        <v/>
      </c>
      <c r="G591" s="510" t="str">
        <f>IFERROR(__xludf.DUMMYFUNCTION("""COMPUTED_VALUE"""),"")</f>
        <v/>
      </c>
      <c r="H591" s="508" t="str">
        <f>IFERROR(__xludf.DUMMYFUNCTION("""COMPUTED_VALUE"""),"")</f>
        <v/>
      </c>
      <c r="I591" s="510" t="str">
        <f>IFERROR(__xludf.DUMMYFUNCTION("""COMPUTED_VALUE"""),"")</f>
        <v/>
      </c>
      <c r="J591" s="508" t="str">
        <f>IFERROR(__xludf.DUMMYFUNCTION("""COMPUTED_VALUE"""),"")</f>
        <v/>
      </c>
      <c r="K591" s="510" t="str">
        <f>IFERROR(__xludf.DUMMYFUNCTION("""COMPUTED_VALUE"""),"")</f>
        <v/>
      </c>
      <c r="L591" s="508" t="str">
        <f>IFERROR(__xludf.DUMMYFUNCTION("""COMPUTED_VALUE"""),"")</f>
        <v/>
      </c>
      <c r="M591" s="508" t="str">
        <f>IFERROR(__xludf.DUMMYFUNCTION("""COMPUTED_VALUE"""),"")</f>
        <v/>
      </c>
      <c r="N591" s="508" t="str">
        <f>IFERROR(__xludf.DUMMYFUNCTION("""COMPUTED_VALUE"""),"")</f>
        <v/>
      </c>
      <c r="O591" s="508" t="str">
        <f>IFERROR(__xludf.DUMMYFUNCTION("""COMPUTED_VALUE"""),"")</f>
        <v/>
      </c>
      <c r="P591" s="510" t="str">
        <f>IFERROR(__xludf.DUMMYFUNCTION("""COMPUTED_VALUE"""),"")</f>
        <v/>
      </c>
      <c r="Q591" s="508" t="str">
        <f>IFERROR(__xludf.DUMMYFUNCTION("""COMPUTED_VALUE"""),"")</f>
        <v/>
      </c>
      <c r="R591" s="508" t="str">
        <f>IFERROR(__xludf.DUMMYFUNCTION("""COMPUTED_VALUE"""),"")</f>
        <v/>
      </c>
      <c r="S591" s="510" t="str">
        <f>IFERROR(__xludf.DUMMYFUNCTION("""COMPUTED_VALUE"""),"")</f>
        <v/>
      </c>
      <c r="T591" s="510" t="str">
        <f>IFERROR(__xludf.DUMMYFUNCTION("""COMPUTED_VALUE"""),"")</f>
        <v/>
      </c>
    </row>
    <row r="592">
      <c r="A592" s="508" t="str">
        <f>IFERROR(__xludf.DUMMYFUNCTION("""COMPUTED_VALUE"""),"")</f>
        <v/>
      </c>
      <c r="B592" s="508" t="str">
        <f>IFERROR(__xludf.DUMMYFUNCTION("""COMPUTED_VALUE"""),"")</f>
        <v/>
      </c>
      <c r="C592" s="508" t="str">
        <f>IFERROR(__xludf.DUMMYFUNCTION("""COMPUTED_VALUE"""),"")</f>
        <v/>
      </c>
      <c r="D592" s="508" t="str">
        <f>IFERROR(__xludf.DUMMYFUNCTION("""COMPUTED_VALUE"""),"")</f>
        <v/>
      </c>
      <c r="E592" s="508" t="str">
        <f>IFERROR(__xludf.DUMMYFUNCTION("""COMPUTED_VALUE"""),"")</f>
        <v/>
      </c>
      <c r="F592" s="508" t="str">
        <f>IFERROR(__xludf.DUMMYFUNCTION("""COMPUTED_VALUE"""),"")</f>
        <v/>
      </c>
      <c r="G592" s="510" t="str">
        <f>IFERROR(__xludf.DUMMYFUNCTION("""COMPUTED_VALUE"""),"")</f>
        <v/>
      </c>
      <c r="H592" s="508" t="str">
        <f>IFERROR(__xludf.DUMMYFUNCTION("""COMPUTED_VALUE"""),"")</f>
        <v/>
      </c>
      <c r="I592" s="510" t="str">
        <f>IFERROR(__xludf.DUMMYFUNCTION("""COMPUTED_VALUE"""),"")</f>
        <v/>
      </c>
      <c r="J592" s="508" t="str">
        <f>IFERROR(__xludf.DUMMYFUNCTION("""COMPUTED_VALUE"""),"")</f>
        <v/>
      </c>
      <c r="K592" s="510" t="str">
        <f>IFERROR(__xludf.DUMMYFUNCTION("""COMPUTED_VALUE"""),"")</f>
        <v/>
      </c>
      <c r="L592" s="508" t="str">
        <f>IFERROR(__xludf.DUMMYFUNCTION("""COMPUTED_VALUE"""),"")</f>
        <v/>
      </c>
      <c r="M592" s="508" t="str">
        <f>IFERROR(__xludf.DUMMYFUNCTION("""COMPUTED_VALUE"""),"")</f>
        <v/>
      </c>
      <c r="N592" s="508" t="str">
        <f>IFERROR(__xludf.DUMMYFUNCTION("""COMPUTED_VALUE"""),"")</f>
        <v/>
      </c>
      <c r="O592" s="508" t="str">
        <f>IFERROR(__xludf.DUMMYFUNCTION("""COMPUTED_VALUE"""),"")</f>
        <v/>
      </c>
      <c r="P592" s="510" t="str">
        <f>IFERROR(__xludf.DUMMYFUNCTION("""COMPUTED_VALUE"""),"")</f>
        <v/>
      </c>
      <c r="Q592" s="508" t="str">
        <f>IFERROR(__xludf.DUMMYFUNCTION("""COMPUTED_VALUE"""),"")</f>
        <v/>
      </c>
      <c r="R592" s="508" t="str">
        <f>IFERROR(__xludf.DUMMYFUNCTION("""COMPUTED_VALUE"""),"")</f>
        <v/>
      </c>
      <c r="S592" s="510" t="str">
        <f>IFERROR(__xludf.DUMMYFUNCTION("""COMPUTED_VALUE"""),"")</f>
        <v/>
      </c>
      <c r="T592" s="510" t="str">
        <f>IFERROR(__xludf.DUMMYFUNCTION("""COMPUTED_VALUE"""),"")</f>
        <v/>
      </c>
    </row>
    <row r="593">
      <c r="A593" s="508" t="str">
        <f>IFERROR(__xludf.DUMMYFUNCTION("""COMPUTED_VALUE"""),"")</f>
        <v/>
      </c>
      <c r="B593" s="508" t="str">
        <f>IFERROR(__xludf.DUMMYFUNCTION("""COMPUTED_VALUE"""),"")</f>
        <v/>
      </c>
      <c r="C593" s="508" t="str">
        <f>IFERROR(__xludf.DUMMYFUNCTION("""COMPUTED_VALUE"""),"")</f>
        <v/>
      </c>
      <c r="D593" s="508" t="str">
        <f>IFERROR(__xludf.DUMMYFUNCTION("""COMPUTED_VALUE"""),"")</f>
        <v/>
      </c>
      <c r="E593" s="508" t="str">
        <f>IFERROR(__xludf.DUMMYFUNCTION("""COMPUTED_VALUE"""),"")</f>
        <v/>
      </c>
      <c r="F593" s="508" t="str">
        <f>IFERROR(__xludf.DUMMYFUNCTION("""COMPUTED_VALUE"""),"")</f>
        <v/>
      </c>
      <c r="G593" s="510" t="str">
        <f>IFERROR(__xludf.DUMMYFUNCTION("""COMPUTED_VALUE"""),"")</f>
        <v/>
      </c>
      <c r="H593" s="508" t="str">
        <f>IFERROR(__xludf.DUMMYFUNCTION("""COMPUTED_VALUE"""),"")</f>
        <v/>
      </c>
      <c r="I593" s="510" t="str">
        <f>IFERROR(__xludf.DUMMYFUNCTION("""COMPUTED_VALUE"""),"")</f>
        <v/>
      </c>
      <c r="J593" s="508" t="str">
        <f>IFERROR(__xludf.DUMMYFUNCTION("""COMPUTED_VALUE"""),"")</f>
        <v/>
      </c>
      <c r="K593" s="510" t="str">
        <f>IFERROR(__xludf.DUMMYFUNCTION("""COMPUTED_VALUE"""),"")</f>
        <v/>
      </c>
      <c r="L593" s="508" t="str">
        <f>IFERROR(__xludf.DUMMYFUNCTION("""COMPUTED_VALUE"""),"")</f>
        <v/>
      </c>
      <c r="M593" s="508" t="str">
        <f>IFERROR(__xludf.DUMMYFUNCTION("""COMPUTED_VALUE"""),"")</f>
        <v/>
      </c>
      <c r="N593" s="508" t="str">
        <f>IFERROR(__xludf.DUMMYFUNCTION("""COMPUTED_VALUE"""),"")</f>
        <v/>
      </c>
      <c r="O593" s="508" t="str">
        <f>IFERROR(__xludf.DUMMYFUNCTION("""COMPUTED_VALUE"""),"")</f>
        <v/>
      </c>
      <c r="P593" s="510" t="str">
        <f>IFERROR(__xludf.DUMMYFUNCTION("""COMPUTED_VALUE"""),"")</f>
        <v/>
      </c>
      <c r="Q593" s="508" t="str">
        <f>IFERROR(__xludf.DUMMYFUNCTION("""COMPUTED_VALUE"""),"")</f>
        <v/>
      </c>
      <c r="R593" s="508" t="str">
        <f>IFERROR(__xludf.DUMMYFUNCTION("""COMPUTED_VALUE"""),"")</f>
        <v/>
      </c>
      <c r="S593" s="510" t="str">
        <f>IFERROR(__xludf.DUMMYFUNCTION("""COMPUTED_VALUE"""),"")</f>
        <v/>
      </c>
      <c r="T593" s="510" t="str">
        <f>IFERROR(__xludf.DUMMYFUNCTION("""COMPUTED_VALUE"""),"")</f>
        <v/>
      </c>
    </row>
    <row r="594">
      <c r="A594" s="508" t="str">
        <f>IFERROR(__xludf.DUMMYFUNCTION("""COMPUTED_VALUE"""),"")</f>
        <v/>
      </c>
      <c r="B594" s="508" t="str">
        <f>IFERROR(__xludf.DUMMYFUNCTION("""COMPUTED_VALUE"""),"")</f>
        <v/>
      </c>
      <c r="C594" s="508" t="str">
        <f>IFERROR(__xludf.DUMMYFUNCTION("""COMPUTED_VALUE"""),"")</f>
        <v/>
      </c>
      <c r="D594" s="508" t="str">
        <f>IFERROR(__xludf.DUMMYFUNCTION("""COMPUTED_VALUE"""),"")</f>
        <v/>
      </c>
      <c r="E594" s="508" t="str">
        <f>IFERROR(__xludf.DUMMYFUNCTION("""COMPUTED_VALUE"""),"")</f>
        <v/>
      </c>
      <c r="F594" s="508" t="str">
        <f>IFERROR(__xludf.DUMMYFUNCTION("""COMPUTED_VALUE"""),"")</f>
        <v/>
      </c>
      <c r="G594" s="510" t="str">
        <f>IFERROR(__xludf.DUMMYFUNCTION("""COMPUTED_VALUE"""),"")</f>
        <v/>
      </c>
      <c r="H594" s="508" t="str">
        <f>IFERROR(__xludf.DUMMYFUNCTION("""COMPUTED_VALUE"""),"")</f>
        <v/>
      </c>
      <c r="I594" s="510" t="str">
        <f>IFERROR(__xludf.DUMMYFUNCTION("""COMPUTED_VALUE"""),"")</f>
        <v/>
      </c>
      <c r="J594" s="508" t="str">
        <f>IFERROR(__xludf.DUMMYFUNCTION("""COMPUTED_VALUE"""),"")</f>
        <v/>
      </c>
      <c r="K594" s="510" t="str">
        <f>IFERROR(__xludf.DUMMYFUNCTION("""COMPUTED_VALUE"""),"")</f>
        <v/>
      </c>
      <c r="L594" s="508" t="str">
        <f>IFERROR(__xludf.DUMMYFUNCTION("""COMPUTED_VALUE"""),"")</f>
        <v/>
      </c>
      <c r="M594" s="508" t="str">
        <f>IFERROR(__xludf.DUMMYFUNCTION("""COMPUTED_VALUE"""),"")</f>
        <v/>
      </c>
      <c r="N594" s="508" t="str">
        <f>IFERROR(__xludf.DUMMYFUNCTION("""COMPUTED_VALUE"""),"")</f>
        <v/>
      </c>
      <c r="O594" s="508" t="str">
        <f>IFERROR(__xludf.DUMMYFUNCTION("""COMPUTED_VALUE"""),"")</f>
        <v/>
      </c>
      <c r="P594" s="510" t="str">
        <f>IFERROR(__xludf.DUMMYFUNCTION("""COMPUTED_VALUE"""),"")</f>
        <v/>
      </c>
      <c r="Q594" s="508" t="str">
        <f>IFERROR(__xludf.DUMMYFUNCTION("""COMPUTED_VALUE"""),"")</f>
        <v/>
      </c>
      <c r="R594" s="508" t="str">
        <f>IFERROR(__xludf.DUMMYFUNCTION("""COMPUTED_VALUE"""),"")</f>
        <v/>
      </c>
      <c r="S594" s="510" t="str">
        <f>IFERROR(__xludf.DUMMYFUNCTION("""COMPUTED_VALUE"""),"")</f>
        <v/>
      </c>
      <c r="T594" s="510" t="str">
        <f>IFERROR(__xludf.DUMMYFUNCTION("""COMPUTED_VALUE"""),"")</f>
        <v/>
      </c>
    </row>
    <row r="595">
      <c r="A595" s="508" t="str">
        <f>IFERROR(__xludf.DUMMYFUNCTION("""COMPUTED_VALUE"""),"")</f>
        <v/>
      </c>
      <c r="B595" s="508" t="str">
        <f>IFERROR(__xludf.DUMMYFUNCTION("""COMPUTED_VALUE"""),"")</f>
        <v/>
      </c>
      <c r="C595" s="508" t="str">
        <f>IFERROR(__xludf.DUMMYFUNCTION("""COMPUTED_VALUE"""),"")</f>
        <v/>
      </c>
      <c r="D595" s="508" t="str">
        <f>IFERROR(__xludf.DUMMYFUNCTION("""COMPUTED_VALUE"""),"")</f>
        <v/>
      </c>
      <c r="E595" s="508" t="str">
        <f>IFERROR(__xludf.DUMMYFUNCTION("""COMPUTED_VALUE"""),"")</f>
        <v/>
      </c>
      <c r="F595" s="508" t="str">
        <f>IFERROR(__xludf.DUMMYFUNCTION("""COMPUTED_VALUE"""),"")</f>
        <v/>
      </c>
      <c r="G595" s="510" t="str">
        <f>IFERROR(__xludf.DUMMYFUNCTION("""COMPUTED_VALUE"""),"")</f>
        <v/>
      </c>
      <c r="H595" s="508" t="str">
        <f>IFERROR(__xludf.DUMMYFUNCTION("""COMPUTED_VALUE"""),"")</f>
        <v/>
      </c>
      <c r="I595" s="510" t="str">
        <f>IFERROR(__xludf.DUMMYFUNCTION("""COMPUTED_VALUE"""),"")</f>
        <v/>
      </c>
      <c r="J595" s="508" t="str">
        <f>IFERROR(__xludf.DUMMYFUNCTION("""COMPUTED_VALUE"""),"")</f>
        <v/>
      </c>
      <c r="K595" s="510" t="str">
        <f>IFERROR(__xludf.DUMMYFUNCTION("""COMPUTED_VALUE"""),"")</f>
        <v/>
      </c>
      <c r="L595" s="508" t="str">
        <f>IFERROR(__xludf.DUMMYFUNCTION("""COMPUTED_VALUE"""),"")</f>
        <v/>
      </c>
      <c r="M595" s="508" t="str">
        <f>IFERROR(__xludf.DUMMYFUNCTION("""COMPUTED_VALUE"""),"")</f>
        <v/>
      </c>
      <c r="N595" s="508" t="str">
        <f>IFERROR(__xludf.DUMMYFUNCTION("""COMPUTED_VALUE"""),"")</f>
        <v/>
      </c>
      <c r="O595" s="508" t="str">
        <f>IFERROR(__xludf.DUMMYFUNCTION("""COMPUTED_VALUE"""),"")</f>
        <v/>
      </c>
      <c r="P595" s="510" t="str">
        <f>IFERROR(__xludf.DUMMYFUNCTION("""COMPUTED_VALUE"""),"")</f>
        <v/>
      </c>
      <c r="Q595" s="508" t="str">
        <f>IFERROR(__xludf.DUMMYFUNCTION("""COMPUTED_VALUE"""),"")</f>
        <v/>
      </c>
      <c r="R595" s="508" t="str">
        <f>IFERROR(__xludf.DUMMYFUNCTION("""COMPUTED_VALUE"""),"")</f>
        <v/>
      </c>
      <c r="S595" s="510" t="str">
        <f>IFERROR(__xludf.DUMMYFUNCTION("""COMPUTED_VALUE"""),"")</f>
        <v/>
      </c>
      <c r="T595" s="510" t="str">
        <f>IFERROR(__xludf.DUMMYFUNCTION("""COMPUTED_VALUE"""),"")</f>
        <v/>
      </c>
    </row>
    <row r="596">
      <c r="A596" s="508" t="str">
        <f>IFERROR(__xludf.DUMMYFUNCTION("""COMPUTED_VALUE"""),"")</f>
        <v/>
      </c>
      <c r="B596" s="508" t="str">
        <f>IFERROR(__xludf.DUMMYFUNCTION("""COMPUTED_VALUE"""),"")</f>
        <v/>
      </c>
      <c r="C596" s="508" t="str">
        <f>IFERROR(__xludf.DUMMYFUNCTION("""COMPUTED_VALUE"""),"")</f>
        <v/>
      </c>
      <c r="D596" s="508" t="str">
        <f>IFERROR(__xludf.DUMMYFUNCTION("""COMPUTED_VALUE"""),"")</f>
        <v/>
      </c>
      <c r="E596" s="508" t="str">
        <f>IFERROR(__xludf.DUMMYFUNCTION("""COMPUTED_VALUE"""),"")</f>
        <v/>
      </c>
      <c r="F596" s="508" t="str">
        <f>IFERROR(__xludf.DUMMYFUNCTION("""COMPUTED_VALUE"""),"")</f>
        <v/>
      </c>
      <c r="G596" s="510" t="str">
        <f>IFERROR(__xludf.DUMMYFUNCTION("""COMPUTED_VALUE"""),"")</f>
        <v/>
      </c>
      <c r="H596" s="508" t="str">
        <f>IFERROR(__xludf.DUMMYFUNCTION("""COMPUTED_VALUE"""),"")</f>
        <v/>
      </c>
      <c r="I596" s="510" t="str">
        <f>IFERROR(__xludf.DUMMYFUNCTION("""COMPUTED_VALUE"""),"")</f>
        <v/>
      </c>
      <c r="J596" s="508" t="str">
        <f>IFERROR(__xludf.DUMMYFUNCTION("""COMPUTED_VALUE"""),"")</f>
        <v/>
      </c>
      <c r="K596" s="510" t="str">
        <f>IFERROR(__xludf.DUMMYFUNCTION("""COMPUTED_VALUE"""),"")</f>
        <v/>
      </c>
      <c r="L596" s="508" t="str">
        <f>IFERROR(__xludf.DUMMYFUNCTION("""COMPUTED_VALUE"""),"")</f>
        <v/>
      </c>
      <c r="M596" s="508" t="str">
        <f>IFERROR(__xludf.DUMMYFUNCTION("""COMPUTED_VALUE"""),"")</f>
        <v/>
      </c>
      <c r="N596" s="508" t="str">
        <f>IFERROR(__xludf.DUMMYFUNCTION("""COMPUTED_VALUE"""),"")</f>
        <v/>
      </c>
      <c r="O596" s="508" t="str">
        <f>IFERROR(__xludf.DUMMYFUNCTION("""COMPUTED_VALUE"""),"")</f>
        <v/>
      </c>
      <c r="P596" s="510" t="str">
        <f>IFERROR(__xludf.DUMMYFUNCTION("""COMPUTED_VALUE"""),"")</f>
        <v/>
      </c>
      <c r="Q596" s="508" t="str">
        <f>IFERROR(__xludf.DUMMYFUNCTION("""COMPUTED_VALUE"""),"")</f>
        <v/>
      </c>
      <c r="R596" s="508" t="str">
        <f>IFERROR(__xludf.DUMMYFUNCTION("""COMPUTED_VALUE"""),"")</f>
        <v/>
      </c>
      <c r="S596" s="510" t="str">
        <f>IFERROR(__xludf.DUMMYFUNCTION("""COMPUTED_VALUE"""),"")</f>
        <v/>
      </c>
      <c r="T596" s="510" t="str">
        <f>IFERROR(__xludf.DUMMYFUNCTION("""COMPUTED_VALUE"""),"")</f>
        <v/>
      </c>
    </row>
    <row r="597">
      <c r="A597" s="508" t="str">
        <f>IFERROR(__xludf.DUMMYFUNCTION("""COMPUTED_VALUE"""),"")</f>
        <v/>
      </c>
      <c r="B597" s="508" t="str">
        <f>IFERROR(__xludf.DUMMYFUNCTION("""COMPUTED_VALUE"""),"")</f>
        <v/>
      </c>
      <c r="C597" s="508" t="str">
        <f>IFERROR(__xludf.DUMMYFUNCTION("""COMPUTED_VALUE"""),"")</f>
        <v/>
      </c>
      <c r="D597" s="508" t="str">
        <f>IFERROR(__xludf.DUMMYFUNCTION("""COMPUTED_VALUE"""),"")</f>
        <v/>
      </c>
      <c r="E597" s="508" t="str">
        <f>IFERROR(__xludf.DUMMYFUNCTION("""COMPUTED_VALUE"""),"")</f>
        <v/>
      </c>
      <c r="F597" s="508" t="str">
        <f>IFERROR(__xludf.DUMMYFUNCTION("""COMPUTED_VALUE"""),"")</f>
        <v/>
      </c>
      <c r="G597" s="510" t="str">
        <f>IFERROR(__xludf.DUMMYFUNCTION("""COMPUTED_VALUE"""),"")</f>
        <v/>
      </c>
      <c r="H597" s="508" t="str">
        <f>IFERROR(__xludf.DUMMYFUNCTION("""COMPUTED_VALUE"""),"")</f>
        <v/>
      </c>
      <c r="I597" s="510" t="str">
        <f>IFERROR(__xludf.DUMMYFUNCTION("""COMPUTED_VALUE"""),"")</f>
        <v/>
      </c>
      <c r="J597" s="508" t="str">
        <f>IFERROR(__xludf.DUMMYFUNCTION("""COMPUTED_VALUE"""),"")</f>
        <v/>
      </c>
      <c r="K597" s="510" t="str">
        <f>IFERROR(__xludf.DUMMYFUNCTION("""COMPUTED_VALUE"""),"")</f>
        <v/>
      </c>
      <c r="L597" s="508" t="str">
        <f>IFERROR(__xludf.DUMMYFUNCTION("""COMPUTED_VALUE"""),"")</f>
        <v/>
      </c>
      <c r="M597" s="508" t="str">
        <f>IFERROR(__xludf.DUMMYFUNCTION("""COMPUTED_VALUE"""),"")</f>
        <v/>
      </c>
      <c r="N597" s="508" t="str">
        <f>IFERROR(__xludf.DUMMYFUNCTION("""COMPUTED_VALUE"""),"")</f>
        <v/>
      </c>
      <c r="O597" s="508" t="str">
        <f>IFERROR(__xludf.DUMMYFUNCTION("""COMPUTED_VALUE"""),"")</f>
        <v/>
      </c>
      <c r="P597" s="510" t="str">
        <f>IFERROR(__xludf.DUMMYFUNCTION("""COMPUTED_VALUE"""),"")</f>
        <v/>
      </c>
      <c r="Q597" s="508" t="str">
        <f>IFERROR(__xludf.DUMMYFUNCTION("""COMPUTED_VALUE"""),"")</f>
        <v/>
      </c>
      <c r="R597" s="508" t="str">
        <f>IFERROR(__xludf.DUMMYFUNCTION("""COMPUTED_VALUE"""),"")</f>
        <v/>
      </c>
      <c r="S597" s="510" t="str">
        <f>IFERROR(__xludf.DUMMYFUNCTION("""COMPUTED_VALUE"""),"")</f>
        <v/>
      </c>
      <c r="T597" s="510" t="str">
        <f>IFERROR(__xludf.DUMMYFUNCTION("""COMPUTED_VALUE"""),"")</f>
        <v/>
      </c>
    </row>
    <row r="598">
      <c r="A598" s="508" t="str">
        <f>IFERROR(__xludf.DUMMYFUNCTION("""COMPUTED_VALUE"""),"")</f>
        <v/>
      </c>
      <c r="B598" s="508" t="str">
        <f>IFERROR(__xludf.DUMMYFUNCTION("""COMPUTED_VALUE"""),"")</f>
        <v/>
      </c>
      <c r="C598" s="508" t="str">
        <f>IFERROR(__xludf.DUMMYFUNCTION("""COMPUTED_VALUE"""),"")</f>
        <v/>
      </c>
      <c r="D598" s="508" t="str">
        <f>IFERROR(__xludf.DUMMYFUNCTION("""COMPUTED_VALUE"""),"")</f>
        <v/>
      </c>
      <c r="E598" s="508" t="str">
        <f>IFERROR(__xludf.DUMMYFUNCTION("""COMPUTED_VALUE"""),"")</f>
        <v/>
      </c>
      <c r="F598" s="508" t="str">
        <f>IFERROR(__xludf.DUMMYFUNCTION("""COMPUTED_VALUE"""),"")</f>
        <v/>
      </c>
      <c r="G598" s="510" t="str">
        <f>IFERROR(__xludf.DUMMYFUNCTION("""COMPUTED_VALUE"""),"")</f>
        <v/>
      </c>
      <c r="H598" s="508" t="str">
        <f>IFERROR(__xludf.DUMMYFUNCTION("""COMPUTED_VALUE"""),"")</f>
        <v/>
      </c>
      <c r="I598" s="510" t="str">
        <f>IFERROR(__xludf.DUMMYFUNCTION("""COMPUTED_VALUE"""),"")</f>
        <v/>
      </c>
      <c r="J598" s="508" t="str">
        <f>IFERROR(__xludf.DUMMYFUNCTION("""COMPUTED_VALUE"""),"")</f>
        <v/>
      </c>
      <c r="K598" s="510" t="str">
        <f>IFERROR(__xludf.DUMMYFUNCTION("""COMPUTED_VALUE"""),"")</f>
        <v/>
      </c>
      <c r="L598" s="508" t="str">
        <f>IFERROR(__xludf.DUMMYFUNCTION("""COMPUTED_VALUE"""),"")</f>
        <v/>
      </c>
      <c r="M598" s="508" t="str">
        <f>IFERROR(__xludf.DUMMYFUNCTION("""COMPUTED_VALUE"""),"")</f>
        <v/>
      </c>
      <c r="N598" s="508" t="str">
        <f>IFERROR(__xludf.DUMMYFUNCTION("""COMPUTED_VALUE"""),"")</f>
        <v/>
      </c>
      <c r="O598" s="508" t="str">
        <f>IFERROR(__xludf.DUMMYFUNCTION("""COMPUTED_VALUE"""),"")</f>
        <v/>
      </c>
      <c r="P598" s="510" t="str">
        <f>IFERROR(__xludf.DUMMYFUNCTION("""COMPUTED_VALUE"""),"")</f>
        <v/>
      </c>
      <c r="Q598" s="508" t="str">
        <f>IFERROR(__xludf.DUMMYFUNCTION("""COMPUTED_VALUE"""),"")</f>
        <v/>
      </c>
      <c r="R598" s="508" t="str">
        <f>IFERROR(__xludf.DUMMYFUNCTION("""COMPUTED_VALUE"""),"")</f>
        <v/>
      </c>
      <c r="S598" s="510" t="str">
        <f>IFERROR(__xludf.DUMMYFUNCTION("""COMPUTED_VALUE"""),"")</f>
        <v/>
      </c>
      <c r="T598" s="510" t="str">
        <f>IFERROR(__xludf.DUMMYFUNCTION("""COMPUTED_VALUE"""),"")</f>
        <v/>
      </c>
    </row>
    <row r="599">
      <c r="A599" s="508" t="str">
        <f>IFERROR(__xludf.DUMMYFUNCTION("""COMPUTED_VALUE"""),"")</f>
        <v/>
      </c>
      <c r="B599" s="508" t="str">
        <f>IFERROR(__xludf.DUMMYFUNCTION("""COMPUTED_VALUE"""),"")</f>
        <v/>
      </c>
      <c r="C599" s="508" t="str">
        <f>IFERROR(__xludf.DUMMYFUNCTION("""COMPUTED_VALUE"""),"")</f>
        <v/>
      </c>
      <c r="D599" s="508" t="str">
        <f>IFERROR(__xludf.DUMMYFUNCTION("""COMPUTED_VALUE"""),"")</f>
        <v/>
      </c>
      <c r="E599" s="508" t="str">
        <f>IFERROR(__xludf.DUMMYFUNCTION("""COMPUTED_VALUE"""),"")</f>
        <v/>
      </c>
      <c r="F599" s="508" t="str">
        <f>IFERROR(__xludf.DUMMYFUNCTION("""COMPUTED_VALUE"""),"")</f>
        <v/>
      </c>
      <c r="G599" s="510" t="str">
        <f>IFERROR(__xludf.DUMMYFUNCTION("""COMPUTED_VALUE"""),"")</f>
        <v/>
      </c>
      <c r="H599" s="508" t="str">
        <f>IFERROR(__xludf.DUMMYFUNCTION("""COMPUTED_VALUE"""),"")</f>
        <v/>
      </c>
      <c r="I599" s="510" t="str">
        <f>IFERROR(__xludf.DUMMYFUNCTION("""COMPUTED_VALUE"""),"")</f>
        <v/>
      </c>
      <c r="J599" s="508" t="str">
        <f>IFERROR(__xludf.DUMMYFUNCTION("""COMPUTED_VALUE"""),"")</f>
        <v/>
      </c>
      <c r="K599" s="510" t="str">
        <f>IFERROR(__xludf.DUMMYFUNCTION("""COMPUTED_VALUE"""),"")</f>
        <v/>
      </c>
      <c r="L599" s="508" t="str">
        <f>IFERROR(__xludf.DUMMYFUNCTION("""COMPUTED_VALUE"""),"")</f>
        <v/>
      </c>
      <c r="M599" s="508" t="str">
        <f>IFERROR(__xludf.DUMMYFUNCTION("""COMPUTED_VALUE"""),"")</f>
        <v/>
      </c>
      <c r="N599" s="508" t="str">
        <f>IFERROR(__xludf.DUMMYFUNCTION("""COMPUTED_VALUE"""),"")</f>
        <v/>
      </c>
      <c r="O599" s="508" t="str">
        <f>IFERROR(__xludf.DUMMYFUNCTION("""COMPUTED_VALUE"""),"")</f>
        <v/>
      </c>
      <c r="P599" s="510" t="str">
        <f>IFERROR(__xludf.DUMMYFUNCTION("""COMPUTED_VALUE"""),"")</f>
        <v/>
      </c>
      <c r="Q599" s="508" t="str">
        <f>IFERROR(__xludf.DUMMYFUNCTION("""COMPUTED_VALUE"""),"")</f>
        <v/>
      </c>
      <c r="R599" s="508" t="str">
        <f>IFERROR(__xludf.DUMMYFUNCTION("""COMPUTED_VALUE"""),"")</f>
        <v/>
      </c>
      <c r="S599" s="510" t="str">
        <f>IFERROR(__xludf.DUMMYFUNCTION("""COMPUTED_VALUE"""),"")</f>
        <v/>
      </c>
      <c r="T599" s="510" t="str">
        <f>IFERROR(__xludf.DUMMYFUNCTION("""COMPUTED_VALUE"""),"")</f>
        <v/>
      </c>
    </row>
    <row r="600">
      <c r="A600" s="508" t="str">
        <f>IFERROR(__xludf.DUMMYFUNCTION("""COMPUTED_VALUE"""),"")</f>
        <v/>
      </c>
      <c r="B600" s="508" t="str">
        <f>IFERROR(__xludf.DUMMYFUNCTION("""COMPUTED_VALUE"""),"")</f>
        <v/>
      </c>
      <c r="C600" s="508" t="str">
        <f>IFERROR(__xludf.DUMMYFUNCTION("""COMPUTED_VALUE"""),"")</f>
        <v/>
      </c>
      <c r="D600" s="508" t="str">
        <f>IFERROR(__xludf.DUMMYFUNCTION("""COMPUTED_VALUE"""),"")</f>
        <v/>
      </c>
      <c r="E600" s="508" t="str">
        <f>IFERROR(__xludf.DUMMYFUNCTION("""COMPUTED_VALUE"""),"")</f>
        <v/>
      </c>
      <c r="F600" s="508" t="str">
        <f>IFERROR(__xludf.DUMMYFUNCTION("""COMPUTED_VALUE"""),"")</f>
        <v/>
      </c>
      <c r="G600" s="510" t="str">
        <f>IFERROR(__xludf.DUMMYFUNCTION("""COMPUTED_VALUE"""),"")</f>
        <v/>
      </c>
      <c r="H600" s="508" t="str">
        <f>IFERROR(__xludf.DUMMYFUNCTION("""COMPUTED_VALUE"""),"")</f>
        <v/>
      </c>
      <c r="I600" s="510" t="str">
        <f>IFERROR(__xludf.DUMMYFUNCTION("""COMPUTED_VALUE"""),"")</f>
        <v/>
      </c>
      <c r="J600" s="508" t="str">
        <f>IFERROR(__xludf.DUMMYFUNCTION("""COMPUTED_VALUE"""),"")</f>
        <v/>
      </c>
      <c r="K600" s="510" t="str">
        <f>IFERROR(__xludf.DUMMYFUNCTION("""COMPUTED_VALUE"""),"")</f>
        <v/>
      </c>
      <c r="L600" s="508" t="str">
        <f>IFERROR(__xludf.DUMMYFUNCTION("""COMPUTED_VALUE"""),"")</f>
        <v/>
      </c>
      <c r="M600" s="508" t="str">
        <f>IFERROR(__xludf.DUMMYFUNCTION("""COMPUTED_VALUE"""),"")</f>
        <v/>
      </c>
      <c r="N600" s="508" t="str">
        <f>IFERROR(__xludf.DUMMYFUNCTION("""COMPUTED_VALUE"""),"")</f>
        <v/>
      </c>
      <c r="O600" s="508" t="str">
        <f>IFERROR(__xludf.DUMMYFUNCTION("""COMPUTED_VALUE"""),"")</f>
        <v/>
      </c>
      <c r="P600" s="510" t="str">
        <f>IFERROR(__xludf.DUMMYFUNCTION("""COMPUTED_VALUE"""),"")</f>
        <v/>
      </c>
      <c r="Q600" s="508" t="str">
        <f>IFERROR(__xludf.DUMMYFUNCTION("""COMPUTED_VALUE"""),"")</f>
        <v/>
      </c>
      <c r="R600" s="508" t="str">
        <f>IFERROR(__xludf.DUMMYFUNCTION("""COMPUTED_VALUE"""),"")</f>
        <v/>
      </c>
      <c r="S600" s="510" t="str">
        <f>IFERROR(__xludf.DUMMYFUNCTION("""COMPUTED_VALUE"""),"")</f>
        <v/>
      </c>
      <c r="T600" s="510" t="str">
        <f>IFERROR(__xludf.DUMMYFUNCTION("""COMPUTED_VALUE"""),"")</f>
        <v/>
      </c>
    </row>
    <row r="601">
      <c r="A601" s="508" t="str">
        <f>IFERROR(__xludf.DUMMYFUNCTION("""COMPUTED_VALUE"""),"")</f>
        <v/>
      </c>
      <c r="B601" s="508" t="str">
        <f>IFERROR(__xludf.DUMMYFUNCTION("""COMPUTED_VALUE"""),"")</f>
        <v/>
      </c>
      <c r="C601" s="508" t="str">
        <f>IFERROR(__xludf.DUMMYFUNCTION("""COMPUTED_VALUE"""),"")</f>
        <v/>
      </c>
      <c r="D601" s="508" t="str">
        <f>IFERROR(__xludf.DUMMYFUNCTION("""COMPUTED_VALUE"""),"")</f>
        <v/>
      </c>
      <c r="E601" s="508" t="str">
        <f>IFERROR(__xludf.DUMMYFUNCTION("""COMPUTED_VALUE"""),"")</f>
        <v/>
      </c>
      <c r="F601" s="508" t="str">
        <f>IFERROR(__xludf.DUMMYFUNCTION("""COMPUTED_VALUE"""),"")</f>
        <v/>
      </c>
      <c r="G601" s="510" t="str">
        <f>IFERROR(__xludf.DUMMYFUNCTION("""COMPUTED_VALUE"""),"")</f>
        <v/>
      </c>
      <c r="H601" s="508" t="str">
        <f>IFERROR(__xludf.DUMMYFUNCTION("""COMPUTED_VALUE"""),"")</f>
        <v/>
      </c>
      <c r="I601" s="510" t="str">
        <f>IFERROR(__xludf.DUMMYFUNCTION("""COMPUTED_VALUE"""),"")</f>
        <v/>
      </c>
      <c r="J601" s="508" t="str">
        <f>IFERROR(__xludf.DUMMYFUNCTION("""COMPUTED_VALUE"""),"")</f>
        <v/>
      </c>
      <c r="K601" s="510" t="str">
        <f>IFERROR(__xludf.DUMMYFUNCTION("""COMPUTED_VALUE"""),"")</f>
        <v/>
      </c>
      <c r="L601" s="508" t="str">
        <f>IFERROR(__xludf.DUMMYFUNCTION("""COMPUTED_VALUE"""),"")</f>
        <v/>
      </c>
      <c r="M601" s="508" t="str">
        <f>IFERROR(__xludf.DUMMYFUNCTION("""COMPUTED_VALUE"""),"")</f>
        <v/>
      </c>
      <c r="N601" s="508" t="str">
        <f>IFERROR(__xludf.DUMMYFUNCTION("""COMPUTED_VALUE"""),"")</f>
        <v/>
      </c>
      <c r="O601" s="508" t="str">
        <f>IFERROR(__xludf.DUMMYFUNCTION("""COMPUTED_VALUE"""),"")</f>
        <v/>
      </c>
      <c r="P601" s="510" t="str">
        <f>IFERROR(__xludf.DUMMYFUNCTION("""COMPUTED_VALUE"""),"")</f>
        <v/>
      </c>
      <c r="Q601" s="508" t="str">
        <f>IFERROR(__xludf.DUMMYFUNCTION("""COMPUTED_VALUE"""),"")</f>
        <v/>
      </c>
      <c r="R601" s="508" t="str">
        <f>IFERROR(__xludf.DUMMYFUNCTION("""COMPUTED_VALUE"""),"")</f>
        <v/>
      </c>
      <c r="S601" s="510" t="str">
        <f>IFERROR(__xludf.DUMMYFUNCTION("""COMPUTED_VALUE"""),"")</f>
        <v/>
      </c>
      <c r="T601" s="510" t="str">
        <f>IFERROR(__xludf.DUMMYFUNCTION("""COMPUTED_VALUE"""),"")</f>
        <v/>
      </c>
    </row>
    <row r="602">
      <c r="A602" s="508" t="str">
        <f>IFERROR(__xludf.DUMMYFUNCTION("""COMPUTED_VALUE"""),"")</f>
        <v/>
      </c>
      <c r="B602" s="508" t="str">
        <f>IFERROR(__xludf.DUMMYFUNCTION("""COMPUTED_VALUE"""),"")</f>
        <v/>
      </c>
      <c r="C602" s="508" t="str">
        <f>IFERROR(__xludf.DUMMYFUNCTION("""COMPUTED_VALUE"""),"")</f>
        <v/>
      </c>
      <c r="D602" s="508" t="str">
        <f>IFERROR(__xludf.DUMMYFUNCTION("""COMPUTED_VALUE"""),"")</f>
        <v/>
      </c>
      <c r="E602" s="508" t="str">
        <f>IFERROR(__xludf.DUMMYFUNCTION("""COMPUTED_VALUE"""),"")</f>
        <v/>
      </c>
      <c r="F602" s="508" t="str">
        <f>IFERROR(__xludf.DUMMYFUNCTION("""COMPUTED_VALUE"""),"")</f>
        <v/>
      </c>
      <c r="G602" s="510" t="str">
        <f>IFERROR(__xludf.DUMMYFUNCTION("""COMPUTED_VALUE"""),"")</f>
        <v/>
      </c>
      <c r="H602" s="508" t="str">
        <f>IFERROR(__xludf.DUMMYFUNCTION("""COMPUTED_VALUE"""),"")</f>
        <v/>
      </c>
      <c r="I602" s="510" t="str">
        <f>IFERROR(__xludf.DUMMYFUNCTION("""COMPUTED_VALUE"""),"")</f>
        <v/>
      </c>
      <c r="J602" s="508" t="str">
        <f>IFERROR(__xludf.DUMMYFUNCTION("""COMPUTED_VALUE"""),"")</f>
        <v/>
      </c>
      <c r="K602" s="510" t="str">
        <f>IFERROR(__xludf.DUMMYFUNCTION("""COMPUTED_VALUE"""),"")</f>
        <v/>
      </c>
      <c r="L602" s="508" t="str">
        <f>IFERROR(__xludf.DUMMYFUNCTION("""COMPUTED_VALUE"""),"")</f>
        <v/>
      </c>
      <c r="M602" s="508" t="str">
        <f>IFERROR(__xludf.DUMMYFUNCTION("""COMPUTED_VALUE"""),"")</f>
        <v/>
      </c>
      <c r="N602" s="508" t="str">
        <f>IFERROR(__xludf.DUMMYFUNCTION("""COMPUTED_VALUE"""),"")</f>
        <v/>
      </c>
      <c r="O602" s="508" t="str">
        <f>IFERROR(__xludf.DUMMYFUNCTION("""COMPUTED_VALUE"""),"")</f>
        <v/>
      </c>
      <c r="P602" s="510" t="str">
        <f>IFERROR(__xludf.DUMMYFUNCTION("""COMPUTED_VALUE"""),"")</f>
        <v/>
      </c>
      <c r="Q602" s="508" t="str">
        <f>IFERROR(__xludf.DUMMYFUNCTION("""COMPUTED_VALUE"""),"")</f>
        <v/>
      </c>
      <c r="R602" s="508" t="str">
        <f>IFERROR(__xludf.DUMMYFUNCTION("""COMPUTED_VALUE"""),"")</f>
        <v/>
      </c>
      <c r="S602" s="510" t="str">
        <f>IFERROR(__xludf.DUMMYFUNCTION("""COMPUTED_VALUE"""),"")</f>
        <v/>
      </c>
      <c r="T602" s="510" t="str">
        <f>IFERROR(__xludf.DUMMYFUNCTION("""COMPUTED_VALUE"""),"")</f>
        <v/>
      </c>
    </row>
    <row r="603">
      <c r="A603" s="508" t="str">
        <f>IFERROR(__xludf.DUMMYFUNCTION("""COMPUTED_VALUE"""),"")</f>
        <v/>
      </c>
      <c r="B603" s="508" t="str">
        <f>IFERROR(__xludf.DUMMYFUNCTION("""COMPUTED_VALUE"""),"")</f>
        <v/>
      </c>
      <c r="C603" s="508" t="str">
        <f>IFERROR(__xludf.DUMMYFUNCTION("""COMPUTED_VALUE"""),"")</f>
        <v/>
      </c>
      <c r="D603" s="508" t="str">
        <f>IFERROR(__xludf.DUMMYFUNCTION("""COMPUTED_VALUE"""),"")</f>
        <v/>
      </c>
      <c r="E603" s="508" t="str">
        <f>IFERROR(__xludf.DUMMYFUNCTION("""COMPUTED_VALUE"""),"")</f>
        <v/>
      </c>
      <c r="F603" s="508" t="str">
        <f>IFERROR(__xludf.DUMMYFUNCTION("""COMPUTED_VALUE"""),"")</f>
        <v/>
      </c>
      <c r="G603" s="510" t="str">
        <f>IFERROR(__xludf.DUMMYFUNCTION("""COMPUTED_VALUE"""),"")</f>
        <v/>
      </c>
      <c r="H603" s="508" t="str">
        <f>IFERROR(__xludf.DUMMYFUNCTION("""COMPUTED_VALUE"""),"")</f>
        <v/>
      </c>
      <c r="I603" s="510" t="str">
        <f>IFERROR(__xludf.DUMMYFUNCTION("""COMPUTED_VALUE"""),"")</f>
        <v/>
      </c>
      <c r="J603" s="508" t="str">
        <f>IFERROR(__xludf.DUMMYFUNCTION("""COMPUTED_VALUE"""),"")</f>
        <v/>
      </c>
      <c r="K603" s="510" t="str">
        <f>IFERROR(__xludf.DUMMYFUNCTION("""COMPUTED_VALUE"""),"")</f>
        <v/>
      </c>
      <c r="L603" s="508" t="str">
        <f>IFERROR(__xludf.DUMMYFUNCTION("""COMPUTED_VALUE"""),"")</f>
        <v/>
      </c>
      <c r="M603" s="508" t="str">
        <f>IFERROR(__xludf.DUMMYFUNCTION("""COMPUTED_VALUE"""),"")</f>
        <v/>
      </c>
      <c r="N603" s="508" t="str">
        <f>IFERROR(__xludf.DUMMYFUNCTION("""COMPUTED_VALUE"""),"")</f>
        <v/>
      </c>
      <c r="O603" s="508" t="str">
        <f>IFERROR(__xludf.DUMMYFUNCTION("""COMPUTED_VALUE"""),"")</f>
        <v/>
      </c>
      <c r="P603" s="510" t="str">
        <f>IFERROR(__xludf.DUMMYFUNCTION("""COMPUTED_VALUE"""),"")</f>
        <v/>
      </c>
      <c r="Q603" s="508" t="str">
        <f>IFERROR(__xludf.DUMMYFUNCTION("""COMPUTED_VALUE"""),"")</f>
        <v/>
      </c>
      <c r="R603" s="508" t="str">
        <f>IFERROR(__xludf.DUMMYFUNCTION("""COMPUTED_VALUE"""),"")</f>
        <v/>
      </c>
      <c r="S603" s="510" t="str">
        <f>IFERROR(__xludf.DUMMYFUNCTION("""COMPUTED_VALUE"""),"")</f>
        <v/>
      </c>
      <c r="T603" s="510" t="str">
        <f>IFERROR(__xludf.DUMMYFUNCTION("""COMPUTED_VALUE"""),"")</f>
        <v/>
      </c>
    </row>
    <row r="604">
      <c r="A604" s="508" t="str">
        <f>IFERROR(__xludf.DUMMYFUNCTION("""COMPUTED_VALUE"""),"")</f>
        <v/>
      </c>
      <c r="B604" s="508" t="str">
        <f>IFERROR(__xludf.DUMMYFUNCTION("""COMPUTED_VALUE"""),"")</f>
        <v/>
      </c>
      <c r="C604" s="508" t="str">
        <f>IFERROR(__xludf.DUMMYFUNCTION("""COMPUTED_VALUE"""),"")</f>
        <v/>
      </c>
      <c r="D604" s="508" t="str">
        <f>IFERROR(__xludf.DUMMYFUNCTION("""COMPUTED_VALUE"""),"")</f>
        <v/>
      </c>
      <c r="E604" s="508" t="str">
        <f>IFERROR(__xludf.DUMMYFUNCTION("""COMPUTED_VALUE"""),"")</f>
        <v/>
      </c>
      <c r="F604" s="508" t="str">
        <f>IFERROR(__xludf.DUMMYFUNCTION("""COMPUTED_VALUE"""),"")</f>
        <v/>
      </c>
      <c r="G604" s="510" t="str">
        <f>IFERROR(__xludf.DUMMYFUNCTION("""COMPUTED_VALUE"""),"")</f>
        <v/>
      </c>
      <c r="H604" s="508" t="str">
        <f>IFERROR(__xludf.DUMMYFUNCTION("""COMPUTED_VALUE"""),"")</f>
        <v/>
      </c>
      <c r="I604" s="510" t="str">
        <f>IFERROR(__xludf.DUMMYFUNCTION("""COMPUTED_VALUE"""),"")</f>
        <v/>
      </c>
      <c r="J604" s="508" t="str">
        <f>IFERROR(__xludf.DUMMYFUNCTION("""COMPUTED_VALUE"""),"")</f>
        <v/>
      </c>
      <c r="K604" s="510" t="str">
        <f>IFERROR(__xludf.DUMMYFUNCTION("""COMPUTED_VALUE"""),"")</f>
        <v/>
      </c>
      <c r="L604" s="508" t="str">
        <f>IFERROR(__xludf.DUMMYFUNCTION("""COMPUTED_VALUE"""),"")</f>
        <v/>
      </c>
      <c r="M604" s="508" t="str">
        <f>IFERROR(__xludf.DUMMYFUNCTION("""COMPUTED_VALUE"""),"")</f>
        <v/>
      </c>
      <c r="N604" s="508" t="str">
        <f>IFERROR(__xludf.DUMMYFUNCTION("""COMPUTED_VALUE"""),"")</f>
        <v/>
      </c>
      <c r="O604" s="508" t="str">
        <f>IFERROR(__xludf.DUMMYFUNCTION("""COMPUTED_VALUE"""),"")</f>
        <v/>
      </c>
      <c r="P604" s="510" t="str">
        <f>IFERROR(__xludf.DUMMYFUNCTION("""COMPUTED_VALUE"""),"")</f>
        <v/>
      </c>
      <c r="Q604" s="508" t="str">
        <f>IFERROR(__xludf.DUMMYFUNCTION("""COMPUTED_VALUE"""),"")</f>
        <v/>
      </c>
      <c r="R604" s="508" t="str">
        <f>IFERROR(__xludf.DUMMYFUNCTION("""COMPUTED_VALUE"""),"")</f>
        <v/>
      </c>
      <c r="S604" s="510" t="str">
        <f>IFERROR(__xludf.DUMMYFUNCTION("""COMPUTED_VALUE"""),"")</f>
        <v/>
      </c>
      <c r="T604" s="510" t="str">
        <f>IFERROR(__xludf.DUMMYFUNCTION("""COMPUTED_VALUE"""),"")</f>
        <v/>
      </c>
    </row>
    <row r="605">
      <c r="A605" s="508" t="str">
        <f>IFERROR(__xludf.DUMMYFUNCTION("""COMPUTED_VALUE"""),"")</f>
        <v/>
      </c>
      <c r="B605" s="508" t="str">
        <f>IFERROR(__xludf.DUMMYFUNCTION("""COMPUTED_VALUE"""),"")</f>
        <v/>
      </c>
      <c r="C605" s="508" t="str">
        <f>IFERROR(__xludf.DUMMYFUNCTION("""COMPUTED_VALUE"""),"")</f>
        <v/>
      </c>
      <c r="D605" s="508" t="str">
        <f>IFERROR(__xludf.DUMMYFUNCTION("""COMPUTED_VALUE"""),"")</f>
        <v/>
      </c>
      <c r="E605" s="508" t="str">
        <f>IFERROR(__xludf.DUMMYFUNCTION("""COMPUTED_VALUE"""),"")</f>
        <v/>
      </c>
      <c r="F605" s="508" t="str">
        <f>IFERROR(__xludf.DUMMYFUNCTION("""COMPUTED_VALUE"""),"")</f>
        <v/>
      </c>
      <c r="G605" s="510" t="str">
        <f>IFERROR(__xludf.DUMMYFUNCTION("""COMPUTED_VALUE"""),"")</f>
        <v/>
      </c>
      <c r="H605" s="508" t="str">
        <f>IFERROR(__xludf.DUMMYFUNCTION("""COMPUTED_VALUE"""),"")</f>
        <v/>
      </c>
      <c r="I605" s="510" t="str">
        <f>IFERROR(__xludf.DUMMYFUNCTION("""COMPUTED_VALUE"""),"")</f>
        <v/>
      </c>
      <c r="J605" s="508" t="str">
        <f>IFERROR(__xludf.DUMMYFUNCTION("""COMPUTED_VALUE"""),"")</f>
        <v/>
      </c>
      <c r="K605" s="510" t="str">
        <f>IFERROR(__xludf.DUMMYFUNCTION("""COMPUTED_VALUE"""),"")</f>
        <v/>
      </c>
      <c r="L605" s="508" t="str">
        <f>IFERROR(__xludf.DUMMYFUNCTION("""COMPUTED_VALUE"""),"")</f>
        <v/>
      </c>
      <c r="M605" s="508" t="str">
        <f>IFERROR(__xludf.DUMMYFUNCTION("""COMPUTED_VALUE"""),"")</f>
        <v/>
      </c>
      <c r="N605" s="508" t="str">
        <f>IFERROR(__xludf.DUMMYFUNCTION("""COMPUTED_VALUE"""),"")</f>
        <v/>
      </c>
      <c r="O605" s="508" t="str">
        <f>IFERROR(__xludf.DUMMYFUNCTION("""COMPUTED_VALUE"""),"")</f>
        <v/>
      </c>
      <c r="P605" s="510" t="str">
        <f>IFERROR(__xludf.DUMMYFUNCTION("""COMPUTED_VALUE"""),"")</f>
        <v/>
      </c>
      <c r="Q605" s="508" t="str">
        <f>IFERROR(__xludf.DUMMYFUNCTION("""COMPUTED_VALUE"""),"")</f>
        <v/>
      </c>
      <c r="R605" s="508" t="str">
        <f>IFERROR(__xludf.DUMMYFUNCTION("""COMPUTED_VALUE"""),"")</f>
        <v/>
      </c>
      <c r="S605" s="510" t="str">
        <f>IFERROR(__xludf.DUMMYFUNCTION("""COMPUTED_VALUE"""),"")</f>
        <v/>
      </c>
      <c r="T605" s="510" t="str">
        <f>IFERROR(__xludf.DUMMYFUNCTION("""COMPUTED_VALUE"""),"")</f>
        <v/>
      </c>
    </row>
    <row r="606">
      <c r="A606" s="508" t="str">
        <f>IFERROR(__xludf.DUMMYFUNCTION("""COMPUTED_VALUE"""),"")</f>
        <v/>
      </c>
      <c r="B606" s="508" t="str">
        <f>IFERROR(__xludf.DUMMYFUNCTION("""COMPUTED_VALUE"""),"")</f>
        <v/>
      </c>
      <c r="C606" s="508" t="str">
        <f>IFERROR(__xludf.DUMMYFUNCTION("""COMPUTED_VALUE"""),"")</f>
        <v/>
      </c>
      <c r="D606" s="508" t="str">
        <f>IFERROR(__xludf.DUMMYFUNCTION("""COMPUTED_VALUE"""),"")</f>
        <v/>
      </c>
      <c r="E606" s="508" t="str">
        <f>IFERROR(__xludf.DUMMYFUNCTION("""COMPUTED_VALUE"""),"")</f>
        <v/>
      </c>
      <c r="F606" s="508" t="str">
        <f>IFERROR(__xludf.DUMMYFUNCTION("""COMPUTED_VALUE"""),"")</f>
        <v/>
      </c>
      <c r="G606" s="510" t="str">
        <f>IFERROR(__xludf.DUMMYFUNCTION("""COMPUTED_VALUE"""),"")</f>
        <v/>
      </c>
      <c r="H606" s="508" t="str">
        <f>IFERROR(__xludf.DUMMYFUNCTION("""COMPUTED_VALUE"""),"")</f>
        <v/>
      </c>
      <c r="I606" s="510" t="str">
        <f>IFERROR(__xludf.DUMMYFUNCTION("""COMPUTED_VALUE"""),"")</f>
        <v/>
      </c>
      <c r="J606" s="508" t="str">
        <f>IFERROR(__xludf.DUMMYFUNCTION("""COMPUTED_VALUE"""),"")</f>
        <v/>
      </c>
      <c r="K606" s="510" t="str">
        <f>IFERROR(__xludf.DUMMYFUNCTION("""COMPUTED_VALUE"""),"")</f>
        <v/>
      </c>
      <c r="L606" s="508" t="str">
        <f>IFERROR(__xludf.DUMMYFUNCTION("""COMPUTED_VALUE"""),"")</f>
        <v/>
      </c>
      <c r="M606" s="508" t="str">
        <f>IFERROR(__xludf.DUMMYFUNCTION("""COMPUTED_VALUE"""),"")</f>
        <v/>
      </c>
      <c r="N606" s="508" t="str">
        <f>IFERROR(__xludf.DUMMYFUNCTION("""COMPUTED_VALUE"""),"")</f>
        <v/>
      </c>
      <c r="O606" s="508" t="str">
        <f>IFERROR(__xludf.DUMMYFUNCTION("""COMPUTED_VALUE"""),"")</f>
        <v/>
      </c>
      <c r="P606" s="510" t="str">
        <f>IFERROR(__xludf.DUMMYFUNCTION("""COMPUTED_VALUE"""),"")</f>
        <v/>
      </c>
      <c r="Q606" s="508" t="str">
        <f>IFERROR(__xludf.DUMMYFUNCTION("""COMPUTED_VALUE"""),"")</f>
        <v/>
      </c>
      <c r="R606" s="508" t="str">
        <f>IFERROR(__xludf.DUMMYFUNCTION("""COMPUTED_VALUE"""),"")</f>
        <v/>
      </c>
      <c r="S606" s="510" t="str">
        <f>IFERROR(__xludf.DUMMYFUNCTION("""COMPUTED_VALUE"""),"")</f>
        <v/>
      </c>
      <c r="T606" s="510" t="str">
        <f>IFERROR(__xludf.DUMMYFUNCTION("""COMPUTED_VALUE"""),"")</f>
        <v/>
      </c>
    </row>
    <row r="607">
      <c r="A607" s="508" t="str">
        <f>IFERROR(__xludf.DUMMYFUNCTION("""COMPUTED_VALUE"""),"")</f>
        <v/>
      </c>
      <c r="B607" s="508" t="str">
        <f>IFERROR(__xludf.DUMMYFUNCTION("""COMPUTED_VALUE"""),"")</f>
        <v/>
      </c>
      <c r="C607" s="508" t="str">
        <f>IFERROR(__xludf.DUMMYFUNCTION("""COMPUTED_VALUE"""),"")</f>
        <v/>
      </c>
      <c r="D607" s="508" t="str">
        <f>IFERROR(__xludf.DUMMYFUNCTION("""COMPUTED_VALUE"""),"")</f>
        <v/>
      </c>
      <c r="E607" s="508" t="str">
        <f>IFERROR(__xludf.DUMMYFUNCTION("""COMPUTED_VALUE"""),"")</f>
        <v/>
      </c>
      <c r="F607" s="508" t="str">
        <f>IFERROR(__xludf.DUMMYFUNCTION("""COMPUTED_VALUE"""),"")</f>
        <v/>
      </c>
      <c r="G607" s="510" t="str">
        <f>IFERROR(__xludf.DUMMYFUNCTION("""COMPUTED_VALUE"""),"")</f>
        <v/>
      </c>
      <c r="H607" s="508" t="str">
        <f>IFERROR(__xludf.DUMMYFUNCTION("""COMPUTED_VALUE"""),"")</f>
        <v/>
      </c>
      <c r="I607" s="510" t="str">
        <f>IFERROR(__xludf.DUMMYFUNCTION("""COMPUTED_VALUE"""),"")</f>
        <v/>
      </c>
      <c r="J607" s="508" t="str">
        <f>IFERROR(__xludf.DUMMYFUNCTION("""COMPUTED_VALUE"""),"")</f>
        <v/>
      </c>
      <c r="K607" s="510" t="str">
        <f>IFERROR(__xludf.DUMMYFUNCTION("""COMPUTED_VALUE"""),"")</f>
        <v/>
      </c>
      <c r="L607" s="508" t="str">
        <f>IFERROR(__xludf.DUMMYFUNCTION("""COMPUTED_VALUE"""),"")</f>
        <v/>
      </c>
      <c r="M607" s="508" t="str">
        <f>IFERROR(__xludf.DUMMYFUNCTION("""COMPUTED_VALUE"""),"")</f>
        <v/>
      </c>
      <c r="N607" s="508" t="str">
        <f>IFERROR(__xludf.DUMMYFUNCTION("""COMPUTED_VALUE"""),"")</f>
        <v/>
      </c>
      <c r="O607" s="508" t="str">
        <f>IFERROR(__xludf.DUMMYFUNCTION("""COMPUTED_VALUE"""),"")</f>
        <v/>
      </c>
      <c r="P607" s="510" t="str">
        <f>IFERROR(__xludf.DUMMYFUNCTION("""COMPUTED_VALUE"""),"")</f>
        <v/>
      </c>
      <c r="Q607" s="508" t="str">
        <f>IFERROR(__xludf.DUMMYFUNCTION("""COMPUTED_VALUE"""),"")</f>
        <v/>
      </c>
      <c r="R607" s="508" t="str">
        <f>IFERROR(__xludf.DUMMYFUNCTION("""COMPUTED_VALUE"""),"")</f>
        <v/>
      </c>
      <c r="S607" s="510" t="str">
        <f>IFERROR(__xludf.DUMMYFUNCTION("""COMPUTED_VALUE"""),"")</f>
        <v/>
      </c>
      <c r="T607" s="510" t="str">
        <f>IFERROR(__xludf.DUMMYFUNCTION("""COMPUTED_VALUE"""),"")</f>
        <v/>
      </c>
    </row>
    <row r="608">
      <c r="A608" s="508" t="str">
        <f>IFERROR(__xludf.DUMMYFUNCTION("""COMPUTED_VALUE"""),"")</f>
        <v/>
      </c>
      <c r="B608" s="508" t="str">
        <f>IFERROR(__xludf.DUMMYFUNCTION("""COMPUTED_VALUE"""),"")</f>
        <v/>
      </c>
      <c r="C608" s="508" t="str">
        <f>IFERROR(__xludf.DUMMYFUNCTION("""COMPUTED_VALUE"""),"")</f>
        <v/>
      </c>
      <c r="D608" s="508" t="str">
        <f>IFERROR(__xludf.DUMMYFUNCTION("""COMPUTED_VALUE"""),"")</f>
        <v/>
      </c>
      <c r="E608" s="508" t="str">
        <f>IFERROR(__xludf.DUMMYFUNCTION("""COMPUTED_VALUE"""),"")</f>
        <v/>
      </c>
      <c r="F608" s="508" t="str">
        <f>IFERROR(__xludf.DUMMYFUNCTION("""COMPUTED_VALUE"""),"")</f>
        <v/>
      </c>
      <c r="G608" s="510" t="str">
        <f>IFERROR(__xludf.DUMMYFUNCTION("""COMPUTED_VALUE"""),"")</f>
        <v/>
      </c>
      <c r="H608" s="508" t="str">
        <f>IFERROR(__xludf.DUMMYFUNCTION("""COMPUTED_VALUE"""),"")</f>
        <v/>
      </c>
      <c r="I608" s="510" t="str">
        <f>IFERROR(__xludf.DUMMYFUNCTION("""COMPUTED_VALUE"""),"")</f>
        <v/>
      </c>
      <c r="J608" s="508" t="str">
        <f>IFERROR(__xludf.DUMMYFUNCTION("""COMPUTED_VALUE"""),"")</f>
        <v/>
      </c>
      <c r="K608" s="510" t="str">
        <f>IFERROR(__xludf.DUMMYFUNCTION("""COMPUTED_VALUE"""),"")</f>
        <v/>
      </c>
      <c r="L608" s="508" t="str">
        <f>IFERROR(__xludf.DUMMYFUNCTION("""COMPUTED_VALUE"""),"")</f>
        <v/>
      </c>
      <c r="M608" s="508" t="str">
        <f>IFERROR(__xludf.DUMMYFUNCTION("""COMPUTED_VALUE"""),"")</f>
        <v/>
      </c>
      <c r="N608" s="508" t="str">
        <f>IFERROR(__xludf.DUMMYFUNCTION("""COMPUTED_VALUE"""),"")</f>
        <v/>
      </c>
      <c r="O608" s="508" t="str">
        <f>IFERROR(__xludf.DUMMYFUNCTION("""COMPUTED_VALUE"""),"")</f>
        <v/>
      </c>
      <c r="P608" s="510" t="str">
        <f>IFERROR(__xludf.DUMMYFUNCTION("""COMPUTED_VALUE"""),"")</f>
        <v/>
      </c>
      <c r="Q608" s="508" t="str">
        <f>IFERROR(__xludf.DUMMYFUNCTION("""COMPUTED_VALUE"""),"")</f>
        <v/>
      </c>
      <c r="R608" s="508" t="str">
        <f>IFERROR(__xludf.DUMMYFUNCTION("""COMPUTED_VALUE"""),"")</f>
        <v/>
      </c>
      <c r="S608" s="510" t="str">
        <f>IFERROR(__xludf.DUMMYFUNCTION("""COMPUTED_VALUE"""),"")</f>
        <v/>
      </c>
      <c r="T608" s="510" t="str">
        <f>IFERROR(__xludf.DUMMYFUNCTION("""COMPUTED_VALUE"""),"")</f>
        <v/>
      </c>
    </row>
    <row r="609">
      <c r="A609" s="508" t="str">
        <f>IFERROR(__xludf.DUMMYFUNCTION("""COMPUTED_VALUE"""),"")</f>
        <v/>
      </c>
      <c r="B609" s="508" t="str">
        <f>IFERROR(__xludf.DUMMYFUNCTION("""COMPUTED_VALUE"""),"")</f>
        <v/>
      </c>
      <c r="C609" s="508" t="str">
        <f>IFERROR(__xludf.DUMMYFUNCTION("""COMPUTED_VALUE"""),"")</f>
        <v/>
      </c>
      <c r="D609" s="508" t="str">
        <f>IFERROR(__xludf.DUMMYFUNCTION("""COMPUTED_VALUE"""),"")</f>
        <v/>
      </c>
      <c r="E609" s="508" t="str">
        <f>IFERROR(__xludf.DUMMYFUNCTION("""COMPUTED_VALUE"""),"")</f>
        <v/>
      </c>
      <c r="F609" s="508" t="str">
        <f>IFERROR(__xludf.DUMMYFUNCTION("""COMPUTED_VALUE"""),"")</f>
        <v/>
      </c>
      <c r="G609" s="510" t="str">
        <f>IFERROR(__xludf.DUMMYFUNCTION("""COMPUTED_VALUE"""),"")</f>
        <v/>
      </c>
      <c r="H609" s="508" t="str">
        <f>IFERROR(__xludf.DUMMYFUNCTION("""COMPUTED_VALUE"""),"")</f>
        <v/>
      </c>
      <c r="I609" s="510" t="str">
        <f>IFERROR(__xludf.DUMMYFUNCTION("""COMPUTED_VALUE"""),"")</f>
        <v/>
      </c>
      <c r="J609" s="508" t="str">
        <f>IFERROR(__xludf.DUMMYFUNCTION("""COMPUTED_VALUE"""),"")</f>
        <v/>
      </c>
      <c r="K609" s="510" t="str">
        <f>IFERROR(__xludf.DUMMYFUNCTION("""COMPUTED_VALUE"""),"")</f>
        <v/>
      </c>
      <c r="L609" s="508" t="str">
        <f>IFERROR(__xludf.DUMMYFUNCTION("""COMPUTED_VALUE"""),"")</f>
        <v/>
      </c>
      <c r="M609" s="508" t="str">
        <f>IFERROR(__xludf.DUMMYFUNCTION("""COMPUTED_VALUE"""),"")</f>
        <v/>
      </c>
      <c r="N609" s="508" t="str">
        <f>IFERROR(__xludf.DUMMYFUNCTION("""COMPUTED_VALUE"""),"")</f>
        <v/>
      </c>
      <c r="O609" s="508" t="str">
        <f>IFERROR(__xludf.DUMMYFUNCTION("""COMPUTED_VALUE"""),"")</f>
        <v/>
      </c>
      <c r="P609" s="510" t="str">
        <f>IFERROR(__xludf.DUMMYFUNCTION("""COMPUTED_VALUE"""),"")</f>
        <v/>
      </c>
      <c r="Q609" s="508" t="str">
        <f>IFERROR(__xludf.DUMMYFUNCTION("""COMPUTED_VALUE"""),"")</f>
        <v/>
      </c>
      <c r="R609" s="508" t="str">
        <f>IFERROR(__xludf.DUMMYFUNCTION("""COMPUTED_VALUE"""),"")</f>
        <v/>
      </c>
      <c r="S609" s="510" t="str">
        <f>IFERROR(__xludf.DUMMYFUNCTION("""COMPUTED_VALUE"""),"")</f>
        <v/>
      </c>
      <c r="T609" s="510" t="str">
        <f>IFERROR(__xludf.DUMMYFUNCTION("""COMPUTED_VALUE"""),"")</f>
        <v/>
      </c>
    </row>
    <row r="610">
      <c r="A610" s="508" t="str">
        <f>IFERROR(__xludf.DUMMYFUNCTION("""COMPUTED_VALUE"""),"")</f>
        <v/>
      </c>
      <c r="B610" s="508" t="str">
        <f>IFERROR(__xludf.DUMMYFUNCTION("""COMPUTED_VALUE"""),"")</f>
        <v/>
      </c>
      <c r="C610" s="508" t="str">
        <f>IFERROR(__xludf.DUMMYFUNCTION("""COMPUTED_VALUE"""),"")</f>
        <v/>
      </c>
      <c r="D610" s="508" t="str">
        <f>IFERROR(__xludf.DUMMYFUNCTION("""COMPUTED_VALUE"""),"")</f>
        <v/>
      </c>
      <c r="E610" s="508" t="str">
        <f>IFERROR(__xludf.DUMMYFUNCTION("""COMPUTED_VALUE"""),"")</f>
        <v/>
      </c>
      <c r="F610" s="508" t="str">
        <f>IFERROR(__xludf.DUMMYFUNCTION("""COMPUTED_VALUE"""),"")</f>
        <v/>
      </c>
      <c r="G610" s="510" t="str">
        <f>IFERROR(__xludf.DUMMYFUNCTION("""COMPUTED_VALUE"""),"")</f>
        <v/>
      </c>
      <c r="H610" s="508" t="str">
        <f>IFERROR(__xludf.DUMMYFUNCTION("""COMPUTED_VALUE"""),"")</f>
        <v/>
      </c>
      <c r="I610" s="510" t="str">
        <f>IFERROR(__xludf.DUMMYFUNCTION("""COMPUTED_VALUE"""),"")</f>
        <v/>
      </c>
      <c r="J610" s="508" t="str">
        <f>IFERROR(__xludf.DUMMYFUNCTION("""COMPUTED_VALUE"""),"")</f>
        <v/>
      </c>
      <c r="K610" s="510" t="str">
        <f>IFERROR(__xludf.DUMMYFUNCTION("""COMPUTED_VALUE"""),"")</f>
        <v/>
      </c>
      <c r="L610" s="508" t="str">
        <f>IFERROR(__xludf.DUMMYFUNCTION("""COMPUTED_VALUE"""),"")</f>
        <v/>
      </c>
      <c r="M610" s="508" t="str">
        <f>IFERROR(__xludf.DUMMYFUNCTION("""COMPUTED_VALUE"""),"")</f>
        <v/>
      </c>
      <c r="N610" s="508" t="str">
        <f>IFERROR(__xludf.DUMMYFUNCTION("""COMPUTED_VALUE"""),"")</f>
        <v/>
      </c>
      <c r="O610" s="508" t="str">
        <f>IFERROR(__xludf.DUMMYFUNCTION("""COMPUTED_VALUE"""),"")</f>
        <v/>
      </c>
      <c r="P610" s="510" t="str">
        <f>IFERROR(__xludf.DUMMYFUNCTION("""COMPUTED_VALUE"""),"")</f>
        <v/>
      </c>
      <c r="Q610" s="508" t="str">
        <f>IFERROR(__xludf.DUMMYFUNCTION("""COMPUTED_VALUE"""),"")</f>
        <v/>
      </c>
      <c r="R610" s="508" t="str">
        <f>IFERROR(__xludf.DUMMYFUNCTION("""COMPUTED_VALUE"""),"")</f>
        <v/>
      </c>
      <c r="S610" s="510" t="str">
        <f>IFERROR(__xludf.DUMMYFUNCTION("""COMPUTED_VALUE"""),"")</f>
        <v/>
      </c>
      <c r="T610" s="510" t="str">
        <f>IFERROR(__xludf.DUMMYFUNCTION("""COMPUTED_VALUE"""),"")</f>
        <v/>
      </c>
    </row>
    <row r="611">
      <c r="A611" s="508" t="str">
        <f>IFERROR(__xludf.DUMMYFUNCTION("""COMPUTED_VALUE"""),"")</f>
        <v/>
      </c>
      <c r="B611" s="508" t="str">
        <f>IFERROR(__xludf.DUMMYFUNCTION("""COMPUTED_VALUE"""),"")</f>
        <v/>
      </c>
      <c r="C611" s="508" t="str">
        <f>IFERROR(__xludf.DUMMYFUNCTION("""COMPUTED_VALUE"""),"")</f>
        <v/>
      </c>
      <c r="D611" s="508" t="str">
        <f>IFERROR(__xludf.DUMMYFUNCTION("""COMPUTED_VALUE"""),"")</f>
        <v/>
      </c>
      <c r="E611" s="508" t="str">
        <f>IFERROR(__xludf.DUMMYFUNCTION("""COMPUTED_VALUE"""),"")</f>
        <v/>
      </c>
      <c r="F611" s="508" t="str">
        <f>IFERROR(__xludf.DUMMYFUNCTION("""COMPUTED_VALUE"""),"")</f>
        <v/>
      </c>
      <c r="G611" s="510" t="str">
        <f>IFERROR(__xludf.DUMMYFUNCTION("""COMPUTED_VALUE"""),"")</f>
        <v/>
      </c>
      <c r="H611" s="508" t="str">
        <f>IFERROR(__xludf.DUMMYFUNCTION("""COMPUTED_VALUE"""),"")</f>
        <v/>
      </c>
      <c r="I611" s="510" t="str">
        <f>IFERROR(__xludf.DUMMYFUNCTION("""COMPUTED_VALUE"""),"")</f>
        <v/>
      </c>
      <c r="J611" s="508" t="str">
        <f>IFERROR(__xludf.DUMMYFUNCTION("""COMPUTED_VALUE"""),"")</f>
        <v/>
      </c>
      <c r="K611" s="510" t="str">
        <f>IFERROR(__xludf.DUMMYFUNCTION("""COMPUTED_VALUE"""),"")</f>
        <v/>
      </c>
      <c r="L611" s="508" t="str">
        <f>IFERROR(__xludf.DUMMYFUNCTION("""COMPUTED_VALUE"""),"")</f>
        <v/>
      </c>
      <c r="M611" s="508" t="str">
        <f>IFERROR(__xludf.DUMMYFUNCTION("""COMPUTED_VALUE"""),"")</f>
        <v/>
      </c>
      <c r="N611" s="508" t="str">
        <f>IFERROR(__xludf.DUMMYFUNCTION("""COMPUTED_VALUE"""),"")</f>
        <v/>
      </c>
      <c r="O611" s="508" t="str">
        <f>IFERROR(__xludf.DUMMYFUNCTION("""COMPUTED_VALUE"""),"")</f>
        <v/>
      </c>
      <c r="P611" s="510" t="str">
        <f>IFERROR(__xludf.DUMMYFUNCTION("""COMPUTED_VALUE"""),"")</f>
        <v/>
      </c>
      <c r="Q611" s="508" t="str">
        <f>IFERROR(__xludf.DUMMYFUNCTION("""COMPUTED_VALUE"""),"")</f>
        <v/>
      </c>
      <c r="R611" s="508" t="str">
        <f>IFERROR(__xludf.DUMMYFUNCTION("""COMPUTED_VALUE"""),"")</f>
        <v/>
      </c>
      <c r="S611" s="510" t="str">
        <f>IFERROR(__xludf.DUMMYFUNCTION("""COMPUTED_VALUE"""),"")</f>
        <v/>
      </c>
      <c r="T611" s="510" t="str">
        <f>IFERROR(__xludf.DUMMYFUNCTION("""COMPUTED_VALUE"""),"")</f>
        <v/>
      </c>
    </row>
    <row r="612">
      <c r="A612" s="508" t="str">
        <f>IFERROR(__xludf.DUMMYFUNCTION("""COMPUTED_VALUE"""),"")</f>
        <v/>
      </c>
      <c r="B612" s="508" t="str">
        <f>IFERROR(__xludf.DUMMYFUNCTION("""COMPUTED_VALUE"""),"")</f>
        <v/>
      </c>
      <c r="C612" s="508" t="str">
        <f>IFERROR(__xludf.DUMMYFUNCTION("""COMPUTED_VALUE"""),"")</f>
        <v/>
      </c>
      <c r="D612" s="508" t="str">
        <f>IFERROR(__xludf.DUMMYFUNCTION("""COMPUTED_VALUE"""),"")</f>
        <v/>
      </c>
      <c r="E612" s="508" t="str">
        <f>IFERROR(__xludf.DUMMYFUNCTION("""COMPUTED_VALUE"""),"")</f>
        <v/>
      </c>
      <c r="F612" s="508" t="str">
        <f>IFERROR(__xludf.DUMMYFUNCTION("""COMPUTED_VALUE"""),"")</f>
        <v/>
      </c>
      <c r="G612" s="510" t="str">
        <f>IFERROR(__xludf.DUMMYFUNCTION("""COMPUTED_VALUE"""),"")</f>
        <v/>
      </c>
      <c r="H612" s="508" t="str">
        <f>IFERROR(__xludf.DUMMYFUNCTION("""COMPUTED_VALUE"""),"")</f>
        <v/>
      </c>
      <c r="I612" s="510" t="str">
        <f>IFERROR(__xludf.DUMMYFUNCTION("""COMPUTED_VALUE"""),"")</f>
        <v/>
      </c>
      <c r="J612" s="508" t="str">
        <f>IFERROR(__xludf.DUMMYFUNCTION("""COMPUTED_VALUE"""),"")</f>
        <v/>
      </c>
      <c r="K612" s="510" t="str">
        <f>IFERROR(__xludf.DUMMYFUNCTION("""COMPUTED_VALUE"""),"")</f>
        <v/>
      </c>
      <c r="L612" s="508" t="str">
        <f>IFERROR(__xludf.DUMMYFUNCTION("""COMPUTED_VALUE"""),"")</f>
        <v/>
      </c>
      <c r="M612" s="508" t="str">
        <f>IFERROR(__xludf.DUMMYFUNCTION("""COMPUTED_VALUE"""),"")</f>
        <v/>
      </c>
      <c r="N612" s="508" t="str">
        <f>IFERROR(__xludf.DUMMYFUNCTION("""COMPUTED_VALUE"""),"")</f>
        <v/>
      </c>
      <c r="O612" s="508" t="str">
        <f>IFERROR(__xludf.DUMMYFUNCTION("""COMPUTED_VALUE"""),"")</f>
        <v/>
      </c>
      <c r="P612" s="510" t="str">
        <f>IFERROR(__xludf.DUMMYFUNCTION("""COMPUTED_VALUE"""),"")</f>
        <v/>
      </c>
      <c r="Q612" s="508" t="str">
        <f>IFERROR(__xludf.DUMMYFUNCTION("""COMPUTED_VALUE"""),"")</f>
        <v/>
      </c>
      <c r="R612" s="508" t="str">
        <f>IFERROR(__xludf.DUMMYFUNCTION("""COMPUTED_VALUE"""),"")</f>
        <v/>
      </c>
      <c r="S612" s="510" t="str">
        <f>IFERROR(__xludf.DUMMYFUNCTION("""COMPUTED_VALUE"""),"")</f>
        <v/>
      </c>
      <c r="T612" s="510" t="str">
        <f>IFERROR(__xludf.DUMMYFUNCTION("""COMPUTED_VALUE"""),"")</f>
        <v/>
      </c>
    </row>
    <row r="613">
      <c r="A613" s="508" t="str">
        <f>IFERROR(__xludf.DUMMYFUNCTION("""COMPUTED_VALUE"""),"")</f>
        <v/>
      </c>
      <c r="B613" s="508" t="str">
        <f>IFERROR(__xludf.DUMMYFUNCTION("""COMPUTED_VALUE"""),"")</f>
        <v/>
      </c>
      <c r="C613" s="508" t="str">
        <f>IFERROR(__xludf.DUMMYFUNCTION("""COMPUTED_VALUE"""),"")</f>
        <v/>
      </c>
      <c r="D613" s="508" t="str">
        <f>IFERROR(__xludf.DUMMYFUNCTION("""COMPUTED_VALUE"""),"")</f>
        <v/>
      </c>
      <c r="E613" s="508" t="str">
        <f>IFERROR(__xludf.DUMMYFUNCTION("""COMPUTED_VALUE"""),"")</f>
        <v/>
      </c>
      <c r="F613" s="508" t="str">
        <f>IFERROR(__xludf.DUMMYFUNCTION("""COMPUTED_VALUE"""),"")</f>
        <v/>
      </c>
      <c r="G613" s="510" t="str">
        <f>IFERROR(__xludf.DUMMYFUNCTION("""COMPUTED_VALUE"""),"")</f>
        <v/>
      </c>
      <c r="H613" s="508" t="str">
        <f>IFERROR(__xludf.DUMMYFUNCTION("""COMPUTED_VALUE"""),"")</f>
        <v/>
      </c>
      <c r="I613" s="510" t="str">
        <f>IFERROR(__xludf.DUMMYFUNCTION("""COMPUTED_VALUE"""),"")</f>
        <v/>
      </c>
      <c r="J613" s="508" t="str">
        <f>IFERROR(__xludf.DUMMYFUNCTION("""COMPUTED_VALUE"""),"")</f>
        <v/>
      </c>
      <c r="K613" s="510" t="str">
        <f>IFERROR(__xludf.DUMMYFUNCTION("""COMPUTED_VALUE"""),"")</f>
        <v/>
      </c>
      <c r="L613" s="508" t="str">
        <f>IFERROR(__xludf.DUMMYFUNCTION("""COMPUTED_VALUE"""),"")</f>
        <v/>
      </c>
      <c r="M613" s="508" t="str">
        <f>IFERROR(__xludf.DUMMYFUNCTION("""COMPUTED_VALUE"""),"")</f>
        <v/>
      </c>
      <c r="N613" s="508" t="str">
        <f>IFERROR(__xludf.DUMMYFUNCTION("""COMPUTED_VALUE"""),"")</f>
        <v/>
      </c>
      <c r="O613" s="508" t="str">
        <f>IFERROR(__xludf.DUMMYFUNCTION("""COMPUTED_VALUE"""),"")</f>
        <v/>
      </c>
      <c r="P613" s="510" t="str">
        <f>IFERROR(__xludf.DUMMYFUNCTION("""COMPUTED_VALUE"""),"")</f>
        <v/>
      </c>
      <c r="Q613" s="508" t="str">
        <f>IFERROR(__xludf.DUMMYFUNCTION("""COMPUTED_VALUE"""),"")</f>
        <v/>
      </c>
      <c r="R613" s="508" t="str">
        <f>IFERROR(__xludf.DUMMYFUNCTION("""COMPUTED_VALUE"""),"")</f>
        <v/>
      </c>
      <c r="S613" s="510" t="str">
        <f>IFERROR(__xludf.DUMMYFUNCTION("""COMPUTED_VALUE"""),"")</f>
        <v/>
      </c>
      <c r="T613" s="510" t="str">
        <f>IFERROR(__xludf.DUMMYFUNCTION("""COMPUTED_VALUE"""),"")</f>
        <v/>
      </c>
    </row>
    <row r="614">
      <c r="A614" s="508" t="str">
        <f>IFERROR(__xludf.DUMMYFUNCTION("""COMPUTED_VALUE"""),"")</f>
        <v/>
      </c>
      <c r="B614" s="508" t="str">
        <f>IFERROR(__xludf.DUMMYFUNCTION("""COMPUTED_VALUE"""),"")</f>
        <v/>
      </c>
      <c r="C614" s="508" t="str">
        <f>IFERROR(__xludf.DUMMYFUNCTION("""COMPUTED_VALUE"""),"")</f>
        <v/>
      </c>
      <c r="D614" s="508" t="str">
        <f>IFERROR(__xludf.DUMMYFUNCTION("""COMPUTED_VALUE"""),"")</f>
        <v/>
      </c>
      <c r="E614" s="508" t="str">
        <f>IFERROR(__xludf.DUMMYFUNCTION("""COMPUTED_VALUE"""),"")</f>
        <v/>
      </c>
      <c r="F614" s="508" t="str">
        <f>IFERROR(__xludf.DUMMYFUNCTION("""COMPUTED_VALUE"""),"")</f>
        <v/>
      </c>
      <c r="G614" s="510" t="str">
        <f>IFERROR(__xludf.DUMMYFUNCTION("""COMPUTED_VALUE"""),"")</f>
        <v/>
      </c>
      <c r="H614" s="508" t="str">
        <f>IFERROR(__xludf.DUMMYFUNCTION("""COMPUTED_VALUE"""),"")</f>
        <v/>
      </c>
      <c r="I614" s="510" t="str">
        <f>IFERROR(__xludf.DUMMYFUNCTION("""COMPUTED_VALUE"""),"")</f>
        <v/>
      </c>
      <c r="J614" s="508" t="str">
        <f>IFERROR(__xludf.DUMMYFUNCTION("""COMPUTED_VALUE"""),"")</f>
        <v/>
      </c>
      <c r="K614" s="510" t="str">
        <f>IFERROR(__xludf.DUMMYFUNCTION("""COMPUTED_VALUE"""),"")</f>
        <v/>
      </c>
      <c r="L614" s="508" t="str">
        <f>IFERROR(__xludf.DUMMYFUNCTION("""COMPUTED_VALUE"""),"")</f>
        <v/>
      </c>
      <c r="M614" s="508" t="str">
        <f>IFERROR(__xludf.DUMMYFUNCTION("""COMPUTED_VALUE"""),"")</f>
        <v/>
      </c>
      <c r="N614" s="508" t="str">
        <f>IFERROR(__xludf.DUMMYFUNCTION("""COMPUTED_VALUE"""),"")</f>
        <v/>
      </c>
      <c r="O614" s="508" t="str">
        <f>IFERROR(__xludf.DUMMYFUNCTION("""COMPUTED_VALUE"""),"")</f>
        <v/>
      </c>
      <c r="P614" s="510" t="str">
        <f>IFERROR(__xludf.DUMMYFUNCTION("""COMPUTED_VALUE"""),"")</f>
        <v/>
      </c>
      <c r="Q614" s="508" t="str">
        <f>IFERROR(__xludf.DUMMYFUNCTION("""COMPUTED_VALUE"""),"")</f>
        <v/>
      </c>
      <c r="R614" s="508" t="str">
        <f>IFERROR(__xludf.DUMMYFUNCTION("""COMPUTED_VALUE"""),"")</f>
        <v/>
      </c>
      <c r="S614" s="510" t="str">
        <f>IFERROR(__xludf.DUMMYFUNCTION("""COMPUTED_VALUE"""),"")</f>
        <v/>
      </c>
      <c r="T614" s="510" t="str">
        <f>IFERROR(__xludf.DUMMYFUNCTION("""COMPUTED_VALUE"""),"")</f>
        <v/>
      </c>
    </row>
    <row r="615">
      <c r="A615" s="508" t="str">
        <f>IFERROR(__xludf.DUMMYFUNCTION("""COMPUTED_VALUE"""),"")</f>
        <v/>
      </c>
      <c r="B615" s="508" t="str">
        <f>IFERROR(__xludf.DUMMYFUNCTION("""COMPUTED_VALUE"""),"")</f>
        <v/>
      </c>
      <c r="C615" s="508" t="str">
        <f>IFERROR(__xludf.DUMMYFUNCTION("""COMPUTED_VALUE"""),"")</f>
        <v/>
      </c>
      <c r="D615" s="508" t="str">
        <f>IFERROR(__xludf.DUMMYFUNCTION("""COMPUTED_VALUE"""),"")</f>
        <v/>
      </c>
      <c r="E615" s="508" t="str">
        <f>IFERROR(__xludf.DUMMYFUNCTION("""COMPUTED_VALUE"""),"")</f>
        <v/>
      </c>
      <c r="F615" s="508" t="str">
        <f>IFERROR(__xludf.DUMMYFUNCTION("""COMPUTED_VALUE"""),"")</f>
        <v/>
      </c>
      <c r="G615" s="510" t="str">
        <f>IFERROR(__xludf.DUMMYFUNCTION("""COMPUTED_VALUE"""),"")</f>
        <v/>
      </c>
      <c r="H615" s="508" t="str">
        <f>IFERROR(__xludf.DUMMYFUNCTION("""COMPUTED_VALUE"""),"")</f>
        <v/>
      </c>
      <c r="I615" s="510" t="str">
        <f>IFERROR(__xludf.DUMMYFUNCTION("""COMPUTED_VALUE"""),"")</f>
        <v/>
      </c>
      <c r="J615" s="508" t="str">
        <f>IFERROR(__xludf.DUMMYFUNCTION("""COMPUTED_VALUE"""),"")</f>
        <v/>
      </c>
      <c r="K615" s="510" t="str">
        <f>IFERROR(__xludf.DUMMYFUNCTION("""COMPUTED_VALUE"""),"")</f>
        <v/>
      </c>
      <c r="L615" s="508" t="str">
        <f>IFERROR(__xludf.DUMMYFUNCTION("""COMPUTED_VALUE"""),"")</f>
        <v/>
      </c>
      <c r="M615" s="508" t="str">
        <f>IFERROR(__xludf.DUMMYFUNCTION("""COMPUTED_VALUE"""),"")</f>
        <v/>
      </c>
      <c r="N615" s="508" t="str">
        <f>IFERROR(__xludf.DUMMYFUNCTION("""COMPUTED_VALUE"""),"")</f>
        <v/>
      </c>
      <c r="O615" s="508" t="str">
        <f>IFERROR(__xludf.DUMMYFUNCTION("""COMPUTED_VALUE"""),"")</f>
        <v/>
      </c>
      <c r="P615" s="510" t="str">
        <f>IFERROR(__xludf.DUMMYFUNCTION("""COMPUTED_VALUE"""),"")</f>
        <v/>
      </c>
      <c r="Q615" s="508" t="str">
        <f>IFERROR(__xludf.DUMMYFUNCTION("""COMPUTED_VALUE"""),"")</f>
        <v/>
      </c>
      <c r="R615" s="508" t="str">
        <f>IFERROR(__xludf.DUMMYFUNCTION("""COMPUTED_VALUE"""),"")</f>
        <v/>
      </c>
      <c r="S615" s="510" t="str">
        <f>IFERROR(__xludf.DUMMYFUNCTION("""COMPUTED_VALUE"""),"")</f>
        <v/>
      </c>
      <c r="T615" s="510" t="str">
        <f>IFERROR(__xludf.DUMMYFUNCTION("""COMPUTED_VALUE"""),"")</f>
        <v/>
      </c>
    </row>
    <row r="616">
      <c r="A616" s="508" t="str">
        <f>IFERROR(__xludf.DUMMYFUNCTION("""COMPUTED_VALUE"""),"")</f>
        <v/>
      </c>
      <c r="B616" s="508" t="str">
        <f>IFERROR(__xludf.DUMMYFUNCTION("""COMPUTED_VALUE"""),"")</f>
        <v/>
      </c>
      <c r="C616" s="508" t="str">
        <f>IFERROR(__xludf.DUMMYFUNCTION("""COMPUTED_VALUE"""),"")</f>
        <v/>
      </c>
      <c r="D616" s="508" t="str">
        <f>IFERROR(__xludf.DUMMYFUNCTION("""COMPUTED_VALUE"""),"")</f>
        <v/>
      </c>
      <c r="E616" s="508" t="str">
        <f>IFERROR(__xludf.DUMMYFUNCTION("""COMPUTED_VALUE"""),"")</f>
        <v/>
      </c>
      <c r="F616" s="508" t="str">
        <f>IFERROR(__xludf.DUMMYFUNCTION("""COMPUTED_VALUE"""),"")</f>
        <v/>
      </c>
      <c r="G616" s="510" t="str">
        <f>IFERROR(__xludf.DUMMYFUNCTION("""COMPUTED_VALUE"""),"")</f>
        <v/>
      </c>
      <c r="H616" s="508" t="str">
        <f>IFERROR(__xludf.DUMMYFUNCTION("""COMPUTED_VALUE"""),"")</f>
        <v/>
      </c>
      <c r="I616" s="510" t="str">
        <f>IFERROR(__xludf.DUMMYFUNCTION("""COMPUTED_VALUE"""),"")</f>
        <v/>
      </c>
      <c r="J616" s="508" t="str">
        <f>IFERROR(__xludf.DUMMYFUNCTION("""COMPUTED_VALUE"""),"")</f>
        <v/>
      </c>
      <c r="K616" s="510" t="str">
        <f>IFERROR(__xludf.DUMMYFUNCTION("""COMPUTED_VALUE"""),"")</f>
        <v/>
      </c>
      <c r="L616" s="508" t="str">
        <f>IFERROR(__xludf.DUMMYFUNCTION("""COMPUTED_VALUE"""),"")</f>
        <v/>
      </c>
      <c r="M616" s="508" t="str">
        <f>IFERROR(__xludf.DUMMYFUNCTION("""COMPUTED_VALUE"""),"")</f>
        <v/>
      </c>
      <c r="N616" s="508" t="str">
        <f>IFERROR(__xludf.DUMMYFUNCTION("""COMPUTED_VALUE"""),"")</f>
        <v/>
      </c>
      <c r="O616" s="508" t="str">
        <f>IFERROR(__xludf.DUMMYFUNCTION("""COMPUTED_VALUE"""),"")</f>
        <v/>
      </c>
      <c r="P616" s="510" t="str">
        <f>IFERROR(__xludf.DUMMYFUNCTION("""COMPUTED_VALUE"""),"")</f>
        <v/>
      </c>
      <c r="Q616" s="508" t="str">
        <f>IFERROR(__xludf.DUMMYFUNCTION("""COMPUTED_VALUE"""),"")</f>
        <v/>
      </c>
      <c r="R616" s="508" t="str">
        <f>IFERROR(__xludf.DUMMYFUNCTION("""COMPUTED_VALUE"""),"")</f>
        <v/>
      </c>
      <c r="S616" s="510" t="str">
        <f>IFERROR(__xludf.DUMMYFUNCTION("""COMPUTED_VALUE"""),"")</f>
        <v/>
      </c>
      <c r="T616" s="510" t="str">
        <f>IFERROR(__xludf.DUMMYFUNCTION("""COMPUTED_VALUE"""),"")</f>
        <v/>
      </c>
    </row>
    <row r="617">
      <c r="A617" s="508" t="str">
        <f>IFERROR(__xludf.DUMMYFUNCTION("""COMPUTED_VALUE"""),"")</f>
        <v/>
      </c>
      <c r="B617" s="508" t="str">
        <f>IFERROR(__xludf.DUMMYFUNCTION("""COMPUTED_VALUE"""),"")</f>
        <v/>
      </c>
      <c r="C617" s="508" t="str">
        <f>IFERROR(__xludf.DUMMYFUNCTION("""COMPUTED_VALUE"""),"")</f>
        <v/>
      </c>
      <c r="D617" s="508" t="str">
        <f>IFERROR(__xludf.DUMMYFUNCTION("""COMPUTED_VALUE"""),"")</f>
        <v/>
      </c>
      <c r="E617" s="508" t="str">
        <f>IFERROR(__xludf.DUMMYFUNCTION("""COMPUTED_VALUE"""),"")</f>
        <v/>
      </c>
      <c r="F617" s="508" t="str">
        <f>IFERROR(__xludf.DUMMYFUNCTION("""COMPUTED_VALUE"""),"")</f>
        <v/>
      </c>
      <c r="G617" s="510" t="str">
        <f>IFERROR(__xludf.DUMMYFUNCTION("""COMPUTED_VALUE"""),"")</f>
        <v/>
      </c>
      <c r="H617" s="508" t="str">
        <f>IFERROR(__xludf.DUMMYFUNCTION("""COMPUTED_VALUE"""),"")</f>
        <v/>
      </c>
      <c r="I617" s="510" t="str">
        <f>IFERROR(__xludf.DUMMYFUNCTION("""COMPUTED_VALUE"""),"")</f>
        <v/>
      </c>
      <c r="J617" s="508" t="str">
        <f>IFERROR(__xludf.DUMMYFUNCTION("""COMPUTED_VALUE"""),"")</f>
        <v/>
      </c>
      <c r="K617" s="510" t="str">
        <f>IFERROR(__xludf.DUMMYFUNCTION("""COMPUTED_VALUE"""),"")</f>
        <v/>
      </c>
      <c r="L617" s="508" t="str">
        <f>IFERROR(__xludf.DUMMYFUNCTION("""COMPUTED_VALUE"""),"")</f>
        <v/>
      </c>
      <c r="M617" s="508" t="str">
        <f>IFERROR(__xludf.DUMMYFUNCTION("""COMPUTED_VALUE"""),"")</f>
        <v/>
      </c>
      <c r="N617" s="508" t="str">
        <f>IFERROR(__xludf.DUMMYFUNCTION("""COMPUTED_VALUE"""),"")</f>
        <v/>
      </c>
      <c r="O617" s="508" t="str">
        <f>IFERROR(__xludf.DUMMYFUNCTION("""COMPUTED_VALUE"""),"")</f>
        <v/>
      </c>
      <c r="P617" s="510" t="str">
        <f>IFERROR(__xludf.DUMMYFUNCTION("""COMPUTED_VALUE"""),"")</f>
        <v/>
      </c>
      <c r="Q617" s="508" t="str">
        <f>IFERROR(__xludf.DUMMYFUNCTION("""COMPUTED_VALUE"""),"")</f>
        <v/>
      </c>
      <c r="R617" s="508" t="str">
        <f>IFERROR(__xludf.DUMMYFUNCTION("""COMPUTED_VALUE"""),"")</f>
        <v/>
      </c>
      <c r="S617" s="510" t="str">
        <f>IFERROR(__xludf.DUMMYFUNCTION("""COMPUTED_VALUE"""),"")</f>
        <v/>
      </c>
      <c r="T617" s="510" t="str">
        <f>IFERROR(__xludf.DUMMYFUNCTION("""COMPUTED_VALUE"""),"")</f>
        <v/>
      </c>
    </row>
    <row r="618">
      <c r="A618" s="508" t="str">
        <f>IFERROR(__xludf.DUMMYFUNCTION("""COMPUTED_VALUE"""),"")</f>
        <v/>
      </c>
      <c r="B618" s="508" t="str">
        <f>IFERROR(__xludf.DUMMYFUNCTION("""COMPUTED_VALUE"""),"")</f>
        <v/>
      </c>
      <c r="C618" s="508" t="str">
        <f>IFERROR(__xludf.DUMMYFUNCTION("""COMPUTED_VALUE"""),"")</f>
        <v/>
      </c>
      <c r="D618" s="508" t="str">
        <f>IFERROR(__xludf.DUMMYFUNCTION("""COMPUTED_VALUE"""),"")</f>
        <v/>
      </c>
      <c r="E618" s="508" t="str">
        <f>IFERROR(__xludf.DUMMYFUNCTION("""COMPUTED_VALUE"""),"")</f>
        <v/>
      </c>
      <c r="F618" s="508" t="str">
        <f>IFERROR(__xludf.DUMMYFUNCTION("""COMPUTED_VALUE"""),"")</f>
        <v/>
      </c>
      <c r="G618" s="510" t="str">
        <f>IFERROR(__xludf.DUMMYFUNCTION("""COMPUTED_VALUE"""),"")</f>
        <v/>
      </c>
      <c r="H618" s="508" t="str">
        <f>IFERROR(__xludf.DUMMYFUNCTION("""COMPUTED_VALUE"""),"")</f>
        <v/>
      </c>
      <c r="I618" s="510" t="str">
        <f>IFERROR(__xludf.DUMMYFUNCTION("""COMPUTED_VALUE"""),"")</f>
        <v/>
      </c>
      <c r="J618" s="508" t="str">
        <f>IFERROR(__xludf.DUMMYFUNCTION("""COMPUTED_VALUE"""),"")</f>
        <v/>
      </c>
      <c r="K618" s="510" t="str">
        <f>IFERROR(__xludf.DUMMYFUNCTION("""COMPUTED_VALUE"""),"")</f>
        <v/>
      </c>
      <c r="L618" s="508" t="str">
        <f>IFERROR(__xludf.DUMMYFUNCTION("""COMPUTED_VALUE"""),"")</f>
        <v/>
      </c>
      <c r="M618" s="508" t="str">
        <f>IFERROR(__xludf.DUMMYFUNCTION("""COMPUTED_VALUE"""),"")</f>
        <v/>
      </c>
      <c r="N618" s="508" t="str">
        <f>IFERROR(__xludf.DUMMYFUNCTION("""COMPUTED_VALUE"""),"")</f>
        <v/>
      </c>
      <c r="O618" s="508" t="str">
        <f>IFERROR(__xludf.DUMMYFUNCTION("""COMPUTED_VALUE"""),"")</f>
        <v/>
      </c>
      <c r="P618" s="510" t="str">
        <f>IFERROR(__xludf.DUMMYFUNCTION("""COMPUTED_VALUE"""),"")</f>
        <v/>
      </c>
      <c r="Q618" s="508" t="str">
        <f>IFERROR(__xludf.DUMMYFUNCTION("""COMPUTED_VALUE"""),"")</f>
        <v/>
      </c>
      <c r="R618" s="508" t="str">
        <f>IFERROR(__xludf.DUMMYFUNCTION("""COMPUTED_VALUE"""),"")</f>
        <v/>
      </c>
      <c r="S618" s="510" t="str">
        <f>IFERROR(__xludf.DUMMYFUNCTION("""COMPUTED_VALUE"""),"")</f>
        <v/>
      </c>
      <c r="T618" s="510" t="str">
        <f>IFERROR(__xludf.DUMMYFUNCTION("""COMPUTED_VALUE"""),"")</f>
        <v/>
      </c>
    </row>
    <row r="619">
      <c r="A619" s="508" t="str">
        <f>IFERROR(__xludf.DUMMYFUNCTION("""COMPUTED_VALUE"""),"")</f>
        <v/>
      </c>
      <c r="B619" s="508" t="str">
        <f>IFERROR(__xludf.DUMMYFUNCTION("""COMPUTED_VALUE"""),"")</f>
        <v/>
      </c>
      <c r="C619" s="508" t="str">
        <f>IFERROR(__xludf.DUMMYFUNCTION("""COMPUTED_VALUE"""),"")</f>
        <v/>
      </c>
      <c r="D619" s="508" t="str">
        <f>IFERROR(__xludf.DUMMYFUNCTION("""COMPUTED_VALUE"""),"")</f>
        <v/>
      </c>
      <c r="E619" s="508" t="str">
        <f>IFERROR(__xludf.DUMMYFUNCTION("""COMPUTED_VALUE"""),"")</f>
        <v/>
      </c>
      <c r="F619" s="508" t="str">
        <f>IFERROR(__xludf.DUMMYFUNCTION("""COMPUTED_VALUE"""),"")</f>
        <v/>
      </c>
      <c r="G619" s="510" t="str">
        <f>IFERROR(__xludf.DUMMYFUNCTION("""COMPUTED_VALUE"""),"")</f>
        <v/>
      </c>
      <c r="H619" s="508" t="str">
        <f>IFERROR(__xludf.DUMMYFUNCTION("""COMPUTED_VALUE"""),"")</f>
        <v/>
      </c>
      <c r="I619" s="510" t="str">
        <f>IFERROR(__xludf.DUMMYFUNCTION("""COMPUTED_VALUE"""),"")</f>
        <v/>
      </c>
      <c r="J619" s="508" t="str">
        <f>IFERROR(__xludf.DUMMYFUNCTION("""COMPUTED_VALUE"""),"")</f>
        <v/>
      </c>
      <c r="K619" s="510" t="str">
        <f>IFERROR(__xludf.DUMMYFUNCTION("""COMPUTED_VALUE"""),"")</f>
        <v/>
      </c>
      <c r="L619" s="508" t="str">
        <f>IFERROR(__xludf.DUMMYFUNCTION("""COMPUTED_VALUE"""),"")</f>
        <v/>
      </c>
      <c r="M619" s="508" t="str">
        <f>IFERROR(__xludf.DUMMYFUNCTION("""COMPUTED_VALUE"""),"")</f>
        <v/>
      </c>
      <c r="N619" s="508" t="str">
        <f>IFERROR(__xludf.DUMMYFUNCTION("""COMPUTED_VALUE"""),"")</f>
        <v/>
      </c>
      <c r="O619" s="508" t="str">
        <f>IFERROR(__xludf.DUMMYFUNCTION("""COMPUTED_VALUE"""),"")</f>
        <v/>
      </c>
      <c r="P619" s="510" t="str">
        <f>IFERROR(__xludf.DUMMYFUNCTION("""COMPUTED_VALUE"""),"")</f>
        <v/>
      </c>
      <c r="Q619" s="508" t="str">
        <f>IFERROR(__xludf.DUMMYFUNCTION("""COMPUTED_VALUE"""),"")</f>
        <v/>
      </c>
      <c r="R619" s="508" t="str">
        <f>IFERROR(__xludf.DUMMYFUNCTION("""COMPUTED_VALUE"""),"")</f>
        <v/>
      </c>
      <c r="S619" s="510" t="str">
        <f>IFERROR(__xludf.DUMMYFUNCTION("""COMPUTED_VALUE"""),"")</f>
        <v/>
      </c>
      <c r="T619" s="510" t="str">
        <f>IFERROR(__xludf.DUMMYFUNCTION("""COMPUTED_VALUE"""),"")</f>
        <v/>
      </c>
    </row>
    <row r="620">
      <c r="A620" s="508" t="str">
        <f>IFERROR(__xludf.DUMMYFUNCTION("""COMPUTED_VALUE"""),"")</f>
        <v/>
      </c>
      <c r="B620" s="508" t="str">
        <f>IFERROR(__xludf.DUMMYFUNCTION("""COMPUTED_VALUE"""),"")</f>
        <v/>
      </c>
      <c r="C620" s="508" t="str">
        <f>IFERROR(__xludf.DUMMYFUNCTION("""COMPUTED_VALUE"""),"")</f>
        <v/>
      </c>
      <c r="D620" s="508" t="str">
        <f>IFERROR(__xludf.DUMMYFUNCTION("""COMPUTED_VALUE"""),"")</f>
        <v/>
      </c>
      <c r="E620" s="508" t="str">
        <f>IFERROR(__xludf.DUMMYFUNCTION("""COMPUTED_VALUE"""),"")</f>
        <v/>
      </c>
      <c r="F620" s="508" t="str">
        <f>IFERROR(__xludf.DUMMYFUNCTION("""COMPUTED_VALUE"""),"")</f>
        <v/>
      </c>
      <c r="G620" s="510" t="str">
        <f>IFERROR(__xludf.DUMMYFUNCTION("""COMPUTED_VALUE"""),"")</f>
        <v/>
      </c>
      <c r="H620" s="508" t="str">
        <f>IFERROR(__xludf.DUMMYFUNCTION("""COMPUTED_VALUE"""),"")</f>
        <v/>
      </c>
      <c r="I620" s="510" t="str">
        <f>IFERROR(__xludf.DUMMYFUNCTION("""COMPUTED_VALUE"""),"")</f>
        <v/>
      </c>
      <c r="J620" s="508" t="str">
        <f>IFERROR(__xludf.DUMMYFUNCTION("""COMPUTED_VALUE"""),"")</f>
        <v/>
      </c>
      <c r="K620" s="510" t="str">
        <f>IFERROR(__xludf.DUMMYFUNCTION("""COMPUTED_VALUE"""),"")</f>
        <v/>
      </c>
      <c r="L620" s="508" t="str">
        <f>IFERROR(__xludf.DUMMYFUNCTION("""COMPUTED_VALUE"""),"")</f>
        <v/>
      </c>
      <c r="M620" s="508" t="str">
        <f>IFERROR(__xludf.DUMMYFUNCTION("""COMPUTED_VALUE"""),"")</f>
        <v/>
      </c>
      <c r="N620" s="508" t="str">
        <f>IFERROR(__xludf.DUMMYFUNCTION("""COMPUTED_VALUE"""),"")</f>
        <v/>
      </c>
      <c r="O620" s="508" t="str">
        <f>IFERROR(__xludf.DUMMYFUNCTION("""COMPUTED_VALUE"""),"")</f>
        <v/>
      </c>
      <c r="P620" s="510" t="str">
        <f>IFERROR(__xludf.DUMMYFUNCTION("""COMPUTED_VALUE"""),"")</f>
        <v/>
      </c>
      <c r="Q620" s="508" t="str">
        <f>IFERROR(__xludf.DUMMYFUNCTION("""COMPUTED_VALUE"""),"")</f>
        <v/>
      </c>
      <c r="R620" s="508" t="str">
        <f>IFERROR(__xludf.DUMMYFUNCTION("""COMPUTED_VALUE"""),"")</f>
        <v/>
      </c>
      <c r="S620" s="510" t="str">
        <f>IFERROR(__xludf.DUMMYFUNCTION("""COMPUTED_VALUE"""),"")</f>
        <v/>
      </c>
      <c r="T620" s="510" t="str">
        <f>IFERROR(__xludf.DUMMYFUNCTION("""COMPUTED_VALUE"""),"")</f>
        <v/>
      </c>
    </row>
    <row r="621">
      <c r="A621" s="508" t="str">
        <f>IFERROR(__xludf.DUMMYFUNCTION("""COMPUTED_VALUE"""),"")</f>
        <v/>
      </c>
      <c r="B621" s="508" t="str">
        <f>IFERROR(__xludf.DUMMYFUNCTION("""COMPUTED_VALUE"""),"")</f>
        <v/>
      </c>
      <c r="C621" s="508" t="str">
        <f>IFERROR(__xludf.DUMMYFUNCTION("""COMPUTED_VALUE"""),"")</f>
        <v/>
      </c>
      <c r="D621" s="508" t="str">
        <f>IFERROR(__xludf.DUMMYFUNCTION("""COMPUTED_VALUE"""),"")</f>
        <v/>
      </c>
      <c r="E621" s="508" t="str">
        <f>IFERROR(__xludf.DUMMYFUNCTION("""COMPUTED_VALUE"""),"")</f>
        <v/>
      </c>
      <c r="F621" s="508" t="str">
        <f>IFERROR(__xludf.DUMMYFUNCTION("""COMPUTED_VALUE"""),"")</f>
        <v/>
      </c>
      <c r="G621" s="510" t="str">
        <f>IFERROR(__xludf.DUMMYFUNCTION("""COMPUTED_VALUE"""),"")</f>
        <v/>
      </c>
      <c r="H621" s="508" t="str">
        <f>IFERROR(__xludf.DUMMYFUNCTION("""COMPUTED_VALUE"""),"")</f>
        <v/>
      </c>
      <c r="I621" s="510" t="str">
        <f>IFERROR(__xludf.DUMMYFUNCTION("""COMPUTED_VALUE"""),"")</f>
        <v/>
      </c>
      <c r="J621" s="508" t="str">
        <f>IFERROR(__xludf.DUMMYFUNCTION("""COMPUTED_VALUE"""),"")</f>
        <v/>
      </c>
      <c r="K621" s="510" t="str">
        <f>IFERROR(__xludf.DUMMYFUNCTION("""COMPUTED_VALUE"""),"")</f>
        <v/>
      </c>
      <c r="L621" s="508" t="str">
        <f>IFERROR(__xludf.DUMMYFUNCTION("""COMPUTED_VALUE"""),"")</f>
        <v/>
      </c>
      <c r="M621" s="508" t="str">
        <f>IFERROR(__xludf.DUMMYFUNCTION("""COMPUTED_VALUE"""),"")</f>
        <v/>
      </c>
      <c r="N621" s="508" t="str">
        <f>IFERROR(__xludf.DUMMYFUNCTION("""COMPUTED_VALUE"""),"")</f>
        <v/>
      </c>
      <c r="O621" s="508" t="str">
        <f>IFERROR(__xludf.DUMMYFUNCTION("""COMPUTED_VALUE"""),"")</f>
        <v/>
      </c>
      <c r="P621" s="510" t="str">
        <f>IFERROR(__xludf.DUMMYFUNCTION("""COMPUTED_VALUE"""),"")</f>
        <v/>
      </c>
      <c r="Q621" s="508" t="str">
        <f>IFERROR(__xludf.DUMMYFUNCTION("""COMPUTED_VALUE"""),"")</f>
        <v/>
      </c>
      <c r="R621" s="508" t="str">
        <f>IFERROR(__xludf.DUMMYFUNCTION("""COMPUTED_VALUE"""),"")</f>
        <v/>
      </c>
      <c r="S621" s="510" t="str">
        <f>IFERROR(__xludf.DUMMYFUNCTION("""COMPUTED_VALUE"""),"")</f>
        <v/>
      </c>
      <c r="T621" s="510" t="str">
        <f>IFERROR(__xludf.DUMMYFUNCTION("""COMPUTED_VALUE"""),"")</f>
        <v/>
      </c>
    </row>
    <row r="622">
      <c r="A622" s="508" t="str">
        <f>IFERROR(__xludf.DUMMYFUNCTION("""COMPUTED_VALUE"""),"")</f>
        <v/>
      </c>
      <c r="B622" s="508" t="str">
        <f>IFERROR(__xludf.DUMMYFUNCTION("""COMPUTED_VALUE"""),"")</f>
        <v/>
      </c>
      <c r="C622" s="508" t="str">
        <f>IFERROR(__xludf.DUMMYFUNCTION("""COMPUTED_VALUE"""),"")</f>
        <v/>
      </c>
      <c r="D622" s="508" t="str">
        <f>IFERROR(__xludf.DUMMYFUNCTION("""COMPUTED_VALUE"""),"")</f>
        <v/>
      </c>
      <c r="E622" s="508" t="str">
        <f>IFERROR(__xludf.DUMMYFUNCTION("""COMPUTED_VALUE"""),"")</f>
        <v/>
      </c>
      <c r="F622" s="508" t="str">
        <f>IFERROR(__xludf.DUMMYFUNCTION("""COMPUTED_VALUE"""),"")</f>
        <v/>
      </c>
      <c r="G622" s="510" t="str">
        <f>IFERROR(__xludf.DUMMYFUNCTION("""COMPUTED_VALUE"""),"")</f>
        <v/>
      </c>
      <c r="H622" s="508" t="str">
        <f>IFERROR(__xludf.DUMMYFUNCTION("""COMPUTED_VALUE"""),"")</f>
        <v/>
      </c>
      <c r="I622" s="510" t="str">
        <f>IFERROR(__xludf.DUMMYFUNCTION("""COMPUTED_VALUE"""),"")</f>
        <v/>
      </c>
      <c r="J622" s="508" t="str">
        <f>IFERROR(__xludf.DUMMYFUNCTION("""COMPUTED_VALUE"""),"")</f>
        <v/>
      </c>
      <c r="K622" s="510" t="str">
        <f>IFERROR(__xludf.DUMMYFUNCTION("""COMPUTED_VALUE"""),"")</f>
        <v/>
      </c>
      <c r="L622" s="508" t="str">
        <f>IFERROR(__xludf.DUMMYFUNCTION("""COMPUTED_VALUE"""),"")</f>
        <v/>
      </c>
      <c r="M622" s="508" t="str">
        <f>IFERROR(__xludf.DUMMYFUNCTION("""COMPUTED_VALUE"""),"")</f>
        <v/>
      </c>
      <c r="N622" s="508" t="str">
        <f>IFERROR(__xludf.DUMMYFUNCTION("""COMPUTED_VALUE"""),"")</f>
        <v/>
      </c>
      <c r="O622" s="508" t="str">
        <f>IFERROR(__xludf.DUMMYFUNCTION("""COMPUTED_VALUE"""),"")</f>
        <v/>
      </c>
      <c r="P622" s="510" t="str">
        <f>IFERROR(__xludf.DUMMYFUNCTION("""COMPUTED_VALUE"""),"")</f>
        <v/>
      </c>
      <c r="Q622" s="508" t="str">
        <f>IFERROR(__xludf.DUMMYFUNCTION("""COMPUTED_VALUE"""),"")</f>
        <v/>
      </c>
      <c r="R622" s="508" t="str">
        <f>IFERROR(__xludf.DUMMYFUNCTION("""COMPUTED_VALUE"""),"")</f>
        <v/>
      </c>
      <c r="S622" s="510" t="str">
        <f>IFERROR(__xludf.DUMMYFUNCTION("""COMPUTED_VALUE"""),"")</f>
        <v/>
      </c>
      <c r="T622" s="510" t="str">
        <f>IFERROR(__xludf.DUMMYFUNCTION("""COMPUTED_VALUE"""),"")</f>
        <v/>
      </c>
    </row>
    <row r="623">
      <c r="A623" s="508" t="str">
        <f>IFERROR(__xludf.DUMMYFUNCTION("""COMPUTED_VALUE"""),"")</f>
        <v/>
      </c>
      <c r="B623" s="508" t="str">
        <f>IFERROR(__xludf.DUMMYFUNCTION("""COMPUTED_VALUE"""),"")</f>
        <v/>
      </c>
      <c r="C623" s="508" t="str">
        <f>IFERROR(__xludf.DUMMYFUNCTION("""COMPUTED_VALUE"""),"")</f>
        <v/>
      </c>
      <c r="D623" s="508" t="str">
        <f>IFERROR(__xludf.DUMMYFUNCTION("""COMPUTED_VALUE"""),"")</f>
        <v/>
      </c>
      <c r="E623" s="508" t="str">
        <f>IFERROR(__xludf.DUMMYFUNCTION("""COMPUTED_VALUE"""),"")</f>
        <v/>
      </c>
      <c r="F623" s="508" t="str">
        <f>IFERROR(__xludf.DUMMYFUNCTION("""COMPUTED_VALUE"""),"")</f>
        <v/>
      </c>
      <c r="G623" s="510" t="str">
        <f>IFERROR(__xludf.DUMMYFUNCTION("""COMPUTED_VALUE"""),"")</f>
        <v/>
      </c>
      <c r="H623" s="508" t="str">
        <f>IFERROR(__xludf.DUMMYFUNCTION("""COMPUTED_VALUE"""),"")</f>
        <v/>
      </c>
      <c r="I623" s="510" t="str">
        <f>IFERROR(__xludf.DUMMYFUNCTION("""COMPUTED_VALUE"""),"")</f>
        <v/>
      </c>
      <c r="J623" s="508" t="str">
        <f>IFERROR(__xludf.DUMMYFUNCTION("""COMPUTED_VALUE"""),"")</f>
        <v/>
      </c>
      <c r="K623" s="510" t="str">
        <f>IFERROR(__xludf.DUMMYFUNCTION("""COMPUTED_VALUE"""),"")</f>
        <v/>
      </c>
      <c r="L623" s="508" t="str">
        <f>IFERROR(__xludf.DUMMYFUNCTION("""COMPUTED_VALUE"""),"")</f>
        <v/>
      </c>
      <c r="M623" s="508" t="str">
        <f>IFERROR(__xludf.DUMMYFUNCTION("""COMPUTED_VALUE"""),"")</f>
        <v/>
      </c>
      <c r="N623" s="508" t="str">
        <f>IFERROR(__xludf.DUMMYFUNCTION("""COMPUTED_VALUE"""),"")</f>
        <v/>
      </c>
      <c r="O623" s="508" t="str">
        <f>IFERROR(__xludf.DUMMYFUNCTION("""COMPUTED_VALUE"""),"")</f>
        <v/>
      </c>
      <c r="P623" s="510" t="str">
        <f>IFERROR(__xludf.DUMMYFUNCTION("""COMPUTED_VALUE"""),"")</f>
        <v/>
      </c>
      <c r="Q623" s="508" t="str">
        <f>IFERROR(__xludf.DUMMYFUNCTION("""COMPUTED_VALUE"""),"")</f>
        <v/>
      </c>
      <c r="R623" s="508" t="str">
        <f>IFERROR(__xludf.DUMMYFUNCTION("""COMPUTED_VALUE"""),"")</f>
        <v/>
      </c>
      <c r="S623" s="510" t="str">
        <f>IFERROR(__xludf.DUMMYFUNCTION("""COMPUTED_VALUE"""),"")</f>
        <v/>
      </c>
      <c r="T623" s="510" t="str">
        <f>IFERROR(__xludf.DUMMYFUNCTION("""COMPUTED_VALUE"""),"")</f>
        <v/>
      </c>
    </row>
    <row r="624">
      <c r="A624" s="508" t="str">
        <f>IFERROR(__xludf.DUMMYFUNCTION("""COMPUTED_VALUE"""),"")</f>
        <v/>
      </c>
      <c r="B624" s="508" t="str">
        <f>IFERROR(__xludf.DUMMYFUNCTION("""COMPUTED_VALUE"""),"")</f>
        <v/>
      </c>
      <c r="C624" s="508" t="str">
        <f>IFERROR(__xludf.DUMMYFUNCTION("""COMPUTED_VALUE"""),"")</f>
        <v/>
      </c>
      <c r="D624" s="508" t="str">
        <f>IFERROR(__xludf.DUMMYFUNCTION("""COMPUTED_VALUE"""),"")</f>
        <v/>
      </c>
      <c r="E624" s="508" t="str">
        <f>IFERROR(__xludf.DUMMYFUNCTION("""COMPUTED_VALUE"""),"")</f>
        <v/>
      </c>
      <c r="F624" s="508" t="str">
        <f>IFERROR(__xludf.DUMMYFUNCTION("""COMPUTED_VALUE"""),"")</f>
        <v/>
      </c>
      <c r="G624" s="510" t="str">
        <f>IFERROR(__xludf.DUMMYFUNCTION("""COMPUTED_VALUE"""),"")</f>
        <v/>
      </c>
      <c r="H624" s="508" t="str">
        <f>IFERROR(__xludf.DUMMYFUNCTION("""COMPUTED_VALUE"""),"")</f>
        <v/>
      </c>
      <c r="I624" s="510" t="str">
        <f>IFERROR(__xludf.DUMMYFUNCTION("""COMPUTED_VALUE"""),"")</f>
        <v/>
      </c>
      <c r="J624" s="508" t="str">
        <f>IFERROR(__xludf.DUMMYFUNCTION("""COMPUTED_VALUE"""),"")</f>
        <v/>
      </c>
      <c r="K624" s="510" t="str">
        <f>IFERROR(__xludf.DUMMYFUNCTION("""COMPUTED_VALUE"""),"")</f>
        <v/>
      </c>
      <c r="L624" s="508" t="str">
        <f>IFERROR(__xludf.DUMMYFUNCTION("""COMPUTED_VALUE"""),"")</f>
        <v/>
      </c>
      <c r="M624" s="508" t="str">
        <f>IFERROR(__xludf.DUMMYFUNCTION("""COMPUTED_VALUE"""),"")</f>
        <v/>
      </c>
      <c r="N624" s="508" t="str">
        <f>IFERROR(__xludf.DUMMYFUNCTION("""COMPUTED_VALUE"""),"")</f>
        <v/>
      </c>
      <c r="O624" s="508" t="str">
        <f>IFERROR(__xludf.DUMMYFUNCTION("""COMPUTED_VALUE"""),"")</f>
        <v/>
      </c>
      <c r="P624" s="510" t="str">
        <f>IFERROR(__xludf.DUMMYFUNCTION("""COMPUTED_VALUE"""),"")</f>
        <v/>
      </c>
      <c r="Q624" s="508" t="str">
        <f>IFERROR(__xludf.DUMMYFUNCTION("""COMPUTED_VALUE"""),"")</f>
        <v/>
      </c>
      <c r="R624" s="508" t="str">
        <f>IFERROR(__xludf.DUMMYFUNCTION("""COMPUTED_VALUE"""),"")</f>
        <v/>
      </c>
      <c r="S624" s="510" t="str">
        <f>IFERROR(__xludf.DUMMYFUNCTION("""COMPUTED_VALUE"""),"")</f>
        <v/>
      </c>
      <c r="T624" s="510" t="str">
        <f>IFERROR(__xludf.DUMMYFUNCTION("""COMPUTED_VALUE"""),"")</f>
        <v/>
      </c>
    </row>
    <row r="625">
      <c r="A625" s="508" t="str">
        <f>IFERROR(__xludf.DUMMYFUNCTION("""COMPUTED_VALUE"""),"")</f>
        <v/>
      </c>
      <c r="B625" s="508" t="str">
        <f>IFERROR(__xludf.DUMMYFUNCTION("""COMPUTED_VALUE"""),"")</f>
        <v/>
      </c>
      <c r="C625" s="508" t="str">
        <f>IFERROR(__xludf.DUMMYFUNCTION("""COMPUTED_VALUE"""),"")</f>
        <v/>
      </c>
      <c r="D625" s="508" t="str">
        <f>IFERROR(__xludf.DUMMYFUNCTION("""COMPUTED_VALUE"""),"")</f>
        <v/>
      </c>
      <c r="E625" s="508" t="str">
        <f>IFERROR(__xludf.DUMMYFUNCTION("""COMPUTED_VALUE"""),"")</f>
        <v/>
      </c>
      <c r="F625" s="508" t="str">
        <f>IFERROR(__xludf.DUMMYFUNCTION("""COMPUTED_VALUE"""),"")</f>
        <v/>
      </c>
      <c r="G625" s="510" t="str">
        <f>IFERROR(__xludf.DUMMYFUNCTION("""COMPUTED_VALUE"""),"")</f>
        <v/>
      </c>
      <c r="H625" s="508" t="str">
        <f>IFERROR(__xludf.DUMMYFUNCTION("""COMPUTED_VALUE"""),"")</f>
        <v/>
      </c>
      <c r="I625" s="510" t="str">
        <f>IFERROR(__xludf.DUMMYFUNCTION("""COMPUTED_VALUE"""),"")</f>
        <v/>
      </c>
      <c r="J625" s="508" t="str">
        <f>IFERROR(__xludf.DUMMYFUNCTION("""COMPUTED_VALUE"""),"")</f>
        <v/>
      </c>
      <c r="K625" s="510" t="str">
        <f>IFERROR(__xludf.DUMMYFUNCTION("""COMPUTED_VALUE"""),"")</f>
        <v/>
      </c>
      <c r="L625" s="508" t="str">
        <f>IFERROR(__xludf.DUMMYFUNCTION("""COMPUTED_VALUE"""),"")</f>
        <v/>
      </c>
      <c r="M625" s="508" t="str">
        <f>IFERROR(__xludf.DUMMYFUNCTION("""COMPUTED_VALUE"""),"")</f>
        <v/>
      </c>
      <c r="N625" s="508" t="str">
        <f>IFERROR(__xludf.DUMMYFUNCTION("""COMPUTED_VALUE"""),"")</f>
        <v/>
      </c>
      <c r="O625" s="508" t="str">
        <f>IFERROR(__xludf.DUMMYFUNCTION("""COMPUTED_VALUE"""),"")</f>
        <v/>
      </c>
      <c r="P625" s="510" t="str">
        <f>IFERROR(__xludf.DUMMYFUNCTION("""COMPUTED_VALUE"""),"")</f>
        <v/>
      </c>
      <c r="Q625" s="508" t="str">
        <f>IFERROR(__xludf.DUMMYFUNCTION("""COMPUTED_VALUE"""),"")</f>
        <v/>
      </c>
      <c r="R625" s="508" t="str">
        <f>IFERROR(__xludf.DUMMYFUNCTION("""COMPUTED_VALUE"""),"")</f>
        <v/>
      </c>
      <c r="S625" s="510" t="str">
        <f>IFERROR(__xludf.DUMMYFUNCTION("""COMPUTED_VALUE"""),"")</f>
        <v/>
      </c>
      <c r="T625" s="510" t="str">
        <f>IFERROR(__xludf.DUMMYFUNCTION("""COMPUTED_VALUE"""),"")</f>
        <v/>
      </c>
    </row>
    <row r="626">
      <c r="A626" s="508" t="str">
        <f>IFERROR(__xludf.DUMMYFUNCTION("""COMPUTED_VALUE"""),"")</f>
        <v/>
      </c>
      <c r="B626" s="508" t="str">
        <f>IFERROR(__xludf.DUMMYFUNCTION("""COMPUTED_VALUE"""),"")</f>
        <v/>
      </c>
      <c r="C626" s="508" t="str">
        <f>IFERROR(__xludf.DUMMYFUNCTION("""COMPUTED_VALUE"""),"")</f>
        <v/>
      </c>
      <c r="D626" s="508" t="str">
        <f>IFERROR(__xludf.DUMMYFUNCTION("""COMPUTED_VALUE"""),"")</f>
        <v/>
      </c>
      <c r="E626" s="508" t="str">
        <f>IFERROR(__xludf.DUMMYFUNCTION("""COMPUTED_VALUE"""),"")</f>
        <v/>
      </c>
      <c r="F626" s="508" t="str">
        <f>IFERROR(__xludf.DUMMYFUNCTION("""COMPUTED_VALUE"""),"")</f>
        <v/>
      </c>
      <c r="G626" s="510" t="str">
        <f>IFERROR(__xludf.DUMMYFUNCTION("""COMPUTED_VALUE"""),"")</f>
        <v/>
      </c>
      <c r="H626" s="508" t="str">
        <f>IFERROR(__xludf.DUMMYFUNCTION("""COMPUTED_VALUE"""),"")</f>
        <v/>
      </c>
      <c r="I626" s="510" t="str">
        <f>IFERROR(__xludf.DUMMYFUNCTION("""COMPUTED_VALUE"""),"")</f>
        <v/>
      </c>
      <c r="J626" s="508" t="str">
        <f>IFERROR(__xludf.DUMMYFUNCTION("""COMPUTED_VALUE"""),"")</f>
        <v/>
      </c>
      <c r="K626" s="510" t="str">
        <f>IFERROR(__xludf.DUMMYFUNCTION("""COMPUTED_VALUE"""),"")</f>
        <v/>
      </c>
      <c r="L626" s="508" t="str">
        <f>IFERROR(__xludf.DUMMYFUNCTION("""COMPUTED_VALUE"""),"")</f>
        <v/>
      </c>
      <c r="M626" s="508" t="str">
        <f>IFERROR(__xludf.DUMMYFUNCTION("""COMPUTED_VALUE"""),"")</f>
        <v/>
      </c>
      <c r="N626" s="508" t="str">
        <f>IFERROR(__xludf.DUMMYFUNCTION("""COMPUTED_VALUE"""),"")</f>
        <v/>
      </c>
      <c r="O626" s="508" t="str">
        <f>IFERROR(__xludf.DUMMYFUNCTION("""COMPUTED_VALUE"""),"")</f>
        <v/>
      </c>
      <c r="P626" s="510" t="str">
        <f>IFERROR(__xludf.DUMMYFUNCTION("""COMPUTED_VALUE"""),"")</f>
        <v/>
      </c>
      <c r="Q626" s="508" t="str">
        <f>IFERROR(__xludf.DUMMYFUNCTION("""COMPUTED_VALUE"""),"")</f>
        <v/>
      </c>
      <c r="R626" s="508" t="str">
        <f>IFERROR(__xludf.DUMMYFUNCTION("""COMPUTED_VALUE"""),"")</f>
        <v/>
      </c>
      <c r="S626" s="510" t="str">
        <f>IFERROR(__xludf.DUMMYFUNCTION("""COMPUTED_VALUE"""),"")</f>
        <v/>
      </c>
      <c r="T626" s="510" t="str">
        <f>IFERROR(__xludf.DUMMYFUNCTION("""COMPUTED_VALUE"""),"")</f>
        <v/>
      </c>
    </row>
    <row r="627">
      <c r="A627" s="508" t="str">
        <f>IFERROR(__xludf.DUMMYFUNCTION("""COMPUTED_VALUE"""),"")</f>
        <v/>
      </c>
      <c r="B627" s="508" t="str">
        <f>IFERROR(__xludf.DUMMYFUNCTION("""COMPUTED_VALUE"""),"")</f>
        <v/>
      </c>
      <c r="C627" s="508" t="str">
        <f>IFERROR(__xludf.DUMMYFUNCTION("""COMPUTED_VALUE"""),"")</f>
        <v/>
      </c>
      <c r="D627" s="508" t="str">
        <f>IFERROR(__xludf.DUMMYFUNCTION("""COMPUTED_VALUE"""),"")</f>
        <v/>
      </c>
      <c r="E627" s="508" t="str">
        <f>IFERROR(__xludf.DUMMYFUNCTION("""COMPUTED_VALUE"""),"")</f>
        <v/>
      </c>
      <c r="F627" s="508" t="str">
        <f>IFERROR(__xludf.DUMMYFUNCTION("""COMPUTED_VALUE"""),"")</f>
        <v/>
      </c>
      <c r="G627" s="510" t="str">
        <f>IFERROR(__xludf.DUMMYFUNCTION("""COMPUTED_VALUE"""),"")</f>
        <v/>
      </c>
      <c r="H627" s="508" t="str">
        <f>IFERROR(__xludf.DUMMYFUNCTION("""COMPUTED_VALUE"""),"")</f>
        <v/>
      </c>
      <c r="I627" s="510" t="str">
        <f>IFERROR(__xludf.DUMMYFUNCTION("""COMPUTED_VALUE"""),"")</f>
        <v/>
      </c>
      <c r="J627" s="508" t="str">
        <f>IFERROR(__xludf.DUMMYFUNCTION("""COMPUTED_VALUE"""),"")</f>
        <v/>
      </c>
      <c r="K627" s="510" t="str">
        <f>IFERROR(__xludf.DUMMYFUNCTION("""COMPUTED_VALUE"""),"")</f>
        <v/>
      </c>
      <c r="L627" s="508" t="str">
        <f>IFERROR(__xludf.DUMMYFUNCTION("""COMPUTED_VALUE"""),"")</f>
        <v/>
      </c>
      <c r="M627" s="508" t="str">
        <f>IFERROR(__xludf.DUMMYFUNCTION("""COMPUTED_VALUE"""),"")</f>
        <v/>
      </c>
      <c r="N627" s="508" t="str">
        <f>IFERROR(__xludf.DUMMYFUNCTION("""COMPUTED_VALUE"""),"")</f>
        <v/>
      </c>
      <c r="O627" s="508" t="str">
        <f>IFERROR(__xludf.DUMMYFUNCTION("""COMPUTED_VALUE"""),"")</f>
        <v/>
      </c>
      <c r="P627" s="510" t="str">
        <f>IFERROR(__xludf.DUMMYFUNCTION("""COMPUTED_VALUE"""),"")</f>
        <v/>
      </c>
      <c r="Q627" s="508" t="str">
        <f>IFERROR(__xludf.DUMMYFUNCTION("""COMPUTED_VALUE"""),"")</f>
        <v/>
      </c>
      <c r="R627" s="508" t="str">
        <f>IFERROR(__xludf.DUMMYFUNCTION("""COMPUTED_VALUE"""),"")</f>
        <v/>
      </c>
      <c r="S627" s="510" t="str">
        <f>IFERROR(__xludf.DUMMYFUNCTION("""COMPUTED_VALUE"""),"")</f>
        <v/>
      </c>
      <c r="T627" s="510" t="str">
        <f>IFERROR(__xludf.DUMMYFUNCTION("""COMPUTED_VALUE"""),"")</f>
        <v/>
      </c>
    </row>
    <row r="628">
      <c r="A628" s="508" t="str">
        <f>IFERROR(__xludf.DUMMYFUNCTION("""COMPUTED_VALUE"""),"")</f>
        <v/>
      </c>
      <c r="B628" s="508" t="str">
        <f>IFERROR(__xludf.DUMMYFUNCTION("""COMPUTED_VALUE"""),"")</f>
        <v/>
      </c>
      <c r="C628" s="508" t="str">
        <f>IFERROR(__xludf.DUMMYFUNCTION("""COMPUTED_VALUE"""),"")</f>
        <v/>
      </c>
      <c r="D628" s="508" t="str">
        <f>IFERROR(__xludf.DUMMYFUNCTION("""COMPUTED_VALUE"""),"")</f>
        <v/>
      </c>
      <c r="E628" s="508" t="str">
        <f>IFERROR(__xludf.DUMMYFUNCTION("""COMPUTED_VALUE"""),"")</f>
        <v/>
      </c>
      <c r="F628" s="508" t="str">
        <f>IFERROR(__xludf.DUMMYFUNCTION("""COMPUTED_VALUE"""),"")</f>
        <v/>
      </c>
      <c r="G628" s="510" t="str">
        <f>IFERROR(__xludf.DUMMYFUNCTION("""COMPUTED_VALUE"""),"")</f>
        <v/>
      </c>
      <c r="H628" s="508" t="str">
        <f>IFERROR(__xludf.DUMMYFUNCTION("""COMPUTED_VALUE"""),"")</f>
        <v/>
      </c>
      <c r="I628" s="510" t="str">
        <f>IFERROR(__xludf.DUMMYFUNCTION("""COMPUTED_VALUE"""),"")</f>
        <v/>
      </c>
      <c r="J628" s="508" t="str">
        <f>IFERROR(__xludf.DUMMYFUNCTION("""COMPUTED_VALUE"""),"")</f>
        <v/>
      </c>
      <c r="K628" s="510" t="str">
        <f>IFERROR(__xludf.DUMMYFUNCTION("""COMPUTED_VALUE"""),"")</f>
        <v/>
      </c>
      <c r="L628" s="508" t="str">
        <f>IFERROR(__xludf.DUMMYFUNCTION("""COMPUTED_VALUE"""),"")</f>
        <v/>
      </c>
      <c r="M628" s="508" t="str">
        <f>IFERROR(__xludf.DUMMYFUNCTION("""COMPUTED_VALUE"""),"")</f>
        <v/>
      </c>
      <c r="N628" s="508" t="str">
        <f>IFERROR(__xludf.DUMMYFUNCTION("""COMPUTED_VALUE"""),"")</f>
        <v/>
      </c>
      <c r="O628" s="508" t="str">
        <f>IFERROR(__xludf.DUMMYFUNCTION("""COMPUTED_VALUE"""),"")</f>
        <v/>
      </c>
      <c r="P628" s="510" t="str">
        <f>IFERROR(__xludf.DUMMYFUNCTION("""COMPUTED_VALUE"""),"")</f>
        <v/>
      </c>
      <c r="Q628" s="508" t="str">
        <f>IFERROR(__xludf.DUMMYFUNCTION("""COMPUTED_VALUE"""),"")</f>
        <v/>
      </c>
      <c r="R628" s="508" t="str">
        <f>IFERROR(__xludf.DUMMYFUNCTION("""COMPUTED_VALUE"""),"")</f>
        <v/>
      </c>
      <c r="S628" s="510" t="str">
        <f>IFERROR(__xludf.DUMMYFUNCTION("""COMPUTED_VALUE"""),"")</f>
        <v/>
      </c>
      <c r="T628" s="510" t="str">
        <f>IFERROR(__xludf.DUMMYFUNCTION("""COMPUTED_VALUE"""),"")</f>
        <v/>
      </c>
    </row>
    <row r="629">
      <c r="A629" s="508" t="str">
        <f>IFERROR(__xludf.DUMMYFUNCTION("""COMPUTED_VALUE"""),"")</f>
        <v/>
      </c>
      <c r="B629" s="508" t="str">
        <f>IFERROR(__xludf.DUMMYFUNCTION("""COMPUTED_VALUE"""),"")</f>
        <v/>
      </c>
      <c r="C629" s="508" t="str">
        <f>IFERROR(__xludf.DUMMYFUNCTION("""COMPUTED_VALUE"""),"")</f>
        <v/>
      </c>
      <c r="D629" s="508" t="str">
        <f>IFERROR(__xludf.DUMMYFUNCTION("""COMPUTED_VALUE"""),"")</f>
        <v/>
      </c>
      <c r="E629" s="508" t="str">
        <f>IFERROR(__xludf.DUMMYFUNCTION("""COMPUTED_VALUE"""),"")</f>
        <v/>
      </c>
      <c r="F629" s="508" t="str">
        <f>IFERROR(__xludf.DUMMYFUNCTION("""COMPUTED_VALUE"""),"")</f>
        <v/>
      </c>
      <c r="G629" s="510" t="str">
        <f>IFERROR(__xludf.DUMMYFUNCTION("""COMPUTED_VALUE"""),"")</f>
        <v/>
      </c>
      <c r="H629" s="508" t="str">
        <f>IFERROR(__xludf.DUMMYFUNCTION("""COMPUTED_VALUE"""),"")</f>
        <v/>
      </c>
      <c r="I629" s="510" t="str">
        <f>IFERROR(__xludf.DUMMYFUNCTION("""COMPUTED_VALUE"""),"")</f>
        <v/>
      </c>
      <c r="J629" s="508" t="str">
        <f>IFERROR(__xludf.DUMMYFUNCTION("""COMPUTED_VALUE"""),"")</f>
        <v/>
      </c>
      <c r="K629" s="510" t="str">
        <f>IFERROR(__xludf.DUMMYFUNCTION("""COMPUTED_VALUE"""),"")</f>
        <v/>
      </c>
      <c r="L629" s="508" t="str">
        <f>IFERROR(__xludf.DUMMYFUNCTION("""COMPUTED_VALUE"""),"")</f>
        <v/>
      </c>
      <c r="M629" s="508" t="str">
        <f>IFERROR(__xludf.DUMMYFUNCTION("""COMPUTED_VALUE"""),"")</f>
        <v/>
      </c>
      <c r="N629" s="508" t="str">
        <f>IFERROR(__xludf.DUMMYFUNCTION("""COMPUTED_VALUE"""),"")</f>
        <v/>
      </c>
      <c r="O629" s="508" t="str">
        <f>IFERROR(__xludf.DUMMYFUNCTION("""COMPUTED_VALUE"""),"")</f>
        <v/>
      </c>
      <c r="P629" s="510" t="str">
        <f>IFERROR(__xludf.DUMMYFUNCTION("""COMPUTED_VALUE"""),"")</f>
        <v/>
      </c>
      <c r="Q629" s="508" t="str">
        <f>IFERROR(__xludf.DUMMYFUNCTION("""COMPUTED_VALUE"""),"")</f>
        <v/>
      </c>
      <c r="R629" s="508" t="str">
        <f>IFERROR(__xludf.DUMMYFUNCTION("""COMPUTED_VALUE"""),"")</f>
        <v/>
      </c>
      <c r="S629" s="510" t="str">
        <f>IFERROR(__xludf.DUMMYFUNCTION("""COMPUTED_VALUE"""),"")</f>
        <v/>
      </c>
      <c r="T629" s="510" t="str">
        <f>IFERROR(__xludf.DUMMYFUNCTION("""COMPUTED_VALUE"""),"")</f>
        <v/>
      </c>
    </row>
    <row r="630">
      <c r="A630" s="508" t="str">
        <f>IFERROR(__xludf.DUMMYFUNCTION("""COMPUTED_VALUE"""),"")</f>
        <v/>
      </c>
      <c r="B630" s="508" t="str">
        <f>IFERROR(__xludf.DUMMYFUNCTION("""COMPUTED_VALUE"""),"")</f>
        <v/>
      </c>
      <c r="C630" s="508" t="str">
        <f>IFERROR(__xludf.DUMMYFUNCTION("""COMPUTED_VALUE"""),"")</f>
        <v/>
      </c>
      <c r="D630" s="508" t="str">
        <f>IFERROR(__xludf.DUMMYFUNCTION("""COMPUTED_VALUE"""),"")</f>
        <v/>
      </c>
      <c r="E630" s="508" t="str">
        <f>IFERROR(__xludf.DUMMYFUNCTION("""COMPUTED_VALUE"""),"")</f>
        <v/>
      </c>
      <c r="F630" s="508" t="str">
        <f>IFERROR(__xludf.DUMMYFUNCTION("""COMPUTED_VALUE"""),"")</f>
        <v/>
      </c>
      <c r="G630" s="510" t="str">
        <f>IFERROR(__xludf.DUMMYFUNCTION("""COMPUTED_VALUE"""),"")</f>
        <v/>
      </c>
      <c r="H630" s="508" t="str">
        <f>IFERROR(__xludf.DUMMYFUNCTION("""COMPUTED_VALUE"""),"")</f>
        <v/>
      </c>
      <c r="I630" s="510" t="str">
        <f>IFERROR(__xludf.DUMMYFUNCTION("""COMPUTED_VALUE"""),"")</f>
        <v/>
      </c>
      <c r="J630" s="508" t="str">
        <f>IFERROR(__xludf.DUMMYFUNCTION("""COMPUTED_VALUE"""),"")</f>
        <v/>
      </c>
      <c r="K630" s="510" t="str">
        <f>IFERROR(__xludf.DUMMYFUNCTION("""COMPUTED_VALUE"""),"")</f>
        <v/>
      </c>
      <c r="L630" s="508" t="str">
        <f>IFERROR(__xludf.DUMMYFUNCTION("""COMPUTED_VALUE"""),"")</f>
        <v/>
      </c>
      <c r="M630" s="508" t="str">
        <f>IFERROR(__xludf.DUMMYFUNCTION("""COMPUTED_VALUE"""),"")</f>
        <v/>
      </c>
      <c r="N630" s="508" t="str">
        <f>IFERROR(__xludf.DUMMYFUNCTION("""COMPUTED_VALUE"""),"")</f>
        <v/>
      </c>
      <c r="O630" s="508" t="str">
        <f>IFERROR(__xludf.DUMMYFUNCTION("""COMPUTED_VALUE"""),"")</f>
        <v/>
      </c>
      <c r="P630" s="510" t="str">
        <f>IFERROR(__xludf.DUMMYFUNCTION("""COMPUTED_VALUE"""),"")</f>
        <v/>
      </c>
      <c r="Q630" s="508" t="str">
        <f>IFERROR(__xludf.DUMMYFUNCTION("""COMPUTED_VALUE"""),"")</f>
        <v/>
      </c>
      <c r="R630" s="508" t="str">
        <f>IFERROR(__xludf.DUMMYFUNCTION("""COMPUTED_VALUE"""),"")</f>
        <v/>
      </c>
      <c r="S630" s="510" t="str">
        <f>IFERROR(__xludf.DUMMYFUNCTION("""COMPUTED_VALUE"""),"")</f>
        <v/>
      </c>
      <c r="T630" s="510" t="str">
        <f>IFERROR(__xludf.DUMMYFUNCTION("""COMPUTED_VALUE"""),"")</f>
        <v/>
      </c>
    </row>
    <row r="631">
      <c r="A631" s="508" t="str">
        <f>IFERROR(__xludf.DUMMYFUNCTION("""COMPUTED_VALUE"""),"")</f>
        <v/>
      </c>
      <c r="B631" s="508" t="str">
        <f>IFERROR(__xludf.DUMMYFUNCTION("""COMPUTED_VALUE"""),"")</f>
        <v/>
      </c>
      <c r="C631" s="508" t="str">
        <f>IFERROR(__xludf.DUMMYFUNCTION("""COMPUTED_VALUE"""),"")</f>
        <v/>
      </c>
      <c r="D631" s="508" t="str">
        <f>IFERROR(__xludf.DUMMYFUNCTION("""COMPUTED_VALUE"""),"")</f>
        <v/>
      </c>
      <c r="E631" s="508" t="str">
        <f>IFERROR(__xludf.DUMMYFUNCTION("""COMPUTED_VALUE"""),"")</f>
        <v/>
      </c>
      <c r="F631" s="508" t="str">
        <f>IFERROR(__xludf.DUMMYFUNCTION("""COMPUTED_VALUE"""),"")</f>
        <v/>
      </c>
      <c r="G631" s="510" t="str">
        <f>IFERROR(__xludf.DUMMYFUNCTION("""COMPUTED_VALUE"""),"")</f>
        <v/>
      </c>
      <c r="H631" s="508" t="str">
        <f>IFERROR(__xludf.DUMMYFUNCTION("""COMPUTED_VALUE"""),"")</f>
        <v/>
      </c>
      <c r="I631" s="510" t="str">
        <f>IFERROR(__xludf.DUMMYFUNCTION("""COMPUTED_VALUE"""),"")</f>
        <v/>
      </c>
      <c r="J631" s="508" t="str">
        <f>IFERROR(__xludf.DUMMYFUNCTION("""COMPUTED_VALUE"""),"")</f>
        <v/>
      </c>
      <c r="K631" s="510" t="str">
        <f>IFERROR(__xludf.DUMMYFUNCTION("""COMPUTED_VALUE"""),"")</f>
        <v/>
      </c>
      <c r="L631" s="508" t="str">
        <f>IFERROR(__xludf.DUMMYFUNCTION("""COMPUTED_VALUE"""),"")</f>
        <v/>
      </c>
      <c r="M631" s="508" t="str">
        <f>IFERROR(__xludf.DUMMYFUNCTION("""COMPUTED_VALUE"""),"")</f>
        <v/>
      </c>
      <c r="N631" s="508" t="str">
        <f>IFERROR(__xludf.DUMMYFUNCTION("""COMPUTED_VALUE"""),"")</f>
        <v/>
      </c>
      <c r="O631" s="508" t="str">
        <f>IFERROR(__xludf.DUMMYFUNCTION("""COMPUTED_VALUE"""),"")</f>
        <v/>
      </c>
      <c r="P631" s="510" t="str">
        <f>IFERROR(__xludf.DUMMYFUNCTION("""COMPUTED_VALUE"""),"")</f>
        <v/>
      </c>
      <c r="Q631" s="508" t="str">
        <f>IFERROR(__xludf.DUMMYFUNCTION("""COMPUTED_VALUE"""),"")</f>
        <v/>
      </c>
      <c r="R631" s="508" t="str">
        <f>IFERROR(__xludf.DUMMYFUNCTION("""COMPUTED_VALUE"""),"")</f>
        <v/>
      </c>
      <c r="S631" s="510" t="str">
        <f>IFERROR(__xludf.DUMMYFUNCTION("""COMPUTED_VALUE"""),"")</f>
        <v/>
      </c>
      <c r="T631" s="510" t="str">
        <f>IFERROR(__xludf.DUMMYFUNCTION("""COMPUTED_VALUE"""),"")</f>
        <v/>
      </c>
    </row>
    <row r="632">
      <c r="A632" s="508" t="str">
        <f>IFERROR(__xludf.DUMMYFUNCTION("""COMPUTED_VALUE"""),"")</f>
        <v/>
      </c>
      <c r="B632" s="508" t="str">
        <f>IFERROR(__xludf.DUMMYFUNCTION("""COMPUTED_VALUE"""),"")</f>
        <v/>
      </c>
      <c r="C632" s="508" t="str">
        <f>IFERROR(__xludf.DUMMYFUNCTION("""COMPUTED_VALUE"""),"")</f>
        <v/>
      </c>
      <c r="D632" s="508" t="str">
        <f>IFERROR(__xludf.DUMMYFUNCTION("""COMPUTED_VALUE"""),"")</f>
        <v/>
      </c>
      <c r="E632" s="508" t="str">
        <f>IFERROR(__xludf.DUMMYFUNCTION("""COMPUTED_VALUE"""),"")</f>
        <v/>
      </c>
      <c r="F632" s="508" t="str">
        <f>IFERROR(__xludf.DUMMYFUNCTION("""COMPUTED_VALUE"""),"")</f>
        <v/>
      </c>
      <c r="G632" s="510" t="str">
        <f>IFERROR(__xludf.DUMMYFUNCTION("""COMPUTED_VALUE"""),"")</f>
        <v/>
      </c>
      <c r="H632" s="508" t="str">
        <f>IFERROR(__xludf.DUMMYFUNCTION("""COMPUTED_VALUE"""),"")</f>
        <v/>
      </c>
      <c r="I632" s="510" t="str">
        <f>IFERROR(__xludf.DUMMYFUNCTION("""COMPUTED_VALUE"""),"")</f>
        <v/>
      </c>
      <c r="J632" s="508" t="str">
        <f>IFERROR(__xludf.DUMMYFUNCTION("""COMPUTED_VALUE"""),"")</f>
        <v/>
      </c>
      <c r="K632" s="510" t="str">
        <f>IFERROR(__xludf.DUMMYFUNCTION("""COMPUTED_VALUE"""),"")</f>
        <v/>
      </c>
      <c r="L632" s="508" t="str">
        <f>IFERROR(__xludf.DUMMYFUNCTION("""COMPUTED_VALUE"""),"")</f>
        <v/>
      </c>
      <c r="M632" s="508" t="str">
        <f>IFERROR(__xludf.DUMMYFUNCTION("""COMPUTED_VALUE"""),"")</f>
        <v/>
      </c>
      <c r="N632" s="508" t="str">
        <f>IFERROR(__xludf.DUMMYFUNCTION("""COMPUTED_VALUE"""),"")</f>
        <v/>
      </c>
      <c r="O632" s="508" t="str">
        <f>IFERROR(__xludf.DUMMYFUNCTION("""COMPUTED_VALUE"""),"")</f>
        <v/>
      </c>
      <c r="P632" s="510" t="str">
        <f>IFERROR(__xludf.DUMMYFUNCTION("""COMPUTED_VALUE"""),"")</f>
        <v/>
      </c>
      <c r="Q632" s="508" t="str">
        <f>IFERROR(__xludf.DUMMYFUNCTION("""COMPUTED_VALUE"""),"")</f>
        <v/>
      </c>
      <c r="R632" s="508" t="str">
        <f>IFERROR(__xludf.DUMMYFUNCTION("""COMPUTED_VALUE"""),"")</f>
        <v/>
      </c>
      <c r="S632" s="510" t="str">
        <f>IFERROR(__xludf.DUMMYFUNCTION("""COMPUTED_VALUE"""),"")</f>
        <v/>
      </c>
      <c r="T632" s="510" t="str">
        <f>IFERROR(__xludf.DUMMYFUNCTION("""COMPUTED_VALUE"""),"")</f>
        <v/>
      </c>
    </row>
    <row r="633">
      <c r="A633" s="508" t="str">
        <f>IFERROR(__xludf.DUMMYFUNCTION("""COMPUTED_VALUE"""),"")</f>
        <v/>
      </c>
      <c r="B633" s="508" t="str">
        <f>IFERROR(__xludf.DUMMYFUNCTION("""COMPUTED_VALUE"""),"")</f>
        <v/>
      </c>
      <c r="C633" s="508" t="str">
        <f>IFERROR(__xludf.DUMMYFUNCTION("""COMPUTED_VALUE"""),"")</f>
        <v/>
      </c>
      <c r="D633" s="508" t="str">
        <f>IFERROR(__xludf.DUMMYFUNCTION("""COMPUTED_VALUE"""),"")</f>
        <v/>
      </c>
      <c r="E633" s="508" t="str">
        <f>IFERROR(__xludf.DUMMYFUNCTION("""COMPUTED_VALUE"""),"")</f>
        <v/>
      </c>
      <c r="F633" s="508" t="str">
        <f>IFERROR(__xludf.DUMMYFUNCTION("""COMPUTED_VALUE"""),"")</f>
        <v/>
      </c>
      <c r="G633" s="510" t="str">
        <f>IFERROR(__xludf.DUMMYFUNCTION("""COMPUTED_VALUE"""),"")</f>
        <v/>
      </c>
      <c r="H633" s="508" t="str">
        <f>IFERROR(__xludf.DUMMYFUNCTION("""COMPUTED_VALUE"""),"")</f>
        <v/>
      </c>
      <c r="I633" s="510" t="str">
        <f>IFERROR(__xludf.DUMMYFUNCTION("""COMPUTED_VALUE"""),"")</f>
        <v/>
      </c>
      <c r="J633" s="508" t="str">
        <f>IFERROR(__xludf.DUMMYFUNCTION("""COMPUTED_VALUE"""),"")</f>
        <v/>
      </c>
      <c r="K633" s="510" t="str">
        <f>IFERROR(__xludf.DUMMYFUNCTION("""COMPUTED_VALUE"""),"")</f>
        <v/>
      </c>
      <c r="L633" s="508" t="str">
        <f>IFERROR(__xludf.DUMMYFUNCTION("""COMPUTED_VALUE"""),"")</f>
        <v/>
      </c>
      <c r="M633" s="508" t="str">
        <f>IFERROR(__xludf.DUMMYFUNCTION("""COMPUTED_VALUE"""),"")</f>
        <v/>
      </c>
      <c r="N633" s="508" t="str">
        <f>IFERROR(__xludf.DUMMYFUNCTION("""COMPUTED_VALUE"""),"")</f>
        <v/>
      </c>
      <c r="O633" s="508" t="str">
        <f>IFERROR(__xludf.DUMMYFUNCTION("""COMPUTED_VALUE"""),"")</f>
        <v/>
      </c>
      <c r="P633" s="510" t="str">
        <f>IFERROR(__xludf.DUMMYFUNCTION("""COMPUTED_VALUE"""),"")</f>
        <v/>
      </c>
      <c r="Q633" s="508" t="str">
        <f>IFERROR(__xludf.DUMMYFUNCTION("""COMPUTED_VALUE"""),"")</f>
        <v/>
      </c>
      <c r="R633" s="508" t="str">
        <f>IFERROR(__xludf.DUMMYFUNCTION("""COMPUTED_VALUE"""),"")</f>
        <v/>
      </c>
      <c r="S633" s="510" t="str">
        <f>IFERROR(__xludf.DUMMYFUNCTION("""COMPUTED_VALUE"""),"")</f>
        <v/>
      </c>
      <c r="T633" s="510" t="str">
        <f>IFERROR(__xludf.DUMMYFUNCTION("""COMPUTED_VALUE"""),"")</f>
        <v/>
      </c>
    </row>
    <row r="634">
      <c r="A634" s="508" t="str">
        <f>IFERROR(__xludf.DUMMYFUNCTION("""COMPUTED_VALUE"""),"")</f>
        <v/>
      </c>
      <c r="B634" s="508" t="str">
        <f>IFERROR(__xludf.DUMMYFUNCTION("""COMPUTED_VALUE"""),"")</f>
        <v/>
      </c>
      <c r="C634" s="508" t="str">
        <f>IFERROR(__xludf.DUMMYFUNCTION("""COMPUTED_VALUE"""),"")</f>
        <v/>
      </c>
      <c r="D634" s="508" t="str">
        <f>IFERROR(__xludf.DUMMYFUNCTION("""COMPUTED_VALUE"""),"")</f>
        <v/>
      </c>
      <c r="E634" s="508" t="str">
        <f>IFERROR(__xludf.DUMMYFUNCTION("""COMPUTED_VALUE"""),"")</f>
        <v/>
      </c>
      <c r="F634" s="508" t="str">
        <f>IFERROR(__xludf.DUMMYFUNCTION("""COMPUTED_VALUE"""),"")</f>
        <v/>
      </c>
      <c r="G634" s="510" t="str">
        <f>IFERROR(__xludf.DUMMYFUNCTION("""COMPUTED_VALUE"""),"")</f>
        <v/>
      </c>
      <c r="H634" s="508" t="str">
        <f>IFERROR(__xludf.DUMMYFUNCTION("""COMPUTED_VALUE"""),"")</f>
        <v/>
      </c>
      <c r="I634" s="510" t="str">
        <f>IFERROR(__xludf.DUMMYFUNCTION("""COMPUTED_VALUE"""),"")</f>
        <v/>
      </c>
      <c r="J634" s="508" t="str">
        <f>IFERROR(__xludf.DUMMYFUNCTION("""COMPUTED_VALUE"""),"")</f>
        <v/>
      </c>
      <c r="K634" s="510" t="str">
        <f>IFERROR(__xludf.DUMMYFUNCTION("""COMPUTED_VALUE"""),"")</f>
        <v/>
      </c>
      <c r="L634" s="508" t="str">
        <f>IFERROR(__xludf.DUMMYFUNCTION("""COMPUTED_VALUE"""),"")</f>
        <v/>
      </c>
      <c r="M634" s="508" t="str">
        <f>IFERROR(__xludf.DUMMYFUNCTION("""COMPUTED_VALUE"""),"")</f>
        <v/>
      </c>
      <c r="N634" s="508" t="str">
        <f>IFERROR(__xludf.DUMMYFUNCTION("""COMPUTED_VALUE"""),"")</f>
        <v/>
      </c>
      <c r="O634" s="508" t="str">
        <f>IFERROR(__xludf.DUMMYFUNCTION("""COMPUTED_VALUE"""),"")</f>
        <v/>
      </c>
      <c r="P634" s="510" t="str">
        <f>IFERROR(__xludf.DUMMYFUNCTION("""COMPUTED_VALUE"""),"")</f>
        <v/>
      </c>
      <c r="Q634" s="508" t="str">
        <f>IFERROR(__xludf.DUMMYFUNCTION("""COMPUTED_VALUE"""),"")</f>
        <v/>
      </c>
      <c r="R634" s="508" t="str">
        <f>IFERROR(__xludf.DUMMYFUNCTION("""COMPUTED_VALUE"""),"")</f>
        <v/>
      </c>
      <c r="S634" s="510" t="str">
        <f>IFERROR(__xludf.DUMMYFUNCTION("""COMPUTED_VALUE"""),"")</f>
        <v/>
      </c>
      <c r="T634" s="510" t="str">
        <f>IFERROR(__xludf.DUMMYFUNCTION("""COMPUTED_VALUE"""),"")</f>
        <v/>
      </c>
    </row>
    <row r="635">
      <c r="A635" s="508" t="str">
        <f>IFERROR(__xludf.DUMMYFUNCTION("""COMPUTED_VALUE"""),"")</f>
        <v/>
      </c>
      <c r="B635" s="508" t="str">
        <f>IFERROR(__xludf.DUMMYFUNCTION("""COMPUTED_VALUE"""),"")</f>
        <v/>
      </c>
      <c r="C635" s="508" t="str">
        <f>IFERROR(__xludf.DUMMYFUNCTION("""COMPUTED_VALUE"""),"")</f>
        <v/>
      </c>
      <c r="D635" s="508" t="str">
        <f>IFERROR(__xludf.DUMMYFUNCTION("""COMPUTED_VALUE"""),"")</f>
        <v/>
      </c>
      <c r="E635" s="508" t="str">
        <f>IFERROR(__xludf.DUMMYFUNCTION("""COMPUTED_VALUE"""),"")</f>
        <v/>
      </c>
      <c r="F635" s="508" t="str">
        <f>IFERROR(__xludf.DUMMYFUNCTION("""COMPUTED_VALUE"""),"")</f>
        <v/>
      </c>
      <c r="G635" s="510" t="str">
        <f>IFERROR(__xludf.DUMMYFUNCTION("""COMPUTED_VALUE"""),"")</f>
        <v/>
      </c>
      <c r="H635" s="508" t="str">
        <f>IFERROR(__xludf.DUMMYFUNCTION("""COMPUTED_VALUE"""),"")</f>
        <v/>
      </c>
      <c r="I635" s="510" t="str">
        <f>IFERROR(__xludf.DUMMYFUNCTION("""COMPUTED_VALUE"""),"")</f>
        <v/>
      </c>
      <c r="J635" s="508" t="str">
        <f>IFERROR(__xludf.DUMMYFUNCTION("""COMPUTED_VALUE"""),"")</f>
        <v/>
      </c>
      <c r="K635" s="510" t="str">
        <f>IFERROR(__xludf.DUMMYFUNCTION("""COMPUTED_VALUE"""),"")</f>
        <v/>
      </c>
      <c r="L635" s="508" t="str">
        <f>IFERROR(__xludf.DUMMYFUNCTION("""COMPUTED_VALUE"""),"")</f>
        <v/>
      </c>
      <c r="M635" s="508" t="str">
        <f>IFERROR(__xludf.DUMMYFUNCTION("""COMPUTED_VALUE"""),"")</f>
        <v/>
      </c>
      <c r="N635" s="508" t="str">
        <f>IFERROR(__xludf.DUMMYFUNCTION("""COMPUTED_VALUE"""),"")</f>
        <v/>
      </c>
      <c r="O635" s="508" t="str">
        <f>IFERROR(__xludf.DUMMYFUNCTION("""COMPUTED_VALUE"""),"")</f>
        <v/>
      </c>
      <c r="P635" s="510" t="str">
        <f>IFERROR(__xludf.DUMMYFUNCTION("""COMPUTED_VALUE"""),"")</f>
        <v/>
      </c>
      <c r="Q635" s="508" t="str">
        <f>IFERROR(__xludf.DUMMYFUNCTION("""COMPUTED_VALUE"""),"")</f>
        <v/>
      </c>
      <c r="R635" s="508" t="str">
        <f>IFERROR(__xludf.DUMMYFUNCTION("""COMPUTED_VALUE"""),"")</f>
        <v/>
      </c>
      <c r="S635" s="510" t="str">
        <f>IFERROR(__xludf.DUMMYFUNCTION("""COMPUTED_VALUE"""),"")</f>
        <v/>
      </c>
      <c r="T635" s="510" t="str">
        <f>IFERROR(__xludf.DUMMYFUNCTION("""COMPUTED_VALUE"""),"")</f>
        <v/>
      </c>
    </row>
    <row r="636">
      <c r="A636" s="508" t="str">
        <f>IFERROR(__xludf.DUMMYFUNCTION("""COMPUTED_VALUE"""),"")</f>
        <v/>
      </c>
      <c r="B636" s="508" t="str">
        <f>IFERROR(__xludf.DUMMYFUNCTION("""COMPUTED_VALUE"""),"")</f>
        <v/>
      </c>
      <c r="C636" s="508" t="str">
        <f>IFERROR(__xludf.DUMMYFUNCTION("""COMPUTED_VALUE"""),"")</f>
        <v/>
      </c>
      <c r="D636" s="508" t="str">
        <f>IFERROR(__xludf.DUMMYFUNCTION("""COMPUTED_VALUE"""),"")</f>
        <v/>
      </c>
      <c r="E636" s="508" t="str">
        <f>IFERROR(__xludf.DUMMYFUNCTION("""COMPUTED_VALUE"""),"")</f>
        <v/>
      </c>
      <c r="F636" s="508" t="str">
        <f>IFERROR(__xludf.DUMMYFUNCTION("""COMPUTED_VALUE"""),"")</f>
        <v/>
      </c>
      <c r="G636" s="510" t="str">
        <f>IFERROR(__xludf.DUMMYFUNCTION("""COMPUTED_VALUE"""),"")</f>
        <v/>
      </c>
      <c r="H636" s="508" t="str">
        <f>IFERROR(__xludf.DUMMYFUNCTION("""COMPUTED_VALUE"""),"")</f>
        <v/>
      </c>
      <c r="I636" s="510" t="str">
        <f>IFERROR(__xludf.DUMMYFUNCTION("""COMPUTED_VALUE"""),"")</f>
        <v/>
      </c>
      <c r="J636" s="508" t="str">
        <f>IFERROR(__xludf.DUMMYFUNCTION("""COMPUTED_VALUE"""),"")</f>
        <v/>
      </c>
      <c r="K636" s="510" t="str">
        <f>IFERROR(__xludf.DUMMYFUNCTION("""COMPUTED_VALUE"""),"")</f>
        <v/>
      </c>
      <c r="L636" s="508" t="str">
        <f>IFERROR(__xludf.DUMMYFUNCTION("""COMPUTED_VALUE"""),"")</f>
        <v/>
      </c>
      <c r="M636" s="508" t="str">
        <f>IFERROR(__xludf.DUMMYFUNCTION("""COMPUTED_VALUE"""),"")</f>
        <v/>
      </c>
      <c r="N636" s="508" t="str">
        <f>IFERROR(__xludf.DUMMYFUNCTION("""COMPUTED_VALUE"""),"")</f>
        <v/>
      </c>
      <c r="O636" s="508" t="str">
        <f>IFERROR(__xludf.DUMMYFUNCTION("""COMPUTED_VALUE"""),"")</f>
        <v/>
      </c>
      <c r="P636" s="510" t="str">
        <f>IFERROR(__xludf.DUMMYFUNCTION("""COMPUTED_VALUE"""),"")</f>
        <v/>
      </c>
      <c r="Q636" s="508" t="str">
        <f>IFERROR(__xludf.DUMMYFUNCTION("""COMPUTED_VALUE"""),"")</f>
        <v/>
      </c>
      <c r="R636" s="508" t="str">
        <f>IFERROR(__xludf.DUMMYFUNCTION("""COMPUTED_VALUE"""),"")</f>
        <v/>
      </c>
      <c r="S636" s="510" t="str">
        <f>IFERROR(__xludf.DUMMYFUNCTION("""COMPUTED_VALUE"""),"")</f>
        <v/>
      </c>
      <c r="T636" s="510" t="str">
        <f>IFERROR(__xludf.DUMMYFUNCTION("""COMPUTED_VALUE"""),"")</f>
        <v/>
      </c>
    </row>
    <row r="637">
      <c r="A637" s="508" t="str">
        <f>IFERROR(__xludf.DUMMYFUNCTION("""COMPUTED_VALUE"""),"")</f>
        <v/>
      </c>
      <c r="B637" s="508" t="str">
        <f>IFERROR(__xludf.DUMMYFUNCTION("""COMPUTED_VALUE"""),"")</f>
        <v/>
      </c>
      <c r="C637" s="508" t="str">
        <f>IFERROR(__xludf.DUMMYFUNCTION("""COMPUTED_VALUE"""),"")</f>
        <v/>
      </c>
      <c r="D637" s="508" t="str">
        <f>IFERROR(__xludf.DUMMYFUNCTION("""COMPUTED_VALUE"""),"")</f>
        <v/>
      </c>
      <c r="E637" s="508" t="str">
        <f>IFERROR(__xludf.DUMMYFUNCTION("""COMPUTED_VALUE"""),"")</f>
        <v/>
      </c>
      <c r="F637" s="508" t="str">
        <f>IFERROR(__xludf.DUMMYFUNCTION("""COMPUTED_VALUE"""),"")</f>
        <v/>
      </c>
      <c r="G637" s="510" t="str">
        <f>IFERROR(__xludf.DUMMYFUNCTION("""COMPUTED_VALUE"""),"")</f>
        <v/>
      </c>
      <c r="H637" s="508" t="str">
        <f>IFERROR(__xludf.DUMMYFUNCTION("""COMPUTED_VALUE"""),"")</f>
        <v/>
      </c>
      <c r="I637" s="510" t="str">
        <f>IFERROR(__xludf.DUMMYFUNCTION("""COMPUTED_VALUE"""),"")</f>
        <v/>
      </c>
      <c r="J637" s="508" t="str">
        <f>IFERROR(__xludf.DUMMYFUNCTION("""COMPUTED_VALUE"""),"")</f>
        <v/>
      </c>
      <c r="K637" s="510" t="str">
        <f>IFERROR(__xludf.DUMMYFUNCTION("""COMPUTED_VALUE"""),"")</f>
        <v/>
      </c>
      <c r="L637" s="508" t="str">
        <f>IFERROR(__xludf.DUMMYFUNCTION("""COMPUTED_VALUE"""),"")</f>
        <v/>
      </c>
      <c r="M637" s="508" t="str">
        <f>IFERROR(__xludf.DUMMYFUNCTION("""COMPUTED_VALUE"""),"")</f>
        <v/>
      </c>
      <c r="N637" s="508" t="str">
        <f>IFERROR(__xludf.DUMMYFUNCTION("""COMPUTED_VALUE"""),"")</f>
        <v/>
      </c>
      <c r="O637" s="508" t="str">
        <f>IFERROR(__xludf.DUMMYFUNCTION("""COMPUTED_VALUE"""),"")</f>
        <v/>
      </c>
      <c r="P637" s="510" t="str">
        <f>IFERROR(__xludf.DUMMYFUNCTION("""COMPUTED_VALUE"""),"")</f>
        <v/>
      </c>
      <c r="Q637" s="508" t="str">
        <f>IFERROR(__xludf.DUMMYFUNCTION("""COMPUTED_VALUE"""),"")</f>
        <v/>
      </c>
      <c r="R637" s="508" t="str">
        <f>IFERROR(__xludf.DUMMYFUNCTION("""COMPUTED_VALUE"""),"")</f>
        <v/>
      </c>
      <c r="S637" s="510" t="str">
        <f>IFERROR(__xludf.DUMMYFUNCTION("""COMPUTED_VALUE"""),"")</f>
        <v/>
      </c>
      <c r="T637" s="510" t="str">
        <f>IFERROR(__xludf.DUMMYFUNCTION("""COMPUTED_VALUE"""),"")</f>
        <v/>
      </c>
    </row>
    <row r="638">
      <c r="A638" s="508" t="str">
        <f>IFERROR(__xludf.DUMMYFUNCTION("""COMPUTED_VALUE"""),"")</f>
        <v/>
      </c>
      <c r="B638" s="508" t="str">
        <f>IFERROR(__xludf.DUMMYFUNCTION("""COMPUTED_VALUE"""),"")</f>
        <v/>
      </c>
      <c r="C638" s="508" t="str">
        <f>IFERROR(__xludf.DUMMYFUNCTION("""COMPUTED_VALUE"""),"")</f>
        <v/>
      </c>
      <c r="D638" s="508" t="str">
        <f>IFERROR(__xludf.DUMMYFUNCTION("""COMPUTED_VALUE"""),"")</f>
        <v/>
      </c>
      <c r="E638" s="508" t="str">
        <f>IFERROR(__xludf.DUMMYFUNCTION("""COMPUTED_VALUE"""),"")</f>
        <v/>
      </c>
      <c r="F638" s="508" t="str">
        <f>IFERROR(__xludf.DUMMYFUNCTION("""COMPUTED_VALUE"""),"")</f>
        <v/>
      </c>
      <c r="G638" s="510" t="str">
        <f>IFERROR(__xludf.DUMMYFUNCTION("""COMPUTED_VALUE"""),"")</f>
        <v/>
      </c>
      <c r="H638" s="508" t="str">
        <f>IFERROR(__xludf.DUMMYFUNCTION("""COMPUTED_VALUE"""),"")</f>
        <v/>
      </c>
      <c r="I638" s="510" t="str">
        <f>IFERROR(__xludf.DUMMYFUNCTION("""COMPUTED_VALUE"""),"")</f>
        <v/>
      </c>
      <c r="J638" s="508" t="str">
        <f>IFERROR(__xludf.DUMMYFUNCTION("""COMPUTED_VALUE"""),"")</f>
        <v/>
      </c>
      <c r="K638" s="510" t="str">
        <f>IFERROR(__xludf.DUMMYFUNCTION("""COMPUTED_VALUE"""),"")</f>
        <v/>
      </c>
      <c r="L638" s="508" t="str">
        <f>IFERROR(__xludf.DUMMYFUNCTION("""COMPUTED_VALUE"""),"")</f>
        <v/>
      </c>
      <c r="M638" s="508" t="str">
        <f>IFERROR(__xludf.DUMMYFUNCTION("""COMPUTED_VALUE"""),"")</f>
        <v/>
      </c>
      <c r="N638" s="508" t="str">
        <f>IFERROR(__xludf.DUMMYFUNCTION("""COMPUTED_VALUE"""),"")</f>
        <v/>
      </c>
      <c r="O638" s="508" t="str">
        <f>IFERROR(__xludf.DUMMYFUNCTION("""COMPUTED_VALUE"""),"")</f>
        <v/>
      </c>
      <c r="P638" s="510" t="str">
        <f>IFERROR(__xludf.DUMMYFUNCTION("""COMPUTED_VALUE"""),"")</f>
        <v/>
      </c>
      <c r="Q638" s="508" t="str">
        <f>IFERROR(__xludf.DUMMYFUNCTION("""COMPUTED_VALUE"""),"")</f>
        <v/>
      </c>
      <c r="R638" s="508" t="str">
        <f>IFERROR(__xludf.DUMMYFUNCTION("""COMPUTED_VALUE"""),"")</f>
        <v/>
      </c>
      <c r="S638" s="510" t="str">
        <f>IFERROR(__xludf.DUMMYFUNCTION("""COMPUTED_VALUE"""),"")</f>
        <v/>
      </c>
      <c r="T638" s="510" t="str">
        <f>IFERROR(__xludf.DUMMYFUNCTION("""COMPUTED_VALUE"""),"")</f>
        <v/>
      </c>
    </row>
    <row r="639">
      <c r="A639" s="508" t="str">
        <f>IFERROR(__xludf.DUMMYFUNCTION("""COMPUTED_VALUE"""),"")</f>
        <v/>
      </c>
      <c r="B639" s="508" t="str">
        <f>IFERROR(__xludf.DUMMYFUNCTION("""COMPUTED_VALUE"""),"")</f>
        <v/>
      </c>
      <c r="C639" s="508" t="str">
        <f>IFERROR(__xludf.DUMMYFUNCTION("""COMPUTED_VALUE"""),"")</f>
        <v/>
      </c>
      <c r="D639" s="508" t="str">
        <f>IFERROR(__xludf.DUMMYFUNCTION("""COMPUTED_VALUE"""),"")</f>
        <v/>
      </c>
      <c r="E639" s="508" t="str">
        <f>IFERROR(__xludf.DUMMYFUNCTION("""COMPUTED_VALUE"""),"")</f>
        <v/>
      </c>
      <c r="F639" s="508" t="str">
        <f>IFERROR(__xludf.DUMMYFUNCTION("""COMPUTED_VALUE"""),"")</f>
        <v/>
      </c>
      <c r="G639" s="510" t="str">
        <f>IFERROR(__xludf.DUMMYFUNCTION("""COMPUTED_VALUE"""),"")</f>
        <v/>
      </c>
      <c r="H639" s="508" t="str">
        <f>IFERROR(__xludf.DUMMYFUNCTION("""COMPUTED_VALUE"""),"")</f>
        <v/>
      </c>
      <c r="I639" s="510" t="str">
        <f>IFERROR(__xludf.DUMMYFUNCTION("""COMPUTED_VALUE"""),"")</f>
        <v/>
      </c>
      <c r="J639" s="508" t="str">
        <f>IFERROR(__xludf.DUMMYFUNCTION("""COMPUTED_VALUE"""),"")</f>
        <v/>
      </c>
      <c r="K639" s="510" t="str">
        <f>IFERROR(__xludf.DUMMYFUNCTION("""COMPUTED_VALUE"""),"")</f>
        <v/>
      </c>
      <c r="L639" s="508" t="str">
        <f>IFERROR(__xludf.DUMMYFUNCTION("""COMPUTED_VALUE"""),"")</f>
        <v/>
      </c>
      <c r="M639" s="508" t="str">
        <f>IFERROR(__xludf.DUMMYFUNCTION("""COMPUTED_VALUE"""),"")</f>
        <v/>
      </c>
      <c r="N639" s="508" t="str">
        <f>IFERROR(__xludf.DUMMYFUNCTION("""COMPUTED_VALUE"""),"")</f>
        <v/>
      </c>
      <c r="O639" s="508" t="str">
        <f>IFERROR(__xludf.DUMMYFUNCTION("""COMPUTED_VALUE"""),"")</f>
        <v/>
      </c>
      <c r="P639" s="510" t="str">
        <f>IFERROR(__xludf.DUMMYFUNCTION("""COMPUTED_VALUE"""),"")</f>
        <v/>
      </c>
      <c r="Q639" s="508" t="str">
        <f>IFERROR(__xludf.DUMMYFUNCTION("""COMPUTED_VALUE"""),"")</f>
        <v/>
      </c>
      <c r="R639" s="508" t="str">
        <f>IFERROR(__xludf.DUMMYFUNCTION("""COMPUTED_VALUE"""),"")</f>
        <v/>
      </c>
      <c r="S639" s="510" t="str">
        <f>IFERROR(__xludf.DUMMYFUNCTION("""COMPUTED_VALUE"""),"")</f>
        <v/>
      </c>
      <c r="T639" s="510" t="str">
        <f>IFERROR(__xludf.DUMMYFUNCTION("""COMPUTED_VALUE"""),"")</f>
        <v/>
      </c>
    </row>
    <row r="640">
      <c r="A640" s="508" t="str">
        <f>IFERROR(__xludf.DUMMYFUNCTION("""COMPUTED_VALUE"""),"")</f>
        <v/>
      </c>
      <c r="B640" s="508" t="str">
        <f>IFERROR(__xludf.DUMMYFUNCTION("""COMPUTED_VALUE"""),"")</f>
        <v/>
      </c>
      <c r="C640" s="508" t="str">
        <f>IFERROR(__xludf.DUMMYFUNCTION("""COMPUTED_VALUE"""),"")</f>
        <v/>
      </c>
      <c r="D640" s="508" t="str">
        <f>IFERROR(__xludf.DUMMYFUNCTION("""COMPUTED_VALUE"""),"")</f>
        <v/>
      </c>
      <c r="E640" s="508" t="str">
        <f>IFERROR(__xludf.DUMMYFUNCTION("""COMPUTED_VALUE"""),"")</f>
        <v/>
      </c>
      <c r="F640" s="508" t="str">
        <f>IFERROR(__xludf.DUMMYFUNCTION("""COMPUTED_VALUE"""),"")</f>
        <v/>
      </c>
      <c r="G640" s="510" t="str">
        <f>IFERROR(__xludf.DUMMYFUNCTION("""COMPUTED_VALUE"""),"")</f>
        <v/>
      </c>
      <c r="H640" s="508" t="str">
        <f>IFERROR(__xludf.DUMMYFUNCTION("""COMPUTED_VALUE"""),"")</f>
        <v/>
      </c>
      <c r="I640" s="510" t="str">
        <f>IFERROR(__xludf.DUMMYFUNCTION("""COMPUTED_VALUE"""),"")</f>
        <v/>
      </c>
      <c r="J640" s="508" t="str">
        <f>IFERROR(__xludf.DUMMYFUNCTION("""COMPUTED_VALUE"""),"")</f>
        <v/>
      </c>
      <c r="K640" s="510" t="str">
        <f>IFERROR(__xludf.DUMMYFUNCTION("""COMPUTED_VALUE"""),"")</f>
        <v/>
      </c>
      <c r="L640" s="508" t="str">
        <f>IFERROR(__xludf.DUMMYFUNCTION("""COMPUTED_VALUE"""),"")</f>
        <v/>
      </c>
      <c r="M640" s="508" t="str">
        <f>IFERROR(__xludf.DUMMYFUNCTION("""COMPUTED_VALUE"""),"")</f>
        <v/>
      </c>
      <c r="N640" s="508" t="str">
        <f>IFERROR(__xludf.DUMMYFUNCTION("""COMPUTED_VALUE"""),"")</f>
        <v/>
      </c>
      <c r="O640" s="508" t="str">
        <f>IFERROR(__xludf.DUMMYFUNCTION("""COMPUTED_VALUE"""),"")</f>
        <v/>
      </c>
      <c r="P640" s="510" t="str">
        <f>IFERROR(__xludf.DUMMYFUNCTION("""COMPUTED_VALUE"""),"")</f>
        <v/>
      </c>
      <c r="Q640" s="508" t="str">
        <f>IFERROR(__xludf.DUMMYFUNCTION("""COMPUTED_VALUE"""),"")</f>
        <v/>
      </c>
      <c r="R640" s="508" t="str">
        <f>IFERROR(__xludf.DUMMYFUNCTION("""COMPUTED_VALUE"""),"")</f>
        <v/>
      </c>
      <c r="S640" s="510" t="str">
        <f>IFERROR(__xludf.DUMMYFUNCTION("""COMPUTED_VALUE"""),"")</f>
        <v/>
      </c>
      <c r="T640" s="510" t="str">
        <f>IFERROR(__xludf.DUMMYFUNCTION("""COMPUTED_VALUE"""),"")</f>
        <v/>
      </c>
    </row>
    <row r="641">
      <c r="A641" s="508" t="str">
        <f>IFERROR(__xludf.DUMMYFUNCTION("""COMPUTED_VALUE"""),"")</f>
        <v/>
      </c>
      <c r="B641" s="508" t="str">
        <f>IFERROR(__xludf.DUMMYFUNCTION("""COMPUTED_VALUE"""),"")</f>
        <v/>
      </c>
      <c r="C641" s="508" t="str">
        <f>IFERROR(__xludf.DUMMYFUNCTION("""COMPUTED_VALUE"""),"")</f>
        <v/>
      </c>
      <c r="D641" s="508" t="str">
        <f>IFERROR(__xludf.DUMMYFUNCTION("""COMPUTED_VALUE"""),"")</f>
        <v/>
      </c>
      <c r="E641" s="508" t="str">
        <f>IFERROR(__xludf.DUMMYFUNCTION("""COMPUTED_VALUE"""),"")</f>
        <v/>
      </c>
      <c r="F641" s="508" t="str">
        <f>IFERROR(__xludf.DUMMYFUNCTION("""COMPUTED_VALUE"""),"")</f>
        <v/>
      </c>
      <c r="G641" s="510" t="str">
        <f>IFERROR(__xludf.DUMMYFUNCTION("""COMPUTED_VALUE"""),"")</f>
        <v/>
      </c>
      <c r="H641" s="508" t="str">
        <f>IFERROR(__xludf.DUMMYFUNCTION("""COMPUTED_VALUE"""),"")</f>
        <v/>
      </c>
      <c r="I641" s="510" t="str">
        <f>IFERROR(__xludf.DUMMYFUNCTION("""COMPUTED_VALUE"""),"")</f>
        <v/>
      </c>
      <c r="J641" s="508" t="str">
        <f>IFERROR(__xludf.DUMMYFUNCTION("""COMPUTED_VALUE"""),"")</f>
        <v/>
      </c>
      <c r="K641" s="510" t="str">
        <f>IFERROR(__xludf.DUMMYFUNCTION("""COMPUTED_VALUE"""),"")</f>
        <v/>
      </c>
      <c r="L641" s="508" t="str">
        <f>IFERROR(__xludf.DUMMYFUNCTION("""COMPUTED_VALUE"""),"")</f>
        <v/>
      </c>
      <c r="M641" s="508" t="str">
        <f>IFERROR(__xludf.DUMMYFUNCTION("""COMPUTED_VALUE"""),"")</f>
        <v/>
      </c>
      <c r="N641" s="508" t="str">
        <f>IFERROR(__xludf.DUMMYFUNCTION("""COMPUTED_VALUE"""),"")</f>
        <v/>
      </c>
      <c r="O641" s="508" t="str">
        <f>IFERROR(__xludf.DUMMYFUNCTION("""COMPUTED_VALUE"""),"")</f>
        <v/>
      </c>
      <c r="P641" s="510" t="str">
        <f>IFERROR(__xludf.DUMMYFUNCTION("""COMPUTED_VALUE"""),"")</f>
        <v/>
      </c>
      <c r="Q641" s="508" t="str">
        <f>IFERROR(__xludf.DUMMYFUNCTION("""COMPUTED_VALUE"""),"")</f>
        <v/>
      </c>
      <c r="R641" s="508" t="str">
        <f>IFERROR(__xludf.DUMMYFUNCTION("""COMPUTED_VALUE"""),"")</f>
        <v/>
      </c>
      <c r="S641" s="510" t="str">
        <f>IFERROR(__xludf.DUMMYFUNCTION("""COMPUTED_VALUE"""),"")</f>
        <v/>
      </c>
      <c r="T641" s="510" t="str">
        <f>IFERROR(__xludf.DUMMYFUNCTION("""COMPUTED_VALUE"""),"")</f>
        <v/>
      </c>
    </row>
    <row r="642">
      <c r="A642" s="508" t="str">
        <f>IFERROR(__xludf.DUMMYFUNCTION("""COMPUTED_VALUE"""),"")</f>
        <v/>
      </c>
      <c r="B642" s="508" t="str">
        <f>IFERROR(__xludf.DUMMYFUNCTION("""COMPUTED_VALUE"""),"")</f>
        <v/>
      </c>
      <c r="C642" s="508" t="str">
        <f>IFERROR(__xludf.DUMMYFUNCTION("""COMPUTED_VALUE"""),"")</f>
        <v/>
      </c>
      <c r="D642" s="508" t="str">
        <f>IFERROR(__xludf.DUMMYFUNCTION("""COMPUTED_VALUE"""),"")</f>
        <v/>
      </c>
      <c r="E642" s="508" t="str">
        <f>IFERROR(__xludf.DUMMYFUNCTION("""COMPUTED_VALUE"""),"")</f>
        <v/>
      </c>
      <c r="F642" s="508" t="str">
        <f>IFERROR(__xludf.DUMMYFUNCTION("""COMPUTED_VALUE"""),"")</f>
        <v/>
      </c>
      <c r="G642" s="510" t="str">
        <f>IFERROR(__xludf.DUMMYFUNCTION("""COMPUTED_VALUE"""),"")</f>
        <v/>
      </c>
      <c r="H642" s="508" t="str">
        <f>IFERROR(__xludf.DUMMYFUNCTION("""COMPUTED_VALUE"""),"")</f>
        <v/>
      </c>
      <c r="I642" s="510" t="str">
        <f>IFERROR(__xludf.DUMMYFUNCTION("""COMPUTED_VALUE"""),"")</f>
        <v/>
      </c>
      <c r="J642" s="508" t="str">
        <f>IFERROR(__xludf.DUMMYFUNCTION("""COMPUTED_VALUE"""),"")</f>
        <v/>
      </c>
      <c r="K642" s="510" t="str">
        <f>IFERROR(__xludf.DUMMYFUNCTION("""COMPUTED_VALUE"""),"")</f>
        <v/>
      </c>
      <c r="L642" s="508" t="str">
        <f>IFERROR(__xludf.DUMMYFUNCTION("""COMPUTED_VALUE"""),"")</f>
        <v/>
      </c>
      <c r="M642" s="508" t="str">
        <f>IFERROR(__xludf.DUMMYFUNCTION("""COMPUTED_VALUE"""),"")</f>
        <v/>
      </c>
      <c r="N642" s="508" t="str">
        <f>IFERROR(__xludf.DUMMYFUNCTION("""COMPUTED_VALUE"""),"")</f>
        <v/>
      </c>
      <c r="O642" s="508" t="str">
        <f>IFERROR(__xludf.DUMMYFUNCTION("""COMPUTED_VALUE"""),"")</f>
        <v/>
      </c>
      <c r="P642" s="510" t="str">
        <f>IFERROR(__xludf.DUMMYFUNCTION("""COMPUTED_VALUE"""),"")</f>
        <v/>
      </c>
      <c r="Q642" s="508" t="str">
        <f>IFERROR(__xludf.DUMMYFUNCTION("""COMPUTED_VALUE"""),"")</f>
        <v/>
      </c>
      <c r="R642" s="508" t="str">
        <f>IFERROR(__xludf.DUMMYFUNCTION("""COMPUTED_VALUE"""),"")</f>
        <v/>
      </c>
      <c r="S642" s="510" t="str">
        <f>IFERROR(__xludf.DUMMYFUNCTION("""COMPUTED_VALUE"""),"")</f>
        <v/>
      </c>
      <c r="T642" s="510" t="str">
        <f>IFERROR(__xludf.DUMMYFUNCTION("""COMPUTED_VALUE"""),"")</f>
        <v/>
      </c>
    </row>
    <row r="643">
      <c r="A643" s="508" t="str">
        <f>IFERROR(__xludf.DUMMYFUNCTION("""COMPUTED_VALUE"""),"")</f>
        <v/>
      </c>
      <c r="B643" s="508" t="str">
        <f>IFERROR(__xludf.DUMMYFUNCTION("""COMPUTED_VALUE"""),"")</f>
        <v/>
      </c>
      <c r="C643" s="508" t="str">
        <f>IFERROR(__xludf.DUMMYFUNCTION("""COMPUTED_VALUE"""),"")</f>
        <v/>
      </c>
      <c r="D643" s="508" t="str">
        <f>IFERROR(__xludf.DUMMYFUNCTION("""COMPUTED_VALUE"""),"")</f>
        <v/>
      </c>
      <c r="E643" s="508" t="str">
        <f>IFERROR(__xludf.DUMMYFUNCTION("""COMPUTED_VALUE"""),"")</f>
        <v/>
      </c>
      <c r="F643" s="508" t="str">
        <f>IFERROR(__xludf.DUMMYFUNCTION("""COMPUTED_VALUE"""),"")</f>
        <v/>
      </c>
      <c r="G643" s="510" t="str">
        <f>IFERROR(__xludf.DUMMYFUNCTION("""COMPUTED_VALUE"""),"")</f>
        <v/>
      </c>
      <c r="H643" s="508" t="str">
        <f>IFERROR(__xludf.DUMMYFUNCTION("""COMPUTED_VALUE"""),"")</f>
        <v/>
      </c>
      <c r="I643" s="510" t="str">
        <f>IFERROR(__xludf.DUMMYFUNCTION("""COMPUTED_VALUE"""),"")</f>
        <v/>
      </c>
      <c r="J643" s="508" t="str">
        <f>IFERROR(__xludf.DUMMYFUNCTION("""COMPUTED_VALUE"""),"")</f>
        <v/>
      </c>
      <c r="K643" s="510" t="str">
        <f>IFERROR(__xludf.DUMMYFUNCTION("""COMPUTED_VALUE"""),"")</f>
        <v/>
      </c>
      <c r="L643" s="508" t="str">
        <f>IFERROR(__xludf.DUMMYFUNCTION("""COMPUTED_VALUE"""),"")</f>
        <v/>
      </c>
      <c r="M643" s="508" t="str">
        <f>IFERROR(__xludf.DUMMYFUNCTION("""COMPUTED_VALUE"""),"")</f>
        <v/>
      </c>
      <c r="N643" s="508" t="str">
        <f>IFERROR(__xludf.DUMMYFUNCTION("""COMPUTED_VALUE"""),"")</f>
        <v/>
      </c>
      <c r="O643" s="508" t="str">
        <f>IFERROR(__xludf.DUMMYFUNCTION("""COMPUTED_VALUE"""),"")</f>
        <v/>
      </c>
      <c r="P643" s="510" t="str">
        <f>IFERROR(__xludf.DUMMYFUNCTION("""COMPUTED_VALUE"""),"")</f>
        <v/>
      </c>
      <c r="Q643" s="508" t="str">
        <f>IFERROR(__xludf.DUMMYFUNCTION("""COMPUTED_VALUE"""),"")</f>
        <v/>
      </c>
      <c r="R643" s="508" t="str">
        <f>IFERROR(__xludf.DUMMYFUNCTION("""COMPUTED_VALUE"""),"")</f>
        <v/>
      </c>
      <c r="S643" s="510" t="str">
        <f>IFERROR(__xludf.DUMMYFUNCTION("""COMPUTED_VALUE"""),"")</f>
        <v/>
      </c>
      <c r="T643" s="510" t="str">
        <f>IFERROR(__xludf.DUMMYFUNCTION("""COMPUTED_VALUE"""),"")</f>
        <v/>
      </c>
    </row>
    <row r="644">
      <c r="A644" s="508" t="str">
        <f>IFERROR(__xludf.DUMMYFUNCTION("""COMPUTED_VALUE"""),"")</f>
        <v/>
      </c>
      <c r="B644" s="508" t="str">
        <f>IFERROR(__xludf.DUMMYFUNCTION("""COMPUTED_VALUE"""),"")</f>
        <v/>
      </c>
      <c r="C644" s="508" t="str">
        <f>IFERROR(__xludf.DUMMYFUNCTION("""COMPUTED_VALUE"""),"")</f>
        <v/>
      </c>
      <c r="D644" s="508" t="str">
        <f>IFERROR(__xludf.DUMMYFUNCTION("""COMPUTED_VALUE"""),"")</f>
        <v/>
      </c>
      <c r="E644" s="508" t="str">
        <f>IFERROR(__xludf.DUMMYFUNCTION("""COMPUTED_VALUE"""),"")</f>
        <v/>
      </c>
      <c r="F644" s="508" t="str">
        <f>IFERROR(__xludf.DUMMYFUNCTION("""COMPUTED_VALUE"""),"")</f>
        <v/>
      </c>
      <c r="G644" s="510" t="str">
        <f>IFERROR(__xludf.DUMMYFUNCTION("""COMPUTED_VALUE"""),"")</f>
        <v/>
      </c>
      <c r="H644" s="508" t="str">
        <f>IFERROR(__xludf.DUMMYFUNCTION("""COMPUTED_VALUE"""),"")</f>
        <v/>
      </c>
      <c r="I644" s="510" t="str">
        <f>IFERROR(__xludf.DUMMYFUNCTION("""COMPUTED_VALUE"""),"")</f>
        <v/>
      </c>
      <c r="J644" s="508" t="str">
        <f>IFERROR(__xludf.DUMMYFUNCTION("""COMPUTED_VALUE"""),"")</f>
        <v/>
      </c>
      <c r="K644" s="510" t="str">
        <f>IFERROR(__xludf.DUMMYFUNCTION("""COMPUTED_VALUE"""),"")</f>
        <v/>
      </c>
      <c r="L644" s="508" t="str">
        <f>IFERROR(__xludf.DUMMYFUNCTION("""COMPUTED_VALUE"""),"")</f>
        <v/>
      </c>
      <c r="M644" s="508" t="str">
        <f>IFERROR(__xludf.DUMMYFUNCTION("""COMPUTED_VALUE"""),"")</f>
        <v/>
      </c>
      <c r="N644" s="508" t="str">
        <f>IFERROR(__xludf.DUMMYFUNCTION("""COMPUTED_VALUE"""),"")</f>
        <v/>
      </c>
      <c r="O644" s="508" t="str">
        <f>IFERROR(__xludf.DUMMYFUNCTION("""COMPUTED_VALUE"""),"")</f>
        <v/>
      </c>
      <c r="P644" s="510" t="str">
        <f>IFERROR(__xludf.DUMMYFUNCTION("""COMPUTED_VALUE"""),"")</f>
        <v/>
      </c>
      <c r="Q644" s="508" t="str">
        <f>IFERROR(__xludf.DUMMYFUNCTION("""COMPUTED_VALUE"""),"")</f>
        <v/>
      </c>
      <c r="R644" s="508" t="str">
        <f>IFERROR(__xludf.DUMMYFUNCTION("""COMPUTED_VALUE"""),"")</f>
        <v/>
      </c>
      <c r="S644" s="510" t="str">
        <f>IFERROR(__xludf.DUMMYFUNCTION("""COMPUTED_VALUE"""),"")</f>
        <v/>
      </c>
      <c r="T644" s="510" t="str">
        <f>IFERROR(__xludf.DUMMYFUNCTION("""COMPUTED_VALUE"""),"")</f>
        <v/>
      </c>
    </row>
    <row r="645">
      <c r="A645" s="508" t="str">
        <f>IFERROR(__xludf.DUMMYFUNCTION("""COMPUTED_VALUE"""),"")</f>
        <v/>
      </c>
      <c r="B645" s="508" t="str">
        <f>IFERROR(__xludf.DUMMYFUNCTION("""COMPUTED_VALUE"""),"")</f>
        <v/>
      </c>
      <c r="C645" s="508" t="str">
        <f>IFERROR(__xludf.DUMMYFUNCTION("""COMPUTED_VALUE"""),"")</f>
        <v/>
      </c>
      <c r="D645" s="508" t="str">
        <f>IFERROR(__xludf.DUMMYFUNCTION("""COMPUTED_VALUE"""),"")</f>
        <v/>
      </c>
      <c r="E645" s="508" t="str">
        <f>IFERROR(__xludf.DUMMYFUNCTION("""COMPUTED_VALUE"""),"")</f>
        <v/>
      </c>
      <c r="F645" s="508" t="str">
        <f>IFERROR(__xludf.DUMMYFUNCTION("""COMPUTED_VALUE"""),"")</f>
        <v/>
      </c>
      <c r="G645" s="510" t="str">
        <f>IFERROR(__xludf.DUMMYFUNCTION("""COMPUTED_VALUE"""),"")</f>
        <v/>
      </c>
      <c r="H645" s="508" t="str">
        <f>IFERROR(__xludf.DUMMYFUNCTION("""COMPUTED_VALUE"""),"")</f>
        <v/>
      </c>
      <c r="I645" s="510" t="str">
        <f>IFERROR(__xludf.DUMMYFUNCTION("""COMPUTED_VALUE"""),"")</f>
        <v/>
      </c>
      <c r="J645" s="508" t="str">
        <f>IFERROR(__xludf.DUMMYFUNCTION("""COMPUTED_VALUE"""),"")</f>
        <v/>
      </c>
      <c r="K645" s="510" t="str">
        <f>IFERROR(__xludf.DUMMYFUNCTION("""COMPUTED_VALUE"""),"")</f>
        <v/>
      </c>
      <c r="L645" s="508" t="str">
        <f>IFERROR(__xludf.DUMMYFUNCTION("""COMPUTED_VALUE"""),"")</f>
        <v/>
      </c>
      <c r="M645" s="508" t="str">
        <f>IFERROR(__xludf.DUMMYFUNCTION("""COMPUTED_VALUE"""),"")</f>
        <v/>
      </c>
      <c r="N645" s="508" t="str">
        <f>IFERROR(__xludf.DUMMYFUNCTION("""COMPUTED_VALUE"""),"")</f>
        <v/>
      </c>
      <c r="O645" s="508" t="str">
        <f>IFERROR(__xludf.DUMMYFUNCTION("""COMPUTED_VALUE"""),"")</f>
        <v/>
      </c>
      <c r="P645" s="510" t="str">
        <f>IFERROR(__xludf.DUMMYFUNCTION("""COMPUTED_VALUE"""),"")</f>
        <v/>
      </c>
      <c r="Q645" s="508" t="str">
        <f>IFERROR(__xludf.DUMMYFUNCTION("""COMPUTED_VALUE"""),"")</f>
        <v/>
      </c>
      <c r="R645" s="508" t="str">
        <f>IFERROR(__xludf.DUMMYFUNCTION("""COMPUTED_VALUE"""),"")</f>
        <v/>
      </c>
      <c r="S645" s="510" t="str">
        <f>IFERROR(__xludf.DUMMYFUNCTION("""COMPUTED_VALUE"""),"")</f>
        <v/>
      </c>
      <c r="T645" s="510" t="str">
        <f>IFERROR(__xludf.DUMMYFUNCTION("""COMPUTED_VALUE"""),"")</f>
        <v/>
      </c>
    </row>
    <row r="646">
      <c r="A646" s="508" t="str">
        <f>IFERROR(__xludf.DUMMYFUNCTION("""COMPUTED_VALUE"""),"")</f>
        <v/>
      </c>
      <c r="B646" s="508" t="str">
        <f>IFERROR(__xludf.DUMMYFUNCTION("""COMPUTED_VALUE"""),"")</f>
        <v/>
      </c>
      <c r="C646" s="508" t="str">
        <f>IFERROR(__xludf.DUMMYFUNCTION("""COMPUTED_VALUE"""),"")</f>
        <v/>
      </c>
      <c r="D646" s="508" t="str">
        <f>IFERROR(__xludf.DUMMYFUNCTION("""COMPUTED_VALUE"""),"")</f>
        <v/>
      </c>
      <c r="E646" s="508" t="str">
        <f>IFERROR(__xludf.DUMMYFUNCTION("""COMPUTED_VALUE"""),"")</f>
        <v/>
      </c>
      <c r="F646" s="508" t="str">
        <f>IFERROR(__xludf.DUMMYFUNCTION("""COMPUTED_VALUE"""),"")</f>
        <v/>
      </c>
      <c r="G646" s="510" t="str">
        <f>IFERROR(__xludf.DUMMYFUNCTION("""COMPUTED_VALUE"""),"")</f>
        <v/>
      </c>
      <c r="H646" s="508" t="str">
        <f>IFERROR(__xludf.DUMMYFUNCTION("""COMPUTED_VALUE"""),"")</f>
        <v/>
      </c>
      <c r="I646" s="510" t="str">
        <f>IFERROR(__xludf.DUMMYFUNCTION("""COMPUTED_VALUE"""),"")</f>
        <v/>
      </c>
      <c r="J646" s="508" t="str">
        <f>IFERROR(__xludf.DUMMYFUNCTION("""COMPUTED_VALUE"""),"")</f>
        <v/>
      </c>
      <c r="K646" s="510" t="str">
        <f>IFERROR(__xludf.DUMMYFUNCTION("""COMPUTED_VALUE"""),"")</f>
        <v/>
      </c>
      <c r="L646" s="508" t="str">
        <f>IFERROR(__xludf.DUMMYFUNCTION("""COMPUTED_VALUE"""),"")</f>
        <v/>
      </c>
      <c r="M646" s="508" t="str">
        <f>IFERROR(__xludf.DUMMYFUNCTION("""COMPUTED_VALUE"""),"")</f>
        <v/>
      </c>
      <c r="N646" s="508" t="str">
        <f>IFERROR(__xludf.DUMMYFUNCTION("""COMPUTED_VALUE"""),"")</f>
        <v/>
      </c>
      <c r="O646" s="508" t="str">
        <f>IFERROR(__xludf.DUMMYFUNCTION("""COMPUTED_VALUE"""),"")</f>
        <v/>
      </c>
      <c r="P646" s="510" t="str">
        <f>IFERROR(__xludf.DUMMYFUNCTION("""COMPUTED_VALUE"""),"")</f>
        <v/>
      </c>
      <c r="Q646" s="508" t="str">
        <f>IFERROR(__xludf.DUMMYFUNCTION("""COMPUTED_VALUE"""),"")</f>
        <v/>
      </c>
      <c r="R646" s="508" t="str">
        <f>IFERROR(__xludf.DUMMYFUNCTION("""COMPUTED_VALUE"""),"")</f>
        <v/>
      </c>
      <c r="S646" s="510" t="str">
        <f>IFERROR(__xludf.DUMMYFUNCTION("""COMPUTED_VALUE"""),"")</f>
        <v/>
      </c>
      <c r="T646" s="510" t="str">
        <f>IFERROR(__xludf.DUMMYFUNCTION("""COMPUTED_VALUE"""),"")</f>
        <v/>
      </c>
    </row>
    <row r="647">
      <c r="A647" s="508" t="str">
        <f>IFERROR(__xludf.DUMMYFUNCTION("""COMPUTED_VALUE"""),"")</f>
        <v/>
      </c>
      <c r="B647" s="508" t="str">
        <f>IFERROR(__xludf.DUMMYFUNCTION("""COMPUTED_VALUE"""),"")</f>
        <v/>
      </c>
      <c r="C647" s="508" t="str">
        <f>IFERROR(__xludf.DUMMYFUNCTION("""COMPUTED_VALUE"""),"")</f>
        <v/>
      </c>
      <c r="D647" s="508" t="str">
        <f>IFERROR(__xludf.DUMMYFUNCTION("""COMPUTED_VALUE"""),"")</f>
        <v/>
      </c>
      <c r="E647" s="508" t="str">
        <f>IFERROR(__xludf.DUMMYFUNCTION("""COMPUTED_VALUE"""),"")</f>
        <v/>
      </c>
      <c r="F647" s="508" t="str">
        <f>IFERROR(__xludf.DUMMYFUNCTION("""COMPUTED_VALUE"""),"")</f>
        <v/>
      </c>
      <c r="G647" s="510" t="str">
        <f>IFERROR(__xludf.DUMMYFUNCTION("""COMPUTED_VALUE"""),"")</f>
        <v/>
      </c>
      <c r="H647" s="508" t="str">
        <f>IFERROR(__xludf.DUMMYFUNCTION("""COMPUTED_VALUE"""),"")</f>
        <v/>
      </c>
      <c r="I647" s="510" t="str">
        <f>IFERROR(__xludf.DUMMYFUNCTION("""COMPUTED_VALUE"""),"")</f>
        <v/>
      </c>
      <c r="J647" s="508" t="str">
        <f>IFERROR(__xludf.DUMMYFUNCTION("""COMPUTED_VALUE"""),"")</f>
        <v/>
      </c>
      <c r="K647" s="510" t="str">
        <f>IFERROR(__xludf.DUMMYFUNCTION("""COMPUTED_VALUE"""),"")</f>
        <v/>
      </c>
      <c r="L647" s="508" t="str">
        <f>IFERROR(__xludf.DUMMYFUNCTION("""COMPUTED_VALUE"""),"")</f>
        <v/>
      </c>
      <c r="M647" s="508" t="str">
        <f>IFERROR(__xludf.DUMMYFUNCTION("""COMPUTED_VALUE"""),"")</f>
        <v/>
      </c>
      <c r="N647" s="508" t="str">
        <f>IFERROR(__xludf.DUMMYFUNCTION("""COMPUTED_VALUE"""),"")</f>
        <v/>
      </c>
      <c r="O647" s="508" t="str">
        <f>IFERROR(__xludf.DUMMYFUNCTION("""COMPUTED_VALUE"""),"")</f>
        <v/>
      </c>
      <c r="P647" s="510" t="str">
        <f>IFERROR(__xludf.DUMMYFUNCTION("""COMPUTED_VALUE"""),"")</f>
        <v/>
      </c>
      <c r="Q647" s="508" t="str">
        <f>IFERROR(__xludf.DUMMYFUNCTION("""COMPUTED_VALUE"""),"")</f>
        <v/>
      </c>
      <c r="R647" s="508" t="str">
        <f>IFERROR(__xludf.DUMMYFUNCTION("""COMPUTED_VALUE"""),"")</f>
        <v/>
      </c>
      <c r="S647" s="510" t="str">
        <f>IFERROR(__xludf.DUMMYFUNCTION("""COMPUTED_VALUE"""),"")</f>
        <v/>
      </c>
      <c r="T647" s="510" t="str">
        <f>IFERROR(__xludf.DUMMYFUNCTION("""COMPUTED_VALUE"""),"")</f>
        <v/>
      </c>
    </row>
    <row r="648">
      <c r="A648" s="508" t="str">
        <f>IFERROR(__xludf.DUMMYFUNCTION("""COMPUTED_VALUE"""),"")</f>
        <v/>
      </c>
      <c r="B648" s="508" t="str">
        <f>IFERROR(__xludf.DUMMYFUNCTION("""COMPUTED_VALUE"""),"")</f>
        <v/>
      </c>
      <c r="C648" s="508" t="str">
        <f>IFERROR(__xludf.DUMMYFUNCTION("""COMPUTED_VALUE"""),"")</f>
        <v/>
      </c>
      <c r="D648" s="508" t="str">
        <f>IFERROR(__xludf.DUMMYFUNCTION("""COMPUTED_VALUE"""),"")</f>
        <v/>
      </c>
      <c r="E648" s="508" t="str">
        <f>IFERROR(__xludf.DUMMYFUNCTION("""COMPUTED_VALUE"""),"")</f>
        <v/>
      </c>
      <c r="F648" s="508" t="str">
        <f>IFERROR(__xludf.DUMMYFUNCTION("""COMPUTED_VALUE"""),"")</f>
        <v/>
      </c>
      <c r="G648" s="510" t="str">
        <f>IFERROR(__xludf.DUMMYFUNCTION("""COMPUTED_VALUE"""),"")</f>
        <v/>
      </c>
      <c r="H648" s="508" t="str">
        <f>IFERROR(__xludf.DUMMYFUNCTION("""COMPUTED_VALUE"""),"")</f>
        <v/>
      </c>
      <c r="I648" s="510" t="str">
        <f>IFERROR(__xludf.DUMMYFUNCTION("""COMPUTED_VALUE"""),"")</f>
        <v/>
      </c>
      <c r="J648" s="508" t="str">
        <f>IFERROR(__xludf.DUMMYFUNCTION("""COMPUTED_VALUE"""),"")</f>
        <v/>
      </c>
      <c r="K648" s="510" t="str">
        <f>IFERROR(__xludf.DUMMYFUNCTION("""COMPUTED_VALUE"""),"")</f>
        <v/>
      </c>
      <c r="L648" s="508" t="str">
        <f>IFERROR(__xludf.DUMMYFUNCTION("""COMPUTED_VALUE"""),"")</f>
        <v/>
      </c>
      <c r="M648" s="508" t="str">
        <f>IFERROR(__xludf.DUMMYFUNCTION("""COMPUTED_VALUE"""),"")</f>
        <v/>
      </c>
      <c r="N648" s="508" t="str">
        <f>IFERROR(__xludf.DUMMYFUNCTION("""COMPUTED_VALUE"""),"")</f>
        <v/>
      </c>
      <c r="O648" s="508" t="str">
        <f>IFERROR(__xludf.DUMMYFUNCTION("""COMPUTED_VALUE"""),"")</f>
        <v/>
      </c>
      <c r="P648" s="510" t="str">
        <f>IFERROR(__xludf.DUMMYFUNCTION("""COMPUTED_VALUE"""),"")</f>
        <v/>
      </c>
      <c r="Q648" s="508" t="str">
        <f>IFERROR(__xludf.DUMMYFUNCTION("""COMPUTED_VALUE"""),"")</f>
        <v/>
      </c>
      <c r="R648" s="508" t="str">
        <f>IFERROR(__xludf.DUMMYFUNCTION("""COMPUTED_VALUE"""),"")</f>
        <v/>
      </c>
      <c r="S648" s="510" t="str">
        <f>IFERROR(__xludf.DUMMYFUNCTION("""COMPUTED_VALUE"""),"")</f>
        <v/>
      </c>
      <c r="T648" s="510" t="str">
        <f>IFERROR(__xludf.DUMMYFUNCTION("""COMPUTED_VALUE"""),"")</f>
        <v/>
      </c>
    </row>
    <row r="649">
      <c r="A649" s="508" t="str">
        <f>IFERROR(__xludf.DUMMYFUNCTION("""COMPUTED_VALUE"""),"")</f>
        <v/>
      </c>
      <c r="B649" s="508" t="str">
        <f>IFERROR(__xludf.DUMMYFUNCTION("""COMPUTED_VALUE"""),"")</f>
        <v/>
      </c>
      <c r="C649" s="508" t="str">
        <f>IFERROR(__xludf.DUMMYFUNCTION("""COMPUTED_VALUE"""),"")</f>
        <v/>
      </c>
      <c r="D649" s="508" t="str">
        <f>IFERROR(__xludf.DUMMYFUNCTION("""COMPUTED_VALUE"""),"")</f>
        <v/>
      </c>
      <c r="E649" s="508" t="str">
        <f>IFERROR(__xludf.DUMMYFUNCTION("""COMPUTED_VALUE"""),"")</f>
        <v/>
      </c>
      <c r="F649" s="508" t="str">
        <f>IFERROR(__xludf.DUMMYFUNCTION("""COMPUTED_VALUE"""),"")</f>
        <v/>
      </c>
      <c r="G649" s="510" t="str">
        <f>IFERROR(__xludf.DUMMYFUNCTION("""COMPUTED_VALUE"""),"")</f>
        <v/>
      </c>
      <c r="H649" s="508" t="str">
        <f>IFERROR(__xludf.DUMMYFUNCTION("""COMPUTED_VALUE"""),"")</f>
        <v/>
      </c>
      <c r="I649" s="510" t="str">
        <f>IFERROR(__xludf.DUMMYFUNCTION("""COMPUTED_VALUE"""),"")</f>
        <v/>
      </c>
      <c r="J649" s="508" t="str">
        <f>IFERROR(__xludf.DUMMYFUNCTION("""COMPUTED_VALUE"""),"")</f>
        <v/>
      </c>
      <c r="K649" s="510" t="str">
        <f>IFERROR(__xludf.DUMMYFUNCTION("""COMPUTED_VALUE"""),"")</f>
        <v/>
      </c>
      <c r="L649" s="508" t="str">
        <f>IFERROR(__xludf.DUMMYFUNCTION("""COMPUTED_VALUE"""),"")</f>
        <v/>
      </c>
      <c r="M649" s="508" t="str">
        <f>IFERROR(__xludf.DUMMYFUNCTION("""COMPUTED_VALUE"""),"")</f>
        <v/>
      </c>
      <c r="N649" s="508" t="str">
        <f>IFERROR(__xludf.DUMMYFUNCTION("""COMPUTED_VALUE"""),"")</f>
        <v/>
      </c>
      <c r="O649" s="508" t="str">
        <f>IFERROR(__xludf.DUMMYFUNCTION("""COMPUTED_VALUE"""),"")</f>
        <v/>
      </c>
      <c r="P649" s="510" t="str">
        <f>IFERROR(__xludf.DUMMYFUNCTION("""COMPUTED_VALUE"""),"")</f>
        <v/>
      </c>
      <c r="Q649" s="508" t="str">
        <f>IFERROR(__xludf.DUMMYFUNCTION("""COMPUTED_VALUE"""),"")</f>
        <v/>
      </c>
      <c r="R649" s="508" t="str">
        <f>IFERROR(__xludf.DUMMYFUNCTION("""COMPUTED_VALUE"""),"")</f>
        <v/>
      </c>
      <c r="S649" s="510" t="str">
        <f>IFERROR(__xludf.DUMMYFUNCTION("""COMPUTED_VALUE"""),"")</f>
        <v/>
      </c>
      <c r="T649" s="510" t="str">
        <f>IFERROR(__xludf.DUMMYFUNCTION("""COMPUTED_VALUE"""),"")</f>
        <v/>
      </c>
    </row>
    <row r="650">
      <c r="A650" s="508" t="str">
        <f>IFERROR(__xludf.DUMMYFUNCTION("""COMPUTED_VALUE"""),"")</f>
        <v/>
      </c>
      <c r="B650" s="508" t="str">
        <f>IFERROR(__xludf.DUMMYFUNCTION("""COMPUTED_VALUE"""),"")</f>
        <v/>
      </c>
      <c r="C650" s="508" t="str">
        <f>IFERROR(__xludf.DUMMYFUNCTION("""COMPUTED_VALUE"""),"")</f>
        <v/>
      </c>
      <c r="D650" s="508" t="str">
        <f>IFERROR(__xludf.DUMMYFUNCTION("""COMPUTED_VALUE"""),"")</f>
        <v/>
      </c>
      <c r="E650" s="508" t="str">
        <f>IFERROR(__xludf.DUMMYFUNCTION("""COMPUTED_VALUE"""),"")</f>
        <v/>
      </c>
      <c r="F650" s="508" t="str">
        <f>IFERROR(__xludf.DUMMYFUNCTION("""COMPUTED_VALUE"""),"")</f>
        <v/>
      </c>
      <c r="G650" s="510" t="str">
        <f>IFERROR(__xludf.DUMMYFUNCTION("""COMPUTED_VALUE"""),"")</f>
        <v/>
      </c>
      <c r="H650" s="508" t="str">
        <f>IFERROR(__xludf.DUMMYFUNCTION("""COMPUTED_VALUE"""),"")</f>
        <v/>
      </c>
      <c r="I650" s="510" t="str">
        <f>IFERROR(__xludf.DUMMYFUNCTION("""COMPUTED_VALUE"""),"")</f>
        <v/>
      </c>
      <c r="J650" s="508" t="str">
        <f>IFERROR(__xludf.DUMMYFUNCTION("""COMPUTED_VALUE"""),"")</f>
        <v/>
      </c>
      <c r="K650" s="510" t="str">
        <f>IFERROR(__xludf.DUMMYFUNCTION("""COMPUTED_VALUE"""),"")</f>
        <v/>
      </c>
      <c r="L650" s="508" t="str">
        <f>IFERROR(__xludf.DUMMYFUNCTION("""COMPUTED_VALUE"""),"")</f>
        <v/>
      </c>
      <c r="M650" s="508" t="str">
        <f>IFERROR(__xludf.DUMMYFUNCTION("""COMPUTED_VALUE"""),"")</f>
        <v/>
      </c>
      <c r="N650" s="508" t="str">
        <f>IFERROR(__xludf.DUMMYFUNCTION("""COMPUTED_VALUE"""),"")</f>
        <v/>
      </c>
      <c r="O650" s="508" t="str">
        <f>IFERROR(__xludf.DUMMYFUNCTION("""COMPUTED_VALUE"""),"")</f>
        <v/>
      </c>
      <c r="P650" s="510" t="str">
        <f>IFERROR(__xludf.DUMMYFUNCTION("""COMPUTED_VALUE"""),"")</f>
        <v/>
      </c>
      <c r="Q650" s="508" t="str">
        <f>IFERROR(__xludf.DUMMYFUNCTION("""COMPUTED_VALUE"""),"")</f>
        <v/>
      </c>
      <c r="R650" s="508" t="str">
        <f>IFERROR(__xludf.DUMMYFUNCTION("""COMPUTED_VALUE"""),"")</f>
        <v/>
      </c>
      <c r="S650" s="510" t="str">
        <f>IFERROR(__xludf.DUMMYFUNCTION("""COMPUTED_VALUE"""),"")</f>
        <v/>
      </c>
      <c r="T650" s="510" t="str">
        <f>IFERROR(__xludf.DUMMYFUNCTION("""COMPUTED_VALUE"""),"")</f>
        <v/>
      </c>
    </row>
    <row r="651">
      <c r="A651" s="508" t="str">
        <f>IFERROR(__xludf.DUMMYFUNCTION("""COMPUTED_VALUE"""),"")</f>
        <v/>
      </c>
      <c r="B651" s="508" t="str">
        <f>IFERROR(__xludf.DUMMYFUNCTION("""COMPUTED_VALUE"""),"")</f>
        <v/>
      </c>
      <c r="C651" s="508" t="str">
        <f>IFERROR(__xludf.DUMMYFUNCTION("""COMPUTED_VALUE"""),"")</f>
        <v/>
      </c>
      <c r="D651" s="508" t="str">
        <f>IFERROR(__xludf.DUMMYFUNCTION("""COMPUTED_VALUE"""),"")</f>
        <v/>
      </c>
      <c r="E651" s="508" t="str">
        <f>IFERROR(__xludf.DUMMYFUNCTION("""COMPUTED_VALUE"""),"")</f>
        <v/>
      </c>
      <c r="F651" s="508" t="str">
        <f>IFERROR(__xludf.DUMMYFUNCTION("""COMPUTED_VALUE"""),"")</f>
        <v/>
      </c>
      <c r="G651" s="510" t="str">
        <f>IFERROR(__xludf.DUMMYFUNCTION("""COMPUTED_VALUE"""),"")</f>
        <v/>
      </c>
      <c r="H651" s="508" t="str">
        <f>IFERROR(__xludf.DUMMYFUNCTION("""COMPUTED_VALUE"""),"")</f>
        <v/>
      </c>
      <c r="I651" s="510" t="str">
        <f>IFERROR(__xludf.DUMMYFUNCTION("""COMPUTED_VALUE"""),"")</f>
        <v/>
      </c>
      <c r="J651" s="508" t="str">
        <f>IFERROR(__xludf.DUMMYFUNCTION("""COMPUTED_VALUE"""),"")</f>
        <v/>
      </c>
      <c r="K651" s="510" t="str">
        <f>IFERROR(__xludf.DUMMYFUNCTION("""COMPUTED_VALUE"""),"")</f>
        <v/>
      </c>
      <c r="L651" s="508" t="str">
        <f>IFERROR(__xludf.DUMMYFUNCTION("""COMPUTED_VALUE"""),"")</f>
        <v/>
      </c>
      <c r="M651" s="508" t="str">
        <f>IFERROR(__xludf.DUMMYFUNCTION("""COMPUTED_VALUE"""),"")</f>
        <v/>
      </c>
      <c r="N651" s="508" t="str">
        <f>IFERROR(__xludf.DUMMYFUNCTION("""COMPUTED_VALUE"""),"")</f>
        <v/>
      </c>
      <c r="O651" s="508" t="str">
        <f>IFERROR(__xludf.DUMMYFUNCTION("""COMPUTED_VALUE"""),"")</f>
        <v/>
      </c>
      <c r="P651" s="510" t="str">
        <f>IFERROR(__xludf.DUMMYFUNCTION("""COMPUTED_VALUE"""),"")</f>
        <v/>
      </c>
      <c r="Q651" s="508" t="str">
        <f>IFERROR(__xludf.DUMMYFUNCTION("""COMPUTED_VALUE"""),"")</f>
        <v/>
      </c>
      <c r="R651" s="508" t="str">
        <f>IFERROR(__xludf.DUMMYFUNCTION("""COMPUTED_VALUE"""),"")</f>
        <v/>
      </c>
      <c r="S651" s="510" t="str">
        <f>IFERROR(__xludf.DUMMYFUNCTION("""COMPUTED_VALUE"""),"")</f>
        <v/>
      </c>
      <c r="T651" s="510" t="str">
        <f>IFERROR(__xludf.DUMMYFUNCTION("""COMPUTED_VALUE"""),"")</f>
        <v/>
      </c>
    </row>
    <row r="652">
      <c r="A652" s="508" t="str">
        <f>IFERROR(__xludf.DUMMYFUNCTION("""COMPUTED_VALUE"""),"")</f>
        <v/>
      </c>
      <c r="B652" s="508" t="str">
        <f>IFERROR(__xludf.DUMMYFUNCTION("""COMPUTED_VALUE"""),"")</f>
        <v/>
      </c>
      <c r="C652" s="508" t="str">
        <f>IFERROR(__xludf.DUMMYFUNCTION("""COMPUTED_VALUE"""),"")</f>
        <v/>
      </c>
      <c r="D652" s="508" t="str">
        <f>IFERROR(__xludf.DUMMYFUNCTION("""COMPUTED_VALUE"""),"")</f>
        <v/>
      </c>
      <c r="E652" s="508" t="str">
        <f>IFERROR(__xludf.DUMMYFUNCTION("""COMPUTED_VALUE"""),"")</f>
        <v/>
      </c>
      <c r="F652" s="508" t="str">
        <f>IFERROR(__xludf.DUMMYFUNCTION("""COMPUTED_VALUE"""),"")</f>
        <v/>
      </c>
      <c r="G652" s="510" t="str">
        <f>IFERROR(__xludf.DUMMYFUNCTION("""COMPUTED_VALUE"""),"")</f>
        <v/>
      </c>
      <c r="H652" s="508" t="str">
        <f>IFERROR(__xludf.DUMMYFUNCTION("""COMPUTED_VALUE"""),"")</f>
        <v/>
      </c>
      <c r="I652" s="510" t="str">
        <f>IFERROR(__xludf.DUMMYFUNCTION("""COMPUTED_VALUE"""),"")</f>
        <v/>
      </c>
      <c r="J652" s="508" t="str">
        <f>IFERROR(__xludf.DUMMYFUNCTION("""COMPUTED_VALUE"""),"")</f>
        <v/>
      </c>
      <c r="K652" s="510" t="str">
        <f>IFERROR(__xludf.DUMMYFUNCTION("""COMPUTED_VALUE"""),"")</f>
        <v/>
      </c>
      <c r="L652" s="508" t="str">
        <f>IFERROR(__xludf.DUMMYFUNCTION("""COMPUTED_VALUE"""),"")</f>
        <v/>
      </c>
      <c r="M652" s="508" t="str">
        <f>IFERROR(__xludf.DUMMYFUNCTION("""COMPUTED_VALUE"""),"")</f>
        <v/>
      </c>
      <c r="N652" s="508" t="str">
        <f>IFERROR(__xludf.DUMMYFUNCTION("""COMPUTED_VALUE"""),"")</f>
        <v/>
      </c>
      <c r="O652" s="508" t="str">
        <f>IFERROR(__xludf.DUMMYFUNCTION("""COMPUTED_VALUE"""),"")</f>
        <v/>
      </c>
      <c r="P652" s="510" t="str">
        <f>IFERROR(__xludf.DUMMYFUNCTION("""COMPUTED_VALUE"""),"")</f>
        <v/>
      </c>
      <c r="Q652" s="508" t="str">
        <f>IFERROR(__xludf.DUMMYFUNCTION("""COMPUTED_VALUE"""),"")</f>
        <v/>
      </c>
      <c r="R652" s="508" t="str">
        <f>IFERROR(__xludf.DUMMYFUNCTION("""COMPUTED_VALUE"""),"")</f>
        <v/>
      </c>
      <c r="S652" s="510" t="str">
        <f>IFERROR(__xludf.DUMMYFUNCTION("""COMPUTED_VALUE"""),"")</f>
        <v/>
      </c>
      <c r="T652" s="510" t="str">
        <f>IFERROR(__xludf.DUMMYFUNCTION("""COMPUTED_VALUE"""),"")</f>
        <v/>
      </c>
    </row>
    <row r="653">
      <c r="A653" s="508" t="str">
        <f>IFERROR(__xludf.DUMMYFUNCTION("""COMPUTED_VALUE"""),"")</f>
        <v/>
      </c>
      <c r="B653" s="508" t="str">
        <f>IFERROR(__xludf.DUMMYFUNCTION("""COMPUTED_VALUE"""),"")</f>
        <v/>
      </c>
      <c r="C653" s="508" t="str">
        <f>IFERROR(__xludf.DUMMYFUNCTION("""COMPUTED_VALUE"""),"")</f>
        <v/>
      </c>
      <c r="D653" s="508" t="str">
        <f>IFERROR(__xludf.DUMMYFUNCTION("""COMPUTED_VALUE"""),"")</f>
        <v/>
      </c>
      <c r="E653" s="508" t="str">
        <f>IFERROR(__xludf.DUMMYFUNCTION("""COMPUTED_VALUE"""),"")</f>
        <v/>
      </c>
      <c r="F653" s="508" t="str">
        <f>IFERROR(__xludf.DUMMYFUNCTION("""COMPUTED_VALUE"""),"")</f>
        <v/>
      </c>
      <c r="G653" s="510" t="str">
        <f>IFERROR(__xludf.DUMMYFUNCTION("""COMPUTED_VALUE"""),"")</f>
        <v/>
      </c>
      <c r="H653" s="508" t="str">
        <f>IFERROR(__xludf.DUMMYFUNCTION("""COMPUTED_VALUE"""),"")</f>
        <v/>
      </c>
      <c r="I653" s="510" t="str">
        <f>IFERROR(__xludf.DUMMYFUNCTION("""COMPUTED_VALUE"""),"")</f>
        <v/>
      </c>
      <c r="J653" s="508" t="str">
        <f>IFERROR(__xludf.DUMMYFUNCTION("""COMPUTED_VALUE"""),"")</f>
        <v/>
      </c>
      <c r="K653" s="510" t="str">
        <f>IFERROR(__xludf.DUMMYFUNCTION("""COMPUTED_VALUE"""),"")</f>
        <v/>
      </c>
      <c r="L653" s="508" t="str">
        <f>IFERROR(__xludf.DUMMYFUNCTION("""COMPUTED_VALUE"""),"")</f>
        <v/>
      </c>
      <c r="M653" s="508" t="str">
        <f>IFERROR(__xludf.DUMMYFUNCTION("""COMPUTED_VALUE"""),"")</f>
        <v/>
      </c>
      <c r="N653" s="508" t="str">
        <f>IFERROR(__xludf.DUMMYFUNCTION("""COMPUTED_VALUE"""),"")</f>
        <v/>
      </c>
      <c r="O653" s="508" t="str">
        <f>IFERROR(__xludf.DUMMYFUNCTION("""COMPUTED_VALUE"""),"")</f>
        <v/>
      </c>
      <c r="P653" s="510" t="str">
        <f>IFERROR(__xludf.DUMMYFUNCTION("""COMPUTED_VALUE"""),"")</f>
        <v/>
      </c>
      <c r="Q653" s="508" t="str">
        <f>IFERROR(__xludf.DUMMYFUNCTION("""COMPUTED_VALUE"""),"")</f>
        <v/>
      </c>
      <c r="R653" s="508" t="str">
        <f>IFERROR(__xludf.DUMMYFUNCTION("""COMPUTED_VALUE"""),"")</f>
        <v/>
      </c>
      <c r="S653" s="510" t="str">
        <f>IFERROR(__xludf.DUMMYFUNCTION("""COMPUTED_VALUE"""),"")</f>
        <v/>
      </c>
      <c r="T653" s="510" t="str">
        <f>IFERROR(__xludf.DUMMYFUNCTION("""COMPUTED_VALUE"""),"")</f>
        <v/>
      </c>
    </row>
    <row r="654">
      <c r="A654" s="508" t="str">
        <f>IFERROR(__xludf.DUMMYFUNCTION("""COMPUTED_VALUE"""),"")</f>
        <v/>
      </c>
      <c r="B654" s="508" t="str">
        <f>IFERROR(__xludf.DUMMYFUNCTION("""COMPUTED_VALUE"""),"")</f>
        <v/>
      </c>
      <c r="C654" s="508" t="str">
        <f>IFERROR(__xludf.DUMMYFUNCTION("""COMPUTED_VALUE"""),"")</f>
        <v/>
      </c>
      <c r="D654" s="508" t="str">
        <f>IFERROR(__xludf.DUMMYFUNCTION("""COMPUTED_VALUE"""),"")</f>
        <v/>
      </c>
      <c r="E654" s="508" t="str">
        <f>IFERROR(__xludf.DUMMYFUNCTION("""COMPUTED_VALUE"""),"")</f>
        <v/>
      </c>
      <c r="F654" s="508" t="str">
        <f>IFERROR(__xludf.DUMMYFUNCTION("""COMPUTED_VALUE"""),"")</f>
        <v/>
      </c>
      <c r="G654" s="510" t="str">
        <f>IFERROR(__xludf.DUMMYFUNCTION("""COMPUTED_VALUE"""),"")</f>
        <v/>
      </c>
      <c r="H654" s="508" t="str">
        <f>IFERROR(__xludf.DUMMYFUNCTION("""COMPUTED_VALUE"""),"")</f>
        <v/>
      </c>
      <c r="I654" s="510" t="str">
        <f>IFERROR(__xludf.DUMMYFUNCTION("""COMPUTED_VALUE"""),"")</f>
        <v/>
      </c>
      <c r="J654" s="508" t="str">
        <f>IFERROR(__xludf.DUMMYFUNCTION("""COMPUTED_VALUE"""),"")</f>
        <v/>
      </c>
      <c r="K654" s="510" t="str">
        <f>IFERROR(__xludf.DUMMYFUNCTION("""COMPUTED_VALUE"""),"")</f>
        <v/>
      </c>
      <c r="L654" s="508" t="str">
        <f>IFERROR(__xludf.DUMMYFUNCTION("""COMPUTED_VALUE"""),"")</f>
        <v/>
      </c>
      <c r="M654" s="508" t="str">
        <f>IFERROR(__xludf.DUMMYFUNCTION("""COMPUTED_VALUE"""),"")</f>
        <v/>
      </c>
      <c r="N654" s="508" t="str">
        <f>IFERROR(__xludf.DUMMYFUNCTION("""COMPUTED_VALUE"""),"")</f>
        <v/>
      </c>
      <c r="O654" s="508" t="str">
        <f>IFERROR(__xludf.DUMMYFUNCTION("""COMPUTED_VALUE"""),"")</f>
        <v/>
      </c>
      <c r="P654" s="510" t="str">
        <f>IFERROR(__xludf.DUMMYFUNCTION("""COMPUTED_VALUE"""),"")</f>
        <v/>
      </c>
      <c r="Q654" s="508" t="str">
        <f>IFERROR(__xludf.DUMMYFUNCTION("""COMPUTED_VALUE"""),"")</f>
        <v/>
      </c>
      <c r="R654" s="508" t="str">
        <f>IFERROR(__xludf.DUMMYFUNCTION("""COMPUTED_VALUE"""),"")</f>
        <v/>
      </c>
      <c r="S654" s="510" t="str">
        <f>IFERROR(__xludf.DUMMYFUNCTION("""COMPUTED_VALUE"""),"")</f>
        <v/>
      </c>
      <c r="T654" s="510" t="str">
        <f>IFERROR(__xludf.DUMMYFUNCTION("""COMPUTED_VALUE"""),"")</f>
        <v/>
      </c>
    </row>
    <row r="655">
      <c r="A655" s="508" t="str">
        <f>IFERROR(__xludf.DUMMYFUNCTION("""COMPUTED_VALUE"""),"")</f>
        <v/>
      </c>
      <c r="B655" s="508" t="str">
        <f>IFERROR(__xludf.DUMMYFUNCTION("""COMPUTED_VALUE"""),"")</f>
        <v/>
      </c>
      <c r="C655" s="508" t="str">
        <f>IFERROR(__xludf.DUMMYFUNCTION("""COMPUTED_VALUE"""),"")</f>
        <v/>
      </c>
      <c r="D655" s="508" t="str">
        <f>IFERROR(__xludf.DUMMYFUNCTION("""COMPUTED_VALUE"""),"")</f>
        <v/>
      </c>
      <c r="E655" s="508" t="str">
        <f>IFERROR(__xludf.DUMMYFUNCTION("""COMPUTED_VALUE"""),"")</f>
        <v/>
      </c>
      <c r="F655" s="508" t="str">
        <f>IFERROR(__xludf.DUMMYFUNCTION("""COMPUTED_VALUE"""),"")</f>
        <v/>
      </c>
      <c r="G655" s="510" t="str">
        <f>IFERROR(__xludf.DUMMYFUNCTION("""COMPUTED_VALUE"""),"")</f>
        <v/>
      </c>
      <c r="H655" s="508" t="str">
        <f>IFERROR(__xludf.DUMMYFUNCTION("""COMPUTED_VALUE"""),"")</f>
        <v/>
      </c>
      <c r="I655" s="510" t="str">
        <f>IFERROR(__xludf.DUMMYFUNCTION("""COMPUTED_VALUE"""),"")</f>
        <v/>
      </c>
      <c r="J655" s="508" t="str">
        <f>IFERROR(__xludf.DUMMYFUNCTION("""COMPUTED_VALUE"""),"")</f>
        <v/>
      </c>
      <c r="K655" s="510" t="str">
        <f>IFERROR(__xludf.DUMMYFUNCTION("""COMPUTED_VALUE"""),"")</f>
        <v/>
      </c>
      <c r="L655" s="508" t="str">
        <f>IFERROR(__xludf.DUMMYFUNCTION("""COMPUTED_VALUE"""),"")</f>
        <v/>
      </c>
      <c r="M655" s="508" t="str">
        <f>IFERROR(__xludf.DUMMYFUNCTION("""COMPUTED_VALUE"""),"")</f>
        <v/>
      </c>
      <c r="N655" s="508" t="str">
        <f>IFERROR(__xludf.DUMMYFUNCTION("""COMPUTED_VALUE"""),"")</f>
        <v/>
      </c>
      <c r="O655" s="508" t="str">
        <f>IFERROR(__xludf.DUMMYFUNCTION("""COMPUTED_VALUE"""),"")</f>
        <v/>
      </c>
      <c r="P655" s="510" t="str">
        <f>IFERROR(__xludf.DUMMYFUNCTION("""COMPUTED_VALUE"""),"")</f>
        <v/>
      </c>
      <c r="Q655" s="508" t="str">
        <f>IFERROR(__xludf.DUMMYFUNCTION("""COMPUTED_VALUE"""),"")</f>
        <v/>
      </c>
      <c r="R655" s="508" t="str">
        <f>IFERROR(__xludf.DUMMYFUNCTION("""COMPUTED_VALUE"""),"")</f>
        <v/>
      </c>
      <c r="S655" s="510" t="str">
        <f>IFERROR(__xludf.DUMMYFUNCTION("""COMPUTED_VALUE"""),"")</f>
        <v/>
      </c>
      <c r="T655" s="510" t="str">
        <f>IFERROR(__xludf.DUMMYFUNCTION("""COMPUTED_VALUE"""),"")</f>
        <v/>
      </c>
    </row>
    <row r="656">
      <c r="A656" s="508" t="str">
        <f>IFERROR(__xludf.DUMMYFUNCTION("""COMPUTED_VALUE"""),"")</f>
        <v/>
      </c>
      <c r="B656" s="508" t="str">
        <f>IFERROR(__xludf.DUMMYFUNCTION("""COMPUTED_VALUE"""),"")</f>
        <v/>
      </c>
      <c r="C656" s="508" t="str">
        <f>IFERROR(__xludf.DUMMYFUNCTION("""COMPUTED_VALUE"""),"")</f>
        <v/>
      </c>
      <c r="D656" s="508" t="str">
        <f>IFERROR(__xludf.DUMMYFUNCTION("""COMPUTED_VALUE"""),"")</f>
        <v/>
      </c>
      <c r="E656" s="508" t="str">
        <f>IFERROR(__xludf.DUMMYFUNCTION("""COMPUTED_VALUE"""),"")</f>
        <v/>
      </c>
      <c r="F656" s="508" t="str">
        <f>IFERROR(__xludf.DUMMYFUNCTION("""COMPUTED_VALUE"""),"")</f>
        <v/>
      </c>
      <c r="G656" s="510" t="str">
        <f>IFERROR(__xludf.DUMMYFUNCTION("""COMPUTED_VALUE"""),"")</f>
        <v/>
      </c>
      <c r="H656" s="508" t="str">
        <f>IFERROR(__xludf.DUMMYFUNCTION("""COMPUTED_VALUE"""),"")</f>
        <v/>
      </c>
      <c r="I656" s="510" t="str">
        <f>IFERROR(__xludf.DUMMYFUNCTION("""COMPUTED_VALUE"""),"")</f>
        <v/>
      </c>
      <c r="J656" s="508" t="str">
        <f>IFERROR(__xludf.DUMMYFUNCTION("""COMPUTED_VALUE"""),"")</f>
        <v/>
      </c>
      <c r="K656" s="510" t="str">
        <f>IFERROR(__xludf.DUMMYFUNCTION("""COMPUTED_VALUE"""),"")</f>
        <v/>
      </c>
      <c r="L656" s="508" t="str">
        <f>IFERROR(__xludf.DUMMYFUNCTION("""COMPUTED_VALUE"""),"")</f>
        <v/>
      </c>
      <c r="M656" s="508" t="str">
        <f>IFERROR(__xludf.DUMMYFUNCTION("""COMPUTED_VALUE"""),"")</f>
        <v/>
      </c>
      <c r="N656" s="508" t="str">
        <f>IFERROR(__xludf.DUMMYFUNCTION("""COMPUTED_VALUE"""),"")</f>
        <v/>
      </c>
      <c r="O656" s="508" t="str">
        <f>IFERROR(__xludf.DUMMYFUNCTION("""COMPUTED_VALUE"""),"")</f>
        <v/>
      </c>
      <c r="P656" s="510" t="str">
        <f>IFERROR(__xludf.DUMMYFUNCTION("""COMPUTED_VALUE"""),"")</f>
        <v/>
      </c>
      <c r="Q656" s="508" t="str">
        <f>IFERROR(__xludf.DUMMYFUNCTION("""COMPUTED_VALUE"""),"")</f>
        <v/>
      </c>
      <c r="R656" s="508" t="str">
        <f>IFERROR(__xludf.DUMMYFUNCTION("""COMPUTED_VALUE"""),"")</f>
        <v/>
      </c>
      <c r="S656" s="510" t="str">
        <f>IFERROR(__xludf.DUMMYFUNCTION("""COMPUTED_VALUE"""),"")</f>
        <v/>
      </c>
      <c r="T656" s="510" t="str">
        <f>IFERROR(__xludf.DUMMYFUNCTION("""COMPUTED_VALUE"""),"")</f>
        <v/>
      </c>
    </row>
    <row r="657">
      <c r="A657" s="508" t="str">
        <f>IFERROR(__xludf.DUMMYFUNCTION("""COMPUTED_VALUE"""),"")</f>
        <v/>
      </c>
      <c r="B657" s="508" t="str">
        <f>IFERROR(__xludf.DUMMYFUNCTION("""COMPUTED_VALUE"""),"")</f>
        <v/>
      </c>
      <c r="C657" s="508" t="str">
        <f>IFERROR(__xludf.DUMMYFUNCTION("""COMPUTED_VALUE"""),"")</f>
        <v/>
      </c>
      <c r="D657" s="508" t="str">
        <f>IFERROR(__xludf.DUMMYFUNCTION("""COMPUTED_VALUE"""),"")</f>
        <v/>
      </c>
      <c r="E657" s="508" t="str">
        <f>IFERROR(__xludf.DUMMYFUNCTION("""COMPUTED_VALUE"""),"")</f>
        <v/>
      </c>
      <c r="F657" s="508" t="str">
        <f>IFERROR(__xludf.DUMMYFUNCTION("""COMPUTED_VALUE"""),"")</f>
        <v/>
      </c>
      <c r="G657" s="510" t="str">
        <f>IFERROR(__xludf.DUMMYFUNCTION("""COMPUTED_VALUE"""),"")</f>
        <v/>
      </c>
      <c r="H657" s="508" t="str">
        <f>IFERROR(__xludf.DUMMYFUNCTION("""COMPUTED_VALUE"""),"")</f>
        <v/>
      </c>
      <c r="I657" s="510" t="str">
        <f>IFERROR(__xludf.DUMMYFUNCTION("""COMPUTED_VALUE"""),"")</f>
        <v/>
      </c>
      <c r="J657" s="508" t="str">
        <f>IFERROR(__xludf.DUMMYFUNCTION("""COMPUTED_VALUE"""),"")</f>
        <v/>
      </c>
      <c r="K657" s="510" t="str">
        <f>IFERROR(__xludf.DUMMYFUNCTION("""COMPUTED_VALUE"""),"")</f>
        <v/>
      </c>
      <c r="L657" s="508" t="str">
        <f>IFERROR(__xludf.DUMMYFUNCTION("""COMPUTED_VALUE"""),"")</f>
        <v/>
      </c>
      <c r="M657" s="508" t="str">
        <f>IFERROR(__xludf.DUMMYFUNCTION("""COMPUTED_VALUE"""),"")</f>
        <v/>
      </c>
      <c r="N657" s="508" t="str">
        <f>IFERROR(__xludf.DUMMYFUNCTION("""COMPUTED_VALUE"""),"")</f>
        <v/>
      </c>
      <c r="O657" s="508" t="str">
        <f>IFERROR(__xludf.DUMMYFUNCTION("""COMPUTED_VALUE"""),"")</f>
        <v/>
      </c>
      <c r="P657" s="510" t="str">
        <f>IFERROR(__xludf.DUMMYFUNCTION("""COMPUTED_VALUE"""),"")</f>
        <v/>
      </c>
      <c r="Q657" s="508" t="str">
        <f>IFERROR(__xludf.DUMMYFUNCTION("""COMPUTED_VALUE"""),"")</f>
        <v/>
      </c>
      <c r="R657" s="508" t="str">
        <f>IFERROR(__xludf.DUMMYFUNCTION("""COMPUTED_VALUE"""),"")</f>
        <v/>
      </c>
      <c r="S657" s="510" t="str">
        <f>IFERROR(__xludf.DUMMYFUNCTION("""COMPUTED_VALUE"""),"")</f>
        <v/>
      </c>
      <c r="T657" s="510" t="str">
        <f>IFERROR(__xludf.DUMMYFUNCTION("""COMPUTED_VALUE"""),"")</f>
        <v/>
      </c>
    </row>
    <row r="658">
      <c r="A658" s="508" t="str">
        <f>IFERROR(__xludf.DUMMYFUNCTION("""COMPUTED_VALUE"""),"")</f>
        <v/>
      </c>
      <c r="B658" s="508" t="str">
        <f>IFERROR(__xludf.DUMMYFUNCTION("""COMPUTED_VALUE"""),"")</f>
        <v/>
      </c>
      <c r="C658" s="508" t="str">
        <f>IFERROR(__xludf.DUMMYFUNCTION("""COMPUTED_VALUE"""),"")</f>
        <v/>
      </c>
      <c r="D658" s="508" t="str">
        <f>IFERROR(__xludf.DUMMYFUNCTION("""COMPUTED_VALUE"""),"")</f>
        <v/>
      </c>
      <c r="E658" s="508" t="str">
        <f>IFERROR(__xludf.DUMMYFUNCTION("""COMPUTED_VALUE"""),"")</f>
        <v/>
      </c>
      <c r="F658" s="508" t="str">
        <f>IFERROR(__xludf.DUMMYFUNCTION("""COMPUTED_VALUE"""),"")</f>
        <v/>
      </c>
      <c r="G658" s="510" t="str">
        <f>IFERROR(__xludf.DUMMYFUNCTION("""COMPUTED_VALUE"""),"")</f>
        <v/>
      </c>
      <c r="H658" s="508" t="str">
        <f>IFERROR(__xludf.DUMMYFUNCTION("""COMPUTED_VALUE"""),"")</f>
        <v/>
      </c>
      <c r="I658" s="510" t="str">
        <f>IFERROR(__xludf.DUMMYFUNCTION("""COMPUTED_VALUE"""),"")</f>
        <v/>
      </c>
      <c r="J658" s="508" t="str">
        <f>IFERROR(__xludf.DUMMYFUNCTION("""COMPUTED_VALUE"""),"")</f>
        <v/>
      </c>
      <c r="K658" s="510" t="str">
        <f>IFERROR(__xludf.DUMMYFUNCTION("""COMPUTED_VALUE"""),"")</f>
        <v/>
      </c>
      <c r="L658" s="508" t="str">
        <f>IFERROR(__xludf.DUMMYFUNCTION("""COMPUTED_VALUE"""),"")</f>
        <v/>
      </c>
      <c r="M658" s="508" t="str">
        <f>IFERROR(__xludf.DUMMYFUNCTION("""COMPUTED_VALUE"""),"")</f>
        <v/>
      </c>
      <c r="N658" s="508" t="str">
        <f>IFERROR(__xludf.DUMMYFUNCTION("""COMPUTED_VALUE"""),"")</f>
        <v/>
      </c>
      <c r="O658" s="508" t="str">
        <f>IFERROR(__xludf.DUMMYFUNCTION("""COMPUTED_VALUE"""),"")</f>
        <v/>
      </c>
      <c r="P658" s="510" t="str">
        <f>IFERROR(__xludf.DUMMYFUNCTION("""COMPUTED_VALUE"""),"")</f>
        <v/>
      </c>
      <c r="Q658" s="508" t="str">
        <f>IFERROR(__xludf.DUMMYFUNCTION("""COMPUTED_VALUE"""),"")</f>
        <v/>
      </c>
      <c r="R658" s="508" t="str">
        <f>IFERROR(__xludf.DUMMYFUNCTION("""COMPUTED_VALUE"""),"")</f>
        <v/>
      </c>
      <c r="S658" s="510" t="str">
        <f>IFERROR(__xludf.DUMMYFUNCTION("""COMPUTED_VALUE"""),"")</f>
        <v/>
      </c>
      <c r="T658" s="510" t="str">
        <f>IFERROR(__xludf.DUMMYFUNCTION("""COMPUTED_VALUE"""),"")</f>
        <v/>
      </c>
    </row>
    <row r="659">
      <c r="A659" s="508" t="str">
        <f>IFERROR(__xludf.DUMMYFUNCTION("""COMPUTED_VALUE"""),"")</f>
        <v/>
      </c>
      <c r="B659" s="508" t="str">
        <f>IFERROR(__xludf.DUMMYFUNCTION("""COMPUTED_VALUE"""),"")</f>
        <v/>
      </c>
      <c r="C659" s="508" t="str">
        <f>IFERROR(__xludf.DUMMYFUNCTION("""COMPUTED_VALUE"""),"")</f>
        <v/>
      </c>
      <c r="D659" s="508" t="str">
        <f>IFERROR(__xludf.DUMMYFUNCTION("""COMPUTED_VALUE"""),"")</f>
        <v/>
      </c>
      <c r="E659" s="508" t="str">
        <f>IFERROR(__xludf.DUMMYFUNCTION("""COMPUTED_VALUE"""),"")</f>
        <v/>
      </c>
      <c r="F659" s="508" t="str">
        <f>IFERROR(__xludf.DUMMYFUNCTION("""COMPUTED_VALUE"""),"")</f>
        <v/>
      </c>
      <c r="G659" s="510" t="str">
        <f>IFERROR(__xludf.DUMMYFUNCTION("""COMPUTED_VALUE"""),"")</f>
        <v/>
      </c>
      <c r="H659" s="508" t="str">
        <f>IFERROR(__xludf.DUMMYFUNCTION("""COMPUTED_VALUE"""),"")</f>
        <v/>
      </c>
      <c r="I659" s="510" t="str">
        <f>IFERROR(__xludf.DUMMYFUNCTION("""COMPUTED_VALUE"""),"")</f>
        <v/>
      </c>
      <c r="J659" s="508" t="str">
        <f>IFERROR(__xludf.DUMMYFUNCTION("""COMPUTED_VALUE"""),"")</f>
        <v/>
      </c>
      <c r="K659" s="510" t="str">
        <f>IFERROR(__xludf.DUMMYFUNCTION("""COMPUTED_VALUE"""),"")</f>
        <v/>
      </c>
      <c r="L659" s="508" t="str">
        <f>IFERROR(__xludf.DUMMYFUNCTION("""COMPUTED_VALUE"""),"")</f>
        <v/>
      </c>
      <c r="M659" s="508" t="str">
        <f>IFERROR(__xludf.DUMMYFUNCTION("""COMPUTED_VALUE"""),"")</f>
        <v/>
      </c>
      <c r="N659" s="508" t="str">
        <f>IFERROR(__xludf.DUMMYFUNCTION("""COMPUTED_VALUE"""),"")</f>
        <v/>
      </c>
      <c r="O659" s="508" t="str">
        <f>IFERROR(__xludf.DUMMYFUNCTION("""COMPUTED_VALUE"""),"")</f>
        <v/>
      </c>
      <c r="P659" s="510" t="str">
        <f>IFERROR(__xludf.DUMMYFUNCTION("""COMPUTED_VALUE"""),"")</f>
        <v/>
      </c>
      <c r="Q659" s="508" t="str">
        <f>IFERROR(__xludf.DUMMYFUNCTION("""COMPUTED_VALUE"""),"")</f>
        <v/>
      </c>
      <c r="R659" s="508" t="str">
        <f>IFERROR(__xludf.DUMMYFUNCTION("""COMPUTED_VALUE"""),"")</f>
        <v/>
      </c>
      <c r="S659" s="510" t="str">
        <f>IFERROR(__xludf.DUMMYFUNCTION("""COMPUTED_VALUE"""),"")</f>
        <v/>
      </c>
      <c r="T659" s="510" t="str">
        <f>IFERROR(__xludf.DUMMYFUNCTION("""COMPUTED_VALUE"""),"")</f>
        <v/>
      </c>
    </row>
    <row r="660">
      <c r="A660" s="508" t="str">
        <f>IFERROR(__xludf.DUMMYFUNCTION("""COMPUTED_VALUE"""),"")</f>
        <v/>
      </c>
      <c r="B660" s="508" t="str">
        <f>IFERROR(__xludf.DUMMYFUNCTION("""COMPUTED_VALUE"""),"")</f>
        <v/>
      </c>
      <c r="C660" s="508" t="str">
        <f>IFERROR(__xludf.DUMMYFUNCTION("""COMPUTED_VALUE"""),"")</f>
        <v/>
      </c>
      <c r="D660" s="508" t="str">
        <f>IFERROR(__xludf.DUMMYFUNCTION("""COMPUTED_VALUE"""),"")</f>
        <v/>
      </c>
      <c r="E660" s="508" t="str">
        <f>IFERROR(__xludf.DUMMYFUNCTION("""COMPUTED_VALUE"""),"")</f>
        <v/>
      </c>
      <c r="F660" s="508" t="str">
        <f>IFERROR(__xludf.DUMMYFUNCTION("""COMPUTED_VALUE"""),"")</f>
        <v/>
      </c>
      <c r="G660" s="510" t="str">
        <f>IFERROR(__xludf.DUMMYFUNCTION("""COMPUTED_VALUE"""),"")</f>
        <v/>
      </c>
      <c r="H660" s="508" t="str">
        <f>IFERROR(__xludf.DUMMYFUNCTION("""COMPUTED_VALUE"""),"")</f>
        <v/>
      </c>
      <c r="I660" s="510" t="str">
        <f>IFERROR(__xludf.DUMMYFUNCTION("""COMPUTED_VALUE"""),"")</f>
        <v/>
      </c>
      <c r="J660" s="508" t="str">
        <f>IFERROR(__xludf.DUMMYFUNCTION("""COMPUTED_VALUE"""),"")</f>
        <v/>
      </c>
      <c r="K660" s="510" t="str">
        <f>IFERROR(__xludf.DUMMYFUNCTION("""COMPUTED_VALUE"""),"")</f>
        <v/>
      </c>
      <c r="L660" s="508" t="str">
        <f>IFERROR(__xludf.DUMMYFUNCTION("""COMPUTED_VALUE"""),"")</f>
        <v/>
      </c>
      <c r="M660" s="508" t="str">
        <f>IFERROR(__xludf.DUMMYFUNCTION("""COMPUTED_VALUE"""),"")</f>
        <v/>
      </c>
      <c r="N660" s="508" t="str">
        <f>IFERROR(__xludf.DUMMYFUNCTION("""COMPUTED_VALUE"""),"")</f>
        <v/>
      </c>
      <c r="O660" s="508" t="str">
        <f>IFERROR(__xludf.DUMMYFUNCTION("""COMPUTED_VALUE"""),"")</f>
        <v/>
      </c>
      <c r="P660" s="510" t="str">
        <f>IFERROR(__xludf.DUMMYFUNCTION("""COMPUTED_VALUE"""),"")</f>
        <v/>
      </c>
      <c r="Q660" s="508" t="str">
        <f>IFERROR(__xludf.DUMMYFUNCTION("""COMPUTED_VALUE"""),"")</f>
        <v/>
      </c>
      <c r="R660" s="508" t="str">
        <f>IFERROR(__xludf.DUMMYFUNCTION("""COMPUTED_VALUE"""),"")</f>
        <v/>
      </c>
      <c r="S660" s="510" t="str">
        <f>IFERROR(__xludf.DUMMYFUNCTION("""COMPUTED_VALUE"""),"")</f>
        <v/>
      </c>
      <c r="T660" s="510" t="str">
        <f>IFERROR(__xludf.DUMMYFUNCTION("""COMPUTED_VALUE"""),"")</f>
        <v/>
      </c>
    </row>
    <row r="661">
      <c r="A661" s="508" t="str">
        <f>IFERROR(__xludf.DUMMYFUNCTION("""COMPUTED_VALUE"""),"")</f>
        <v/>
      </c>
      <c r="B661" s="508" t="str">
        <f>IFERROR(__xludf.DUMMYFUNCTION("""COMPUTED_VALUE"""),"")</f>
        <v/>
      </c>
      <c r="C661" s="508" t="str">
        <f>IFERROR(__xludf.DUMMYFUNCTION("""COMPUTED_VALUE"""),"")</f>
        <v/>
      </c>
      <c r="D661" s="508" t="str">
        <f>IFERROR(__xludf.DUMMYFUNCTION("""COMPUTED_VALUE"""),"")</f>
        <v/>
      </c>
      <c r="E661" s="508" t="str">
        <f>IFERROR(__xludf.DUMMYFUNCTION("""COMPUTED_VALUE"""),"")</f>
        <v/>
      </c>
      <c r="F661" s="508" t="str">
        <f>IFERROR(__xludf.DUMMYFUNCTION("""COMPUTED_VALUE"""),"")</f>
        <v/>
      </c>
      <c r="G661" s="510" t="str">
        <f>IFERROR(__xludf.DUMMYFUNCTION("""COMPUTED_VALUE"""),"")</f>
        <v/>
      </c>
      <c r="H661" s="508" t="str">
        <f>IFERROR(__xludf.DUMMYFUNCTION("""COMPUTED_VALUE"""),"")</f>
        <v/>
      </c>
      <c r="I661" s="510" t="str">
        <f>IFERROR(__xludf.DUMMYFUNCTION("""COMPUTED_VALUE"""),"")</f>
        <v/>
      </c>
      <c r="J661" s="508" t="str">
        <f>IFERROR(__xludf.DUMMYFUNCTION("""COMPUTED_VALUE"""),"")</f>
        <v/>
      </c>
      <c r="K661" s="510" t="str">
        <f>IFERROR(__xludf.DUMMYFUNCTION("""COMPUTED_VALUE"""),"")</f>
        <v/>
      </c>
      <c r="L661" s="508" t="str">
        <f>IFERROR(__xludf.DUMMYFUNCTION("""COMPUTED_VALUE"""),"")</f>
        <v/>
      </c>
      <c r="M661" s="508" t="str">
        <f>IFERROR(__xludf.DUMMYFUNCTION("""COMPUTED_VALUE"""),"")</f>
        <v/>
      </c>
      <c r="N661" s="508" t="str">
        <f>IFERROR(__xludf.DUMMYFUNCTION("""COMPUTED_VALUE"""),"")</f>
        <v/>
      </c>
      <c r="O661" s="508" t="str">
        <f>IFERROR(__xludf.DUMMYFUNCTION("""COMPUTED_VALUE"""),"")</f>
        <v/>
      </c>
      <c r="P661" s="510" t="str">
        <f>IFERROR(__xludf.DUMMYFUNCTION("""COMPUTED_VALUE"""),"")</f>
        <v/>
      </c>
      <c r="Q661" s="508" t="str">
        <f>IFERROR(__xludf.DUMMYFUNCTION("""COMPUTED_VALUE"""),"")</f>
        <v/>
      </c>
      <c r="R661" s="508" t="str">
        <f>IFERROR(__xludf.DUMMYFUNCTION("""COMPUTED_VALUE"""),"")</f>
        <v/>
      </c>
      <c r="S661" s="510" t="str">
        <f>IFERROR(__xludf.DUMMYFUNCTION("""COMPUTED_VALUE"""),"")</f>
        <v/>
      </c>
      <c r="T661" s="510" t="str">
        <f>IFERROR(__xludf.DUMMYFUNCTION("""COMPUTED_VALUE"""),"")</f>
        <v/>
      </c>
    </row>
    <row r="662">
      <c r="A662" s="508" t="str">
        <f>IFERROR(__xludf.DUMMYFUNCTION("""COMPUTED_VALUE"""),"")</f>
        <v/>
      </c>
      <c r="B662" s="508" t="str">
        <f>IFERROR(__xludf.DUMMYFUNCTION("""COMPUTED_VALUE"""),"")</f>
        <v/>
      </c>
      <c r="C662" s="508" t="str">
        <f>IFERROR(__xludf.DUMMYFUNCTION("""COMPUTED_VALUE"""),"")</f>
        <v/>
      </c>
      <c r="D662" s="508" t="str">
        <f>IFERROR(__xludf.DUMMYFUNCTION("""COMPUTED_VALUE"""),"")</f>
        <v/>
      </c>
      <c r="E662" s="508" t="str">
        <f>IFERROR(__xludf.DUMMYFUNCTION("""COMPUTED_VALUE"""),"")</f>
        <v/>
      </c>
      <c r="F662" s="508" t="str">
        <f>IFERROR(__xludf.DUMMYFUNCTION("""COMPUTED_VALUE"""),"")</f>
        <v/>
      </c>
      <c r="G662" s="510" t="str">
        <f>IFERROR(__xludf.DUMMYFUNCTION("""COMPUTED_VALUE"""),"")</f>
        <v/>
      </c>
      <c r="H662" s="508" t="str">
        <f>IFERROR(__xludf.DUMMYFUNCTION("""COMPUTED_VALUE"""),"")</f>
        <v/>
      </c>
      <c r="I662" s="510" t="str">
        <f>IFERROR(__xludf.DUMMYFUNCTION("""COMPUTED_VALUE"""),"")</f>
        <v/>
      </c>
      <c r="J662" s="508" t="str">
        <f>IFERROR(__xludf.DUMMYFUNCTION("""COMPUTED_VALUE"""),"")</f>
        <v/>
      </c>
      <c r="K662" s="510" t="str">
        <f>IFERROR(__xludf.DUMMYFUNCTION("""COMPUTED_VALUE"""),"")</f>
        <v/>
      </c>
      <c r="L662" s="508" t="str">
        <f>IFERROR(__xludf.DUMMYFUNCTION("""COMPUTED_VALUE"""),"")</f>
        <v/>
      </c>
      <c r="M662" s="508" t="str">
        <f>IFERROR(__xludf.DUMMYFUNCTION("""COMPUTED_VALUE"""),"")</f>
        <v/>
      </c>
      <c r="N662" s="508" t="str">
        <f>IFERROR(__xludf.DUMMYFUNCTION("""COMPUTED_VALUE"""),"")</f>
        <v/>
      </c>
      <c r="O662" s="508" t="str">
        <f>IFERROR(__xludf.DUMMYFUNCTION("""COMPUTED_VALUE"""),"")</f>
        <v/>
      </c>
      <c r="P662" s="510" t="str">
        <f>IFERROR(__xludf.DUMMYFUNCTION("""COMPUTED_VALUE"""),"")</f>
        <v/>
      </c>
      <c r="Q662" s="508" t="str">
        <f>IFERROR(__xludf.DUMMYFUNCTION("""COMPUTED_VALUE"""),"")</f>
        <v/>
      </c>
      <c r="R662" s="508" t="str">
        <f>IFERROR(__xludf.DUMMYFUNCTION("""COMPUTED_VALUE"""),"")</f>
        <v/>
      </c>
      <c r="S662" s="510" t="str">
        <f>IFERROR(__xludf.DUMMYFUNCTION("""COMPUTED_VALUE"""),"")</f>
        <v/>
      </c>
      <c r="T662" s="510" t="str">
        <f>IFERROR(__xludf.DUMMYFUNCTION("""COMPUTED_VALUE"""),"")</f>
        <v/>
      </c>
    </row>
    <row r="663">
      <c r="A663" s="508" t="str">
        <f>IFERROR(__xludf.DUMMYFUNCTION("""COMPUTED_VALUE"""),"")</f>
        <v/>
      </c>
      <c r="B663" s="508" t="str">
        <f>IFERROR(__xludf.DUMMYFUNCTION("""COMPUTED_VALUE"""),"")</f>
        <v/>
      </c>
      <c r="C663" s="508" t="str">
        <f>IFERROR(__xludf.DUMMYFUNCTION("""COMPUTED_VALUE"""),"")</f>
        <v/>
      </c>
      <c r="D663" s="508" t="str">
        <f>IFERROR(__xludf.DUMMYFUNCTION("""COMPUTED_VALUE"""),"")</f>
        <v/>
      </c>
      <c r="E663" s="508" t="str">
        <f>IFERROR(__xludf.DUMMYFUNCTION("""COMPUTED_VALUE"""),"")</f>
        <v/>
      </c>
      <c r="F663" s="508" t="str">
        <f>IFERROR(__xludf.DUMMYFUNCTION("""COMPUTED_VALUE"""),"")</f>
        <v/>
      </c>
      <c r="G663" s="510" t="str">
        <f>IFERROR(__xludf.DUMMYFUNCTION("""COMPUTED_VALUE"""),"")</f>
        <v/>
      </c>
      <c r="H663" s="508" t="str">
        <f>IFERROR(__xludf.DUMMYFUNCTION("""COMPUTED_VALUE"""),"")</f>
        <v/>
      </c>
      <c r="I663" s="510" t="str">
        <f>IFERROR(__xludf.DUMMYFUNCTION("""COMPUTED_VALUE"""),"")</f>
        <v/>
      </c>
      <c r="J663" s="508" t="str">
        <f>IFERROR(__xludf.DUMMYFUNCTION("""COMPUTED_VALUE"""),"")</f>
        <v/>
      </c>
      <c r="K663" s="510" t="str">
        <f>IFERROR(__xludf.DUMMYFUNCTION("""COMPUTED_VALUE"""),"")</f>
        <v/>
      </c>
      <c r="L663" s="508" t="str">
        <f>IFERROR(__xludf.DUMMYFUNCTION("""COMPUTED_VALUE"""),"")</f>
        <v/>
      </c>
      <c r="M663" s="508" t="str">
        <f>IFERROR(__xludf.DUMMYFUNCTION("""COMPUTED_VALUE"""),"")</f>
        <v/>
      </c>
      <c r="N663" s="508" t="str">
        <f>IFERROR(__xludf.DUMMYFUNCTION("""COMPUTED_VALUE"""),"")</f>
        <v/>
      </c>
      <c r="O663" s="508" t="str">
        <f>IFERROR(__xludf.DUMMYFUNCTION("""COMPUTED_VALUE"""),"")</f>
        <v/>
      </c>
      <c r="P663" s="510" t="str">
        <f>IFERROR(__xludf.DUMMYFUNCTION("""COMPUTED_VALUE"""),"")</f>
        <v/>
      </c>
      <c r="Q663" s="508" t="str">
        <f>IFERROR(__xludf.DUMMYFUNCTION("""COMPUTED_VALUE"""),"")</f>
        <v/>
      </c>
      <c r="R663" s="508" t="str">
        <f>IFERROR(__xludf.DUMMYFUNCTION("""COMPUTED_VALUE"""),"")</f>
        <v/>
      </c>
      <c r="S663" s="510" t="str">
        <f>IFERROR(__xludf.DUMMYFUNCTION("""COMPUTED_VALUE"""),"")</f>
        <v/>
      </c>
      <c r="T663" s="510" t="str">
        <f>IFERROR(__xludf.DUMMYFUNCTION("""COMPUTED_VALUE"""),"")</f>
        <v/>
      </c>
    </row>
    <row r="664">
      <c r="A664" s="508" t="str">
        <f>IFERROR(__xludf.DUMMYFUNCTION("""COMPUTED_VALUE"""),"")</f>
        <v/>
      </c>
      <c r="B664" s="508" t="str">
        <f>IFERROR(__xludf.DUMMYFUNCTION("""COMPUTED_VALUE"""),"")</f>
        <v/>
      </c>
      <c r="C664" s="508" t="str">
        <f>IFERROR(__xludf.DUMMYFUNCTION("""COMPUTED_VALUE"""),"")</f>
        <v/>
      </c>
      <c r="D664" s="508" t="str">
        <f>IFERROR(__xludf.DUMMYFUNCTION("""COMPUTED_VALUE"""),"")</f>
        <v/>
      </c>
      <c r="E664" s="508" t="str">
        <f>IFERROR(__xludf.DUMMYFUNCTION("""COMPUTED_VALUE"""),"")</f>
        <v/>
      </c>
      <c r="F664" s="508" t="str">
        <f>IFERROR(__xludf.DUMMYFUNCTION("""COMPUTED_VALUE"""),"")</f>
        <v/>
      </c>
      <c r="G664" s="510" t="str">
        <f>IFERROR(__xludf.DUMMYFUNCTION("""COMPUTED_VALUE"""),"")</f>
        <v/>
      </c>
      <c r="H664" s="508" t="str">
        <f>IFERROR(__xludf.DUMMYFUNCTION("""COMPUTED_VALUE"""),"")</f>
        <v/>
      </c>
      <c r="I664" s="510" t="str">
        <f>IFERROR(__xludf.DUMMYFUNCTION("""COMPUTED_VALUE"""),"")</f>
        <v/>
      </c>
      <c r="J664" s="508" t="str">
        <f>IFERROR(__xludf.DUMMYFUNCTION("""COMPUTED_VALUE"""),"")</f>
        <v/>
      </c>
      <c r="K664" s="510" t="str">
        <f>IFERROR(__xludf.DUMMYFUNCTION("""COMPUTED_VALUE"""),"")</f>
        <v/>
      </c>
      <c r="L664" s="508" t="str">
        <f>IFERROR(__xludf.DUMMYFUNCTION("""COMPUTED_VALUE"""),"")</f>
        <v/>
      </c>
      <c r="M664" s="508" t="str">
        <f>IFERROR(__xludf.DUMMYFUNCTION("""COMPUTED_VALUE"""),"")</f>
        <v/>
      </c>
      <c r="N664" s="508" t="str">
        <f>IFERROR(__xludf.DUMMYFUNCTION("""COMPUTED_VALUE"""),"")</f>
        <v/>
      </c>
      <c r="O664" s="508" t="str">
        <f>IFERROR(__xludf.DUMMYFUNCTION("""COMPUTED_VALUE"""),"")</f>
        <v/>
      </c>
      <c r="P664" s="510" t="str">
        <f>IFERROR(__xludf.DUMMYFUNCTION("""COMPUTED_VALUE"""),"")</f>
        <v/>
      </c>
      <c r="Q664" s="508" t="str">
        <f>IFERROR(__xludf.DUMMYFUNCTION("""COMPUTED_VALUE"""),"")</f>
        <v/>
      </c>
      <c r="R664" s="508" t="str">
        <f>IFERROR(__xludf.DUMMYFUNCTION("""COMPUTED_VALUE"""),"")</f>
        <v/>
      </c>
      <c r="S664" s="510" t="str">
        <f>IFERROR(__xludf.DUMMYFUNCTION("""COMPUTED_VALUE"""),"")</f>
        <v/>
      </c>
      <c r="T664" s="510" t="str">
        <f>IFERROR(__xludf.DUMMYFUNCTION("""COMPUTED_VALUE"""),"")</f>
        <v/>
      </c>
    </row>
    <row r="665">
      <c r="A665" s="508" t="str">
        <f>IFERROR(__xludf.DUMMYFUNCTION("""COMPUTED_VALUE"""),"")</f>
        <v/>
      </c>
      <c r="B665" s="508" t="str">
        <f>IFERROR(__xludf.DUMMYFUNCTION("""COMPUTED_VALUE"""),"")</f>
        <v/>
      </c>
      <c r="C665" s="508" t="str">
        <f>IFERROR(__xludf.DUMMYFUNCTION("""COMPUTED_VALUE"""),"")</f>
        <v/>
      </c>
      <c r="D665" s="508" t="str">
        <f>IFERROR(__xludf.DUMMYFUNCTION("""COMPUTED_VALUE"""),"")</f>
        <v/>
      </c>
      <c r="E665" s="508" t="str">
        <f>IFERROR(__xludf.DUMMYFUNCTION("""COMPUTED_VALUE"""),"")</f>
        <v/>
      </c>
      <c r="F665" s="508" t="str">
        <f>IFERROR(__xludf.DUMMYFUNCTION("""COMPUTED_VALUE"""),"")</f>
        <v/>
      </c>
      <c r="G665" s="510" t="str">
        <f>IFERROR(__xludf.DUMMYFUNCTION("""COMPUTED_VALUE"""),"")</f>
        <v/>
      </c>
      <c r="H665" s="508" t="str">
        <f>IFERROR(__xludf.DUMMYFUNCTION("""COMPUTED_VALUE"""),"")</f>
        <v/>
      </c>
      <c r="I665" s="510" t="str">
        <f>IFERROR(__xludf.DUMMYFUNCTION("""COMPUTED_VALUE"""),"")</f>
        <v/>
      </c>
      <c r="J665" s="508" t="str">
        <f>IFERROR(__xludf.DUMMYFUNCTION("""COMPUTED_VALUE"""),"")</f>
        <v/>
      </c>
      <c r="K665" s="510" t="str">
        <f>IFERROR(__xludf.DUMMYFUNCTION("""COMPUTED_VALUE"""),"")</f>
        <v/>
      </c>
      <c r="L665" s="508" t="str">
        <f>IFERROR(__xludf.DUMMYFUNCTION("""COMPUTED_VALUE"""),"")</f>
        <v/>
      </c>
      <c r="M665" s="508" t="str">
        <f>IFERROR(__xludf.DUMMYFUNCTION("""COMPUTED_VALUE"""),"")</f>
        <v/>
      </c>
      <c r="N665" s="508" t="str">
        <f>IFERROR(__xludf.DUMMYFUNCTION("""COMPUTED_VALUE"""),"")</f>
        <v/>
      </c>
      <c r="O665" s="508" t="str">
        <f>IFERROR(__xludf.DUMMYFUNCTION("""COMPUTED_VALUE"""),"")</f>
        <v/>
      </c>
      <c r="P665" s="510" t="str">
        <f>IFERROR(__xludf.DUMMYFUNCTION("""COMPUTED_VALUE"""),"")</f>
        <v/>
      </c>
      <c r="Q665" s="508" t="str">
        <f>IFERROR(__xludf.DUMMYFUNCTION("""COMPUTED_VALUE"""),"")</f>
        <v/>
      </c>
      <c r="R665" s="508" t="str">
        <f>IFERROR(__xludf.DUMMYFUNCTION("""COMPUTED_VALUE"""),"")</f>
        <v/>
      </c>
      <c r="S665" s="510" t="str">
        <f>IFERROR(__xludf.DUMMYFUNCTION("""COMPUTED_VALUE"""),"")</f>
        <v/>
      </c>
      <c r="T665" s="510" t="str">
        <f>IFERROR(__xludf.DUMMYFUNCTION("""COMPUTED_VALUE"""),"")</f>
        <v/>
      </c>
    </row>
    <row r="666">
      <c r="A666" s="508" t="str">
        <f>IFERROR(__xludf.DUMMYFUNCTION("""COMPUTED_VALUE"""),"")</f>
        <v/>
      </c>
      <c r="B666" s="508" t="str">
        <f>IFERROR(__xludf.DUMMYFUNCTION("""COMPUTED_VALUE"""),"")</f>
        <v/>
      </c>
      <c r="C666" s="508" t="str">
        <f>IFERROR(__xludf.DUMMYFUNCTION("""COMPUTED_VALUE"""),"")</f>
        <v/>
      </c>
      <c r="D666" s="508" t="str">
        <f>IFERROR(__xludf.DUMMYFUNCTION("""COMPUTED_VALUE"""),"")</f>
        <v/>
      </c>
      <c r="E666" s="508" t="str">
        <f>IFERROR(__xludf.DUMMYFUNCTION("""COMPUTED_VALUE"""),"")</f>
        <v/>
      </c>
      <c r="F666" s="508" t="str">
        <f>IFERROR(__xludf.DUMMYFUNCTION("""COMPUTED_VALUE"""),"")</f>
        <v/>
      </c>
      <c r="G666" s="510" t="str">
        <f>IFERROR(__xludf.DUMMYFUNCTION("""COMPUTED_VALUE"""),"")</f>
        <v/>
      </c>
      <c r="H666" s="508" t="str">
        <f>IFERROR(__xludf.DUMMYFUNCTION("""COMPUTED_VALUE"""),"")</f>
        <v/>
      </c>
      <c r="I666" s="510" t="str">
        <f>IFERROR(__xludf.DUMMYFUNCTION("""COMPUTED_VALUE"""),"")</f>
        <v/>
      </c>
      <c r="J666" s="508" t="str">
        <f>IFERROR(__xludf.DUMMYFUNCTION("""COMPUTED_VALUE"""),"")</f>
        <v/>
      </c>
      <c r="K666" s="510" t="str">
        <f>IFERROR(__xludf.DUMMYFUNCTION("""COMPUTED_VALUE"""),"")</f>
        <v/>
      </c>
      <c r="L666" s="508" t="str">
        <f>IFERROR(__xludf.DUMMYFUNCTION("""COMPUTED_VALUE"""),"")</f>
        <v/>
      </c>
      <c r="M666" s="508" t="str">
        <f>IFERROR(__xludf.DUMMYFUNCTION("""COMPUTED_VALUE"""),"")</f>
        <v/>
      </c>
      <c r="N666" s="508" t="str">
        <f>IFERROR(__xludf.DUMMYFUNCTION("""COMPUTED_VALUE"""),"")</f>
        <v/>
      </c>
      <c r="O666" s="508" t="str">
        <f>IFERROR(__xludf.DUMMYFUNCTION("""COMPUTED_VALUE"""),"")</f>
        <v/>
      </c>
      <c r="P666" s="510" t="str">
        <f>IFERROR(__xludf.DUMMYFUNCTION("""COMPUTED_VALUE"""),"")</f>
        <v/>
      </c>
      <c r="Q666" s="508" t="str">
        <f>IFERROR(__xludf.DUMMYFUNCTION("""COMPUTED_VALUE"""),"")</f>
        <v/>
      </c>
      <c r="R666" s="508" t="str">
        <f>IFERROR(__xludf.DUMMYFUNCTION("""COMPUTED_VALUE"""),"")</f>
        <v/>
      </c>
      <c r="S666" s="510" t="str">
        <f>IFERROR(__xludf.DUMMYFUNCTION("""COMPUTED_VALUE"""),"")</f>
        <v/>
      </c>
      <c r="T666" s="510" t="str">
        <f>IFERROR(__xludf.DUMMYFUNCTION("""COMPUTED_VALUE"""),"")</f>
        <v/>
      </c>
    </row>
    <row r="667">
      <c r="A667" s="508" t="str">
        <f>IFERROR(__xludf.DUMMYFUNCTION("""COMPUTED_VALUE"""),"")</f>
        <v/>
      </c>
      <c r="B667" s="508" t="str">
        <f>IFERROR(__xludf.DUMMYFUNCTION("""COMPUTED_VALUE"""),"")</f>
        <v/>
      </c>
      <c r="C667" s="508" t="str">
        <f>IFERROR(__xludf.DUMMYFUNCTION("""COMPUTED_VALUE"""),"")</f>
        <v/>
      </c>
      <c r="D667" s="508" t="str">
        <f>IFERROR(__xludf.DUMMYFUNCTION("""COMPUTED_VALUE"""),"")</f>
        <v/>
      </c>
      <c r="E667" s="508" t="str">
        <f>IFERROR(__xludf.DUMMYFUNCTION("""COMPUTED_VALUE"""),"")</f>
        <v/>
      </c>
      <c r="F667" s="508" t="str">
        <f>IFERROR(__xludf.DUMMYFUNCTION("""COMPUTED_VALUE"""),"")</f>
        <v/>
      </c>
      <c r="G667" s="510" t="str">
        <f>IFERROR(__xludf.DUMMYFUNCTION("""COMPUTED_VALUE"""),"")</f>
        <v/>
      </c>
      <c r="H667" s="508" t="str">
        <f>IFERROR(__xludf.DUMMYFUNCTION("""COMPUTED_VALUE"""),"")</f>
        <v/>
      </c>
      <c r="I667" s="510" t="str">
        <f>IFERROR(__xludf.DUMMYFUNCTION("""COMPUTED_VALUE"""),"")</f>
        <v/>
      </c>
      <c r="J667" s="508" t="str">
        <f>IFERROR(__xludf.DUMMYFUNCTION("""COMPUTED_VALUE"""),"")</f>
        <v/>
      </c>
      <c r="K667" s="510" t="str">
        <f>IFERROR(__xludf.DUMMYFUNCTION("""COMPUTED_VALUE"""),"")</f>
        <v/>
      </c>
      <c r="L667" s="508" t="str">
        <f>IFERROR(__xludf.DUMMYFUNCTION("""COMPUTED_VALUE"""),"")</f>
        <v/>
      </c>
      <c r="M667" s="508" t="str">
        <f>IFERROR(__xludf.DUMMYFUNCTION("""COMPUTED_VALUE"""),"")</f>
        <v/>
      </c>
      <c r="N667" s="508" t="str">
        <f>IFERROR(__xludf.DUMMYFUNCTION("""COMPUTED_VALUE"""),"")</f>
        <v/>
      </c>
      <c r="O667" s="508" t="str">
        <f>IFERROR(__xludf.DUMMYFUNCTION("""COMPUTED_VALUE"""),"")</f>
        <v/>
      </c>
      <c r="P667" s="510" t="str">
        <f>IFERROR(__xludf.DUMMYFUNCTION("""COMPUTED_VALUE"""),"")</f>
        <v/>
      </c>
      <c r="Q667" s="508" t="str">
        <f>IFERROR(__xludf.DUMMYFUNCTION("""COMPUTED_VALUE"""),"")</f>
        <v/>
      </c>
      <c r="R667" s="508" t="str">
        <f>IFERROR(__xludf.DUMMYFUNCTION("""COMPUTED_VALUE"""),"")</f>
        <v/>
      </c>
      <c r="S667" s="510" t="str">
        <f>IFERROR(__xludf.DUMMYFUNCTION("""COMPUTED_VALUE"""),"")</f>
        <v/>
      </c>
      <c r="T667" s="510" t="str">
        <f>IFERROR(__xludf.DUMMYFUNCTION("""COMPUTED_VALUE"""),"")</f>
        <v/>
      </c>
    </row>
    <row r="668">
      <c r="A668" s="508" t="str">
        <f>IFERROR(__xludf.DUMMYFUNCTION("""COMPUTED_VALUE"""),"")</f>
        <v/>
      </c>
      <c r="B668" s="508" t="str">
        <f>IFERROR(__xludf.DUMMYFUNCTION("""COMPUTED_VALUE"""),"")</f>
        <v/>
      </c>
      <c r="C668" s="508" t="str">
        <f>IFERROR(__xludf.DUMMYFUNCTION("""COMPUTED_VALUE"""),"")</f>
        <v/>
      </c>
      <c r="D668" s="508" t="str">
        <f>IFERROR(__xludf.DUMMYFUNCTION("""COMPUTED_VALUE"""),"")</f>
        <v/>
      </c>
      <c r="E668" s="508" t="str">
        <f>IFERROR(__xludf.DUMMYFUNCTION("""COMPUTED_VALUE"""),"")</f>
        <v/>
      </c>
      <c r="F668" s="508" t="str">
        <f>IFERROR(__xludf.DUMMYFUNCTION("""COMPUTED_VALUE"""),"")</f>
        <v/>
      </c>
      <c r="G668" s="510" t="str">
        <f>IFERROR(__xludf.DUMMYFUNCTION("""COMPUTED_VALUE"""),"")</f>
        <v/>
      </c>
      <c r="H668" s="508" t="str">
        <f>IFERROR(__xludf.DUMMYFUNCTION("""COMPUTED_VALUE"""),"")</f>
        <v/>
      </c>
      <c r="I668" s="510" t="str">
        <f>IFERROR(__xludf.DUMMYFUNCTION("""COMPUTED_VALUE"""),"")</f>
        <v/>
      </c>
      <c r="J668" s="508" t="str">
        <f>IFERROR(__xludf.DUMMYFUNCTION("""COMPUTED_VALUE"""),"")</f>
        <v/>
      </c>
      <c r="K668" s="510" t="str">
        <f>IFERROR(__xludf.DUMMYFUNCTION("""COMPUTED_VALUE"""),"")</f>
        <v/>
      </c>
      <c r="L668" s="508" t="str">
        <f>IFERROR(__xludf.DUMMYFUNCTION("""COMPUTED_VALUE"""),"")</f>
        <v/>
      </c>
      <c r="M668" s="508" t="str">
        <f>IFERROR(__xludf.DUMMYFUNCTION("""COMPUTED_VALUE"""),"")</f>
        <v/>
      </c>
      <c r="N668" s="508" t="str">
        <f>IFERROR(__xludf.DUMMYFUNCTION("""COMPUTED_VALUE"""),"")</f>
        <v/>
      </c>
      <c r="O668" s="508" t="str">
        <f>IFERROR(__xludf.DUMMYFUNCTION("""COMPUTED_VALUE"""),"")</f>
        <v/>
      </c>
      <c r="P668" s="510" t="str">
        <f>IFERROR(__xludf.DUMMYFUNCTION("""COMPUTED_VALUE"""),"")</f>
        <v/>
      </c>
      <c r="Q668" s="508" t="str">
        <f>IFERROR(__xludf.DUMMYFUNCTION("""COMPUTED_VALUE"""),"")</f>
        <v/>
      </c>
      <c r="R668" s="508" t="str">
        <f>IFERROR(__xludf.DUMMYFUNCTION("""COMPUTED_VALUE"""),"")</f>
        <v/>
      </c>
      <c r="S668" s="510" t="str">
        <f>IFERROR(__xludf.DUMMYFUNCTION("""COMPUTED_VALUE"""),"")</f>
        <v/>
      </c>
      <c r="T668" s="510" t="str">
        <f>IFERROR(__xludf.DUMMYFUNCTION("""COMPUTED_VALUE"""),"")</f>
        <v/>
      </c>
    </row>
    <row r="669">
      <c r="A669" s="508" t="str">
        <f>IFERROR(__xludf.DUMMYFUNCTION("""COMPUTED_VALUE"""),"")</f>
        <v/>
      </c>
      <c r="B669" s="508" t="str">
        <f>IFERROR(__xludf.DUMMYFUNCTION("""COMPUTED_VALUE"""),"")</f>
        <v/>
      </c>
      <c r="C669" s="508" t="str">
        <f>IFERROR(__xludf.DUMMYFUNCTION("""COMPUTED_VALUE"""),"")</f>
        <v/>
      </c>
      <c r="D669" s="508" t="str">
        <f>IFERROR(__xludf.DUMMYFUNCTION("""COMPUTED_VALUE"""),"")</f>
        <v/>
      </c>
      <c r="E669" s="508" t="str">
        <f>IFERROR(__xludf.DUMMYFUNCTION("""COMPUTED_VALUE"""),"")</f>
        <v/>
      </c>
      <c r="F669" s="508" t="str">
        <f>IFERROR(__xludf.DUMMYFUNCTION("""COMPUTED_VALUE"""),"")</f>
        <v/>
      </c>
      <c r="G669" s="510" t="str">
        <f>IFERROR(__xludf.DUMMYFUNCTION("""COMPUTED_VALUE"""),"")</f>
        <v/>
      </c>
      <c r="H669" s="508" t="str">
        <f>IFERROR(__xludf.DUMMYFUNCTION("""COMPUTED_VALUE"""),"")</f>
        <v/>
      </c>
      <c r="I669" s="510" t="str">
        <f>IFERROR(__xludf.DUMMYFUNCTION("""COMPUTED_VALUE"""),"")</f>
        <v/>
      </c>
      <c r="J669" s="508" t="str">
        <f>IFERROR(__xludf.DUMMYFUNCTION("""COMPUTED_VALUE"""),"")</f>
        <v/>
      </c>
      <c r="K669" s="510" t="str">
        <f>IFERROR(__xludf.DUMMYFUNCTION("""COMPUTED_VALUE"""),"")</f>
        <v/>
      </c>
      <c r="L669" s="508" t="str">
        <f>IFERROR(__xludf.DUMMYFUNCTION("""COMPUTED_VALUE"""),"")</f>
        <v/>
      </c>
      <c r="M669" s="508" t="str">
        <f>IFERROR(__xludf.DUMMYFUNCTION("""COMPUTED_VALUE"""),"")</f>
        <v/>
      </c>
      <c r="N669" s="508" t="str">
        <f>IFERROR(__xludf.DUMMYFUNCTION("""COMPUTED_VALUE"""),"")</f>
        <v/>
      </c>
      <c r="O669" s="508" t="str">
        <f>IFERROR(__xludf.DUMMYFUNCTION("""COMPUTED_VALUE"""),"")</f>
        <v/>
      </c>
      <c r="P669" s="510" t="str">
        <f>IFERROR(__xludf.DUMMYFUNCTION("""COMPUTED_VALUE"""),"")</f>
        <v/>
      </c>
      <c r="Q669" s="508" t="str">
        <f>IFERROR(__xludf.DUMMYFUNCTION("""COMPUTED_VALUE"""),"")</f>
        <v/>
      </c>
      <c r="R669" s="508" t="str">
        <f>IFERROR(__xludf.DUMMYFUNCTION("""COMPUTED_VALUE"""),"")</f>
        <v/>
      </c>
      <c r="S669" s="510" t="str">
        <f>IFERROR(__xludf.DUMMYFUNCTION("""COMPUTED_VALUE"""),"")</f>
        <v/>
      </c>
      <c r="T669" s="510" t="str">
        <f>IFERROR(__xludf.DUMMYFUNCTION("""COMPUTED_VALUE"""),"")</f>
        <v/>
      </c>
    </row>
    <row r="670">
      <c r="A670" s="508" t="str">
        <f>IFERROR(__xludf.DUMMYFUNCTION("""COMPUTED_VALUE"""),"")</f>
        <v/>
      </c>
      <c r="B670" s="508" t="str">
        <f>IFERROR(__xludf.DUMMYFUNCTION("""COMPUTED_VALUE"""),"")</f>
        <v/>
      </c>
      <c r="C670" s="508" t="str">
        <f>IFERROR(__xludf.DUMMYFUNCTION("""COMPUTED_VALUE"""),"")</f>
        <v/>
      </c>
      <c r="D670" s="508" t="str">
        <f>IFERROR(__xludf.DUMMYFUNCTION("""COMPUTED_VALUE"""),"")</f>
        <v/>
      </c>
      <c r="E670" s="508" t="str">
        <f>IFERROR(__xludf.DUMMYFUNCTION("""COMPUTED_VALUE"""),"")</f>
        <v/>
      </c>
      <c r="F670" s="508" t="str">
        <f>IFERROR(__xludf.DUMMYFUNCTION("""COMPUTED_VALUE"""),"")</f>
        <v/>
      </c>
      <c r="G670" s="510" t="str">
        <f>IFERROR(__xludf.DUMMYFUNCTION("""COMPUTED_VALUE"""),"")</f>
        <v/>
      </c>
      <c r="H670" s="508" t="str">
        <f>IFERROR(__xludf.DUMMYFUNCTION("""COMPUTED_VALUE"""),"")</f>
        <v/>
      </c>
      <c r="I670" s="510" t="str">
        <f>IFERROR(__xludf.DUMMYFUNCTION("""COMPUTED_VALUE"""),"")</f>
        <v/>
      </c>
      <c r="J670" s="508" t="str">
        <f>IFERROR(__xludf.DUMMYFUNCTION("""COMPUTED_VALUE"""),"")</f>
        <v/>
      </c>
      <c r="K670" s="510" t="str">
        <f>IFERROR(__xludf.DUMMYFUNCTION("""COMPUTED_VALUE"""),"")</f>
        <v/>
      </c>
      <c r="L670" s="508" t="str">
        <f>IFERROR(__xludf.DUMMYFUNCTION("""COMPUTED_VALUE"""),"")</f>
        <v/>
      </c>
      <c r="M670" s="508" t="str">
        <f>IFERROR(__xludf.DUMMYFUNCTION("""COMPUTED_VALUE"""),"")</f>
        <v/>
      </c>
      <c r="N670" s="508" t="str">
        <f>IFERROR(__xludf.DUMMYFUNCTION("""COMPUTED_VALUE"""),"")</f>
        <v/>
      </c>
      <c r="O670" s="508" t="str">
        <f>IFERROR(__xludf.DUMMYFUNCTION("""COMPUTED_VALUE"""),"")</f>
        <v/>
      </c>
      <c r="P670" s="510" t="str">
        <f>IFERROR(__xludf.DUMMYFUNCTION("""COMPUTED_VALUE"""),"")</f>
        <v/>
      </c>
      <c r="Q670" s="508" t="str">
        <f>IFERROR(__xludf.DUMMYFUNCTION("""COMPUTED_VALUE"""),"")</f>
        <v/>
      </c>
      <c r="R670" s="508" t="str">
        <f>IFERROR(__xludf.DUMMYFUNCTION("""COMPUTED_VALUE"""),"")</f>
        <v/>
      </c>
      <c r="S670" s="510" t="str">
        <f>IFERROR(__xludf.DUMMYFUNCTION("""COMPUTED_VALUE"""),"")</f>
        <v/>
      </c>
      <c r="T670" s="510" t="str">
        <f>IFERROR(__xludf.DUMMYFUNCTION("""COMPUTED_VALUE"""),"")</f>
        <v/>
      </c>
    </row>
    <row r="671">
      <c r="A671" s="508" t="str">
        <f>IFERROR(__xludf.DUMMYFUNCTION("""COMPUTED_VALUE"""),"")</f>
        <v/>
      </c>
      <c r="B671" s="508" t="str">
        <f>IFERROR(__xludf.DUMMYFUNCTION("""COMPUTED_VALUE"""),"")</f>
        <v/>
      </c>
      <c r="C671" s="508" t="str">
        <f>IFERROR(__xludf.DUMMYFUNCTION("""COMPUTED_VALUE"""),"")</f>
        <v/>
      </c>
      <c r="D671" s="508" t="str">
        <f>IFERROR(__xludf.DUMMYFUNCTION("""COMPUTED_VALUE"""),"")</f>
        <v/>
      </c>
      <c r="E671" s="508" t="str">
        <f>IFERROR(__xludf.DUMMYFUNCTION("""COMPUTED_VALUE"""),"")</f>
        <v/>
      </c>
      <c r="F671" s="508" t="str">
        <f>IFERROR(__xludf.DUMMYFUNCTION("""COMPUTED_VALUE"""),"")</f>
        <v/>
      </c>
      <c r="G671" s="510" t="str">
        <f>IFERROR(__xludf.DUMMYFUNCTION("""COMPUTED_VALUE"""),"")</f>
        <v/>
      </c>
      <c r="H671" s="508" t="str">
        <f>IFERROR(__xludf.DUMMYFUNCTION("""COMPUTED_VALUE"""),"")</f>
        <v/>
      </c>
      <c r="I671" s="510" t="str">
        <f>IFERROR(__xludf.DUMMYFUNCTION("""COMPUTED_VALUE"""),"")</f>
        <v/>
      </c>
      <c r="J671" s="508" t="str">
        <f>IFERROR(__xludf.DUMMYFUNCTION("""COMPUTED_VALUE"""),"")</f>
        <v/>
      </c>
      <c r="K671" s="510" t="str">
        <f>IFERROR(__xludf.DUMMYFUNCTION("""COMPUTED_VALUE"""),"")</f>
        <v/>
      </c>
      <c r="L671" s="508" t="str">
        <f>IFERROR(__xludf.DUMMYFUNCTION("""COMPUTED_VALUE"""),"")</f>
        <v/>
      </c>
      <c r="M671" s="508" t="str">
        <f>IFERROR(__xludf.DUMMYFUNCTION("""COMPUTED_VALUE"""),"")</f>
        <v/>
      </c>
      <c r="N671" s="508" t="str">
        <f>IFERROR(__xludf.DUMMYFUNCTION("""COMPUTED_VALUE"""),"")</f>
        <v/>
      </c>
      <c r="O671" s="508" t="str">
        <f>IFERROR(__xludf.DUMMYFUNCTION("""COMPUTED_VALUE"""),"")</f>
        <v/>
      </c>
      <c r="P671" s="510" t="str">
        <f>IFERROR(__xludf.DUMMYFUNCTION("""COMPUTED_VALUE"""),"")</f>
        <v/>
      </c>
      <c r="Q671" s="508" t="str">
        <f>IFERROR(__xludf.DUMMYFUNCTION("""COMPUTED_VALUE"""),"")</f>
        <v/>
      </c>
      <c r="R671" s="508" t="str">
        <f>IFERROR(__xludf.DUMMYFUNCTION("""COMPUTED_VALUE"""),"")</f>
        <v/>
      </c>
      <c r="S671" s="510" t="str">
        <f>IFERROR(__xludf.DUMMYFUNCTION("""COMPUTED_VALUE"""),"")</f>
        <v/>
      </c>
      <c r="T671" s="510" t="str">
        <f>IFERROR(__xludf.DUMMYFUNCTION("""COMPUTED_VALUE"""),"")</f>
        <v/>
      </c>
    </row>
    <row r="672">
      <c r="A672" s="508" t="str">
        <f>IFERROR(__xludf.DUMMYFUNCTION("""COMPUTED_VALUE"""),"")</f>
        <v/>
      </c>
      <c r="B672" s="508" t="str">
        <f>IFERROR(__xludf.DUMMYFUNCTION("""COMPUTED_VALUE"""),"")</f>
        <v/>
      </c>
      <c r="C672" s="508" t="str">
        <f>IFERROR(__xludf.DUMMYFUNCTION("""COMPUTED_VALUE"""),"")</f>
        <v/>
      </c>
      <c r="D672" s="508" t="str">
        <f>IFERROR(__xludf.DUMMYFUNCTION("""COMPUTED_VALUE"""),"")</f>
        <v/>
      </c>
      <c r="E672" s="508" t="str">
        <f>IFERROR(__xludf.DUMMYFUNCTION("""COMPUTED_VALUE"""),"")</f>
        <v/>
      </c>
      <c r="F672" s="508" t="str">
        <f>IFERROR(__xludf.DUMMYFUNCTION("""COMPUTED_VALUE"""),"")</f>
        <v/>
      </c>
      <c r="G672" s="510" t="str">
        <f>IFERROR(__xludf.DUMMYFUNCTION("""COMPUTED_VALUE"""),"")</f>
        <v/>
      </c>
      <c r="H672" s="508" t="str">
        <f>IFERROR(__xludf.DUMMYFUNCTION("""COMPUTED_VALUE"""),"")</f>
        <v/>
      </c>
      <c r="I672" s="510" t="str">
        <f>IFERROR(__xludf.DUMMYFUNCTION("""COMPUTED_VALUE"""),"")</f>
        <v/>
      </c>
      <c r="J672" s="508" t="str">
        <f>IFERROR(__xludf.DUMMYFUNCTION("""COMPUTED_VALUE"""),"")</f>
        <v/>
      </c>
      <c r="K672" s="510" t="str">
        <f>IFERROR(__xludf.DUMMYFUNCTION("""COMPUTED_VALUE"""),"")</f>
        <v/>
      </c>
      <c r="L672" s="508" t="str">
        <f>IFERROR(__xludf.DUMMYFUNCTION("""COMPUTED_VALUE"""),"")</f>
        <v/>
      </c>
      <c r="M672" s="508" t="str">
        <f>IFERROR(__xludf.DUMMYFUNCTION("""COMPUTED_VALUE"""),"")</f>
        <v/>
      </c>
      <c r="N672" s="508" t="str">
        <f>IFERROR(__xludf.DUMMYFUNCTION("""COMPUTED_VALUE"""),"")</f>
        <v/>
      </c>
      <c r="O672" s="508" t="str">
        <f>IFERROR(__xludf.DUMMYFUNCTION("""COMPUTED_VALUE"""),"")</f>
        <v/>
      </c>
      <c r="P672" s="510" t="str">
        <f>IFERROR(__xludf.DUMMYFUNCTION("""COMPUTED_VALUE"""),"")</f>
        <v/>
      </c>
      <c r="Q672" s="508" t="str">
        <f>IFERROR(__xludf.DUMMYFUNCTION("""COMPUTED_VALUE"""),"")</f>
        <v/>
      </c>
      <c r="R672" s="508" t="str">
        <f>IFERROR(__xludf.DUMMYFUNCTION("""COMPUTED_VALUE"""),"")</f>
        <v/>
      </c>
      <c r="S672" s="510" t="str">
        <f>IFERROR(__xludf.DUMMYFUNCTION("""COMPUTED_VALUE"""),"")</f>
        <v/>
      </c>
      <c r="T672" s="510" t="str">
        <f>IFERROR(__xludf.DUMMYFUNCTION("""COMPUTED_VALUE"""),"")</f>
        <v/>
      </c>
    </row>
    <row r="673">
      <c r="A673" s="508" t="str">
        <f>IFERROR(__xludf.DUMMYFUNCTION("""COMPUTED_VALUE"""),"")</f>
        <v/>
      </c>
      <c r="B673" s="508" t="str">
        <f>IFERROR(__xludf.DUMMYFUNCTION("""COMPUTED_VALUE"""),"")</f>
        <v/>
      </c>
      <c r="C673" s="508" t="str">
        <f>IFERROR(__xludf.DUMMYFUNCTION("""COMPUTED_VALUE"""),"")</f>
        <v/>
      </c>
      <c r="D673" s="508" t="str">
        <f>IFERROR(__xludf.DUMMYFUNCTION("""COMPUTED_VALUE"""),"")</f>
        <v/>
      </c>
      <c r="E673" s="508" t="str">
        <f>IFERROR(__xludf.DUMMYFUNCTION("""COMPUTED_VALUE"""),"")</f>
        <v/>
      </c>
      <c r="F673" s="508" t="str">
        <f>IFERROR(__xludf.DUMMYFUNCTION("""COMPUTED_VALUE"""),"")</f>
        <v/>
      </c>
      <c r="G673" s="510" t="str">
        <f>IFERROR(__xludf.DUMMYFUNCTION("""COMPUTED_VALUE"""),"")</f>
        <v/>
      </c>
      <c r="H673" s="508" t="str">
        <f>IFERROR(__xludf.DUMMYFUNCTION("""COMPUTED_VALUE"""),"")</f>
        <v/>
      </c>
      <c r="I673" s="510" t="str">
        <f>IFERROR(__xludf.DUMMYFUNCTION("""COMPUTED_VALUE"""),"")</f>
        <v/>
      </c>
      <c r="J673" s="508" t="str">
        <f>IFERROR(__xludf.DUMMYFUNCTION("""COMPUTED_VALUE"""),"")</f>
        <v/>
      </c>
      <c r="K673" s="510" t="str">
        <f>IFERROR(__xludf.DUMMYFUNCTION("""COMPUTED_VALUE"""),"")</f>
        <v/>
      </c>
      <c r="L673" s="508" t="str">
        <f>IFERROR(__xludf.DUMMYFUNCTION("""COMPUTED_VALUE"""),"")</f>
        <v/>
      </c>
      <c r="M673" s="508" t="str">
        <f>IFERROR(__xludf.DUMMYFUNCTION("""COMPUTED_VALUE"""),"")</f>
        <v/>
      </c>
      <c r="N673" s="508" t="str">
        <f>IFERROR(__xludf.DUMMYFUNCTION("""COMPUTED_VALUE"""),"")</f>
        <v/>
      </c>
      <c r="O673" s="508" t="str">
        <f>IFERROR(__xludf.DUMMYFUNCTION("""COMPUTED_VALUE"""),"")</f>
        <v/>
      </c>
      <c r="P673" s="510" t="str">
        <f>IFERROR(__xludf.DUMMYFUNCTION("""COMPUTED_VALUE"""),"")</f>
        <v/>
      </c>
      <c r="Q673" s="508" t="str">
        <f>IFERROR(__xludf.DUMMYFUNCTION("""COMPUTED_VALUE"""),"")</f>
        <v/>
      </c>
      <c r="R673" s="508" t="str">
        <f>IFERROR(__xludf.DUMMYFUNCTION("""COMPUTED_VALUE"""),"")</f>
        <v/>
      </c>
      <c r="S673" s="510" t="str">
        <f>IFERROR(__xludf.DUMMYFUNCTION("""COMPUTED_VALUE"""),"")</f>
        <v/>
      </c>
      <c r="T673" s="510" t="str">
        <f>IFERROR(__xludf.DUMMYFUNCTION("""COMPUTED_VALUE"""),"")</f>
        <v/>
      </c>
    </row>
    <row r="674">
      <c r="A674" s="508" t="str">
        <f>IFERROR(__xludf.DUMMYFUNCTION("""COMPUTED_VALUE"""),"")</f>
        <v/>
      </c>
      <c r="B674" s="508" t="str">
        <f>IFERROR(__xludf.DUMMYFUNCTION("""COMPUTED_VALUE"""),"")</f>
        <v/>
      </c>
      <c r="C674" s="508" t="str">
        <f>IFERROR(__xludf.DUMMYFUNCTION("""COMPUTED_VALUE"""),"")</f>
        <v/>
      </c>
      <c r="D674" s="508" t="str">
        <f>IFERROR(__xludf.DUMMYFUNCTION("""COMPUTED_VALUE"""),"")</f>
        <v/>
      </c>
      <c r="E674" s="508" t="str">
        <f>IFERROR(__xludf.DUMMYFUNCTION("""COMPUTED_VALUE"""),"")</f>
        <v/>
      </c>
      <c r="F674" s="508" t="str">
        <f>IFERROR(__xludf.DUMMYFUNCTION("""COMPUTED_VALUE"""),"")</f>
        <v/>
      </c>
      <c r="G674" s="510" t="str">
        <f>IFERROR(__xludf.DUMMYFUNCTION("""COMPUTED_VALUE"""),"")</f>
        <v/>
      </c>
      <c r="H674" s="508" t="str">
        <f>IFERROR(__xludf.DUMMYFUNCTION("""COMPUTED_VALUE"""),"")</f>
        <v/>
      </c>
      <c r="I674" s="510" t="str">
        <f>IFERROR(__xludf.DUMMYFUNCTION("""COMPUTED_VALUE"""),"")</f>
        <v/>
      </c>
      <c r="J674" s="508" t="str">
        <f>IFERROR(__xludf.DUMMYFUNCTION("""COMPUTED_VALUE"""),"")</f>
        <v/>
      </c>
      <c r="K674" s="510" t="str">
        <f>IFERROR(__xludf.DUMMYFUNCTION("""COMPUTED_VALUE"""),"")</f>
        <v/>
      </c>
      <c r="L674" s="508" t="str">
        <f>IFERROR(__xludf.DUMMYFUNCTION("""COMPUTED_VALUE"""),"")</f>
        <v/>
      </c>
      <c r="M674" s="508" t="str">
        <f>IFERROR(__xludf.DUMMYFUNCTION("""COMPUTED_VALUE"""),"")</f>
        <v/>
      </c>
      <c r="N674" s="508" t="str">
        <f>IFERROR(__xludf.DUMMYFUNCTION("""COMPUTED_VALUE"""),"")</f>
        <v/>
      </c>
      <c r="O674" s="508" t="str">
        <f>IFERROR(__xludf.DUMMYFUNCTION("""COMPUTED_VALUE"""),"")</f>
        <v/>
      </c>
      <c r="P674" s="510" t="str">
        <f>IFERROR(__xludf.DUMMYFUNCTION("""COMPUTED_VALUE"""),"")</f>
        <v/>
      </c>
      <c r="Q674" s="508" t="str">
        <f>IFERROR(__xludf.DUMMYFUNCTION("""COMPUTED_VALUE"""),"")</f>
        <v/>
      </c>
      <c r="R674" s="508" t="str">
        <f>IFERROR(__xludf.DUMMYFUNCTION("""COMPUTED_VALUE"""),"")</f>
        <v/>
      </c>
      <c r="S674" s="510" t="str">
        <f>IFERROR(__xludf.DUMMYFUNCTION("""COMPUTED_VALUE"""),"")</f>
        <v/>
      </c>
      <c r="T674" s="510" t="str">
        <f>IFERROR(__xludf.DUMMYFUNCTION("""COMPUTED_VALUE"""),"")</f>
        <v/>
      </c>
    </row>
    <row r="675">
      <c r="A675" s="508" t="str">
        <f>IFERROR(__xludf.DUMMYFUNCTION("""COMPUTED_VALUE"""),"")</f>
        <v/>
      </c>
      <c r="B675" s="508" t="str">
        <f>IFERROR(__xludf.DUMMYFUNCTION("""COMPUTED_VALUE"""),"")</f>
        <v/>
      </c>
      <c r="C675" s="508" t="str">
        <f>IFERROR(__xludf.DUMMYFUNCTION("""COMPUTED_VALUE"""),"")</f>
        <v/>
      </c>
      <c r="D675" s="508" t="str">
        <f>IFERROR(__xludf.DUMMYFUNCTION("""COMPUTED_VALUE"""),"")</f>
        <v/>
      </c>
      <c r="E675" s="508" t="str">
        <f>IFERROR(__xludf.DUMMYFUNCTION("""COMPUTED_VALUE"""),"")</f>
        <v/>
      </c>
      <c r="F675" s="508" t="str">
        <f>IFERROR(__xludf.DUMMYFUNCTION("""COMPUTED_VALUE"""),"")</f>
        <v/>
      </c>
      <c r="G675" s="510" t="str">
        <f>IFERROR(__xludf.DUMMYFUNCTION("""COMPUTED_VALUE"""),"")</f>
        <v/>
      </c>
      <c r="H675" s="508" t="str">
        <f>IFERROR(__xludf.DUMMYFUNCTION("""COMPUTED_VALUE"""),"")</f>
        <v/>
      </c>
      <c r="I675" s="510" t="str">
        <f>IFERROR(__xludf.DUMMYFUNCTION("""COMPUTED_VALUE"""),"")</f>
        <v/>
      </c>
      <c r="J675" s="508" t="str">
        <f>IFERROR(__xludf.DUMMYFUNCTION("""COMPUTED_VALUE"""),"")</f>
        <v/>
      </c>
      <c r="K675" s="510" t="str">
        <f>IFERROR(__xludf.DUMMYFUNCTION("""COMPUTED_VALUE"""),"")</f>
        <v/>
      </c>
      <c r="L675" s="508" t="str">
        <f>IFERROR(__xludf.DUMMYFUNCTION("""COMPUTED_VALUE"""),"")</f>
        <v/>
      </c>
      <c r="M675" s="508" t="str">
        <f>IFERROR(__xludf.DUMMYFUNCTION("""COMPUTED_VALUE"""),"")</f>
        <v/>
      </c>
      <c r="N675" s="508" t="str">
        <f>IFERROR(__xludf.DUMMYFUNCTION("""COMPUTED_VALUE"""),"")</f>
        <v/>
      </c>
      <c r="O675" s="508" t="str">
        <f>IFERROR(__xludf.DUMMYFUNCTION("""COMPUTED_VALUE"""),"")</f>
        <v/>
      </c>
      <c r="P675" s="510" t="str">
        <f>IFERROR(__xludf.DUMMYFUNCTION("""COMPUTED_VALUE"""),"")</f>
        <v/>
      </c>
      <c r="Q675" s="508" t="str">
        <f>IFERROR(__xludf.DUMMYFUNCTION("""COMPUTED_VALUE"""),"")</f>
        <v/>
      </c>
      <c r="R675" s="508" t="str">
        <f>IFERROR(__xludf.DUMMYFUNCTION("""COMPUTED_VALUE"""),"")</f>
        <v/>
      </c>
      <c r="S675" s="510" t="str">
        <f>IFERROR(__xludf.DUMMYFUNCTION("""COMPUTED_VALUE"""),"")</f>
        <v/>
      </c>
      <c r="T675" s="510" t="str">
        <f>IFERROR(__xludf.DUMMYFUNCTION("""COMPUTED_VALUE"""),"")</f>
        <v/>
      </c>
    </row>
    <row r="676">
      <c r="A676" s="508" t="str">
        <f>IFERROR(__xludf.DUMMYFUNCTION("""COMPUTED_VALUE"""),"")</f>
        <v/>
      </c>
      <c r="B676" s="508" t="str">
        <f>IFERROR(__xludf.DUMMYFUNCTION("""COMPUTED_VALUE"""),"")</f>
        <v/>
      </c>
      <c r="C676" s="508" t="str">
        <f>IFERROR(__xludf.DUMMYFUNCTION("""COMPUTED_VALUE"""),"")</f>
        <v/>
      </c>
      <c r="D676" s="508" t="str">
        <f>IFERROR(__xludf.DUMMYFUNCTION("""COMPUTED_VALUE"""),"")</f>
        <v/>
      </c>
      <c r="E676" s="508" t="str">
        <f>IFERROR(__xludf.DUMMYFUNCTION("""COMPUTED_VALUE"""),"")</f>
        <v/>
      </c>
      <c r="F676" s="508" t="str">
        <f>IFERROR(__xludf.DUMMYFUNCTION("""COMPUTED_VALUE"""),"")</f>
        <v/>
      </c>
      <c r="G676" s="510" t="str">
        <f>IFERROR(__xludf.DUMMYFUNCTION("""COMPUTED_VALUE"""),"")</f>
        <v/>
      </c>
      <c r="H676" s="508" t="str">
        <f>IFERROR(__xludf.DUMMYFUNCTION("""COMPUTED_VALUE"""),"")</f>
        <v/>
      </c>
      <c r="I676" s="510" t="str">
        <f>IFERROR(__xludf.DUMMYFUNCTION("""COMPUTED_VALUE"""),"")</f>
        <v/>
      </c>
      <c r="J676" s="508" t="str">
        <f>IFERROR(__xludf.DUMMYFUNCTION("""COMPUTED_VALUE"""),"")</f>
        <v/>
      </c>
      <c r="K676" s="510" t="str">
        <f>IFERROR(__xludf.DUMMYFUNCTION("""COMPUTED_VALUE"""),"")</f>
        <v/>
      </c>
      <c r="L676" s="508" t="str">
        <f>IFERROR(__xludf.DUMMYFUNCTION("""COMPUTED_VALUE"""),"")</f>
        <v/>
      </c>
      <c r="M676" s="508" t="str">
        <f>IFERROR(__xludf.DUMMYFUNCTION("""COMPUTED_VALUE"""),"")</f>
        <v/>
      </c>
      <c r="N676" s="508" t="str">
        <f>IFERROR(__xludf.DUMMYFUNCTION("""COMPUTED_VALUE"""),"")</f>
        <v/>
      </c>
      <c r="O676" s="508" t="str">
        <f>IFERROR(__xludf.DUMMYFUNCTION("""COMPUTED_VALUE"""),"")</f>
        <v/>
      </c>
      <c r="P676" s="510" t="str">
        <f>IFERROR(__xludf.DUMMYFUNCTION("""COMPUTED_VALUE"""),"")</f>
        <v/>
      </c>
      <c r="Q676" s="508" t="str">
        <f>IFERROR(__xludf.DUMMYFUNCTION("""COMPUTED_VALUE"""),"")</f>
        <v/>
      </c>
      <c r="R676" s="508" t="str">
        <f>IFERROR(__xludf.DUMMYFUNCTION("""COMPUTED_VALUE"""),"")</f>
        <v/>
      </c>
      <c r="S676" s="510" t="str">
        <f>IFERROR(__xludf.DUMMYFUNCTION("""COMPUTED_VALUE"""),"")</f>
        <v/>
      </c>
      <c r="T676" s="510" t="str">
        <f>IFERROR(__xludf.DUMMYFUNCTION("""COMPUTED_VALUE"""),"")</f>
        <v/>
      </c>
    </row>
    <row r="677">
      <c r="A677" s="508" t="str">
        <f>IFERROR(__xludf.DUMMYFUNCTION("""COMPUTED_VALUE"""),"")</f>
        <v/>
      </c>
      <c r="B677" s="508" t="str">
        <f>IFERROR(__xludf.DUMMYFUNCTION("""COMPUTED_VALUE"""),"")</f>
        <v/>
      </c>
      <c r="C677" s="508" t="str">
        <f>IFERROR(__xludf.DUMMYFUNCTION("""COMPUTED_VALUE"""),"")</f>
        <v/>
      </c>
      <c r="D677" s="508" t="str">
        <f>IFERROR(__xludf.DUMMYFUNCTION("""COMPUTED_VALUE"""),"")</f>
        <v/>
      </c>
      <c r="E677" s="508" t="str">
        <f>IFERROR(__xludf.DUMMYFUNCTION("""COMPUTED_VALUE"""),"")</f>
        <v/>
      </c>
      <c r="F677" s="508" t="str">
        <f>IFERROR(__xludf.DUMMYFUNCTION("""COMPUTED_VALUE"""),"")</f>
        <v/>
      </c>
      <c r="G677" s="510" t="str">
        <f>IFERROR(__xludf.DUMMYFUNCTION("""COMPUTED_VALUE"""),"")</f>
        <v/>
      </c>
      <c r="H677" s="508" t="str">
        <f>IFERROR(__xludf.DUMMYFUNCTION("""COMPUTED_VALUE"""),"")</f>
        <v/>
      </c>
      <c r="I677" s="510" t="str">
        <f>IFERROR(__xludf.DUMMYFUNCTION("""COMPUTED_VALUE"""),"")</f>
        <v/>
      </c>
      <c r="J677" s="508" t="str">
        <f>IFERROR(__xludf.DUMMYFUNCTION("""COMPUTED_VALUE"""),"")</f>
        <v/>
      </c>
      <c r="K677" s="510" t="str">
        <f>IFERROR(__xludf.DUMMYFUNCTION("""COMPUTED_VALUE"""),"")</f>
        <v/>
      </c>
      <c r="L677" s="508" t="str">
        <f>IFERROR(__xludf.DUMMYFUNCTION("""COMPUTED_VALUE"""),"")</f>
        <v/>
      </c>
      <c r="M677" s="508" t="str">
        <f>IFERROR(__xludf.DUMMYFUNCTION("""COMPUTED_VALUE"""),"")</f>
        <v/>
      </c>
      <c r="N677" s="508" t="str">
        <f>IFERROR(__xludf.DUMMYFUNCTION("""COMPUTED_VALUE"""),"")</f>
        <v/>
      </c>
      <c r="O677" s="508" t="str">
        <f>IFERROR(__xludf.DUMMYFUNCTION("""COMPUTED_VALUE"""),"")</f>
        <v/>
      </c>
      <c r="P677" s="510" t="str">
        <f>IFERROR(__xludf.DUMMYFUNCTION("""COMPUTED_VALUE"""),"")</f>
        <v/>
      </c>
      <c r="Q677" s="508" t="str">
        <f>IFERROR(__xludf.DUMMYFUNCTION("""COMPUTED_VALUE"""),"")</f>
        <v/>
      </c>
      <c r="R677" s="508" t="str">
        <f>IFERROR(__xludf.DUMMYFUNCTION("""COMPUTED_VALUE"""),"")</f>
        <v/>
      </c>
      <c r="S677" s="510" t="str">
        <f>IFERROR(__xludf.DUMMYFUNCTION("""COMPUTED_VALUE"""),"")</f>
        <v/>
      </c>
      <c r="T677" s="510" t="str">
        <f>IFERROR(__xludf.DUMMYFUNCTION("""COMPUTED_VALUE"""),"")</f>
        <v/>
      </c>
    </row>
    <row r="678">
      <c r="A678" s="508" t="str">
        <f>IFERROR(__xludf.DUMMYFUNCTION("""COMPUTED_VALUE"""),"")</f>
        <v/>
      </c>
      <c r="B678" s="508" t="str">
        <f>IFERROR(__xludf.DUMMYFUNCTION("""COMPUTED_VALUE"""),"")</f>
        <v/>
      </c>
      <c r="C678" s="508" t="str">
        <f>IFERROR(__xludf.DUMMYFUNCTION("""COMPUTED_VALUE"""),"")</f>
        <v/>
      </c>
      <c r="D678" s="508" t="str">
        <f>IFERROR(__xludf.DUMMYFUNCTION("""COMPUTED_VALUE"""),"")</f>
        <v/>
      </c>
      <c r="E678" s="508" t="str">
        <f>IFERROR(__xludf.DUMMYFUNCTION("""COMPUTED_VALUE"""),"")</f>
        <v/>
      </c>
      <c r="F678" s="508" t="str">
        <f>IFERROR(__xludf.DUMMYFUNCTION("""COMPUTED_VALUE"""),"")</f>
        <v/>
      </c>
      <c r="G678" s="510" t="str">
        <f>IFERROR(__xludf.DUMMYFUNCTION("""COMPUTED_VALUE"""),"")</f>
        <v/>
      </c>
      <c r="H678" s="508" t="str">
        <f>IFERROR(__xludf.DUMMYFUNCTION("""COMPUTED_VALUE"""),"")</f>
        <v/>
      </c>
      <c r="I678" s="510" t="str">
        <f>IFERROR(__xludf.DUMMYFUNCTION("""COMPUTED_VALUE"""),"")</f>
        <v/>
      </c>
      <c r="J678" s="508" t="str">
        <f>IFERROR(__xludf.DUMMYFUNCTION("""COMPUTED_VALUE"""),"")</f>
        <v/>
      </c>
      <c r="K678" s="510" t="str">
        <f>IFERROR(__xludf.DUMMYFUNCTION("""COMPUTED_VALUE"""),"")</f>
        <v/>
      </c>
      <c r="L678" s="508" t="str">
        <f>IFERROR(__xludf.DUMMYFUNCTION("""COMPUTED_VALUE"""),"")</f>
        <v/>
      </c>
      <c r="M678" s="508" t="str">
        <f>IFERROR(__xludf.DUMMYFUNCTION("""COMPUTED_VALUE"""),"")</f>
        <v/>
      </c>
      <c r="N678" s="508" t="str">
        <f>IFERROR(__xludf.DUMMYFUNCTION("""COMPUTED_VALUE"""),"")</f>
        <v/>
      </c>
      <c r="O678" s="508" t="str">
        <f>IFERROR(__xludf.DUMMYFUNCTION("""COMPUTED_VALUE"""),"")</f>
        <v/>
      </c>
      <c r="P678" s="510" t="str">
        <f>IFERROR(__xludf.DUMMYFUNCTION("""COMPUTED_VALUE"""),"")</f>
        <v/>
      </c>
      <c r="Q678" s="508" t="str">
        <f>IFERROR(__xludf.DUMMYFUNCTION("""COMPUTED_VALUE"""),"")</f>
        <v/>
      </c>
      <c r="R678" s="508" t="str">
        <f>IFERROR(__xludf.DUMMYFUNCTION("""COMPUTED_VALUE"""),"")</f>
        <v/>
      </c>
      <c r="S678" s="510" t="str">
        <f>IFERROR(__xludf.DUMMYFUNCTION("""COMPUTED_VALUE"""),"")</f>
        <v/>
      </c>
      <c r="T678" s="510" t="str">
        <f>IFERROR(__xludf.DUMMYFUNCTION("""COMPUTED_VALUE"""),"")</f>
        <v/>
      </c>
    </row>
    <row r="679">
      <c r="A679" s="508" t="str">
        <f>IFERROR(__xludf.DUMMYFUNCTION("""COMPUTED_VALUE"""),"")</f>
        <v/>
      </c>
      <c r="B679" s="508" t="str">
        <f>IFERROR(__xludf.DUMMYFUNCTION("""COMPUTED_VALUE"""),"")</f>
        <v/>
      </c>
      <c r="C679" s="508" t="str">
        <f>IFERROR(__xludf.DUMMYFUNCTION("""COMPUTED_VALUE"""),"")</f>
        <v/>
      </c>
      <c r="D679" s="508" t="str">
        <f>IFERROR(__xludf.DUMMYFUNCTION("""COMPUTED_VALUE"""),"")</f>
        <v/>
      </c>
      <c r="E679" s="508" t="str">
        <f>IFERROR(__xludf.DUMMYFUNCTION("""COMPUTED_VALUE"""),"")</f>
        <v/>
      </c>
      <c r="F679" s="508" t="str">
        <f>IFERROR(__xludf.DUMMYFUNCTION("""COMPUTED_VALUE"""),"")</f>
        <v/>
      </c>
      <c r="G679" s="510" t="str">
        <f>IFERROR(__xludf.DUMMYFUNCTION("""COMPUTED_VALUE"""),"")</f>
        <v/>
      </c>
      <c r="H679" s="508" t="str">
        <f>IFERROR(__xludf.DUMMYFUNCTION("""COMPUTED_VALUE"""),"")</f>
        <v/>
      </c>
      <c r="I679" s="510" t="str">
        <f>IFERROR(__xludf.DUMMYFUNCTION("""COMPUTED_VALUE"""),"")</f>
        <v/>
      </c>
      <c r="J679" s="508" t="str">
        <f>IFERROR(__xludf.DUMMYFUNCTION("""COMPUTED_VALUE"""),"")</f>
        <v/>
      </c>
      <c r="K679" s="510" t="str">
        <f>IFERROR(__xludf.DUMMYFUNCTION("""COMPUTED_VALUE"""),"")</f>
        <v/>
      </c>
      <c r="L679" s="508" t="str">
        <f>IFERROR(__xludf.DUMMYFUNCTION("""COMPUTED_VALUE"""),"")</f>
        <v/>
      </c>
      <c r="M679" s="508" t="str">
        <f>IFERROR(__xludf.DUMMYFUNCTION("""COMPUTED_VALUE"""),"")</f>
        <v/>
      </c>
      <c r="N679" s="508" t="str">
        <f>IFERROR(__xludf.DUMMYFUNCTION("""COMPUTED_VALUE"""),"")</f>
        <v/>
      </c>
      <c r="O679" s="508" t="str">
        <f>IFERROR(__xludf.DUMMYFUNCTION("""COMPUTED_VALUE"""),"")</f>
        <v/>
      </c>
      <c r="P679" s="510" t="str">
        <f>IFERROR(__xludf.DUMMYFUNCTION("""COMPUTED_VALUE"""),"")</f>
        <v/>
      </c>
      <c r="Q679" s="508" t="str">
        <f>IFERROR(__xludf.DUMMYFUNCTION("""COMPUTED_VALUE"""),"")</f>
        <v/>
      </c>
      <c r="R679" s="508" t="str">
        <f>IFERROR(__xludf.DUMMYFUNCTION("""COMPUTED_VALUE"""),"")</f>
        <v/>
      </c>
      <c r="S679" s="510" t="str">
        <f>IFERROR(__xludf.DUMMYFUNCTION("""COMPUTED_VALUE"""),"")</f>
        <v/>
      </c>
      <c r="T679" s="510" t="str">
        <f>IFERROR(__xludf.DUMMYFUNCTION("""COMPUTED_VALUE"""),"")</f>
        <v/>
      </c>
    </row>
    <row r="680">
      <c r="A680" s="508" t="str">
        <f>IFERROR(__xludf.DUMMYFUNCTION("""COMPUTED_VALUE"""),"")</f>
        <v/>
      </c>
      <c r="B680" s="508" t="str">
        <f>IFERROR(__xludf.DUMMYFUNCTION("""COMPUTED_VALUE"""),"")</f>
        <v/>
      </c>
      <c r="C680" s="508" t="str">
        <f>IFERROR(__xludf.DUMMYFUNCTION("""COMPUTED_VALUE"""),"")</f>
        <v/>
      </c>
      <c r="D680" s="508" t="str">
        <f>IFERROR(__xludf.DUMMYFUNCTION("""COMPUTED_VALUE"""),"")</f>
        <v/>
      </c>
      <c r="E680" s="508" t="str">
        <f>IFERROR(__xludf.DUMMYFUNCTION("""COMPUTED_VALUE"""),"")</f>
        <v/>
      </c>
      <c r="F680" s="508" t="str">
        <f>IFERROR(__xludf.DUMMYFUNCTION("""COMPUTED_VALUE"""),"")</f>
        <v/>
      </c>
      <c r="G680" s="510" t="str">
        <f>IFERROR(__xludf.DUMMYFUNCTION("""COMPUTED_VALUE"""),"")</f>
        <v/>
      </c>
      <c r="H680" s="508" t="str">
        <f>IFERROR(__xludf.DUMMYFUNCTION("""COMPUTED_VALUE"""),"")</f>
        <v/>
      </c>
      <c r="I680" s="510" t="str">
        <f>IFERROR(__xludf.DUMMYFUNCTION("""COMPUTED_VALUE"""),"")</f>
        <v/>
      </c>
      <c r="J680" s="508" t="str">
        <f>IFERROR(__xludf.DUMMYFUNCTION("""COMPUTED_VALUE"""),"")</f>
        <v/>
      </c>
      <c r="K680" s="510" t="str">
        <f>IFERROR(__xludf.DUMMYFUNCTION("""COMPUTED_VALUE"""),"")</f>
        <v/>
      </c>
      <c r="L680" s="508" t="str">
        <f>IFERROR(__xludf.DUMMYFUNCTION("""COMPUTED_VALUE"""),"")</f>
        <v/>
      </c>
      <c r="M680" s="508" t="str">
        <f>IFERROR(__xludf.DUMMYFUNCTION("""COMPUTED_VALUE"""),"")</f>
        <v/>
      </c>
      <c r="N680" s="508" t="str">
        <f>IFERROR(__xludf.DUMMYFUNCTION("""COMPUTED_VALUE"""),"")</f>
        <v/>
      </c>
      <c r="O680" s="508" t="str">
        <f>IFERROR(__xludf.DUMMYFUNCTION("""COMPUTED_VALUE"""),"")</f>
        <v/>
      </c>
      <c r="P680" s="510" t="str">
        <f>IFERROR(__xludf.DUMMYFUNCTION("""COMPUTED_VALUE"""),"")</f>
        <v/>
      </c>
      <c r="Q680" s="508" t="str">
        <f>IFERROR(__xludf.DUMMYFUNCTION("""COMPUTED_VALUE"""),"")</f>
        <v/>
      </c>
      <c r="R680" s="508" t="str">
        <f>IFERROR(__xludf.DUMMYFUNCTION("""COMPUTED_VALUE"""),"")</f>
        <v/>
      </c>
      <c r="S680" s="510" t="str">
        <f>IFERROR(__xludf.DUMMYFUNCTION("""COMPUTED_VALUE"""),"")</f>
        <v/>
      </c>
      <c r="T680" s="510" t="str">
        <f>IFERROR(__xludf.DUMMYFUNCTION("""COMPUTED_VALUE"""),"")</f>
        <v/>
      </c>
    </row>
    <row r="681">
      <c r="A681" s="508" t="str">
        <f>IFERROR(__xludf.DUMMYFUNCTION("""COMPUTED_VALUE"""),"")</f>
        <v/>
      </c>
      <c r="B681" s="508" t="str">
        <f>IFERROR(__xludf.DUMMYFUNCTION("""COMPUTED_VALUE"""),"")</f>
        <v/>
      </c>
      <c r="C681" s="508" t="str">
        <f>IFERROR(__xludf.DUMMYFUNCTION("""COMPUTED_VALUE"""),"")</f>
        <v/>
      </c>
      <c r="D681" s="508" t="str">
        <f>IFERROR(__xludf.DUMMYFUNCTION("""COMPUTED_VALUE"""),"")</f>
        <v/>
      </c>
      <c r="E681" s="508" t="str">
        <f>IFERROR(__xludf.DUMMYFUNCTION("""COMPUTED_VALUE"""),"")</f>
        <v/>
      </c>
      <c r="F681" s="508" t="str">
        <f>IFERROR(__xludf.DUMMYFUNCTION("""COMPUTED_VALUE"""),"")</f>
        <v/>
      </c>
      <c r="G681" s="510" t="str">
        <f>IFERROR(__xludf.DUMMYFUNCTION("""COMPUTED_VALUE"""),"")</f>
        <v/>
      </c>
      <c r="H681" s="508" t="str">
        <f>IFERROR(__xludf.DUMMYFUNCTION("""COMPUTED_VALUE"""),"")</f>
        <v/>
      </c>
      <c r="I681" s="510" t="str">
        <f>IFERROR(__xludf.DUMMYFUNCTION("""COMPUTED_VALUE"""),"")</f>
        <v/>
      </c>
      <c r="J681" s="508" t="str">
        <f>IFERROR(__xludf.DUMMYFUNCTION("""COMPUTED_VALUE"""),"")</f>
        <v/>
      </c>
      <c r="K681" s="510" t="str">
        <f>IFERROR(__xludf.DUMMYFUNCTION("""COMPUTED_VALUE"""),"")</f>
        <v/>
      </c>
      <c r="L681" s="508" t="str">
        <f>IFERROR(__xludf.DUMMYFUNCTION("""COMPUTED_VALUE"""),"")</f>
        <v/>
      </c>
      <c r="M681" s="508" t="str">
        <f>IFERROR(__xludf.DUMMYFUNCTION("""COMPUTED_VALUE"""),"")</f>
        <v/>
      </c>
      <c r="N681" s="508" t="str">
        <f>IFERROR(__xludf.DUMMYFUNCTION("""COMPUTED_VALUE"""),"")</f>
        <v/>
      </c>
      <c r="O681" s="508" t="str">
        <f>IFERROR(__xludf.DUMMYFUNCTION("""COMPUTED_VALUE"""),"")</f>
        <v/>
      </c>
      <c r="P681" s="510" t="str">
        <f>IFERROR(__xludf.DUMMYFUNCTION("""COMPUTED_VALUE"""),"")</f>
        <v/>
      </c>
      <c r="Q681" s="508" t="str">
        <f>IFERROR(__xludf.DUMMYFUNCTION("""COMPUTED_VALUE"""),"")</f>
        <v/>
      </c>
      <c r="R681" s="508" t="str">
        <f>IFERROR(__xludf.DUMMYFUNCTION("""COMPUTED_VALUE"""),"")</f>
        <v/>
      </c>
      <c r="S681" s="510" t="str">
        <f>IFERROR(__xludf.DUMMYFUNCTION("""COMPUTED_VALUE"""),"")</f>
        <v/>
      </c>
      <c r="T681" s="510" t="str">
        <f>IFERROR(__xludf.DUMMYFUNCTION("""COMPUTED_VALUE"""),"")</f>
        <v/>
      </c>
    </row>
    <row r="682">
      <c r="A682" s="508" t="str">
        <f>IFERROR(__xludf.DUMMYFUNCTION("""COMPUTED_VALUE"""),"")</f>
        <v/>
      </c>
      <c r="B682" s="508" t="str">
        <f>IFERROR(__xludf.DUMMYFUNCTION("""COMPUTED_VALUE"""),"")</f>
        <v/>
      </c>
      <c r="C682" s="508" t="str">
        <f>IFERROR(__xludf.DUMMYFUNCTION("""COMPUTED_VALUE"""),"")</f>
        <v/>
      </c>
      <c r="D682" s="508" t="str">
        <f>IFERROR(__xludf.DUMMYFUNCTION("""COMPUTED_VALUE"""),"")</f>
        <v/>
      </c>
      <c r="E682" s="508" t="str">
        <f>IFERROR(__xludf.DUMMYFUNCTION("""COMPUTED_VALUE"""),"")</f>
        <v/>
      </c>
      <c r="F682" s="508" t="str">
        <f>IFERROR(__xludf.DUMMYFUNCTION("""COMPUTED_VALUE"""),"")</f>
        <v/>
      </c>
      <c r="G682" s="510" t="str">
        <f>IFERROR(__xludf.DUMMYFUNCTION("""COMPUTED_VALUE"""),"")</f>
        <v/>
      </c>
      <c r="H682" s="508" t="str">
        <f>IFERROR(__xludf.DUMMYFUNCTION("""COMPUTED_VALUE"""),"")</f>
        <v/>
      </c>
      <c r="I682" s="510" t="str">
        <f>IFERROR(__xludf.DUMMYFUNCTION("""COMPUTED_VALUE"""),"")</f>
        <v/>
      </c>
      <c r="J682" s="508" t="str">
        <f>IFERROR(__xludf.DUMMYFUNCTION("""COMPUTED_VALUE"""),"")</f>
        <v/>
      </c>
      <c r="K682" s="510" t="str">
        <f>IFERROR(__xludf.DUMMYFUNCTION("""COMPUTED_VALUE"""),"")</f>
        <v/>
      </c>
      <c r="L682" s="508" t="str">
        <f>IFERROR(__xludf.DUMMYFUNCTION("""COMPUTED_VALUE"""),"")</f>
        <v/>
      </c>
      <c r="M682" s="508" t="str">
        <f>IFERROR(__xludf.DUMMYFUNCTION("""COMPUTED_VALUE"""),"")</f>
        <v/>
      </c>
      <c r="N682" s="508" t="str">
        <f>IFERROR(__xludf.DUMMYFUNCTION("""COMPUTED_VALUE"""),"")</f>
        <v/>
      </c>
      <c r="O682" s="508" t="str">
        <f>IFERROR(__xludf.DUMMYFUNCTION("""COMPUTED_VALUE"""),"")</f>
        <v/>
      </c>
      <c r="P682" s="510" t="str">
        <f>IFERROR(__xludf.DUMMYFUNCTION("""COMPUTED_VALUE"""),"")</f>
        <v/>
      </c>
      <c r="Q682" s="508" t="str">
        <f>IFERROR(__xludf.DUMMYFUNCTION("""COMPUTED_VALUE"""),"")</f>
        <v/>
      </c>
      <c r="R682" s="508" t="str">
        <f>IFERROR(__xludf.DUMMYFUNCTION("""COMPUTED_VALUE"""),"")</f>
        <v/>
      </c>
      <c r="S682" s="510" t="str">
        <f>IFERROR(__xludf.DUMMYFUNCTION("""COMPUTED_VALUE"""),"")</f>
        <v/>
      </c>
      <c r="T682" s="510" t="str">
        <f>IFERROR(__xludf.DUMMYFUNCTION("""COMPUTED_VALUE"""),"")</f>
        <v/>
      </c>
    </row>
    <row r="683">
      <c r="A683" s="508" t="str">
        <f>IFERROR(__xludf.DUMMYFUNCTION("""COMPUTED_VALUE"""),"")</f>
        <v/>
      </c>
      <c r="B683" s="508" t="str">
        <f>IFERROR(__xludf.DUMMYFUNCTION("""COMPUTED_VALUE"""),"")</f>
        <v/>
      </c>
      <c r="C683" s="508" t="str">
        <f>IFERROR(__xludf.DUMMYFUNCTION("""COMPUTED_VALUE"""),"")</f>
        <v/>
      </c>
      <c r="D683" s="508" t="str">
        <f>IFERROR(__xludf.DUMMYFUNCTION("""COMPUTED_VALUE"""),"")</f>
        <v/>
      </c>
      <c r="E683" s="508" t="str">
        <f>IFERROR(__xludf.DUMMYFUNCTION("""COMPUTED_VALUE"""),"")</f>
        <v/>
      </c>
      <c r="F683" s="508" t="str">
        <f>IFERROR(__xludf.DUMMYFUNCTION("""COMPUTED_VALUE"""),"")</f>
        <v/>
      </c>
      <c r="G683" s="510" t="str">
        <f>IFERROR(__xludf.DUMMYFUNCTION("""COMPUTED_VALUE"""),"")</f>
        <v/>
      </c>
      <c r="H683" s="508" t="str">
        <f>IFERROR(__xludf.DUMMYFUNCTION("""COMPUTED_VALUE"""),"")</f>
        <v/>
      </c>
      <c r="I683" s="510" t="str">
        <f>IFERROR(__xludf.DUMMYFUNCTION("""COMPUTED_VALUE"""),"")</f>
        <v/>
      </c>
      <c r="J683" s="508" t="str">
        <f>IFERROR(__xludf.DUMMYFUNCTION("""COMPUTED_VALUE"""),"")</f>
        <v/>
      </c>
      <c r="K683" s="510" t="str">
        <f>IFERROR(__xludf.DUMMYFUNCTION("""COMPUTED_VALUE"""),"")</f>
        <v/>
      </c>
      <c r="L683" s="508" t="str">
        <f>IFERROR(__xludf.DUMMYFUNCTION("""COMPUTED_VALUE"""),"")</f>
        <v/>
      </c>
      <c r="M683" s="508" t="str">
        <f>IFERROR(__xludf.DUMMYFUNCTION("""COMPUTED_VALUE"""),"")</f>
        <v/>
      </c>
      <c r="N683" s="508" t="str">
        <f>IFERROR(__xludf.DUMMYFUNCTION("""COMPUTED_VALUE"""),"")</f>
        <v/>
      </c>
      <c r="O683" s="508" t="str">
        <f>IFERROR(__xludf.DUMMYFUNCTION("""COMPUTED_VALUE"""),"")</f>
        <v/>
      </c>
      <c r="P683" s="510" t="str">
        <f>IFERROR(__xludf.DUMMYFUNCTION("""COMPUTED_VALUE"""),"")</f>
        <v/>
      </c>
      <c r="Q683" s="508" t="str">
        <f>IFERROR(__xludf.DUMMYFUNCTION("""COMPUTED_VALUE"""),"")</f>
        <v/>
      </c>
      <c r="R683" s="508" t="str">
        <f>IFERROR(__xludf.DUMMYFUNCTION("""COMPUTED_VALUE"""),"")</f>
        <v/>
      </c>
      <c r="S683" s="510" t="str">
        <f>IFERROR(__xludf.DUMMYFUNCTION("""COMPUTED_VALUE"""),"")</f>
        <v/>
      </c>
      <c r="T683" s="510" t="str">
        <f>IFERROR(__xludf.DUMMYFUNCTION("""COMPUTED_VALUE"""),"")</f>
        <v/>
      </c>
    </row>
    <row r="684">
      <c r="A684" s="508" t="str">
        <f>IFERROR(__xludf.DUMMYFUNCTION("""COMPUTED_VALUE"""),"")</f>
        <v/>
      </c>
      <c r="B684" s="508" t="str">
        <f>IFERROR(__xludf.DUMMYFUNCTION("""COMPUTED_VALUE"""),"")</f>
        <v/>
      </c>
      <c r="C684" s="508" t="str">
        <f>IFERROR(__xludf.DUMMYFUNCTION("""COMPUTED_VALUE"""),"")</f>
        <v/>
      </c>
      <c r="D684" s="508" t="str">
        <f>IFERROR(__xludf.DUMMYFUNCTION("""COMPUTED_VALUE"""),"")</f>
        <v/>
      </c>
      <c r="E684" s="508" t="str">
        <f>IFERROR(__xludf.DUMMYFUNCTION("""COMPUTED_VALUE"""),"")</f>
        <v/>
      </c>
      <c r="F684" s="508" t="str">
        <f>IFERROR(__xludf.DUMMYFUNCTION("""COMPUTED_VALUE"""),"")</f>
        <v/>
      </c>
      <c r="G684" s="510" t="str">
        <f>IFERROR(__xludf.DUMMYFUNCTION("""COMPUTED_VALUE"""),"")</f>
        <v/>
      </c>
      <c r="H684" s="508" t="str">
        <f>IFERROR(__xludf.DUMMYFUNCTION("""COMPUTED_VALUE"""),"")</f>
        <v/>
      </c>
      <c r="I684" s="510" t="str">
        <f>IFERROR(__xludf.DUMMYFUNCTION("""COMPUTED_VALUE"""),"")</f>
        <v/>
      </c>
      <c r="J684" s="508" t="str">
        <f>IFERROR(__xludf.DUMMYFUNCTION("""COMPUTED_VALUE"""),"")</f>
        <v/>
      </c>
      <c r="K684" s="510" t="str">
        <f>IFERROR(__xludf.DUMMYFUNCTION("""COMPUTED_VALUE"""),"")</f>
        <v/>
      </c>
      <c r="L684" s="508" t="str">
        <f>IFERROR(__xludf.DUMMYFUNCTION("""COMPUTED_VALUE"""),"")</f>
        <v/>
      </c>
      <c r="M684" s="508" t="str">
        <f>IFERROR(__xludf.DUMMYFUNCTION("""COMPUTED_VALUE"""),"")</f>
        <v/>
      </c>
      <c r="N684" s="508" t="str">
        <f>IFERROR(__xludf.DUMMYFUNCTION("""COMPUTED_VALUE"""),"")</f>
        <v/>
      </c>
      <c r="O684" s="508" t="str">
        <f>IFERROR(__xludf.DUMMYFUNCTION("""COMPUTED_VALUE"""),"")</f>
        <v/>
      </c>
      <c r="P684" s="510" t="str">
        <f>IFERROR(__xludf.DUMMYFUNCTION("""COMPUTED_VALUE"""),"")</f>
        <v/>
      </c>
      <c r="Q684" s="508" t="str">
        <f>IFERROR(__xludf.DUMMYFUNCTION("""COMPUTED_VALUE"""),"")</f>
        <v/>
      </c>
      <c r="R684" s="508" t="str">
        <f>IFERROR(__xludf.DUMMYFUNCTION("""COMPUTED_VALUE"""),"")</f>
        <v/>
      </c>
      <c r="S684" s="510" t="str">
        <f>IFERROR(__xludf.DUMMYFUNCTION("""COMPUTED_VALUE"""),"")</f>
        <v/>
      </c>
      <c r="T684" s="510" t="str">
        <f>IFERROR(__xludf.DUMMYFUNCTION("""COMPUTED_VALUE"""),"")</f>
        <v/>
      </c>
    </row>
    <row r="685">
      <c r="A685" s="508" t="str">
        <f>IFERROR(__xludf.DUMMYFUNCTION("""COMPUTED_VALUE"""),"")</f>
        <v/>
      </c>
      <c r="B685" s="508" t="str">
        <f>IFERROR(__xludf.DUMMYFUNCTION("""COMPUTED_VALUE"""),"")</f>
        <v/>
      </c>
      <c r="C685" s="508" t="str">
        <f>IFERROR(__xludf.DUMMYFUNCTION("""COMPUTED_VALUE"""),"")</f>
        <v/>
      </c>
      <c r="D685" s="508" t="str">
        <f>IFERROR(__xludf.DUMMYFUNCTION("""COMPUTED_VALUE"""),"")</f>
        <v/>
      </c>
      <c r="E685" s="508" t="str">
        <f>IFERROR(__xludf.DUMMYFUNCTION("""COMPUTED_VALUE"""),"")</f>
        <v/>
      </c>
      <c r="F685" s="508" t="str">
        <f>IFERROR(__xludf.DUMMYFUNCTION("""COMPUTED_VALUE"""),"")</f>
        <v/>
      </c>
      <c r="G685" s="510" t="str">
        <f>IFERROR(__xludf.DUMMYFUNCTION("""COMPUTED_VALUE"""),"")</f>
        <v/>
      </c>
      <c r="H685" s="508" t="str">
        <f>IFERROR(__xludf.DUMMYFUNCTION("""COMPUTED_VALUE"""),"")</f>
        <v/>
      </c>
      <c r="I685" s="510" t="str">
        <f>IFERROR(__xludf.DUMMYFUNCTION("""COMPUTED_VALUE"""),"")</f>
        <v/>
      </c>
      <c r="J685" s="508" t="str">
        <f>IFERROR(__xludf.DUMMYFUNCTION("""COMPUTED_VALUE"""),"")</f>
        <v/>
      </c>
      <c r="K685" s="510" t="str">
        <f>IFERROR(__xludf.DUMMYFUNCTION("""COMPUTED_VALUE"""),"")</f>
        <v/>
      </c>
      <c r="L685" s="508" t="str">
        <f>IFERROR(__xludf.DUMMYFUNCTION("""COMPUTED_VALUE"""),"")</f>
        <v/>
      </c>
      <c r="M685" s="508" t="str">
        <f>IFERROR(__xludf.DUMMYFUNCTION("""COMPUTED_VALUE"""),"")</f>
        <v/>
      </c>
      <c r="N685" s="508" t="str">
        <f>IFERROR(__xludf.DUMMYFUNCTION("""COMPUTED_VALUE"""),"")</f>
        <v/>
      </c>
      <c r="O685" s="508" t="str">
        <f>IFERROR(__xludf.DUMMYFUNCTION("""COMPUTED_VALUE"""),"")</f>
        <v/>
      </c>
      <c r="P685" s="510" t="str">
        <f>IFERROR(__xludf.DUMMYFUNCTION("""COMPUTED_VALUE"""),"")</f>
        <v/>
      </c>
      <c r="Q685" s="508" t="str">
        <f>IFERROR(__xludf.DUMMYFUNCTION("""COMPUTED_VALUE"""),"")</f>
        <v/>
      </c>
      <c r="R685" s="508" t="str">
        <f>IFERROR(__xludf.DUMMYFUNCTION("""COMPUTED_VALUE"""),"")</f>
        <v/>
      </c>
      <c r="S685" s="510" t="str">
        <f>IFERROR(__xludf.DUMMYFUNCTION("""COMPUTED_VALUE"""),"")</f>
        <v/>
      </c>
      <c r="T685" s="510" t="str">
        <f>IFERROR(__xludf.DUMMYFUNCTION("""COMPUTED_VALUE"""),"")</f>
        <v/>
      </c>
    </row>
    <row r="686">
      <c r="A686" s="508" t="str">
        <f>IFERROR(__xludf.DUMMYFUNCTION("""COMPUTED_VALUE"""),"")</f>
        <v/>
      </c>
      <c r="B686" s="508" t="str">
        <f>IFERROR(__xludf.DUMMYFUNCTION("""COMPUTED_VALUE"""),"")</f>
        <v/>
      </c>
      <c r="C686" s="508" t="str">
        <f>IFERROR(__xludf.DUMMYFUNCTION("""COMPUTED_VALUE"""),"")</f>
        <v/>
      </c>
      <c r="D686" s="508" t="str">
        <f>IFERROR(__xludf.DUMMYFUNCTION("""COMPUTED_VALUE"""),"")</f>
        <v/>
      </c>
      <c r="E686" s="508" t="str">
        <f>IFERROR(__xludf.DUMMYFUNCTION("""COMPUTED_VALUE"""),"")</f>
        <v/>
      </c>
      <c r="F686" s="508" t="str">
        <f>IFERROR(__xludf.DUMMYFUNCTION("""COMPUTED_VALUE"""),"")</f>
        <v/>
      </c>
      <c r="G686" s="510" t="str">
        <f>IFERROR(__xludf.DUMMYFUNCTION("""COMPUTED_VALUE"""),"")</f>
        <v/>
      </c>
      <c r="H686" s="508" t="str">
        <f>IFERROR(__xludf.DUMMYFUNCTION("""COMPUTED_VALUE"""),"")</f>
        <v/>
      </c>
      <c r="I686" s="510" t="str">
        <f>IFERROR(__xludf.DUMMYFUNCTION("""COMPUTED_VALUE"""),"")</f>
        <v/>
      </c>
      <c r="J686" s="508" t="str">
        <f>IFERROR(__xludf.DUMMYFUNCTION("""COMPUTED_VALUE"""),"")</f>
        <v/>
      </c>
      <c r="K686" s="510" t="str">
        <f>IFERROR(__xludf.DUMMYFUNCTION("""COMPUTED_VALUE"""),"")</f>
        <v/>
      </c>
      <c r="L686" s="508" t="str">
        <f>IFERROR(__xludf.DUMMYFUNCTION("""COMPUTED_VALUE"""),"")</f>
        <v/>
      </c>
      <c r="M686" s="508" t="str">
        <f>IFERROR(__xludf.DUMMYFUNCTION("""COMPUTED_VALUE"""),"")</f>
        <v/>
      </c>
      <c r="N686" s="508" t="str">
        <f>IFERROR(__xludf.DUMMYFUNCTION("""COMPUTED_VALUE"""),"")</f>
        <v/>
      </c>
      <c r="O686" s="508" t="str">
        <f>IFERROR(__xludf.DUMMYFUNCTION("""COMPUTED_VALUE"""),"")</f>
        <v/>
      </c>
      <c r="P686" s="510" t="str">
        <f>IFERROR(__xludf.DUMMYFUNCTION("""COMPUTED_VALUE"""),"")</f>
        <v/>
      </c>
      <c r="Q686" s="508" t="str">
        <f>IFERROR(__xludf.DUMMYFUNCTION("""COMPUTED_VALUE"""),"")</f>
        <v/>
      </c>
      <c r="R686" s="508" t="str">
        <f>IFERROR(__xludf.DUMMYFUNCTION("""COMPUTED_VALUE"""),"")</f>
        <v/>
      </c>
      <c r="S686" s="510" t="str">
        <f>IFERROR(__xludf.DUMMYFUNCTION("""COMPUTED_VALUE"""),"")</f>
        <v/>
      </c>
      <c r="T686" s="510" t="str">
        <f>IFERROR(__xludf.DUMMYFUNCTION("""COMPUTED_VALUE"""),"")</f>
        <v/>
      </c>
    </row>
    <row r="687">
      <c r="A687" s="508" t="str">
        <f>IFERROR(__xludf.DUMMYFUNCTION("""COMPUTED_VALUE"""),"")</f>
        <v/>
      </c>
      <c r="B687" s="508" t="str">
        <f>IFERROR(__xludf.DUMMYFUNCTION("""COMPUTED_VALUE"""),"")</f>
        <v/>
      </c>
      <c r="C687" s="508" t="str">
        <f>IFERROR(__xludf.DUMMYFUNCTION("""COMPUTED_VALUE"""),"")</f>
        <v/>
      </c>
      <c r="D687" s="508" t="str">
        <f>IFERROR(__xludf.DUMMYFUNCTION("""COMPUTED_VALUE"""),"")</f>
        <v/>
      </c>
      <c r="E687" s="508" t="str">
        <f>IFERROR(__xludf.DUMMYFUNCTION("""COMPUTED_VALUE"""),"")</f>
        <v/>
      </c>
      <c r="F687" s="508" t="str">
        <f>IFERROR(__xludf.DUMMYFUNCTION("""COMPUTED_VALUE"""),"")</f>
        <v/>
      </c>
      <c r="G687" s="510" t="str">
        <f>IFERROR(__xludf.DUMMYFUNCTION("""COMPUTED_VALUE"""),"")</f>
        <v/>
      </c>
      <c r="H687" s="508" t="str">
        <f>IFERROR(__xludf.DUMMYFUNCTION("""COMPUTED_VALUE"""),"")</f>
        <v/>
      </c>
      <c r="I687" s="510" t="str">
        <f>IFERROR(__xludf.DUMMYFUNCTION("""COMPUTED_VALUE"""),"")</f>
        <v/>
      </c>
      <c r="J687" s="508" t="str">
        <f>IFERROR(__xludf.DUMMYFUNCTION("""COMPUTED_VALUE"""),"")</f>
        <v/>
      </c>
      <c r="K687" s="510" t="str">
        <f>IFERROR(__xludf.DUMMYFUNCTION("""COMPUTED_VALUE"""),"")</f>
        <v/>
      </c>
      <c r="L687" s="508" t="str">
        <f>IFERROR(__xludf.DUMMYFUNCTION("""COMPUTED_VALUE"""),"")</f>
        <v/>
      </c>
      <c r="M687" s="508" t="str">
        <f>IFERROR(__xludf.DUMMYFUNCTION("""COMPUTED_VALUE"""),"")</f>
        <v/>
      </c>
      <c r="N687" s="508" t="str">
        <f>IFERROR(__xludf.DUMMYFUNCTION("""COMPUTED_VALUE"""),"")</f>
        <v/>
      </c>
      <c r="O687" s="508" t="str">
        <f>IFERROR(__xludf.DUMMYFUNCTION("""COMPUTED_VALUE"""),"")</f>
        <v/>
      </c>
      <c r="P687" s="510" t="str">
        <f>IFERROR(__xludf.DUMMYFUNCTION("""COMPUTED_VALUE"""),"")</f>
        <v/>
      </c>
      <c r="Q687" s="508" t="str">
        <f>IFERROR(__xludf.DUMMYFUNCTION("""COMPUTED_VALUE"""),"")</f>
        <v/>
      </c>
      <c r="R687" s="508" t="str">
        <f>IFERROR(__xludf.DUMMYFUNCTION("""COMPUTED_VALUE"""),"")</f>
        <v/>
      </c>
      <c r="S687" s="510" t="str">
        <f>IFERROR(__xludf.DUMMYFUNCTION("""COMPUTED_VALUE"""),"")</f>
        <v/>
      </c>
      <c r="T687" s="510" t="str">
        <f>IFERROR(__xludf.DUMMYFUNCTION("""COMPUTED_VALUE"""),"")</f>
        <v/>
      </c>
    </row>
    <row r="688">
      <c r="A688" s="508" t="str">
        <f>IFERROR(__xludf.DUMMYFUNCTION("""COMPUTED_VALUE"""),"")</f>
        <v/>
      </c>
      <c r="B688" s="508" t="str">
        <f>IFERROR(__xludf.DUMMYFUNCTION("""COMPUTED_VALUE"""),"")</f>
        <v/>
      </c>
      <c r="C688" s="508" t="str">
        <f>IFERROR(__xludf.DUMMYFUNCTION("""COMPUTED_VALUE"""),"")</f>
        <v/>
      </c>
      <c r="D688" s="508" t="str">
        <f>IFERROR(__xludf.DUMMYFUNCTION("""COMPUTED_VALUE"""),"")</f>
        <v/>
      </c>
      <c r="E688" s="508" t="str">
        <f>IFERROR(__xludf.DUMMYFUNCTION("""COMPUTED_VALUE"""),"")</f>
        <v/>
      </c>
      <c r="F688" s="508" t="str">
        <f>IFERROR(__xludf.DUMMYFUNCTION("""COMPUTED_VALUE"""),"")</f>
        <v/>
      </c>
      <c r="G688" s="510" t="str">
        <f>IFERROR(__xludf.DUMMYFUNCTION("""COMPUTED_VALUE"""),"")</f>
        <v/>
      </c>
      <c r="H688" s="508" t="str">
        <f>IFERROR(__xludf.DUMMYFUNCTION("""COMPUTED_VALUE"""),"")</f>
        <v/>
      </c>
      <c r="I688" s="510" t="str">
        <f>IFERROR(__xludf.DUMMYFUNCTION("""COMPUTED_VALUE"""),"")</f>
        <v/>
      </c>
      <c r="J688" s="508" t="str">
        <f>IFERROR(__xludf.DUMMYFUNCTION("""COMPUTED_VALUE"""),"")</f>
        <v/>
      </c>
      <c r="K688" s="510" t="str">
        <f>IFERROR(__xludf.DUMMYFUNCTION("""COMPUTED_VALUE"""),"")</f>
        <v/>
      </c>
      <c r="L688" s="508" t="str">
        <f>IFERROR(__xludf.DUMMYFUNCTION("""COMPUTED_VALUE"""),"")</f>
        <v/>
      </c>
      <c r="M688" s="508" t="str">
        <f>IFERROR(__xludf.DUMMYFUNCTION("""COMPUTED_VALUE"""),"")</f>
        <v/>
      </c>
      <c r="N688" s="508" t="str">
        <f>IFERROR(__xludf.DUMMYFUNCTION("""COMPUTED_VALUE"""),"")</f>
        <v/>
      </c>
      <c r="O688" s="508" t="str">
        <f>IFERROR(__xludf.DUMMYFUNCTION("""COMPUTED_VALUE"""),"")</f>
        <v/>
      </c>
      <c r="P688" s="510" t="str">
        <f>IFERROR(__xludf.DUMMYFUNCTION("""COMPUTED_VALUE"""),"")</f>
        <v/>
      </c>
      <c r="Q688" s="508" t="str">
        <f>IFERROR(__xludf.DUMMYFUNCTION("""COMPUTED_VALUE"""),"")</f>
        <v/>
      </c>
      <c r="R688" s="508" t="str">
        <f>IFERROR(__xludf.DUMMYFUNCTION("""COMPUTED_VALUE"""),"")</f>
        <v/>
      </c>
      <c r="S688" s="510" t="str">
        <f>IFERROR(__xludf.DUMMYFUNCTION("""COMPUTED_VALUE"""),"")</f>
        <v/>
      </c>
      <c r="T688" s="510" t="str">
        <f>IFERROR(__xludf.DUMMYFUNCTION("""COMPUTED_VALUE"""),"")</f>
        <v/>
      </c>
    </row>
    <row r="689">
      <c r="A689" s="508" t="str">
        <f>IFERROR(__xludf.DUMMYFUNCTION("""COMPUTED_VALUE"""),"")</f>
        <v/>
      </c>
      <c r="B689" s="508" t="str">
        <f>IFERROR(__xludf.DUMMYFUNCTION("""COMPUTED_VALUE"""),"")</f>
        <v/>
      </c>
      <c r="C689" s="508" t="str">
        <f>IFERROR(__xludf.DUMMYFUNCTION("""COMPUTED_VALUE"""),"")</f>
        <v/>
      </c>
      <c r="D689" s="508" t="str">
        <f>IFERROR(__xludf.DUMMYFUNCTION("""COMPUTED_VALUE"""),"")</f>
        <v/>
      </c>
      <c r="E689" s="508" t="str">
        <f>IFERROR(__xludf.DUMMYFUNCTION("""COMPUTED_VALUE"""),"")</f>
        <v/>
      </c>
      <c r="F689" s="508" t="str">
        <f>IFERROR(__xludf.DUMMYFUNCTION("""COMPUTED_VALUE"""),"")</f>
        <v/>
      </c>
      <c r="G689" s="510" t="str">
        <f>IFERROR(__xludf.DUMMYFUNCTION("""COMPUTED_VALUE"""),"")</f>
        <v/>
      </c>
      <c r="H689" s="508" t="str">
        <f>IFERROR(__xludf.DUMMYFUNCTION("""COMPUTED_VALUE"""),"")</f>
        <v/>
      </c>
      <c r="I689" s="510" t="str">
        <f>IFERROR(__xludf.DUMMYFUNCTION("""COMPUTED_VALUE"""),"")</f>
        <v/>
      </c>
      <c r="J689" s="508" t="str">
        <f>IFERROR(__xludf.DUMMYFUNCTION("""COMPUTED_VALUE"""),"")</f>
        <v/>
      </c>
      <c r="K689" s="510" t="str">
        <f>IFERROR(__xludf.DUMMYFUNCTION("""COMPUTED_VALUE"""),"")</f>
        <v/>
      </c>
      <c r="L689" s="508" t="str">
        <f>IFERROR(__xludf.DUMMYFUNCTION("""COMPUTED_VALUE"""),"")</f>
        <v/>
      </c>
      <c r="M689" s="508" t="str">
        <f>IFERROR(__xludf.DUMMYFUNCTION("""COMPUTED_VALUE"""),"")</f>
        <v/>
      </c>
      <c r="N689" s="508" t="str">
        <f>IFERROR(__xludf.DUMMYFUNCTION("""COMPUTED_VALUE"""),"")</f>
        <v/>
      </c>
      <c r="O689" s="508" t="str">
        <f>IFERROR(__xludf.DUMMYFUNCTION("""COMPUTED_VALUE"""),"")</f>
        <v/>
      </c>
      <c r="P689" s="510" t="str">
        <f>IFERROR(__xludf.DUMMYFUNCTION("""COMPUTED_VALUE"""),"")</f>
        <v/>
      </c>
      <c r="Q689" s="508" t="str">
        <f>IFERROR(__xludf.DUMMYFUNCTION("""COMPUTED_VALUE"""),"")</f>
        <v/>
      </c>
      <c r="R689" s="508" t="str">
        <f>IFERROR(__xludf.DUMMYFUNCTION("""COMPUTED_VALUE"""),"")</f>
        <v/>
      </c>
      <c r="S689" s="510" t="str">
        <f>IFERROR(__xludf.DUMMYFUNCTION("""COMPUTED_VALUE"""),"")</f>
        <v/>
      </c>
      <c r="T689" s="510" t="str">
        <f>IFERROR(__xludf.DUMMYFUNCTION("""COMPUTED_VALUE"""),"")</f>
        <v/>
      </c>
    </row>
    <row r="690">
      <c r="A690" s="508" t="str">
        <f>IFERROR(__xludf.DUMMYFUNCTION("""COMPUTED_VALUE"""),"")</f>
        <v/>
      </c>
      <c r="B690" s="508" t="str">
        <f>IFERROR(__xludf.DUMMYFUNCTION("""COMPUTED_VALUE"""),"")</f>
        <v/>
      </c>
      <c r="C690" s="508" t="str">
        <f>IFERROR(__xludf.DUMMYFUNCTION("""COMPUTED_VALUE"""),"")</f>
        <v/>
      </c>
      <c r="D690" s="508" t="str">
        <f>IFERROR(__xludf.DUMMYFUNCTION("""COMPUTED_VALUE"""),"")</f>
        <v/>
      </c>
      <c r="E690" s="508" t="str">
        <f>IFERROR(__xludf.DUMMYFUNCTION("""COMPUTED_VALUE"""),"")</f>
        <v/>
      </c>
      <c r="F690" s="508" t="str">
        <f>IFERROR(__xludf.DUMMYFUNCTION("""COMPUTED_VALUE"""),"")</f>
        <v/>
      </c>
      <c r="G690" s="510" t="str">
        <f>IFERROR(__xludf.DUMMYFUNCTION("""COMPUTED_VALUE"""),"")</f>
        <v/>
      </c>
      <c r="H690" s="508" t="str">
        <f>IFERROR(__xludf.DUMMYFUNCTION("""COMPUTED_VALUE"""),"")</f>
        <v/>
      </c>
      <c r="I690" s="510" t="str">
        <f>IFERROR(__xludf.DUMMYFUNCTION("""COMPUTED_VALUE"""),"")</f>
        <v/>
      </c>
      <c r="J690" s="508" t="str">
        <f>IFERROR(__xludf.DUMMYFUNCTION("""COMPUTED_VALUE"""),"")</f>
        <v/>
      </c>
      <c r="K690" s="510" t="str">
        <f>IFERROR(__xludf.DUMMYFUNCTION("""COMPUTED_VALUE"""),"")</f>
        <v/>
      </c>
      <c r="L690" s="508" t="str">
        <f>IFERROR(__xludf.DUMMYFUNCTION("""COMPUTED_VALUE"""),"")</f>
        <v/>
      </c>
      <c r="M690" s="508" t="str">
        <f>IFERROR(__xludf.DUMMYFUNCTION("""COMPUTED_VALUE"""),"")</f>
        <v/>
      </c>
      <c r="N690" s="508" t="str">
        <f>IFERROR(__xludf.DUMMYFUNCTION("""COMPUTED_VALUE"""),"")</f>
        <v/>
      </c>
      <c r="O690" s="508" t="str">
        <f>IFERROR(__xludf.DUMMYFUNCTION("""COMPUTED_VALUE"""),"")</f>
        <v/>
      </c>
      <c r="P690" s="510" t="str">
        <f>IFERROR(__xludf.DUMMYFUNCTION("""COMPUTED_VALUE"""),"")</f>
        <v/>
      </c>
      <c r="Q690" s="508" t="str">
        <f>IFERROR(__xludf.DUMMYFUNCTION("""COMPUTED_VALUE"""),"")</f>
        <v/>
      </c>
      <c r="R690" s="508" t="str">
        <f>IFERROR(__xludf.DUMMYFUNCTION("""COMPUTED_VALUE"""),"")</f>
        <v/>
      </c>
      <c r="S690" s="510" t="str">
        <f>IFERROR(__xludf.DUMMYFUNCTION("""COMPUTED_VALUE"""),"")</f>
        <v/>
      </c>
      <c r="T690" s="510" t="str">
        <f>IFERROR(__xludf.DUMMYFUNCTION("""COMPUTED_VALUE"""),"")</f>
        <v/>
      </c>
    </row>
    <row r="691">
      <c r="A691" s="508" t="str">
        <f>IFERROR(__xludf.DUMMYFUNCTION("""COMPUTED_VALUE"""),"")</f>
        <v/>
      </c>
      <c r="B691" s="508" t="str">
        <f>IFERROR(__xludf.DUMMYFUNCTION("""COMPUTED_VALUE"""),"")</f>
        <v/>
      </c>
      <c r="C691" s="508" t="str">
        <f>IFERROR(__xludf.DUMMYFUNCTION("""COMPUTED_VALUE"""),"")</f>
        <v/>
      </c>
      <c r="D691" s="508" t="str">
        <f>IFERROR(__xludf.DUMMYFUNCTION("""COMPUTED_VALUE"""),"")</f>
        <v/>
      </c>
      <c r="E691" s="508" t="str">
        <f>IFERROR(__xludf.DUMMYFUNCTION("""COMPUTED_VALUE"""),"")</f>
        <v/>
      </c>
      <c r="F691" s="508" t="str">
        <f>IFERROR(__xludf.DUMMYFUNCTION("""COMPUTED_VALUE"""),"")</f>
        <v/>
      </c>
      <c r="G691" s="510" t="str">
        <f>IFERROR(__xludf.DUMMYFUNCTION("""COMPUTED_VALUE"""),"")</f>
        <v/>
      </c>
      <c r="H691" s="508" t="str">
        <f>IFERROR(__xludf.DUMMYFUNCTION("""COMPUTED_VALUE"""),"")</f>
        <v/>
      </c>
      <c r="I691" s="510" t="str">
        <f>IFERROR(__xludf.DUMMYFUNCTION("""COMPUTED_VALUE"""),"")</f>
        <v/>
      </c>
      <c r="J691" s="508" t="str">
        <f>IFERROR(__xludf.DUMMYFUNCTION("""COMPUTED_VALUE"""),"")</f>
        <v/>
      </c>
      <c r="K691" s="510" t="str">
        <f>IFERROR(__xludf.DUMMYFUNCTION("""COMPUTED_VALUE"""),"")</f>
        <v/>
      </c>
      <c r="L691" s="508" t="str">
        <f>IFERROR(__xludf.DUMMYFUNCTION("""COMPUTED_VALUE"""),"")</f>
        <v/>
      </c>
      <c r="M691" s="508" t="str">
        <f>IFERROR(__xludf.DUMMYFUNCTION("""COMPUTED_VALUE"""),"")</f>
        <v/>
      </c>
      <c r="N691" s="508" t="str">
        <f>IFERROR(__xludf.DUMMYFUNCTION("""COMPUTED_VALUE"""),"")</f>
        <v/>
      </c>
      <c r="O691" s="508" t="str">
        <f>IFERROR(__xludf.DUMMYFUNCTION("""COMPUTED_VALUE"""),"")</f>
        <v/>
      </c>
      <c r="P691" s="510" t="str">
        <f>IFERROR(__xludf.DUMMYFUNCTION("""COMPUTED_VALUE"""),"")</f>
        <v/>
      </c>
      <c r="Q691" s="508" t="str">
        <f>IFERROR(__xludf.DUMMYFUNCTION("""COMPUTED_VALUE"""),"")</f>
        <v/>
      </c>
      <c r="R691" s="508" t="str">
        <f>IFERROR(__xludf.DUMMYFUNCTION("""COMPUTED_VALUE"""),"")</f>
        <v/>
      </c>
      <c r="S691" s="510" t="str">
        <f>IFERROR(__xludf.DUMMYFUNCTION("""COMPUTED_VALUE"""),"")</f>
        <v/>
      </c>
      <c r="T691" s="510" t="str">
        <f>IFERROR(__xludf.DUMMYFUNCTION("""COMPUTED_VALUE"""),"")</f>
        <v/>
      </c>
    </row>
    <row r="692">
      <c r="A692" s="508" t="str">
        <f>IFERROR(__xludf.DUMMYFUNCTION("""COMPUTED_VALUE"""),"")</f>
        <v/>
      </c>
      <c r="B692" s="508" t="str">
        <f>IFERROR(__xludf.DUMMYFUNCTION("""COMPUTED_VALUE"""),"")</f>
        <v/>
      </c>
      <c r="C692" s="508" t="str">
        <f>IFERROR(__xludf.DUMMYFUNCTION("""COMPUTED_VALUE"""),"")</f>
        <v/>
      </c>
      <c r="D692" s="508" t="str">
        <f>IFERROR(__xludf.DUMMYFUNCTION("""COMPUTED_VALUE"""),"")</f>
        <v/>
      </c>
      <c r="E692" s="508" t="str">
        <f>IFERROR(__xludf.DUMMYFUNCTION("""COMPUTED_VALUE"""),"")</f>
        <v/>
      </c>
      <c r="F692" s="508" t="str">
        <f>IFERROR(__xludf.DUMMYFUNCTION("""COMPUTED_VALUE"""),"")</f>
        <v/>
      </c>
      <c r="G692" s="510" t="str">
        <f>IFERROR(__xludf.DUMMYFUNCTION("""COMPUTED_VALUE"""),"")</f>
        <v/>
      </c>
      <c r="H692" s="508" t="str">
        <f>IFERROR(__xludf.DUMMYFUNCTION("""COMPUTED_VALUE"""),"")</f>
        <v/>
      </c>
      <c r="I692" s="510" t="str">
        <f>IFERROR(__xludf.DUMMYFUNCTION("""COMPUTED_VALUE"""),"")</f>
        <v/>
      </c>
      <c r="J692" s="508" t="str">
        <f>IFERROR(__xludf.DUMMYFUNCTION("""COMPUTED_VALUE"""),"")</f>
        <v/>
      </c>
      <c r="K692" s="510" t="str">
        <f>IFERROR(__xludf.DUMMYFUNCTION("""COMPUTED_VALUE"""),"")</f>
        <v/>
      </c>
      <c r="L692" s="508" t="str">
        <f>IFERROR(__xludf.DUMMYFUNCTION("""COMPUTED_VALUE"""),"")</f>
        <v/>
      </c>
      <c r="M692" s="508" t="str">
        <f>IFERROR(__xludf.DUMMYFUNCTION("""COMPUTED_VALUE"""),"")</f>
        <v/>
      </c>
      <c r="N692" s="508" t="str">
        <f>IFERROR(__xludf.DUMMYFUNCTION("""COMPUTED_VALUE"""),"")</f>
        <v/>
      </c>
      <c r="O692" s="508" t="str">
        <f>IFERROR(__xludf.DUMMYFUNCTION("""COMPUTED_VALUE"""),"")</f>
        <v/>
      </c>
      <c r="P692" s="510" t="str">
        <f>IFERROR(__xludf.DUMMYFUNCTION("""COMPUTED_VALUE"""),"")</f>
        <v/>
      </c>
      <c r="Q692" s="508" t="str">
        <f>IFERROR(__xludf.DUMMYFUNCTION("""COMPUTED_VALUE"""),"")</f>
        <v/>
      </c>
      <c r="R692" s="508" t="str">
        <f>IFERROR(__xludf.DUMMYFUNCTION("""COMPUTED_VALUE"""),"")</f>
        <v/>
      </c>
      <c r="S692" s="510" t="str">
        <f>IFERROR(__xludf.DUMMYFUNCTION("""COMPUTED_VALUE"""),"")</f>
        <v/>
      </c>
      <c r="T692" s="510" t="str">
        <f>IFERROR(__xludf.DUMMYFUNCTION("""COMPUTED_VALUE"""),"")</f>
        <v/>
      </c>
    </row>
    <row r="693">
      <c r="A693" s="508" t="str">
        <f>IFERROR(__xludf.DUMMYFUNCTION("""COMPUTED_VALUE"""),"")</f>
        <v/>
      </c>
      <c r="B693" s="508" t="str">
        <f>IFERROR(__xludf.DUMMYFUNCTION("""COMPUTED_VALUE"""),"")</f>
        <v/>
      </c>
      <c r="C693" s="508" t="str">
        <f>IFERROR(__xludf.DUMMYFUNCTION("""COMPUTED_VALUE"""),"")</f>
        <v/>
      </c>
      <c r="D693" s="508" t="str">
        <f>IFERROR(__xludf.DUMMYFUNCTION("""COMPUTED_VALUE"""),"")</f>
        <v/>
      </c>
      <c r="E693" s="508" t="str">
        <f>IFERROR(__xludf.DUMMYFUNCTION("""COMPUTED_VALUE"""),"")</f>
        <v/>
      </c>
      <c r="F693" s="508" t="str">
        <f>IFERROR(__xludf.DUMMYFUNCTION("""COMPUTED_VALUE"""),"")</f>
        <v/>
      </c>
      <c r="G693" s="510" t="str">
        <f>IFERROR(__xludf.DUMMYFUNCTION("""COMPUTED_VALUE"""),"")</f>
        <v/>
      </c>
      <c r="H693" s="508" t="str">
        <f>IFERROR(__xludf.DUMMYFUNCTION("""COMPUTED_VALUE"""),"")</f>
        <v/>
      </c>
      <c r="I693" s="510" t="str">
        <f>IFERROR(__xludf.DUMMYFUNCTION("""COMPUTED_VALUE"""),"")</f>
        <v/>
      </c>
      <c r="J693" s="508" t="str">
        <f>IFERROR(__xludf.DUMMYFUNCTION("""COMPUTED_VALUE"""),"")</f>
        <v/>
      </c>
      <c r="K693" s="510" t="str">
        <f>IFERROR(__xludf.DUMMYFUNCTION("""COMPUTED_VALUE"""),"")</f>
        <v/>
      </c>
      <c r="L693" s="508" t="str">
        <f>IFERROR(__xludf.DUMMYFUNCTION("""COMPUTED_VALUE"""),"")</f>
        <v/>
      </c>
      <c r="M693" s="508" t="str">
        <f>IFERROR(__xludf.DUMMYFUNCTION("""COMPUTED_VALUE"""),"")</f>
        <v/>
      </c>
      <c r="N693" s="508" t="str">
        <f>IFERROR(__xludf.DUMMYFUNCTION("""COMPUTED_VALUE"""),"")</f>
        <v/>
      </c>
      <c r="O693" s="508" t="str">
        <f>IFERROR(__xludf.DUMMYFUNCTION("""COMPUTED_VALUE"""),"")</f>
        <v/>
      </c>
      <c r="P693" s="510" t="str">
        <f>IFERROR(__xludf.DUMMYFUNCTION("""COMPUTED_VALUE"""),"")</f>
        <v/>
      </c>
      <c r="Q693" s="508" t="str">
        <f>IFERROR(__xludf.DUMMYFUNCTION("""COMPUTED_VALUE"""),"")</f>
        <v/>
      </c>
      <c r="R693" s="508" t="str">
        <f>IFERROR(__xludf.DUMMYFUNCTION("""COMPUTED_VALUE"""),"")</f>
        <v/>
      </c>
      <c r="S693" s="510" t="str">
        <f>IFERROR(__xludf.DUMMYFUNCTION("""COMPUTED_VALUE"""),"")</f>
        <v/>
      </c>
      <c r="T693" s="510" t="str">
        <f>IFERROR(__xludf.DUMMYFUNCTION("""COMPUTED_VALUE"""),"")</f>
        <v/>
      </c>
    </row>
    <row r="694">
      <c r="A694" s="508" t="str">
        <f>IFERROR(__xludf.DUMMYFUNCTION("""COMPUTED_VALUE"""),"")</f>
        <v/>
      </c>
      <c r="B694" s="508" t="str">
        <f>IFERROR(__xludf.DUMMYFUNCTION("""COMPUTED_VALUE"""),"")</f>
        <v/>
      </c>
      <c r="C694" s="508" t="str">
        <f>IFERROR(__xludf.DUMMYFUNCTION("""COMPUTED_VALUE"""),"")</f>
        <v/>
      </c>
      <c r="D694" s="508" t="str">
        <f>IFERROR(__xludf.DUMMYFUNCTION("""COMPUTED_VALUE"""),"")</f>
        <v/>
      </c>
      <c r="E694" s="508" t="str">
        <f>IFERROR(__xludf.DUMMYFUNCTION("""COMPUTED_VALUE"""),"")</f>
        <v/>
      </c>
      <c r="F694" s="508" t="str">
        <f>IFERROR(__xludf.DUMMYFUNCTION("""COMPUTED_VALUE"""),"")</f>
        <v/>
      </c>
      <c r="G694" s="510" t="str">
        <f>IFERROR(__xludf.DUMMYFUNCTION("""COMPUTED_VALUE"""),"")</f>
        <v/>
      </c>
      <c r="H694" s="508" t="str">
        <f>IFERROR(__xludf.DUMMYFUNCTION("""COMPUTED_VALUE"""),"")</f>
        <v/>
      </c>
      <c r="I694" s="510" t="str">
        <f>IFERROR(__xludf.DUMMYFUNCTION("""COMPUTED_VALUE"""),"")</f>
        <v/>
      </c>
      <c r="J694" s="508" t="str">
        <f>IFERROR(__xludf.DUMMYFUNCTION("""COMPUTED_VALUE"""),"")</f>
        <v/>
      </c>
      <c r="K694" s="510" t="str">
        <f>IFERROR(__xludf.DUMMYFUNCTION("""COMPUTED_VALUE"""),"")</f>
        <v/>
      </c>
      <c r="L694" s="508" t="str">
        <f>IFERROR(__xludf.DUMMYFUNCTION("""COMPUTED_VALUE"""),"")</f>
        <v/>
      </c>
      <c r="M694" s="508" t="str">
        <f>IFERROR(__xludf.DUMMYFUNCTION("""COMPUTED_VALUE"""),"")</f>
        <v/>
      </c>
      <c r="N694" s="508" t="str">
        <f>IFERROR(__xludf.DUMMYFUNCTION("""COMPUTED_VALUE"""),"")</f>
        <v/>
      </c>
      <c r="O694" s="508" t="str">
        <f>IFERROR(__xludf.DUMMYFUNCTION("""COMPUTED_VALUE"""),"")</f>
        <v/>
      </c>
      <c r="P694" s="510" t="str">
        <f>IFERROR(__xludf.DUMMYFUNCTION("""COMPUTED_VALUE"""),"")</f>
        <v/>
      </c>
      <c r="Q694" s="508" t="str">
        <f>IFERROR(__xludf.DUMMYFUNCTION("""COMPUTED_VALUE"""),"")</f>
        <v/>
      </c>
      <c r="R694" s="508" t="str">
        <f>IFERROR(__xludf.DUMMYFUNCTION("""COMPUTED_VALUE"""),"")</f>
        <v/>
      </c>
      <c r="S694" s="510" t="str">
        <f>IFERROR(__xludf.DUMMYFUNCTION("""COMPUTED_VALUE"""),"")</f>
        <v/>
      </c>
      <c r="T694" s="510" t="str">
        <f>IFERROR(__xludf.DUMMYFUNCTION("""COMPUTED_VALUE"""),"")</f>
        <v/>
      </c>
    </row>
    <row r="695">
      <c r="A695" s="508" t="str">
        <f>IFERROR(__xludf.DUMMYFUNCTION("""COMPUTED_VALUE"""),"")</f>
        <v/>
      </c>
      <c r="B695" s="508" t="str">
        <f>IFERROR(__xludf.DUMMYFUNCTION("""COMPUTED_VALUE"""),"")</f>
        <v/>
      </c>
      <c r="C695" s="508" t="str">
        <f>IFERROR(__xludf.DUMMYFUNCTION("""COMPUTED_VALUE"""),"")</f>
        <v/>
      </c>
      <c r="D695" s="508" t="str">
        <f>IFERROR(__xludf.DUMMYFUNCTION("""COMPUTED_VALUE"""),"")</f>
        <v/>
      </c>
      <c r="E695" s="508" t="str">
        <f>IFERROR(__xludf.DUMMYFUNCTION("""COMPUTED_VALUE"""),"")</f>
        <v/>
      </c>
      <c r="F695" s="508" t="str">
        <f>IFERROR(__xludf.DUMMYFUNCTION("""COMPUTED_VALUE"""),"")</f>
        <v/>
      </c>
      <c r="G695" s="510" t="str">
        <f>IFERROR(__xludf.DUMMYFUNCTION("""COMPUTED_VALUE"""),"")</f>
        <v/>
      </c>
      <c r="H695" s="508" t="str">
        <f>IFERROR(__xludf.DUMMYFUNCTION("""COMPUTED_VALUE"""),"")</f>
        <v/>
      </c>
      <c r="I695" s="510" t="str">
        <f>IFERROR(__xludf.DUMMYFUNCTION("""COMPUTED_VALUE"""),"")</f>
        <v/>
      </c>
      <c r="J695" s="508" t="str">
        <f>IFERROR(__xludf.DUMMYFUNCTION("""COMPUTED_VALUE"""),"")</f>
        <v/>
      </c>
      <c r="K695" s="510" t="str">
        <f>IFERROR(__xludf.DUMMYFUNCTION("""COMPUTED_VALUE"""),"")</f>
        <v/>
      </c>
      <c r="L695" s="508" t="str">
        <f>IFERROR(__xludf.DUMMYFUNCTION("""COMPUTED_VALUE"""),"")</f>
        <v/>
      </c>
      <c r="M695" s="508" t="str">
        <f>IFERROR(__xludf.DUMMYFUNCTION("""COMPUTED_VALUE"""),"")</f>
        <v/>
      </c>
      <c r="N695" s="508" t="str">
        <f>IFERROR(__xludf.DUMMYFUNCTION("""COMPUTED_VALUE"""),"")</f>
        <v/>
      </c>
      <c r="O695" s="508" t="str">
        <f>IFERROR(__xludf.DUMMYFUNCTION("""COMPUTED_VALUE"""),"")</f>
        <v/>
      </c>
      <c r="P695" s="510" t="str">
        <f>IFERROR(__xludf.DUMMYFUNCTION("""COMPUTED_VALUE"""),"")</f>
        <v/>
      </c>
      <c r="Q695" s="508" t="str">
        <f>IFERROR(__xludf.DUMMYFUNCTION("""COMPUTED_VALUE"""),"")</f>
        <v/>
      </c>
      <c r="R695" s="508" t="str">
        <f>IFERROR(__xludf.DUMMYFUNCTION("""COMPUTED_VALUE"""),"")</f>
        <v/>
      </c>
      <c r="S695" s="510" t="str">
        <f>IFERROR(__xludf.DUMMYFUNCTION("""COMPUTED_VALUE"""),"")</f>
        <v/>
      </c>
      <c r="T695" s="510" t="str">
        <f>IFERROR(__xludf.DUMMYFUNCTION("""COMPUTED_VALUE"""),"")</f>
        <v/>
      </c>
    </row>
    <row r="696">
      <c r="A696" s="508" t="str">
        <f>IFERROR(__xludf.DUMMYFUNCTION("""COMPUTED_VALUE"""),"")</f>
        <v/>
      </c>
      <c r="B696" s="508" t="str">
        <f>IFERROR(__xludf.DUMMYFUNCTION("""COMPUTED_VALUE"""),"")</f>
        <v/>
      </c>
      <c r="C696" s="508" t="str">
        <f>IFERROR(__xludf.DUMMYFUNCTION("""COMPUTED_VALUE"""),"")</f>
        <v/>
      </c>
      <c r="D696" s="508" t="str">
        <f>IFERROR(__xludf.DUMMYFUNCTION("""COMPUTED_VALUE"""),"")</f>
        <v/>
      </c>
      <c r="E696" s="508" t="str">
        <f>IFERROR(__xludf.DUMMYFUNCTION("""COMPUTED_VALUE"""),"")</f>
        <v/>
      </c>
      <c r="F696" s="508" t="str">
        <f>IFERROR(__xludf.DUMMYFUNCTION("""COMPUTED_VALUE"""),"")</f>
        <v/>
      </c>
      <c r="G696" s="510" t="str">
        <f>IFERROR(__xludf.DUMMYFUNCTION("""COMPUTED_VALUE"""),"")</f>
        <v/>
      </c>
      <c r="H696" s="508" t="str">
        <f>IFERROR(__xludf.DUMMYFUNCTION("""COMPUTED_VALUE"""),"")</f>
        <v/>
      </c>
      <c r="I696" s="510" t="str">
        <f>IFERROR(__xludf.DUMMYFUNCTION("""COMPUTED_VALUE"""),"")</f>
        <v/>
      </c>
      <c r="J696" s="508" t="str">
        <f>IFERROR(__xludf.DUMMYFUNCTION("""COMPUTED_VALUE"""),"")</f>
        <v/>
      </c>
      <c r="K696" s="510" t="str">
        <f>IFERROR(__xludf.DUMMYFUNCTION("""COMPUTED_VALUE"""),"")</f>
        <v/>
      </c>
      <c r="L696" s="508" t="str">
        <f>IFERROR(__xludf.DUMMYFUNCTION("""COMPUTED_VALUE"""),"")</f>
        <v/>
      </c>
      <c r="M696" s="508" t="str">
        <f>IFERROR(__xludf.DUMMYFUNCTION("""COMPUTED_VALUE"""),"")</f>
        <v/>
      </c>
      <c r="N696" s="508" t="str">
        <f>IFERROR(__xludf.DUMMYFUNCTION("""COMPUTED_VALUE"""),"")</f>
        <v/>
      </c>
      <c r="O696" s="508" t="str">
        <f>IFERROR(__xludf.DUMMYFUNCTION("""COMPUTED_VALUE"""),"")</f>
        <v/>
      </c>
      <c r="P696" s="510" t="str">
        <f>IFERROR(__xludf.DUMMYFUNCTION("""COMPUTED_VALUE"""),"")</f>
        <v/>
      </c>
      <c r="Q696" s="508" t="str">
        <f>IFERROR(__xludf.DUMMYFUNCTION("""COMPUTED_VALUE"""),"")</f>
        <v/>
      </c>
      <c r="R696" s="508" t="str">
        <f>IFERROR(__xludf.DUMMYFUNCTION("""COMPUTED_VALUE"""),"")</f>
        <v/>
      </c>
      <c r="S696" s="510" t="str">
        <f>IFERROR(__xludf.DUMMYFUNCTION("""COMPUTED_VALUE"""),"")</f>
        <v/>
      </c>
      <c r="T696" s="510" t="str">
        <f>IFERROR(__xludf.DUMMYFUNCTION("""COMPUTED_VALUE"""),"")</f>
        <v/>
      </c>
    </row>
    <row r="697">
      <c r="A697" s="508" t="str">
        <f>IFERROR(__xludf.DUMMYFUNCTION("""COMPUTED_VALUE"""),"")</f>
        <v/>
      </c>
      <c r="B697" s="508" t="str">
        <f>IFERROR(__xludf.DUMMYFUNCTION("""COMPUTED_VALUE"""),"")</f>
        <v/>
      </c>
      <c r="C697" s="508" t="str">
        <f>IFERROR(__xludf.DUMMYFUNCTION("""COMPUTED_VALUE"""),"")</f>
        <v/>
      </c>
      <c r="D697" s="508" t="str">
        <f>IFERROR(__xludf.DUMMYFUNCTION("""COMPUTED_VALUE"""),"")</f>
        <v/>
      </c>
      <c r="E697" s="508" t="str">
        <f>IFERROR(__xludf.DUMMYFUNCTION("""COMPUTED_VALUE"""),"")</f>
        <v/>
      </c>
      <c r="F697" s="508" t="str">
        <f>IFERROR(__xludf.DUMMYFUNCTION("""COMPUTED_VALUE"""),"")</f>
        <v/>
      </c>
      <c r="G697" s="510" t="str">
        <f>IFERROR(__xludf.DUMMYFUNCTION("""COMPUTED_VALUE"""),"")</f>
        <v/>
      </c>
      <c r="H697" s="508" t="str">
        <f>IFERROR(__xludf.DUMMYFUNCTION("""COMPUTED_VALUE"""),"")</f>
        <v/>
      </c>
      <c r="I697" s="510" t="str">
        <f>IFERROR(__xludf.DUMMYFUNCTION("""COMPUTED_VALUE"""),"")</f>
        <v/>
      </c>
      <c r="J697" s="508" t="str">
        <f>IFERROR(__xludf.DUMMYFUNCTION("""COMPUTED_VALUE"""),"")</f>
        <v/>
      </c>
      <c r="K697" s="510" t="str">
        <f>IFERROR(__xludf.DUMMYFUNCTION("""COMPUTED_VALUE"""),"")</f>
        <v/>
      </c>
      <c r="L697" s="508" t="str">
        <f>IFERROR(__xludf.DUMMYFUNCTION("""COMPUTED_VALUE"""),"")</f>
        <v/>
      </c>
      <c r="M697" s="508" t="str">
        <f>IFERROR(__xludf.DUMMYFUNCTION("""COMPUTED_VALUE"""),"")</f>
        <v/>
      </c>
      <c r="N697" s="508" t="str">
        <f>IFERROR(__xludf.DUMMYFUNCTION("""COMPUTED_VALUE"""),"")</f>
        <v/>
      </c>
      <c r="O697" s="508" t="str">
        <f>IFERROR(__xludf.DUMMYFUNCTION("""COMPUTED_VALUE"""),"")</f>
        <v/>
      </c>
      <c r="P697" s="510" t="str">
        <f>IFERROR(__xludf.DUMMYFUNCTION("""COMPUTED_VALUE"""),"")</f>
        <v/>
      </c>
      <c r="Q697" s="508" t="str">
        <f>IFERROR(__xludf.DUMMYFUNCTION("""COMPUTED_VALUE"""),"")</f>
        <v/>
      </c>
      <c r="R697" s="508" t="str">
        <f>IFERROR(__xludf.DUMMYFUNCTION("""COMPUTED_VALUE"""),"")</f>
        <v/>
      </c>
      <c r="S697" s="510" t="str">
        <f>IFERROR(__xludf.DUMMYFUNCTION("""COMPUTED_VALUE"""),"")</f>
        <v/>
      </c>
      <c r="T697" s="510" t="str">
        <f>IFERROR(__xludf.DUMMYFUNCTION("""COMPUTED_VALUE"""),"")</f>
        <v/>
      </c>
    </row>
    <row r="698">
      <c r="A698" s="508" t="str">
        <f>IFERROR(__xludf.DUMMYFUNCTION("""COMPUTED_VALUE"""),"")</f>
        <v/>
      </c>
      <c r="B698" s="508" t="str">
        <f>IFERROR(__xludf.DUMMYFUNCTION("""COMPUTED_VALUE"""),"")</f>
        <v/>
      </c>
      <c r="C698" s="508" t="str">
        <f>IFERROR(__xludf.DUMMYFUNCTION("""COMPUTED_VALUE"""),"")</f>
        <v/>
      </c>
      <c r="D698" s="508" t="str">
        <f>IFERROR(__xludf.DUMMYFUNCTION("""COMPUTED_VALUE"""),"")</f>
        <v/>
      </c>
      <c r="E698" s="508" t="str">
        <f>IFERROR(__xludf.DUMMYFUNCTION("""COMPUTED_VALUE"""),"")</f>
        <v/>
      </c>
      <c r="F698" s="508" t="str">
        <f>IFERROR(__xludf.DUMMYFUNCTION("""COMPUTED_VALUE"""),"")</f>
        <v/>
      </c>
      <c r="G698" s="510" t="str">
        <f>IFERROR(__xludf.DUMMYFUNCTION("""COMPUTED_VALUE"""),"")</f>
        <v/>
      </c>
      <c r="H698" s="508" t="str">
        <f>IFERROR(__xludf.DUMMYFUNCTION("""COMPUTED_VALUE"""),"")</f>
        <v/>
      </c>
      <c r="I698" s="510" t="str">
        <f>IFERROR(__xludf.DUMMYFUNCTION("""COMPUTED_VALUE"""),"")</f>
        <v/>
      </c>
      <c r="J698" s="508" t="str">
        <f>IFERROR(__xludf.DUMMYFUNCTION("""COMPUTED_VALUE"""),"")</f>
        <v/>
      </c>
      <c r="K698" s="510" t="str">
        <f>IFERROR(__xludf.DUMMYFUNCTION("""COMPUTED_VALUE"""),"")</f>
        <v/>
      </c>
      <c r="L698" s="508" t="str">
        <f>IFERROR(__xludf.DUMMYFUNCTION("""COMPUTED_VALUE"""),"")</f>
        <v/>
      </c>
      <c r="M698" s="508" t="str">
        <f>IFERROR(__xludf.DUMMYFUNCTION("""COMPUTED_VALUE"""),"")</f>
        <v/>
      </c>
      <c r="N698" s="508" t="str">
        <f>IFERROR(__xludf.DUMMYFUNCTION("""COMPUTED_VALUE"""),"")</f>
        <v/>
      </c>
      <c r="O698" s="508" t="str">
        <f>IFERROR(__xludf.DUMMYFUNCTION("""COMPUTED_VALUE"""),"")</f>
        <v/>
      </c>
      <c r="P698" s="510" t="str">
        <f>IFERROR(__xludf.DUMMYFUNCTION("""COMPUTED_VALUE"""),"")</f>
        <v/>
      </c>
      <c r="Q698" s="508" t="str">
        <f>IFERROR(__xludf.DUMMYFUNCTION("""COMPUTED_VALUE"""),"")</f>
        <v/>
      </c>
      <c r="R698" s="508" t="str">
        <f>IFERROR(__xludf.DUMMYFUNCTION("""COMPUTED_VALUE"""),"")</f>
        <v/>
      </c>
      <c r="S698" s="510" t="str">
        <f>IFERROR(__xludf.DUMMYFUNCTION("""COMPUTED_VALUE"""),"")</f>
        <v/>
      </c>
      <c r="T698" s="510" t="str">
        <f>IFERROR(__xludf.DUMMYFUNCTION("""COMPUTED_VALUE"""),"")</f>
        <v/>
      </c>
    </row>
    <row r="699">
      <c r="A699" s="508" t="str">
        <f>IFERROR(__xludf.DUMMYFUNCTION("""COMPUTED_VALUE"""),"")</f>
        <v/>
      </c>
      <c r="B699" s="508" t="str">
        <f>IFERROR(__xludf.DUMMYFUNCTION("""COMPUTED_VALUE"""),"")</f>
        <v/>
      </c>
      <c r="C699" s="508" t="str">
        <f>IFERROR(__xludf.DUMMYFUNCTION("""COMPUTED_VALUE"""),"")</f>
        <v/>
      </c>
      <c r="D699" s="508" t="str">
        <f>IFERROR(__xludf.DUMMYFUNCTION("""COMPUTED_VALUE"""),"")</f>
        <v/>
      </c>
      <c r="E699" s="508" t="str">
        <f>IFERROR(__xludf.DUMMYFUNCTION("""COMPUTED_VALUE"""),"")</f>
        <v/>
      </c>
      <c r="F699" s="508" t="str">
        <f>IFERROR(__xludf.DUMMYFUNCTION("""COMPUTED_VALUE"""),"")</f>
        <v/>
      </c>
      <c r="G699" s="510" t="str">
        <f>IFERROR(__xludf.DUMMYFUNCTION("""COMPUTED_VALUE"""),"")</f>
        <v/>
      </c>
      <c r="H699" s="508" t="str">
        <f>IFERROR(__xludf.DUMMYFUNCTION("""COMPUTED_VALUE"""),"")</f>
        <v/>
      </c>
      <c r="I699" s="510" t="str">
        <f>IFERROR(__xludf.DUMMYFUNCTION("""COMPUTED_VALUE"""),"")</f>
        <v/>
      </c>
      <c r="J699" s="508" t="str">
        <f>IFERROR(__xludf.DUMMYFUNCTION("""COMPUTED_VALUE"""),"")</f>
        <v/>
      </c>
      <c r="K699" s="510" t="str">
        <f>IFERROR(__xludf.DUMMYFUNCTION("""COMPUTED_VALUE"""),"")</f>
        <v/>
      </c>
      <c r="L699" s="508" t="str">
        <f>IFERROR(__xludf.DUMMYFUNCTION("""COMPUTED_VALUE"""),"")</f>
        <v/>
      </c>
      <c r="M699" s="508" t="str">
        <f>IFERROR(__xludf.DUMMYFUNCTION("""COMPUTED_VALUE"""),"")</f>
        <v/>
      </c>
      <c r="N699" s="508" t="str">
        <f>IFERROR(__xludf.DUMMYFUNCTION("""COMPUTED_VALUE"""),"")</f>
        <v/>
      </c>
      <c r="O699" s="508" t="str">
        <f>IFERROR(__xludf.DUMMYFUNCTION("""COMPUTED_VALUE"""),"")</f>
        <v/>
      </c>
      <c r="P699" s="510" t="str">
        <f>IFERROR(__xludf.DUMMYFUNCTION("""COMPUTED_VALUE"""),"")</f>
        <v/>
      </c>
      <c r="Q699" s="508" t="str">
        <f>IFERROR(__xludf.DUMMYFUNCTION("""COMPUTED_VALUE"""),"")</f>
        <v/>
      </c>
      <c r="R699" s="508" t="str">
        <f>IFERROR(__xludf.DUMMYFUNCTION("""COMPUTED_VALUE"""),"")</f>
        <v/>
      </c>
      <c r="S699" s="510" t="str">
        <f>IFERROR(__xludf.DUMMYFUNCTION("""COMPUTED_VALUE"""),"")</f>
        <v/>
      </c>
      <c r="T699" s="510" t="str">
        <f>IFERROR(__xludf.DUMMYFUNCTION("""COMPUTED_VALUE"""),"")</f>
        <v/>
      </c>
    </row>
    <row r="700">
      <c r="A700" s="508" t="str">
        <f>IFERROR(__xludf.DUMMYFUNCTION("""COMPUTED_VALUE"""),"")</f>
        <v/>
      </c>
      <c r="B700" s="508" t="str">
        <f>IFERROR(__xludf.DUMMYFUNCTION("""COMPUTED_VALUE"""),"")</f>
        <v/>
      </c>
      <c r="C700" s="508" t="str">
        <f>IFERROR(__xludf.DUMMYFUNCTION("""COMPUTED_VALUE"""),"")</f>
        <v/>
      </c>
      <c r="D700" s="508" t="str">
        <f>IFERROR(__xludf.DUMMYFUNCTION("""COMPUTED_VALUE"""),"")</f>
        <v/>
      </c>
      <c r="E700" s="508" t="str">
        <f>IFERROR(__xludf.DUMMYFUNCTION("""COMPUTED_VALUE"""),"")</f>
        <v/>
      </c>
      <c r="F700" s="508" t="str">
        <f>IFERROR(__xludf.DUMMYFUNCTION("""COMPUTED_VALUE"""),"")</f>
        <v/>
      </c>
      <c r="G700" s="510" t="str">
        <f>IFERROR(__xludf.DUMMYFUNCTION("""COMPUTED_VALUE"""),"")</f>
        <v/>
      </c>
      <c r="H700" s="508" t="str">
        <f>IFERROR(__xludf.DUMMYFUNCTION("""COMPUTED_VALUE"""),"")</f>
        <v/>
      </c>
      <c r="I700" s="510" t="str">
        <f>IFERROR(__xludf.DUMMYFUNCTION("""COMPUTED_VALUE"""),"")</f>
        <v/>
      </c>
      <c r="J700" s="508" t="str">
        <f>IFERROR(__xludf.DUMMYFUNCTION("""COMPUTED_VALUE"""),"")</f>
        <v/>
      </c>
      <c r="K700" s="510" t="str">
        <f>IFERROR(__xludf.DUMMYFUNCTION("""COMPUTED_VALUE"""),"")</f>
        <v/>
      </c>
      <c r="L700" s="508" t="str">
        <f>IFERROR(__xludf.DUMMYFUNCTION("""COMPUTED_VALUE"""),"")</f>
        <v/>
      </c>
      <c r="M700" s="508" t="str">
        <f>IFERROR(__xludf.DUMMYFUNCTION("""COMPUTED_VALUE"""),"")</f>
        <v/>
      </c>
      <c r="N700" s="508" t="str">
        <f>IFERROR(__xludf.DUMMYFUNCTION("""COMPUTED_VALUE"""),"")</f>
        <v/>
      </c>
      <c r="O700" s="508" t="str">
        <f>IFERROR(__xludf.DUMMYFUNCTION("""COMPUTED_VALUE"""),"")</f>
        <v/>
      </c>
      <c r="P700" s="510" t="str">
        <f>IFERROR(__xludf.DUMMYFUNCTION("""COMPUTED_VALUE"""),"")</f>
        <v/>
      </c>
      <c r="Q700" s="508" t="str">
        <f>IFERROR(__xludf.DUMMYFUNCTION("""COMPUTED_VALUE"""),"")</f>
        <v/>
      </c>
      <c r="R700" s="508" t="str">
        <f>IFERROR(__xludf.DUMMYFUNCTION("""COMPUTED_VALUE"""),"")</f>
        <v/>
      </c>
      <c r="S700" s="510" t="str">
        <f>IFERROR(__xludf.DUMMYFUNCTION("""COMPUTED_VALUE"""),"")</f>
        <v/>
      </c>
      <c r="T700" s="510" t="str">
        <f>IFERROR(__xludf.DUMMYFUNCTION("""COMPUTED_VALUE"""),"")</f>
        <v/>
      </c>
    </row>
    <row r="701">
      <c r="A701" s="508" t="str">
        <f>IFERROR(__xludf.DUMMYFUNCTION("""COMPUTED_VALUE"""),"")</f>
        <v/>
      </c>
      <c r="B701" s="508" t="str">
        <f>IFERROR(__xludf.DUMMYFUNCTION("""COMPUTED_VALUE"""),"")</f>
        <v/>
      </c>
      <c r="C701" s="508" t="str">
        <f>IFERROR(__xludf.DUMMYFUNCTION("""COMPUTED_VALUE"""),"")</f>
        <v/>
      </c>
      <c r="D701" s="508" t="str">
        <f>IFERROR(__xludf.DUMMYFUNCTION("""COMPUTED_VALUE"""),"")</f>
        <v/>
      </c>
      <c r="E701" s="508" t="str">
        <f>IFERROR(__xludf.DUMMYFUNCTION("""COMPUTED_VALUE"""),"")</f>
        <v/>
      </c>
      <c r="F701" s="508" t="str">
        <f>IFERROR(__xludf.DUMMYFUNCTION("""COMPUTED_VALUE"""),"")</f>
        <v/>
      </c>
      <c r="G701" s="510" t="str">
        <f>IFERROR(__xludf.DUMMYFUNCTION("""COMPUTED_VALUE"""),"")</f>
        <v/>
      </c>
      <c r="H701" s="508" t="str">
        <f>IFERROR(__xludf.DUMMYFUNCTION("""COMPUTED_VALUE"""),"")</f>
        <v/>
      </c>
      <c r="I701" s="510" t="str">
        <f>IFERROR(__xludf.DUMMYFUNCTION("""COMPUTED_VALUE"""),"")</f>
        <v/>
      </c>
      <c r="J701" s="508" t="str">
        <f>IFERROR(__xludf.DUMMYFUNCTION("""COMPUTED_VALUE"""),"")</f>
        <v/>
      </c>
      <c r="K701" s="510" t="str">
        <f>IFERROR(__xludf.DUMMYFUNCTION("""COMPUTED_VALUE"""),"")</f>
        <v/>
      </c>
      <c r="L701" s="508" t="str">
        <f>IFERROR(__xludf.DUMMYFUNCTION("""COMPUTED_VALUE"""),"")</f>
        <v/>
      </c>
      <c r="M701" s="508" t="str">
        <f>IFERROR(__xludf.DUMMYFUNCTION("""COMPUTED_VALUE"""),"")</f>
        <v/>
      </c>
      <c r="N701" s="508" t="str">
        <f>IFERROR(__xludf.DUMMYFUNCTION("""COMPUTED_VALUE"""),"")</f>
        <v/>
      </c>
      <c r="O701" s="508" t="str">
        <f>IFERROR(__xludf.DUMMYFUNCTION("""COMPUTED_VALUE"""),"")</f>
        <v/>
      </c>
      <c r="P701" s="510" t="str">
        <f>IFERROR(__xludf.DUMMYFUNCTION("""COMPUTED_VALUE"""),"")</f>
        <v/>
      </c>
      <c r="Q701" s="508" t="str">
        <f>IFERROR(__xludf.DUMMYFUNCTION("""COMPUTED_VALUE"""),"")</f>
        <v/>
      </c>
      <c r="R701" s="508" t="str">
        <f>IFERROR(__xludf.DUMMYFUNCTION("""COMPUTED_VALUE"""),"")</f>
        <v/>
      </c>
      <c r="S701" s="510" t="str">
        <f>IFERROR(__xludf.DUMMYFUNCTION("""COMPUTED_VALUE"""),"")</f>
        <v/>
      </c>
      <c r="T701" s="510" t="str">
        <f>IFERROR(__xludf.DUMMYFUNCTION("""COMPUTED_VALUE"""),"")</f>
        <v/>
      </c>
    </row>
    <row r="702">
      <c r="A702" s="508" t="str">
        <f>IFERROR(__xludf.DUMMYFUNCTION("""COMPUTED_VALUE"""),"")</f>
        <v/>
      </c>
      <c r="B702" s="508" t="str">
        <f>IFERROR(__xludf.DUMMYFUNCTION("""COMPUTED_VALUE"""),"")</f>
        <v/>
      </c>
      <c r="C702" s="508" t="str">
        <f>IFERROR(__xludf.DUMMYFUNCTION("""COMPUTED_VALUE"""),"")</f>
        <v/>
      </c>
      <c r="D702" s="508" t="str">
        <f>IFERROR(__xludf.DUMMYFUNCTION("""COMPUTED_VALUE"""),"")</f>
        <v/>
      </c>
      <c r="E702" s="508" t="str">
        <f>IFERROR(__xludf.DUMMYFUNCTION("""COMPUTED_VALUE"""),"")</f>
        <v/>
      </c>
      <c r="F702" s="508" t="str">
        <f>IFERROR(__xludf.DUMMYFUNCTION("""COMPUTED_VALUE"""),"")</f>
        <v/>
      </c>
      <c r="G702" s="510" t="str">
        <f>IFERROR(__xludf.DUMMYFUNCTION("""COMPUTED_VALUE"""),"")</f>
        <v/>
      </c>
      <c r="H702" s="508" t="str">
        <f>IFERROR(__xludf.DUMMYFUNCTION("""COMPUTED_VALUE"""),"")</f>
        <v/>
      </c>
      <c r="I702" s="510" t="str">
        <f>IFERROR(__xludf.DUMMYFUNCTION("""COMPUTED_VALUE"""),"")</f>
        <v/>
      </c>
      <c r="J702" s="508" t="str">
        <f>IFERROR(__xludf.DUMMYFUNCTION("""COMPUTED_VALUE"""),"")</f>
        <v/>
      </c>
      <c r="K702" s="510" t="str">
        <f>IFERROR(__xludf.DUMMYFUNCTION("""COMPUTED_VALUE"""),"")</f>
        <v/>
      </c>
      <c r="L702" s="508" t="str">
        <f>IFERROR(__xludf.DUMMYFUNCTION("""COMPUTED_VALUE"""),"")</f>
        <v/>
      </c>
      <c r="M702" s="508" t="str">
        <f>IFERROR(__xludf.DUMMYFUNCTION("""COMPUTED_VALUE"""),"")</f>
        <v/>
      </c>
      <c r="N702" s="508" t="str">
        <f>IFERROR(__xludf.DUMMYFUNCTION("""COMPUTED_VALUE"""),"")</f>
        <v/>
      </c>
      <c r="O702" s="508" t="str">
        <f>IFERROR(__xludf.DUMMYFUNCTION("""COMPUTED_VALUE"""),"")</f>
        <v/>
      </c>
      <c r="P702" s="510" t="str">
        <f>IFERROR(__xludf.DUMMYFUNCTION("""COMPUTED_VALUE"""),"")</f>
        <v/>
      </c>
      <c r="Q702" s="508" t="str">
        <f>IFERROR(__xludf.DUMMYFUNCTION("""COMPUTED_VALUE"""),"")</f>
        <v/>
      </c>
      <c r="R702" s="508" t="str">
        <f>IFERROR(__xludf.DUMMYFUNCTION("""COMPUTED_VALUE"""),"")</f>
        <v/>
      </c>
      <c r="S702" s="510" t="str">
        <f>IFERROR(__xludf.DUMMYFUNCTION("""COMPUTED_VALUE"""),"")</f>
        <v/>
      </c>
      <c r="T702" s="510" t="str">
        <f>IFERROR(__xludf.DUMMYFUNCTION("""COMPUTED_VALUE"""),"")</f>
        <v/>
      </c>
    </row>
    <row r="703">
      <c r="A703" s="508" t="str">
        <f>IFERROR(__xludf.DUMMYFUNCTION("""COMPUTED_VALUE"""),"")</f>
        <v/>
      </c>
      <c r="B703" s="508" t="str">
        <f>IFERROR(__xludf.DUMMYFUNCTION("""COMPUTED_VALUE"""),"")</f>
        <v/>
      </c>
      <c r="C703" s="508" t="str">
        <f>IFERROR(__xludf.DUMMYFUNCTION("""COMPUTED_VALUE"""),"")</f>
        <v/>
      </c>
      <c r="D703" s="508" t="str">
        <f>IFERROR(__xludf.DUMMYFUNCTION("""COMPUTED_VALUE"""),"")</f>
        <v/>
      </c>
      <c r="E703" s="508" t="str">
        <f>IFERROR(__xludf.DUMMYFUNCTION("""COMPUTED_VALUE"""),"")</f>
        <v/>
      </c>
      <c r="F703" s="508" t="str">
        <f>IFERROR(__xludf.DUMMYFUNCTION("""COMPUTED_VALUE"""),"")</f>
        <v/>
      </c>
      <c r="G703" s="510" t="str">
        <f>IFERROR(__xludf.DUMMYFUNCTION("""COMPUTED_VALUE"""),"")</f>
        <v/>
      </c>
      <c r="H703" s="508" t="str">
        <f>IFERROR(__xludf.DUMMYFUNCTION("""COMPUTED_VALUE"""),"")</f>
        <v/>
      </c>
      <c r="I703" s="510" t="str">
        <f>IFERROR(__xludf.DUMMYFUNCTION("""COMPUTED_VALUE"""),"")</f>
        <v/>
      </c>
      <c r="J703" s="508" t="str">
        <f>IFERROR(__xludf.DUMMYFUNCTION("""COMPUTED_VALUE"""),"")</f>
        <v/>
      </c>
      <c r="K703" s="510" t="str">
        <f>IFERROR(__xludf.DUMMYFUNCTION("""COMPUTED_VALUE"""),"")</f>
        <v/>
      </c>
      <c r="L703" s="508" t="str">
        <f>IFERROR(__xludf.DUMMYFUNCTION("""COMPUTED_VALUE"""),"")</f>
        <v/>
      </c>
      <c r="M703" s="508" t="str">
        <f>IFERROR(__xludf.DUMMYFUNCTION("""COMPUTED_VALUE"""),"")</f>
        <v/>
      </c>
      <c r="N703" s="508" t="str">
        <f>IFERROR(__xludf.DUMMYFUNCTION("""COMPUTED_VALUE"""),"")</f>
        <v/>
      </c>
      <c r="O703" s="508" t="str">
        <f>IFERROR(__xludf.DUMMYFUNCTION("""COMPUTED_VALUE"""),"")</f>
        <v/>
      </c>
      <c r="P703" s="510" t="str">
        <f>IFERROR(__xludf.DUMMYFUNCTION("""COMPUTED_VALUE"""),"")</f>
        <v/>
      </c>
      <c r="Q703" s="508" t="str">
        <f>IFERROR(__xludf.DUMMYFUNCTION("""COMPUTED_VALUE"""),"")</f>
        <v/>
      </c>
      <c r="R703" s="508" t="str">
        <f>IFERROR(__xludf.DUMMYFUNCTION("""COMPUTED_VALUE"""),"")</f>
        <v/>
      </c>
      <c r="S703" s="510" t="str">
        <f>IFERROR(__xludf.DUMMYFUNCTION("""COMPUTED_VALUE"""),"")</f>
        <v/>
      </c>
      <c r="T703" s="510" t="str">
        <f>IFERROR(__xludf.DUMMYFUNCTION("""COMPUTED_VALUE"""),"")</f>
        <v/>
      </c>
    </row>
    <row r="704">
      <c r="A704" s="508" t="str">
        <f>IFERROR(__xludf.DUMMYFUNCTION("""COMPUTED_VALUE"""),"")</f>
        <v/>
      </c>
      <c r="B704" s="508" t="str">
        <f>IFERROR(__xludf.DUMMYFUNCTION("""COMPUTED_VALUE"""),"")</f>
        <v/>
      </c>
      <c r="C704" s="508" t="str">
        <f>IFERROR(__xludf.DUMMYFUNCTION("""COMPUTED_VALUE"""),"")</f>
        <v/>
      </c>
      <c r="D704" s="508" t="str">
        <f>IFERROR(__xludf.DUMMYFUNCTION("""COMPUTED_VALUE"""),"")</f>
        <v/>
      </c>
      <c r="E704" s="508" t="str">
        <f>IFERROR(__xludf.DUMMYFUNCTION("""COMPUTED_VALUE"""),"")</f>
        <v/>
      </c>
      <c r="F704" s="508" t="str">
        <f>IFERROR(__xludf.DUMMYFUNCTION("""COMPUTED_VALUE"""),"")</f>
        <v/>
      </c>
      <c r="G704" s="510" t="str">
        <f>IFERROR(__xludf.DUMMYFUNCTION("""COMPUTED_VALUE"""),"")</f>
        <v/>
      </c>
      <c r="H704" s="508" t="str">
        <f>IFERROR(__xludf.DUMMYFUNCTION("""COMPUTED_VALUE"""),"")</f>
        <v/>
      </c>
      <c r="I704" s="510" t="str">
        <f>IFERROR(__xludf.DUMMYFUNCTION("""COMPUTED_VALUE"""),"")</f>
        <v/>
      </c>
      <c r="J704" s="508" t="str">
        <f>IFERROR(__xludf.DUMMYFUNCTION("""COMPUTED_VALUE"""),"")</f>
        <v/>
      </c>
      <c r="K704" s="510" t="str">
        <f>IFERROR(__xludf.DUMMYFUNCTION("""COMPUTED_VALUE"""),"")</f>
        <v/>
      </c>
      <c r="L704" s="508" t="str">
        <f>IFERROR(__xludf.DUMMYFUNCTION("""COMPUTED_VALUE"""),"")</f>
        <v/>
      </c>
      <c r="M704" s="508" t="str">
        <f>IFERROR(__xludf.DUMMYFUNCTION("""COMPUTED_VALUE"""),"")</f>
        <v/>
      </c>
      <c r="N704" s="508" t="str">
        <f>IFERROR(__xludf.DUMMYFUNCTION("""COMPUTED_VALUE"""),"")</f>
        <v/>
      </c>
      <c r="O704" s="508" t="str">
        <f>IFERROR(__xludf.DUMMYFUNCTION("""COMPUTED_VALUE"""),"")</f>
        <v/>
      </c>
      <c r="P704" s="510" t="str">
        <f>IFERROR(__xludf.DUMMYFUNCTION("""COMPUTED_VALUE"""),"")</f>
        <v/>
      </c>
      <c r="Q704" s="508" t="str">
        <f>IFERROR(__xludf.DUMMYFUNCTION("""COMPUTED_VALUE"""),"")</f>
        <v/>
      </c>
      <c r="R704" s="508" t="str">
        <f>IFERROR(__xludf.DUMMYFUNCTION("""COMPUTED_VALUE"""),"")</f>
        <v/>
      </c>
      <c r="S704" s="510" t="str">
        <f>IFERROR(__xludf.DUMMYFUNCTION("""COMPUTED_VALUE"""),"")</f>
        <v/>
      </c>
      <c r="T704" s="510" t="str">
        <f>IFERROR(__xludf.DUMMYFUNCTION("""COMPUTED_VALUE"""),"")</f>
        <v/>
      </c>
    </row>
    <row r="705">
      <c r="A705" s="508" t="str">
        <f>IFERROR(__xludf.DUMMYFUNCTION("""COMPUTED_VALUE"""),"")</f>
        <v/>
      </c>
      <c r="B705" s="508" t="str">
        <f>IFERROR(__xludf.DUMMYFUNCTION("""COMPUTED_VALUE"""),"")</f>
        <v/>
      </c>
      <c r="C705" s="508" t="str">
        <f>IFERROR(__xludf.DUMMYFUNCTION("""COMPUTED_VALUE"""),"")</f>
        <v/>
      </c>
      <c r="D705" s="508" t="str">
        <f>IFERROR(__xludf.DUMMYFUNCTION("""COMPUTED_VALUE"""),"")</f>
        <v/>
      </c>
      <c r="E705" s="508" t="str">
        <f>IFERROR(__xludf.DUMMYFUNCTION("""COMPUTED_VALUE"""),"")</f>
        <v/>
      </c>
      <c r="F705" s="508" t="str">
        <f>IFERROR(__xludf.DUMMYFUNCTION("""COMPUTED_VALUE"""),"")</f>
        <v/>
      </c>
      <c r="G705" s="510" t="str">
        <f>IFERROR(__xludf.DUMMYFUNCTION("""COMPUTED_VALUE"""),"")</f>
        <v/>
      </c>
      <c r="H705" s="508" t="str">
        <f>IFERROR(__xludf.DUMMYFUNCTION("""COMPUTED_VALUE"""),"")</f>
        <v/>
      </c>
      <c r="I705" s="510" t="str">
        <f>IFERROR(__xludf.DUMMYFUNCTION("""COMPUTED_VALUE"""),"")</f>
        <v/>
      </c>
      <c r="J705" s="508" t="str">
        <f>IFERROR(__xludf.DUMMYFUNCTION("""COMPUTED_VALUE"""),"")</f>
        <v/>
      </c>
      <c r="K705" s="510" t="str">
        <f>IFERROR(__xludf.DUMMYFUNCTION("""COMPUTED_VALUE"""),"")</f>
        <v/>
      </c>
      <c r="L705" s="508" t="str">
        <f>IFERROR(__xludf.DUMMYFUNCTION("""COMPUTED_VALUE"""),"")</f>
        <v/>
      </c>
      <c r="M705" s="508" t="str">
        <f>IFERROR(__xludf.DUMMYFUNCTION("""COMPUTED_VALUE"""),"")</f>
        <v/>
      </c>
      <c r="N705" s="508" t="str">
        <f>IFERROR(__xludf.DUMMYFUNCTION("""COMPUTED_VALUE"""),"")</f>
        <v/>
      </c>
      <c r="O705" s="508" t="str">
        <f>IFERROR(__xludf.DUMMYFUNCTION("""COMPUTED_VALUE"""),"")</f>
        <v/>
      </c>
      <c r="P705" s="510" t="str">
        <f>IFERROR(__xludf.DUMMYFUNCTION("""COMPUTED_VALUE"""),"")</f>
        <v/>
      </c>
      <c r="Q705" s="508" t="str">
        <f>IFERROR(__xludf.DUMMYFUNCTION("""COMPUTED_VALUE"""),"")</f>
        <v/>
      </c>
      <c r="R705" s="508" t="str">
        <f>IFERROR(__xludf.DUMMYFUNCTION("""COMPUTED_VALUE"""),"")</f>
        <v/>
      </c>
      <c r="S705" s="510" t="str">
        <f>IFERROR(__xludf.DUMMYFUNCTION("""COMPUTED_VALUE"""),"")</f>
        <v/>
      </c>
      <c r="T705" s="510" t="str">
        <f>IFERROR(__xludf.DUMMYFUNCTION("""COMPUTED_VALUE"""),"")</f>
        <v/>
      </c>
    </row>
    <row r="706">
      <c r="A706" s="508" t="str">
        <f>IFERROR(__xludf.DUMMYFUNCTION("""COMPUTED_VALUE"""),"")</f>
        <v/>
      </c>
      <c r="B706" s="508" t="str">
        <f>IFERROR(__xludf.DUMMYFUNCTION("""COMPUTED_VALUE"""),"")</f>
        <v/>
      </c>
      <c r="C706" s="508" t="str">
        <f>IFERROR(__xludf.DUMMYFUNCTION("""COMPUTED_VALUE"""),"")</f>
        <v/>
      </c>
      <c r="D706" s="508" t="str">
        <f>IFERROR(__xludf.DUMMYFUNCTION("""COMPUTED_VALUE"""),"")</f>
        <v/>
      </c>
      <c r="E706" s="508" t="str">
        <f>IFERROR(__xludf.DUMMYFUNCTION("""COMPUTED_VALUE"""),"")</f>
        <v/>
      </c>
      <c r="F706" s="508" t="str">
        <f>IFERROR(__xludf.DUMMYFUNCTION("""COMPUTED_VALUE"""),"")</f>
        <v/>
      </c>
      <c r="G706" s="510" t="str">
        <f>IFERROR(__xludf.DUMMYFUNCTION("""COMPUTED_VALUE"""),"")</f>
        <v/>
      </c>
      <c r="H706" s="508" t="str">
        <f>IFERROR(__xludf.DUMMYFUNCTION("""COMPUTED_VALUE"""),"")</f>
        <v/>
      </c>
      <c r="I706" s="510" t="str">
        <f>IFERROR(__xludf.DUMMYFUNCTION("""COMPUTED_VALUE"""),"")</f>
        <v/>
      </c>
      <c r="J706" s="508" t="str">
        <f>IFERROR(__xludf.DUMMYFUNCTION("""COMPUTED_VALUE"""),"")</f>
        <v/>
      </c>
      <c r="K706" s="510" t="str">
        <f>IFERROR(__xludf.DUMMYFUNCTION("""COMPUTED_VALUE"""),"")</f>
        <v/>
      </c>
      <c r="L706" s="508" t="str">
        <f>IFERROR(__xludf.DUMMYFUNCTION("""COMPUTED_VALUE"""),"")</f>
        <v/>
      </c>
      <c r="M706" s="508" t="str">
        <f>IFERROR(__xludf.DUMMYFUNCTION("""COMPUTED_VALUE"""),"")</f>
        <v/>
      </c>
      <c r="N706" s="508" t="str">
        <f>IFERROR(__xludf.DUMMYFUNCTION("""COMPUTED_VALUE"""),"")</f>
        <v/>
      </c>
      <c r="O706" s="508" t="str">
        <f>IFERROR(__xludf.DUMMYFUNCTION("""COMPUTED_VALUE"""),"")</f>
        <v/>
      </c>
      <c r="P706" s="510" t="str">
        <f>IFERROR(__xludf.DUMMYFUNCTION("""COMPUTED_VALUE"""),"")</f>
        <v/>
      </c>
      <c r="Q706" s="508" t="str">
        <f>IFERROR(__xludf.DUMMYFUNCTION("""COMPUTED_VALUE"""),"")</f>
        <v/>
      </c>
      <c r="R706" s="508" t="str">
        <f>IFERROR(__xludf.DUMMYFUNCTION("""COMPUTED_VALUE"""),"")</f>
        <v/>
      </c>
      <c r="S706" s="510" t="str">
        <f>IFERROR(__xludf.DUMMYFUNCTION("""COMPUTED_VALUE"""),"")</f>
        <v/>
      </c>
      <c r="T706" s="510" t="str">
        <f>IFERROR(__xludf.DUMMYFUNCTION("""COMPUTED_VALUE"""),"")</f>
        <v/>
      </c>
    </row>
    <row r="707">
      <c r="A707" s="508" t="str">
        <f>IFERROR(__xludf.DUMMYFUNCTION("""COMPUTED_VALUE"""),"")</f>
        <v/>
      </c>
      <c r="B707" s="508" t="str">
        <f>IFERROR(__xludf.DUMMYFUNCTION("""COMPUTED_VALUE"""),"")</f>
        <v/>
      </c>
      <c r="C707" s="508" t="str">
        <f>IFERROR(__xludf.DUMMYFUNCTION("""COMPUTED_VALUE"""),"")</f>
        <v/>
      </c>
      <c r="D707" s="508" t="str">
        <f>IFERROR(__xludf.DUMMYFUNCTION("""COMPUTED_VALUE"""),"")</f>
        <v/>
      </c>
      <c r="E707" s="508" t="str">
        <f>IFERROR(__xludf.DUMMYFUNCTION("""COMPUTED_VALUE"""),"")</f>
        <v/>
      </c>
      <c r="F707" s="508" t="str">
        <f>IFERROR(__xludf.DUMMYFUNCTION("""COMPUTED_VALUE"""),"")</f>
        <v/>
      </c>
      <c r="G707" s="510" t="str">
        <f>IFERROR(__xludf.DUMMYFUNCTION("""COMPUTED_VALUE"""),"")</f>
        <v/>
      </c>
      <c r="H707" s="508" t="str">
        <f>IFERROR(__xludf.DUMMYFUNCTION("""COMPUTED_VALUE"""),"")</f>
        <v/>
      </c>
      <c r="I707" s="510" t="str">
        <f>IFERROR(__xludf.DUMMYFUNCTION("""COMPUTED_VALUE"""),"")</f>
        <v/>
      </c>
      <c r="J707" s="508" t="str">
        <f>IFERROR(__xludf.DUMMYFUNCTION("""COMPUTED_VALUE"""),"")</f>
        <v/>
      </c>
      <c r="K707" s="510" t="str">
        <f>IFERROR(__xludf.DUMMYFUNCTION("""COMPUTED_VALUE"""),"")</f>
        <v/>
      </c>
      <c r="L707" s="508" t="str">
        <f>IFERROR(__xludf.DUMMYFUNCTION("""COMPUTED_VALUE"""),"")</f>
        <v/>
      </c>
      <c r="M707" s="508" t="str">
        <f>IFERROR(__xludf.DUMMYFUNCTION("""COMPUTED_VALUE"""),"")</f>
        <v/>
      </c>
      <c r="N707" s="508" t="str">
        <f>IFERROR(__xludf.DUMMYFUNCTION("""COMPUTED_VALUE"""),"")</f>
        <v/>
      </c>
      <c r="O707" s="508" t="str">
        <f>IFERROR(__xludf.DUMMYFUNCTION("""COMPUTED_VALUE"""),"")</f>
        <v/>
      </c>
      <c r="P707" s="510" t="str">
        <f>IFERROR(__xludf.DUMMYFUNCTION("""COMPUTED_VALUE"""),"")</f>
        <v/>
      </c>
      <c r="Q707" s="508" t="str">
        <f>IFERROR(__xludf.DUMMYFUNCTION("""COMPUTED_VALUE"""),"")</f>
        <v/>
      </c>
      <c r="R707" s="508" t="str">
        <f>IFERROR(__xludf.DUMMYFUNCTION("""COMPUTED_VALUE"""),"")</f>
        <v/>
      </c>
      <c r="S707" s="510" t="str">
        <f>IFERROR(__xludf.DUMMYFUNCTION("""COMPUTED_VALUE"""),"")</f>
        <v/>
      </c>
      <c r="T707" s="510" t="str">
        <f>IFERROR(__xludf.DUMMYFUNCTION("""COMPUTED_VALUE"""),"")</f>
        <v/>
      </c>
    </row>
    <row r="708">
      <c r="A708" s="508" t="str">
        <f>IFERROR(__xludf.DUMMYFUNCTION("""COMPUTED_VALUE"""),"")</f>
        <v/>
      </c>
      <c r="B708" s="508" t="str">
        <f>IFERROR(__xludf.DUMMYFUNCTION("""COMPUTED_VALUE"""),"")</f>
        <v/>
      </c>
      <c r="C708" s="508" t="str">
        <f>IFERROR(__xludf.DUMMYFUNCTION("""COMPUTED_VALUE"""),"")</f>
        <v/>
      </c>
      <c r="D708" s="508" t="str">
        <f>IFERROR(__xludf.DUMMYFUNCTION("""COMPUTED_VALUE"""),"")</f>
        <v/>
      </c>
      <c r="E708" s="508" t="str">
        <f>IFERROR(__xludf.DUMMYFUNCTION("""COMPUTED_VALUE"""),"")</f>
        <v/>
      </c>
      <c r="F708" s="508" t="str">
        <f>IFERROR(__xludf.DUMMYFUNCTION("""COMPUTED_VALUE"""),"")</f>
        <v/>
      </c>
      <c r="G708" s="510" t="str">
        <f>IFERROR(__xludf.DUMMYFUNCTION("""COMPUTED_VALUE"""),"")</f>
        <v/>
      </c>
      <c r="H708" s="508" t="str">
        <f>IFERROR(__xludf.DUMMYFUNCTION("""COMPUTED_VALUE"""),"")</f>
        <v/>
      </c>
      <c r="I708" s="510" t="str">
        <f>IFERROR(__xludf.DUMMYFUNCTION("""COMPUTED_VALUE"""),"")</f>
        <v/>
      </c>
      <c r="J708" s="508" t="str">
        <f>IFERROR(__xludf.DUMMYFUNCTION("""COMPUTED_VALUE"""),"")</f>
        <v/>
      </c>
      <c r="K708" s="510" t="str">
        <f>IFERROR(__xludf.DUMMYFUNCTION("""COMPUTED_VALUE"""),"")</f>
        <v/>
      </c>
      <c r="L708" s="508" t="str">
        <f>IFERROR(__xludf.DUMMYFUNCTION("""COMPUTED_VALUE"""),"")</f>
        <v/>
      </c>
      <c r="M708" s="508" t="str">
        <f>IFERROR(__xludf.DUMMYFUNCTION("""COMPUTED_VALUE"""),"")</f>
        <v/>
      </c>
      <c r="N708" s="508" t="str">
        <f>IFERROR(__xludf.DUMMYFUNCTION("""COMPUTED_VALUE"""),"")</f>
        <v/>
      </c>
      <c r="O708" s="508" t="str">
        <f>IFERROR(__xludf.DUMMYFUNCTION("""COMPUTED_VALUE"""),"")</f>
        <v/>
      </c>
      <c r="P708" s="510" t="str">
        <f>IFERROR(__xludf.DUMMYFUNCTION("""COMPUTED_VALUE"""),"")</f>
        <v/>
      </c>
      <c r="Q708" s="508" t="str">
        <f>IFERROR(__xludf.DUMMYFUNCTION("""COMPUTED_VALUE"""),"")</f>
        <v/>
      </c>
      <c r="R708" s="508" t="str">
        <f>IFERROR(__xludf.DUMMYFUNCTION("""COMPUTED_VALUE"""),"")</f>
        <v/>
      </c>
      <c r="S708" s="510" t="str">
        <f>IFERROR(__xludf.DUMMYFUNCTION("""COMPUTED_VALUE"""),"")</f>
        <v/>
      </c>
      <c r="T708" s="510" t="str">
        <f>IFERROR(__xludf.DUMMYFUNCTION("""COMPUTED_VALUE"""),"")</f>
        <v/>
      </c>
    </row>
    <row r="709">
      <c r="A709" s="508" t="str">
        <f>IFERROR(__xludf.DUMMYFUNCTION("""COMPUTED_VALUE"""),"")</f>
        <v/>
      </c>
      <c r="B709" s="508" t="str">
        <f>IFERROR(__xludf.DUMMYFUNCTION("""COMPUTED_VALUE"""),"")</f>
        <v/>
      </c>
      <c r="C709" s="508" t="str">
        <f>IFERROR(__xludf.DUMMYFUNCTION("""COMPUTED_VALUE"""),"")</f>
        <v/>
      </c>
      <c r="D709" s="508" t="str">
        <f>IFERROR(__xludf.DUMMYFUNCTION("""COMPUTED_VALUE"""),"")</f>
        <v/>
      </c>
      <c r="E709" s="508" t="str">
        <f>IFERROR(__xludf.DUMMYFUNCTION("""COMPUTED_VALUE"""),"")</f>
        <v/>
      </c>
      <c r="F709" s="508" t="str">
        <f>IFERROR(__xludf.DUMMYFUNCTION("""COMPUTED_VALUE"""),"")</f>
        <v/>
      </c>
      <c r="G709" s="510" t="str">
        <f>IFERROR(__xludf.DUMMYFUNCTION("""COMPUTED_VALUE"""),"")</f>
        <v/>
      </c>
      <c r="H709" s="508" t="str">
        <f>IFERROR(__xludf.DUMMYFUNCTION("""COMPUTED_VALUE"""),"")</f>
        <v/>
      </c>
      <c r="I709" s="510" t="str">
        <f>IFERROR(__xludf.DUMMYFUNCTION("""COMPUTED_VALUE"""),"")</f>
        <v/>
      </c>
      <c r="J709" s="508" t="str">
        <f>IFERROR(__xludf.DUMMYFUNCTION("""COMPUTED_VALUE"""),"")</f>
        <v/>
      </c>
      <c r="K709" s="510" t="str">
        <f>IFERROR(__xludf.DUMMYFUNCTION("""COMPUTED_VALUE"""),"")</f>
        <v/>
      </c>
      <c r="L709" s="508" t="str">
        <f>IFERROR(__xludf.DUMMYFUNCTION("""COMPUTED_VALUE"""),"")</f>
        <v/>
      </c>
      <c r="M709" s="508" t="str">
        <f>IFERROR(__xludf.DUMMYFUNCTION("""COMPUTED_VALUE"""),"")</f>
        <v/>
      </c>
      <c r="N709" s="508" t="str">
        <f>IFERROR(__xludf.DUMMYFUNCTION("""COMPUTED_VALUE"""),"")</f>
        <v/>
      </c>
      <c r="O709" s="508" t="str">
        <f>IFERROR(__xludf.DUMMYFUNCTION("""COMPUTED_VALUE"""),"")</f>
        <v/>
      </c>
      <c r="P709" s="510" t="str">
        <f>IFERROR(__xludf.DUMMYFUNCTION("""COMPUTED_VALUE"""),"")</f>
        <v/>
      </c>
      <c r="Q709" s="508" t="str">
        <f>IFERROR(__xludf.DUMMYFUNCTION("""COMPUTED_VALUE"""),"")</f>
        <v/>
      </c>
      <c r="R709" s="508" t="str">
        <f>IFERROR(__xludf.DUMMYFUNCTION("""COMPUTED_VALUE"""),"")</f>
        <v/>
      </c>
      <c r="S709" s="510" t="str">
        <f>IFERROR(__xludf.DUMMYFUNCTION("""COMPUTED_VALUE"""),"")</f>
        <v/>
      </c>
      <c r="T709" s="510" t="str">
        <f>IFERROR(__xludf.DUMMYFUNCTION("""COMPUTED_VALUE"""),"")</f>
        <v/>
      </c>
    </row>
    <row r="710">
      <c r="A710" s="508" t="str">
        <f>IFERROR(__xludf.DUMMYFUNCTION("""COMPUTED_VALUE"""),"")</f>
        <v/>
      </c>
      <c r="B710" s="508" t="str">
        <f>IFERROR(__xludf.DUMMYFUNCTION("""COMPUTED_VALUE"""),"")</f>
        <v/>
      </c>
      <c r="C710" s="508" t="str">
        <f>IFERROR(__xludf.DUMMYFUNCTION("""COMPUTED_VALUE"""),"")</f>
        <v/>
      </c>
      <c r="D710" s="508" t="str">
        <f>IFERROR(__xludf.DUMMYFUNCTION("""COMPUTED_VALUE"""),"")</f>
        <v/>
      </c>
      <c r="E710" s="508" t="str">
        <f>IFERROR(__xludf.DUMMYFUNCTION("""COMPUTED_VALUE"""),"")</f>
        <v/>
      </c>
      <c r="F710" s="508" t="str">
        <f>IFERROR(__xludf.DUMMYFUNCTION("""COMPUTED_VALUE"""),"")</f>
        <v/>
      </c>
      <c r="G710" s="510" t="str">
        <f>IFERROR(__xludf.DUMMYFUNCTION("""COMPUTED_VALUE"""),"")</f>
        <v/>
      </c>
      <c r="H710" s="508" t="str">
        <f>IFERROR(__xludf.DUMMYFUNCTION("""COMPUTED_VALUE"""),"")</f>
        <v/>
      </c>
      <c r="I710" s="510" t="str">
        <f>IFERROR(__xludf.DUMMYFUNCTION("""COMPUTED_VALUE"""),"")</f>
        <v/>
      </c>
      <c r="J710" s="508" t="str">
        <f>IFERROR(__xludf.DUMMYFUNCTION("""COMPUTED_VALUE"""),"")</f>
        <v/>
      </c>
      <c r="K710" s="510" t="str">
        <f>IFERROR(__xludf.DUMMYFUNCTION("""COMPUTED_VALUE"""),"")</f>
        <v/>
      </c>
      <c r="L710" s="508" t="str">
        <f>IFERROR(__xludf.DUMMYFUNCTION("""COMPUTED_VALUE"""),"")</f>
        <v/>
      </c>
      <c r="M710" s="508" t="str">
        <f>IFERROR(__xludf.DUMMYFUNCTION("""COMPUTED_VALUE"""),"")</f>
        <v/>
      </c>
      <c r="N710" s="508" t="str">
        <f>IFERROR(__xludf.DUMMYFUNCTION("""COMPUTED_VALUE"""),"")</f>
        <v/>
      </c>
      <c r="O710" s="508" t="str">
        <f>IFERROR(__xludf.DUMMYFUNCTION("""COMPUTED_VALUE"""),"")</f>
        <v/>
      </c>
      <c r="P710" s="510" t="str">
        <f>IFERROR(__xludf.DUMMYFUNCTION("""COMPUTED_VALUE"""),"")</f>
        <v/>
      </c>
      <c r="Q710" s="508" t="str">
        <f>IFERROR(__xludf.DUMMYFUNCTION("""COMPUTED_VALUE"""),"")</f>
        <v/>
      </c>
      <c r="R710" s="508" t="str">
        <f>IFERROR(__xludf.DUMMYFUNCTION("""COMPUTED_VALUE"""),"")</f>
        <v/>
      </c>
      <c r="S710" s="510" t="str">
        <f>IFERROR(__xludf.DUMMYFUNCTION("""COMPUTED_VALUE"""),"")</f>
        <v/>
      </c>
      <c r="T710" s="510" t="str">
        <f>IFERROR(__xludf.DUMMYFUNCTION("""COMPUTED_VALUE"""),"")</f>
        <v/>
      </c>
    </row>
    <row r="711">
      <c r="A711" s="508" t="str">
        <f>IFERROR(__xludf.DUMMYFUNCTION("""COMPUTED_VALUE"""),"")</f>
        <v/>
      </c>
      <c r="B711" s="508" t="str">
        <f>IFERROR(__xludf.DUMMYFUNCTION("""COMPUTED_VALUE"""),"")</f>
        <v/>
      </c>
      <c r="C711" s="508" t="str">
        <f>IFERROR(__xludf.DUMMYFUNCTION("""COMPUTED_VALUE"""),"")</f>
        <v/>
      </c>
      <c r="D711" s="508" t="str">
        <f>IFERROR(__xludf.DUMMYFUNCTION("""COMPUTED_VALUE"""),"")</f>
        <v/>
      </c>
      <c r="E711" s="508" t="str">
        <f>IFERROR(__xludf.DUMMYFUNCTION("""COMPUTED_VALUE"""),"")</f>
        <v/>
      </c>
      <c r="F711" s="508" t="str">
        <f>IFERROR(__xludf.DUMMYFUNCTION("""COMPUTED_VALUE"""),"")</f>
        <v/>
      </c>
      <c r="G711" s="510" t="str">
        <f>IFERROR(__xludf.DUMMYFUNCTION("""COMPUTED_VALUE"""),"")</f>
        <v/>
      </c>
      <c r="H711" s="508" t="str">
        <f>IFERROR(__xludf.DUMMYFUNCTION("""COMPUTED_VALUE"""),"")</f>
        <v/>
      </c>
      <c r="I711" s="510" t="str">
        <f>IFERROR(__xludf.DUMMYFUNCTION("""COMPUTED_VALUE"""),"")</f>
        <v/>
      </c>
      <c r="J711" s="508" t="str">
        <f>IFERROR(__xludf.DUMMYFUNCTION("""COMPUTED_VALUE"""),"")</f>
        <v/>
      </c>
      <c r="K711" s="510" t="str">
        <f>IFERROR(__xludf.DUMMYFUNCTION("""COMPUTED_VALUE"""),"")</f>
        <v/>
      </c>
      <c r="L711" s="508" t="str">
        <f>IFERROR(__xludf.DUMMYFUNCTION("""COMPUTED_VALUE"""),"")</f>
        <v/>
      </c>
      <c r="M711" s="508" t="str">
        <f>IFERROR(__xludf.DUMMYFUNCTION("""COMPUTED_VALUE"""),"")</f>
        <v/>
      </c>
      <c r="N711" s="508" t="str">
        <f>IFERROR(__xludf.DUMMYFUNCTION("""COMPUTED_VALUE"""),"")</f>
        <v/>
      </c>
      <c r="O711" s="508" t="str">
        <f>IFERROR(__xludf.DUMMYFUNCTION("""COMPUTED_VALUE"""),"")</f>
        <v/>
      </c>
      <c r="P711" s="510" t="str">
        <f>IFERROR(__xludf.DUMMYFUNCTION("""COMPUTED_VALUE"""),"")</f>
        <v/>
      </c>
      <c r="Q711" s="508" t="str">
        <f>IFERROR(__xludf.DUMMYFUNCTION("""COMPUTED_VALUE"""),"")</f>
        <v/>
      </c>
      <c r="R711" s="508" t="str">
        <f>IFERROR(__xludf.DUMMYFUNCTION("""COMPUTED_VALUE"""),"")</f>
        <v/>
      </c>
      <c r="S711" s="510" t="str">
        <f>IFERROR(__xludf.DUMMYFUNCTION("""COMPUTED_VALUE"""),"")</f>
        <v/>
      </c>
      <c r="T711" s="510" t="str">
        <f>IFERROR(__xludf.DUMMYFUNCTION("""COMPUTED_VALUE"""),"")</f>
        <v/>
      </c>
    </row>
    <row r="712">
      <c r="A712" s="508" t="str">
        <f>IFERROR(__xludf.DUMMYFUNCTION("""COMPUTED_VALUE"""),"")</f>
        <v/>
      </c>
      <c r="B712" s="508" t="str">
        <f>IFERROR(__xludf.DUMMYFUNCTION("""COMPUTED_VALUE"""),"")</f>
        <v/>
      </c>
      <c r="C712" s="508" t="str">
        <f>IFERROR(__xludf.DUMMYFUNCTION("""COMPUTED_VALUE"""),"")</f>
        <v/>
      </c>
      <c r="D712" s="508" t="str">
        <f>IFERROR(__xludf.DUMMYFUNCTION("""COMPUTED_VALUE"""),"")</f>
        <v/>
      </c>
      <c r="E712" s="508" t="str">
        <f>IFERROR(__xludf.DUMMYFUNCTION("""COMPUTED_VALUE"""),"")</f>
        <v/>
      </c>
      <c r="F712" s="508" t="str">
        <f>IFERROR(__xludf.DUMMYFUNCTION("""COMPUTED_VALUE"""),"")</f>
        <v/>
      </c>
      <c r="G712" s="510" t="str">
        <f>IFERROR(__xludf.DUMMYFUNCTION("""COMPUTED_VALUE"""),"")</f>
        <v/>
      </c>
      <c r="H712" s="508" t="str">
        <f>IFERROR(__xludf.DUMMYFUNCTION("""COMPUTED_VALUE"""),"")</f>
        <v/>
      </c>
      <c r="I712" s="510" t="str">
        <f>IFERROR(__xludf.DUMMYFUNCTION("""COMPUTED_VALUE"""),"")</f>
        <v/>
      </c>
      <c r="J712" s="508" t="str">
        <f>IFERROR(__xludf.DUMMYFUNCTION("""COMPUTED_VALUE"""),"")</f>
        <v/>
      </c>
      <c r="K712" s="510" t="str">
        <f>IFERROR(__xludf.DUMMYFUNCTION("""COMPUTED_VALUE"""),"")</f>
        <v/>
      </c>
      <c r="L712" s="508" t="str">
        <f>IFERROR(__xludf.DUMMYFUNCTION("""COMPUTED_VALUE"""),"")</f>
        <v/>
      </c>
      <c r="M712" s="508" t="str">
        <f>IFERROR(__xludf.DUMMYFUNCTION("""COMPUTED_VALUE"""),"")</f>
        <v/>
      </c>
      <c r="N712" s="508" t="str">
        <f>IFERROR(__xludf.DUMMYFUNCTION("""COMPUTED_VALUE"""),"")</f>
        <v/>
      </c>
      <c r="O712" s="508" t="str">
        <f>IFERROR(__xludf.DUMMYFUNCTION("""COMPUTED_VALUE"""),"")</f>
        <v/>
      </c>
      <c r="P712" s="510" t="str">
        <f>IFERROR(__xludf.DUMMYFUNCTION("""COMPUTED_VALUE"""),"")</f>
        <v/>
      </c>
      <c r="Q712" s="508" t="str">
        <f>IFERROR(__xludf.DUMMYFUNCTION("""COMPUTED_VALUE"""),"")</f>
        <v/>
      </c>
      <c r="R712" s="508" t="str">
        <f>IFERROR(__xludf.DUMMYFUNCTION("""COMPUTED_VALUE"""),"")</f>
        <v/>
      </c>
      <c r="S712" s="510" t="str">
        <f>IFERROR(__xludf.DUMMYFUNCTION("""COMPUTED_VALUE"""),"")</f>
        <v/>
      </c>
      <c r="T712" s="510" t="str">
        <f>IFERROR(__xludf.DUMMYFUNCTION("""COMPUTED_VALUE"""),"")</f>
        <v/>
      </c>
    </row>
    <row r="713">
      <c r="A713" s="508" t="str">
        <f>IFERROR(__xludf.DUMMYFUNCTION("""COMPUTED_VALUE"""),"")</f>
        <v/>
      </c>
      <c r="B713" s="508" t="str">
        <f>IFERROR(__xludf.DUMMYFUNCTION("""COMPUTED_VALUE"""),"")</f>
        <v/>
      </c>
      <c r="C713" s="508" t="str">
        <f>IFERROR(__xludf.DUMMYFUNCTION("""COMPUTED_VALUE"""),"")</f>
        <v/>
      </c>
      <c r="D713" s="508" t="str">
        <f>IFERROR(__xludf.DUMMYFUNCTION("""COMPUTED_VALUE"""),"")</f>
        <v/>
      </c>
      <c r="E713" s="508" t="str">
        <f>IFERROR(__xludf.DUMMYFUNCTION("""COMPUTED_VALUE"""),"")</f>
        <v/>
      </c>
      <c r="F713" s="508" t="str">
        <f>IFERROR(__xludf.DUMMYFUNCTION("""COMPUTED_VALUE"""),"")</f>
        <v/>
      </c>
      <c r="G713" s="510" t="str">
        <f>IFERROR(__xludf.DUMMYFUNCTION("""COMPUTED_VALUE"""),"")</f>
        <v/>
      </c>
      <c r="H713" s="508" t="str">
        <f>IFERROR(__xludf.DUMMYFUNCTION("""COMPUTED_VALUE"""),"")</f>
        <v/>
      </c>
      <c r="I713" s="510" t="str">
        <f>IFERROR(__xludf.DUMMYFUNCTION("""COMPUTED_VALUE"""),"")</f>
        <v/>
      </c>
      <c r="J713" s="508" t="str">
        <f>IFERROR(__xludf.DUMMYFUNCTION("""COMPUTED_VALUE"""),"")</f>
        <v/>
      </c>
      <c r="K713" s="510" t="str">
        <f>IFERROR(__xludf.DUMMYFUNCTION("""COMPUTED_VALUE"""),"")</f>
        <v/>
      </c>
      <c r="L713" s="508" t="str">
        <f>IFERROR(__xludf.DUMMYFUNCTION("""COMPUTED_VALUE"""),"")</f>
        <v/>
      </c>
      <c r="M713" s="508" t="str">
        <f>IFERROR(__xludf.DUMMYFUNCTION("""COMPUTED_VALUE"""),"")</f>
        <v/>
      </c>
      <c r="N713" s="508" t="str">
        <f>IFERROR(__xludf.DUMMYFUNCTION("""COMPUTED_VALUE"""),"")</f>
        <v/>
      </c>
      <c r="O713" s="508" t="str">
        <f>IFERROR(__xludf.DUMMYFUNCTION("""COMPUTED_VALUE"""),"")</f>
        <v/>
      </c>
      <c r="P713" s="510" t="str">
        <f>IFERROR(__xludf.DUMMYFUNCTION("""COMPUTED_VALUE"""),"")</f>
        <v/>
      </c>
      <c r="Q713" s="508" t="str">
        <f>IFERROR(__xludf.DUMMYFUNCTION("""COMPUTED_VALUE"""),"")</f>
        <v/>
      </c>
      <c r="R713" s="508" t="str">
        <f>IFERROR(__xludf.DUMMYFUNCTION("""COMPUTED_VALUE"""),"")</f>
        <v/>
      </c>
      <c r="S713" s="510" t="str">
        <f>IFERROR(__xludf.DUMMYFUNCTION("""COMPUTED_VALUE"""),"")</f>
        <v/>
      </c>
      <c r="T713" s="510" t="str">
        <f>IFERROR(__xludf.DUMMYFUNCTION("""COMPUTED_VALUE"""),"")</f>
        <v/>
      </c>
    </row>
    <row r="714">
      <c r="A714" s="508" t="str">
        <f>IFERROR(__xludf.DUMMYFUNCTION("""COMPUTED_VALUE"""),"")</f>
        <v/>
      </c>
      <c r="B714" s="508" t="str">
        <f>IFERROR(__xludf.DUMMYFUNCTION("""COMPUTED_VALUE"""),"")</f>
        <v/>
      </c>
      <c r="C714" s="508" t="str">
        <f>IFERROR(__xludf.DUMMYFUNCTION("""COMPUTED_VALUE"""),"")</f>
        <v/>
      </c>
      <c r="D714" s="508" t="str">
        <f>IFERROR(__xludf.DUMMYFUNCTION("""COMPUTED_VALUE"""),"")</f>
        <v/>
      </c>
      <c r="E714" s="508" t="str">
        <f>IFERROR(__xludf.DUMMYFUNCTION("""COMPUTED_VALUE"""),"")</f>
        <v/>
      </c>
      <c r="F714" s="508" t="str">
        <f>IFERROR(__xludf.DUMMYFUNCTION("""COMPUTED_VALUE"""),"")</f>
        <v/>
      </c>
      <c r="G714" s="510" t="str">
        <f>IFERROR(__xludf.DUMMYFUNCTION("""COMPUTED_VALUE"""),"")</f>
        <v/>
      </c>
      <c r="H714" s="508" t="str">
        <f>IFERROR(__xludf.DUMMYFUNCTION("""COMPUTED_VALUE"""),"")</f>
        <v/>
      </c>
      <c r="I714" s="510" t="str">
        <f>IFERROR(__xludf.DUMMYFUNCTION("""COMPUTED_VALUE"""),"")</f>
        <v/>
      </c>
      <c r="J714" s="508" t="str">
        <f>IFERROR(__xludf.DUMMYFUNCTION("""COMPUTED_VALUE"""),"")</f>
        <v/>
      </c>
      <c r="K714" s="510" t="str">
        <f>IFERROR(__xludf.DUMMYFUNCTION("""COMPUTED_VALUE"""),"")</f>
        <v/>
      </c>
      <c r="L714" s="508" t="str">
        <f>IFERROR(__xludf.DUMMYFUNCTION("""COMPUTED_VALUE"""),"")</f>
        <v/>
      </c>
      <c r="M714" s="508" t="str">
        <f>IFERROR(__xludf.DUMMYFUNCTION("""COMPUTED_VALUE"""),"")</f>
        <v/>
      </c>
      <c r="N714" s="508" t="str">
        <f>IFERROR(__xludf.DUMMYFUNCTION("""COMPUTED_VALUE"""),"")</f>
        <v/>
      </c>
      <c r="O714" s="508" t="str">
        <f>IFERROR(__xludf.DUMMYFUNCTION("""COMPUTED_VALUE"""),"")</f>
        <v/>
      </c>
      <c r="P714" s="510" t="str">
        <f>IFERROR(__xludf.DUMMYFUNCTION("""COMPUTED_VALUE"""),"")</f>
        <v/>
      </c>
      <c r="Q714" s="508" t="str">
        <f>IFERROR(__xludf.DUMMYFUNCTION("""COMPUTED_VALUE"""),"")</f>
        <v/>
      </c>
      <c r="R714" s="508" t="str">
        <f>IFERROR(__xludf.DUMMYFUNCTION("""COMPUTED_VALUE"""),"")</f>
        <v/>
      </c>
      <c r="S714" s="510" t="str">
        <f>IFERROR(__xludf.DUMMYFUNCTION("""COMPUTED_VALUE"""),"")</f>
        <v/>
      </c>
      <c r="T714" s="510" t="str">
        <f>IFERROR(__xludf.DUMMYFUNCTION("""COMPUTED_VALUE"""),"")</f>
        <v/>
      </c>
    </row>
    <row r="715">
      <c r="A715" s="508" t="str">
        <f>IFERROR(__xludf.DUMMYFUNCTION("""COMPUTED_VALUE"""),"")</f>
        <v/>
      </c>
      <c r="B715" s="508" t="str">
        <f>IFERROR(__xludf.DUMMYFUNCTION("""COMPUTED_VALUE"""),"")</f>
        <v/>
      </c>
      <c r="C715" s="508" t="str">
        <f>IFERROR(__xludf.DUMMYFUNCTION("""COMPUTED_VALUE"""),"")</f>
        <v/>
      </c>
      <c r="D715" s="508" t="str">
        <f>IFERROR(__xludf.DUMMYFUNCTION("""COMPUTED_VALUE"""),"")</f>
        <v/>
      </c>
      <c r="E715" s="508" t="str">
        <f>IFERROR(__xludf.DUMMYFUNCTION("""COMPUTED_VALUE"""),"")</f>
        <v/>
      </c>
      <c r="F715" s="508" t="str">
        <f>IFERROR(__xludf.DUMMYFUNCTION("""COMPUTED_VALUE"""),"")</f>
        <v/>
      </c>
      <c r="G715" s="510" t="str">
        <f>IFERROR(__xludf.DUMMYFUNCTION("""COMPUTED_VALUE"""),"")</f>
        <v/>
      </c>
      <c r="H715" s="508" t="str">
        <f>IFERROR(__xludf.DUMMYFUNCTION("""COMPUTED_VALUE"""),"")</f>
        <v/>
      </c>
      <c r="I715" s="510" t="str">
        <f>IFERROR(__xludf.DUMMYFUNCTION("""COMPUTED_VALUE"""),"")</f>
        <v/>
      </c>
      <c r="J715" s="508" t="str">
        <f>IFERROR(__xludf.DUMMYFUNCTION("""COMPUTED_VALUE"""),"")</f>
        <v/>
      </c>
      <c r="K715" s="510" t="str">
        <f>IFERROR(__xludf.DUMMYFUNCTION("""COMPUTED_VALUE"""),"")</f>
        <v/>
      </c>
      <c r="L715" s="508" t="str">
        <f>IFERROR(__xludf.DUMMYFUNCTION("""COMPUTED_VALUE"""),"")</f>
        <v/>
      </c>
      <c r="M715" s="508" t="str">
        <f>IFERROR(__xludf.DUMMYFUNCTION("""COMPUTED_VALUE"""),"")</f>
        <v/>
      </c>
      <c r="N715" s="508" t="str">
        <f>IFERROR(__xludf.DUMMYFUNCTION("""COMPUTED_VALUE"""),"")</f>
        <v/>
      </c>
      <c r="O715" s="508" t="str">
        <f>IFERROR(__xludf.DUMMYFUNCTION("""COMPUTED_VALUE"""),"")</f>
        <v/>
      </c>
      <c r="P715" s="510" t="str">
        <f>IFERROR(__xludf.DUMMYFUNCTION("""COMPUTED_VALUE"""),"")</f>
        <v/>
      </c>
      <c r="Q715" s="508" t="str">
        <f>IFERROR(__xludf.DUMMYFUNCTION("""COMPUTED_VALUE"""),"")</f>
        <v/>
      </c>
      <c r="R715" s="508" t="str">
        <f>IFERROR(__xludf.DUMMYFUNCTION("""COMPUTED_VALUE"""),"")</f>
        <v/>
      </c>
      <c r="S715" s="510" t="str">
        <f>IFERROR(__xludf.DUMMYFUNCTION("""COMPUTED_VALUE"""),"")</f>
        <v/>
      </c>
      <c r="T715" s="510" t="str">
        <f>IFERROR(__xludf.DUMMYFUNCTION("""COMPUTED_VALUE"""),"")</f>
        <v/>
      </c>
    </row>
    <row r="716">
      <c r="A716" s="508" t="str">
        <f>IFERROR(__xludf.DUMMYFUNCTION("""COMPUTED_VALUE"""),"")</f>
        <v/>
      </c>
      <c r="B716" s="508" t="str">
        <f>IFERROR(__xludf.DUMMYFUNCTION("""COMPUTED_VALUE"""),"")</f>
        <v/>
      </c>
      <c r="C716" s="508" t="str">
        <f>IFERROR(__xludf.DUMMYFUNCTION("""COMPUTED_VALUE"""),"")</f>
        <v/>
      </c>
      <c r="D716" s="508" t="str">
        <f>IFERROR(__xludf.DUMMYFUNCTION("""COMPUTED_VALUE"""),"")</f>
        <v/>
      </c>
      <c r="E716" s="508" t="str">
        <f>IFERROR(__xludf.DUMMYFUNCTION("""COMPUTED_VALUE"""),"")</f>
        <v/>
      </c>
      <c r="F716" s="508" t="str">
        <f>IFERROR(__xludf.DUMMYFUNCTION("""COMPUTED_VALUE"""),"")</f>
        <v/>
      </c>
      <c r="G716" s="510" t="str">
        <f>IFERROR(__xludf.DUMMYFUNCTION("""COMPUTED_VALUE"""),"")</f>
        <v/>
      </c>
      <c r="H716" s="508" t="str">
        <f>IFERROR(__xludf.DUMMYFUNCTION("""COMPUTED_VALUE"""),"")</f>
        <v/>
      </c>
      <c r="I716" s="510" t="str">
        <f>IFERROR(__xludf.DUMMYFUNCTION("""COMPUTED_VALUE"""),"")</f>
        <v/>
      </c>
      <c r="J716" s="508" t="str">
        <f>IFERROR(__xludf.DUMMYFUNCTION("""COMPUTED_VALUE"""),"")</f>
        <v/>
      </c>
      <c r="K716" s="510" t="str">
        <f>IFERROR(__xludf.DUMMYFUNCTION("""COMPUTED_VALUE"""),"")</f>
        <v/>
      </c>
      <c r="L716" s="508" t="str">
        <f>IFERROR(__xludf.DUMMYFUNCTION("""COMPUTED_VALUE"""),"")</f>
        <v/>
      </c>
      <c r="M716" s="508" t="str">
        <f>IFERROR(__xludf.DUMMYFUNCTION("""COMPUTED_VALUE"""),"")</f>
        <v/>
      </c>
      <c r="N716" s="508" t="str">
        <f>IFERROR(__xludf.DUMMYFUNCTION("""COMPUTED_VALUE"""),"")</f>
        <v/>
      </c>
      <c r="O716" s="508" t="str">
        <f>IFERROR(__xludf.DUMMYFUNCTION("""COMPUTED_VALUE"""),"")</f>
        <v/>
      </c>
      <c r="P716" s="510" t="str">
        <f>IFERROR(__xludf.DUMMYFUNCTION("""COMPUTED_VALUE"""),"")</f>
        <v/>
      </c>
      <c r="Q716" s="508" t="str">
        <f>IFERROR(__xludf.DUMMYFUNCTION("""COMPUTED_VALUE"""),"")</f>
        <v/>
      </c>
      <c r="R716" s="508" t="str">
        <f>IFERROR(__xludf.DUMMYFUNCTION("""COMPUTED_VALUE"""),"")</f>
        <v/>
      </c>
      <c r="S716" s="510" t="str">
        <f>IFERROR(__xludf.DUMMYFUNCTION("""COMPUTED_VALUE"""),"")</f>
        <v/>
      </c>
      <c r="T716" s="510" t="str">
        <f>IFERROR(__xludf.DUMMYFUNCTION("""COMPUTED_VALUE"""),"")</f>
        <v/>
      </c>
    </row>
    <row r="717">
      <c r="A717" s="508" t="str">
        <f>IFERROR(__xludf.DUMMYFUNCTION("""COMPUTED_VALUE"""),"")</f>
        <v/>
      </c>
      <c r="B717" s="508" t="str">
        <f>IFERROR(__xludf.DUMMYFUNCTION("""COMPUTED_VALUE"""),"")</f>
        <v/>
      </c>
      <c r="C717" s="508" t="str">
        <f>IFERROR(__xludf.DUMMYFUNCTION("""COMPUTED_VALUE"""),"")</f>
        <v/>
      </c>
      <c r="D717" s="508" t="str">
        <f>IFERROR(__xludf.DUMMYFUNCTION("""COMPUTED_VALUE"""),"")</f>
        <v/>
      </c>
      <c r="E717" s="508" t="str">
        <f>IFERROR(__xludf.DUMMYFUNCTION("""COMPUTED_VALUE"""),"")</f>
        <v/>
      </c>
      <c r="F717" s="508" t="str">
        <f>IFERROR(__xludf.DUMMYFUNCTION("""COMPUTED_VALUE"""),"")</f>
        <v/>
      </c>
      <c r="G717" s="510" t="str">
        <f>IFERROR(__xludf.DUMMYFUNCTION("""COMPUTED_VALUE"""),"")</f>
        <v/>
      </c>
      <c r="H717" s="508" t="str">
        <f>IFERROR(__xludf.DUMMYFUNCTION("""COMPUTED_VALUE"""),"")</f>
        <v/>
      </c>
      <c r="I717" s="510" t="str">
        <f>IFERROR(__xludf.DUMMYFUNCTION("""COMPUTED_VALUE"""),"")</f>
        <v/>
      </c>
      <c r="J717" s="508" t="str">
        <f>IFERROR(__xludf.DUMMYFUNCTION("""COMPUTED_VALUE"""),"")</f>
        <v/>
      </c>
      <c r="K717" s="510" t="str">
        <f>IFERROR(__xludf.DUMMYFUNCTION("""COMPUTED_VALUE"""),"")</f>
        <v/>
      </c>
      <c r="L717" s="508" t="str">
        <f>IFERROR(__xludf.DUMMYFUNCTION("""COMPUTED_VALUE"""),"")</f>
        <v/>
      </c>
      <c r="M717" s="508" t="str">
        <f>IFERROR(__xludf.DUMMYFUNCTION("""COMPUTED_VALUE"""),"")</f>
        <v/>
      </c>
      <c r="N717" s="508" t="str">
        <f>IFERROR(__xludf.DUMMYFUNCTION("""COMPUTED_VALUE"""),"")</f>
        <v/>
      </c>
      <c r="O717" s="508" t="str">
        <f>IFERROR(__xludf.DUMMYFUNCTION("""COMPUTED_VALUE"""),"")</f>
        <v/>
      </c>
      <c r="P717" s="510" t="str">
        <f>IFERROR(__xludf.DUMMYFUNCTION("""COMPUTED_VALUE"""),"")</f>
        <v/>
      </c>
      <c r="Q717" s="508" t="str">
        <f>IFERROR(__xludf.DUMMYFUNCTION("""COMPUTED_VALUE"""),"")</f>
        <v/>
      </c>
      <c r="R717" s="508" t="str">
        <f>IFERROR(__xludf.DUMMYFUNCTION("""COMPUTED_VALUE"""),"")</f>
        <v/>
      </c>
      <c r="S717" s="510" t="str">
        <f>IFERROR(__xludf.DUMMYFUNCTION("""COMPUTED_VALUE"""),"")</f>
        <v/>
      </c>
      <c r="T717" s="510" t="str">
        <f>IFERROR(__xludf.DUMMYFUNCTION("""COMPUTED_VALUE"""),"")</f>
        <v/>
      </c>
    </row>
    <row r="718">
      <c r="A718" s="508" t="str">
        <f>IFERROR(__xludf.DUMMYFUNCTION("""COMPUTED_VALUE"""),"")</f>
        <v/>
      </c>
      <c r="B718" s="508" t="str">
        <f>IFERROR(__xludf.DUMMYFUNCTION("""COMPUTED_VALUE"""),"")</f>
        <v/>
      </c>
      <c r="C718" s="508" t="str">
        <f>IFERROR(__xludf.DUMMYFUNCTION("""COMPUTED_VALUE"""),"")</f>
        <v/>
      </c>
      <c r="D718" s="508" t="str">
        <f>IFERROR(__xludf.DUMMYFUNCTION("""COMPUTED_VALUE"""),"")</f>
        <v/>
      </c>
      <c r="E718" s="508" t="str">
        <f>IFERROR(__xludf.DUMMYFUNCTION("""COMPUTED_VALUE"""),"")</f>
        <v/>
      </c>
      <c r="F718" s="508" t="str">
        <f>IFERROR(__xludf.DUMMYFUNCTION("""COMPUTED_VALUE"""),"")</f>
        <v/>
      </c>
      <c r="G718" s="510" t="str">
        <f>IFERROR(__xludf.DUMMYFUNCTION("""COMPUTED_VALUE"""),"")</f>
        <v/>
      </c>
      <c r="H718" s="508" t="str">
        <f>IFERROR(__xludf.DUMMYFUNCTION("""COMPUTED_VALUE"""),"")</f>
        <v/>
      </c>
      <c r="I718" s="510" t="str">
        <f>IFERROR(__xludf.DUMMYFUNCTION("""COMPUTED_VALUE"""),"")</f>
        <v/>
      </c>
      <c r="J718" s="508" t="str">
        <f>IFERROR(__xludf.DUMMYFUNCTION("""COMPUTED_VALUE"""),"")</f>
        <v/>
      </c>
      <c r="K718" s="510" t="str">
        <f>IFERROR(__xludf.DUMMYFUNCTION("""COMPUTED_VALUE"""),"")</f>
        <v/>
      </c>
      <c r="L718" s="508" t="str">
        <f>IFERROR(__xludf.DUMMYFUNCTION("""COMPUTED_VALUE"""),"")</f>
        <v/>
      </c>
      <c r="M718" s="508" t="str">
        <f>IFERROR(__xludf.DUMMYFUNCTION("""COMPUTED_VALUE"""),"")</f>
        <v/>
      </c>
      <c r="N718" s="508" t="str">
        <f>IFERROR(__xludf.DUMMYFUNCTION("""COMPUTED_VALUE"""),"")</f>
        <v/>
      </c>
      <c r="O718" s="508" t="str">
        <f>IFERROR(__xludf.DUMMYFUNCTION("""COMPUTED_VALUE"""),"")</f>
        <v/>
      </c>
      <c r="P718" s="510" t="str">
        <f>IFERROR(__xludf.DUMMYFUNCTION("""COMPUTED_VALUE"""),"")</f>
        <v/>
      </c>
      <c r="Q718" s="508" t="str">
        <f>IFERROR(__xludf.DUMMYFUNCTION("""COMPUTED_VALUE"""),"")</f>
        <v/>
      </c>
      <c r="R718" s="508" t="str">
        <f>IFERROR(__xludf.DUMMYFUNCTION("""COMPUTED_VALUE"""),"")</f>
        <v/>
      </c>
      <c r="S718" s="510" t="str">
        <f>IFERROR(__xludf.DUMMYFUNCTION("""COMPUTED_VALUE"""),"")</f>
        <v/>
      </c>
      <c r="T718" s="510" t="str">
        <f>IFERROR(__xludf.DUMMYFUNCTION("""COMPUTED_VALUE"""),"")</f>
        <v/>
      </c>
    </row>
    <row r="719">
      <c r="A719" s="508" t="str">
        <f>IFERROR(__xludf.DUMMYFUNCTION("""COMPUTED_VALUE"""),"")</f>
        <v/>
      </c>
      <c r="B719" s="508" t="str">
        <f>IFERROR(__xludf.DUMMYFUNCTION("""COMPUTED_VALUE"""),"")</f>
        <v/>
      </c>
      <c r="C719" s="508" t="str">
        <f>IFERROR(__xludf.DUMMYFUNCTION("""COMPUTED_VALUE"""),"")</f>
        <v/>
      </c>
      <c r="D719" s="508" t="str">
        <f>IFERROR(__xludf.DUMMYFUNCTION("""COMPUTED_VALUE"""),"")</f>
        <v/>
      </c>
      <c r="E719" s="508" t="str">
        <f>IFERROR(__xludf.DUMMYFUNCTION("""COMPUTED_VALUE"""),"")</f>
        <v/>
      </c>
      <c r="F719" s="508" t="str">
        <f>IFERROR(__xludf.DUMMYFUNCTION("""COMPUTED_VALUE"""),"")</f>
        <v/>
      </c>
      <c r="G719" s="510" t="str">
        <f>IFERROR(__xludf.DUMMYFUNCTION("""COMPUTED_VALUE"""),"")</f>
        <v/>
      </c>
      <c r="H719" s="508" t="str">
        <f>IFERROR(__xludf.DUMMYFUNCTION("""COMPUTED_VALUE"""),"")</f>
        <v/>
      </c>
      <c r="I719" s="510" t="str">
        <f>IFERROR(__xludf.DUMMYFUNCTION("""COMPUTED_VALUE"""),"")</f>
        <v/>
      </c>
      <c r="J719" s="508" t="str">
        <f>IFERROR(__xludf.DUMMYFUNCTION("""COMPUTED_VALUE"""),"")</f>
        <v/>
      </c>
      <c r="K719" s="510" t="str">
        <f>IFERROR(__xludf.DUMMYFUNCTION("""COMPUTED_VALUE"""),"")</f>
        <v/>
      </c>
      <c r="L719" s="508" t="str">
        <f>IFERROR(__xludf.DUMMYFUNCTION("""COMPUTED_VALUE"""),"")</f>
        <v/>
      </c>
      <c r="M719" s="508" t="str">
        <f>IFERROR(__xludf.DUMMYFUNCTION("""COMPUTED_VALUE"""),"")</f>
        <v/>
      </c>
      <c r="N719" s="508" t="str">
        <f>IFERROR(__xludf.DUMMYFUNCTION("""COMPUTED_VALUE"""),"")</f>
        <v/>
      </c>
      <c r="O719" s="508" t="str">
        <f>IFERROR(__xludf.DUMMYFUNCTION("""COMPUTED_VALUE"""),"")</f>
        <v/>
      </c>
      <c r="P719" s="510" t="str">
        <f>IFERROR(__xludf.DUMMYFUNCTION("""COMPUTED_VALUE"""),"")</f>
        <v/>
      </c>
      <c r="Q719" s="508" t="str">
        <f>IFERROR(__xludf.DUMMYFUNCTION("""COMPUTED_VALUE"""),"")</f>
        <v/>
      </c>
      <c r="R719" s="508" t="str">
        <f>IFERROR(__xludf.DUMMYFUNCTION("""COMPUTED_VALUE"""),"")</f>
        <v/>
      </c>
      <c r="S719" s="510" t="str">
        <f>IFERROR(__xludf.DUMMYFUNCTION("""COMPUTED_VALUE"""),"")</f>
        <v/>
      </c>
      <c r="T719" s="510" t="str">
        <f>IFERROR(__xludf.DUMMYFUNCTION("""COMPUTED_VALUE"""),"")</f>
        <v/>
      </c>
    </row>
    <row r="720">
      <c r="A720" s="508" t="str">
        <f>IFERROR(__xludf.DUMMYFUNCTION("""COMPUTED_VALUE"""),"")</f>
        <v/>
      </c>
      <c r="B720" s="508" t="str">
        <f>IFERROR(__xludf.DUMMYFUNCTION("""COMPUTED_VALUE"""),"")</f>
        <v/>
      </c>
      <c r="C720" s="508" t="str">
        <f>IFERROR(__xludf.DUMMYFUNCTION("""COMPUTED_VALUE"""),"")</f>
        <v/>
      </c>
      <c r="D720" s="508" t="str">
        <f>IFERROR(__xludf.DUMMYFUNCTION("""COMPUTED_VALUE"""),"")</f>
        <v/>
      </c>
      <c r="E720" s="508" t="str">
        <f>IFERROR(__xludf.DUMMYFUNCTION("""COMPUTED_VALUE"""),"")</f>
        <v/>
      </c>
      <c r="F720" s="508" t="str">
        <f>IFERROR(__xludf.DUMMYFUNCTION("""COMPUTED_VALUE"""),"")</f>
        <v/>
      </c>
      <c r="G720" s="510" t="str">
        <f>IFERROR(__xludf.DUMMYFUNCTION("""COMPUTED_VALUE"""),"")</f>
        <v/>
      </c>
      <c r="H720" s="508" t="str">
        <f>IFERROR(__xludf.DUMMYFUNCTION("""COMPUTED_VALUE"""),"")</f>
        <v/>
      </c>
      <c r="I720" s="510" t="str">
        <f>IFERROR(__xludf.DUMMYFUNCTION("""COMPUTED_VALUE"""),"")</f>
        <v/>
      </c>
      <c r="J720" s="508" t="str">
        <f>IFERROR(__xludf.DUMMYFUNCTION("""COMPUTED_VALUE"""),"")</f>
        <v/>
      </c>
      <c r="K720" s="510" t="str">
        <f>IFERROR(__xludf.DUMMYFUNCTION("""COMPUTED_VALUE"""),"")</f>
        <v/>
      </c>
      <c r="L720" s="508" t="str">
        <f>IFERROR(__xludf.DUMMYFUNCTION("""COMPUTED_VALUE"""),"")</f>
        <v/>
      </c>
      <c r="M720" s="508" t="str">
        <f>IFERROR(__xludf.DUMMYFUNCTION("""COMPUTED_VALUE"""),"")</f>
        <v/>
      </c>
      <c r="N720" s="508" t="str">
        <f>IFERROR(__xludf.DUMMYFUNCTION("""COMPUTED_VALUE"""),"")</f>
        <v/>
      </c>
      <c r="O720" s="508" t="str">
        <f>IFERROR(__xludf.DUMMYFUNCTION("""COMPUTED_VALUE"""),"")</f>
        <v/>
      </c>
      <c r="P720" s="510" t="str">
        <f>IFERROR(__xludf.DUMMYFUNCTION("""COMPUTED_VALUE"""),"")</f>
        <v/>
      </c>
      <c r="Q720" s="508" t="str">
        <f>IFERROR(__xludf.DUMMYFUNCTION("""COMPUTED_VALUE"""),"")</f>
        <v/>
      </c>
      <c r="R720" s="508" t="str">
        <f>IFERROR(__xludf.DUMMYFUNCTION("""COMPUTED_VALUE"""),"")</f>
        <v/>
      </c>
      <c r="S720" s="510" t="str">
        <f>IFERROR(__xludf.DUMMYFUNCTION("""COMPUTED_VALUE"""),"")</f>
        <v/>
      </c>
      <c r="T720" s="510" t="str">
        <f>IFERROR(__xludf.DUMMYFUNCTION("""COMPUTED_VALUE"""),"")</f>
        <v/>
      </c>
    </row>
    <row r="721">
      <c r="A721" s="508" t="str">
        <f>IFERROR(__xludf.DUMMYFUNCTION("""COMPUTED_VALUE"""),"")</f>
        <v/>
      </c>
      <c r="B721" s="508" t="str">
        <f>IFERROR(__xludf.DUMMYFUNCTION("""COMPUTED_VALUE"""),"")</f>
        <v/>
      </c>
      <c r="C721" s="508" t="str">
        <f>IFERROR(__xludf.DUMMYFUNCTION("""COMPUTED_VALUE"""),"")</f>
        <v/>
      </c>
      <c r="D721" s="508" t="str">
        <f>IFERROR(__xludf.DUMMYFUNCTION("""COMPUTED_VALUE"""),"")</f>
        <v/>
      </c>
      <c r="E721" s="508" t="str">
        <f>IFERROR(__xludf.DUMMYFUNCTION("""COMPUTED_VALUE"""),"")</f>
        <v/>
      </c>
      <c r="F721" s="508" t="str">
        <f>IFERROR(__xludf.DUMMYFUNCTION("""COMPUTED_VALUE"""),"")</f>
        <v/>
      </c>
      <c r="G721" s="510" t="str">
        <f>IFERROR(__xludf.DUMMYFUNCTION("""COMPUTED_VALUE"""),"")</f>
        <v/>
      </c>
      <c r="H721" s="508" t="str">
        <f>IFERROR(__xludf.DUMMYFUNCTION("""COMPUTED_VALUE"""),"")</f>
        <v/>
      </c>
      <c r="I721" s="510" t="str">
        <f>IFERROR(__xludf.DUMMYFUNCTION("""COMPUTED_VALUE"""),"")</f>
        <v/>
      </c>
      <c r="J721" s="508" t="str">
        <f>IFERROR(__xludf.DUMMYFUNCTION("""COMPUTED_VALUE"""),"")</f>
        <v/>
      </c>
      <c r="K721" s="510" t="str">
        <f>IFERROR(__xludf.DUMMYFUNCTION("""COMPUTED_VALUE"""),"")</f>
        <v/>
      </c>
      <c r="L721" s="508" t="str">
        <f>IFERROR(__xludf.DUMMYFUNCTION("""COMPUTED_VALUE"""),"")</f>
        <v/>
      </c>
      <c r="M721" s="508" t="str">
        <f>IFERROR(__xludf.DUMMYFUNCTION("""COMPUTED_VALUE"""),"")</f>
        <v/>
      </c>
      <c r="N721" s="508" t="str">
        <f>IFERROR(__xludf.DUMMYFUNCTION("""COMPUTED_VALUE"""),"")</f>
        <v/>
      </c>
      <c r="O721" s="508" t="str">
        <f>IFERROR(__xludf.DUMMYFUNCTION("""COMPUTED_VALUE"""),"")</f>
        <v/>
      </c>
      <c r="P721" s="510" t="str">
        <f>IFERROR(__xludf.DUMMYFUNCTION("""COMPUTED_VALUE"""),"")</f>
        <v/>
      </c>
      <c r="Q721" s="508" t="str">
        <f>IFERROR(__xludf.DUMMYFUNCTION("""COMPUTED_VALUE"""),"")</f>
        <v/>
      </c>
      <c r="R721" s="508" t="str">
        <f>IFERROR(__xludf.DUMMYFUNCTION("""COMPUTED_VALUE"""),"")</f>
        <v/>
      </c>
      <c r="S721" s="510" t="str">
        <f>IFERROR(__xludf.DUMMYFUNCTION("""COMPUTED_VALUE"""),"")</f>
        <v/>
      </c>
      <c r="T721" s="510" t="str">
        <f>IFERROR(__xludf.DUMMYFUNCTION("""COMPUTED_VALUE"""),"")</f>
        <v/>
      </c>
    </row>
    <row r="722">
      <c r="A722" s="508" t="str">
        <f>IFERROR(__xludf.DUMMYFUNCTION("""COMPUTED_VALUE"""),"")</f>
        <v/>
      </c>
      <c r="B722" s="508" t="str">
        <f>IFERROR(__xludf.DUMMYFUNCTION("""COMPUTED_VALUE"""),"")</f>
        <v/>
      </c>
      <c r="C722" s="508" t="str">
        <f>IFERROR(__xludf.DUMMYFUNCTION("""COMPUTED_VALUE"""),"")</f>
        <v/>
      </c>
      <c r="D722" s="508" t="str">
        <f>IFERROR(__xludf.DUMMYFUNCTION("""COMPUTED_VALUE"""),"")</f>
        <v/>
      </c>
      <c r="E722" s="508" t="str">
        <f>IFERROR(__xludf.DUMMYFUNCTION("""COMPUTED_VALUE"""),"")</f>
        <v/>
      </c>
      <c r="F722" s="508" t="str">
        <f>IFERROR(__xludf.DUMMYFUNCTION("""COMPUTED_VALUE"""),"")</f>
        <v/>
      </c>
      <c r="G722" s="510" t="str">
        <f>IFERROR(__xludf.DUMMYFUNCTION("""COMPUTED_VALUE"""),"")</f>
        <v/>
      </c>
      <c r="H722" s="508" t="str">
        <f>IFERROR(__xludf.DUMMYFUNCTION("""COMPUTED_VALUE"""),"")</f>
        <v/>
      </c>
      <c r="I722" s="510" t="str">
        <f>IFERROR(__xludf.DUMMYFUNCTION("""COMPUTED_VALUE"""),"")</f>
        <v/>
      </c>
      <c r="J722" s="508" t="str">
        <f>IFERROR(__xludf.DUMMYFUNCTION("""COMPUTED_VALUE"""),"")</f>
        <v/>
      </c>
      <c r="K722" s="510" t="str">
        <f>IFERROR(__xludf.DUMMYFUNCTION("""COMPUTED_VALUE"""),"")</f>
        <v/>
      </c>
      <c r="L722" s="508" t="str">
        <f>IFERROR(__xludf.DUMMYFUNCTION("""COMPUTED_VALUE"""),"")</f>
        <v/>
      </c>
      <c r="M722" s="508" t="str">
        <f>IFERROR(__xludf.DUMMYFUNCTION("""COMPUTED_VALUE"""),"")</f>
        <v/>
      </c>
      <c r="N722" s="508" t="str">
        <f>IFERROR(__xludf.DUMMYFUNCTION("""COMPUTED_VALUE"""),"")</f>
        <v/>
      </c>
      <c r="O722" s="508" t="str">
        <f>IFERROR(__xludf.DUMMYFUNCTION("""COMPUTED_VALUE"""),"")</f>
        <v/>
      </c>
      <c r="P722" s="510" t="str">
        <f>IFERROR(__xludf.DUMMYFUNCTION("""COMPUTED_VALUE"""),"")</f>
        <v/>
      </c>
      <c r="Q722" s="508" t="str">
        <f>IFERROR(__xludf.DUMMYFUNCTION("""COMPUTED_VALUE"""),"")</f>
        <v/>
      </c>
      <c r="R722" s="508" t="str">
        <f>IFERROR(__xludf.DUMMYFUNCTION("""COMPUTED_VALUE"""),"")</f>
        <v/>
      </c>
      <c r="S722" s="510" t="str">
        <f>IFERROR(__xludf.DUMMYFUNCTION("""COMPUTED_VALUE"""),"")</f>
        <v/>
      </c>
      <c r="T722" s="510" t="str">
        <f>IFERROR(__xludf.DUMMYFUNCTION("""COMPUTED_VALUE"""),"")</f>
        <v/>
      </c>
    </row>
    <row r="723">
      <c r="A723" s="508" t="str">
        <f>IFERROR(__xludf.DUMMYFUNCTION("""COMPUTED_VALUE"""),"")</f>
        <v/>
      </c>
      <c r="B723" s="508" t="str">
        <f>IFERROR(__xludf.DUMMYFUNCTION("""COMPUTED_VALUE"""),"")</f>
        <v/>
      </c>
      <c r="C723" s="508" t="str">
        <f>IFERROR(__xludf.DUMMYFUNCTION("""COMPUTED_VALUE"""),"")</f>
        <v/>
      </c>
      <c r="D723" s="508" t="str">
        <f>IFERROR(__xludf.DUMMYFUNCTION("""COMPUTED_VALUE"""),"")</f>
        <v/>
      </c>
      <c r="E723" s="508" t="str">
        <f>IFERROR(__xludf.DUMMYFUNCTION("""COMPUTED_VALUE"""),"")</f>
        <v/>
      </c>
      <c r="F723" s="508" t="str">
        <f>IFERROR(__xludf.DUMMYFUNCTION("""COMPUTED_VALUE"""),"")</f>
        <v/>
      </c>
      <c r="G723" s="510" t="str">
        <f>IFERROR(__xludf.DUMMYFUNCTION("""COMPUTED_VALUE"""),"")</f>
        <v/>
      </c>
      <c r="H723" s="508" t="str">
        <f>IFERROR(__xludf.DUMMYFUNCTION("""COMPUTED_VALUE"""),"")</f>
        <v/>
      </c>
      <c r="I723" s="510" t="str">
        <f>IFERROR(__xludf.DUMMYFUNCTION("""COMPUTED_VALUE"""),"")</f>
        <v/>
      </c>
      <c r="J723" s="508" t="str">
        <f>IFERROR(__xludf.DUMMYFUNCTION("""COMPUTED_VALUE"""),"")</f>
        <v/>
      </c>
      <c r="K723" s="510" t="str">
        <f>IFERROR(__xludf.DUMMYFUNCTION("""COMPUTED_VALUE"""),"")</f>
        <v/>
      </c>
      <c r="L723" s="508" t="str">
        <f>IFERROR(__xludf.DUMMYFUNCTION("""COMPUTED_VALUE"""),"")</f>
        <v/>
      </c>
      <c r="M723" s="508" t="str">
        <f>IFERROR(__xludf.DUMMYFUNCTION("""COMPUTED_VALUE"""),"")</f>
        <v/>
      </c>
      <c r="N723" s="508" t="str">
        <f>IFERROR(__xludf.DUMMYFUNCTION("""COMPUTED_VALUE"""),"")</f>
        <v/>
      </c>
      <c r="O723" s="508" t="str">
        <f>IFERROR(__xludf.DUMMYFUNCTION("""COMPUTED_VALUE"""),"")</f>
        <v/>
      </c>
      <c r="P723" s="510" t="str">
        <f>IFERROR(__xludf.DUMMYFUNCTION("""COMPUTED_VALUE"""),"")</f>
        <v/>
      </c>
      <c r="Q723" s="508" t="str">
        <f>IFERROR(__xludf.DUMMYFUNCTION("""COMPUTED_VALUE"""),"")</f>
        <v/>
      </c>
      <c r="R723" s="508" t="str">
        <f>IFERROR(__xludf.DUMMYFUNCTION("""COMPUTED_VALUE"""),"")</f>
        <v/>
      </c>
      <c r="S723" s="510" t="str">
        <f>IFERROR(__xludf.DUMMYFUNCTION("""COMPUTED_VALUE"""),"")</f>
        <v/>
      </c>
      <c r="T723" s="510" t="str">
        <f>IFERROR(__xludf.DUMMYFUNCTION("""COMPUTED_VALUE"""),"")</f>
        <v/>
      </c>
    </row>
    <row r="724">
      <c r="A724" s="508" t="str">
        <f>IFERROR(__xludf.DUMMYFUNCTION("""COMPUTED_VALUE"""),"")</f>
        <v/>
      </c>
      <c r="B724" s="508" t="str">
        <f>IFERROR(__xludf.DUMMYFUNCTION("""COMPUTED_VALUE"""),"")</f>
        <v/>
      </c>
      <c r="C724" s="508" t="str">
        <f>IFERROR(__xludf.DUMMYFUNCTION("""COMPUTED_VALUE"""),"")</f>
        <v/>
      </c>
      <c r="D724" s="508" t="str">
        <f>IFERROR(__xludf.DUMMYFUNCTION("""COMPUTED_VALUE"""),"")</f>
        <v/>
      </c>
      <c r="E724" s="508" t="str">
        <f>IFERROR(__xludf.DUMMYFUNCTION("""COMPUTED_VALUE"""),"")</f>
        <v/>
      </c>
      <c r="F724" s="508" t="str">
        <f>IFERROR(__xludf.DUMMYFUNCTION("""COMPUTED_VALUE"""),"")</f>
        <v/>
      </c>
      <c r="G724" s="510" t="str">
        <f>IFERROR(__xludf.DUMMYFUNCTION("""COMPUTED_VALUE"""),"")</f>
        <v/>
      </c>
      <c r="H724" s="508" t="str">
        <f>IFERROR(__xludf.DUMMYFUNCTION("""COMPUTED_VALUE"""),"")</f>
        <v/>
      </c>
      <c r="I724" s="510" t="str">
        <f>IFERROR(__xludf.DUMMYFUNCTION("""COMPUTED_VALUE"""),"")</f>
        <v/>
      </c>
      <c r="J724" s="508" t="str">
        <f>IFERROR(__xludf.DUMMYFUNCTION("""COMPUTED_VALUE"""),"")</f>
        <v/>
      </c>
      <c r="K724" s="510" t="str">
        <f>IFERROR(__xludf.DUMMYFUNCTION("""COMPUTED_VALUE"""),"")</f>
        <v/>
      </c>
      <c r="L724" s="508" t="str">
        <f>IFERROR(__xludf.DUMMYFUNCTION("""COMPUTED_VALUE"""),"")</f>
        <v/>
      </c>
      <c r="M724" s="508" t="str">
        <f>IFERROR(__xludf.DUMMYFUNCTION("""COMPUTED_VALUE"""),"")</f>
        <v/>
      </c>
      <c r="N724" s="508" t="str">
        <f>IFERROR(__xludf.DUMMYFUNCTION("""COMPUTED_VALUE"""),"")</f>
        <v/>
      </c>
      <c r="O724" s="508" t="str">
        <f>IFERROR(__xludf.DUMMYFUNCTION("""COMPUTED_VALUE"""),"")</f>
        <v/>
      </c>
      <c r="P724" s="510" t="str">
        <f>IFERROR(__xludf.DUMMYFUNCTION("""COMPUTED_VALUE"""),"")</f>
        <v/>
      </c>
      <c r="Q724" s="508" t="str">
        <f>IFERROR(__xludf.DUMMYFUNCTION("""COMPUTED_VALUE"""),"")</f>
        <v/>
      </c>
      <c r="R724" s="508" t="str">
        <f>IFERROR(__xludf.DUMMYFUNCTION("""COMPUTED_VALUE"""),"")</f>
        <v/>
      </c>
      <c r="S724" s="510" t="str">
        <f>IFERROR(__xludf.DUMMYFUNCTION("""COMPUTED_VALUE"""),"")</f>
        <v/>
      </c>
      <c r="T724" s="510" t="str">
        <f>IFERROR(__xludf.DUMMYFUNCTION("""COMPUTED_VALUE"""),"")</f>
        <v/>
      </c>
    </row>
    <row r="725">
      <c r="A725" s="508" t="str">
        <f>IFERROR(__xludf.DUMMYFUNCTION("""COMPUTED_VALUE"""),"")</f>
        <v/>
      </c>
      <c r="B725" s="508" t="str">
        <f>IFERROR(__xludf.DUMMYFUNCTION("""COMPUTED_VALUE"""),"")</f>
        <v/>
      </c>
      <c r="C725" s="508" t="str">
        <f>IFERROR(__xludf.DUMMYFUNCTION("""COMPUTED_VALUE"""),"")</f>
        <v/>
      </c>
      <c r="D725" s="508" t="str">
        <f>IFERROR(__xludf.DUMMYFUNCTION("""COMPUTED_VALUE"""),"")</f>
        <v/>
      </c>
      <c r="E725" s="508" t="str">
        <f>IFERROR(__xludf.DUMMYFUNCTION("""COMPUTED_VALUE"""),"")</f>
        <v/>
      </c>
      <c r="F725" s="508" t="str">
        <f>IFERROR(__xludf.DUMMYFUNCTION("""COMPUTED_VALUE"""),"")</f>
        <v/>
      </c>
      <c r="G725" s="510" t="str">
        <f>IFERROR(__xludf.DUMMYFUNCTION("""COMPUTED_VALUE"""),"")</f>
        <v/>
      </c>
      <c r="H725" s="508" t="str">
        <f>IFERROR(__xludf.DUMMYFUNCTION("""COMPUTED_VALUE"""),"")</f>
        <v/>
      </c>
      <c r="I725" s="510" t="str">
        <f>IFERROR(__xludf.DUMMYFUNCTION("""COMPUTED_VALUE"""),"")</f>
        <v/>
      </c>
      <c r="J725" s="508" t="str">
        <f>IFERROR(__xludf.DUMMYFUNCTION("""COMPUTED_VALUE"""),"")</f>
        <v/>
      </c>
      <c r="K725" s="510" t="str">
        <f>IFERROR(__xludf.DUMMYFUNCTION("""COMPUTED_VALUE"""),"")</f>
        <v/>
      </c>
      <c r="L725" s="508" t="str">
        <f>IFERROR(__xludf.DUMMYFUNCTION("""COMPUTED_VALUE"""),"")</f>
        <v/>
      </c>
      <c r="M725" s="508" t="str">
        <f>IFERROR(__xludf.DUMMYFUNCTION("""COMPUTED_VALUE"""),"")</f>
        <v/>
      </c>
      <c r="N725" s="508" t="str">
        <f>IFERROR(__xludf.DUMMYFUNCTION("""COMPUTED_VALUE"""),"")</f>
        <v/>
      </c>
      <c r="O725" s="508" t="str">
        <f>IFERROR(__xludf.DUMMYFUNCTION("""COMPUTED_VALUE"""),"")</f>
        <v/>
      </c>
      <c r="P725" s="510" t="str">
        <f>IFERROR(__xludf.DUMMYFUNCTION("""COMPUTED_VALUE"""),"")</f>
        <v/>
      </c>
      <c r="Q725" s="508" t="str">
        <f>IFERROR(__xludf.DUMMYFUNCTION("""COMPUTED_VALUE"""),"")</f>
        <v/>
      </c>
      <c r="R725" s="508" t="str">
        <f>IFERROR(__xludf.DUMMYFUNCTION("""COMPUTED_VALUE"""),"")</f>
        <v/>
      </c>
      <c r="S725" s="510" t="str">
        <f>IFERROR(__xludf.DUMMYFUNCTION("""COMPUTED_VALUE"""),"")</f>
        <v/>
      </c>
      <c r="T725" s="510" t="str">
        <f>IFERROR(__xludf.DUMMYFUNCTION("""COMPUTED_VALUE"""),"")</f>
        <v/>
      </c>
    </row>
    <row r="726">
      <c r="A726" s="508" t="str">
        <f>IFERROR(__xludf.DUMMYFUNCTION("""COMPUTED_VALUE"""),"")</f>
        <v/>
      </c>
      <c r="B726" s="508" t="str">
        <f>IFERROR(__xludf.DUMMYFUNCTION("""COMPUTED_VALUE"""),"")</f>
        <v/>
      </c>
      <c r="C726" s="508" t="str">
        <f>IFERROR(__xludf.DUMMYFUNCTION("""COMPUTED_VALUE"""),"")</f>
        <v/>
      </c>
      <c r="D726" s="508" t="str">
        <f>IFERROR(__xludf.DUMMYFUNCTION("""COMPUTED_VALUE"""),"")</f>
        <v/>
      </c>
      <c r="E726" s="508" t="str">
        <f>IFERROR(__xludf.DUMMYFUNCTION("""COMPUTED_VALUE"""),"")</f>
        <v/>
      </c>
      <c r="F726" s="508" t="str">
        <f>IFERROR(__xludf.DUMMYFUNCTION("""COMPUTED_VALUE"""),"")</f>
        <v/>
      </c>
      <c r="G726" s="510" t="str">
        <f>IFERROR(__xludf.DUMMYFUNCTION("""COMPUTED_VALUE"""),"")</f>
        <v/>
      </c>
      <c r="H726" s="508" t="str">
        <f>IFERROR(__xludf.DUMMYFUNCTION("""COMPUTED_VALUE"""),"")</f>
        <v/>
      </c>
      <c r="I726" s="510" t="str">
        <f>IFERROR(__xludf.DUMMYFUNCTION("""COMPUTED_VALUE"""),"")</f>
        <v/>
      </c>
      <c r="J726" s="508" t="str">
        <f>IFERROR(__xludf.DUMMYFUNCTION("""COMPUTED_VALUE"""),"")</f>
        <v/>
      </c>
      <c r="K726" s="510" t="str">
        <f>IFERROR(__xludf.DUMMYFUNCTION("""COMPUTED_VALUE"""),"")</f>
        <v/>
      </c>
      <c r="L726" s="508" t="str">
        <f>IFERROR(__xludf.DUMMYFUNCTION("""COMPUTED_VALUE"""),"")</f>
        <v/>
      </c>
      <c r="M726" s="508" t="str">
        <f>IFERROR(__xludf.DUMMYFUNCTION("""COMPUTED_VALUE"""),"")</f>
        <v/>
      </c>
      <c r="N726" s="508" t="str">
        <f>IFERROR(__xludf.DUMMYFUNCTION("""COMPUTED_VALUE"""),"")</f>
        <v/>
      </c>
      <c r="O726" s="508" t="str">
        <f>IFERROR(__xludf.DUMMYFUNCTION("""COMPUTED_VALUE"""),"")</f>
        <v/>
      </c>
      <c r="P726" s="510" t="str">
        <f>IFERROR(__xludf.DUMMYFUNCTION("""COMPUTED_VALUE"""),"")</f>
        <v/>
      </c>
      <c r="Q726" s="508" t="str">
        <f>IFERROR(__xludf.DUMMYFUNCTION("""COMPUTED_VALUE"""),"")</f>
        <v/>
      </c>
      <c r="R726" s="508" t="str">
        <f>IFERROR(__xludf.DUMMYFUNCTION("""COMPUTED_VALUE"""),"")</f>
        <v/>
      </c>
      <c r="S726" s="510" t="str">
        <f>IFERROR(__xludf.DUMMYFUNCTION("""COMPUTED_VALUE"""),"")</f>
        <v/>
      </c>
      <c r="T726" s="510" t="str">
        <f>IFERROR(__xludf.DUMMYFUNCTION("""COMPUTED_VALUE"""),"")</f>
        <v/>
      </c>
    </row>
    <row r="727">
      <c r="A727" s="508" t="str">
        <f>IFERROR(__xludf.DUMMYFUNCTION("""COMPUTED_VALUE"""),"")</f>
        <v/>
      </c>
      <c r="B727" s="508" t="str">
        <f>IFERROR(__xludf.DUMMYFUNCTION("""COMPUTED_VALUE"""),"")</f>
        <v/>
      </c>
      <c r="C727" s="508" t="str">
        <f>IFERROR(__xludf.DUMMYFUNCTION("""COMPUTED_VALUE"""),"")</f>
        <v/>
      </c>
      <c r="D727" s="508" t="str">
        <f>IFERROR(__xludf.DUMMYFUNCTION("""COMPUTED_VALUE"""),"")</f>
        <v/>
      </c>
      <c r="E727" s="508" t="str">
        <f>IFERROR(__xludf.DUMMYFUNCTION("""COMPUTED_VALUE"""),"")</f>
        <v/>
      </c>
      <c r="F727" s="508" t="str">
        <f>IFERROR(__xludf.DUMMYFUNCTION("""COMPUTED_VALUE"""),"")</f>
        <v/>
      </c>
      <c r="G727" s="510" t="str">
        <f>IFERROR(__xludf.DUMMYFUNCTION("""COMPUTED_VALUE"""),"")</f>
        <v/>
      </c>
      <c r="H727" s="508" t="str">
        <f>IFERROR(__xludf.DUMMYFUNCTION("""COMPUTED_VALUE"""),"")</f>
        <v/>
      </c>
      <c r="I727" s="510" t="str">
        <f>IFERROR(__xludf.DUMMYFUNCTION("""COMPUTED_VALUE"""),"")</f>
        <v/>
      </c>
      <c r="J727" s="508" t="str">
        <f>IFERROR(__xludf.DUMMYFUNCTION("""COMPUTED_VALUE"""),"")</f>
        <v/>
      </c>
      <c r="K727" s="510" t="str">
        <f>IFERROR(__xludf.DUMMYFUNCTION("""COMPUTED_VALUE"""),"")</f>
        <v/>
      </c>
      <c r="L727" s="508" t="str">
        <f>IFERROR(__xludf.DUMMYFUNCTION("""COMPUTED_VALUE"""),"")</f>
        <v/>
      </c>
      <c r="M727" s="508" t="str">
        <f>IFERROR(__xludf.DUMMYFUNCTION("""COMPUTED_VALUE"""),"")</f>
        <v/>
      </c>
      <c r="N727" s="508" t="str">
        <f>IFERROR(__xludf.DUMMYFUNCTION("""COMPUTED_VALUE"""),"")</f>
        <v/>
      </c>
      <c r="O727" s="508" t="str">
        <f>IFERROR(__xludf.DUMMYFUNCTION("""COMPUTED_VALUE"""),"")</f>
        <v/>
      </c>
      <c r="P727" s="510" t="str">
        <f>IFERROR(__xludf.DUMMYFUNCTION("""COMPUTED_VALUE"""),"")</f>
        <v/>
      </c>
      <c r="Q727" s="508" t="str">
        <f>IFERROR(__xludf.DUMMYFUNCTION("""COMPUTED_VALUE"""),"")</f>
        <v/>
      </c>
      <c r="R727" s="508" t="str">
        <f>IFERROR(__xludf.DUMMYFUNCTION("""COMPUTED_VALUE"""),"")</f>
        <v/>
      </c>
      <c r="S727" s="510" t="str">
        <f>IFERROR(__xludf.DUMMYFUNCTION("""COMPUTED_VALUE"""),"")</f>
        <v/>
      </c>
      <c r="T727" s="510" t="str">
        <f>IFERROR(__xludf.DUMMYFUNCTION("""COMPUTED_VALUE"""),"")</f>
        <v/>
      </c>
    </row>
    <row r="728">
      <c r="A728" s="508" t="str">
        <f>IFERROR(__xludf.DUMMYFUNCTION("""COMPUTED_VALUE"""),"")</f>
        <v/>
      </c>
      <c r="B728" s="508" t="str">
        <f>IFERROR(__xludf.DUMMYFUNCTION("""COMPUTED_VALUE"""),"")</f>
        <v/>
      </c>
      <c r="C728" s="508" t="str">
        <f>IFERROR(__xludf.DUMMYFUNCTION("""COMPUTED_VALUE"""),"")</f>
        <v/>
      </c>
      <c r="D728" s="508" t="str">
        <f>IFERROR(__xludf.DUMMYFUNCTION("""COMPUTED_VALUE"""),"")</f>
        <v/>
      </c>
      <c r="E728" s="508" t="str">
        <f>IFERROR(__xludf.DUMMYFUNCTION("""COMPUTED_VALUE"""),"")</f>
        <v/>
      </c>
      <c r="F728" s="508" t="str">
        <f>IFERROR(__xludf.DUMMYFUNCTION("""COMPUTED_VALUE"""),"")</f>
        <v/>
      </c>
      <c r="G728" s="510" t="str">
        <f>IFERROR(__xludf.DUMMYFUNCTION("""COMPUTED_VALUE"""),"")</f>
        <v/>
      </c>
      <c r="H728" s="508" t="str">
        <f>IFERROR(__xludf.DUMMYFUNCTION("""COMPUTED_VALUE"""),"")</f>
        <v/>
      </c>
      <c r="I728" s="510" t="str">
        <f>IFERROR(__xludf.DUMMYFUNCTION("""COMPUTED_VALUE"""),"")</f>
        <v/>
      </c>
      <c r="J728" s="508" t="str">
        <f>IFERROR(__xludf.DUMMYFUNCTION("""COMPUTED_VALUE"""),"")</f>
        <v/>
      </c>
      <c r="K728" s="510" t="str">
        <f>IFERROR(__xludf.DUMMYFUNCTION("""COMPUTED_VALUE"""),"")</f>
        <v/>
      </c>
      <c r="L728" s="508" t="str">
        <f>IFERROR(__xludf.DUMMYFUNCTION("""COMPUTED_VALUE"""),"")</f>
        <v/>
      </c>
      <c r="M728" s="508" t="str">
        <f>IFERROR(__xludf.DUMMYFUNCTION("""COMPUTED_VALUE"""),"")</f>
        <v/>
      </c>
      <c r="N728" s="508" t="str">
        <f>IFERROR(__xludf.DUMMYFUNCTION("""COMPUTED_VALUE"""),"")</f>
        <v/>
      </c>
      <c r="O728" s="508" t="str">
        <f>IFERROR(__xludf.DUMMYFUNCTION("""COMPUTED_VALUE"""),"")</f>
        <v/>
      </c>
      <c r="P728" s="510" t="str">
        <f>IFERROR(__xludf.DUMMYFUNCTION("""COMPUTED_VALUE"""),"")</f>
        <v/>
      </c>
      <c r="Q728" s="508" t="str">
        <f>IFERROR(__xludf.DUMMYFUNCTION("""COMPUTED_VALUE"""),"")</f>
        <v/>
      </c>
      <c r="R728" s="508" t="str">
        <f>IFERROR(__xludf.DUMMYFUNCTION("""COMPUTED_VALUE"""),"")</f>
        <v/>
      </c>
      <c r="S728" s="510" t="str">
        <f>IFERROR(__xludf.DUMMYFUNCTION("""COMPUTED_VALUE"""),"")</f>
        <v/>
      </c>
      <c r="T728" s="510" t="str">
        <f>IFERROR(__xludf.DUMMYFUNCTION("""COMPUTED_VALUE"""),"")</f>
        <v/>
      </c>
    </row>
    <row r="729">
      <c r="A729" s="508" t="str">
        <f>IFERROR(__xludf.DUMMYFUNCTION("""COMPUTED_VALUE"""),"")</f>
        <v/>
      </c>
      <c r="B729" s="508" t="str">
        <f>IFERROR(__xludf.DUMMYFUNCTION("""COMPUTED_VALUE"""),"")</f>
        <v/>
      </c>
      <c r="C729" s="508" t="str">
        <f>IFERROR(__xludf.DUMMYFUNCTION("""COMPUTED_VALUE"""),"")</f>
        <v/>
      </c>
      <c r="D729" s="508" t="str">
        <f>IFERROR(__xludf.DUMMYFUNCTION("""COMPUTED_VALUE"""),"")</f>
        <v/>
      </c>
      <c r="E729" s="508" t="str">
        <f>IFERROR(__xludf.DUMMYFUNCTION("""COMPUTED_VALUE"""),"")</f>
        <v/>
      </c>
      <c r="F729" s="508" t="str">
        <f>IFERROR(__xludf.DUMMYFUNCTION("""COMPUTED_VALUE"""),"")</f>
        <v/>
      </c>
      <c r="G729" s="510" t="str">
        <f>IFERROR(__xludf.DUMMYFUNCTION("""COMPUTED_VALUE"""),"")</f>
        <v/>
      </c>
      <c r="H729" s="508" t="str">
        <f>IFERROR(__xludf.DUMMYFUNCTION("""COMPUTED_VALUE"""),"")</f>
        <v/>
      </c>
      <c r="I729" s="510" t="str">
        <f>IFERROR(__xludf.DUMMYFUNCTION("""COMPUTED_VALUE"""),"")</f>
        <v/>
      </c>
      <c r="J729" s="508" t="str">
        <f>IFERROR(__xludf.DUMMYFUNCTION("""COMPUTED_VALUE"""),"")</f>
        <v/>
      </c>
      <c r="K729" s="510" t="str">
        <f>IFERROR(__xludf.DUMMYFUNCTION("""COMPUTED_VALUE"""),"")</f>
        <v/>
      </c>
      <c r="L729" s="508" t="str">
        <f>IFERROR(__xludf.DUMMYFUNCTION("""COMPUTED_VALUE"""),"")</f>
        <v/>
      </c>
      <c r="M729" s="508" t="str">
        <f>IFERROR(__xludf.DUMMYFUNCTION("""COMPUTED_VALUE"""),"")</f>
        <v/>
      </c>
      <c r="N729" s="508" t="str">
        <f>IFERROR(__xludf.DUMMYFUNCTION("""COMPUTED_VALUE"""),"")</f>
        <v/>
      </c>
      <c r="O729" s="508" t="str">
        <f>IFERROR(__xludf.DUMMYFUNCTION("""COMPUTED_VALUE"""),"")</f>
        <v/>
      </c>
      <c r="P729" s="510" t="str">
        <f>IFERROR(__xludf.DUMMYFUNCTION("""COMPUTED_VALUE"""),"")</f>
        <v/>
      </c>
      <c r="Q729" s="508" t="str">
        <f>IFERROR(__xludf.DUMMYFUNCTION("""COMPUTED_VALUE"""),"")</f>
        <v/>
      </c>
      <c r="R729" s="508" t="str">
        <f>IFERROR(__xludf.DUMMYFUNCTION("""COMPUTED_VALUE"""),"")</f>
        <v/>
      </c>
      <c r="S729" s="510" t="str">
        <f>IFERROR(__xludf.DUMMYFUNCTION("""COMPUTED_VALUE"""),"")</f>
        <v/>
      </c>
      <c r="T729" s="510" t="str">
        <f>IFERROR(__xludf.DUMMYFUNCTION("""COMPUTED_VALUE"""),"")</f>
        <v/>
      </c>
    </row>
    <row r="730">
      <c r="A730" s="508" t="str">
        <f>IFERROR(__xludf.DUMMYFUNCTION("""COMPUTED_VALUE"""),"")</f>
        <v/>
      </c>
      <c r="B730" s="508" t="str">
        <f>IFERROR(__xludf.DUMMYFUNCTION("""COMPUTED_VALUE"""),"")</f>
        <v/>
      </c>
      <c r="C730" s="508" t="str">
        <f>IFERROR(__xludf.DUMMYFUNCTION("""COMPUTED_VALUE"""),"")</f>
        <v/>
      </c>
      <c r="D730" s="508" t="str">
        <f>IFERROR(__xludf.DUMMYFUNCTION("""COMPUTED_VALUE"""),"")</f>
        <v/>
      </c>
      <c r="E730" s="508" t="str">
        <f>IFERROR(__xludf.DUMMYFUNCTION("""COMPUTED_VALUE"""),"")</f>
        <v/>
      </c>
      <c r="F730" s="508" t="str">
        <f>IFERROR(__xludf.DUMMYFUNCTION("""COMPUTED_VALUE"""),"")</f>
        <v/>
      </c>
      <c r="G730" s="510" t="str">
        <f>IFERROR(__xludf.DUMMYFUNCTION("""COMPUTED_VALUE"""),"")</f>
        <v/>
      </c>
      <c r="H730" s="508" t="str">
        <f>IFERROR(__xludf.DUMMYFUNCTION("""COMPUTED_VALUE"""),"")</f>
        <v/>
      </c>
      <c r="I730" s="510" t="str">
        <f>IFERROR(__xludf.DUMMYFUNCTION("""COMPUTED_VALUE"""),"")</f>
        <v/>
      </c>
      <c r="J730" s="508" t="str">
        <f>IFERROR(__xludf.DUMMYFUNCTION("""COMPUTED_VALUE"""),"")</f>
        <v/>
      </c>
      <c r="K730" s="510" t="str">
        <f>IFERROR(__xludf.DUMMYFUNCTION("""COMPUTED_VALUE"""),"")</f>
        <v/>
      </c>
      <c r="L730" s="508" t="str">
        <f>IFERROR(__xludf.DUMMYFUNCTION("""COMPUTED_VALUE"""),"")</f>
        <v/>
      </c>
      <c r="M730" s="508" t="str">
        <f>IFERROR(__xludf.DUMMYFUNCTION("""COMPUTED_VALUE"""),"")</f>
        <v/>
      </c>
      <c r="N730" s="508" t="str">
        <f>IFERROR(__xludf.DUMMYFUNCTION("""COMPUTED_VALUE"""),"")</f>
        <v/>
      </c>
      <c r="O730" s="508" t="str">
        <f>IFERROR(__xludf.DUMMYFUNCTION("""COMPUTED_VALUE"""),"")</f>
        <v/>
      </c>
      <c r="P730" s="510" t="str">
        <f>IFERROR(__xludf.DUMMYFUNCTION("""COMPUTED_VALUE"""),"")</f>
        <v/>
      </c>
      <c r="Q730" s="508" t="str">
        <f>IFERROR(__xludf.DUMMYFUNCTION("""COMPUTED_VALUE"""),"")</f>
        <v/>
      </c>
      <c r="R730" s="508" t="str">
        <f>IFERROR(__xludf.DUMMYFUNCTION("""COMPUTED_VALUE"""),"")</f>
        <v/>
      </c>
      <c r="S730" s="510" t="str">
        <f>IFERROR(__xludf.DUMMYFUNCTION("""COMPUTED_VALUE"""),"")</f>
        <v/>
      </c>
      <c r="T730" s="510" t="str">
        <f>IFERROR(__xludf.DUMMYFUNCTION("""COMPUTED_VALUE"""),"")</f>
        <v/>
      </c>
    </row>
    <row r="731">
      <c r="A731" s="508" t="str">
        <f>IFERROR(__xludf.DUMMYFUNCTION("""COMPUTED_VALUE"""),"")</f>
        <v/>
      </c>
      <c r="B731" s="508" t="str">
        <f>IFERROR(__xludf.DUMMYFUNCTION("""COMPUTED_VALUE"""),"")</f>
        <v/>
      </c>
      <c r="C731" s="508" t="str">
        <f>IFERROR(__xludf.DUMMYFUNCTION("""COMPUTED_VALUE"""),"")</f>
        <v/>
      </c>
      <c r="D731" s="508" t="str">
        <f>IFERROR(__xludf.DUMMYFUNCTION("""COMPUTED_VALUE"""),"")</f>
        <v/>
      </c>
      <c r="E731" s="508" t="str">
        <f>IFERROR(__xludf.DUMMYFUNCTION("""COMPUTED_VALUE"""),"")</f>
        <v/>
      </c>
      <c r="F731" s="508" t="str">
        <f>IFERROR(__xludf.DUMMYFUNCTION("""COMPUTED_VALUE"""),"")</f>
        <v/>
      </c>
      <c r="G731" s="510" t="str">
        <f>IFERROR(__xludf.DUMMYFUNCTION("""COMPUTED_VALUE"""),"")</f>
        <v/>
      </c>
      <c r="H731" s="508" t="str">
        <f>IFERROR(__xludf.DUMMYFUNCTION("""COMPUTED_VALUE"""),"")</f>
        <v/>
      </c>
      <c r="I731" s="510" t="str">
        <f>IFERROR(__xludf.DUMMYFUNCTION("""COMPUTED_VALUE"""),"")</f>
        <v/>
      </c>
      <c r="J731" s="508" t="str">
        <f>IFERROR(__xludf.DUMMYFUNCTION("""COMPUTED_VALUE"""),"")</f>
        <v/>
      </c>
      <c r="K731" s="510" t="str">
        <f>IFERROR(__xludf.DUMMYFUNCTION("""COMPUTED_VALUE"""),"")</f>
        <v/>
      </c>
      <c r="L731" s="508" t="str">
        <f>IFERROR(__xludf.DUMMYFUNCTION("""COMPUTED_VALUE"""),"")</f>
        <v/>
      </c>
      <c r="M731" s="508" t="str">
        <f>IFERROR(__xludf.DUMMYFUNCTION("""COMPUTED_VALUE"""),"")</f>
        <v/>
      </c>
      <c r="N731" s="508" t="str">
        <f>IFERROR(__xludf.DUMMYFUNCTION("""COMPUTED_VALUE"""),"")</f>
        <v/>
      </c>
      <c r="O731" s="508" t="str">
        <f>IFERROR(__xludf.DUMMYFUNCTION("""COMPUTED_VALUE"""),"")</f>
        <v/>
      </c>
      <c r="P731" s="510" t="str">
        <f>IFERROR(__xludf.DUMMYFUNCTION("""COMPUTED_VALUE"""),"")</f>
        <v/>
      </c>
      <c r="Q731" s="508" t="str">
        <f>IFERROR(__xludf.DUMMYFUNCTION("""COMPUTED_VALUE"""),"")</f>
        <v/>
      </c>
      <c r="R731" s="508" t="str">
        <f>IFERROR(__xludf.DUMMYFUNCTION("""COMPUTED_VALUE"""),"")</f>
        <v/>
      </c>
      <c r="S731" s="510" t="str">
        <f>IFERROR(__xludf.DUMMYFUNCTION("""COMPUTED_VALUE"""),"")</f>
        <v/>
      </c>
      <c r="T731" s="510" t="str">
        <f>IFERROR(__xludf.DUMMYFUNCTION("""COMPUTED_VALUE"""),"")</f>
        <v/>
      </c>
    </row>
    <row r="732">
      <c r="A732" s="508" t="str">
        <f>IFERROR(__xludf.DUMMYFUNCTION("""COMPUTED_VALUE"""),"")</f>
        <v/>
      </c>
      <c r="B732" s="508" t="str">
        <f>IFERROR(__xludf.DUMMYFUNCTION("""COMPUTED_VALUE"""),"")</f>
        <v/>
      </c>
      <c r="C732" s="508" t="str">
        <f>IFERROR(__xludf.DUMMYFUNCTION("""COMPUTED_VALUE"""),"")</f>
        <v/>
      </c>
      <c r="D732" s="508" t="str">
        <f>IFERROR(__xludf.DUMMYFUNCTION("""COMPUTED_VALUE"""),"")</f>
        <v/>
      </c>
      <c r="E732" s="508" t="str">
        <f>IFERROR(__xludf.DUMMYFUNCTION("""COMPUTED_VALUE"""),"")</f>
        <v/>
      </c>
      <c r="F732" s="508" t="str">
        <f>IFERROR(__xludf.DUMMYFUNCTION("""COMPUTED_VALUE"""),"")</f>
        <v/>
      </c>
      <c r="G732" s="510" t="str">
        <f>IFERROR(__xludf.DUMMYFUNCTION("""COMPUTED_VALUE"""),"")</f>
        <v/>
      </c>
      <c r="H732" s="508" t="str">
        <f>IFERROR(__xludf.DUMMYFUNCTION("""COMPUTED_VALUE"""),"")</f>
        <v/>
      </c>
      <c r="I732" s="510" t="str">
        <f>IFERROR(__xludf.DUMMYFUNCTION("""COMPUTED_VALUE"""),"")</f>
        <v/>
      </c>
      <c r="J732" s="508" t="str">
        <f>IFERROR(__xludf.DUMMYFUNCTION("""COMPUTED_VALUE"""),"")</f>
        <v/>
      </c>
      <c r="K732" s="510" t="str">
        <f>IFERROR(__xludf.DUMMYFUNCTION("""COMPUTED_VALUE"""),"")</f>
        <v/>
      </c>
      <c r="L732" s="508" t="str">
        <f>IFERROR(__xludf.DUMMYFUNCTION("""COMPUTED_VALUE"""),"")</f>
        <v/>
      </c>
      <c r="M732" s="508" t="str">
        <f>IFERROR(__xludf.DUMMYFUNCTION("""COMPUTED_VALUE"""),"")</f>
        <v/>
      </c>
      <c r="N732" s="508" t="str">
        <f>IFERROR(__xludf.DUMMYFUNCTION("""COMPUTED_VALUE"""),"")</f>
        <v/>
      </c>
      <c r="O732" s="508" t="str">
        <f>IFERROR(__xludf.DUMMYFUNCTION("""COMPUTED_VALUE"""),"")</f>
        <v/>
      </c>
      <c r="P732" s="510" t="str">
        <f>IFERROR(__xludf.DUMMYFUNCTION("""COMPUTED_VALUE"""),"")</f>
        <v/>
      </c>
      <c r="Q732" s="508" t="str">
        <f>IFERROR(__xludf.DUMMYFUNCTION("""COMPUTED_VALUE"""),"")</f>
        <v/>
      </c>
      <c r="R732" s="508" t="str">
        <f>IFERROR(__xludf.DUMMYFUNCTION("""COMPUTED_VALUE"""),"")</f>
        <v/>
      </c>
      <c r="S732" s="510" t="str">
        <f>IFERROR(__xludf.DUMMYFUNCTION("""COMPUTED_VALUE"""),"")</f>
        <v/>
      </c>
      <c r="T732" s="510" t="str">
        <f>IFERROR(__xludf.DUMMYFUNCTION("""COMPUTED_VALUE"""),"")</f>
        <v/>
      </c>
    </row>
    <row r="733">
      <c r="A733" s="508" t="str">
        <f>IFERROR(__xludf.DUMMYFUNCTION("""COMPUTED_VALUE"""),"")</f>
        <v/>
      </c>
      <c r="B733" s="508" t="str">
        <f>IFERROR(__xludf.DUMMYFUNCTION("""COMPUTED_VALUE"""),"")</f>
        <v/>
      </c>
      <c r="C733" s="508" t="str">
        <f>IFERROR(__xludf.DUMMYFUNCTION("""COMPUTED_VALUE"""),"")</f>
        <v/>
      </c>
      <c r="D733" s="508" t="str">
        <f>IFERROR(__xludf.DUMMYFUNCTION("""COMPUTED_VALUE"""),"")</f>
        <v/>
      </c>
      <c r="E733" s="508" t="str">
        <f>IFERROR(__xludf.DUMMYFUNCTION("""COMPUTED_VALUE"""),"")</f>
        <v/>
      </c>
      <c r="F733" s="508" t="str">
        <f>IFERROR(__xludf.DUMMYFUNCTION("""COMPUTED_VALUE"""),"")</f>
        <v/>
      </c>
      <c r="G733" s="510" t="str">
        <f>IFERROR(__xludf.DUMMYFUNCTION("""COMPUTED_VALUE"""),"")</f>
        <v/>
      </c>
      <c r="H733" s="508" t="str">
        <f>IFERROR(__xludf.DUMMYFUNCTION("""COMPUTED_VALUE"""),"")</f>
        <v/>
      </c>
      <c r="I733" s="510" t="str">
        <f>IFERROR(__xludf.DUMMYFUNCTION("""COMPUTED_VALUE"""),"")</f>
        <v/>
      </c>
      <c r="J733" s="508" t="str">
        <f>IFERROR(__xludf.DUMMYFUNCTION("""COMPUTED_VALUE"""),"")</f>
        <v/>
      </c>
      <c r="K733" s="510" t="str">
        <f>IFERROR(__xludf.DUMMYFUNCTION("""COMPUTED_VALUE"""),"")</f>
        <v/>
      </c>
      <c r="L733" s="508" t="str">
        <f>IFERROR(__xludf.DUMMYFUNCTION("""COMPUTED_VALUE"""),"")</f>
        <v/>
      </c>
      <c r="M733" s="508" t="str">
        <f>IFERROR(__xludf.DUMMYFUNCTION("""COMPUTED_VALUE"""),"")</f>
        <v/>
      </c>
      <c r="N733" s="508" t="str">
        <f>IFERROR(__xludf.DUMMYFUNCTION("""COMPUTED_VALUE"""),"")</f>
        <v/>
      </c>
      <c r="O733" s="508" t="str">
        <f>IFERROR(__xludf.DUMMYFUNCTION("""COMPUTED_VALUE"""),"")</f>
        <v/>
      </c>
      <c r="P733" s="510" t="str">
        <f>IFERROR(__xludf.DUMMYFUNCTION("""COMPUTED_VALUE"""),"")</f>
        <v/>
      </c>
      <c r="Q733" s="508" t="str">
        <f>IFERROR(__xludf.DUMMYFUNCTION("""COMPUTED_VALUE"""),"")</f>
        <v/>
      </c>
      <c r="R733" s="508" t="str">
        <f>IFERROR(__xludf.DUMMYFUNCTION("""COMPUTED_VALUE"""),"")</f>
        <v/>
      </c>
      <c r="S733" s="510" t="str">
        <f>IFERROR(__xludf.DUMMYFUNCTION("""COMPUTED_VALUE"""),"")</f>
        <v/>
      </c>
      <c r="T733" s="510" t="str">
        <f>IFERROR(__xludf.DUMMYFUNCTION("""COMPUTED_VALUE"""),"")</f>
        <v/>
      </c>
    </row>
    <row r="734">
      <c r="A734" s="508" t="str">
        <f>IFERROR(__xludf.DUMMYFUNCTION("""COMPUTED_VALUE"""),"")</f>
        <v/>
      </c>
      <c r="B734" s="508" t="str">
        <f>IFERROR(__xludf.DUMMYFUNCTION("""COMPUTED_VALUE"""),"")</f>
        <v/>
      </c>
      <c r="C734" s="508" t="str">
        <f>IFERROR(__xludf.DUMMYFUNCTION("""COMPUTED_VALUE"""),"")</f>
        <v/>
      </c>
      <c r="D734" s="508" t="str">
        <f>IFERROR(__xludf.DUMMYFUNCTION("""COMPUTED_VALUE"""),"")</f>
        <v/>
      </c>
      <c r="E734" s="508" t="str">
        <f>IFERROR(__xludf.DUMMYFUNCTION("""COMPUTED_VALUE"""),"")</f>
        <v/>
      </c>
      <c r="F734" s="508" t="str">
        <f>IFERROR(__xludf.DUMMYFUNCTION("""COMPUTED_VALUE"""),"")</f>
        <v/>
      </c>
      <c r="G734" s="510" t="str">
        <f>IFERROR(__xludf.DUMMYFUNCTION("""COMPUTED_VALUE"""),"")</f>
        <v/>
      </c>
      <c r="H734" s="508" t="str">
        <f>IFERROR(__xludf.DUMMYFUNCTION("""COMPUTED_VALUE"""),"")</f>
        <v/>
      </c>
      <c r="I734" s="510" t="str">
        <f>IFERROR(__xludf.DUMMYFUNCTION("""COMPUTED_VALUE"""),"")</f>
        <v/>
      </c>
      <c r="J734" s="508" t="str">
        <f>IFERROR(__xludf.DUMMYFUNCTION("""COMPUTED_VALUE"""),"")</f>
        <v/>
      </c>
      <c r="K734" s="510" t="str">
        <f>IFERROR(__xludf.DUMMYFUNCTION("""COMPUTED_VALUE"""),"")</f>
        <v/>
      </c>
      <c r="L734" s="508" t="str">
        <f>IFERROR(__xludf.DUMMYFUNCTION("""COMPUTED_VALUE"""),"")</f>
        <v/>
      </c>
      <c r="M734" s="508" t="str">
        <f>IFERROR(__xludf.DUMMYFUNCTION("""COMPUTED_VALUE"""),"")</f>
        <v/>
      </c>
      <c r="N734" s="508" t="str">
        <f>IFERROR(__xludf.DUMMYFUNCTION("""COMPUTED_VALUE"""),"")</f>
        <v/>
      </c>
      <c r="O734" s="508" t="str">
        <f>IFERROR(__xludf.DUMMYFUNCTION("""COMPUTED_VALUE"""),"")</f>
        <v/>
      </c>
      <c r="P734" s="510" t="str">
        <f>IFERROR(__xludf.DUMMYFUNCTION("""COMPUTED_VALUE"""),"")</f>
        <v/>
      </c>
      <c r="Q734" s="508" t="str">
        <f>IFERROR(__xludf.DUMMYFUNCTION("""COMPUTED_VALUE"""),"")</f>
        <v/>
      </c>
      <c r="R734" s="508" t="str">
        <f>IFERROR(__xludf.DUMMYFUNCTION("""COMPUTED_VALUE"""),"")</f>
        <v/>
      </c>
      <c r="S734" s="510" t="str">
        <f>IFERROR(__xludf.DUMMYFUNCTION("""COMPUTED_VALUE"""),"")</f>
        <v/>
      </c>
      <c r="T734" s="510" t="str">
        <f>IFERROR(__xludf.DUMMYFUNCTION("""COMPUTED_VALUE"""),"")</f>
        <v/>
      </c>
    </row>
    <row r="735">
      <c r="A735" s="508" t="str">
        <f>IFERROR(__xludf.DUMMYFUNCTION("""COMPUTED_VALUE"""),"")</f>
        <v/>
      </c>
      <c r="B735" s="508" t="str">
        <f>IFERROR(__xludf.DUMMYFUNCTION("""COMPUTED_VALUE"""),"")</f>
        <v/>
      </c>
      <c r="C735" s="508" t="str">
        <f>IFERROR(__xludf.DUMMYFUNCTION("""COMPUTED_VALUE"""),"")</f>
        <v/>
      </c>
      <c r="D735" s="508" t="str">
        <f>IFERROR(__xludf.DUMMYFUNCTION("""COMPUTED_VALUE"""),"")</f>
        <v/>
      </c>
      <c r="E735" s="508" t="str">
        <f>IFERROR(__xludf.DUMMYFUNCTION("""COMPUTED_VALUE"""),"")</f>
        <v/>
      </c>
      <c r="F735" s="508" t="str">
        <f>IFERROR(__xludf.DUMMYFUNCTION("""COMPUTED_VALUE"""),"")</f>
        <v/>
      </c>
      <c r="G735" s="510" t="str">
        <f>IFERROR(__xludf.DUMMYFUNCTION("""COMPUTED_VALUE"""),"")</f>
        <v/>
      </c>
      <c r="H735" s="508" t="str">
        <f>IFERROR(__xludf.DUMMYFUNCTION("""COMPUTED_VALUE"""),"")</f>
        <v/>
      </c>
      <c r="I735" s="510" t="str">
        <f>IFERROR(__xludf.DUMMYFUNCTION("""COMPUTED_VALUE"""),"")</f>
        <v/>
      </c>
      <c r="J735" s="508" t="str">
        <f>IFERROR(__xludf.DUMMYFUNCTION("""COMPUTED_VALUE"""),"")</f>
        <v/>
      </c>
      <c r="K735" s="510" t="str">
        <f>IFERROR(__xludf.DUMMYFUNCTION("""COMPUTED_VALUE"""),"")</f>
        <v/>
      </c>
      <c r="L735" s="508" t="str">
        <f>IFERROR(__xludf.DUMMYFUNCTION("""COMPUTED_VALUE"""),"")</f>
        <v/>
      </c>
      <c r="M735" s="508" t="str">
        <f>IFERROR(__xludf.DUMMYFUNCTION("""COMPUTED_VALUE"""),"")</f>
        <v/>
      </c>
      <c r="N735" s="508" t="str">
        <f>IFERROR(__xludf.DUMMYFUNCTION("""COMPUTED_VALUE"""),"")</f>
        <v/>
      </c>
      <c r="O735" s="508" t="str">
        <f>IFERROR(__xludf.DUMMYFUNCTION("""COMPUTED_VALUE"""),"")</f>
        <v/>
      </c>
      <c r="P735" s="510" t="str">
        <f>IFERROR(__xludf.DUMMYFUNCTION("""COMPUTED_VALUE"""),"")</f>
        <v/>
      </c>
      <c r="Q735" s="508" t="str">
        <f>IFERROR(__xludf.DUMMYFUNCTION("""COMPUTED_VALUE"""),"")</f>
        <v/>
      </c>
      <c r="R735" s="508" t="str">
        <f>IFERROR(__xludf.DUMMYFUNCTION("""COMPUTED_VALUE"""),"")</f>
        <v/>
      </c>
      <c r="S735" s="510" t="str">
        <f>IFERROR(__xludf.DUMMYFUNCTION("""COMPUTED_VALUE"""),"")</f>
        <v/>
      </c>
      <c r="T735" s="510" t="str">
        <f>IFERROR(__xludf.DUMMYFUNCTION("""COMPUTED_VALUE"""),"")</f>
        <v/>
      </c>
    </row>
    <row r="736">
      <c r="A736" s="508" t="str">
        <f>IFERROR(__xludf.DUMMYFUNCTION("""COMPUTED_VALUE"""),"")</f>
        <v/>
      </c>
      <c r="B736" s="508" t="str">
        <f>IFERROR(__xludf.DUMMYFUNCTION("""COMPUTED_VALUE"""),"")</f>
        <v/>
      </c>
      <c r="C736" s="508" t="str">
        <f>IFERROR(__xludf.DUMMYFUNCTION("""COMPUTED_VALUE"""),"")</f>
        <v/>
      </c>
      <c r="D736" s="508" t="str">
        <f>IFERROR(__xludf.DUMMYFUNCTION("""COMPUTED_VALUE"""),"")</f>
        <v/>
      </c>
      <c r="E736" s="508" t="str">
        <f>IFERROR(__xludf.DUMMYFUNCTION("""COMPUTED_VALUE"""),"")</f>
        <v/>
      </c>
      <c r="F736" s="508" t="str">
        <f>IFERROR(__xludf.DUMMYFUNCTION("""COMPUTED_VALUE"""),"")</f>
        <v/>
      </c>
      <c r="G736" s="510" t="str">
        <f>IFERROR(__xludf.DUMMYFUNCTION("""COMPUTED_VALUE"""),"")</f>
        <v/>
      </c>
      <c r="H736" s="508" t="str">
        <f>IFERROR(__xludf.DUMMYFUNCTION("""COMPUTED_VALUE"""),"")</f>
        <v/>
      </c>
      <c r="I736" s="510" t="str">
        <f>IFERROR(__xludf.DUMMYFUNCTION("""COMPUTED_VALUE"""),"")</f>
        <v/>
      </c>
      <c r="J736" s="508" t="str">
        <f>IFERROR(__xludf.DUMMYFUNCTION("""COMPUTED_VALUE"""),"")</f>
        <v/>
      </c>
      <c r="K736" s="510" t="str">
        <f>IFERROR(__xludf.DUMMYFUNCTION("""COMPUTED_VALUE"""),"")</f>
        <v/>
      </c>
      <c r="L736" s="508" t="str">
        <f>IFERROR(__xludf.DUMMYFUNCTION("""COMPUTED_VALUE"""),"")</f>
        <v/>
      </c>
      <c r="M736" s="508" t="str">
        <f>IFERROR(__xludf.DUMMYFUNCTION("""COMPUTED_VALUE"""),"")</f>
        <v/>
      </c>
      <c r="N736" s="508" t="str">
        <f>IFERROR(__xludf.DUMMYFUNCTION("""COMPUTED_VALUE"""),"")</f>
        <v/>
      </c>
      <c r="O736" s="508" t="str">
        <f>IFERROR(__xludf.DUMMYFUNCTION("""COMPUTED_VALUE"""),"")</f>
        <v/>
      </c>
      <c r="P736" s="510" t="str">
        <f>IFERROR(__xludf.DUMMYFUNCTION("""COMPUTED_VALUE"""),"")</f>
        <v/>
      </c>
      <c r="Q736" s="508" t="str">
        <f>IFERROR(__xludf.DUMMYFUNCTION("""COMPUTED_VALUE"""),"")</f>
        <v/>
      </c>
      <c r="R736" s="508" t="str">
        <f>IFERROR(__xludf.DUMMYFUNCTION("""COMPUTED_VALUE"""),"")</f>
        <v/>
      </c>
      <c r="S736" s="510" t="str">
        <f>IFERROR(__xludf.DUMMYFUNCTION("""COMPUTED_VALUE"""),"")</f>
        <v/>
      </c>
      <c r="T736" s="510" t="str">
        <f>IFERROR(__xludf.DUMMYFUNCTION("""COMPUTED_VALUE"""),"")</f>
        <v/>
      </c>
    </row>
    <row r="737">
      <c r="A737" s="508" t="str">
        <f>IFERROR(__xludf.DUMMYFUNCTION("""COMPUTED_VALUE"""),"")</f>
        <v/>
      </c>
      <c r="B737" s="508" t="str">
        <f>IFERROR(__xludf.DUMMYFUNCTION("""COMPUTED_VALUE"""),"")</f>
        <v/>
      </c>
      <c r="C737" s="508" t="str">
        <f>IFERROR(__xludf.DUMMYFUNCTION("""COMPUTED_VALUE"""),"")</f>
        <v/>
      </c>
      <c r="D737" s="508" t="str">
        <f>IFERROR(__xludf.DUMMYFUNCTION("""COMPUTED_VALUE"""),"")</f>
        <v/>
      </c>
      <c r="E737" s="508" t="str">
        <f>IFERROR(__xludf.DUMMYFUNCTION("""COMPUTED_VALUE"""),"")</f>
        <v/>
      </c>
      <c r="F737" s="508" t="str">
        <f>IFERROR(__xludf.DUMMYFUNCTION("""COMPUTED_VALUE"""),"")</f>
        <v/>
      </c>
      <c r="G737" s="510" t="str">
        <f>IFERROR(__xludf.DUMMYFUNCTION("""COMPUTED_VALUE"""),"")</f>
        <v/>
      </c>
      <c r="H737" s="508" t="str">
        <f>IFERROR(__xludf.DUMMYFUNCTION("""COMPUTED_VALUE"""),"")</f>
        <v/>
      </c>
      <c r="I737" s="510" t="str">
        <f>IFERROR(__xludf.DUMMYFUNCTION("""COMPUTED_VALUE"""),"")</f>
        <v/>
      </c>
      <c r="J737" s="508" t="str">
        <f>IFERROR(__xludf.DUMMYFUNCTION("""COMPUTED_VALUE"""),"")</f>
        <v/>
      </c>
      <c r="K737" s="510" t="str">
        <f>IFERROR(__xludf.DUMMYFUNCTION("""COMPUTED_VALUE"""),"")</f>
        <v/>
      </c>
      <c r="L737" s="508" t="str">
        <f>IFERROR(__xludf.DUMMYFUNCTION("""COMPUTED_VALUE"""),"")</f>
        <v/>
      </c>
      <c r="M737" s="508" t="str">
        <f>IFERROR(__xludf.DUMMYFUNCTION("""COMPUTED_VALUE"""),"")</f>
        <v/>
      </c>
      <c r="N737" s="508" t="str">
        <f>IFERROR(__xludf.DUMMYFUNCTION("""COMPUTED_VALUE"""),"")</f>
        <v/>
      </c>
      <c r="O737" s="508" t="str">
        <f>IFERROR(__xludf.DUMMYFUNCTION("""COMPUTED_VALUE"""),"")</f>
        <v/>
      </c>
      <c r="P737" s="510" t="str">
        <f>IFERROR(__xludf.DUMMYFUNCTION("""COMPUTED_VALUE"""),"")</f>
        <v/>
      </c>
      <c r="Q737" s="508" t="str">
        <f>IFERROR(__xludf.DUMMYFUNCTION("""COMPUTED_VALUE"""),"")</f>
        <v/>
      </c>
      <c r="R737" s="508" t="str">
        <f>IFERROR(__xludf.DUMMYFUNCTION("""COMPUTED_VALUE"""),"")</f>
        <v/>
      </c>
      <c r="S737" s="510" t="str">
        <f>IFERROR(__xludf.DUMMYFUNCTION("""COMPUTED_VALUE"""),"")</f>
        <v/>
      </c>
      <c r="T737" s="510" t="str">
        <f>IFERROR(__xludf.DUMMYFUNCTION("""COMPUTED_VALUE"""),"")</f>
        <v/>
      </c>
    </row>
    <row r="738">
      <c r="A738" s="508" t="str">
        <f>IFERROR(__xludf.DUMMYFUNCTION("""COMPUTED_VALUE"""),"")</f>
        <v/>
      </c>
      <c r="B738" s="508" t="str">
        <f>IFERROR(__xludf.DUMMYFUNCTION("""COMPUTED_VALUE"""),"")</f>
        <v/>
      </c>
      <c r="C738" s="508" t="str">
        <f>IFERROR(__xludf.DUMMYFUNCTION("""COMPUTED_VALUE"""),"")</f>
        <v/>
      </c>
      <c r="D738" s="508" t="str">
        <f>IFERROR(__xludf.DUMMYFUNCTION("""COMPUTED_VALUE"""),"")</f>
        <v/>
      </c>
      <c r="E738" s="508" t="str">
        <f>IFERROR(__xludf.DUMMYFUNCTION("""COMPUTED_VALUE"""),"")</f>
        <v/>
      </c>
      <c r="F738" s="508" t="str">
        <f>IFERROR(__xludf.DUMMYFUNCTION("""COMPUTED_VALUE"""),"")</f>
        <v/>
      </c>
      <c r="G738" s="510" t="str">
        <f>IFERROR(__xludf.DUMMYFUNCTION("""COMPUTED_VALUE"""),"")</f>
        <v/>
      </c>
      <c r="H738" s="508" t="str">
        <f>IFERROR(__xludf.DUMMYFUNCTION("""COMPUTED_VALUE"""),"")</f>
        <v/>
      </c>
      <c r="I738" s="510" t="str">
        <f>IFERROR(__xludf.DUMMYFUNCTION("""COMPUTED_VALUE"""),"")</f>
        <v/>
      </c>
      <c r="J738" s="508" t="str">
        <f>IFERROR(__xludf.DUMMYFUNCTION("""COMPUTED_VALUE"""),"")</f>
        <v/>
      </c>
      <c r="K738" s="510" t="str">
        <f>IFERROR(__xludf.DUMMYFUNCTION("""COMPUTED_VALUE"""),"")</f>
        <v/>
      </c>
      <c r="L738" s="508" t="str">
        <f>IFERROR(__xludf.DUMMYFUNCTION("""COMPUTED_VALUE"""),"")</f>
        <v/>
      </c>
      <c r="M738" s="508" t="str">
        <f>IFERROR(__xludf.DUMMYFUNCTION("""COMPUTED_VALUE"""),"")</f>
        <v/>
      </c>
      <c r="N738" s="508" t="str">
        <f>IFERROR(__xludf.DUMMYFUNCTION("""COMPUTED_VALUE"""),"")</f>
        <v/>
      </c>
      <c r="O738" s="508" t="str">
        <f>IFERROR(__xludf.DUMMYFUNCTION("""COMPUTED_VALUE"""),"")</f>
        <v/>
      </c>
      <c r="P738" s="510" t="str">
        <f>IFERROR(__xludf.DUMMYFUNCTION("""COMPUTED_VALUE"""),"")</f>
        <v/>
      </c>
      <c r="Q738" s="508" t="str">
        <f>IFERROR(__xludf.DUMMYFUNCTION("""COMPUTED_VALUE"""),"")</f>
        <v/>
      </c>
      <c r="R738" s="508" t="str">
        <f>IFERROR(__xludf.DUMMYFUNCTION("""COMPUTED_VALUE"""),"")</f>
        <v/>
      </c>
      <c r="S738" s="510" t="str">
        <f>IFERROR(__xludf.DUMMYFUNCTION("""COMPUTED_VALUE"""),"")</f>
        <v/>
      </c>
      <c r="T738" s="510" t="str">
        <f>IFERROR(__xludf.DUMMYFUNCTION("""COMPUTED_VALUE"""),"")</f>
        <v/>
      </c>
    </row>
    <row r="739">
      <c r="A739" s="508" t="str">
        <f>IFERROR(__xludf.DUMMYFUNCTION("""COMPUTED_VALUE"""),"")</f>
        <v/>
      </c>
      <c r="B739" s="508" t="str">
        <f>IFERROR(__xludf.DUMMYFUNCTION("""COMPUTED_VALUE"""),"")</f>
        <v/>
      </c>
      <c r="C739" s="508" t="str">
        <f>IFERROR(__xludf.DUMMYFUNCTION("""COMPUTED_VALUE"""),"")</f>
        <v/>
      </c>
      <c r="D739" s="508" t="str">
        <f>IFERROR(__xludf.DUMMYFUNCTION("""COMPUTED_VALUE"""),"")</f>
        <v/>
      </c>
      <c r="E739" s="508" t="str">
        <f>IFERROR(__xludf.DUMMYFUNCTION("""COMPUTED_VALUE"""),"")</f>
        <v/>
      </c>
      <c r="F739" s="508" t="str">
        <f>IFERROR(__xludf.DUMMYFUNCTION("""COMPUTED_VALUE"""),"")</f>
        <v/>
      </c>
      <c r="G739" s="510" t="str">
        <f>IFERROR(__xludf.DUMMYFUNCTION("""COMPUTED_VALUE"""),"")</f>
        <v/>
      </c>
      <c r="H739" s="508" t="str">
        <f>IFERROR(__xludf.DUMMYFUNCTION("""COMPUTED_VALUE"""),"")</f>
        <v/>
      </c>
      <c r="I739" s="510" t="str">
        <f>IFERROR(__xludf.DUMMYFUNCTION("""COMPUTED_VALUE"""),"")</f>
        <v/>
      </c>
      <c r="J739" s="508" t="str">
        <f>IFERROR(__xludf.DUMMYFUNCTION("""COMPUTED_VALUE"""),"")</f>
        <v/>
      </c>
      <c r="K739" s="510" t="str">
        <f>IFERROR(__xludf.DUMMYFUNCTION("""COMPUTED_VALUE"""),"")</f>
        <v/>
      </c>
      <c r="L739" s="508" t="str">
        <f>IFERROR(__xludf.DUMMYFUNCTION("""COMPUTED_VALUE"""),"")</f>
        <v/>
      </c>
      <c r="M739" s="508" t="str">
        <f>IFERROR(__xludf.DUMMYFUNCTION("""COMPUTED_VALUE"""),"")</f>
        <v/>
      </c>
      <c r="N739" s="508" t="str">
        <f>IFERROR(__xludf.DUMMYFUNCTION("""COMPUTED_VALUE"""),"")</f>
        <v/>
      </c>
      <c r="O739" s="508" t="str">
        <f>IFERROR(__xludf.DUMMYFUNCTION("""COMPUTED_VALUE"""),"")</f>
        <v/>
      </c>
      <c r="P739" s="510" t="str">
        <f>IFERROR(__xludf.DUMMYFUNCTION("""COMPUTED_VALUE"""),"")</f>
        <v/>
      </c>
      <c r="Q739" s="508" t="str">
        <f>IFERROR(__xludf.DUMMYFUNCTION("""COMPUTED_VALUE"""),"")</f>
        <v/>
      </c>
      <c r="R739" s="508" t="str">
        <f>IFERROR(__xludf.DUMMYFUNCTION("""COMPUTED_VALUE"""),"")</f>
        <v/>
      </c>
      <c r="S739" s="510" t="str">
        <f>IFERROR(__xludf.DUMMYFUNCTION("""COMPUTED_VALUE"""),"")</f>
        <v/>
      </c>
      <c r="T739" s="510" t="str">
        <f>IFERROR(__xludf.DUMMYFUNCTION("""COMPUTED_VALUE"""),"")</f>
        <v/>
      </c>
    </row>
    <row r="740">
      <c r="A740" s="508" t="str">
        <f>IFERROR(__xludf.DUMMYFUNCTION("""COMPUTED_VALUE"""),"")</f>
        <v/>
      </c>
      <c r="B740" s="508" t="str">
        <f>IFERROR(__xludf.DUMMYFUNCTION("""COMPUTED_VALUE"""),"")</f>
        <v/>
      </c>
      <c r="C740" s="508" t="str">
        <f>IFERROR(__xludf.DUMMYFUNCTION("""COMPUTED_VALUE"""),"")</f>
        <v/>
      </c>
      <c r="D740" s="508" t="str">
        <f>IFERROR(__xludf.DUMMYFUNCTION("""COMPUTED_VALUE"""),"")</f>
        <v/>
      </c>
      <c r="E740" s="508" t="str">
        <f>IFERROR(__xludf.DUMMYFUNCTION("""COMPUTED_VALUE"""),"")</f>
        <v/>
      </c>
      <c r="F740" s="508" t="str">
        <f>IFERROR(__xludf.DUMMYFUNCTION("""COMPUTED_VALUE"""),"")</f>
        <v/>
      </c>
      <c r="G740" s="510" t="str">
        <f>IFERROR(__xludf.DUMMYFUNCTION("""COMPUTED_VALUE"""),"")</f>
        <v/>
      </c>
      <c r="H740" s="508" t="str">
        <f>IFERROR(__xludf.DUMMYFUNCTION("""COMPUTED_VALUE"""),"")</f>
        <v/>
      </c>
      <c r="I740" s="510" t="str">
        <f>IFERROR(__xludf.DUMMYFUNCTION("""COMPUTED_VALUE"""),"")</f>
        <v/>
      </c>
      <c r="J740" s="508" t="str">
        <f>IFERROR(__xludf.DUMMYFUNCTION("""COMPUTED_VALUE"""),"")</f>
        <v/>
      </c>
      <c r="K740" s="510" t="str">
        <f>IFERROR(__xludf.DUMMYFUNCTION("""COMPUTED_VALUE"""),"")</f>
        <v/>
      </c>
      <c r="L740" s="508" t="str">
        <f>IFERROR(__xludf.DUMMYFUNCTION("""COMPUTED_VALUE"""),"")</f>
        <v/>
      </c>
      <c r="M740" s="508" t="str">
        <f>IFERROR(__xludf.DUMMYFUNCTION("""COMPUTED_VALUE"""),"")</f>
        <v/>
      </c>
      <c r="N740" s="508" t="str">
        <f>IFERROR(__xludf.DUMMYFUNCTION("""COMPUTED_VALUE"""),"")</f>
        <v/>
      </c>
      <c r="O740" s="508" t="str">
        <f>IFERROR(__xludf.DUMMYFUNCTION("""COMPUTED_VALUE"""),"")</f>
        <v/>
      </c>
      <c r="P740" s="510" t="str">
        <f>IFERROR(__xludf.DUMMYFUNCTION("""COMPUTED_VALUE"""),"")</f>
        <v/>
      </c>
      <c r="Q740" s="508" t="str">
        <f>IFERROR(__xludf.DUMMYFUNCTION("""COMPUTED_VALUE"""),"")</f>
        <v/>
      </c>
      <c r="R740" s="508" t="str">
        <f>IFERROR(__xludf.DUMMYFUNCTION("""COMPUTED_VALUE"""),"")</f>
        <v/>
      </c>
      <c r="S740" s="510" t="str">
        <f>IFERROR(__xludf.DUMMYFUNCTION("""COMPUTED_VALUE"""),"")</f>
        <v/>
      </c>
      <c r="T740" s="510" t="str">
        <f>IFERROR(__xludf.DUMMYFUNCTION("""COMPUTED_VALUE"""),"")</f>
        <v/>
      </c>
    </row>
    <row r="741">
      <c r="A741" s="508" t="str">
        <f>IFERROR(__xludf.DUMMYFUNCTION("""COMPUTED_VALUE"""),"")</f>
        <v/>
      </c>
      <c r="B741" s="508" t="str">
        <f>IFERROR(__xludf.DUMMYFUNCTION("""COMPUTED_VALUE"""),"")</f>
        <v/>
      </c>
      <c r="C741" s="508" t="str">
        <f>IFERROR(__xludf.DUMMYFUNCTION("""COMPUTED_VALUE"""),"")</f>
        <v/>
      </c>
      <c r="D741" s="508" t="str">
        <f>IFERROR(__xludf.DUMMYFUNCTION("""COMPUTED_VALUE"""),"")</f>
        <v/>
      </c>
      <c r="E741" s="508" t="str">
        <f>IFERROR(__xludf.DUMMYFUNCTION("""COMPUTED_VALUE"""),"")</f>
        <v/>
      </c>
      <c r="F741" s="508" t="str">
        <f>IFERROR(__xludf.DUMMYFUNCTION("""COMPUTED_VALUE"""),"")</f>
        <v/>
      </c>
      <c r="G741" s="510" t="str">
        <f>IFERROR(__xludf.DUMMYFUNCTION("""COMPUTED_VALUE"""),"")</f>
        <v/>
      </c>
      <c r="H741" s="508" t="str">
        <f>IFERROR(__xludf.DUMMYFUNCTION("""COMPUTED_VALUE"""),"")</f>
        <v/>
      </c>
      <c r="I741" s="510" t="str">
        <f>IFERROR(__xludf.DUMMYFUNCTION("""COMPUTED_VALUE"""),"")</f>
        <v/>
      </c>
      <c r="J741" s="508" t="str">
        <f>IFERROR(__xludf.DUMMYFUNCTION("""COMPUTED_VALUE"""),"")</f>
        <v/>
      </c>
      <c r="K741" s="510" t="str">
        <f>IFERROR(__xludf.DUMMYFUNCTION("""COMPUTED_VALUE"""),"")</f>
        <v/>
      </c>
      <c r="L741" s="508" t="str">
        <f>IFERROR(__xludf.DUMMYFUNCTION("""COMPUTED_VALUE"""),"")</f>
        <v/>
      </c>
      <c r="M741" s="508" t="str">
        <f>IFERROR(__xludf.DUMMYFUNCTION("""COMPUTED_VALUE"""),"")</f>
        <v/>
      </c>
      <c r="N741" s="508" t="str">
        <f>IFERROR(__xludf.DUMMYFUNCTION("""COMPUTED_VALUE"""),"")</f>
        <v/>
      </c>
      <c r="O741" s="508" t="str">
        <f>IFERROR(__xludf.DUMMYFUNCTION("""COMPUTED_VALUE"""),"")</f>
        <v/>
      </c>
      <c r="P741" s="510" t="str">
        <f>IFERROR(__xludf.DUMMYFUNCTION("""COMPUTED_VALUE"""),"")</f>
        <v/>
      </c>
      <c r="Q741" s="508" t="str">
        <f>IFERROR(__xludf.DUMMYFUNCTION("""COMPUTED_VALUE"""),"")</f>
        <v/>
      </c>
      <c r="R741" s="508" t="str">
        <f>IFERROR(__xludf.DUMMYFUNCTION("""COMPUTED_VALUE"""),"")</f>
        <v/>
      </c>
      <c r="S741" s="510" t="str">
        <f>IFERROR(__xludf.DUMMYFUNCTION("""COMPUTED_VALUE"""),"")</f>
        <v/>
      </c>
      <c r="T741" s="510" t="str">
        <f>IFERROR(__xludf.DUMMYFUNCTION("""COMPUTED_VALUE"""),"")</f>
        <v/>
      </c>
    </row>
    <row r="742">
      <c r="A742" s="508" t="str">
        <f>IFERROR(__xludf.DUMMYFUNCTION("""COMPUTED_VALUE"""),"")</f>
        <v/>
      </c>
      <c r="B742" s="508" t="str">
        <f>IFERROR(__xludf.DUMMYFUNCTION("""COMPUTED_VALUE"""),"")</f>
        <v/>
      </c>
      <c r="C742" s="508" t="str">
        <f>IFERROR(__xludf.DUMMYFUNCTION("""COMPUTED_VALUE"""),"")</f>
        <v/>
      </c>
      <c r="D742" s="508" t="str">
        <f>IFERROR(__xludf.DUMMYFUNCTION("""COMPUTED_VALUE"""),"")</f>
        <v/>
      </c>
      <c r="E742" s="508" t="str">
        <f>IFERROR(__xludf.DUMMYFUNCTION("""COMPUTED_VALUE"""),"")</f>
        <v/>
      </c>
      <c r="F742" s="508" t="str">
        <f>IFERROR(__xludf.DUMMYFUNCTION("""COMPUTED_VALUE"""),"")</f>
        <v/>
      </c>
      <c r="G742" s="510" t="str">
        <f>IFERROR(__xludf.DUMMYFUNCTION("""COMPUTED_VALUE"""),"")</f>
        <v/>
      </c>
      <c r="H742" s="508" t="str">
        <f>IFERROR(__xludf.DUMMYFUNCTION("""COMPUTED_VALUE"""),"")</f>
        <v/>
      </c>
      <c r="I742" s="510" t="str">
        <f>IFERROR(__xludf.DUMMYFUNCTION("""COMPUTED_VALUE"""),"")</f>
        <v/>
      </c>
      <c r="J742" s="508" t="str">
        <f>IFERROR(__xludf.DUMMYFUNCTION("""COMPUTED_VALUE"""),"")</f>
        <v/>
      </c>
      <c r="K742" s="510" t="str">
        <f>IFERROR(__xludf.DUMMYFUNCTION("""COMPUTED_VALUE"""),"")</f>
        <v/>
      </c>
      <c r="L742" s="508" t="str">
        <f>IFERROR(__xludf.DUMMYFUNCTION("""COMPUTED_VALUE"""),"")</f>
        <v/>
      </c>
      <c r="M742" s="508" t="str">
        <f>IFERROR(__xludf.DUMMYFUNCTION("""COMPUTED_VALUE"""),"")</f>
        <v/>
      </c>
      <c r="N742" s="508" t="str">
        <f>IFERROR(__xludf.DUMMYFUNCTION("""COMPUTED_VALUE"""),"")</f>
        <v/>
      </c>
      <c r="O742" s="508" t="str">
        <f>IFERROR(__xludf.DUMMYFUNCTION("""COMPUTED_VALUE"""),"")</f>
        <v/>
      </c>
      <c r="P742" s="510" t="str">
        <f>IFERROR(__xludf.DUMMYFUNCTION("""COMPUTED_VALUE"""),"")</f>
        <v/>
      </c>
      <c r="Q742" s="508" t="str">
        <f>IFERROR(__xludf.DUMMYFUNCTION("""COMPUTED_VALUE"""),"")</f>
        <v/>
      </c>
      <c r="R742" s="508" t="str">
        <f>IFERROR(__xludf.DUMMYFUNCTION("""COMPUTED_VALUE"""),"")</f>
        <v/>
      </c>
      <c r="S742" s="510" t="str">
        <f>IFERROR(__xludf.DUMMYFUNCTION("""COMPUTED_VALUE"""),"")</f>
        <v/>
      </c>
      <c r="T742" s="510" t="str">
        <f>IFERROR(__xludf.DUMMYFUNCTION("""COMPUTED_VALUE"""),"")</f>
        <v/>
      </c>
    </row>
    <row r="743">
      <c r="A743" s="508" t="str">
        <f>IFERROR(__xludf.DUMMYFUNCTION("""COMPUTED_VALUE"""),"")</f>
        <v/>
      </c>
      <c r="B743" s="508" t="str">
        <f>IFERROR(__xludf.DUMMYFUNCTION("""COMPUTED_VALUE"""),"")</f>
        <v/>
      </c>
      <c r="C743" s="508" t="str">
        <f>IFERROR(__xludf.DUMMYFUNCTION("""COMPUTED_VALUE"""),"")</f>
        <v/>
      </c>
      <c r="D743" s="508" t="str">
        <f>IFERROR(__xludf.DUMMYFUNCTION("""COMPUTED_VALUE"""),"")</f>
        <v/>
      </c>
      <c r="E743" s="508" t="str">
        <f>IFERROR(__xludf.DUMMYFUNCTION("""COMPUTED_VALUE"""),"")</f>
        <v/>
      </c>
      <c r="F743" s="508" t="str">
        <f>IFERROR(__xludf.DUMMYFUNCTION("""COMPUTED_VALUE"""),"")</f>
        <v/>
      </c>
      <c r="G743" s="510" t="str">
        <f>IFERROR(__xludf.DUMMYFUNCTION("""COMPUTED_VALUE"""),"")</f>
        <v/>
      </c>
      <c r="H743" s="508" t="str">
        <f>IFERROR(__xludf.DUMMYFUNCTION("""COMPUTED_VALUE"""),"")</f>
        <v/>
      </c>
      <c r="I743" s="510" t="str">
        <f>IFERROR(__xludf.DUMMYFUNCTION("""COMPUTED_VALUE"""),"")</f>
        <v/>
      </c>
      <c r="J743" s="508" t="str">
        <f>IFERROR(__xludf.DUMMYFUNCTION("""COMPUTED_VALUE"""),"")</f>
        <v/>
      </c>
      <c r="K743" s="510" t="str">
        <f>IFERROR(__xludf.DUMMYFUNCTION("""COMPUTED_VALUE"""),"")</f>
        <v/>
      </c>
      <c r="L743" s="508" t="str">
        <f>IFERROR(__xludf.DUMMYFUNCTION("""COMPUTED_VALUE"""),"")</f>
        <v/>
      </c>
      <c r="M743" s="508" t="str">
        <f>IFERROR(__xludf.DUMMYFUNCTION("""COMPUTED_VALUE"""),"")</f>
        <v/>
      </c>
      <c r="N743" s="508" t="str">
        <f>IFERROR(__xludf.DUMMYFUNCTION("""COMPUTED_VALUE"""),"")</f>
        <v/>
      </c>
      <c r="O743" s="508" t="str">
        <f>IFERROR(__xludf.DUMMYFUNCTION("""COMPUTED_VALUE"""),"")</f>
        <v/>
      </c>
      <c r="P743" s="510" t="str">
        <f>IFERROR(__xludf.DUMMYFUNCTION("""COMPUTED_VALUE"""),"")</f>
        <v/>
      </c>
      <c r="Q743" s="508" t="str">
        <f>IFERROR(__xludf.DUMMYFUNCTION("""COMPUTED_VALUE"""),"")</f>
        <v/>
      </c>
      <c r="R743" s="508" t="str">
        <f>IFERROR(__xludf.DUMMYFUNCTION("""COMPUTED_VALUE"""),"")</f>
        <v/>
      </c>
      <c r="S743" s="510" t="str">
        <f>IFERROR(__xludf.DUMMYFUNCTION("""COMPUTED_VALUE"""),"")</f>
        <v/>
      </c>
      <c r="T743" s="510" t="str">
        <f>IFERROR(__xludf.DUMMYFUNCTION("""COMPUTED_VALUE"""),"")</f>
        <v/>
      </c>
    </row>
    <row r="744">
      <c r="A744" s="508" t="str">
        <f>IFERROR(__xludf.DUMMYFUNCTION("""COMPUTED_VALUE"""),"")</f>
        <v/>
      </c>
      <c r="B744" s="508" t="str">
        <f>IFERROR(__xludf.DUMMYFUNCTION("""COMPUTED_VALUE"""),"")</f>
        <v/>
      </c>
      <c r="C744" s="508" t="str">
        <f>IFERROR(__xludf.DUMMYFUNCTION("""COMPUTED_VALUE"""),"")</f>
        <v/>
      </c>
      <c r="D744" s="508" t="str">
        <f>IFERROR(__xludf.DUMMYFUNCTION("""COMPUTED_VALUE"""),"")</f>
        <v/>
      </c>
      <c r="E744" s="508" t="str">
        <f>IFERROR(__xludf.DUMMYFUNCTION("""COMPUTED_VALUE"""),"")</f>
        <v/>
      </c>
      <c r="F744" s="508" t="str">
        <f>IFERROR(__xludf.DUMMYFUNCTION("""COMPUTED_VALUE"""),"")</f>
        <v/>
      </c>
      <c r="G744" s="510" t="str">
        <f>IFERROR(__xludf.DUMMYFUNCTION("""COMPUTED_VALUE"""),"")</f>
        <v/>
      </c>
      <c r="H744" s="508" t="str">
        <f>IFERROR(__xludf.DUMMYFUNCTION("""COMPUTED_VALUE"""),"")</f>
        <v/>
      </c>
      <c r="I744" s="510" t="str">
        <f>IFERROR(__xludf.DUMMYFUNCTION("""COMPUTED_VALUE"""),"")</f>
        <v/>
      </c>
      <c r="J744" s="508" t="str">
        <f>IFERROR(__xludf.DUMMYFUNCTION("""COMPUTED_VALUE"""),"")</f>
        <v/>
      </c>
      <c r="K744" s="510" t="str">
        <f>IFERROR(__xludf.DUMMYFUNCTION("""COMPUTED_VALUE"""),"")</f>
        <v/>
      </c>
      <c r="L744" s="508" t="str">
        <f>IFERROR(__xludf.DUMMYFUNCTION("""COMPUTED_VALUE"""),"")</f>
        <v/>
      </c>
      <c r="M744" s="508" t="str">
        <f>IFERROR(__xludf.DUMMYFUNCTION("""COMPUTED_VALUE"""),"")</f>
        <v/>
      </c>
      <c r="N744" s="508" t="str">
        <f>IFERROR(__xludf.DUMMYFUNCTION("""COMPUTED_VALUE"""),"")</f>
        <v/>
      </c>
      <c r="O744" s="508" t="str">
        <f>IFERROR(__xludf.DUMMYFUNCTION("""COMPUTED_VALUE"""),"")</f>
        <v/>
      </c>
      <c r="P744" s="510" t="str">
        <f>IFERROR(__xludf.DUMMYFUNCTION("""COMPUTED_VALUE"""),"")</f>
        <v/>
      </c>
      <c r="Q744" s="508" t="str">
        <f>IFERROR(__xludf.DUMMYFUNCTION("""COMPUTED_VALUE"""),"")</f>
        <v/>
      </c>
      <c r="R744" s="508" t="str">
        <f>IFERROR(__xludf.DUMMYFUNCTION("""COMPUTED_VALUE"""),"")</f>
        <v/>
      </c>
      <c r="S744" s="510" t="str">
        <f>IFERROR(__xludf.DUMMYFUNCTION("""COMPUTED_VALUE"""),"")</f>
        <v/>
      </c>
      <c r="T744" s="510" t="str">
        <f>IFERROR(__xludf.DUMMYFUNCTION("""COMPUTED_VALUE"""),"")</f>
        <v/>
      </c>
    </row>
    <row r="745">
      <c r="A745" s="508" t="str">
        <f>IFERROR(__xludf.DUMMYFUNCTION("""COMPUTED_VALUE"""),"")</f>
        <v/>
      </c>
      <c r="B745" s="508" t="str">
        <f>IFERROR(__xludf.DUMMYFUNCTION("""COMPUTED_VALUE"""),"")</f>
        <v/>
      </c>
      <c r="C745" s="508" t="str">
        <f>IFERROR(__xludf.DUMMYFUNCTION("""COMPUTED_VALUE"""),"")</f>
        <v/>
      </c>
      <c r="D745" s="508" t="str">
        <f>IFERROR(__xludf.DUMMYFUNCTION("""COMPUTED_VALUE"""),"")</f>
        <v/>
      </c>
      <c r="E745" s="508" t="str">
        <f>IFERROR(__xludf.DUMMYFUNCTION("""COMPUTED_VALUE"""),"")</f>
        <v/>
      </c>
      <c r="F745" s="508" t="str">
        <f>IFERROR(__xludf.DUMMYFUNCTION("""COMPUTED_VALUE"""),"")</f>
        <v/>
      </c>
      <c r="G745" s="510" t="str">
        <f>IFERROR(__xludf.DUMMYFUNCTION("""COMPUTED_VALUE"""),"")</f>
        <v/>
      </c>
      <c r="H745" s="508" t="str">
        <f>IFERROR(__xludf.DUMMYFUNCTION("""COMPUTED_VALUE"""),"")</f>
        <v/>
      </c>
      <c r="I745" s="510" t="str">
        <f>IFERROR(__xludf.DUMMYFUNCTION("""COMPUTED_VALUE"""),"")</f>
        <v/>
      </c>
      <c r="J745" s="508" t="str">
        <f>IFERROR(__xludf.DUMMYFUNCTION("""COMPUTED_VALUE"""),"")</f>
        <v/>
      </c>
      <c r="K745" s="510" t="str">
        <f>IFERROR(__xludf.DUMMYFUNCTION("""COMPUTED_VALUE"""),"")</f>
        <v/>
      </c>
      <c r="L745" s="508" t="str">
        <f>IFERROR(__xludf.DUMMYFUNCTION("""COMPUTED_VALUE"""),"")</f>
        <v/>
      </c>
      <c r="M745" s="508" t="str">
        <f>IFERROR(__xludf.DUMMYFUNCTION("""COMPUTED_VALUE"""),"")</f>
        <v/>
      </c>
      <c r="N745" s="508" t="str">
        <f>IFERROR(__xludf.DUMMYFUNCTION("""COMPUTED_VALUE"""),"")</f>
        <v/>
      </c>
      <c r="O745" s="508" t="str">
        <f>IFERROR(__xludf.DUMMYFUNCTION("""COMPUTED_VALUE"""),"")</f>
        <v/>
      </c>
      <c r="P745" s="510" t="str">
        <f>IFERROR(__xludf.DUMMYFUNCTION("""COMPUTED_VALUE"""),"")</f>
        <v/>
      </c>
      <c r="Q745" s="508" t="str">
        <f>IFERROR(__xludf.DUMMYFUNCTION("""COMPUTED_VALUE"""),"")</f>
        <v/>
      </c>
      <c r="R745" s="508" t="str">
        <f>IFERROR(__xludf.DUMMYFUNCTION("""COMPUTED_VALUE"""),"")</f>
        <v/>
      </c>
      <c r="S745" s="510" t="str">
        <f>IFERROR(__xludf.DUMMYFUNCTION("""COMPUTED_VALUE"""),"")</f>
        <v/>
      </c>
      <c r="T745" s="510" t="str">
        <f>IFERROR(__xludf.DUMMYFUNCTION("""COMPUTED_VALUE"""),"")</f>
        <v/>
      </c>
    </row>
    <row r="746">
      <c r="A746" s="508" t="str">
        <f>IFERROR(__xludf.DUMMYFUNCTION("""COMPUTED_VALUE"""),"")</f>
        <v/>
      </c>
      <c r="B746" s="508" t="str">
        <f>IFERROR(__xludf.DUMMYFUNCTION("""COMPUTED_VALUE"""),"")</f>
        <v/>
      </c>
      <c r="C746" s="508" t="str">
        <f>IFERROR(__xludf.DUMMYFUNCTION("""COMPUTED_VALUE"""),"")</f>
        <v/>
      </c>
      <c r="D746" s="508" t="str">
        <f>IFERROR(__xludf.DUMMYFUNCTION("""COMPUTED_VALUE"""),"")</f>
        <v/>
      </c>
      <c r="E746" s="508" t="str">
        <f>IFERROR(__xludf.DUMMYFUNCTION("""COMPUTED_VALUE"""),"")</f>
        <v/>
      </c>
      <c r="F746" s="508" t="str">
        <f>IFERROR(__xludf.DUMMYFUNCTION("""COMPUTED_VALUE"""),"")</f>
        <v/>
      </c>
      <c r="G746" s="510" t="str">
        <f>IFERROR(__xludf.DUMMYFUNCTION("""COMPUTED_VALUE"""),"")</f>
        <v/>
      </c>
      <c r="H746" s="508" t="str">
        <f>IFERROR(__xludf.DUMMYFUNCTION("""COMPUTED_VALUE"""),"")</f>
        <v/>
      </c>
      <c r="I746" s="510" t="str">
        <f>IFERROR(__xludf.DUMMYFUNCTION("""COMPUTED_VALUE"""),"")</f>
        <v/>
      </c>
      <c r="J746" s="508" t="str">
        <f>IFERROR(__xludf.DUMMYFUNCTION("""COMPUTED_VALUE"""),"")</f>
        <v/>
      </c>
      <c r="K746" s="510" t="str">
        <f>IFERROR(__xludf.DUMMYFUNCTION("""COMPUTED_VALUE"""),"")</f>
        <v/>
      </c>
      <c r="L746" s="508" t="str">
        <f>IFERROR(__xludf.DUMMYFUNCTION("""COMPUTED_VALUE"""),"")</f>
        <v/>
      </c>
      <c r="M746" s="508" t="str">
        <f>IFERROR(__xludf.DUMMYFUNCTION("""COMPUTED_VALUE"""),"")</f>
        <v/>
      </c>
      <c r="N746" s="508" t="str">
        <f>IFERROR(__xludf.DUMMYFUNCTION("""COMPUTED_VALUE"""),"")</f>
        <v/>
      </c>
      <c r="O746" s="508" t="str">
        <f>IFERROR(__xludf.DUMMYFUNCTION("""COMPUTED_VALUE"""),"")</f>
        <v/>
      </c>
      <c r="P746" s="510" t="str">
        <f>IFERROR(__xludf.DUMMYFUNCTION("""COMPUTED_VALUE"""),"")</f>
        <v/>
      </c>
      <c r="Q746" s="508" t="str">
        <f>IFERROR(__xludf.DUMMYFUNCTION("""COMPUTED_VALUE"""),"")</f>
        <v/>
      </c>
      <c r="R746" s="508" t="str">
        <f>IFERROR(__xludf.DUMMYFUNCTION("""COMPUTED_VALUE"""),"")</f>
        <v/>
      </c>
      <c r="S746" s="510" t="str">
        <f>IFERROR(__xludf.DUMMYFUNCTION("""COMPUTED_VALUE"""),"")</f>
        <v/>
      </c>
      <c r="T746" s="510" t="str">
        <f>IFERROR(__xludf.DUMMYFUNCTION("""COMPUTED_VALUE"""),"")</f>
        <v/>
      </c>
    </row>
    <row r="747">
      <c r="A747" s="508" t="str">
        <f>IFERROR(__xludf.DUMMYFUNCTION("""COMPUTED_VALUE"""),"")</f>
        <v/>
      </c>
      <c r="B747" s="508" t="str">
        <f>IFERROR(__xludf.DUMMYFUNCTION("""COMPUTED_VALUE"""),"")</f>
        <v/>
      </c>
      <c r="C747" s="508" t="str">
        <f>IFERROR(__xludf.DUMMYFUNCTION("""COMPUTED_VALUE"""),"")</f>
        <v/>
      </c>
      <c r="D747" s="508" t="str">
        <f>IFERROR(__xludf.DUMMYFUNCTION("""COMPUTED_VALUE"""),"")</f>
        <v/>
      </c>
      <c r="E747" s="508" t="str">
        <f>IFERROR(__xludf.DUMMYFUNCTION("""COMPUTED_VALUE"""),"")</f>
        <v/>
      </c>
      <c r="F747" s="508" t="str">
        <f>IFERROR(__xludf.DUMMYFUNCTION("""COMPUTED_VALUE"""),"")</f>
        <v/>
      </c>
      <c r="G747" s="510" t="str">
        <f>IFERROR(__xludf.DUMMYFUNCTION("""COMPUTED_VALUE"""),"")</f>
        <v/>
      </c>
      <c r="H747" s="508" t="str">
        <f>IFERROR(__xludf.DUMMYFUNCTION("""COMPUTED_VALUE"""),"")</f>
        <v/>
      </c>
      <c r="I747" s="510" t="str">
        <f>IFERROR(__xludf.DUMMYFUNCTION("""COMPUTED_VALUE"""),"")</f>
        <v/>
      </c>
      <c r="J747" s="508" t="str">
        <f>IFERROR(__xludf.DUMMYFUNCTION("""COMPUTED_VALUE"""),"")</f>
        <v/>
      </c>
      <c r="K747" s="510" t="str">
        <f>IFERROR(__xludf.DUMMYFUNCTION("""COMPUTED_VALUE"""),"")</f>
        <v/>
      </c>
      <c r="L747" s="508" t="str">
        <f>IFERROR(__xludf.DUMMYFUNCTION("""COMPUTED_VALUE"""),"")</f>
        <v/>
      </c>
      <c r="M747" s="508" t="str">
        <f>IFERROR(__xludf.DUMMYFUNCTION("""COMPUTED_VALUE"""),"")</f>
        <v/>
      </c>
      <c r="N747" s="508" t="str">
        <f>IFERROR(__xludf.DUMMYFUNCTION("""COMPUTED_VALUE"""),"")</f>
        <v/>
      </c>
      <c r="O747" s="508" t="str">
        <f>IFERROR(__xludf.DUMMYFUNCTION("""COMPUTED_VALUE"""),"")</f>
        <v/>
      </c>
      <c r="P747" s="510" t="str">
        <f>IFERROR(__xludf.DUMMYFUNCTION("""COMPUTED_VALUE"""),"")</f>
        <v/>
      </c>
      <c r="Q747" s="508" t="str">
        <f>IFERROR(__xludf.DUMMYFUNCTION("""COMPUTED_VALUE"""),"")</f>
        <v/>
      </c>
      <c r="R747" s="508" t="str">
        <f>IFERROR(__xludf.DUMMYFUNCTION("""COMPUTED_VALUE"""),"")</f>
        <v/>
      </c>
      <c r="S747" s="510" t="str">
        <f>IFERROR(__xludf.DUMMYFUNCTION("""COMPUTED_VALUE"""),"")</f>
        <v/>
      </c>
      <c r="T747" s="510" t="str">
        <f>IFERROR(__xludf.DUMMYFUNCTION("""COMPUTED_VALUE"""),"")</f>
        <v/>
      </c>
    </row>
    <row r="748">
      <c r="A748" s="508" t="str">
        <f>IFERROR(__xludf.DUMMYFUNCTION("""COMPUTED_VALUE"""),"")</f>
        <v/>
      </c>
      <c r="B748" s="508" t="str">
        <f>IFERROR(__xludf.DUMMYFUNCTION("""COMPUTED_VALUE"""),"")</f>
        <v/>
      </c>
      <c r="C748" s="508" t="str">
        <f>IFERROR(__xludf.DUMMYFUNCTION("""COMPUTED_VALUE"""),"")</f>
        <v/>
      </c>
      <c r="D748" s="508" t="str">
        <f>IFERROR(__xludf.DUMMYFUNCTION("""COMPUTED_VALUE"""),"")</f>
        <v/>
      </c>
      <c r="E748" s="508" t="str">
        <f>IFERROR(__xludf.DUMMYFUNCTION("""COMPUTED_VALUE"""),"")</f>
        <v/>
      </c>
      <c r="F748" s="508" t="str">
        <f>IFERROR(__xludf.DUMMYFUNCTION("""COMPUTED_VALUE"""),"")</f>
        <v/>
      </c>
      <c r="G748" s="510" t="str">
        <f>IFERROR(__xludf.DUMMYFUNCTION("""COMPUTED_VALUE"""),"")</f>
        <v/>
      </c>
      <c r="H748" s="508" t="str">
        <f>IFERROR(__xludf.DUMMYFUNCTION("""COMPUTED_VALUE"""),"")</f>
        <v/>
      </c>
      <c r="I748" s="510" t="str">
        <f>IFERROR(__xludf.DUMMYFUNCTION("""COMPUTED_VALUE"""),"")</f>
        <v/>
      </c>
      <c r="J748" s="508" t="str">
        <f>IFERROR(__xludf.DUMMYFUNCTION("""COMPUTED_VALUE"""),"")</f>
        <v/>
      </c>
      <c r="K748" s="510" t="str">
        <f>IFERROR(__xludf.DUMMYFUNCTION("""COMPUTED_VALUE"""),"")</f>
        <v/>
      </c>
      <c r="L748" s="508" t="str">
        <f>IFERROR(__xludf.DUMMYFUNCTION("""COMPUTED_VALUE"""),"")</f>
        <v/>
      </c>
      <c r="M748" s="508" t="str">
        <f>IFERROR(__xludf.DUMMYFUNCTION("""COMPUTED_VALUE"""),"")</f>
        <v/>
      </c>
      <c r="N748" s="508" t="str">
        <f>IFERROR(__xludf.DUMMYFUNCTION("""COMPUTED_VALUE"""),"")</f>
        <v/>
      </c>
      <c r="O748" s="508" t="str">
        <f>IFERROR(__xludf.DUMMYFUNCTION("""COMPUTED_VALUE"""),"")</f>
        <v/>
      </c>
      <c r="P748" s="510" t="str">
        <f>IFERROR(__xludf.DUMMYFUNCTION("""COMPUTED_VALUE"""),"")</f>
        <v/>
      </c>
      <c r="Q748" s="508" t="str">
        <f>IFERROR(__xludf.DUMMYFUNCTION("""COMPUTED_VALUE"""),"")</f>
        <v/>
      </c>
      <c r="R748" s="508" t="str">
        <f>IFERROR(__xludf.DUMMYFUNCTION("""COMPUTED_VALUE"""),"")</f>
        <v/>
      </c>
      <c r="S748" s="510" t="str">
        <f>IFERROR(__xludf.DUMMYFUNCTION("""COMPUTED_VALUE"""),"")</f>
        <v/>
      </c>
      <c r="T748" s="510" t="str">
        <f>IFERROR(__xludf.DUMMYFUNCTION("""COMPUTED_VALUE"""),"")</f>
        <v/>
      </c>
    </row>
    <row r="749">
      <c r="A749" s="508" t="str">
        <f>IFERROR(__xludf.DUMMYFUNCTION("""COMPUTED_VALUE"""),"")</f>
        <v/>
      </c>
      <c r="B749" s="508" t="str">
        <f>IFERROR(__xludf.DUMMYFUNCTION("""COMPUTED_VALUE"""),"")</f>
        <v/>
      </c>
      <c r="C749" s="508" t="str">
        <f>IFERROR(__xludf.DUMMYFUNCTION("""COMPUTED_VALUE"""),"")</f>
        <v/>
      </c>
      <c r="D749" s="508" t="str">
        <f>IFERROR(__xludf.DUMMYFUNCTION("""COMPUTED_VALUE"""),"")</f>
        <v/>
      </c>
      <c r="E749" s="508" t="str">
        <f>IFERROR(__xludf.DUMMYFUNCTION("""COMPUTED_VALUE"""),"")</f>
        <v/>
      </c>
      <c r="F749" s="508" t="str">
        <f>IFERROR(__xludf.DUMMYFUNCTION("""COMPUTED_VALUE"""),"")</f>
        <v/>
      </c>
      <c r="G749" s="510" t="str">
        <f>IFERROR(__xludf.DUMMYFUNCTION("""COMPUTED_VALUE"""),"")</f>
        <v/>
      </c>
      <c r="H749" s="508" t="str">
        <f>IFERROR(__xludf.DUMMYFUNCTION("""COMPUTED_VALUE"""),"")</f>
        <v/>
      </c>
      <c r="I749" s="510" t="str">
        <f>IFERROR(__xludf.DUMMYFUNCTION("""COMPUTED_VALUE"""),"")</f>
        <v/>
      </c>
      <c r="J749" s="508" t="str">
        <f>IFERROR(__xludf.DUMMYFUNCTION("""COMPUTED_VALUE"""),"")</f>
        <v/>
      </c>
      <c r="K749" s="510" t="str">
        <f>IFERROR(__xludf.DUMMYFUNCTION("""COMPUTED_VALUE"""),"")</f>
        <v/>
      </c>
      <c r="L749" s="508" t="str">
        <f>IFERROR(__xludf.DUMMYFUNCTION("""COMPUTED_VALUE"""),"")</f>
        <v/>
      </c>
      <c r="M749" s="508" t="str">
        <f>IFERROR(__xludf.DUMMYFUNCTION("""COMPUTED_VALUE"""),"")</f>
        <v/>
      </c>
      <c r="N749" s="508" t="str">
        <f>IFERROR(__xludf.DUMMYFUNCTION("""COMPUTED_VALUE"""),"")</f>
        <v/>
      </c>
      <c r="O749" s="508" t="str">
        <f>IFERROR(__xludf.DUMMYFUNCTION("""COMPUTED_VALUE"""),"")</f>
        <v/>
      </c>
      <c r="P749" s="510" t="str">
        <f>IFERROR(__xludf.DUMMYFUNCTION("""COMPUTED_VALUE"""),"")</f>
        <v/>
      </c>
      <c r="Q749" s="508" t="str">
        <f>IFERROR(__xludf.DUMMYFUNCTION("""COMPUTED_VALUE"""),"")</f>
        <v/>
      </c>
      <c r="R749" s="508" t="str">
        <f>IFERROR(__xludf.DUMMYFUNCTION("""COMPUTED_VALUE"""),"")</f>
        <v/>
      </c>
      <c r="S749" s="510" t="str">
        <f>IFERROR(__xludf.DUMMYFUNCTION("""COMPUTED_VALUE"""),"")</f>
        <v/>
      </c>
      <c r="T749" s="510" t="str">
        <f>IFERROR(__xludf.DUMMYFUNCTION("""COMPUTED_VALUE"""),"")</f>
        <v/>
      </c>
    </row>
    <row r="750">
      <c r="A750" s="508" t="str">
        <f>IFERROR(__xludf.DUMMYFUNCTION("""COMPUTED_VALUE"""),"")</f>
        <v/>
      </c>
      <c r="B750" s="508" t="str">
        <f>IFERROR(__xludf.DUMMYFUNCTION("""COMPUTED_VALUE"""),"")</f>
        <v/>
      </c>
      <c r="C750" s="508" t="str">
        <f>IFERROR(__xludf.DUMMYFUNCTION("""COMPUTED_VALUE"""),"")</f>
        <v/>
      </c>
      <c r="D750" s="508" t="str">
        <f>IFERROR(__xludf.DUMMYFUNCTION("""COMPUTED_VALUE"""),"")</f>
        <v/>
      </c>
      <c r="E750" s="508" t="str">
        <f>IFERROR(__xludf.DUMMYFUNCTION("""COMPUTED_VALUE"""),"")</f>
        <v/>
      </c>
      <c r="F750" s="508" t="str">
        <f>IFERROR(__xludf.DUMMYFUNCTION("""COMPUTED_VALUE"""),"")</f>
        <v/>
      </c>
      <c r="G750" s="510" t="str">
        <f>IFERROR(__xludf.DUMMYFUNCTION("""COMPUTED_VALUE"""),"")</f>
        <v/>
      </c>
      <c r="H750" s="508" t="str">
        <f>IFERROR(__xludf.DUMMYFUNCTION("""COMPUTED_VALUE"""),"")</f>
        <v/>
      </c>
      <c r="I750" s="510" t="str">
        <f>IFERROR(__xludf.DUMMYFUNCTION("""COMPUTED_VALUE"""),"")</f>
        <v/>
      </c>
      <c r="J750" s="508" t="str">
        <f>IFERROR(__xludf.DUMMYFUNCTION("""COMPUTED_VALUE"""),"")</f>
        <v/>
      </c>
      <c r="K750" s="510" t="str">
        <f>IFERROR(__xludf.DUMMYFUNCTION("""COMPUTED_VALUE"""),"")</f>
        <v/>
      </c>
      <c r="L750" s="508" t="str">
        <f>IFERROR(__xludf.DUMMYFUNCTION("""COMPUTED_VALUE"""),"")</f>
        <v/>
      </c>
      <c r="M750" s="508" t="str">
        <f>IFERROR(__xludf.DUMMYFUNCTION("""COMPUTED_VALUE"""),"")</f>
        <v/>
      </c>
      <c r="N750" s="508" t="str">
        <f>IFERROR(__xludf.DUMMYFUNCTION("""COMPUTED_VALUE"""),"")</f>
        <v/>
      </c>
      <c r="O750" s="508" t="str">
        <f>IFERROR(__xludf.DUMMYFUNCTION("""COMPUTED_VALUE"""),"")</f>
        <v/>
      </c>
      <c r="P750" s="510" t="str">
        <f>IFERROR(__xludf.DUMMYFUNCTION("""COMPUTED_VALUE"""),"")</f>
        <v/>
      </c>
      <c r="Q750" s="508" t="str">
        <f>IFERROR(__xludf.DUMMYFUNCTION("""COMPUTED_VALUE"""),"")</f>
        <v/>
      </c>
      <c r="R750" s="508" t="str">
        <f>IFERROR(__xludf.DUMMYFUNCTION("""COMPUTED_VALUE"""),"")</f>
        <v/>
      </c>
      <c r="S750" s="510" t="str">
        <f>IFERROR(__xludf.DUMMYFUNCTION("""COMPUTED_VALUE"""),"")</f>
        <v/>
      </c>
      <c r="T750" s="510" t="str">
        <f>IFERROR(__xludf.DUMMYFUNCTION("""COMPUTED_VALUE"""),"")</f>
        <v/>
      </c>
    </row>
    <row r="751">
      <c r="A751" s="508" t="str">
        <f>IFERROR(__xludf.DUMMYFUNCTION("""COMPUTED_VALUE"""),"")</f>
        <v/>
      </c>
      <c r="B751" s="508" t="str">
        <f>IFERROR(__xludf.DUMMYFUNCTION("""COMPUTED_VALUE"""),"")</f>
        <v/>
      </c>
      <c r="C751" s="508" t="str">
        <f>IFERROR(__xludf.DUMMYFUNCTION("""COMPUTED_VALUE"""),"")</f>
        <v/>
      </c>
      <c r="D751" s="508" t="str">
        <f>IFERROR(__xludf.DUMMYFUNCTION("""COMPUTED_VALUE"""),"")</f>
        <v/>
      </c>
      <c r="E751" s="508" t="str">
        <f>IFERROR(__xludf.DUMMYFUNCTION("""COMPUTED_VALUE"""),"")</f>
        <v/>
      </c>
      <c r="F751" s="508" t="str">
        <f>IFERROR(__xludf.DUMMYFUNCTION("""COMPUTED_VALUE"""),"")</f>
        <v/>
      </c>
      <c r="G751" s="510" t="str">
        <f>IFERROR(__xludf.DUMMYFUNCTION("""COMPUTED_VALUE"""),"")</f>
        <v/>
      </c>
      <c r="H751" s="508" t="str">
        <f>IFERROR(__xludf.DUMMYFUNCTION("""COMPUTED_VALUE"""),"")</f>
        <v/>
      </c>
      <c r="I751" s="510" t="str">
        <f>IFERROR(__xludf.DUMMYFUNCTION("""COMPUTED_VALUE"""),"")</f>
        <v/>
      </c>
      <c r="J751" s="508" t="str">
        <f>IFERROR(__xludf.DUMMYFUNCTION("""COMPUTED_VALUE"""),"")</f>
        <v/>
      </c>
      <c r="K751" s="510" t="str">
        <f>IFERROR(__xludf.DUMMYFUNCTION("""COMPUTED_VALUE"""),"")</f>
        <v/>
      </c>
      <c r="L751" s="508" t="str">
        <f>IFERROR(__xludf.DUMMYFUNCTION("""COMPUTED_VALUE"""),"")</f>
        <v/>
      </c>
      <c r="M751" s="508" t="str">
        <f>IFERROR(__xludf.DUMMYFUNCTION("""COMPUTED_VALUE"""),"")</f>
        <v/>
      </c>
      <c r="N751" s="508" t="str">
        <f>IFERROR(__xludf.DUMMYFUNCTION("""COMPUTED_VALUE"""),"")</f>
        <v/>
      </c>
      <c r="O751" s="508" t="str">
        <f>IFERROR(__xludf.DUMMYFUNCTION("""COMPUTED_VALUE"""),"")</f>
        <v/>
      </c>
      <c r="P751" s="510" t="str">
        <f>IFERROR(__xludf.DUMMYFUNCTION("""COMPUTED_VALUE"""),"")</f>
        <v/>
      </c>
      <c r="Q751" s="508" t="str">
        <f>IFERROR(__xludf.DUMMYFUNCTION("""COMPUTED_VALUE"""),"")</f>
        <v/>
      </c>
      <c r="R751" s="508" t="str">
        <f>IFERROR(__xludf.DUMMYFUNCTION("""COMPUTED_VALUE"""),"")</f>
        <v/>
      </c>
      <c r="S751" s="510" t="str">
        <f>IFERROR(__xludf.DUMMYFUNCTION("""COMPUTED_VALUE"""),"")</f>
        <v/>
      </c>
      <c r="T751" s="510" t="str">
        <f>IFERROR(__xludf.DUMMYFUNCTION("""COMPUTED_VALUE"""),"")</f>
        <v/>
      </c>
    </row>
    <row r="752">
      <c r="A752" s="508" t="str">
        <f>IFERROR(__xludf.DUMMYFUNCTION("""COMPUTED_VALUE"""),"")</f>
        <v/>
      </c>
      <c r="B752" s="508" t="str">
        <f>IFERROR(__xludf.DUMMYFUNCTION("""COMPUTED_VALUE"""),"")</f>
        <v/>
      </c>
      <c r="C752" s="508" t="str">
        <f>IFERROR(__xludf.DUMMYFUNCTION("""COMPUTED_VALUE"""),"")</f>
        <v/>
      </c>
      <c r="D752" s="508" t="str">
        <f>IFERROR(__xludf.DUMMYFUNCTION("""COMPUTED_VALUE"""),"")</f>
        <v/>
      </c>
      <c r="E752" s="508" t="str">
        <f>IFERROR(__xludf.DUMMYFUNCTION("""COMPUTED_VALUE"""),"")</f>
        <v/>
      </c>
      <c r="F752" s="508" t="str">
        <f>IFERROR(__xludf.DUMMYFUNCTION("""COMPUTED_VALUE"""),"")</f>
        <v/>
      </c>
      <c r="G752" s="510" t="str">
        <f>IFERROR(__xludf.DUMMYFUNCTION("""COMPUTED_VALUE"""),"")</f>
        <v/>
      </c>
      <c r="H752" s="508" t="str">
        <f>IFERROR(__xludf.DUMMYFUNCTION("""COMPUTED_VALUE"""),"")</f>
        <v/>
      </c>
      <c r="I752" s="510" t="str">
        <f>IFERROR(__xludf.DUMMYFUNCTION("""COMPUTED_VALUE"""),"")</f>
        <v/>
      </c>
      <c r="J752" s="508" t="str">
        <f>IFERROR(__xludf.DUMMYFUNCTION("""COMPUTED_VALUE"""),"")</f>
        <v/>
      </c>
      <c r="K752" s="510" t="str">
        <f>IFERROR(__xludf.DUMMYFUNCTION("""COMPUTED_VALUE"""),"")</f>
        <v/>
      </c>
      <c r="L752" s="508" t="str">
        <f>IFERROR(__xludf.DUMMYFUNCTION("""COMPUTED_VALUE"""),"")</f>
        <v/>
      </c>
      <c r="M752" s="508" t="str">
        <f>IFERROR(__xludf.DUMMYFUNCTION("""COMPUTED_VALUE"""),"")</f>
        <v/>
      </c>
      <c r="N752" s="508" t="str">
        <f>IFERROR(__xludf.DUMMYFUNCTION("""COMPUTED_VALUE"""),"")</f>
        <v/>
      </c>
      <c r="O752" s="508" t="str">
        <f>IFERROR(__xludf.DUMMYFUNCTION("""COMPUTED_VALUE"""),"")</f>
        <v/>
      </c>
      <c r="P752" s="510" t="str">
        <f>IFERROR(__xludf.DUMMYFUNCTION("""COMPUTED_VALUE"""),"")</f>
        <v/>
      </c>
      <c r="Q752" s="508" t="str">
        <f>IFERROR(__xludf.DUMMYFUNCTION("""COMPUTED_VALUE"""),"")</f>
        <v/>
      </c>
      <c r="R752" s="508" t="str">
        <f>IFERROR(__xludf.DUMMYFUNCTION("""COMPUTED_VALUE"""),"")</f>
        <v/>
      </c>
      <c r="S752" s="510" t="str">
        <f>IFERROR(__xludf.DUMMYFUNCTION("""COMPUTED_VALUE"""),"")</f>
        <v/>
      </c>
      <c r="T752" s="510" t="str">
        <f>IFERROR(__xludf.DUMMYFUNCTION("""COMPUTED_VALUE"""),"")</f>
        <v/>
      </c>
    </row>
    <row r="753">
      <c r="A753" s="508" t="str">
        <f>IFERROR(__xludf.DUMMYFUNCTION("""COMPUTED_VALUE"""),"")</f>
        <v/>
      </c>
      <c r="B753" s="508" t="str">
        <f>IFERROR(__xludf.DUMMYFUNCTION("""COMPUTED_VALUE"""),"")</f>
        <v/>
      </c>
      <c r="C753" s="508" t="str">
        <f>IFERROR(__xludf.DUMMYFUNCTION("""COMPUTED_VALUE"""),"")</f>
        <v/>
      </c>
      <c r="D753" s="508" t="str">
        <f>IFERROR(__xludf.DUMMYFUNCTION("""COMPUTED_VALUE"""),"")</f>
        <v/>
      </c>
      <c r="E753" s="508" t="str">
        <f>IFERROR(__xludf.DUMMYFUNCTION("""COMPUTED_VALUE"""),"")</f>
        <v/>
      </c>
      <c r="F753" s="508" t="str">
        <f>IFERROR(__xludf.DUMMYFUNCTION("""COMPUTED_VALUE"""),"")</f>
        <v/>
      </c>
      <c r="G753" s="510" t="str">
        <f>IFERROR(__xludf.DUMMYFUNCTION("""COMPUTED_VALUE"""),"")</f>
        <v/>
      </c>
      <c r="H753" s="508" t="str">
        <f>IFERROR(__xludf.DUMMYFUNCTION("""COMPUTED_VALUE"""),"")</f>
        <v/>
      </c>
      <c r="I753" s="510" t="str">
        <f>IFERROR(__xludf.DUMMYFUNCTION("""COMPUTED_VALUE"""),"")</f>
        <v/>
      </c>
      <c r="J753" s="508" t="str">
        <f>IFERROR(__xludf.DUMMYFUNCTION("""COMPUTED_VALUE"""),"")</f>
        <v/>
      </c>
      <c r="K753" s="510" t="str">
        <f>IFERROR(__xludf.DUMMYFUNCTION("""COMPUTED_VALUE"""),"")</f>
        <v/>
      </c>
      <c r="L753" s="508" t="str">
        <f>IFERROR(__xludf.DUMMYFUNCTION("""COMPUTED_VALUE"""),"")</f>
        <v/>
      </c>
      <c r="M753" s="508" t="str">
        <f>IFERROR(__xludf.DUMMYFUNCTION("""COMPUTED_VALUE"""),"")</f>
        <v/>
      </c>
      <c r="N753" s="508" t="str">
        <f>IFERROR(__xludf.DUMMYFUNCTION("""COMPUTED_VALUE"""),"")</f>
        <v/>
      </c>
      <c r="O753" s="508" t="str">
        <f>IFERROR(__xludf.DUMMYFUNCTION("""COMPUTED_VALUE"""),"")</f>
        <v/>
      </c>
      <c r="P753" s="510" t="str">
        <f>IFERROR(__xludf.DUMMYFUNCTION("""COMPUTED_VALUE"""),"")</f>
        <v/>
      </c>
      <c r="Q753" s="508" t="str">
        <f>IFERROR(__xludf.DUMMYFUNCTION("""COMPUTED_VALUE"""),"")</f>
        <v/>
      </c>
      <c r="R753" s="508" t="str">
        <f>IFERROR(__xludf.DUMMYFUNCTION("""COMPUTED_VALUE"""),"")</f>
        <v/>
      </c>
      <c r="S753" s="510" t="str">
        <f>IFERROR(__xludf.DUMMYFUNCTION("""COMPUTED_VALUE"""),"")</f>
        <v/>
      </c>
      <c r="T753" s="510" t="str">
        <f>IFERROR(__xludf.DUMMYFUNCTION("""COMPUTED_VALUE"""),"")</f>
        <v/>
      </c>
    </row>
    <row r="754">
      <c r="A754" s="508" t="str">
        <f>IFERROR(__xludf.DUMMYFUNCTION("""COMPUTED_VALUE"""),"")</f>
        <v/>
      </c>
      <c r="B754" s="508" t="str">
        <f>IFERROR(__xludf.DUMMYFUNCTION("""COMPUTED_VALUE"""),"")</f>
        <v/>
      </c>
      <c r="C754" s="508" t="str">
        <f>IFERROR(__xludf.DUMMYFUNCTION("""COMPUTED_VALUE"""),"")</f>
        <v/>
      </c>
      <c r="D754" s="508" t="str">
        <f>IFERROR(__xludf.DUMMYFUNCTION("""COMPUTED_VALUE"""),"")</f>
        <v/>
      </c>
      <c r="E754" s="508" t="str">
        <f>IFERROR(__xludf.DUMMYFUNCTION("""COMPUTED_VALUE"""),"")</f>
        <v/>
      </c>
      <c r="F754" s="508" t="str">
        <f>IFERROR(__xludf.DUMMYFUNCTION("""COMPUTED_VALUE"""),"")</f>
        <v/>
      </c>
      <c r="G754" s="510" t="str">
        <f>IFERROR(__xludf.DUMMYFUNCTION("""COMPUTED_VALUE"""),"")</f>
        <v/>
      </c>
      <c r="H754" s="508" t="str">
        <f>IFERROR(__xludf.DUMMYFUNCTION("""COMPUTED_VALUE"""),"")</f>
        <v/>
      </c>
      <c r="I754" s="510" t="str">
        <f>IFERROR(__xludf.DUMMYFUNCTION("""COMPUTED_VALUE"""),"")</f>
        <v/>
      </c>
      <c r="J754" s="508" t="str">
        <f>IFERROR(__xludf.DUMMYFUNCTION("""COMPUTED_VALUE"""),"")</f>
        <v/>
      </c>
      <c r="K754" s="510" t="str">
        <f>IFERROR(__xludf.DUMMYFUNCTION("""COMPUTED_VALUE"""),"")</f>
        <v/>
      </c>
      <c r="L754" s="508" t="str">
        <f>IFERROR(__xludf.DUMMYFUNCTION("""COMPUTED_VALUE"""),"")</f>
        <v/>
      </c>
      <c r="M754" s="508" t="str">
        <f>IFERROR(__xludf.DUMMYFUNCTION("""COMPUTED_VALUE"""),"")</f>
        <v/>
      </c>
      <c r="N754" s="508" t="str">
        <f>IFERROR(__xludf.DUMMYFUNCTION("""COMPUTED_VALUE"""),"")</f>
        <v/>
      </c>
      <c r="O754" s="508" t="str">
        <f>IFERROR(__xludf.DUMMYFUNCTION("""COMPUTED_VALUE"""),"")</f>
        <v/>
      </c>
      <c r="P754" s="510" t="str">
        <f>IFERROR(__xludf.DUMMYFUNCTION("""COMPUTED_VALUE"""),"")</f>
        <v/>
      </c>
      <c r="Q754" s="508" t="str">
        <f>IFERROR(__xludf.DUMMYFUNCTION("""COMPUTED_VALUE"""),"")</f>
        <v/>
      </c>
      <c r="R754" s="508" t="str">
        <f>IFERROR(__xludf.DUMMYFUNCTION("""COMPUTED_VALUE"""),"")</f>
        <v/>
      </c>
      <c r="S754" s="510" t="str">
        <f>IFERROR(__xludf.DUMMYFUNCTION("""COMPUTED_VALUE"""),"")</f>
        <v/>
      </c>
      <c r="T754" s="510" t="str">
        <f>IFERROR(__xludf.DUMMYFUNCTION("""COMPUTED_VALUE"""),"")</f>
        <v/>
      </c>
    </row>
    <row r="755">
      <c r="A755" s="508" t="str">
        <f>IFERROR(__xludf.DUMMYFUNCTION("""COMPUTED_VALUE"""),"")</f>
        <v/>
      </c>
      <c r="B755" s="508" t="str">
        <f>IFERROR(__xludf.DUMMYFUNCTION("""COMPUTED_VALUE"""),"")</f>
        <v/>
      </c>
      <c r="C755" s="508" t="str">
        <f>IFERROR(__xludf.DUMMYFUNCTION("""COMPUTED_VALUE"""),"")</f>
        <v/>
      </c>
      <c r="D755" s="508" t="str">
        <f>IFERROR(__xludf.DUMMYFUNCTION("""COMPUTED_VALUE"""),"")</f>
        <v/>
      </c>
      <c r="E755" s="508" t="str">
        <f>IFERROR(__xludf.DUMMYFUNCTION("""COMPUTED_VALUE"""),"")</f>
        <v/>
      </c>
      <c r="F755" s="508" t="str">
        <f>IFERROR(__xludf.DUMMYFUNCTION("""COMPUTED_VALUE"""),"")</f>
        <v/>
      </c>
      <c r="G755" s="510" t="str">
        <f>IFERROR(__xludf.DUMMYFUNCTION("""COMPUTED_VALUE"""),"")</f>
        <v/>
      </c>
      <c r="H755" s="508" t="str">
        <f>IFERROR(__xludf.DUMMYFUNCTION("""COMPUTED_VALUE"""),"")</f>
        <v/>
      </c>
      <c r="I755" s="510" t="str">
        <f>IFERROR(__xludf.DUMMYFUNCTION("""COMPUTED_VALUE"""),"")</f>
        <v/>
      </c>
      <c r="J755" s="508" t="str">
        <f>IFERROR(__xludf.DUMMYFUNCTION("""COMPUTED_VALUE"""),"")</f>
        <v/>
      </c>
      <c r="K755" s="510" t="str">
        <f>IFERROR(__xludf.DUMMYFUNCTION("""COMPUTED_VALUE"""),"")</f>
        <v/>
      </c>
      <c r="L755" s="508" t="str">
        <f>IFERROR(__xludf.DUMMYFUNCTION("""COMPUTED_VALUE"""),"")</f>
        <v/>
      </c>
      <c r="M755" s="508" t="str">
        <f>IFERROR(__xludf.DUMMYFUNCTION("""COMPUTED_VALUE"""),"")</f>
        <v/>
      </c>
      <c r="N755" s="508" t="str">
        <f>IFERROR(__xludf.DUMMYFUNCTION("""COMPUTED_VALUE"""),"")</f>
        <v/>
      </c>
      <c r="O755" s="508" t="str">
        <f>IFERROR(__xludf.DUMMYFUNCTION("""COMPUTED_VALUE"""),"")</f>
        <v/>
      </c>
      <c r="P755" s="510" t="str">
        <f>IFERROR(__xludf.DUMMYFUNCTION("""COMPUTED_VALUE"""),"")</f>
        <v/>
      </c>
      <c r="Q755" s="508" t="str">
        <f>IFERROR(__xludf.DUMMYFUNCTION("""COMPUTED_VALUE"""),"")</f>
        <v/>
      </c>
      <c r="R755" s="508" t="str">
        <f>IFERROR(__xludf.DUMMYFUNCTION("""COMPUTED_VALUE"""),"")</f>
        <v/>
      </c>
      <c r="S755" s="510" t="str">
        <f>IFERROR(__xludf.DUMMYFUNCTION("""COMPUTED_VALUE"""),"")</f>
        <v/>
      </c>
      <c r="T755" s="510" t="str">
        <f>IFERROR(__xludf.DUMMYFUNCTION("""COMPUTED_VALUE"""),"")</f>
        <v/>
      </c>
    </row>
    <row r="756">
      <c r="A756" s="508" t="str">
        <f>IFERROR(__xludf.DUMMYFUNCTION("""COMPUTED_VALUE"""),"")</f>
        <v/>
      </c>
      <c r="B756" s="508" t="str">
        <f>IFERROR(__xludf.DUMMYFUNCTION("""COMPUTED_VALUE"""),"")</f>
        <v/>
      </c>
      <c r="C756" s="508" t="str">
        <f>IFERROR(__xludf.DUMMYFUNCTION("""COMPUTED_VALUE"""),"")</f>
        <v/>
      </c>
      <c r="D756" s="508" t="str">
        <f>IFERROR(__xludf.DUMMYFUNCTION("""COMPUTED_VALUE"""),"")</f>
        <v/>
      </c>
      <c r="E756" s="508" t="str">
        <f>IFERROR(__xludf.DUMMYFUNCTION("""COMPUTED_VALUE"""),"")</f>
        <v/>
      </c>
      <c r="F756" s="508" t="str">
        <f>IFERROR(__xludf.DUMMYFUNCTION("""COMPUTED_VALUE"""),"")</f>
        <v/>
      </c>
      <c r="G756" s="510" t="str">
        <f>IFERROR(__xludf.DUMMYFUNCTION("""COMPUTED_VALUE"""),"")</f>
        <v/>
      </c>
      <c r="H756" s="508" t="str">
        <f>IFERROR(__xludf.DUMMYFUNCTION("""COMPUTED_VALUE"""),"")</f>
        <v/>
      </c>
      <c r="I756" s="510" t="str">
        <f>IFERROR(__xludf.DUMMYFUNCTION("""COMPUTED_VALUE"""),"")</f>
        <v/>
      </c>
      <c r="J756" s="508" t="str">
        <f>IFERROR(__xludf.DUMMYFUNCTION("""COMPUTED_VALUE"""),"")</f>
        <v/>
      </c>
      <c r="K756" s="510" t="str">
        <f>IFERROR(__xludf.DUMMYFUNCTION("""COMPUTED_VALUE"""),"")</f>
        <v/>
      </c>
      <c r="L756" s="508" t="str">
        <f>IFERROR(__xludf.DUMMYFUNCTION("""COMPUTED_VALUE"""),"")</f>
        <v/>
      </c>
      <c r="M756" s="508" t="str">
        <f>IFERROR(__xludf.DUMMYFUNCTION("""COMPUTED_VALUE"""),"")</f>
        <v/>
      </c>
      <c r="N756" s="508" t="str">
        <f>IFERROR(__xludf.DUMMYFUNCTION("""COMPUTED_VALUE"""),"")</f>
        <v/>
      </c>
      <c r="O756" s="508" t="str">
        <f>IFERROR(__xludf.DUMMYFUNCTION("""COMPUTED_VALUE"""),"")</f>
        <v/>
      </c>
      <c r="P756" s="510" t="str">
        <f>IFERROR(__xludf.DUMMYFUNCTION("""COMPUTED_VALUE"""),"")</f>
        <v/>
      </c>
      <c r="Q756" s="508" t="str">
        <f>IFERROR(__xludf.DUMMYFUNCTION("""COMPUTED_VALUE"""),"")</f>
        <v/>
      </c>
      <c r="R756" s="508" t="str">
        <f>IFERROR(__xludf.DUMMYFUNCTION("""COMPUTED_VALUE"""),"")</f>
        <v/>
      </c>
      <c r="S756" s="510" t="str">
        <f>IFERROR(__xludf.DUMMYFUNCTION("""COMPUTED_VALUE"""),"")</f>
        <v/>
      </c>
      <c r="T756" s="510" t="str">
        <f>IFERROR(__xludf.DUMMYFUNCTION("""COMPUTED_VALUE"""),"")</f>
        <v/>
      </c>
    </row>
    <row r="757">
      <c r="A757" s="508" t="str">
        <f>IFERROR(__xludf.DUMMYFUNCTION("""COMPUTED_VALUE"""),"")</f>
        <v/>
      </c>
      <c r="B757" s="508" t="str">
        <f>IFERROR(__xludf.DUMMYFUNCTION("""COMPUTED_VALUE"""),"")</f>
        <v/>
      </c>
      <c r="C757" s="508" t="str">
        <f>IFERROR(__xludf.DUMMYFUNCTION("""COMPUTED_VALUE"""),"")</f>
        <v/>
      </c>
      <c r="D757" s="508" t="str">
        <f>IFERROR(__xludf.DUMMYFUNCTION("""COMPUTED_VALUE"""),"")</f>
        <v/>
      </c>
      <c r="E757" s="508" t="str">
        <f>IFERROR(__xludf.DUMMYFUNCTION("""COMPUTED_VALUE"""),"")</f>
        <v/>
      </c>
      <c r="F757" s="508" t="str">
        <f>IFERROR(__xludf.DUMMYFUNCTION("""COMPUTED_VALUE"""),"")</f>
        <v/>
      </c>
      <c r="G757" s="510" t="str">
        <f>IFERROR(__xludf.DUMMYFUNCTION("""COMPUTED_VALUE"""),"")</f>
        <v/>
      </c>
      <c r="H757" s="508" t="str">
        <f>IFERROR(__xludf.DUMMYFUNCTION("""COMPUTED_VALUE"""),"")</f>
        <v/>
      </c>
      <c r="I757" s="510" t="str">
        <f>IFERROR(__xludf.DUMMYFUNCTION("""COMPUTED_VALUE"""),"")</f>
        <v/>
      </c>
      <c r="J757" s="508" t="str">
        <f>IFERROR(__xludf.DUMMYFUNCTION("""COMPUTED_VALUE"""),"")</f>
        <v/>
      </c>
      <c r="K757" s="510" t="str">
        <f>IFERROR(__xludf.DUMMYFUNCTION("""COMPUTED_VALUE"""),"")</f>
        <v/>
      </c>
      <c r="L757" s="508" t="str">
        <f>IFERROR(__xludf.DUMMYFUNCTION("""COMPUTED_VALUE"""),"")</f>
        <v/>
      </c>
      <c r="M757" s="508" t="str">
        <f>IFERROR(__xludf.DUMMYFUNCTION("""COMPUTED_VALUE"""),"")</f>
        <v/>
      </c>
      <c r="N757" s="508" t="str">
        <f>IFERROR(__xludf.DUMMYFUNCTION("""COMPUTED_VALUE"""),"")</f>
        <v/>
      </c>
      <c r="O757" s="508" t="str">
        <f>IFERROR(__xludf.DUMMYFUNCTION("""COMPUTED_VALUE"""),"")</f>
        <v/>
      </c>
      <c r="P757" s="510" t="str">
        <f>IFERROR(__xludf.DUMMYFUNCTION("""COMPUTED_VALUE"""),"")</f>
        <v/>
      </c>
      <c r="Q757" s="508" t="str">
        <f>IFERROR(__xludf.DUMMYFUNCTION("""COMPUTED_VALUE"""),"")</f>
        <v/>
      </c>
      <c r="R757" s="508" t="str">
        <f>IFERROR(__xludf.DUMMYFUNCTION("""COMPUTED_VALUE"""),"")</f>
        <v/>
      </c>
      <c r="S757" s="510" t="str">
        <f>IFERROR(__xludf.DUMMYFUNCTION("""COMPUTED_VALUE"""),"")</f>
        <v/>
      </c>
      <c r="T757" s="510" t="str">
        <f>IFERROR(__xludf.DUMMYFUNCTION("""COMPUTED_VALUE"""),"")</f>
        <v/>
      </c>
    </row>
    <row r="758">
      <c r="A758" s="508" t="str">
        <f>IFERROR(__xludf.DUMMYFUNCTION("""COMPUTED_VALUE"""),"")</f>
        <v/>
      </c>
      <c r="B758" s="508" t="str">
        <f>IFERROR(__xludf.DUMMYFUNCTION("""COMPUTED_VALUE"""),"")</f>
        <v/>
      </c>
      <c r="C758" s="508" t="str">
        <f>IFERROR(__xludf.DUMMYFUNCTION("""COMPUTED_VALUE"""),"")</f>
        <v/>
      </c>
      <c r="D758" s="508" t="str">
        <f>IFERROR(__xludf.DUMMYFUNCTION("""COMPUTED_VALUE"""),"")</f>
        <v/>
      </c>
      <c r="E758" s="508" t="str">
        <f>IFERROR(__xludf.DUMMYFUNCTION("""COMPUTED_VALUE"""),"")</f>
        <v/>
      </c>
      <c r="F758" s="508" t="str">
        <f>IFERROR(__xludf.DUMMYFUNCTION("""COMPUTED_VALUE"""),"")</f>
        <v/>
      </c>
      <c r="G758" s="510" t="str">
        <f>IFERROR(__xludf.DUMMYFUNCTION("""COMPUTED_VALUE"""),"")</f>
        <v/>
      </c>
      <c r="H758" s="508" t="str">
        <f>IFERROR(__xludf.DUMMYFUNCTION("""COMPUTED_VALUE"""),"")</f>
        <v/>
      </c>
      <c r="I758" s="510" t="str">
        <f>IFERROR(__xludf.DUMMYFUNCTION("""COMPUTED_VALUE"""),"")</f>
        <v/>
      </c>
      <c r="J758" s="508" t="str">
        <f>IFERROR(__xludf.DUMMYFUNCTION("""COMPUTED_VALUE"""),"")</f>
        <v/>
      </c>
      <c r="K758" s="510" t="str">
        <f>IFERROR(__xludf.DUMMYFUNCTION("""COMPUTED_VALUE"""),"")</f>
        <v/>
      </c>
      <c r="L758" s="508" t="str">
        <f>IFERROR(__xludf.DUMMYFUNCTION("""COMPUTED_VALUE"""),"")</f>
        <v/>
      </c>
      <c r="M758" s="508" t="str">
        <f>IFERROR(__xludf.DUMMYFUNCTION("""COMPUTED_VALUE"""),"")</f>
        <v/>
      </c>
      <c r="N758" s="508" t="str">
        <f>IFERROR(__xludf.DUMMYFUNCTION("""COMPUTED_VALUE"""),"")</f>
        <v/>
      </c>
      <c r="O758" s="508" t="str">
        <f>IFERROR(__xludf.DUMMYFUNCTION("""COMPUTED_VALUE"""),"")</f>
        <v/>
      </c>
      <c r="P758" s="510" t="str">
        <f>IFERROR(__xludf.DUMMYFUNCTION("""COMPUTED_VALUE"""),"")</f>
        <v/>
      </c>
      <c r="Q758" s="508" t="str">
        <f>IFERROR(__xludf.DUMMYFUNCTION("""COMPUTED_VALUE"""),"")</f>
        <v/>
      </c>
      <c r="R758" s="508" t="str">
        <f>IFERROR(__xludf.DUMMYFUNCTION("""COMPUTED_VALUE"""),"")</f>
        <v/>
      </c>
      <c r="S758" s="510" t="str">
        <f>IFERROR(__xludf.DUMMYFUNCTION("""COMPUTED_VALUE"""),"")</f>
        <v/>
      </c>
      <c r="T758" s="510" t="str">
        <f>IFERROR(__xludf.DUMMYFUNCTION("""COMPUTED_VALUE"""),"")</f>
        <v/>
      </c>
    </row>
    <row r="759">
      <c r="A759" s="508" t="str">
        <f>IFERROR(__xludf.DUMMYFUNCTION("""COMPUTED_VALUE"""),"")</f>
        <v/>
      </c>
      <c r="B759" s="508" t="str">
        <f>IFERROR(__xludf.DUMMYFUNCTION("""COMPUTED_VALUE"""),"")</f>
        <v/>
      </c>
      <c r="C759" s="508" t="str">
        <f>IFERROR(__xludf.DUMMYFUNCTION("""COMPUTED_VALUE"""),"")</f>
        <v/>
      </c>
      <c r="D759" s="508" t="str">
        <f>IFERROR(__xludf.DUMMYFUNCTION("""COMPUTED_VALUE"""),"")</f>
        <v/>
      </c>
      <c r="E759" s="508" t="str">
        <f>IFERROR(__xludf.DUMMYFUNCTION("""COMPUTED_VALUE"""),"")</f>
        <v/>
      </c>
      <c r="F759" s="508" t="str">
        <f>IFERROR(__xludf.DUMMYFUNCTION("""COMPUTED_VALUE"""),"")</f>
        <v/>
      </c>
      <c r="G759" s="510" t="str">
        <f>IFERROR(__xludf.DUMMYFUNCTION("""COMPUTED_VALUE"""),"")</f>
        <v/>
      </c>
      <c r="H759" s="508" t="str">
        <f>IFERROR(__xludf.DUMMYFUNCTION("""COMPUTED_VALUE"""),"")</f>
        <v/>
      </c>
      <c r="I759" s="510" t="str">
        <f>IFERROR(__xludf.DUMMYFUNCTION("""COMPUTED_VALUE"""),"")</f>
        <v/>
      </c>
      <c r="J759" s="508" t="str">
        <f>IFERROR(__xludf.DUMMYFUNCTION("""COMPUTED_VALUE"""),"")</f>
        <v/>
      </c>
      <c r="K759" s="510" t="str">
        <f>IFERROR(__xludf.DUMMYFUNCTION("""COMPUTED_VALUE"""),"")</f>
        <v/>
      </c>
      <c r="L759" s="508" t="str">
        <f>IFERROR(__xludf.DUMMYFUNCTION("""COMPUTED_VALUE"""),"")</f>
        <v/>
      </c>
      <c r="M759" s="508" t="str">
        <f>IFERROR(__xludf.DUMMYFUNCTION("""COMPUTED_VALUE"""),"")</f>
        <v/>
      </c>
      <c r="N759" s="508" t="str">
        <f>IFERROR(__xludf.DUMMYFUNCTION("""COMPUTED_VALUE"""),"")</f>
        <v/>
      </c>
      <c r="O759" s="508" t="str">
        <f>IFERROR(__xludf.DUMMYFUNCTION("""COMPUTED_VALUE"""),"")</f>
        <v/>
      </c>
      <c r="P759" s="510" t="str">
        <f>IFERROR(__xludf.DUMMYFUNCTION("""COMPUTED_VALUE"""),"")</f>
        <v/>
      </c>
      <c r="Q759" s="508" t="str">
        <f>IFERROR(__xludf.DUMMYFUNCTION("""COMPUTED_VALUE"""),"")</f>
        <v/>
      </c>
      <c r="R759" s="508" t="str">
        <f>IFERROR(__xludf.DUMMYFUNCTION("""COMPUTED_VALUE"""),"")</f>
        <v/>
      </c>
      <c r="S759" s="510" t="str">
        <f>IFERROR(__xludf.DUMMYFUNCTION("""COMPUTED_VALUE"""),"")</f>
        <v/>
      </c>
      <c r="T759" s="510" t="str">
        <f>IFERROR(__xludf.DUMMYFUNCTION("""COMPUTED_VALUE"""),"")</f>
        <v/>
      </c>
    </row>
    <row r="760">
      <c r="A760" s="508" t="str">
        <f>IFERROR(__xludf.DUMMYFUNCTION("""COMPUTED_VALUE"""),"")</f>
        <v/>
      </c>
      <c r="B760" s="508" t="str">
        <f>IFERROR(__xludf.DUMMYFUNCTION("""COMPUTED_VALUE"""),"")</f>
        <v/>
      </c>
      <c r="C760" s="508" t="str">
        <f>IFERROR(__xludf.DUMMYFUNCTION("""COMPUTED_VALUE"""),"")</f>
        <v/>
      </c>
      <c r="D760" s="508" t="str">
        <f>IFERROR(__xludf.DUMMYFUNCTION("""COMPUTED_VALUE"""),"")</f>
        <v/>
      </c>
      <c r="E760" s="508" t="str">
        <f>IFERROR(__xludf.DUMMYFUNCTION("""COMPUTED_VALUE"""),"")</f>
        <v/>
      </c>
      <c r="F760" s="508" t="str">
        <f>IFERROR(__xludf.DUMMYFUNCTION("""COMPUTED_VALUE"""),"")</f>
        <v/>
      </c>
      <c r="G760" s="510" t="str">
        <f>IFERROR(__xludf.DUMMYFUNCTION("""COMPUTED_VALUE"""),"")</f>
        <v/>
      </c>
      <c r="H760" s="508" t="str">
        <f>IFERROR(__xludf.DUMMYFUNCTION("""COMPUTED_VALUE"""),"")</f>
        <v/>
      </c>
      <c r="I760" s="510" t="str">
        <f>IFERROR(__xludf.DUMMYFUNCTION("""COMPUTED_VALUE"""),"")</f>
        <v/>
      </c>
      <c r="J760" s="508" t="str">
        <f>IFERROR(__xludf.DUMMYFUNCTION("""COMPUTED_VALUE"""),"")</f>
        <v/>
      </c>
      <c r="K760" s="510" t="str">
        <f>IFERROR(__xludf.DUMMYFUNCTION("""COMPUTED_VALUE"""),"")</f>
        <v/>
      </c>
      <c r="L760" s="508" t="str">
        <f>IFERROR(__xludf.DUMMYFUNCTION("""COMPUTED_VALUE"""),"")</f>
        <v/>
      </c>
      <c r="M760" s="508" t="str">
        <f>IFERROR(__xludf.DUMMYFUNCTION("""COMPUTED_VALUE"""),"")</f>
        <v/>
      </c>
      <c r="N760" s="508" t="str">
        <f>IFERROR(__xludf.DUMMYFUNCTION("""COMPUTED_VALUE"""),"")</f>
        <v/>
      </c>
      <c r="O760" s="508" t="str">
        <f>IFERROR(__xludf.DUMMYFUNCTION("""COMPUTED_VALUE"""),"")</f>
        <v/>
      </c>
      <c r="P760" s="510" t="str">
        <f>IFERROR(__xludf.DUMMYFUNCTION("""COMPUTED_VALUE"""),"")</f>
        <v/>
      </c>
      <c r="Q760" s="508" t="str">
        <f>IFERROR(__xludf.DUMMYFUNCTION("""COMPUTED_VALUE"""),"")</f>
        <v/>
      </c>
      <c r="R760" s="508" t="str">
        <f>IFERROR(__xludf.DUMMYFUNCTION("""COMPUTED_VALUE"""),"")</f>
        <v/>
      </c>
      <c r="S760" s="510" t="str">
        <f>IFERROR(__xludf.DUMMYFUNCTION("""COMPUTED_VALUE"""),"")</f>
        <v/>
      </c>
      <c r="T760" s="510" t="str">
        <f>IFERROR(__xludf.DUMMYFUNCTION("""COMPUTED_VALUE"""),"")</f>
        <v/>
      </c>
    </row>
    <row r="761">
      <c r="A761" s="508" t="str">
        <f>IFERROR(__xludf.DUMMYFUNCTION("""COMPUTED_VALUE"""),"")</f>
        <v/>
      </c>
      <c r="B761" s="508" t="str">
        <f>IFERROR(__xludf.DUMMYFUNCTION("""COMPUTED_VALUE"""),"")</f>
        <v/>
      </c>
      <c r="C761" s="508" t="str">
        <f>IFERROR(__xludf.DUMMYFUNCTION("""COMPUTED_VALUE"""),"")</f>
        <v/>
      </c>
      <c r="D761" s="508" t="str">
        <f>IFERROR(__xludf.DUMMYFUNCTION("""COMPUTED_VALUE"""),"")</f>
        <v/>
      </c>
      <c r="E761" s="508" t="str">
        <f>IFERROR(__xludf.DUMMYFUNCTION("""COMPUTED_VALUE"""),"")</f>
        <v/>
      </c>
      <c r="F761" s="508" t="str">
        <f>IFERROR(__xludf.DUMMYFUNCTION("""COMPUTED_VALUE"""),"")</f>
        <v/>
      </c>
      <c r="G761" s="510" t="str">
        <f>IFERROR(__xludf.DUMMYFUNCTION("""COMPUTED_VALUE"""),"")</f>
        <v/>
      </c>
      <c r="H761" s="508" t="str">
        <f>IFERROR(__xludf.DUMMYFUNCTION("""COMPUTED_VALUE"""),"")</f>
        <v/>
      </c>
      <c r="I761" s="510" t="str">
        <f>IFERROR(__xludf.DUMMYFUNCTION("""COMPUTED_VALUE"""),"")</f>
        <v/>
      </c>
      <c r="J761" s="508" t="str">
        <f>IFERROR(__xludf.DUMMYFUNCTION("""COMPUTED_VALUE"""),"")</f>
        <v/>
      </c>
      <c r="K761" s="510" t="str">
        <f>IFERROR(__xludf.DUMMYFUNCTION("""COMPUTED_VALUE"""),"")</f>
        <v/>
      </c>
      <c r="L761" s="508" t="str">
        <f>IFERROR(__xludf.DUMMYFUNCTION("""COMPUTED_VALUE"""),"")</f>
        <v/>
      </c>
      <c r="M761" s="508" t="str">
        <f>IFERROR(__xludf.DUMMYFUNCTION("""COMPUTED_VALUE"""),"")</f>
        <v/>
      </c>
      <c r="N761" s="508" t="str">
        <f>IFERROR(__xludf.DUMMYFUNCTION("""COMPUTED_VALUE"""),"")</f>
        <v/>
      </c>
      <c r="O761" s="508" t="str">
        <f>IFERROR(__xludf.DUMMYFUNCTION("""COMPUTED_VALUE"""),"")</f>
        <v/>
      </c>
      <c r="P761" s="510" t="str">
        <f>IFERROR(__xludf.DUMMYFUNCTION("""COMPUTED_VALUE"""),"")</f>
        <v/>
      </c>
      <c r="Q761" s="508" t="str">
        <f>IFERROR(__xludf.DUMMYFUNCTION("""COMPUTED_VALUE"""),"")</f>
        <v/>
      </c>
      <c r="R761" s="508" t="str">
        <f>IFERROR(__xludf.DUMMYFUNCTION("""COMPUTED_VALUE"""),"")</f>
        <v/>
      </c>
      <c r="S761" s="510" t="str">
        <f>IFERROR(__xludf.DUMMYFUNCTION("""COMPUTED_VALUE"""),"")</f>
        <v/>
      </c>
      <c r="T761" s="510" t="str">
        <f>IFERROR(__xludf.DUMMYFUNCTION("""COMPUTED_VALUE"""),"")</f>
        <v/>
      </c>
    </row>
    <row r="762">
      <c r="A762" s="508" t="str">
        <f>IFERROR(__xludf.DUMMYFUNCTION("""COMPUTED_VALUE"""),"")</f>
        <v/>
      </c>
      <c r="B762" s="508" t="str">
        <f>IFERROR(__xludf.DUMMYFUNCTION("""COMPUTED_VALUE"""),"")</f>
        <v/>
      </c>
      <c r="C762" s="508" t="str">
        <f>IFERROR(__xludf.DUMMYFUNCTION("""COMPUTED_VALUE"""),"")</f>
        <v/>
      </c>
      <c r="D762" s="508" t="str">
        <f>IFERROR(__xludf.DUMMYFUNCTION("""COMPUTED_VALUE"""),"")</f>
        <v/>
      </c>
      <c r="E762" s="508" t="str">
        <f>IFERROR(__xludf.DUMMYFUNCTION("""COMPUTED_VALUE"""),"")</f>
        <v/>
      </c>
      <c r="F762" s="508" t="str">
        <f>IFERROR(__xludf.DUMMYFUNCTION("""COMPUTED_VALUE"""),"")</f>
        <v/>
      </c>
      <c r="G762" s="510" t="str">
        <f>IFERROR(__xludf.DUMMYFUNCTION("""COMPUTED_VALUE"""),"")</f>
        <v/>
      </c>
      <c r="H762" s="508" t="str">
        <f>IFERROR(__xludf.DUMMYFUNCTION("""COMPUTED_VALUE"""),"")</f>
        <v/>
      </c>
      <c r="I762" s="510" t="str">
        <f>IFERROR(__xludf.DUMMYFUNCTION("""COMPUTED_VALUE"""),"")</f>
        <v/>
      </c>
      <c r="J762" s="508" t="str">
        <f>IFERROR(__xludf.DUMMYFUNCTION("""COMPUTED_VALUE"""),"")</f>
        <v/>
      </c>
      <c r="K762" s="510" t="str">
        <f>IFERROR(__xludf.DUMMYFUNCTION("""COMPUTED_VALUE"""),"")</f>
        <v/>
      </c>
      <c r="L762" s="508" t="str">
        <f>IFERROR(__xludf.DUMMYFUNCTION("""COMPUTED_VALUE"""),"")</f>
        <v/>
      </c>
      <c r="M762" s="508" t="str">
        <f>IFERROR(__xludf.DUMMYFUNCTION("""COMPUTED_VALUE"""),"")</f>
        <v/>
      </c>
      <c r="N762" s="508" t="str">
        <f>IFERROR(__xludf.DUMMYFUNCTION("""COMPUTED_VALUE"""),"")</f>
        <v/>
      </c>
      <c r="O762" s="508" t="str">
        <f>IFERROR(__xludf.DUMMYFUNCTION("""COMPUTED_VALUE"""),"")</f>
        <v/>
      </c>
      <c r="P762" s="510" t="str">
        <f>IFERROR(__xludf.DUMMYFUNCTION("""COMPUTED_VALUE"""),"")</f>
        <v/>
      </c>
      <c r="Q762" s="508" t="str">
        <f>IFERROR(__xludf.DUMMYFUNCTION("""COMPUTED_VALUE"""),"")</f>
        <v/>
      </c>
      <c r="R762" s="508" t="str">
        <f>IFERROR(__xludf.DUMMYFUNCTION("""COMPUTED_VALUE"""),"")</f>
        <v/>
      </c>
      <c r="S762" s="510" t="str">
        <f>IFERROR(__xludf.DUMMYFUNCTION("""COMPUTED_VALUE"""),"")</f>
        <v/>
      </c>
      <c r="T762" s="510" t="str">
        <f>IFERROR(__xludf.DUMMYFUNCTION("""COMPUTED_VALUE"""),"")</f>
        <v/>
      </c>
    </row>
    <row r="763">
      <c r="A763" s="508" t="str">
        <f>IFERROR(__xludf.DUMMYFUNCTION("""COMPUTED_VALUE"""),"")</f>
        <v/>
      </c>
      <c r="B763" s="508" t="str">
        <f>IFERROR(__xludf.DUMMYFUNCTION("""COMPUTED_VALUE"""),"")</f>
        <v/>
      </c>
      <c r="C763" s="508" t="str">
        <f>IFERROR(__xludf.DUMMYFUNCTION("""COMPUTED_VALUE"""),"")</f>
        <v/>
      </c>
      <c r="D763" s="508" t="str">
        <f>IFERROR(__xludf.DUMMYFUNCTION("""COMPUTED_VALUE"""),"")</f>
        <v/>
      </c>
      <c r="E763" s="508" t="str">
        <f>IFERROR(__xludf.DUMMYFUNCTION("""COMPUTED_VALUE"""),"")</f>
        <v/>
      </c>
      <c r="F763" s="508" t="str">
        <f>IFERROR(__xludf.DUMMYFUNCTION("""COMPUTED_VALUE"""),"")</f>
        <v/>
      </c>
      <c r="G763" s="510" t="str">
        <f>IFERROR(__xludf.DUMMYFUNCTION("""COMPUTED_VALUE"""),"")</f>
        <v/>
      </c>
      <c r="H763" s="508" t="str">
        <f>IFERROR(__xludf.DUMMYFUNCTION("""COMPUTED_VALUE"""),"")</f>
        <v/>
      </c>
      <c r="I763" s="510" t="str">
        <f>IFERROR(__xludf.DUMMYFUNCTION("""COMPUTED_VALUE"""),"")</f>
        <v/>
      </c>
      <c r="J763" s="508" t="str">
        <f>IFERROR(__xludf.DUMMYFUNCTION("""COMPUTED_VALUE"""),"")</f>
        <v/>
      </c>
      <c r="K763" s="510" t="str">
        <f>IFERROR(__xludf.DUMMYFUNCTION("""COMPUTED_VALUE"""),"")</f>
        <v/>
      </c>
      <c r="L763" s="508" t="str">
        <f>IFERROR(__xludf.DUMMYFUNCTION("""COMPUTED_VALUE"""),"")</f>
        <v/>
      </c>
      <c r="M763" s="508" t="str">
        <f>IFERROR(__xludf.DUMMYFUNCTION("""COMPUTED_VALUE"""),"")</f>
        <v/>
      </c>
      <c r="N763" s="508" t="str">
        <f>IFERROR(__xludf.DUMMYFUNCTION("""COMPUTED_VALUE"""),"")</f>
        <v/>
      </c>
      <c r="O763" s="508" t="str">
        <f>IFERROR(__xludf.DUMMYFUNCTION("""COMPUTED_VALUE"""),"")</f>
        <v/>
      </c>
      <c r="P763" s="510" t="str">
        <f>IFERROR(__xludf.DUMMYFUNCTION("""COMPUTED_VALUE"""),"")</f>
        <v/>
      </c>
      <c r="Q763" s="508" t="str">
        <f>IFERROR(__xludf.DUMMYFUNCTION("""COMPUTED_VALUE"""),"")</f>
        <v/>
      </c>
      <c r="R763" s="508" t="str">
        <f>IFERROR(__xludf.DUMMYFUNCTION("""COMPUTED_VALUE"""),"")</f>
        <v/>
      </c>
      <c r="S763" s="510" t="str">
        <f>IFERROR(__xludf.DUMMYFUNCTION("""COMPUTED_VALUE"""),"")</f>
        <v/>
      </c>
      <c r="T763" s="510" t="str">
        <f>IFERROR(__xludf.DUMMYFUNCTION("""COMPUTED_VALUE"""),"")</f>
        <v/>
      </c>
    </row>
    <row r="764">
      <c r="A764" s="508" t="str">
        <f>IFERROR(__xludf.DUMMYFUNCTION("""COMPUTED_VALUE"""),"")</f>
        <v/>
      </c>
      <c r="B764" s="508" t="str">
        <f>IFERROR(__xludf.DUMMYFUNCTION("""COMPUTED_VALUE"""),"")</f>
        <v/>
      </c>
      <c r="C764" s="508" t="str">
        <f>IFERROR(__xludf.DUMMYFUNCTION("""COMPUTED_VALUE"""),"")</f>
        <v/>
      </c>
      <c r="D764" s="508" t="str">
        <f>IFERROR(__xludf.DUMMYFUNCTION("""COMPUTED_VALUE"""),"")</f>
        <v/>
      </c>
      <c r="E764" s="508" t="str">
        <f>IFERROR(__xludf.DUMMYFUNCTION("""COMPUTED_VALUE"""),"")</f>
        <v/>
      </c>
      <c r="F764" s="508" t="str">
        <f>IFERROR(__xludf.DUMMYFUNCTION("""COMPUTED_VALUE"""),"")</f>
        <v/>
      </c>
      <c r="G764" s="510" t="str">
        <f>IFERROR(__xludf.DUMMYFUNCTION("""COMPUTED_VALUE"""),"")</f>
        <v/>
      </c>
      <c r="H764" s="508" t="str">
        <f>IFERROR(__xludf.DUMMYFUNCTION("""COMPUTED_VALUE"""),"")</f>
        <v/>
      </c>
      <c r="I764" s="510" t="str">
        <f>IFERROR(__xludf.DUMMYFUNCTION("""COMPUTED_VALUE"""),"")</f>
        <v/>
      </c>
      <c r="J764" s="508" t="str">
        <f>IFERROR(__xludf.DUMMYFUNCTION("""COMPUTED_VALUE"""),"")</f>
        <v/>
      </c>
      <c r="K764" s="510" t="str">
        <f>IFERROR(__xludf.DUMMYFUNCTION("""COMPUTED_VALUE"""),"")</f>
        <v/>
      </c>
      <c r="L764" s="508" t="str">
        <f>IFERROR(__xludf.DUMMYFUNCTION("""COMPUTED_VALUE"""),"")</f>
        <v/>
      </c>
      <c r="M764" s="508" t="str">
        <f>IFERROR(__xludf.DUMMYFUNCTION("""COMPUTED_VALUE"""),"")</f>
        <v/>
      </c>
      <c r="N764" s="508" t="str">
        <f>IFERROR(__xludf.DUMMYFUNCTION("""COMPUTED_VALUE"""),"")</f>
        <v/>
      </c>
      <c r="O764" s="508" t="str">
        <f>IFERROR(__xludf.DUMMYFUNCTION("""COMPUTED_VALUE"""),"")</f>
        <v/>
      </c>
      <c r="P764" s="510" t="str">
        <f>IFERROR(__xludf.DUMMYFUNCTION("""COMPUTED_VALUE"""),"")</f>
        <v/>
      </c>
      <c r="Q764" s="508" t="str">
        <f>IFERROR(__xludf.DUMMYFUNCTION("""COMPUTED_VALUE"""),"")</f>
        <v/>
      </c>
      <c r="R764" s="508" t="str">
        <f>IFERROR(__xludf.DUMMYFUNCTION("""COMPUTED_VALUE"""),"")</f>
        <v/>
      </c>
      <c r="S764" s="510" t="str">
        <f>IFERROR(__xludf.DUMMYFUNCTION("""COMPUTED_VALUE"""),"")</f>
        <v/>
      </c>
      <c r="T764" s="510" t="str">
        <f>IFERROR(__xludf.DUMMYFUNCTION("""COMPUTED_VALUE"""),"")</f>
        <v/>
      </c>
    </row>
    <row r="765">
      <c r="A765" s="508" t="str">
        <f>IFERROR(__xludf.DUMMYFUNCTION("""COMPUTED_VALUE"""),"")</f>
        <v/>
      </c>
      <c r="B765" s="508" t="str">
        <f>IFERROR(__xludf.DUMMYFUNCTION("""COMPUTED_VALUE"""),"")</f>
        <v/>
      </c>
      <c r="C765" s="508" t="str">
        <f>IFERROR(__xludf.DUMMYFUNCTION("""COMPUTED_VALUE"""),"")</f>
        <v/>
      </c>
      <c r="D765" s="508" t="str">
        <f>IFERROR(__xludf.DUMMYFUNCTION("""COMPUTED_VALUE"""),"")</f>
        <v/>
      </c>
      <c r="E765" s="508" t="str">
        <f>IFERROR(__xludf.DUMMYFUNCTION("""COMPUTED_VALUE"""),"")</f>
        <v/>
      </c>
      <c r="F765" s="508" t="str">
        <f>IFERROR(__xludf.DUMMYFUNCTION("""COMPUTED_VALUE"""),"")</f>
        <v/>
      </c>
      <c r="G765" s="510" t="str">
        <f>IFERROR(__xludf.DUMMYFUNCTION("""COMPUTED_VALUE"""),"")</f>
        <v/>
      </c>
      <c r="H765" s="508" t="str">
        <f>IFERROR(__xludf.DUMMYFUNCTION("""COMPUTED_VALUE"""),"")</f>
        <v/>
      </c>
      <c r="I765" s="510" t="str">
        <f>IFERROR(__xludf.DUMMYFUNCTION("""COMPUTED_VALUE"""),"")</f>
        <v/>
      </c>
      <c r="J765" s="508" t="str">
        <f>IFERROR(__xludf.DUMMYFUNCTION("""COMPUTED_VALUE"""),"")</f>
        <v/>
      </c>
      <c r="K765" s="510" t="str">
        <f>IFERROR(__xludf.DUMMYFUNCTION("""COMPUTED_VALUE"""),"")</f>
        <v/>
      </c>
      <c r="L765" s="508" t="str">
        <f>IFERROR(__xludf.DUMMYFUNCTION("""COMPUTED_VALUE"""),"")</f>
        <v/>
      </c>
      <c r="M765" s="508" t="str">
        <f>IFERROR(__xludf.DUMMYFUNCTION("""COMPUTED_VALUE"""),"")</f>
        <v/>
      </c>
      <c r="N765" s="508" t="str">
        <f>IFERROR(__xludf.DUMMYFUNCTION("""COMPUTED_VALUE"""),"")</f>
        <v/>
      </c>
      <c r="O765" s="508" t="str">
        <f>IFERROR(__xludf.DUMMYFUNCTION("""COMPUTED_VALUE"""),"")</f>
        <v/>
      </c>
      <c r="P765" s="510" t="str">
        <f>IFERROR(__xludf.DUMMYFUNCTION("""COMPUTED_VALUE"""),"")</f>
        <v/>
      </c>
      <c r="Q765" s="508" t="str">
        <f>IFERROR(__xludf.DUMMYFUNCTION("""COMPUTED_VALUE"""),"")</f>
        <v/>
      </c>
      <c r="R765" s="508" t="str">
        <f>IFERROR(__xludf.DUMMYFUNCTION("""COMPUTED_VALUE"""),"")</f>
        <v/>
      </c>
      <c r="S765" s="510" t="str">
        <f>IFERROR(__xludf.DUMMYFUNCTION("""COMPUTED_VALUE"""),"")</f>
        <v/>
      </c>
      <c r="T765" s="510" t="str">
        <f>IFERROR(__xludf.DUMMYFUNCTION("""COMPUTED_VALUE"""),"")</f>
        <v/>
      </c>
    </row>
    <row r="766">
      <c r="A766" s="508" t="str">
        <f>IFERROR(__xludf.DUMMYFUNCTION("""COMPUTED_VALUE"""),"")</f>
        <v/>
      </c>
      <c r="B766" s="508" t="str">
        <f>IFERROR(__xludf.DUMMYFUNCTION("""COMPUTED_VALUE"""),"")</f>
        <v/>
      </c>
      <c r="C766" s="508" t="str">
        <f>IFERROR(__xludf.DUMMYFUNCTION("""COMPUTED_VALUE"""),"")</f>
        <v/>
      </c>
      <c r="D766" s="508" t="str">
        <f>IFERROR(__xludf.DUMMYFUNCTION("""COMPUTED_VALUE"""),"")</f>
        <v/>
      </c>
      <c r="E766" s="508" t="str">
        <f>IFERROR(__xludf.DUMMYFUNCTION("""COMPUTED_VALUE"""),"")</f>
        <v/>
      </c>
      <c r="F766" s="508" t="str">
        <f>IFERROR(__xludf.DUMMYFUNCTION("""COMPUTED_VALUE"""),"")</f>
        <v/>
      </c>
      <c r="G766" s="510" t="str">
        <f>IFERROR(__xludf.DUMMYFUNCTION("""COMPUTED_VALUE"""),"")</f>
        <v/>
      </c>
      <c r="H766" s="508" t="str">
        <f>IFERROR(__xludf.DUMMYFUNCTION("""COMPUTED_VALUE"""),"")</f>
        <v/>
      </c>
      <c r="I766" s="510" t="str">
        <f>IFERROR(__xludf.DUMMYFUNCTION("""COMPUTED_VALUE"""),"")</f>
        <v/>
      </c>
      <c r="J766" s="508" t="str">
        <f>IFERROR(__xludf.DUMMYFUNCTION("""COMPUTED_VALUE"""),"")</f>
        <v/>
      </c>
      <c r="K766" s="510" t="str">
        <f>IFERROR(__xludf.DUMMYFUNCTION("""COMPUTED_VALUE"""),"")</f>
        <v/>
      </c>
      <c r="L766" s="508" t="str">
        <f>IFERROR(__xludf.DUMMYFUNCTION("""COMPUTED_VALUE"""),"")</f>
        <v/>
      </c>
      <c r="M766" s="508" t="str">
        <f>IFERROR(__xludf.DUMMYFUNCTION("""COMPUTED_VALUE"""),"")</f>
        <v/>
      </c>
      <c r="N766" s="508" t="str">
        <f>IFERROR(__xludf.DUMMYFUNCTION("""COMPUTED_VALUE"""),"")</f>
        <v/>
      </c>
      <c r="O766" s="508" t="str">
        <f>IFERROR(__xludf.DUMMYFUNCTION("""COMPUTED_VALUE"""),"")</f>
        <v/>
      </c>
      <c r="P766" s="510" t="str">
        <f>IFERROR(__xludf.DUMMYFUNCTION("""COMPUTED_VALUE"""),"")</f>
        <v/>
      </c>
      <c r="Q766" s="508" t="str">
        <f>IFERROR(__xludf.DUMMYFUNCTION("""COMPUTED_VALUE"""),"")</f>
        <v/>
      </c>
      <c r="R766" s="508" t="str">
        <f>IFERROR(__xludf.DUMMYFUNCTION("""COMPUTED_VALUE"""),"")</f>
        <v/>
      </c>
      <c r="S766" s="510" t="str">
        <f>IFERROR(__xludf.DUMMYFUNCTION("""COMPUTED_VALUE"""),"")</f>
        <v/>
      </c>
      <c r="T766" s="510" t="str">
        <f>IFERROR(__xludf.DUMMYFUNCTION("""COMPUTED_VALUE"""),"")</f>
        <v/>
      </c>
    </row>
    <row r="767">
      <c r="A767" s="508" t="str">
        <f>IFERROR(__xludf.DUMMYFUNCTION("""COMPUTED_VALUE"""),"")</f>
        <v/>
      </c>
      <c r="B767" s="508" t="str">
        <f>IFERROR(__xludf.DUMMYFUNCTION("""COMPUTED_VALUE"""),"")</f>
        <v/>
      </c>
      <c r="C767" s="508" t="str">
        <f>IFERROR(__xludf.DUMMYFUNCTION("""COMPUTED_VALUE"""),"")</f>
        <v/>
      </c>
      <c r="D767" s="508" t="str">
        <f>IFERROR(__xludf.DUMMYFUNCTION("""COMPUTED_VALUE"""),"")</f>
        <v/>
      </c>
      <c r="E767" s="508" t="str">
        <f>IFERROR(__xludf.DUMMYFUNCTION("""COMPUTED_VALUE"""),"")</f>
        <v/>
      </c>
      <c r="F767" s="508" t="str">
        <f>IFERROR(__xludf.DUMMYFUNCTION("""COMPUTED_VALUE"""),"")</f>
        <v/>
      </c>
      <c r="G767" s="510" t="str">
        <f>IFERROR(__xludf.DUMMYFUNCTION("""COMPUTED_VALUE"""),"")</f>
        <v/>
      </c>
      <c r="H767" s="508" t="str">
        <f>IFERROR(__xludf.DUMMYFUNCTION("""COMPUTED_VALUE"""),"")</f>
        <v/>
      </c>
      <c r="I767" s="510" t="str">
        <f>IFERROR(__xludf.DUMMYFUNCTION("""COMPUTED_VALUE"""),"")</f>
        <v/>
      </c>
      <c r="J767" s="508" t="str">
        <f>IFERROR(__xludf.DUMMYFUNCTION("""COMPUTED_VALUE"""),"")</f>
        <v/>
      </c>
      <c r="K767" s="510" t="str">
        <f>IFERROR(__xludf.DUMMYFUNCTION("""COMPUTED_VALUE"""),"")</f>
        <v/>
      </c>
      <c r="L767" s="508" t="str">
        <f>IFERROR(__xludf.DUMMYFUNCTION("""COMPUTED_VALUE"""),"")</f>
        <v/>
      </c>
      <c r="M767" s="508" t="str">
        <f>IFERROR(__xludf.DUMMYFUNCTION("""COMPUTED_VALUE"""),"")</f>
        <v/>
      </c>
      <c r="N767" s="508" t="str">
        <f>IFERROR(__xludf.DUMMYFUNCTION("""COMPUTED_VALUE"""),"")</f>
        <v/>
      </c>
      <c r="O767" s="508" t="str">
        <f>IFERROR(__xludf.DUMMYFUNCTION("""COMPUTED_VALUE"""),"")</f>
        <v/>
      </c>
      <c r="P767" s="510" t="str">
        <f>IFERROR(__xludf.DUMMYFUNCTION("""COMPUTED_VALUE"""),"")</f>
        <v/>
      </c>
      <c r="Q767" s="508" t="str">
        <f>IFERROR(__xludf.DUMMYFUNCTION("""COMPUTED_VALUE"""),"")</f>
        <v/>
      </c>
      <c r="R767" s="508" t="str">
        <f>IFERROR(__xludf.DUMMYFUNCTION("""COMPUTED_VALUE"""),"")</f>
        <v/>
      </c>
      <c r="S767" s="510" t="str">
        <f>IFERROR(__xludf.DUMMYFUNCTION("""COMPUTED_VALUE"""),"")</f>
        <v/>
      </c>
      <c r="T767" s="510" t="str">
        <f>IFERROR(__xludf.DUMMYFUNCTION("""COMPUTED_VALUE"""),"")</f>
        <v/>
      </c>
    </row>
    <row r="768">
      <c r="A768" s="508" t="str">
        <f>IFERROR(__xludf.DUMMYFUNCTION("""COMPUTED_VALUE"""),"")</f>
        <v/>
      </c>
      <c r="B768" s="508" t="str">
        <f>IFERROR(__xludf.DUMMYFUNCTION("""COMPUTED_VALUE"""),"")</f>
        <v/>
      </c>
      <c r="C768" s="508" t="str">
        <f>IFERROR(__xludf.DUMMYFUNCTION("""COMPUTED_VALUE"""),"")</f>
        <v/>
      </c>
      <c r="D768" s="508" t="str">
        <f>IFERROR(__xludf.DUMMYFUNCTION("""COMPUTED_VALUE"""),"")</f>
        <v/>
      </c>
      <c r="E768" s="508" t="str">
        <f>IFERROR(__xludf.DUMMYFUNCTION("""COMPUTED_VALUE"""),"")</f>
        <v/>
      </c>
      <c r="F768" s="508" t="str">
        <f>IFERROR(__xludf.DUMMYFUNCTION("""COMPUTED_VALUE"""),"")</f>
        <v/>
      </c>
      <c r="G768" s="510" t="str">
        <f>IFERROR(__xludf.DUMMYFUNCTION("""COMPUTED_VALUE"""),"")</f>
        <v/>
      </c>
      <c r="H768" s="508" t="str">
        <f>IFERROR(__xludf.DUMMYFUNCTION("""COMPUTED_VALUE"""),"")</f>
        <v/>
      </c>
      <c r="I768" s="510" t="str">
        <f>IFERROR(__xludf.DUMMYFUNCTION("""COMPUTED_VALUE"""),"")</f>
        <v/>
      </c>
      <c r="J768" s="508" t="str">
        <f>IFERROR(__xludf.DUMMYFUNCTION("""COMPUTED_VALUE"""),"")</f>
        <v/>
      </c>
      <c r="K768" s="510" t="str">
        <f>IFERROR(__xludf.DUMMYFUNCTION("""COMPUTED_VALUE"""),"")</f>
        <v/>
      </c>
      <c r="L768" s="508" t="str">
        <f>IFERROR(__xludf.DUMMYFUNCTION("""COMPUTED_VALUE"""),"")</f>
        <v/>
      </c>
      <c r="M768" s="508" t="str">
        <f>IFERROR(__xludf.DUMMYFUNCTION("""COMPUTED_VALUE"""),"")</f>
        <v/>
      </c>
      <c r="N768" s="508" t="str">
        <f>IFERROR(__xludf.DUMMYFUNCTION("""COMPUTED_VALUE"""),"")</f>
        <v/>
      </c>
      <c r="O768" s="508" t="str">
        <f>IFERROR(__xludf.DUMMYFUNCTION("""COMPUTED_VALUE"""),"")</f>
        <v/>
      </c>
      <c r="P768" s="510" t="str">
        <f>IFERROR(__xludf.DUMMYFUNCTION("""COMPUTED_VALUE"""),"")</f>
        <v/>
      </c>
      <c r="Q768" s="508" t="str">
        <f>IFERROR(__xludf.DUMMYFUNCTION("""COMPUTED_VALUE"""),"")</f>
        <v/>
      </c>
      <c r="R768" s="508" t="str">
        <f>IFERROR(__xludf.DUMMYFUNCTION("""COMPUTED_VALUE"""),"")</f>
        <v/>
      </c>
      <c r="S768" s="510" t="str">
        <f>IFERROR(__xludf.DUMMYFUNCTION("""COMPUTED_VALUE"""),"")</f>
        <v/>
      </c>
      <c r="T768" s="510" t="str">
        <f>IFERROR(__xludf.DUMMYFUNCTION("""COMPUTED_VALUE"""),"")</f>
        <v/>
      </c>
    </row>
    <row r="769">
      <c r="A769" s="508" t="str">
        <f>IFERROR(__xludf.DUMMYFUNCTION("""COMPUTED_VALUE"""),"")</f>
        <v/>
      </c>
      <c r="B769" s="508" t="str">
        <f>IFERROR(__xludf.DUMMYFUNCTION("""COMPUTED_VALUE"""),"")</f>
        <v/>
      </c>
      <c r="C769" s="508" t="str">
        <f>IFERROR(__xludf.DUMMYFUNCTION("""COMPUTED_VALUE"""),"")</f>
        <v/>
      </c>
      <c r="D769" s="508" t="str">
        <f>IFERROR(__xludf.DUMMYFUNCTION("""COMPUTED_VALUE"""),"")</f>
        <v/>
      </c>
      <c r="E769" s="508" t="str">
        <f>IFERROR(__xludf.DUMMYFUNCTION("""COMPUTED_VALUE"""),"")</f>
        <v/>
      </c>
      <c r="F769" s="508" t="str">
        <f>IFERROR(__xludf.DUMMYFUNCTION("""COMPUTED_VALUE"""),"")</f>
        <v/>
      </c>
      <c r="G769" s="510" t="str">
        <f>IFERROR(__xludf.DUMMYFUNCTION("""COMPUTED_VALUE"""),"")</f>
        <v/>
      </c>
      <c r="H769" s="508" t="str">
        <f>IFERROR(__xludf.DUMMYFUNCTION("""COMPUTED_VALUE"""),"")</f>
        <v/>
      </c>
      <c r="I769" s="510" t="str">
        <f>IFERROR(__xludf.DUMMYFUNCTION("""COMPUTED_VALUE"""),"")</f>
        <v/>
      </c>
      <c r="J769" s="508" t="str">
        <f>IFERROR(__xludf.DUMMYFUNCTION("""COMPUTED_VALUE"""),"")</f>
        <v/>
      </c>
      <c r="K769" s="510" t="str">
        <f>IFERROR(__xludf.DUMMYFUNCTION("""COMPUTED_VALUE"""),"")</f>
        <v/>
      </c>
      <c r="L769" s="508" t="str">
        <f>IFERROR(__xludf.DUMMYFUNCTION("""COMPUTED_VALUE"""),"")</f>
        <v/>
      </c>
      <c r="M769" s="508" t="str">
        <f>IFERROR(__xludf.DUMMYFUNCTION("""COMPUTED_VALUE"""),"")</f>
        <v/>
      </c>
      <c r="N769" s="508" t="str">
        <f>IFERROR(__xludf.DUMMYFUNCTION("""COMPUTED_VALUE"""),"")</f>
        <v/>
      </c>
      <c r="O769" s="508" t="str">
        <f>IFERROR(__xludf.DUMMYFUNCTION("""COMPUTED_VALUE"""),"")</f>
        <v/>
      </c>
      <c r="P769" s="510" t="str">
        <f>IFERROR(__xludf.DUMMYFUNCTION("""COMPUTED_VALUE"""),"")</f>
        <v/>
      </c>
      <c r="Q769" s="508" t="str">
        <f>IFERROR(__xludf.DUMMYFUNCTION("""COMPUTED_VALUE"""),"")</f>
        <v/>
      </c>
      <c r="R769" s="508" t="str">
        <f>IFERROR(__xludf.DUMMYFUNCTION("""COMPUTED_VALUE"""),"")</f>
        <v/>
      </c>
      <c r="S769" s="510" t="str">
        <f>IFERROR(__xludf.DUMMYFUNCTION("""COMPUTED_VALUE"""),"")</f>
        <v/>
      </c>
      <c r="T769" s="510" t="str">
        <f>IFERROR(__xludf.DUMMYFUNCTION("""COMPUTED_VALUE"""),"")</f>
        <v/>
      </c>
    </row>
    <row r="770">
      <c r="A770" s="508" t="str">
        <f>IFERROR(__xludf.DUMMYFUNCTION("""COMPUTED_VALUE"""),"")</f>
        <v/>
      </c>
      <c r="B770" s="508" t="str">
        <f>IFERROR(__xludf.DUMMYFUNCTION("""COMPUTED_VALUE"""),"")</f>
        <v/>
      </c>
      <c r="C770" s="508" t="str">
        <f>IFERROR(__xludf.DUMMYFUNCTION("""COMPUTED_VALUE"""),"")</f>
        <v/>
      </c>
      <c r="D770" s="508" t="str">
        <f>IFERROR(__xludf.DUMMYFUNCTION("""COMPUTED_VALUE"""),"")</f>
        <v/>
      </c>
      <c r="E770" s="508" t="str">
        <f>IFERROR(__xludf.DUMMYFUNCTION("""COMPUTED_VALUE"""),"")</f>
        <v/>
      </c>
      <c r="F770" s="508" t="str">
        <f>IFERROR(__xludf.DUMMYFUNCTION("""COMPUTED_VALUE"""),"")</f>
        <v/>
      </c>
      <c r="G770" s="510" t="str">
        <f>IFERROR(__xludf.DUMMYFUNCTION("""COMPUTED_VALUE"""),"")</f>
        <v/>
      </c>
      <c r="H770" s="508" t="str">
        <f>IFERROR(__xludf.DUMMYFUNCTION("""COMPUTED_VALUE"""),"")</f>
        <v/>
      </c>
      <c r="I770" s="510" t="str">
        <f>IFERROR(__xludf.DUMMYFUNCTION("""COMPUTED_VALUE"""),"")</f>
        <v/>
      </c>
      <c r="J770" s="508" t="str">
        <f>IFERROR(__xludf.DUMMYFUNCTION("""COMPUTED_VALUE"""),"")</f>
        <v/>
      </c>
      <c r="K770" s="510" t="str">
        <f>IFERROR(__xludf.DUMMYFUNCTION("""COMPUTED_VALUE"""),"")</f>
        <v/>
      </c>
      <c r="L770" s="508" t="str">
        <f>IFERROR(__xludf.DUMMYFUNCTION("""COMPUTED_VALUE"""),"")</f>
        <v/>
      </c>
      <c r="M770" s="508" t="str">
        <f>IFERROR(__xludf.DUMMYFUNCTION("""COMPUTED_VALUE"""),"")</f>
        <v/>
      </c>
      <c r="N770" s="508" t="str">
        <f>IFERROR(__xludf.DUMMYFUNCTION("""COMPUTED_VALUE"""),"")</f>
        <v/>
      </c>
      <c r="O770" s="508" t="str">
        <f>IFERROR(__xludf.DUMMYFUNCTION("""COMPUTED_VALUE"""),"")</f>
        <v/>
      </c>
      <c r="P770" s="510" t="str">
        <f>IFERROR(__xludf.DUMMYFUNCTION("""COMPUTED_VALUE"""),"")</f>
        <v/>
      </c>
      <c r="Q770" s="508" t="str">
        <f>IFERROR(__xludf.DUMMYFUNCTION("""COMPUTED_VALUE"""),"")</f>
        <v/>
      </c>
      <c r="R770" s="508" t="str">
        <f>IFERROR(__xludf.DUMMYFUNCTION("""COMPUTED_VALUE"""),"")</f>
        <v/>
      </c>
      <c r="S770" s="510" t="str">
        <f>IFERROR(__xludf.DUMMYFUNCTION("""COMPUTED_VALUE"""),"")</f>
        <v/>
      </c>
      <c r="T770" s="510" t="str">
        <f>IFERROR(__xludf.DUMMYFUNCTION("""COMPUTED_VALUE"""),"")</f>
        <v/>
      </c>
    </row>
    <row r="771">
      <c r="A771" s="508" t="str">
        <f>IFERROR(__xludf.DUMMYFUNCTION("""COMPUTED_VALUE"""),"")</f>
        <v/>
      </c>
      <c r="B771" s="508" t="str">
        <f>IFERROR(__xludf.DUMMYFUNCTION("""COMPUTED_VALUE"""),"")</f>
        <v/>
      </c>
      <c r="C771" s="508" t="str">
        <f>IFERROR(__xludf.DUMMYFUNCTION("""COMPUTED_VALUE"""),"")</f>
        <v/>
      </c>
      <c r="D771" s="508" t="str">
        <f>IFERROR(__xludf.DUMMYFUNCTION("""COMPUTED_VALUE"""),"")</f>
        <v/>
      </c>
      <c r="E771" s="508" t="str">
        <f>IFERROR(__xludf.DUMMYFUNCTION("""COMPUTED_VALUE"""),"")</f>
        <v/>
      </c>
      <c r="F771" s="508" t="str">
        <f>IFERROR(__xludf.DUMMYFUNCTION("""COMPUTED_VALUE"""),"")</f>
        <v/>
      </c>
      <c r="G771" s="510" t="str">
        <f>IFERROR(__xludf.DUMMYFUNCTION("""COMPUTED_VALUE"""),"")</f>
        <v/>
      </c>
      <c r="H771" s="508" t="str">
        <f>IFERROR(__xludf.DUMMYFUNCTION("""COMPUTED_VALUE"""),"")</f>
        <v/>
      </c>
      <c r="I771" s="510" t="str">
        <f>IFERROR(__xludf.DUMMYFUNCTION("""COMPUTED_VALUE"""),"")</f>
        <v/>
      </c>
      <c r="J771" s="508" t="str">
        <f>IFERROR(__xludf.DUMMYFUNCTION("""COMPUTED_VALUE"""),"")</f>
        <v/>
      </c>
      <c r="K771" s="510" t="str">
        <f>IFERROR(__xludf.DUMMYFUNCTION("""COMPUTED_VALUE"""),"")</f>
        <v/>
      </c>
      <c r="L771" s="508" t="str">
        <f>IFERROR(__xludf.DUMMYFUNCTION("""COMPUTED_VALUE"""),"")</f>
        <v/>
      </c>
      <c r="M771" s="508" t="str">
        <f>IFERROR(__xludf.DUMMYFUNCTION("""COMPUTED_VALUE"""),"")</f>
        <v/>
      </c>
      <c r="N771" s="508" t="str">
        <f>IFERROR(__xludf.DUMMYFUNCTION("""COMPUTED_VALUE"""),"")</f>
        <v/>
      </c>
      <c r="O771" s="508" t="str">
        <f>IFERROR(__xludf.DUMMYFUNCTION("""COMPUTED_VALUE"""),"")</f>
        <v/>
      </c>
      <c r="P771" s="510" t="str">
        <f>IFERROR(__xludf.DUMMYFUNCTION("""COMPUTED_VALUE"""),"")</f>
        <v/>
      </c>
      <c r="Q771" s="508" t="str">
        <f>IFERROR(__xludf.DUMMYFUNCTION("""COMPUTED_VALUE"""),"")</f>
        <v/>
      </c>
      <c r="R771" s="508" t="str">
        <f>IFERROR(__xludf.DUMMYFUNCTION("""COMPUTED_VALUE"""),"")</f>
        <v/>
      </c>
      <c r="S771" s="510" t="str">
        <f>IFERROR(__xludf.DUMMYFUNCTION("""COMPUTED_VALUE"""),"")</f>
        <v/>
      </c>
      <c r="T771" s="510" t="str">
        <f>IFERROR(__xludf.DUMMYFUNCTION("""COMPUTED_VALUE"""),"")</f>
        <v/>
      </c>
    </row>
    <row r="772">
      <c r="A772" s="508" t="str">
        <f>IFERROR(__xludf.DUMMYFUNCTION("""COMPUTED_VALUE"""),"")</f>
        <v/>
      </c>
      <c r="B772" s="508" t="str">
        <f>IFERROR(__xludf.DUMMYFUNCTION("""COMPUTED_VALUE"""),"")</f>
        <v/>
      </c>
      <c r="C772" s="508" t="str">
        <f>IFERROR(__xludf.DUMMYFUNCTION("""COMPUTED_VALUE"""),"")</f>
        <v/>
      </c>
      <c r="D772" s="508" t="str">
        <f>IFERROR(__xludf.DUMMYFUNCTION("""COMPUTED_VALUE"""),"")</f>
        <v/>
      </c>
      <c r="E772" s="508" t="str">
        <f>IFERROR(__xludf.DUMMYFUNCTION("""COMPUTED_VALUE"""),"")</f>
        <v/>
      </c>
      <c r="F772" s="508" t="str">
        <f>IFERROR(__xludf.DUMMYFUNCTION("""COMPUTED_VALUE"""),"")</f>
        <v/>
      </c>
      <c r="G772" s="510" t="str">
        <f>IFERROR(__xludf.DUMMYFUNCTION("""COMPUTED_VALUE"""),"")</f>
        <v/>
      </c>
      <c r="H772" s="508" t="str">
        <f>IFERROR(__xludf.DUMMYFUNCTION("""COMPUTED_VALUE"""),"")</f>
        <v/>
      </c>
      <c r="I772" s="510" t="str">
        <f>IFERROR(__xludf.DUMMYFUNCTION("""COMPUTED_VALUE"""),"")</f>
        <v/>
      </c>
      <c r="J772" s="508" t="str">
        <f>IFERROR(__xludf.DUMMYFUNCTION("""COMPUTED_VALUE"""),"")</f>
        <v/>
      </c>
      <c r="K772" s="510" t="str">
        <f>IFERROR(__xludf.DUMMYFUNCTION("""COMPUTED_VALUE"""),"")</f>
        <v/>
      </c>
      <c r="L772" s="508" t="str">
        <f>IFERROR(__xludf.DUMMYFUNCTION("""COMPUTED_VALUE"""),"")</f>
        <v/>
      </c>
      <c r="M772" s="508" t="str">
        <f>IFERROR(__xludf.DUMMYFUNCTION("""COMPUTED_VALUE"""),"")</f>
        <v/>
      </c>
      <c r="N772" s="508" t="str">
        <f>IFERROR(__xludf.DUMMYFUNCTION("""COMPUTED_VALUE"""),"")</f>
        <v/>
      </c>
      <c r="O772" s="508" t="str">
        <f>IFERROR(__xludf.DUMMYFUNCTION("""COMPUTED_VALUE"""),"")</f>
        <v/>
      </c>
      <c r="P772" s="510" t="str">
        <f>IFERROR(__xludf.DUMMYFUNCTION("""COMPUTED_VALUE"""),"")</f>
        <v/>
      </c>
      <c r="Q772" s="508" t="str">
        <f>IFERROR(__xludf.DUMMYFUNCTION("""COMPUTED_VALUE"""),"")</f>
        <v/>
      </c>
      <c r="R772" s="508" t="str">
        <f>IFERROR(__xludf.DUMMYFUNCTION("""COMPUTED_VALUE"""),"")</f>
        <v/>
      </c>
      <c r="S772" s="510" t="str">
        <f>IFERROR(__xludf.DUMMYFUNCTION("""COMPUTED_VALUE"""),"")</f>
        <v/>
      </c>
      <c r="T772" s="510" t="str">
        <f>IFERROR(__xludf.DUMMYFUNCTION("""COMPUTED_VALUE"""),"")</f>
        <v/>
      </c>
    </row>
    <row r="773">
      <c r="A773" s="508" t="str">
        <f>IFERROR(__xludf.DUMMYFUNCTION("""COMPUTED_VALUE"""),"")</f>
        <v/>
      </c>
      <c r="B773" s="508" t="str">
        <f>IFERROR(__xludf.DUMMYFUNCTION("""COMPUTED_VALUE"""),"")</f>
        <v/>
      </c>
      <c r="C773" s="508" t="str">
        <f>IFERROR(__xludf.DUMMYFUNCTION("""COMPUTED_VALUE"""),"")</f>
        <v/>
      </c>
      <c r="D773" s="508" t="str">
        <f>IFERROR(__xludf.DUMMYFUNCTION("""COMPUTED_VALUE"""),"")</f>
        <v/>
      </c>
      <c r="E773" s="508" t="str">
        <f>IFERROR(__xludf.DUMMYFUNCTION("""COMPUTED_VALUE"""),"")</f>
        <v/>
      </c>
      <c r="F773" s="508" t="str">
        <f>IFERROR(__xludf.DUMMYFUNCTION("""COMPUTED_VALUE"""),"")</f>
        <v/>
      </c>
      <c r="G773" s="510" t="str">
        <f>IFERROR(__xludf.DUMMYFUNCTION("""COMPUTED_VALUE"""),"")</f>
        <v/>
      </c>
      <c r="H773" s="508" t="str">
        <f>IFERROR(__xludf.DUMMYFUNCTION("""COMPUTED_VALUE"""),"")</f>
        <v/>
      </c>
      <c r="I773" s="510" t="str">
        <f>IFERROR(__xludf.DUMMYFUNCTION("""COMPUTED_VALUE"""),"")</f>
        <v/>
      </c>
      <c r="J773" s="508" t="str">
        <f>IFERROR(__xludf.DUMMYFUNCTION("""COMPUTED_VALUE"""),"")</f>
        <v/>
      </c>
      <c r="K773" s="510" t="str">
        <f>IFERROR(__xludf.DUMMYFUNCTION("""COMPUTED_VALUE"""),"")</f>
        <v/>
      </c>
      <c r="L773" s="508" t="str">
        <f>IFERROR(__xludf.DUMMYFUNCTION("""COMPUTED_VALUE"""),"")</f>
        <v/>
      </c>
      <c r="M773" s="508" t="str">
        <f>IFERROR(__xludf.DUMMYFUNCTION("""COMPUTED_VALUE"""),"")</f>
        <v/>
      </c>
      <c r="N773" s="508" t="str">
        <f>IFERROR(__xludf.DUMMYFUNCTION("""COMPUTED_VALUE"""),"")</f>
        <v/>
      </c>
      <c r="O773" s="508" t="str">
        <f>IFERROR(__xludf.DUMMYFUNCTION("""COMPUTED_VALUE"""),"")</f>
        <v/>
      </c>
      <c r="P773" s="510" t="str">
        <f>IFERROR(__xludf.DUMMYFUNCTION("""COMPUTED_VALUE"""),"")</f>
        <v/>
      </c>
      <c r="Q773" s="508" t="str">
        <f>IFERROR(__xludf.DUMMYFUNCTION("""COMPUTED_VALUE"""),"")</f>
        <v/>
      </c>
      <c r="R773" s="508" t="str">
        <f>IFERROR(__xludf.DUMMYFUNCTION("""COMPUTED_VALUE"""),"")</f>
        <v/>
      </c>
      <c r="S773" s="510" t="str">
        <f>IFERROR(__xludf.DUMMYFUNCTION("""COMPUTED_VALUE"""),"")</f>
        <v/>
      </c>
      <c r="T773" s="510" t="str">
        <f>IFERROR(__xludf.DUMMYFUNCTION("""COMPUTED_VALUE"""),"")</f>
        <v/>
      </c>
    </row>
    <row r="774">
      <c r="A774" s="508" t="str">
        <f>IFERROR(__xludf.DUMMYFUNCTION("""COMPUTED_VALUE"""),"")</f>
        <v/>
      </c>
      <c r="B774" s="508" t="str">
        <f>IFERROR(__xludf.DUMMYFUNCTION("""COMPUTED_VALUE"""),"")</f>
        <v/>
      </c>
      <c r="C774" s="508" t="str">
        <f>IFERROR(__xludf.DUMMYFUNCTION("""COMPUTED_VALUE"""),"")</f>
        <v/>
      </c>
      <c r="D774" s="508" t="str">
        <f>IFERROR(__xludf.DUMMYFUNCTION("""COMPUTED_VALUE"""),"")</f>
        <v/>
      </c>
      <c r="E774" s="508" t="str">
        <f>IFERROR(__xludf.DUMMYFUNCTION("""COMPUTED_VALUE"""),"")</f>
        <v/>
      </c>
      <c r="F774" s="508" t="str">
        <f>IFERROR(__xludf.DUMMYFUNCTION("""COMPUTED_VALUE"""),"")</f>
        <v/>
      </c>
      <c r="G774" s="510" t="str">
        <f>IFERROR(__xludf.DUMMYFUNCTION("""COMPUTED_VALUE"""),"")</f>
        <v/>
      </c>
      <c r="H774" s="508" t="str">
        <f>IFERROR(__xludf.DUMMYFUNCTION("""COMPUTED_VALUE"""),"")</f>
        <v/>
      </c>
      <c r="I774" s="510" t="str">
        <f>IFERROR(__xludf.DUMMYFUNCTION("""COMPUTED_VALUE"""),"")</f>
        <v/>
      </c>
      <c r="J774" s="508" t="str">
        <f>IFERROR(__xludf.DUMMYFUNCTION("""COMPUTED_VALUE"""),"")</f>
        <v/>
      </c>
      <c r="K774" s="510" t="str">
        <f>IFERROR(__xludf.DUMMYFUNCTION("""COMPUTED_VALUE"""),"")</f>
        <v/>
      </c>
      <c r="L774" s="508" t="str">
        <f>IFERROR(__xludf.DUMMYFUNCTION("""COMPUTED_VALUE"""),"")</f>
        <v/>
      </c>
      <c r="M774" s="508" t="str">
        <f>IFERROR(__xludf.DUMMYFUNCTION("""COMPUTED_VALUE"""),"")</f>
        <v/>
      </c>
      <c r="N774" s="508" t="str">
        <f>IFERROR(__xludf.DUMMYFUNCTION("""COMPUTED_VALUE"""),"")</f>
        <v/>
      </c>
      <c r="O774" s="508" t="str">
        <f>IFERROR(__xludf.DUMMYFUNCTION("""COMPUTED_VALUE"""),"")</f>
        <v/>
      </c>
      <c r="P774" s="510" t="str">
        <f>IFERROR(__xludf.DUMMYFUNCTION("""COMPUTED_VALUE"""),"")</f>
        <v/>
      </c>
      <c r="Q774" s="508" t="str">
        <f>IFERROR(__xludf.DUMMYFUNCTION("""COMPUTED_VALUE"""),"")</f>
        <v/>
      </c>
      <c r="R774" s="508" t="str">
        <f>IFERROR(__xludf.DUMMYFUNCTION("""COMPUTED_VALUE"""),"")</f>
        <v/>
      </c>
      <c r="S774" s="510" t="str">
        <f>IFERROR(__xludf.DUMMYFUNCTION("""COMPUTED_VALUE"""),"")</f>
        <v/>
      </c>
      <c r="T774" s="510" t="str">
        <f>IFERROR(__xludf.DUMMYFUNCTION("""COMPUTED_VALUE"""),"")</f>
        <v/>
      </c>
    </row>
    <row r="775">
      <c r="A775" s="508" t="str">
        <f>IFERROR(__xludf.DUMMYFUNCTION("""COMPUTED_VALUE"""),"")</f>
        <v/>
      </c>
      <c r="B775" s="508" t="str">
        <f>IFERROR(__xludf.DUMMYFUNCTION("""COMPUTED_VALUE"""),"")</f>
        <v/>
      </c>
      <c r="C775" s="508" t="str">
        <f>IFERROR(__xludf.DUMMYFUNCTION("""COMPUTED_VALUE"""),"")</f>
        <v/>
      </c>
      <c r="D775" s="508" t="str">
        <f>IFERROR(__xludf.DUMMYFUNCTION("""COMPUTED_VALUE"""),"")</f>
        <v/>
      </c>
      <c r="E775" s="508" t="str">
        <f>IFERROR(__xludf.DUMMYFUNCTION("""COMPUTED_VALUE"""),"")</f>
        <v/>
      </c>
      <c r="F775" s="508" t="str">
        <f>IFERROR(__xludf.DUMMYFUNCTION("""COMPUTED_VALUE"""),"")</f>
        <v/>
      </c>
      <c r="G775" s="510" t="str">
        <f>IFERROR(__xludf.DUMMYFUNCTION("""COMPUTED_VALUE"""),"")</f>
        <v/>
      </c>
      <c r="H775" s="508" t="str">
        <f>IFERROR(__xludf.DUMMYFUNCTION("""COMPUTED_VALUE"""),"")</f>
        <v/>
      </c>
      <c r="I775" s="510" t="str">
        <f>IFERROR(__xludf.DUMMYFUNCTION("""COMPUTED_VALUE"""),"")</f>
        <v/>
      </c>
      <c r="J775" s="508" t="str">
        <f>IFERROR(__xludf.DUMMYFUNCTION("""COMPUTED_VALUE"""),"")</f>
        <v/>
      </c>
      <c r="K775" s="510" t="str">
        <f>IFERROR(__xludf.DUMMYFUNCTION("""COMPUTED_VALUE"""),"")</f>
        <v/>
      </c>
      <c r="L775" s="508" t="str">
        <f>IFERROR(__xludf.DUMMYFUNCTION("""COMPUTED_VALUE"""),"")</f>
        <v/>
      </c>
      <c r="M775" s="508" t="str">
        <f>IFERROR(__xludf.DUMMYFUNCTION("""COMPUTED_VALUE"""),"")</f>
        <v/>
      </c>
      <c r="N775" s="508" t="str">
        <f>IFERROR(__xludf.DUMMYFUNCTION("""COMPUTED_VALUE"""),"")</f>
        <v/>
      </c>
      <c r="O775" s="508" t="str">
        <f>IFERROR(__xludf.DUMMYFUNCTION("""COMPUTED_VALUE"""),"")</f>
        <v/>
      </c>
      <c r="P775" s="510" t="str">
        <f>IFERROR(__xludf.DUMMYFUNCTION("""COMPUTED_VALUE"""),"")</f>
        <v/>
      </c>
      <c r="Q775" s="508" t="str">
        <f>IFERROR(__xludf.DUMMYFUNCTION("""COMPUTED_VALUE"""),"")</f>
        <v/>
      </c>
      <c r="R775" s="508" t="str">
        <f>IFERROR(__xludf.DUMMYFUNCTION("""COMPUTED_VALUE"""),"")</f>
        <v/>
      </c>
      <c r="S775" s="510" t="str">
        <f>IFERROR(__xludf.DUMMYFUNCTION("""COMPUTED_VALUE"""),"")</f>
        <v/>
      </c>
      <c r="T775" s="510" t="str">
        <f>IFERROR(__xludf.DUMMYFUNCTION("""COMPUTED_VALUE"""),"")</f>
        <v/>
      </c>
    </row>
    <row r="776">
      <c r="A776" s="508" t="str">
        <f>IFERROR(__xludf.DUMMYFUNCTION("""COMPUTED_VALUE"""),"")</f>
        <v/>
      </c>
      <c r="B776" s="508" t="str">
        <f>IFERROR(__xludf.DUMMYFUNCTION("""COMPUTED_VALUE"""),"")</f>
        <v/>
      </c>
      <c r="C776" s="508" t="str">
        <f>IFERROR(__xludf.DUMMYFUNCTION("""COMPUTED_VALUE"""),"")</f>
        <v/>
      </c>
      <c r="D776" s="508" t="str">
        <f>IFERROR(__xludf.DUMMYFUNCTION("""COMPUTED_VALUE"""),"")</f>
        <v/>
      </c>
      <c r="E776" s="508" t="str">
        <f>IFERROR(__xludf.DUMMYFUNCTION("""COMPUTED_VALUE"""),"")</f>
        <v/>
      </c>
      <c r="F776" s="508" t="str">
        <f>IFERROR(__xludf.DUMMYFUNCTION("""COMPUTED_VALUE"""),"")</f>
        <v/>
      </c>
      <c r="G776" s="510" t="str">
        <f>IFERROR(__xludf.DUMMYFUNCTION("""COMPUTED_VALUE"""),"")</f>
        <v/>
      </c>
      <c r="H776" s="508" t="str">
        <f>IFERROR(__xludf.DUMMYFUNCTION("""COMPUTED_VALUE"""),"")</f>
        <v/>
      </c>
      <c r="I776" s="510" t="str">
        <f>IFERROR(__xludf.DUMMYFUNCTION("""COMPUTED_VALUE"""),"")</f>
        <v/>
      </c>
      <c r="J776" s="508" t="str">
        <f>IFERROR(__xludf.DUMMYFUNCTION("""COMPUTED_VALUE"""),"")</f>
        <v/>
      </c>
      <c r="K776" s="510" t="str">
        <f>IFERROR(__xludf.DUMMYFUNCTION("""COMPUTED_VALUE"""),"")</f>
        <v/>
      </c>
      <c r="L776" s="508" t="str">
        <f>IFERROR(__xludf.DUMMYFUNCTION("""COMPUTED_VALUE"""),"")</f>
        <v/>
      </c>
      <c r="M776" s="508" t="str">
        <f>IFERROR(__xludf.DUMMYFUNCTION("""COMPUTED_VALUE"""),"")</f>
        <v/>
      </c>
      <c r="N776" s="508" t="str">
        <f>IFERROR(__xludf.DUMMYFUNCTION("""COMPUTED_VALUE"""),"")</f>
        <v/>
      </c>
      <c r="O776" s="508" t="str">
        <f>IFERROR(__xludf.DUMMYFUNCTION("""COMPUTED_VALUE"""),"")</f>
        <v/>
      </c>
      <c r="P776" s="510" t="str">
        <f>IFERROR(__xludf.DUMMYFUNCTION("""COMPUTED_VALUE"""),"")</f>
        <v/>
      </c>
      <c r="Q776" s="508" t="str">
        <f>IFERROR(__xludf.DUMMYFUNCTION("""COMPUTED_VALUE"""),"")</f>
        <v/>
      </c>
      <c r="R776" s="508" t="str">
        <f>IFERROR(__xludf.DUMMYFUNCTION("""COMPUTED_VALUE"""),"")</f>
        <v/>
      </c>
      <c r="S776" s="510" t="str">
        <f>IFERROR(__xludf.DUMMYFUNCTION("""COMPUTED_VALUE"""),"")</f>
        <v/>
      </c>
      <c r="T776" s="510" t="str">
        <f>IFERROR(__xludf.DUMMYFUNCTION("""COMPUTED_VALUE"""),"")</f>
        <v/>
      </c>
    </row>
    <row r="777">
      <c r="A777" s="508" t="str">
        <f>IFERROR(__xludf.DUMMYFUNCTION("""COMPUTED_VALUE"""),"")</f>
        <v/>
      </c>
      <c r="B777" s="508" t="str">
        <f>IFERROR(__xludf.DUMMYFUNCTION("""COMPUTED_VALUE"""),"")</f>
        <v/>
      </c>
      <c r="C777" s="508" t="str">
        <f>IFERROR(__xludf.DUMMYFUNCTION("""COMPUTED_VALUE"""),"")</f>
        <v/>
      </c>
      <c r="D777" s="508" t="str">
        <f>IFERROR(__xludf.DUMMYFUNCTION("""COMPUTED_VALUE"""),"")</f>
        <v/>
      </c>
      <c r="E777" s="508" t="str">
        <f>IFERROR(__xludf.DUMMYFUNCTION("""COMPUTED_VALUE"""),"")</f>
        <v/>
      </c>
      <c r="F777" s="508" t="str">
        <f>IFERROR(__xludf.DUMMYFUNCTION("""COMPUTED_VALUE"""),"")</f>
        <v/>
      </c>
      <c r="G777" s="510" t="str">
        <f>IFERROR(__xludf.DUMMYFUNCTION("""COMPUTED_VALUE"""),"")</f>
        <v/>
      </c>
      <c r="H777" s="508" t="str">
        <f>IFERROR(__xludf.DUMMYFUNCTION("""COMPUTED_VALUE"""),"")</f>
        <v/>
      </c>
      <c r="I777" s="510" t="str">
        <f>IFERROR(__xludf.DUMMYFUNCTION("""COMPUTED_VALUE"""),"")</f>
        <v/>
      </c>
      <c r="J777" s="508" t="str">
        <f>IFERROR(__xludf.DUMMYFUNCTION("""COMPUTED_VALUE"""),"")</f>
        <v/>
      </c>
      <c r="K777" s="510" t="str">
        <f>IFERROR(__xludf.DUMMYFUNCTION("""COMPUTED_VALUE"""),"")</f>
        <v/>
      </c>
      <c r="L777" s="508" t="str">
        <f>IFERROR(__xludf.DUMMYFUNCTION("""COMPUTED_VALUE"""),"")</f>
        <v/>
      </c>
      <c r="M777" s="508" t="str">
        <f>IFERROR(__xludf.DUMMYFUNCTION("""COMPUTED_VALUE"""),"")</f>
        <v/>
      </c>
      <c r="N777" s="508" t="str">
        <f>IFERROR(__xludf.DUMMYFUNCTION("""COMPUTED_VALUE"""),"")</f>
        <v/>
      </c>
      <c r="O777" s="508" t="str">
        <f>IFERROR(__xludf.DUMMYFUNCTION("""COMPUTED_VALUE"""),"")</f>
        <v/>
      </c>
      <c r="P777" s="510" t="str">
        <f>IFERROR(__xludf.DUMMYFUNCTION("""COMPUTED_VALUE"""),"")</f>
        <v/>
      </c>
      <c r="Q777" s="508" t="str">
        <f>IFERROR(__xludf.DUMMYFUNCTION("""COMPUTED_VALUE"""),"")</f>
        <v/>
      </c>
      <c r="R777" s="508" t="str">
        <f>IFERROR(__xludf.DUMMYFUNCTION("""COMPUTED_VALUE"""),"")</f>
        <v/>
      </c>
      <c r="S777" s="510" t="str">
        <f>IFERROR(__xludf.DUMMYFUNCTION("""COMPUTED_VALUE"""),"")</f>
        <v/>
      </c>
      <c r="T777" s="510" t="str">
        <f>IFERROR(__xludf.DUMMYFUNCTION("""COMPUTED_VALUE"""),"")</f>
        <v/>
      </c>
    </row>
    <row r="778">
      <c r="A778" s="508" t="str">
        <f>IFERROR(__xludf.DUMMYFUNCTION("""COMPUTED_VALUE"""),"")</f>
        <v/>
      </c>
      <c r="B778" s="508" t="str">
        <f>IFERROR(__xludf.DUMMYFUNCTION("""COMPUTED_VALUE"""),"")</f>
        <v/>
      </c>
      <c r="C778" s="508" t="str">
        <f>IFERROR(__xludf.DUMMYFUNCTION("""COMPUTED_VALUE"""),"")</f>
        <v/>
      </c>
      <c r="D778" s="508" t="str">
        <f>IFERROR(__xludf.DUMMYFUNCTION("""COMPUTED_VALUE"""),"")</f>
        <v/>
      </c>
      <c r="E778" s="508" t="str">
        <f>IFERROR(__xludf.DUMMYFUNCTION("""COMPUTED_VALUE"""),"")</f>
        <v/>
      </c>
      <c r="F778" s="508" t="str">
        <f>IFERROR(__xludf.DUMMYFUNCTION("""COMPUTED_VALUE"""),"")</f>
        <v/>
      </c>
      <c r="G778" s="510" t="str">
        <f>IFERROR(__xludf.DUMMYFUNCTION("""COMPUTED_VALUE"""),"")</f>
        <v/>
      </c>
      <c r="H778" s="508" t="str">
        <f>IFERROR(__xludf.DUMMYFUNCTION("""COMPUTED_VALUE"""),"")</f>
        <v/>
      </c>
      <c r="I778" s="510" t="str">
        <f>IFERROR(__xludf.DUMMYFUNCTION("""COMPUTED_VALUE"""),"")</f>
        <v/>
      </c>
      <c r="J778" s="508" t="str">
        <f>IFERROR(__xludf.DUMMYFUNCTION("""COMPUTED_VALUE"""),"")</f>
        <v/>
      </c>
      <c r="K778" s="510" t="str">
        <f>IFERROR(__xludf.DUMMYFUNCTION("""COMPUTED_VALUE"""),"")</f>
        <v/>
      </c>
      <c r="L778" s="508" t="str">
        <f>IFERROR(__xludf.DUMMYFUNCTION("""COMPUTED_VALUE"""),"")</f>
        <v/>
      </c>
      <c r="M778" s="508" t="str">
        <f>IFERROR(__xludf.DUMMYFUNCTION("""COMPUTED_VALUE"""),"")</f>
        <v/>
      </c>
      <c r="N778" s="508" t="str">
        <f>IFERROR(__xludf.DUMMYFUNCTION("""COMPUTED_VALUE"""),"")</f>
        <v/>
      </c>
      <c r="O778" s="508" t="str">
        <f>IFERROR(__xludf.DUMMYFUNCTION("""COMPUTED_VALUE"""),"")</f>
        <v/>
      </c>
      <c r="P778" s="510" t="str">
        <f>IFERROR(__xludf.DUMMYFUNCTION("""COMPUTED_VALUE"""),"")</f>
        <v/>
      </c>
      <c r="Q778" s="508" t="str">
        <f>IFERROR(__xludf.DUMMYFUNCTION("""COMPUTED_VALUE"""),"")</f>
        <v/>
      </c>
      <c r="R778" s="508" t="str">
        <f>IFERROR(__xludf.DUMMYFUNCTION("""COMPUTED_VALUE"""),"")</f>
        <v/>
      </c>
      <c r="S778" s="510" t="str">
        <f>IFERROR(__xludf.DUMMYFUNCTION("""COMPUTED_VALUE"""),"")</f>
        <v/>
      </c>
      <c r="T778" s="510" t="str">
        <f>IFERROR(__xludf.DUMMYFUNCTION("""COMPUTED_VALUE"""),"")</f>
        <v/>
      </c>
    </row>
    <row r="779">
      <c r="A779" s="508" t="str">
        <f>IFERROR(__xludf.DUMMYFUNCTION("""COMPUTED_VALUE"""),"")</f>
        <v/>
      </c>
      <c r="B779" s="508" t="str">
        <f>IFERROR(__xludf.DUMMYFUNCTION("""COMPUTED_VALUE"""),"")</f>
        <v/>
      </c>
      <c r="C779" s="508" t="str">
        <f>IFERROR(__xludf.DUMMYFUNCTION("""COMPUTED_VALUE"""),"")</f>
        <v/>
      </c>
      <c r="D779" s="508" t="str">
        <f>IFERROR(__xludf.DUMMYFUNCTION("""COMPUTED_VALUE"""),"")</f>
        <v/>
      </c>
      <c r="E779" s="508" t="str">
        <f>IFERROR(__xludf.DUMMYFUNCTION("""COMPUTED_VALUE"""),"")</f>
        <v/>
      </c>
      <c r="F779" s="508" t="str">
        <f>IFERROR(__xludf.DUMMYFUNCTION("""COMPUTED_VALUE"""),"")</f>
        <v/>
      </c>
      <c r="G779" s="510" t="str">
        <f>IFERROR(__xludf.DUMMYFUNCTION("""COMPUTED_VALUE"""),"")</f>
        <v/>
      </c>
      <c r="H779" s="508" t="str">
        <f>IFERROR(__xludf.DUMMYFUNCTION("""COMPUTED_VALUE"""),"")</f>
        <v/>
      </c>
      <c r="I779" s="510" t="str">
        <f>IFERROR(__xludf.DUMMYFUNCTION("""COMPUTED_VALUE"""),"")</f>
        <v/>
      </c>
      <c r="J779" s="508" t="str">
        <f>IFERROR(__xludf.DUMMYFUNCTION("""COMPUTED_VALUE"""),"")</f>
        <v/>
      </c>
      <c r="K779" s="510" t="str">
        <f>IFERROR(__xludf.DUMMYFUNCTION("""COMPUTED_VALUE"""),"")</f>
        <v/>
      </c>
      <c r="L779" s="508" t="str">
        <f>IFERROR(__xludf.DUMMYFUNCTION("""COMPUTED_VALUE"""),"")</f>
        <v/>
      </c>
      <c r="M779" s="508" t="str">
        <f>IFERROR(__xludf.DUMMYFUNCTION("""COMPUTED_VALUE"""),"")</f>
        <v/>
      </c>
      <c r="N779" s="508" t="str">
        <f>IFERROR(__xludf.DUMMYFUNCTION("""COMPUTED_VALUE"""),"")</f>
        <v/>
      </c>
      <c r="O779" s="508" t="str">
        <f>IFERROR(__xludf.DUMMYFUNCTION("""COMPUTED_VALUE"""),"")</f>
        <v/>
      </c>
      <c r="P779" s="510" t="str">
        <f>IFERROR(__xludf.DUMMYFUNCTION("""COMPUTED_VALUE"""),"")</f>
        <v/>
      </c>
      <c r="Q779" s="508" t="str">
        <f>IFERROR(__xludf.DUMMYFUNCTION("""COMPUTED_VALUE"""),"")</f>
        <v/>
      </c>
      <c r="R779" s="508" t="str">
        <f>IFERROR(__xludf.DUMMYFUNCTION("""COMPUTED_VALUE"""),"")</f>
        <v/>
      </c>
      <c r="S779" s="510" t="str">
        <f>IFERROR(__xludf.DUMMYFUNCTION("""COMPUTED_VALUE"""),"")</f>
        <v/>
      </c>
      <c r="T779" s="510" t="str">
        <f>IFERROR(__xludf.DUMMYFUNCTION("""COMPUTED_VALUE"""),"")</f>
        <v/>
      </c>
    </row>
    <row r="780">
      <c r="A780" s="508" t="str">
        <f>IFERROR(__xludf.DUMMYFUNCTION("""COMPUTED_VALUE"""),"")</f>
        <v/>
      </c>
      <c r="B780" s="508" t="str">
        <f>IFERROR(__xludf.DUMMYFUNCTION("""COMPUTED_VALUE"""),"")</f>
        <v/>
      </c>
      <c r="C780" s="508" t="str">
        <f>IFERROR(__xludf.DUMMYFUNCTION("""COMPUTED_VALUE"""),"")</f>
        <v/>
      </c>
      <c r="D780" s="508" t="str">
        <f>IFERROR(__xludf.DUMMYFUNCTION("""COMPUTED_VALUE"""),"")</f>
        <v/>
      </c>
      <c r="E780" s="508" t="str">
        <f>IFERROR(__xludf.DUMMYFUNCTION("""COMPUTED_VALUE"""),"")</f>
        <v/>
      </c>
      <c r="F780" s="508" t="str">
        <f>IFERROR(__xludf.DUMMYFUNCTION("""COMPUTED_VALUE"""),"")</f>
        <v/>
      </c>
      <c r="G780" s="510" t="str">
        <f>IFERROR(__xludf.DUMMYFUNCTION("""COMPUTED_VALUE"""),"")</f>
        <v/>
      </c>
      <c r="H780" s="508" t="str">
        <f>IFERROR(__xludf.DUMMYFUNCTION("""COMPUTED_VALUE"""),"")</f>
        <v/>
      </c>
      <c r="I780" s="510" t="str">
        <f>IFERROR(__xludf.DUMMYFUNCTION("""COMPUTED_VALUE"""),"")</f>
        <v/>
      </c>
      <c r="J780" s="508" t="str">
        <f>IFERROR(__xludf.DUMMYFUNCTION("""COMPUTED_VALUE"""),"")</f>
        <v/>
      </c>
      <c r="K780" s="510" t="str">
        <f>IFERROR(__xludf.DUMMYFUNCTION("""COMPUTED_VALUE"""),"")</f>
        <v/>
      </c>
      <c r="L780" s="508" t="str">
        <f>IFERROR(__xludf.DUMMYFUNCTION("""COMPUTED_VALUE"""),"")</f>
        <v/>
      </c>
      <c r="M780" s="508" t="str">
        <f>IFERROR(__xludf.DUMMYFUNCTION("""COMPUTED_VALUE"""),"")</f>
        <v/>
      </c>
      <c r="N780" s="508" t="str">
        <f>IFERROR(__xludf.DUMMYFUNCTION("""COMPUTED_VALUE"""),"")</f>
        <v/>
      </c>
      <c r="O780" s="508" t="str">
        <f>IFERROR(__xludf.DUMMYFUNCTION("""COMPUTED_VALUE"""),"")</f>
        <v/>
      </c>
      <c r="P780" s="510" t="str">
        <f>IFERROR(__xludf.DUMMYFUNCTION("""COMPUTED_VALUE"""),"")</f>
        <v/>
      </c>
      <c r="Q780" s="508" t="str">
        <f>IFERROR(__xludf.DUMMYFUNCTION("""COMPUTED_VALUE"""),"")</f>
        <v/>
      </c>
      <c r="R780" s="508" t="str">
        <f>IFERROR(__xludf.DUMMYFUNCTION("""COMPUTED_VALUE"""),"")</f>
        <v/>
      </c>
      <c r="S780" s="510" t="str">
        <f>IFERROR(__xludf.DUMMYFUNCTION("""COMPUTED_VALUE"""),"")</f>
        <v/>
      </c>
      <c r="T780" s="510" t="str">
        <f>IFERROR(__xludf.DUMMYFUNCTION("""COMPUTED_VALUE"""),"")</f>
        <v/>
      </c>
    </row>
    <row r="781">
      <c r="A781" s="508" t="str">
        <f>IFERROR(__xludf.DUMMYFUNCTION("""COMPUTED_VALUE"""),"")</f>
        <v/>
      </c>
      <c r="B781" s="508" t="str">
        <f>IFERROR(__xludf.DUMMYFUNCTION("""COMPUTED_VALUE"""),"")</f>
        <v/>
      </c>
      <c r="C781" s="508" t="str">
        <f>IFERROR(__xludf.DUMMYFUNCTION("""COMPUTED_VALUE"""),"")</f>
        <v/>
      </c>
      <c r="D781" s="508" t="str">
        <f>IFERROR(__xludf.DUMMYFUNCTION("""COMPUTED_VALUE"""),"")</f>
        <v/>
      </c>
      <c r="E781" s="508" t="str">
        <f>IFERROR(__xludf.DUMMYFUNCTION("""COMPUTED_VALUE"""),"")</f>
        <v/>
      </c>
      <c r="F781" s="508" t="str">
        <f>IFERROR(__xludf.DUMMYFUNCTION("""COMPUTED_VALUE"""),"")</f>
        <v/>
      </c>
      <c r="G781" s="510" t="str">
        <f>IFERROR(__xludf.DUMMYFUNCTION("""COMPUTED_VALUE"""),"")</f>
        <v/>
      </c>
      <c r="H781" s="508" t="str">
        <f>IFERROR(__xludf.DUMMYFUNCTION("""COMPUTED_VALUE"""),"")</f>
        <v/>
      </c>
      <c r="I781" s="510" t="str">
        <f>IFERROR(__xludf.DUMMYFUNCTION("""COMPUTED_VALUE"""),"")</f>
        <v/>
      </c>
      <c r="J781" s="508" t="str">
        <f>IFERROR(__xludf.DUMMYFUNCTION("""COMPUTED_VALUE"""),"")</f>
        <v/>
      </c>
      <c r="K781" s="510" t="str">
        <f>IFERROR(__xludf.DUMMYFUNCTION("""COMPUTED_VALUE"""),"")</f>
        <v/>
      </c>
      <c r="L781" s="508" t="str">
        <f>IFERROR(__xludf.DUMMYFUNCTION("""COMPUTED_VALUE"""),"")</f>
        <v/>
      </c>
      <c r="M781" s="508" t="str">
        <f>IFERROR(__xludf.DUMMYFUNCTION("""COMPUTED_VALUE"""),"")</f>
        <v/>
      </c>
      <c r="N781" s="508" t="str">
        <f>IFERROR(__xludf.DUMMYFUNCTION("""COMPUTED_VALUE"""),"")</f>
        <v/>
      </c>
      <c r="O781" s="508" t="str">
        <f>IFERROR(__xludf.DUMMYFUNCTION("""COMPUTED_VALUE"""),"")</f>
        <v/>
      </c>
      <c r="P781" s="510" t="str">
        <f>IFERROR(__xludf.DUMMYFUNCTION("""COMPUTED_VALUE"""),"")</f>
        <v/>
      </c>
      <c r="Q781" s="508" t="str">
        <f>IFERROR(__xludf.DUMMYFUNCTION("""COMPUTED_VALUE"""),"")</f>
        <v/>
      </c>
      <c r="R781" s="508" t="str">
        <f>IFERROR(__xludf.DUMMYFUNCTION("""COMPUTED_VALUE"""),"")</f>
        <v/>
      </c>
      <c r="S781" s="510" t="str">
        <f>IFERROR(__xludf.DUMMYFUNCTION("""COMPUTED_VALUE"""),"")</f>
        <v/>
      </c>
      <c r="T781" s="510" t="str">
        <f>IFERROR(__xludf.DUMMYFUNCTION("""COMPUTED_VALUE"""),"")</f>
        <v/>
      </c>
    </row>
    <row r="782">
      <c r="A782" s="508" t="str">
        <f>IFERROR(__xludf.DUMMYFUNCTION("""COMPUTED_VALUE"""),"")</f>
        <v/>
      </c>
      <c r="B782" s="508" t="str">
        <f>IFERROR(__xludf.DUMMYFUNCTION("""COMPUTED_VALUE"""),"")</f>
        <v/>
      </c>
      <c r="C782" s="508" t="str">
        <f>IFERROR(__xludf.DUMMYFUNCTION("""COMPUTED_VALUE"""),"")</f>
        <v/>
      </c>
      <c r="D782" s="508" t="str">
        <f>IFERROR(__xludf.DUMMYFUNCTION("""COMPUTED_VALUE"""),"")</f>
        <v/>
      </c>
      <c r="E782" s="508" t="str">
        <f>IFERROR(__xludf.DUMMYFUNCTION("""COMPUTED_VALUE"""),"")</f>
        <v/>
      </c>
      <c r="F782" s="508" t="str">
        <f>IFERROR(__xludf.DUMMYFUNCTION("""COMPUTED_VALUE"""),"")</f>
        <v/>
      </c>
      <c r="G782" s="510" t="str">
        <f>IFERROR(__xludf.DUMMYFUNCTION("""COMPUTED_VALUE"""),"")</f>
        <v/>
      </c>
      <c r="H782" s="508" t="str">
        <f>IFERROR(__xludf.DUMMYFUNCTION("""COMPUTED_VALUE"""),"")</f>
        <v/>
      </c>
      <c r="I782" s="510" t="str">
        <f>IFERROR(__xludf.DUMMYFUNCTION("""COMPUTED_VALUE"""),"")</f>
        <v/>
      </c>
      <c r="J782" s="508" t="str">
        <f>IFERROR(__xludf.DUMMYFUNCTION("""COMPUTED_VALUE"""),"")</f>
        <v/>
      </c>
      <c r="K782" s="510" t="str">
        <f>IFERROR(__xludf.DUMMYFUNCTION("""COMPUTED_VALUE"""),"")</f>
        <v/>
      </c>
      <c r="L782" s="508" t="str">
        <f>IFERROR(__xludf.DUMMYFUNCTION("""COMPUTED_VALUE"""),"")</f>
        <v/>
      </c>
      <c r="M782" s="508" t="str">
        <f>IFERROR(__xludf.DUMMYFUNCTION("""COMPUTED_VALUE"""),"")</f>
        <v/>
      </c>
      <c r="N782" s="508" t="str">
        <f>IFERROR(__xludf.DUMMYFUNCTION("""COMPUTED_VALUE"""),"")</f>
        <v/>
      </c>
      <c r="O782" s="508" t="str">
        <f>IFERROR(__xludf.DUMMYFUNCTION("""COMPUTED_VALUE"""),"")</f>
        <v/>
      </c>
      <c r="P782" s="510" t="str">
        <f>IFERROR(__xludf.DUMMYFUNCTION("""COMPUTED_VALUE"""),"")</f>
        <v/>
      </c>
      <c r="Q782" s="508" t="str">
        <f>IFERROR(__xludf.DUMMYFUNCTION("""COMPUTED_VALUE"""),"")</f>
        <v/>
      </c>
      <c r="R782" s="508" t="str">
        <f>IFERROR(__xludf.DUMMYFUNCTION("""COMPUTED_VALUE"""),"")</f>
        <v/>
      </c>
      <c r="S782" s="510" t="str">
        <f>IFERROR(__xludf.DUMMYFUNCTION("""COMPUTED_VALUE"""),"")</f>
        <v/>
      </c>
      <c r="T782" s="510" t="str">
        <f>IFERROR(__xludf.DUMMYFUNCTION("""COMPUTED_VALUE"""),"")</f>
        <v/>
      </c>
    </row>
    <row r="783">
      <c r="A783" s="508" t="str">
        <f>IFERROR(__xludf.DUMMYFUNCTION("""COMPUTED_VALUE"""),"")</f>
        <v/>
      </c>
      <c r="B783" s="508" t="str">
        <f>IFERROR(__xludf.DUMMYFUNCTION("""COMPUTED_VALUE"""),"")</f>
        <v/>
      </c>
      <c r="C783" s="508" t="str">
        <f>IFERROR(__xludf.DUMMYFUNCTION("""COMPUTED_VALUE"""),"")</f>
        <v/>
      </c>
      <c r="D783" s="508" t="str">
        <f>IFERROR(__xludf.DUMMYFUNCTION("""COMPUTED_VALUE"""),"")</f>
        <v/>
      </c>
      <c r="E783" s="508" t="str">
        <f>IFERROR(__xludf.DUMMYFUNCTION("""COMPUTED_VALUE"""),"")</f>
        <v/>
      </c>
      <c r="F783" s="508" t="str">
        <f>IFERROR(__xludf.DUMMYFUNCTION("""COMPUTED_VALUE"""),"")</f>
        <v/>
      </c>
      <c r="G783" s="510" t="str">
        <f>IFERROR(__xludf.DUMMYFUNCTION("""COMPUTED_VALUE"""),"")</f>
        <v/>
      </c>
      <c r="H783" s="508" t="str">
        <f>IFERROR(__xludf.DUMMYFUNCTION("""COMPUTED_VALUE"""),"")</f>
        <v/>
      </c>
      <c r="I783" s="510" t="str">
        <f>IFERROR(__xludf.DUMMYFUNCTION("""COMPUTED_VALUE"""),"")</f>
        <v/>
      </c>
      <c r="J783" s="508" t="str">
        <f>IFERROR(__xludf.DUMMYFUNCTION("""COMPUTED_VALUE"""),"")</f>
        <v/>
      </c>
      <c r="K783" s="510" t="str">
        <f>IFERROR(__xludf.DUMMYFUNCTION("""COMPUTED_VALUE"""),"")</f>
        <v/>
      </c>
      <c r="L783" s="508" t="str">
        <f>IFERROR(__xludf.DUMMYFUNCTION("""COMPUTED_VALUE"""),"")</f>
        <v/>
      </c>
      <c r="M783" s="508" t="str">
        <f>IFERROR(__xludf.DUMMYFUNCTION("""COMPUTED_VALUE"""),"")</f>
        <v/>
      </c>
      <c r="N783" s="508" t="str">
        <f>IFERROR(__xludf.DUMMYFUNCTION("""COMPUTED_VALUE"""),"")</f>
        <v/>
      </c>
      <c r="O783" s="508" t="str">
        <f>IFERROR(__xludf.DUMMYFUNCTION("""COMPUTED_VALUE"""),"")</f>
        <v/>
      </c>
      <c r="P783" s="510" t="str">
        <f>IFERROR(__xludf.DUMMYFUNCTION("""COMPUTED_VALUE"""),"")</f>
        <v/>
      </c>
      <c r="Q783" s="508" t="str">
        <f>IFERROR(__xludf.DUMMYFUNCTION("""COMPUTED_VALUE"""),"")</f>
        <v/>
      </c>
      <c r="R783" s="508" t="str">
        <f>IFERROR(__xludf.DUMMYFUNCTION("""COMPUTED_VALUE"""),"")</f>
        <v/>
      </c>
      <c r="S783" s="510" t="str">
        <f>IFERROR(__xludf.DUMMYFUNCTION("""COMPUTED_VALUE"""),"")</f>
        <v/>
      </c>
      <c r="T783" s="510" t="str">
        <f>IFERROR(__xludf.DUMMYFUNCTION("""COMPUTED_VALUE"""),"")</f>
        <v/>
      </c>
    </row>
    <row r="784">
      <c r="A784" s="508" t="str">
        <f>IFERROR(__xludf.DUMMYFUNCTION("""COMPUTED_VALUE"""),"")</f>
        <v/>
      </c>
      <c r="B784" s="508" t="str">
        <f>IFERROR(__xludf.DUMMYFUNCTION("""COMPUTED_VALUE"""),"")</f>
        <v/>
      </c>
      <c r="C784" s="508" t="str">
        <f>IFERROR(__xludf.DUMMYFUNCTION("""COMPUTED_VALUE"""),"")</f>
        <v/>
      </c>
      <c r="D784" s="508" t="str">
        <f>IFERROR(__xludf.DUMMYFUNCTION("""COMPUTED_VALUE"""),"")</f>
        <v/>
      </c>
      <c r="E784" s="508" t="str">
        <f>IFERROR(__xludf.DUMMYFUNCTION("""COMPUTED_VALUE"""),"")</f>
        <v/>
      </c>
      <c r="F784" s="508" t="str">
        <f>IFERROR(__xludf.DUMMYFUNCTION("""COMPUTED_VALUE"""),"")</f>
        <v/>
      </c>
      <c r="G784" s="510" t="str">
        <f>IFERROR(__xludf.DUMMYFUNCTION("""COMPUTED_VALUE"""),"")</f>
        <v/>
      </c>
      <c r="H784" s="508" t="str">
        <f>IFERROR(__xludf.DUMMYFUNCTION("""COMPUTED_VALUE"""),"")</f>
        <v/>
      </c>
      <c r="I784" s="510" t="str">
        <f>IFERROR(__xludf.DUMMYFUNCTION("""COMPUTED_VALUE"""),"")</f>
        <v/>
      </c>
      <c r="J784" s="508" t="str">
        <f>IFERROR(__xludf.DUMMYFUNCTION("""COMPUTED_VALUE"""),"")</f>
        <v/>
      </c>
      <c r="K784" s="510" t="str">
        <f>IFERROR(__xludf.DUMMYFUNCTION("""COMPUTED_VALUE"""),"")</f>
        <v/>
      </c>
      <c r="L784" s="508" t="str">
        <f>IFERROR(__xludf.DUMMYFUNCTION("""COMPUTED_VALUE"""),"")</f>
        <v/>
      </c>
      <c r="M784" s="508" t="str">
        <f>IFERROR(__xludf.DUMMYFUNCTION("""COMPUTED_VALUE"""),"")</f>
        <v/>
      </c>
      <c r="N784" s="508" t="str">
        <f>IFERROR(__xludf.DUMMYFUNCTION("""COMPUTED_VALUE"""),"")</f>
        <v/>
      </c>
      <c r="O784" s="508" t="str">
        <f>IFERROR(__xludf.DUMMYFUNCTION("""COMPUTED_VALUE"""),"")</f>
        <v/>
      </c>
      <c r="P784" s="510" t="str">
        <f>IFERROR(__xludf.DUMMYFUNCTION("""COMPUTED_VALUE"""),"")</f>
        <v/>
      </c>
      <c r="Q784" s="508" t="str">
        <f>IFERROR(__xludf.DUMMYFUNCTION("""COMPUTED_VALUE"""),"")</f>
        <v/>
      </c>
      <c r="R784" s="508" t="str">
        <f>IFERROR(__xludf.DUMMYFUNCTION("""COMPUTED_VALUE"""),"")</f>
        <v/>
      </c>
      <c r="S784" s="510" t="str">
        <f>IFERROR(__xludf.DUMMYFUNCTION("""COMPUTED_VALUE"""),"")</f>
        <v/>
      </c>
      <c r="T784" s="510" t="str">
        <f>IFERROR(__xludf.DUMMYFUNCTION("""COMPUTED_VALUE"""),"")</f>
        <v/>
      </c>
    </row>
    <row r="785">
      <c r="A785" s="508" t="str">
        <f>IFERROR(__xludf.DUMMYFUNCTION("""COMPUTED_VALUE"""),"")</f>
        <v/>
      </c>
      <c r="B785" s="508" t="str">
        <f>IFERROR(__xludf.DUMMYFUNCTION("""COMPUTED_VALUE"""),"")</f>
        <v/>
      </c>
      <c r="C785" s="508" t="str">
        <f>IFERROR(__xludf.DUMMYFUNCTION("""COMPUTED_VALUE"""),"")</f>
        <v/>
      </c>
      <c r="D785" s="508" t="str">
        <f>IFERROR(__xludf.DUMMYFUNCTION("""COMPUTED_VALUE"""),"")</f>
        <v/>
      </c>
      <c r="E785" s="508" t="str">
        <f>IFERROR(__xludf.DUMMYFUNCTION("""COMPUTED_VALUE"""),"")</f>
        <v/>
      </c>
      <c r="F785" s="508" t="str">
        <f>IFERROR(__xludf.DUMMYFUNCTION("""COMPUTED_VALUE"""),"")</f>
        <v/>
      </c>
      <c r="G785" s="510" t="str">
        <f>IFERROR(__xludf.DUMMYFUNCTION("""COMPUTED_VALUE"""),"")</f>
        <v/>
      </c>
      <c r="H785" s="508" t="str">
        <f>IFERROR(__xludf.DUMMYFUNCTION("""COMPUTED_VALUE"""),"")</f>
        <v/>
      </c>
      <c r="I785" s="510" t="str">
        <f>IFERROR(__xludf.DUMMYFUNCTION("""COMPUTED_VALUE"""),"")</f>
        <v/>
      </c>
      <c r="J785" s="508" t="str">
        <f>IFERROR(__xludf.DUMMYFUNCTION("""COMPUTED_VALUE"""),"")</f>
        <v/>
      </c>
      <c r="K785" s="510" t="str">
        <f>IFERROR(__xludf.DUMMYFUNCTION("""COMPUTED_VALUE"""),"")</f>
        <v/>
      </c>
      <c r="L785" s="508" t="str">
        <f>IFERROR(__xludf.DUMMYFUNCTION("""COMPUTED_VALUE"""),"")</f>
        <v/>
      </c>
      <c r="M785" s="508" t="str">
        <f>IFERROR(__xludf.DUMMYFUNCTION("""COMPUTED_VALUE"""),"")</f>
        <v/>
      </c>
      <c r="N785" s="508" t="str">
        <f>IFERROR(__xludf.DUMMYFUNCTION("""COMPUTED_VALUE"""),"")</f>
        <v/>
      </c>
      <c r="O785" s="508" t="str">
        <f>IFERROR(__xludf.DUMMYFUNCTION("""COMPUTED_VALUE"""),"")</f>
        <v/>
      </c>
      <c r="P785" s="510" t="str">
        <f>IFERROR(__xludf.DUMMYFUNCTION("""COMPUTED_VALUE"""),"")</f>
        <v/>
      </c>
      <c r="Q785" s="508" t="str">
        <f>IFERROR(__xludf.DUMMYFUNCTION("""COMPUTED_VALUE"""),"")</f>
        <v/>
      </c>
      <c r="R785" s="508" t="str">
        <f>IFERROR(__xludf.DUMMYFUNCTION("""COMPUTED_VALUE"""),"")</f>
        <v/>
      </c>
      <c r="S785" s="510" t="str">
        <f>IFERROR(__xludf.DUMMYFUNCTION("""COMPUTED_VALUE"""),"")</f>
        <v/>
      </c>
      <c r="T785" s="510" t="str">
        <f>IFERROR(__xludf.DUMMYFUNCTION("""COMPUTED_VALUE"""),"")</f>
        <v/>
      </c>
    </row>
    <row r="786">
      <c r="A786" s="508" t="str">
        <f>IFERROR(__xludf.DUMMYFUNCTION("""COMPUTED_VALUE"""),"")</f>
        <v/>
      </c>
      <c r="B786" s="508" t="str">
        <f>IFERROR(__xludf.DUMMYFUNCTION("""COMPUTED_VALUE"""),"")</f>
        <v/>
      </c>
      <c r="C786" s="508" t="str">
        <f>IFERROR(__xludf.DUMMYFUNCTION("""COMPUTED_VALUE"""),"")</f>
        <v/>
      </c>
      <c r="D786" s="508" t="str">
        <f>IFERROR(__xludf.DUMMYFUNCTION("""COMPUTED_VALUE"""),"")</f>
        <v/>
      </c>
      <c r="E786" s="508" t="str">
        <f>IFERROR(__xludf.DUMMYFUNCTION("""COMPUTED_VALUE"""),"")</f>
        <v/>
      </c>
      <c r="F786" s="508" t="str">
        <f>IFERROR(__xludf.DUMMYFUNCTION("""COMPUTED_VALUE"""),"")</f>
        <v/>
      </c>
      <c r="G786" s="510" t="str">
        <f>IFERROR(__xludf.DUMMYFUNCTION("""COMPUTED_VALUE"""),"")</f>
        <v/>
      </c>
      <c r="H786" s="508" t="str">
        <f>IFERROR(__xludf.DUMMYFUNCTION("""COMPUTED_VALUE"""),"")</f>
        <v/>
      </c>
      <c r="I786" s="510" t="str">
        <f>IFERROR(__xludf.DUMMYFUNCTION("""COMPUTED_VALUE"""),"")</f>
        <v/>
      </c>
      <c r="J786" s="508" t="str">
        <f>IFERROR(__xludf.DUMMYFUNCTION("""COMPUTED_VALUE"""),"")</f>
        <v/>
      </c>
      <c r="K786" s="510" t="str">
        <f>IFERROR(__xludf.DUMMYFUNCTION("""COMPUTED_VALUE"""),"")</f>
        <v/>
      </c>
      <c r="L786" s="508" t="str">
        <f>IFERROR(__xludf.DUMMYFUNCTION("""COMPUTED_VALUE"""),"")</f>
        <v/>
      </c>
      <c r="M786" s="508" t="str">
        <f>IFERROR(__xludf.DUMMYFUNCTION("""COMPUTED_VALUE"""),"")</f>
        <v/>
      </c>
      <c r="N786" s="508" t="str">
        <f>IFERROR(__xludf.DUMMYFUNCTION("""COMPUTED_VALUE"""),"")</f>
        <v/>
      </c>
      <c r="O786" s="508" t="str">
        <f>IFERROR(__xludf.DUMMYFUNCTION("""COMPUTED_VALUE"""),"")</f>
        <v/>
      </c>
      <c r="P786" s="510" t="str">
        <f>IFERROR(__xludf.DUMMYFUNCTION("""COMPUTED_VALUE"""),"")</f>
        <v/>
      </c>
      <c r="Q786" s="508" t="str">
        <f>IFERROR(__xludf.DUMMYFUNCTION("""COMPUTED_VALUE"""),"")</f>
        <v/>
      </c>
      <c r="R786" s="508" t="str">
        <f>IFERROR(__xludf.DUMMYFUNCTION("""COMPUTED_VALUE"""),"")</f>
        <v/>
      </c>
      <c r="S786" s="510" t="str">
        <f>IFERROR(__xludf.DUMMYFUNCTION("""COMPUTED_VALUE"""),"")</f>
        <v/>
      </c>
      <c r="T786" s="510" t="str">
        <f>IFERROR(__xludf.DUMMYFUNCTION("""COMPUTED_VALUE"""),"")</f>
        <v/>
      </c>
    </row>
    <row r="787">
      <c r="A787" s="508" t="str">
        <f>IFERROR(__xludf.DUMMYFUNCTION("""COMPUTED_VALUE"""),"")</f>
        <v/>
      </c>
      <c r="B787" s="508" t="str">
        <f>IFERROR(__xludf.DUMMYFUNCTION("""COMPUTED_VALUE"""),"")</f>
        <v/>
      </c>
      <c r="C787" s="508" t="str">
        <f>IFERROR(__xludf.DUMMYFUNCTION("""COMPUTED_VALUE"""),"")</f>
        <v/>
      </c>
      <c r="D787" s="508" t="str">
        <f>IFERROR(__xludf.DUMMYFUNCTION("""COMPUTED_VALUE"""),"")</f>
        <v/>
      </c>
      <c r="E787" s="508" t="str">
        <f>IFERROR(__xludf.DUMMYFUNCTION("""COMPUTED_VALUE"""),"")</f>
        <v/>
      </c>
      <c r="F787" s="508" t="str">
        <f>IFERROR(__xludf.DUMMYFUNCTION("""COMPUTED_VALUE"""),"")</f>
        <v/>
      </c>
      <c r="G787" s="510" t="str">
        <f>IFERROR(__xludf.DUMMYFUNCTION("""COMPUTED_VALUE"""),"")</f>
        <v/>
      </c>
      <c r="H787" s="508" t="str">
        <f>IFERROR(__xludf.DUMMYFUNCTION("""COMPUTED_VALUE"""),"")</f>
        <v/>
      </c>
      <c r="I787" s="510" t="str">
        <f>IFERROR(__xludf.DUMMYFUNCTION("""COMPUTED_VALUE"""),"")</f>
        <v/>
      </c>
      <c r="J787" s="508" t="str">
        <f>IFERROR(__xludf.DUMMYFUNCTION("""COMPUTED_VALUE"""),"")</f>
        <v/>
      </c>
      <c r="K787" s="510" t="str">
        <f>IFERROR(__xludf.DUMMYFUNCTION("""COMPUTED_VALUE"""),"")</f>
        <v/>
      </c>
      <c r="L787" s="508" t="str">
        <f>IFERROR(__xludf.DUMMYFUNCTION("""COMPUTED_VALUE"""),"")</f>
        <v/>
      </c>
      <c r="M787" s="508" t="str">
        <f>IFERROR(__xludf.DUMMYFUNCTION("""COMPUTED_VALUE"""),"")</f>
        <v/>
      </c>
      <c r="N787" s="508" t="str">
        <f>IFERROR(__xludf.DUMMYFUNCTION("""COMPUTED_VALUE"""),"")</f>
        <v/>
      </c>
      <c r="O787" s="508" t="str">
        <f>IFERROR(__xludf.DUMMYFUNCTION("""COMPUTED_VALUE"""),"")</f>
        <v/>
      </c>
      <c r="P787" s="510" t="str">
        <f>IFERROR(__xludf.DUMMYFUNCTION("""COMPUTED_VALUE"""),"")</f>
        <v/>
      </c>
      <c r="Q787" s="508" t="str">
        <f>IFERROR(__xludf.DUMMYFUNCTION("""COMPUTED_VALUE"""),"")</f>
        <v/>
      </c>
      <c r="R787" s="508" t="str">
        <f>IFERROR(__xludf.DUMMYFUNCTION("""COMPUTED_VALUE"""),"")</f>
        <v/>
      </c>
      <c r="S787" s="510" t="str">
        <f>IFERROR(__xludf.DUMMYFUNCTION("""COMPUTED_VALUE"""),"")</f>
        <v/>
      </c>
      <c r="T787" s="510" t="str">
        <f>IFERROR(__xludf.DUMMYFUNCTION("""COMPUTED_VALUE"""),"")</f>
        <v/>
      </c>
    </row>
    <row r="788">
      <c r="A788" s="508" t="str">
        <f>IFERROR(__xludf.DUMMYFUNCTION("""COMPUTED_VALUE"""),"")</f>
        <v/>
      </c>
      <c r="B788" s="508" t="str">
        <f>IFERROR(__xludf.DUMMYFUNCTION("""COMPUTED_VALUE"""),"")</f>
        <v/>
      </c>
      <c r="C788" s="508" t="str">
        <f>IFERROR(__xludf.DUMMYFUNCTION("""COMPUTED_VALUE"""),"")</f>
        <v/>
      </c>
      <c r="D788" s="508" t="str">
        <f>IFERROR(__xludf.DUMMYFUNCTION("""COMPUTED_VALUE"""),"")</f>
        <v/>
      </c>
      <c r="E788" s="508" t="str">
        <f>IFERROR(__xludf.DUMMYFUNCTION("""COMPUTED_VALUE"""),"")</f>
        <v/>
      </c>
      <c r="F788" s="508" t="str">
        <f>IFERROR(__xludf.DUMMYFUNCTION("""COMPUTED_VALUE"""),"")</f>
        <v/>
      </c>
      <c r="G788" s="510" t="str">
        <f>IFERROR(__xludf.DUMMYFUNCTION("""COMPUTED_VALUE"""),"")</f>
        <v/>
      </c>
      <c r="H788" s="508" t="str">
        <f>IFERROR(__xludf.DUMMYFUNCTION("""COMPUTED_VALUE"""),"")</f>
        <v/>
      </c>
      <c r="I788" s="510" t="str">
        <f>IFERROR(__xludf.DUMMYFUNCTION("""COMPUTED_VALUE"""),"")</f>
        <v/>
      </c>
      <c r="J788" s="508" t="str">
        <f>IFERROR(__xludf.DUMMYFUNCTION("""COMPUTED_VALUE"""),"")</f>
        <v/>
      </c>
      <c r="K788" s="510" t="str">
        <f>IFERROR(__xludf.DUMMYFUNCTION("""COMPUTED_VALUE"""),"")</f>
        <v/>
      </c>
      <c r="L788" s="508" t="str">
        <f>IFERROR(__xludf.DUMMYFUNCTION("""COMPUTED_VALUE"""),"")</f>
        <v/>
      </c>
      <c r="M788" s="508" t="str">
        <f>IFERROR(__xludf.DUMMYFUNCTION("""COMPUTED_VALUE"""),"")</f>
        <v/>
      </c>
      <c r="N788" s="508" t="str">
        <f>IFERROR(__xludf.DUMMYFUNCTION("""COMPUTED_VALUE"""),"")</f>
        <v/>
      </c>
      <c r="O788" s="508" t="str">
        <f>IFERROR(__xludf.DUMMYFUNCTION("""COMPUTED_VALUE"""),"")</f>
        <v/>
      </c>
      <c r="P788" s="510" t="str">
        <f>IFERROR(__xludf.DUMMYFUNCTION("""COMPUTED_VALUE"""),"")</f>
        <v/>
      </c>
      <c r="Q788" s="508" t="str">
        <f>IFERROR(__xludf.DUMMYFUNCTION("""COMPUTED_VALUE"""),"")</f>
        <v/>
      </c>
      <c r="R788" s="508" t="str">
        <f>IFERROR(__xludf.DUMMYFUNCTION("""COMPUTED_VALUE"""),"")</f>
        <v/>
      </c>
      <c r="S788" s="510" t="str">
        <f>IFERROR(__xludf.DUMMYFUNCTION("""COMPUTED_VALUE"""),"")</f>
        <v/>
      </c>
      <c r="T788" s="510" t="str">
        <f>IFERROR(__xludf.DUMMYFUNCTION("""COMPUTED_VALUE"""),"")</f>
        <v/>
      </c>
    </row>
    <row r="789">
      <c r="A789" s="508" t="str">
        <f>IFERROR(__xludf.DUMMYFUNCTION("""COMPUTED_VALUE"""),"")</f>
        <v/>
      </c>
      <c r="B789" s="508" t="str">
        <f>IFERROR(__xludf.DUMMYFUNCTION("""COMPUTED_VALUE"""),"")</f>
        <v/>
      </c>
      <c r="C789" s="508" t="str">
        <f>IFERROR(__xludf.DUMMYFUNCTION("""COMPUTED_VALUE"""),"")</f>
        <v/>
      </c>
      <c r="D789" s="508" t="str">
        <f>IFERROR(__xludf.DUMMYFUNCTION("""COMPUTED_VALUE"""),"")</f>
        <v/>
      </c>
      <c r="E789" s="508" t="str">
        <f>IFERROR(__xludf.DUMMYFUNCTION("""COMPUTED_VALUE"""),"")</f>
        <v/>
      </c>
      <c r="F789" s="508" t="str">
        <f>IFERROR(__xludf.DUMMYFUNCTION("""COMPUTED_VALUE"""),"")</f>
        <v/>
      </c>
      <c r="G789" s="510" t="str">
        <f>IFERROR(__xludf.DUMMYFUNCTION("""COMPUTED_VALUE"""),"")</f>
        <v/>
      </c>
      <c r="H789" s="508" t="str">
        <f>IFERROR(__xludf.DUMMYFUNCTION("""COMPUTED_VALUE"""),"")</f>
        <v/>
      </c>
      <c r="I789" s="510" t="str">
        <f>IFERROR(__xludf.DUMMYFUNCTION("""COMPUTED_VALUE"""),"")</f>
        <v/>
      </c>
      <c r="J789" s="508" t="str">
        <f>IFERROR(__xludf.DUMMYFUNCTION("""COMPUTED_VALUE"""),"")</f>
        <v/>
      </c>
      <c r="K789" s="510" t="str">
        <f>IFERROR(__xludf.DUMMYFUNCTION("""COMPUTED_VALUE"""),"")</f>
        <v/>
      </c>
      <c r="L789" s="508" t="str">
        <f>IFERROR(__xludf.DUMMYFUNCTION("""COMPUTED_VALUE"""),"")</f>
        <v/>
      </c>
      <c r="M789" s="508" t="str">
        <f>IFERROR(__xludf.DUMMYFUNCTION("""COMPUTED_VALUE"""),"")</f>
        <v/>
      </c>
      <c r="N789" s="508" t="str">
        <f>IFERROR(__xludf.DUMMYFUNCTION("""COMPUTED_VALUE"""),"")</f>
        <v/>
      </c>
      <c r="O789" s="508" t="str">
        <f>IFERROR(__xludf.DUMMYFUNCTION("""COMPUTED_VALUE"""),"")</f>
        <v/>
      </c>
      <c r="P789" s="510" t="str">
        <f>IFERROR(__xludf.DUMMYFUNCTION("""COMPUTED_VALUE"""),"")</f>
        <v/>
      </c>
      <c r="Q789" s="508" t="str">
        <f>IFERROR(__xludf.DUMMYFUNCTION("""COMPUTED_VALUE"""),"")</f>
        <v/>
      </c>
      <c r="R789" s="508" t="str">
        <f>IFERROR(__xludf.DUMMYFUNCTION("""COMPUTED_VALUE"""),"")</f>
        <v/>
      </c>
      <c r="S789" s="510" t="str">
        <f>IFERROR(__xludf.DUMMYFUNCTION("""COMPUTED_VALUE"""),"")</f>
        <v/>
      </c>
      <c r="T789" s="510" t="str">
        <f>IFERROR(__xludf.DUMMYFUNCTION("""COMPUTED_VALUE"""),"")</f>
        <v/>
      </c>
    </row>
    <row r="790">
      <c r="A790" s="508" t="str">
        <f>IFERROR(__xludf.DUMMYFUNCTION("""COMPUTED_VALUE"""),"")</f>
        <v/>
      </c>
      <c r="B790" s="508" t="str">
        <f>IFERROR(__xludf.DUMMYFUNCTION("""COMPUTED_VALUE"""),"")</f>
        <v/>
      </c>
      <c r="C790" s="508" t="str">
        <f>IFERROR(__xludf.DUMMYFUNCTION("""COMPUTED_VALUE"""),"")</f>
        <v/>
      </c>
      <c r="D790" s="508" t="str">
        <f>IFERROR(__xludf.DUMMYFUNCTION("""COMPUTED_VALUE"""),"")</f>
        <v/>
      </c>
      <c r="E790" s="508" t="str">
        <f>IFERROR(__xludf.DUMMYFUNCTION("""COMPUTED_VALUE"""),"")</f>
        <v/>
      </c>
      <c r="F790" s="508" t="str">
        <f>IFERROR(__xludf.DUMMYFUNCTION("""COMPUTED_VALUE"""),"")</f>
        <v/>
      </c>
      <c r="G790" s="510" t="str">
        <f>IFERROR(__xludf.DUMMYFUNCTION("""COMPUTED_VALUE"""),"")</f>
        <v/>
      </c>
      <c r="H790" s="508" t="str">
        <f>IFERROR(__xludf.DUMMYFUNCTION("""COMPUTED_VALUE"""),"")</f>
        <v/>
      </c>
      <c r="I790" s="510" t="str">
        <f>IFERROR(__xludf.DUMMYFUNCTION("""COMPUTED_VALUE"""),"")</f>
        <v/>
      </c>
      <c r="J790" s="508" t="str">
        <f>IFERROR(__xludf.DUMMYFUNCTION("""COMPUTED_VALUE"""),"")</f>
        <v/>
      </c>
      <c r="K790" s="510" t="str">
        <f>IFERROR(__xludf.DUMMYFUNCTION("""COMPUTED_VALUE"""),"")</f>
        <v/>
      </c>
      <c r="L790" s="508" t="str">
        <f>IFERROR(__xludf.DUMMYFUNCTION("""COMPUTED_VALUE"""),"")</f>
        <v/>
      </c>
      <c r="M790" s="508" t="str">
        <f>IFERROR(__xludf.DUMMYFUNCTION("""COMPUTED_VALUE"""),"")</f>
        <v/>
      </c>
      <c r="N790" s="508" t="str">
        <f>IFERROR(__xludf.DUMMYFUNCTION("""COMPUTED_VALUE"""),"")</f>
        <v/>
      </c>
      <c r="O790" s="508" t="str">
        <f>IFERROR(__xludf.DUMMYFUNCTION("""COMPUTED_VALUE"""),"")</f>
        <v/>
      </c>
      <c r="P790" s="510" t="str">
        <f>IFERROR(__xludf.DUMMYFUNCTION("""COMPUTED_VALUE"""),"")</f>
        <v/>
      </c>
      <c r="Q790" s="508" t="str">
        <f>IFERROR(__xludf.DUMMYFUNCTION("""COMPUTED_VALUE"""),"")</f>
        <v/>
      </c>
      <c r="R790" s="508" t="str">
        <f>IFERROR(__xludf.DUMMYFUNCTION("""COMPUTED_VALUE"""),"")</f>
        <v/>
      </c>
      <c r="S790" s="510" t="str">
        <f>IFERROR(__xludf.DUMMYFUNCTION("""COMPUTED_VALUE"""),"")</f>
        <v/>
      </c>
      <c r="T790" s="510" t="str">
        <f>IFERROR(__xludf.DUMMYFUNCTION("""COMPUTED_VALUE"""),"")</f>
        <v/>
      </c>
    </row>
    <row r="791">
      <c r="A791" s="508" t="str">
        <f>IFERROR(__xludf.DUMMYFUNCTION("""COMPUTED_VALUE"""),"")</f>
        <v/>
      </c>
      <c r="B791" s="508" t="str">
        <f>IFERROR(__xludf.DUMMYFUNCTION("""COMPUTED_VALUE"""),"")</f>
        <v/>
      </c>
      <c r="C791" s="508" t="str">
        <f>IFERROR(__xludf.DUMMYFUNCTION("""COMPUTED_VALUE"""),"")</f>
        <v/>
      </c>
      <c r="D791" s="508" t="str">
        <f>IFERROR(__xludf.DUMMYFUNCTION("""COMPUTED_VALUE"""),"")</f>
        <v/>
      </c>
      <c r="E791" s="508" t="str">
        <f>IFERROR(__xludf.DUMMYFUNCTION("""COMPUTED_VALUE"""),"")</f>
        <v/>
      </c>
      <c r="F791" s="508" t="str">
        <f>IFERROR(__xludf.DUMMYFUNCTION("""COMPUTED_VALUE"""),"")</f>
        <v/>
      </c>
      <c r="G791" s="510" t="str">
        <f>IFERROR(__xludf.DUMMYFUNCTION("""COMPUTED_VALUE"""),"")</f>
        <v/>
      </c>
      <c r="H791" s="508" t="str">
        <f>IFERROR(__xludf.DUMMYFUNCTION("""COMPUTED_VALUE"""),"")</f>
        <v/>
      </c>
      <c r="I791" s="510" t="str">
        <f>IFERROR(__xludf.DUMMYFUNCTION("""COMPUTED_VALUE"""),"")</f>
        <v/>
      </c>
      <c r="J791" s="508" t="str">
        <f>IFERROR(__xludf.DUMMYFUNCTION("""COMPUTED_VALUE"""),"")</f>
        <v/>
      </c>
      <c r="K791" s="510" t="str">
        <f>IFERROR(__xludf.DUMMYFUNCTION("""COMPUTED_VALUE"""),"")</f>
        <v/>
      </c>
      <c r="L791" s="508" t="str">
        <f>IFERROR(__xludf.DUMMYFUNCTION("""COMPUTED_VALUE"""),"")</f>
        <v/>
      </c>
      <c r="M791" s="508" t="str">
        <f>IFERROR(__xludf.DUMMYFUNCTION("""COMPUTED_VALUE"""),"")</f>
        <v/>
      </c>
      <c r="N791" s="508" t="str">
        <f>IFERROR(__xludf.DUMMYFUNCTION("""COMPUTED_VALUE"""),"")</f>
        <v/>
      </c>
      <c r="O791" s="508" t="str">
        <f>IFERROR(__xludf.DUMMYFUNCTION("""COMPUTED_VALUE"""),"")</f>
        <v/>
      </c>
      <c r="P791" s="510" t="str">
        <f>IFERROR(__xludf.DUMMYFUNCTION("""COMPUTED_VALUE"""),"")</f>
        <v/>
      </c>
      <c r="Q791" s="508" t="str">
        <f>IFERROR(__xludf.DUMMYFUNCTION("""COMPUTED_VALUE"""),"")</f>
        <v/>
      </c>
      <c r="R791" s="508" t="str">
        <f>IFERROR(__xludf.DUMMYFUNCTION("""COMPUTED_VALUE"""),"")</f>
        <v/>
      </c>
      <c r="S791" s="510" t="str">
        <f>IFERROR(__xludf.DUMMYFUNCTION("""COMPUTED_VALUE"""),"")</f>
        <v/>
      </c>
      <c r="T791" s="510" t="str">
        <f>IFERROR(__xludf.DUMMYFUNCTION("""COMPUTED_VALUE"""),"")</f>
        <v/>
      </c>
    </row>
    <row r="792">
      <c r="A792" s="508" t="str">
        <f>IFERROR(__xludf.DUMMYFUNCTION("""COMPUTED_VALUE"""),"")</f>
        <v/>
      </c>
      <c r="B792" s="508" t="str">
        <f>IFERROR(__xludf.DUMMYFUNCTION("""COMPUTED_VALUE"""),"")</f>
        <v/>
      </c>
      <c r="C792" s="508" t="str">
        <f>IFERROR(__xludf.DUMMYFUNCTION("""COMPUTED_VALUE"""),"")</f>
        <v/>
      </c>
      <c r="D792" s="508" t="str">
        <f>IFERROR(__xludf.DUMMYFUNCTION("""COMPUTED_VALUE"""),"")</f>
        <v/>
      </c>
      <c r="E792" s="508" t="str">
        <f>IFERROR(__xludf.DUMMYFUNCTION("""COMPUTED_VALUE"""),"")</f>
        <v/>
      </c>
      <c r="F792" s="508" t="str">
        <f>IFERROR(__xludf.DUMMYFUNCTION("""COMPUTED_VALUE"""),"")</f>
        <v/>
      </c>
      <c r="G792" s="510" t="str">
        <f>IFERROR(__xludf.DUMMYFUNCTION("""COMPUTED_VALUE"""),"")</f>
        <v/>
      </c>
      <c r="H792" s="508" t="str">
        <f>IFERROR(__xludf.DUMMYFUNCTION("""COMPUTED_VALUE"""),"")</f>
        <v/>
      </c>
      <c r="I792" s="510" t="str">
        <f>IFERROR(__xludf.DUMMYFUNCTION("""COMPUTED_VALUE"""),"")</f>
        <v/>
      </c>
      <c r="J792" s="508" t="str">
        <f>IFERROR(__xludf.DUMMYFUNCTION("""COMPUTED_VALUE"""),"")</f>
        <v/>
      </c>
      <c r="K792" s="510" t="str">
        <f>IFERROR(__xludf.DUMMYFUNCTION("""COMPUTED_VALUE"""),"")</f>
        <v/>
      </c>
      <c r="L792" s="508" t="str">
        <f>IFERROR(__xludf.DUMMYFUNCTION("""COMPUTED_VALUE"""),"")</f>
        <v/>
      </c>
      <c r="M792" s="508" t="str">
        <f>IFERROR(__xludf.DUMMYFUNCTION("""COMPUTED_VALUE"""),"")</f>
        <v/>
      </c>
      <c r="N792" s="508" t="str">
        <f>IFERROR(__xludf.DUMMYFUNCTION("""COMPUTED_VALUE"""),"")</f>
        <v/>
      </c>
      <c r="O792" s="508" t="str">
        <f>IFERROR(__xludf.DUMMYFUNCTION("""COMPUTED_VALUE"""),"")</f>
        <v/>
      </c>
      <c r="P792" s="510" t="str">
        <f>IFERROR(__xludf.DUMMYFUNCTION("""COMPUTED_VALUE"""),"")</f>
        <v/>
      </c>
      <c r="Q792" s="508" t="str">
        <f>IFERROR(__xludf.DUMMYFUNCTION("""COMPUTED_VALUE"""),"")</f>
        <v/>
      </c>
      <c r="R792" s="508" t="str">
        <f>IFERROR(__xludf.DUMMYFUNCTION("""COMPUTED_VALUE"""),"")</f>
        <v/>
      </c>
      <c r="S792" s="510" t="str">
        <f>IFERROR(__xludf.DUMMYFUNCTION("""COMPUTED_VALUE"""),"")</f>
        <v/>
      </c>
      <c r="T792" s="510" t="str">
        <f>IFERROR(__xludf.DUMMYFUNCTION("""COMPUTED_VALUE"""),"")</f>
        <v/>
      </c>
    </row>
    <row r="793">
      <c r="A793" s="508" t="str">
        <f>IFERROR(__xludf.DUMMYFUNCTION("""COMPUTED_VALUE"""),"")</f>
        <v/>
      </c>
      <c r="B793" s="508" t="str">
        <f>IFERROR(__xludf.DUMMYFUNCTION("""COMPUTED_VALUE"""),"")</f>
        <v/>
      </c>
      <c r="C793" s="508" t="str">
        <f>IFERROR(__xludf.DUMMYFUNCTION("""COMPUTED_VALUE"""),"")</f>
        <v/>
      </c>
      <c r="D793" s="508" t="str">
        <f>IFERROR(__xludf.DUMMYFUNCTION("""COMPUTED_VALUE"""),"")</f>
        <v/>
      </c>
      <c r="E793" s="508" t="str">
        <f>IFERROR(__xludf.DUMMYFUNCTION("""COMPUTED_VALUE"""),"")</f>
        <v/>
      </c>
      <c r="F793" s="508" t="str">
        <f>IFERROR(__xludf.DUMMYFUNCTION("""COMPUTED_VALUE"""),"")</f>
        <v/>
      </c>
      <c r="G793" s="510" t="str">
        <f>IFERROR(__xludf.DUMMYFUNCTION("""COMPUTED_VALUE"""),"")</f>
        <v/>
      </c>
      <c r="H793" s="508" t="str">
        <f>IFERROR(__xludf.DUMMYFUNCTION("""COMPUTED_VALUE"""),"")</f>
        <v/>
      </c>
      <c r="I793" s="510" t="str">
        <f>IFERROR(__xludf.DUMMYFUNCTION("""COMPUTED_VALUE"""),"")</f>
        <v/>
      </c>
      <c r="J793" s="508" t="str">
        <f>IFERROR(__xludf.DUMMYFUNCTION("""COMPUTED_VALUE"""),"")</f>
        <v/>
      </c>
      <c r="K793" s="510" t="str">
        <f>IFERROR(__xludf.DUMMYFUNCTION("""COMPUTED_VALUE"""),"")</f>
        <v/>
      </c>
      <c r="L793" s="508" t="str">
        <f>IFERROR(__xludf.DUMMYFUNCTION("""COMPUTED_VALUE"""),"")</f>
        <v/>
      </c>
      <c r="M793" s="508" t="str">
        <f>IFERROR(__xludf.DUMMYFUNCTION("""COMPUTED_VALUE"""),"")</f>
        <v/>
      </c>
      <c r="N793" s="508" t="str">
        <f>IFERROR(__xludf.DUMMYFUNCTION("""COMPUTED_VALUE"""),"")</f>
        <v/>
      </c>
      <c r="O793" s="508" t="str">
        <f>IFERROR(__xludf.DUMMYFUNCTION("""COMPUTED_VALUE"""),"")</f>
        <v/>
      </c>
      <c r="P793" s="510" t="str">
        <f>IFERROR(__xludf.DUMMYFUNCTION("""COMPUTED_VALUE"""),"")</f>
        <v/>
      </c>
      <c r="Q793" s="508" t="str">
        <f>IFERROR(__xludf.DUMMYFUNCTION("""COMPUTED_VALUE"""),"")</f>
        <v/>
      </c>
      <c r="R793" s="508" t="str">
        <f>IFERROR(__xludf.DUMMYFUNCTION("""COMPUTED_VALUE"""),"")</f>
        <v/>
      </c>
      <c r="S793" s="510" t="str">
        <f>IFERROR(__xludf.DUMMYFUNCTION("""COMPUTED_VALUE"""),"")</f>
        <v/>
      </c>
      <c r="T793" s="510" t="str">
        <f>IFERROR(__xludf.DUMMYFUNCTION("""COMPUTED_VALUE"""),"")</f>
        <v/>
      </c>
    </row>
    <row r="794">
      <c r="A794" s="508" t="str">
        <f>IFERROR(__xludf.DUMMYFUNCTION("""COMPUTED_VALUE"""),"")</f>
        <v/>
      </c>
      <c r="B794" s="508" t="str">
        <f>IFERROR(__xludf.DUMMYFUNCTION("""COMPUTED_VALUE"""),"")</f>
        <v/>
      </c>
      <c r="C794" s="508" t="str">
        <f>IFERROR(__xludf.DUMMYFUNCTION("""COMPUTED_VALUE"""),"")</f>
        <v/>
      </c>
      <c r="D794" s="508" t="str">
        <f>IFERROR(__xludf.DUMMYFUNCTION("""COMPUTED_VALUE"""),"")</f>
        <v/>
      </c>
      <c r="E794" s="508" t="str">
        <f>IFERROR(__xludf.DUMMYFUNCTION("""COMPUTED_VALUE"""),"")</f>
        <v/>
      </c>
      <c r="F794" s="508" t="str">
        <f>IFERROR(__xludf.DUMMYFUNCTION("""COMPUTED_VALUE"""),"")</f>
        <v/>
      </c>
      <c r="G794" s="510" t="str">
        <f>IFERROR(__xludf.DUMMYFUNCTION("""COMPUTED_VALUE"""),"")</f>
        <v/>
      </c>
      <c r="H794" s="508" t="str">
        <f>IFERROR(__xludf.DUMMYFUNCTION("""COMPUTED_VALUE"""),"")</f>
        <v/>
      </c>
      <c r="I794" s="510" t="str">
        <f>IFERROR(__xludf.DUMMYFUNCTION("""COMPUTED_VALUE"""),"")</f>
        <v/>
      </c>
      <c r="J794" s="508" t="str">
        <f>IFERROR(__xludf.DUMMYFUNCTION("""COMPUTED_VALUE"""),"")</f>
        <v/>
      </c>
      <c r="K794" s="510" t="str">
        <f>IFERROR(__xludf.DUMMYFUNCTION("""COMPUTED_VALUE"""),"")</f>
        <v/>
      </c>
      <c r="L794" s="508" t="str">
        <f>IFERROR(__xludf.DUMMYFUNCTION("""COMPUTED_VALUE"""),"")</f>
        <v/>
      </c>
      <c r="M794" s="508" t="str">
        <f>IFERROR(__xludf.DUMMYFUNCTION("""COMPUTED_VALUE"""),"")</f>
        <v/>
      </c>
      <c r="N794" s="508" t="str">
        <f>IFERROR(__xludf.DUMMYFUNCTION("""COMPUTED_VALUE"""),"")</f>
        <v/>
      </c>
      <c r="O794" s="508" t="str">
        <f>IFERROR(__xludf.DUMMYFUNCTION("""COMPUTED_VALUE"""),"")</f>
        <v/>
      </c>
      <c r="P794" s="510" t="str">
        <f>IFERROR(__xludf.DUMMYFUNCTION("""COMPUTED_VALUE"""),"")</f>
        <v/>
      </c>
      <c r="Q794" s="508" t="str">
        <f>IFERROR(__xludf.DUMMYFUNCTION("""COMPUTED_VALUE"""),"")</f>
        <v/>
      </c>
      <c r="R794" s="508" t="str">
        <f>IFERROR(__xludf.DUMMYFUNCTION("""COMPUTED_VALUE"""),"")</f>
        <v/>
      </c>
      <c r="S794" s="510" t="str">
        <f>IFERROR(__xludf.DUMMYFUNCTION("""COMPUTED_VALUE"""),"")</f>
        <v/>
      </c>
      <c r="T794" s="510" t="str">
        <f>IFERROR(__xludf.DUMMYFUNCTION("""COMPUTED_VALUE"""),"")</f>
        <v/>
      </c>
    </row>
    <row r="795">
      <c r="A795" s="508" t="str">
        <f>IFERROR(__xludf.DUMMYFUNCTION("""COMPUTED_VALUE"""),"")</f>
        <v/>
      </c>
      <c r="B795" s="508" t="str">
        <f>IFERROR(__xludf.DUMMYFUNCTION("""COMPUTED_VALUE"""),"")</f>
        <v/>
      </c>
      <c r="C795" s="508" t="str">
        <f>IFERROR(__xludf.DUMMYFUNCTION("""COMPUTED_VALUE"""),"")</f>
        <v/>
      </c>
      <c r="D795" s="508" t="str">
        <f>IFERROR(__xludf.DUMMYFUNCTION("""COMPUTED_VALUE"""),"")</f>
        <v/>
      </c>
      <c r="E795" s="508" t="str">
        <f>IFERROR(__xludf.DUMMYFUNCTION("""COMPUTED_VALUE"""),"")</f>
        <v/>
      </c>
      <c r="F795" s="508" t="str">
        <f>IFERROR(__xludf.DUMMYFUNCTION("""COMPUTED_VALUE"""),"")</f>
        <v/>
      </c>
      <c r="G795" s="510" t="str">
        <f>IFERROR(__xludf.DUMMYFUNCTION("""COMPUTED_VALUE"""),"")</f>
        <v/>
      </c>
      <c r="H795" s="508" t="str">
        <f>IFERROR(__xludf.DUMMYFUNCTION("""COMPUTED_VALUE"""),"")</f>
        <v/>
      </c>
      <c r="I795" s="510" t="str">
        <f>IFERROR(__xludf.DUMMYFUNCTION("""COMPUTED_VALUE"""),"")</f>
        <v/>
      </c>
      <c r="J795" s="508" t="str">
        <f>IFERROR(__xludf.DUMMYFUNCTION("""COMPUTED_VALUE"""),"")</f>
        <v/>
      </c>
      <c r="K795" s="510" t="str">
        <f>IFERROR(__xludf.DUMMYFUNCTION("""COMPUTED_VALUE"""),"")</f>
        <v/>
      </c>
      <c r="L795" s="508" t="str">
        <f>IFERROR(__xludf.DUMMYFUNCTION("""COMPUTED_VALUE"""),"")</f>
        <v/>
      </c>
      <c r="M795" s="508" t="str">
        <f>IFERROR(__xludf.DUMMYFUNCTION("""COMPUTED_VALUE"""),"")</f>
        <v/>
      </c>
      <c r="N795" s="508" t="str">
        <f>IFERROR(__xludf.DUMMYFUNCTION("""COMPUTED_VALUE"""),"")</f>
        <v/>
      </c>
      <c r="O795" s="508" t="str">
        <f>IFERROR(__xludf.DUMMYFUNCTION("""COMPUTED_VALUE"""),"")</f>
        <v/>
      </c>
      <c r="P795" s="510" t="str">
        <f>IFERROR(__xludf.DUMMYFUNCTION("""COMPUTED_VALUE"""),"")</f>
        <v/>
      </c>
      <c r="Q795" s="508" t="str">
        <f>IFERROR(__xludf.DUMMYFUNCTION("""COMPUTED_VALUE"""),"")</f>
        <v/>
      </c>
      <c r="R795" s="508" t="str">
        <f>IFERROR(__xludf.DUMMYFUNCTION("""COMPUTED_VALUE"""),"")</f>
        <v/>
      </c>
      <c r="S795" s="510" t="str">
        <f>IFERROR(__xludf.DUMMYFUNCTION("""COMPUTED_VALUE"""),"")</f>
        <v/>
      </c>
      <c r="T795" s="510" t="str">
        <f>IFERROR(__xludf.DUMMYFUNCTION("""COMPUTED_VALUE"""),"")</f>
        <v/>
      </c>
    </row>
    <row r="796">
      <c r="A796" s="508" t="str">
        <f>IFERROR(__xludf.DUMMYFUNCTION("""COMPUTED_VALUE"""),"")</f>
        <v/>
      </c>
      <c r="B796" s="508" t="str">
        <f>IFERROR(__xludf.DUMMYFUNCTION("""COMPUTED_VALUE"""),"")</f>
        <v/>
      </c>
      <c r="C796" s="508" t="str">
        <f>IFERROR(__xludf.DUMMYFUNCTION("""COMPUTED_VALUE"""),"")</f>
        <v/>
      </c>
      <c r="D796" s="508" t="str">
        <f>IFERROR(__xludf.DUMMYFUNCTION("""COMPUTED_VALUE"""),"")</f>
        <v/>
      </c>
      <c r="E796" s="508" t="str">
        <f>IFERROR(__xludf.DUMMYFUNCTION("""COMPUTED_VALUE"""),"")</f>
        <v/>
      </c>
      <c r="F796" s="508" t="str">
        <f>IFERROR(__xludf.DUMMYFUNCTION("""COMPUTED_VALUE"""),"")</f>
        <v/>
      </c>
      <c r="G796" s="510" t="str">
        <f>IFERROR(__xludf.DUMMYFUNCTION("""COMPUTED_VALUE"""),"")</f>
        <v/>
      </c>
      <c r="H796" s="508" t="str">
        <f>IFERROR(__xludf.DUMMYFUNCTION("""COMPUTED_VALUE"""),"")</f>
        <v/>
      </c>
      <c r="I796" s="510" t="str">
        <f>IFERROR(__xludf.DUMMYFUNCTION("""COMPUTED_VALUE"""),"")</f>
        <v/>
      </c>
      <c r="J796" s="508" t="str">
        <f>IFERROR(__xludf.DUMMYFUNCTION("""COMPUTED_VALUE"""),"")</f>
        <v/>
      </c>
      <c r="K796" s="510" t="str">
        <f>IFERROR(__xludf.DUMMYFUNCTION("""COMPUTED_VALUE"""),"")</f>
        <v/>
      </c>
      <c r="L796" s="508" t="str">
        <f>IFERROR(__xludf.DUMMYFUNCTION("""COMPUTED_VALUE"""),"")</f>
        <v/>
      </c>
      <c r="M796" s="508" t="str">
        <f>IFERROR(__xludf.DUMMYFUNCTION("""COMPUTED_VALUE"""),"")</f>
        <v/>
      </c>
      <c r="N796" s="508" t="str">
        <f>IFERROR(__xludf.DUMMYFUNCTION("""COMPUTED_VALUE"""),"")</f>
        <v/>
      </c>
      <c r="O796" s="508" t="str">
        <f>IFERROR(__xludf.DUMMYFUNCTION("""COMPUTED_VALUE"""),"")</f>
        <v/>
      </c>
      <c r="P796" s="510" t="str">
        <f>IFERROR(__xludf.DUMMYFUNCTION("""COMPUTED_VALUE"""),"")</f>
        <v/>
      </c>
      <c r="Q796" s="508" t="str">
        <f>IFERROR(__xludf.DUMMYFUNCTION("""COMPUTED_VALUE"""),"")</f>
        <v/>
      </c>
      <c r="R796" s="508" t="str">
        <f>IFERROR(__xludf.DUMMYFUNCTION("""COMPUTED_VALUE"""),"")</f>
        <v/>
      </c>
      <c r="S796" s="510" t="str">
        <f>IFERROR(__xludf.DUMMYFUNCTION("""COMPUTED_VALUE"""),"")</f>
        <v/>
      </c>
      <c r="T796" s="510" t="str">
        <f>IFERROR(__xludf.DUMMYFUNCTION("""COMPUTED_VALUE"""),"")</f>
        <v/>
      </c>
    </row>
    <row r="797">
      <c r="A797" s="508" t="str">
        <f>IFERROR(__xludf.DUMMYFUNCTION("""COMPUTED_VALUE"""),"")</f>
        <v/>
      </c>
      <c r="B797" s="508" t="str">
        <f>IFERROR(__xludf.DUMMYFUNCTION("""COMPUTED_VALUE"""),"")</f>
        <v/>
      </c>
      <c r="C797" s="508" t="str">
        <f>IFERROR(__xludf.DUMMYFUNCTION("""COMPUTED_VALUE"""),"")</f>
        <v/>
      </c>
      <c r="D797" s="508" t="str">
        <f>IFERROR(__xludf.DUMMYFUNCTION("""COMPUTED_VALUE"""),"")</f>
        <v/>
      </c>
      <c r="E797" s="508" t="str">
        <f>IFERROR(__xludf.DUMMYFUNCTION("""COMPUTED_VALUE"""),"")</f>
        <v/>
      </c>
      <c r="F797" s="508" t="str">
        <f>IFERROR(__xludf.DUMMYFUNCTION("""COMPUTED_VALUE"""),"")</f>
        <v/>
      </c>
      <c r="G797" s="510" t="str">
        <f>IFERROR(__xludf.DUMMYFUNCTION("""COMPUTED_VALUE"""),"")</f>
        <v/>
      </c>
      <c r="H797" s="508" t="str">
        <f>IFERROR(__xludf.DUMMYFUNCTION("""COMPUTED_VALUE"""),"")</f>
        <v/>
      </c>
      <c r="I797" s="510" t="str">
        <f>IFERROR(__xludf.DUMMYFUNCTION("""COMPUTED_VALUE"""),"")</f>
        <v/>
      </c>
      <c r="J797" s="508" t="str">
        <f>IFERROR(__xludf.DUMMYFUNCTION("""COMPUTED_VALUE"""),"")</f>
        <v/>
      </c>
      <c r="K797" s="510" t="str">
        <f>IFERROR(__xludf.DUMMYFUNCTION("""COMPUTED_VALUE"""),"")</f>
        <v/>
      </c>
      <c r="L797" s="508" t="str">
        <f>IFERROR(__xludf.DUMMYFUNCTION("""COMPUTED_VALUE"""),"")</f>
        <v/>
      </c>
      <c r="M797" s="508" t="str">
        <f>IFERROR(__xludf.DUMMYFUNCTION("""COMPUTED_VALUE"""),"")</f>
        <v/>
      </c>
      <c r="N797" s="508" t="str">
        <f>IFERROR(__xludf.DUMMYFUNCTION("""COMPUTED_VALUE"""),"")</f>
        <v/>
      </c>
      <c r="O797" s="508" t="str">
        <f>IFERROR(__xludf.DUMMYFUNCTION("""COMPUTED_VALUE"""),"")</f>
        <v/>
      </c>
      <c r="P797" s="510" t="str">
        <f>IFERROR(__xludf.DUMMYFUNCTION("""COMPUTED_VALUE"""),"")</f>
        <v/>
      </c>
      <c r="Q797" s="508" t="str">
        <f>IFERROR(__xludf.DUMMYFUNCTION("""COMPUTED_VALUE"""),"")</f>
        <v/>
      </c>
      <c r="R797" s="508" t="str">
        <f>IFERROR(__xludf.DUMMYFUNCTION("""COMPUTED_VALUE"""),"")</f>
        <v/>
      </c>
      <c r="S797" s="510" t="str">
        <f>IFERROR(__xludf.DUMMYFUNCTION("""COMPUTED_VALUE"""),"")</f>
        <v/>
      </c>
      <c r="T797" s="510" t="str">
        <f>IFERROR(__xludf.DUMMYFUNCTION("""COMPUTED_VALUE"""),"")</f>
        <v/>
      </c>
    </row>
    <row r="798">
      <c r="A798" s="508" t="str">
        <f>IFERROR(__xludf.DUMMYFUNCTION("""COMPUTED_VALUE"""),"")</f>
        <v/>
      </c>
      <c r="B798" s="508" t="str">
        <f>IFERROR(__xludf.DUMMYFUNCTION("""COMPUTED_VALUE"""),"")</f>
        <v/>
      </c>
      <c r="C798" s="508" t="str">
        <f>IFERROR(__xludf.DUMMYFUNCTION("""COMPUTED_VALUE"""),"")</f>
        <v/>
      </c>
      <c r="D798" s="508" t="str">
        <f>IFERROR(__xludf.DUMMYFUNCTION("""COMPUTED_VALUE"""),"")</f>
        <v/>
      </c>
      <c r="E798" s="508" t="str">
        <f>IFERROR(__xludf.DUMMYFUNCTION("""COMPUTED_VALUE"""),"")</f>
        <v/>
      </c>
      <c r="F798" s="508" t="str">
        <f>IFERROR(__xludf.DUMMYFUNCTION("""COMPUTED_VALUE"""),"")</f>
        <v/>
      </c>
      <c r="G798" s="510" t="str">
        <f>IFERROR(__xludf.DUMMYFUNCTION("""COMPUTED_VALUE"""),"")</f>
        <v/>
      </c>
      <c r="H798" s="508" t="str">
        <f>IFERROR(__xludf.DUMMYFUNCTION("""COMPUTED_VALUE"""),"")</f>
        <v/>
      </c>
      <c r="I798" s="510" t="str">
        <f>IFERROR(__xludf.DUMMYFUNCTION("""COMPUTED_VALUE"""),"")</f>
        <v/>
      </c>
      <c r="J798" s="508" t="str">
        <f>IFERROR(__xludf.DUMMYFUNCTION("""COMPUTED_VALUE"""),"")</f>
        <v/>
      </c>
      <c r="K798" s="510" t="str">
        <f>IFERROR(__xludf.DUMMYFUNCTION("""COMPUTED_VALUE"""),"")</f>
        <v/>
      </c>
      <c r="L798" s="508" t="str">
        <f>IFERROR(__xludf.DUMMYFUNCTION("""COMPUTED_VALUE"""),"")</f>
        <v/>
      </c>
      <c r="M798" s="508" t="str">
        <f>IFERROR(__xludf.DUMMYFUNCTION("""COMPUTED_VALUE"""),"")</f>
        <v/>
      </c>
      <c r="N798" s="508" t="str">
        <f>IFERROR(__xludf.DUMMYFUNCTION("""COMPUTED_VALUE"""),"")</f>
        <v/>
      </c>
      <c r="O798" s="508" t="str">
        <f>IFERROR(__xludf.DUMMYFUNCTION("""COMPUTED_VALUE"""),"")</f>
        <v/>
      </c>
      <c r="P798" s="510" t="str">
        <f>IFERROR(__xludf.DUMMYFUNCTION("""COMPUTED_VALUE"""),"")</f>
        <v/>
      </c>
      <c r="Q798" s="508" t="str">
        <f>IFERROR(__xludf.DUMMYFUNCTION("""COMPUTED_VALUE"""),"")</f>
        <v/>
      </c>
      <c r="R798" s="508" t="str">
        <f>IFERROR(__xludf.DUMMYFUNCTION("""COMPUTED_VALUE"""),"")</f>
        <v/>
      </c>
      <c r="S798" s="510" t="str">
        <f>IFERROR(__xludf.DUMMYFUNCTION("""COMPUTED_VALUE"""),"")</f>
        <v/>
      </c>
      <c r="T798" s="510" t="str">
        <f>IFERROR(__xludf.DUMMYFUNCTION("""COMPUTED_VALUE"""),"")</f>
        <v/>
      </c>
    </row>
    <row r="799">
      <c r="A799" s="508" t="str">
        <f>IFERROR(__xludf.DUMMYFUNCTION("""COMPUTED_VALUE"""),"")</f>
        <v/>
      </c>
      <c r="B799" s="508" t="str">
        <f>IFERROR(__xludf.DUMMYFUNCTION("""COMPUTED_VALUE"""),"")</f>
        <v/>
      </c>
      <c r="C799" s="508" t="str">
        <f>IFERROR(__xludf.DUMMYFUNCTION("""COMPUTED_VALUE"""),"")</f>
        <v/>
      </c>
      <c r="D799" s="508" t="str">
        <f>IFERROR(__xludf.DUMMYFUNCTION("""COMPUTED_VALUE"""),"")</f>
        <v/>
      </c>
      <c r="E799" s="508" t="str">
        <f>IFERROR(__xludf.DUMMYFUNCTION("""COMPUTED_VALUE"""),"")</f>
        <v/>
      </c>
      <c r="F799" s="508" t="str">
        <f>IFERROR(__xludf.DUMMYFUNCTION("""COMPUTED_VALUE"""),"")</f>
        <v/>
      </c>
      <c r="G799" s="510" t="str">
        <f>IFERROR(__xludf.DUMMYFUNCTION("""COMPUTED_VALUE"""),"")</f>
        <v/>
      </c>
      <c r="H799" s="508" t="str">
        <f>IFERROR(__xludf.DUMMYFUNCTION("""COMPUTED_VALUE"""),"")</f>
        <v/>
      </c>
      <c r="I799" s="510" t="str">
        <f>IFERROR(__xludf.DUMMYFUNCTION("""COMPUTED_VALUE"""),"")</f>
        <v/>
      </c>
      <c r="J799" s="508" t="str">
        <f>IFERROR(__xludf.DUMMYFUNCTION("""COMPUTED_VALUE"""),"")</f>
        <v/>
      </c>
      <c r="K799" s="510" t="str">
        <f>IFERROR(__xludf.DUMMYFUNCTION("""COMPUTED_VALUE"""),"")</f>
        <v/>
      </c>
      <c r="L799" s="508" t="str">
        <f>IFERROR(__xludf.DUMMYFUNCTION("""COMPUTED_VALUE"""),"")</f>
        <v/>
      </c>
      <c r="M799" s="508" t="str">
        <f>IFERROR(__xludf.DUMMYFUNCTION("""COMPUTED_VALUE"""),"")</f>
        <v/>
      </c>
      <c r="N799" s="508" t="str">
        <f>IFERROR(__xludf.DUMMYFUNCTION("""COMPUTED_VALUE"""),"")</f>
        <v/>
      </c>
      <c r="O799" s="508" t="str">
        <f>IFERROR(__xludf.DUMMYFUNCTION("""COMPUTED_VALUE"""),"")</f>
        <v/>
      </c>
      <c r="P799" s="510" t="str">
        <f>IFERROR(__xludf.DUMMYFUNCTION("""COMPUTED_VALUE"""),"")</f>
        <v/>
      </c>
      <c r="Q799" s="508" t="str">
        <f>IFERROR(__xludf.DUMMYFUNCTION("""COMPUTED_VALUE"""),"")</f>
        <v/>
      </c>
      <c r="R799" s="508" t="str">
        <f>IFERROR(__xludf.DUMMYFUNCTION("""COMPUTED_VALUE"""),"")</f>
        <v/>
      </c>
      <c r="S799" s="510" t="str">
        <f>IFERROR(__xludf.DUMMYFUNCTION("""COMPUTED_VALUE"""),"")</f>
        <v/>
      </c>
      <c r="T799" s="510" t="str">
        <f>IFERROR(__xludf.DUMMYFUNCTION("""COMPUTED_VALUE"""),"")</f>
        <v/>
      </c>
    </row>
    <row r="800">
      <c r="A800" s="508" t="str">
        <f>IFERROR(__xludf.DUMMYFUNCTION("""COMPUTED_VALUE"""),"")</f>
        <v/>
      </c>
      <c r="B800" s="508" t="str">
        <f>IFERROR(__xludf.DUMMYFUNCTION("""COMPUTED_VALUE"""),"")</f>
        <v/>
      </c>
      <c r="C800" s="508" t="str">
        <f>IFERROR(__xludf.DUMMYFUNCTION("""COMPUTED_VALUE"""),"")</f>
        <v/>
      </c>
      <c r="D800" s="508" t="str">
        <f>IFERROR(__xludf.DUMMYFUNCTION("""COMPUTED_VALUE"""),"")</f>
        <v/>
      </c>
      <c r="E800" s="508" t="str">
        <f>IFERROR(__xludf.DUMMYFUNCTION("""COMPUTED_VALUE"""),"")</f>
        <v/>
      </c>
      <c r="F800" s="508" t="str">
        <f>IFERROR(__xludf.DUMMYFUNCTION("""COMPUTED_VALUE"""),"")</f>
        <v/>
      </c>
      <c r="G800" s="510" t="str">
        <f>IFERROR(__xludf.DUMMYFUNCTION("""COMPUTED_VALUE"""),"")</f>
        <v/>
      </c>
      <c r="H800" s="508" t="str">
        <f>IFERROR(__xludf.DUMMYFUNCTION("""COMPUTED_VALUE"""),"")</f>
        <v/>
      </c>
      <c r="I800" s="510" t="str">
        <f>IFERROR(__xludf.DUMMYFUNCTION("""COMPUTED_VALUE"""),"")</f>
        <v/>
      </c>
      <c r="J800" s="508" t="str">
        <f>IFERROR(__xludf.DUMMYFUNCTION("""COMPUTED_VALUE"""),"")</f>
        <v/>
      </c>
      <c r="K800" s="510" t="str">
        <f>IFERROR(__xludf.DUMMYFUNCTION("""COMPUTED_VALUE"""),"")</f>
        <v/>
      </c>
      <c r="L800" s="508" t="str">
        <f>IFERROR(__xludf.DUMMYFUNCTION("""COMPUTED_VALUE"""),"")</f>
        <v/>
      </c>
      <c r="M800" s="508" t="str">
        <f>IFERROR(__xludf.DUMMYFUNCTION("""COMPUTED_VALUE"""),"")</f>
        <v/>
      </c>
      <c r="N800" s="508" t="str">
        <f>IFERROR(__xludf.DUMMYFUNCTION("""COMPUTED_VALUE"""),"")</f>
        <v/>
      </c>
      <c r="O800" s="508" t="str">
        <f>IFERROR(__xludf.DUMMYFUNCTION("""COMPUTED_VALUE"""),"")</f>
        <v/>
      </c>
      <c r="P800" s="510" t="str">
        <f>IFERROR(__xludf.DUMMYFUNCTION("""COMPUTED_VALUE"""),"")</f>
        <v/>
      </c>
      <c r="Q800" s="508" t="str">
        <f>IFERROR(__xludf.DUMMYFUNCTION("""COMPUTED_VALUE"""),"")</f>
        <v/>
      </c>
      <c r="R800" s="508" t="str">
        <f>IFERROR(__xludf.DUMMYFUNCTION("""COMPUTED_VALUE"""),"")</f>
        <v/>
      </c>
      <c r="S800" s="510" t="str">
        <f>IFERROR(__xludf.DUMMYFUNCTION("""COMPUTED_VALUE"""),"")</f>
        <v/>
      </c>
      <c r="T800" s="510" t="str">
        <f>IFERROR(__xludf.DUMMYFUNCTION("""COMPUTED_VALUE"""),"")</f>
        <v/>
      </c>
    </row>
    <row r="801">
      <c r="A801" s="508" t="str">
        <f>IFERROR(__xludf.DUMMYFUNCTION("""COMPUTED_VALUE"""),"")</f>
        <v/>
      </c>
      <c r="B801" s="508" t="str">
        <f>IFERROR(__xludf.DUMMYFUNCTION("""COMPUTED_VALUE"""),"")</f>
        <v/>
      </c>
      <c r="C801" s="508" t="str">
        <f>IFERROR(__xludf.DUMMYFUNCTION("""COMPUTED_VALUE"""),"")</f>
        <v/>
      </c>
      <c r="D801" s="508" t="str">
        <f>IFERROR(__xludf.DUMMYFUNCTION("""COMPUTED_VALUE"""),"")</f>
        <v/>
      </c>
      <c r="E801" s="508" t="str">
        <f>IFERROR(__xludf.DUMMYFUNCTION("""COMPUTED_VALUE"""),"")</f>
        <v/>
      </c>
      <c r="F801" s="508" t="str">
        <f>IFERROR(__xludf.DUMMYFUNCTION("""COMPUTED_VALUE"""),"")</f>
        <v/>
      </c>
      <c r="G801" s="510" t="str">
        <f>IFERROR(__xludf.DUMMYFUNCTION("""COMPUTED_VALUE"""),"")</f>
        <v/>
      </c>
      <c r="H801" s="508" t="str">
        <f>IFERROR(__xludf.DUMMYFUNCTION("""COMPUTED_VALUE"""),"")</f>
        <v/>
      </c>
      <c r="I801" s="510" t="str">
        <f>IFERROR(__xludf.DUMMYFUNCTION("""COMPUTED_VALUE"""),"")</f>
        <v/>
      </c>
      <c r="J801" s="508" t="str">
        <f>IFERROR(__xludf.DUMMYFUNCTION("""COMPUTED_VALUE"""),"")</f>
        <v/>
      </c>
      <c r="K801" s="510" t="str">
        <f>IFERROR(__xludf.DUMMYFUNCTION("""COMPUTED_VALUE"""),"")</f>
        <v/>
      </c>
      <c r="L801" s="508" t="str">
        <f>IFERROR(__xludf.DUMMYFUNCTION("""COMPUTED_VALUE"""),"")</f>
        <v/>
      </c>
      <c r="M801" s="508" t="str">
        <f>IFERROR(__xludf.DUMMYFUNCTION("""COMPUTED_VALUE"""),"")</f>
        <v/>
      </c>
      <c r="N801" s="508" t="str">
        <f>IFERROR(__xludf.DUMMYFUNCTION("""COMPUTED_VALUE"""),"")</f>
        <v/>
      </c>
      <c r="O801" s="508" t="str">
        <f>IFERROR(__xludf.DUMMYFUNCTION("""COMPUTED_VALUE"""),"")</f>
        <v/>
      </c>
      <c r="P801" s="510" t="str">
        <f>IFERROR(__xludf.DUMMYFUNCTION("""COMPUTED_VALUE"""),"")</f>
        <v/>
      </c>
      <c r="Q801" s="508" t="str">
        <f>IFERROR(__xludf.DUMMYFUNCTION("""COMPUTED_VALUE"""),"")</f>
        <v/>
      </c>
      <c r="R801" s="508" t="str">
        <f>IFERROR(__xludf.DUMMYFUNCTION("""COMPUTED_VALUE"""),"")</f>
        <v/>
      </c>
      <c r="S801" s="510" t="str">
        <f>IFERROR(__xludf.DUMMYFUNCTION("""COMPUTED_VALUE"""),"")</f>
        <v/>
      </c>
      <c r="T801" s="510" t="str">
        <f>IFERROR(__xludf.DUMMYFUNCTION("""COMPUTED_VALUE"""),"")</f>
        <v/>
      </c>
    </row>
    <row r="802">
      <c r="A802" s="508" t="str">
        <f>IFERROR(__xludf.DUMMYFUNCTION("""COMPUTED_VALUE"""),"")</f>
        <v/>
      </c>
      <c r="B802" s="508" t="str">
        <f>IFERROR(__xludf.DUMMYFUNCTION("""COMPUTED_VALUE"""),"")</f>
        <v/>
      </c>
      <c r="C802" s="508" t="str">
        <f>IFERROR(__xludf.DUMMYFUNCTION("""COMPUTED_VALUE"""),"")</f>
        <v/>
      </c>
      <c r="D802" s="508" t="str">
        <f>IFERROR(__xludf.DUMMYFUNCTION("""COMPUTED_VALUE"""),"")</f>
        <v/>
      </c>
      <c r="E802" s="508" t="str">
        <f>IFERROR(__xludf.DUMMYFUNCTION("""COMPUTED_VALUE"""),"")</f>
        <v/>
      </c>
      <c r="F802" s="508" t="str">
        <f>IFERROR(__xludf.DUMMYFUNCTION("""COMPUTED_VALUE"""),"")</f>
        <v/>
      </c>
      <c r="G802" s="510" t="str">
        <f>IFERROR(__xludf.DUMMYFUNCTION("""COMPUTED_VALUE"""),"")</f>
        <v/>
      </c>
      <c r="H802" s="508" t="str">
        <f>IFERROR(__xludf.DUMMYFUNCTION("""COMPUTED_VALUE"""),"")</f>
        <v/>
      </c>
      <c r="I802" s="510" t="str">
        <f>IFERROR(__xludf.DUMMYFUNCTION("""COMPUTED_VALUE"""),"")</f>
        <v/>
      </c>
      <c r="J802" s="508" t="str">
        <f>IFERROR(__xludf.DUMMYFUNCTION("""COMPUTED_VALUE"""),"")</f>
        <v/>
      </c>
      <c r="K802" s="510" t="str">
        <f>IFERROR(__xludf.DUMMYFUNCTION("""COMPUTED_VALUE"""),"")</f>
        <v/>
      </c>
      <c r="L802" s="508" t="str">
        <f>IFERROR(__xludf.DUMMYFUNCTION("""COMPUTED_VALUE"""),"")</f>
        <v/>
      </c>
      <c r="M802" s="508" t="str">
        <f>IFERROR(__xludf.DUMMYFUNCTION("""COMPUTED_VALUE"""),"")</f>
        <v/>
      </c>
      <c r="N802" s="508" t="str">
        <f>IFERROR(__xludf.DUMMYFUNCTION("""COMPUTED_VALUE"""),"")</f>
        <v/>
      </c>
      <c r="O802" s="508" t="str">
        <f>IFERROR(__xludf.DUMMYFUNCTION("""COMPUTED_VALUE"""),"")</f>
        <v/>
      </c>
      <c r="P802" s="510" t="str">
        <f>IFERROR(__xludf.DUMMYFUNCTION("""COMPUTED_VALUE"""),"")</f>
        <v/>
      </c>
      <c r="Q802" s="508" t="str">
        <f>IFERROR(__xludf.DUMMYFUNCTION("""COMPUTED_VALUE"""),"")</f>
        <v/>
      </c>
      <c r="R802" s="508" t="str">
        <f>IFERROR(__xludf.DUMMYFUNCTION("""COMPUTED_VALUE"""),"")</f>
        <v/>
      </c>
      <c r="S802" s="510" t="str">
        <f>IFERROR(__xludf.DUMMYFUNCTION("""COMPUTED_VALUE"""),"")</f>
        <v/>
      </c>
      <c r="T802" s="510" t="str">
        <f>IFERROR(__xludf.DUMMYFUNCTION("""COMPUTED_VALUE"""),"")</f>
        <v/>
      </c>
    </row>
    <row r="803">
      <c r="A803" s="508" t="str">
        <f>IFERROR(__xludf.DUMMYFUNCTION("""COMPUTED_VALUE"""),"")</f>
        <v/>
      </c>
      <c r="B803" s="508" t="str">
        <f>IFERROR(__xludf.DUMMYFUNCTION("""COMPUTED_VALUE"""),"")</f>
        <v/>
      </c>
      <c r="C803" s="508" t="str">
        <f>IFERROR(__xludf.DUMMYFUNCTION("""COMPUTED_VALUE"""),"")</f>
        <v/>
      </c>
      <c r="D803" s="508" t="str">
        <f>IFERROR(__xludf.DUMMYFUNCTION("""COMPUTED_VALUE"""),"")</f>
        <v/>
      </c>
      <c r="E803" s="508" t="str">
        <f>IFERROR(__xludf.DUMMYFUNCTION("""COMPUTED_VALUE"""),"")</f>
        <v/>
      </c>
      <c r="F803" s="508" t="str">
        <f>IFERROR(__xludf.DUMMYFUNCTION("""COMPUTED_VALUE"""),"")</f>
        <v/>
      </c>
      <c r="G803" s="510" t="str">
        <f>IFERROR(__xludf.DUMMYFUNCTION("""COMPUTED_VALUE"""),"")</f>
        <v/>
      </c>
      <c r="H803" s="508" t="str">
        <f>IFERROR(__xludf.DUMMYFUNCTION("""COMPUTED_VALUE"""),"")</f>
        <v/>
      </c>
      <c r="I803" s="510" t="str">
        <f>IFERROR(__xludf.DUMMYFUNCTION("""COMPUTED_VALUE"""),"")</f>
        <v/>
      </c>
      <c r="J803" s="508" t="str">
        <f>IFERROR(__xludf.DUMMYFUNCTION("""COMPUTED_VALUE"""),"")</f>
        <v/>
      </c>
      <c r="K803" s="510" t="str">
        <f>IFERROR(__xludf.DUMMYFUNCTION("""COMPUTED_VALUE"""),"")</f>
        <v/>
      </c>
      <c r="L803" s="508" t="str">
        <f>IFERROR(__xludf.DUMMYFUNCTION("""COMPUTED_VALUE"""),"")</f>
        <v/>
      </c>
      <c r="M803" s="508" t="str">
        <f>IFERROR(__xludf.DUMMYFUNCTION("""COMPUTED_VALUE"""),"")</f>
        <v/>
      </c>
      <c r="N803" s="508" t="str">
        <f>IFERROR(__xludf.DUMMYFUNCTION("""COMPUTED_VALUE"""),"")</f>
        <v/>
      </c>
      <c r="O803" s="508" t="str">
        <f>IFERROR(__xludf.DUMMYFUNCTION("""COMPUTED_VALUE"""),"")</f>
        <v/>
      </c>
      <c r="P803" s="510" t="str">
        <f>IFERROR(__xludf.DUMMYFUNCTION("""COMPUTED_VALUE"""),"")</f>
        <v/>
      </c>
      <c r="Q803" s="508" t="str">
        <f>IFERROR(__xludf.DUMMYFUNCTION("""COMPUTED_VALUE"""),"")</f>
        <v/>
      </c>
      <c r="R803" s="508" t="str">
        <f>IFERROR(__xludf.DUMMYFUNCTION("""COMPUTED_VALUE"""),"")</f>
        <v/>
      </c>
      <c r="S803" s="510" t="str">
        <f>IFERROR(__xludf.DUMMYFUNCTION("""COMPUTED_VALUE"""),"")</f>
        <v/>
      </c>
      <c r="T803" s="510" t="str">
        <f>IFERROR(__xludf.DUMMYFUNCTION("""COMPUTED_VALUE"""),"")</f>
        <v/>
      </c>
    </row>
    <row r="804">
      <c r="A804" s="508" t="str">
        <f>IFERROR(__xludf.DUMMYFUNCTION("""COMPUTED_VALUE"""),"")</f>
        <v/>
      </c>
      <c r="B804" s="508" t="str">
        <f>IFERROR(__xludf.DUMMYFUNCTION("""COMPUTED_VALUE"""),"")</f>
        <v/>
      </c>
      <c r="C804" s="508" t="str">
        <f>IFERROR(__xludf.DUMMYFUNCTION("""COMPUTED_VALUE"""),"")</f>
        <v/>
      </c>
      <c r="D804" s="508" t="str">
        <f>IFERROR(__xludf.DUMMYFUNCTION("""COMPUTED_VALUE"""),"")</f>
        <v/>
      </c>
      <c r="E804" s="508" t="str">
        <f>IFERROR(__xludf.DUMMYFUNCTION("""COMPUTED_VALUE"""),"")</f>
        <v/>
      </c>
      <c r="F804" s="508" t="str">
        <f>IFERROR(__xludf.DUMMYFUNCTION("""COMPUTED_VALUE"""),"")</f>
        <v/>
      </c>
      <c r="G804" s="510" t="str">
        <f>IFERROR(__xludf.DUMMYFUNCTION("""COMPUTED_VALUE"""),"")</f>
        <v/>
      </c>
      <c r="H804" s="508" t="str">
        <f>IFERROR(__xludf.DUMMYFUNCTION("""COMPUTED_VALUE"""),"")</f>
        <v/>
      </c>
      <c r="I804" s="510" t="str">
        <f>IFERROR(__xludf.DUMMYFUNCTION("""COMPUTED_VALUE"""),"")</f>
        <v/>
      </c>
      <c r="J804" s="508" t="str">
        <f>IFERROR(__xludf.DUMMYFUNCTION("""COMPUTED_VALUE"""),"")</f>
        <v/>
      </c>
      <c r="K804" s="510" t="str">
        <f>IFERROR(__xludf.DUMMYFUNCTION("""COMPUTED_VALUE"""),"")</f>
        <v/>
      </c>
      <c r="L804" s="508" t="str">
        <f>IFERROR(__xludf.DUMMYFUNCTION("""COMPUTED_VALUE"""),"")</f>
        <v/>
      </c>
      <c r="M804" s="508" t="str">
        <f>IFERROR(__xludf.DUMMYFUNCTION("""COMPUTED_VALUE"""),"")</f>
        <v/>
      </c>
      <c r="N804" s="508" t="str">
        <f>IFERROR(__xludf.DUMMYFUNCTION("""COMPUTED_VALUE"""),"")</f>
        <v/>
      </c>
      <c r="O804" s="508" t="str">
        <f>IFERROR(__xludf.DUMMYFUNCTION("""COMPUTED_VALUE"""),"")</f>
        <v/>
      </c>
      <c r="P804" s="510" t="str">
        <f>IFERROR(__xludf.DUMMYFUNCTION("""COMPUTED_VALUE"""),"")</f>
        <v/>
      </c>
      <c r="Q804" s="508" t="str">
        <f>IFERROR(__xludf.DUMMYFUNCTION("""COMPUTED_VALUE"""),"")</f>
        <v/>
      </c>
      <c r="R804" s="508" t="str">
        <f>IFERROR(__xludf.DUMMYFUNCTION("""COMPUTED_VALUE"""),"")</f>
        <v/>
      </c>
      <c r="S804" s="510" t="str">
        <f>IFERROR(__xludf.DUMMYFUNCTION("""COMPUTED_VALUE"""),"")</f>
        <v/>
      </c>
      <c r="T804" s="510" t="str">
        <f>IFERROR(__xludf.DUMMYFUNCTION("""COMPUTED_VALUE"""),"")</f>
        <v/>
      </c>
    </row>
    <row r="805">
      <c r="A805" s="508" t="str">
        <f>IFERROR(__xludf.DUMMYFUNCTION("""COMPUTED_VALUE"""),"")</f>
        <v/>
      </c>
      <c r="B805" s="508" t="str">
        <f>IFERROR(__xludf.DUMMYFUNCTION("""COMPUTED_VALUE"""),"")</f>
        <v/>
      </c>
      <c r="C805" s="508" t="str">
        <f>IFERROR(__xludf.DUMMYFUNCTION("""COMPUTED_VALUE"""),"")</f>
        <v/>
      </c>
      <c r="D805" s="508" t="str">
        <f>IFERROR(__xludf.DUMMYFUNCTION("""COMPUTED_VALUE"""),"")</f>
        <v/>
      </c>
      <c r="E805" s="508" t="str">
        <f>IFERROR(__xludf.DUMMYFUNCTION("""COMPUTED_VALUE"""),"")</f>
        <v/>
      </c>
      <c r="F805" s="508" t="str">
        <f>IFERROR(__xludf.DUMMYFUNCTION("""COMPUTED_VALUE"""),"")</f>
        <v/>
      </c>
      <c r="G805" s="510" t="str">
        <f>IFERROR(__xludf.DUMMYFUNCTION("""COMPUTED_VALUE"""),"")</f>
        <v/>
      </c>
      <c r="H805" s="508" t="str">
        <f>IFERROR(__xludf.DUMMYFUNCTION("""COMPUTED_VALUE"""),"")</f>
        <v/>
      </c>
      <c r="I805" s="510" t="str">
        <f>IFERROR(__xludf.DUMMYFUNCTION("""COMPUTED_VALUE"""),"")</f>
        <v/>
      </c>
      <c r="J805" s="508" t="str">
        <f>IFERROR(__xludf.DUMMYFUNCTION("""COMPUTED_VALUE"""),"")</f>
        <v/>
      </c>
      <c r="K805" s="510" t="str">
        <f>IFERROR(__xludf.DUMMYFUNCTION("""COMPUTED_VALUE"""),"")</f>
        <v/>
      </c>
      <c r="L805" s="508" t="str">
        <f>IFERROR(__xludf.DUMMYFUNCTION("""COMPUTED_VALUE"""),"")</f>
        <v/>
      </c>
      <c r="M805" s="508" t="str">
        <f>IFERROR(__xludf.DUMMYFUNCTION("""COMPUTED_VALUE"""),"")</f>
        <v/>
      </c>
      <c r="N805" s="508" t="str">
        <f>IFERROR(__xludf.DUMMYFUNCTION("""COMPUTED_VALUE"""),"")</f>
        <v/>
      </c>
      <c r="O805" s="508" t="str">
        <f>IFERROR(__xludf.DUMMYFUNCTION("""COMPUTED_VALUE"""),"")</f>
        <v/>
      </c>
      <c r="P805" s="510" t="str">
        <f>IFERROR(__xludf.DUMMYFUNCTION("""COMPUTED_VALUE"""),"")</f>
        <v/>
      </c>
      <c r="Q805" s="508" t="str">
        <f>IFERROR(__xludf.DUMMYFUNCTION("""COMPUTED_VALUE"""),"")</f>
        <v/>
      </c>
      <c r="R805" s="508" t="str">
        <f>IFERROR(__xludf.DUMMYFUNCTION("""COMPUTED_VALUE"""),"")</f>
        <v/>
      </c>
      <c r="S805" s="510" t="str">
        <f>IFERROR(__xludf.DUMMYFUNCTION("""COMPUTED_VALUE"""),"")</f>
        <v/>
      </c>
      <c r="T805" s="510" t="str">
        <f>IFERROR(__xludf.DUMMYFUNCTION("""COMPUTED_VALUE"""),"")</f>
        <v/>
      </c>
    </row>
    <row r="806">
      <c r="A806" s="508" t="str">
        <f>IFERROR(__xludf.DUMMYFUNCTION("""COMPUTED_VALUE"""),"")</f>
        <v/>
      </c>
      <c r="B806" s="508" t="str">
        <f>IFERROR(__xludf.DUMMYFUNCTION("""COMPUTED_VALUE"""),"")</f>
        <v/>
      </c>
      <c r="C806" s="508" t="str">
        <f>IFERROR(__xludf.DUMMYFUNCTION("""COMPUTED_VALUE"""),"")</f>
        <v/>
      </c>
      <c r="D806" s="508" t="str">
        <f>IFERROR(__xludf.DUMMYFUNCTION("""COMPUTED_VALUE"""),"")</f>
        <v/>
      </c>
      <c r="E806" s="508" t="str">
        <f>IFERROR(__xludf.DUMMYFUNCTION("""COMPUTED_VALUE"""),"")</f>
        <v/>
      </c>
      <c r="F806" s="508" t="str">
        <f>IFERROR(__xludf.DUMMYFUNCTION("""COMPUTED_VALUE"""),"")</f>
        <v/>
      </c>
      <c r="G806" s="510" t="str">
        <f>IFERROR(__xludf.DUMMYFUNCTION("""COMPUTED_VALUE"""),"")</f>
        <v/>
      </c>
      <c r="H806" s="508" t="str">
        <f>IFERROR(__xludf.DUMMYFUNCTION("""COMPUTED_VALUE"""),"")</f>
        <v/>
      </c>
      <c r="I806" s="510" t="str">
        <f>IFERROR(__xludf.DUMMYFUNCTION("""COMPUTED_VALUE"""),"")</f>
        <v/>
      </c>
      <c r="J806" s="508" t="str">
        <f>IFERROR(__xludf.DUMMYFUNCTION("""COMPUTED_VALUE"""),"")</f>
        <v/>
      </c>
      <c r="K806" s="510" t="str">
        <f>IFERROR(__xludf.DUMMYFUNCTION("""COMPUTED_VALUE"""),"")</f>
        <v/>
      </c>
      <c r="L806" s="508" t="str">
        <f>IFERROR(__xludf.DUMMYFUNCTION("""COMPUTED_VALUE"""),"")</f>
        <v/>
      </c>
      <c r="M806" s="508" t="str">
        <f>IFERROR(__xludf.DUMMYFUNCTION("""COMPUTED_VALUE"""),"")</f>
        <v/>
      </c>
      <c r="N806" s="508" t="str">
        <f>IFERROR(__xludf.DUMMYFUNCTION("""COMPUTED_VALUE"""),"")</f>
        <v/>
      </c>
      <c r="O806" s="508" t="str">
        <f>IFERROR(__xludf.DUMMYFUNCTION("""COMPUTED_VALUE"""),"")</f>
        <v/>
      </c>
      <c r="P806" s="510" t="str">
        <f>IFERROR(__xludf.DUMMYFUNCTION("""COMPUTED_VALUE"""),"")</f>
        <v/>
      </c>
      <c r="Q806" s="508" t="str">
        <f>IFERROR(__xludf.DUMMYFUNCTION("""COMPUTED_VALUE"""),"")</f>
        <v/>
      </c>
      <c r="R806" s="508" t="str">
        <f>IFERROR(__xludf.DUMMYFUNCTION("""COMPUTED_VALUE"""),"")</f>
        <v/>
      </c>
      <c r="S806" s="510" t="str">
        <f>IFERROR(__xludf.DUMMYFUNCTION("""COMPUTED_VALUE"""),"")</f>
        <v/>
      </c>
      <c r="T806" s="510" t="str">
        <f>IFERROR(__xludf.DUMMYFUNCTION("""COMPUTED_VALUE"""),"")</f>
        <v/>
      </c>
    </row>
    <row r="807">
      <c r="A807" s="508" t="str">
        <f>IFERROR(__xludf.DUMMYFUNCTION("""COMPUTED_VALUE"""),"")</f>
        <v/>
      </c>
      <c r="B807" s="508" t="str">
        <f>IFERROR(__xludf.DUMMYFUNCTION("""COMPUTED_VALUE"""),"")</f>
        <v/>
      </c>
      <c r="C807" s="508" t="str">
        <f>IFERROR(__xludf.DUMMYFUNCTION("""COMPUTED_VALUE"""),"")</f>
        <v/>
      </c>
      <c r="D807" s="508" t="str">
        <f>IFERROR(__xludf.DUMMYFUNCTION("""COMPUTED_VALUE"""),"")</f>
        <v/>
      </c>
      <c r="E807" s="508" t="str">
        <f>IFERROR(__xludf.DUMMYFUNCTION("""COMPUTED_VALUE"""),"")</f>
        <v/>
      </c>
      <c r="F807" s="508" t="str">
        <f>IFERROR(__xludf.DUMMYFUNCTION("""COMPUTED_VALUE"""),"")</f>
        <v/>
      </c>
      <c r="G807" s="510" t="str">
        <f>IFERROR(__xludf.DUMMYFUNCTION("""COMPUTED_VALUE"""),"")</f>
        <v/>
      </c>
      <c r="H807" s="508" t="str">
        <f>IFERROR(__xludf.DUMMYFUNCTION("""COMPUTED_VALUE"""),"")</f>
        <v/>
      </c>
      <c r="I807" s="510" t="str">
        <f>IFERROR(__xludf.DUMMYFUNCTION("""COMPUTED_VALUE"""),"")</f>
        <v/>
      </c>
      <c r="J807" s="508" t="str">
        <f>IFERROR(__xludf.DUMMYFUNCTION("""COMPUTED_VALUE"""),"")</f>
        <v/>
      </c>
      <c r="K807" s="510" t="str">
        <f>IFERROR(__xludf.DUMMYFUNCTION("""COMPUTED_VALUE"""),"")</f>
        <v/>
      </c>
      <c r="L807" s="508" t="str">
        <f>IFERROR(__xludf.DUMMYFUNCTION("""COMPUTED_VALUE"""),"")</f>
        <v/>
      </c>
      <c r="M807" s="508" t="str">
        <f>IFERROR(__xludf.DUMMYFUNCTION("""COMPUTED_VALUE"""),"")</f>
        <v/>
      </c>
      <c r="N807" s="508" t="str">
        <f>IFERROR(__xludf.DUMMYFUNCTION("""COMPUTED_VALUE"""),"")</f>
        <v/>
      </c>
      <c r="O807" s="508" t="str">
        <f>IFERROR(__xludf.DUMMYFUNCTION("""COMPUTED_VALUE"""),"")</f>
        <v/>
      </c>
      <c r="P807" s="510" t="str">
        <f>IFERROR(__xludf.DUMMYFUNCTION("""COMPUTED_VALUE"""),"")</f>
        <v/>
      </c>
      <c r="Q807" s="508" t="str">
        <f>IFERROR(__xludf.DUMMYFUNCTION("""COMPUTED_VALUE"""),"")</f>
        <v/>
      </c>
      <c r="R807" s="508" t="str">
        <f>IFERROR(__xludf.DUMMYFUNCTION("""COMPUTED_VALUE"""),"")</f>
        <v/>
      </c>
      <c r="S807" s="510" t="str">
        <f>IFERROR(__xludf.DUMMYFUNCTION("""COMPUTED_VALUE"""),"")</f>
        <v/>
      </c>
      <c r="T807" s="510" t="str">
        <f>IFERROR(__xludf.DUMMYFUNCTION("""COMPUTED_VALUE"""),"")</f>
        <v/>
      </c>
    </row>
    <row r="808">
      <c r="A808" s="508" t="str">
        <f>IFERROR(__xludf.DUMMYFUNCTION("""COMPUTED_VALUE"""),"")</f>
        <v/>
      </c>
      <c r="B808" s="508" t="str">
        <f>IFERROR(__xludf.DUMMYFUNCTION("""COMPUTED_VALUE"""),"")</f>
        <v/>
      </c>
      <c r="C808" s="508" t="str">
        <f>IFERROR(__xludf.DUMMYFUNCTION("""COMPUTED_VALUE"""),"")</f>
        <v/>
      </c>
      <c r="D808" s="508" t="str">
        <f>IFERROR(__xludf.DUMMYFUNCTION("""COMPUTED_VALUE"""),"")</f>
        <v/>
      </c>
      <c r="E808" s="508" t="str">
        <f>IFERROR(__xludf.DUMMYFUNCTION("""COMPUTED_VALUE"""),"")</f>
        <v/>
      </c>
      <c r="F808" s="508" t="str">
        <f>IFERROR(__xludf.DUMMYFUNCTION("""COMPUTED_VALUE"""),"")</f>
        <v/>
      </c>
      <c r="G808" s="510" t="str">
        <f>IFERROR(__xludf.DUMMYFUNCTION("""COMPUTED_VALUE"""),"")</f>
        <v/>
      </c>
      <c r="H808" s="508" t="str">
        <f>IFERROR(__xludf.DUMMYFUNCTION("""COMPUTED_VALUE"""),"")</f>
        <v/>
      </c>
      <c r="I808" s="510" t="str">
        <f>IFERROR(__xludf.DUMMYFUNCTION("""COMPUTED_VALUE"""),"")</f>
        <v/>
      </c>
      <c r="J808" s="508" t="str">
        <f>IFERROR(__xludf.DUMMYFUNCTION("""COMPUTED_VALUE"""),"")</f>
        <v/>
      </c>
      <c r="K808" s="510" t="str">
        <f>IFERROR(__xludf.DUMMYFUNCTION("""COMPUTED_VALUE"""),"")</f>
        <v/>
      </c>
      <c r="L808" s="508" t="str">
        <f>IFERROR(__xludf.DUMMYFUNCTION("""COMPUTED_VALUE"""),"")</f>
        <v/>
      </c>
      <c r="M808" s="508" t="str">
        <f>IFERROR(__xludf.DUMMYFUNCTION("""COMPUTED_VALUE"""),"")</f>
        <v/>
      </c>
      <c r="N808" s="508" t="str">
        <f>IFERROR(__xludf.DUMMYFUNCTION("""COMPUTED_VALUE"""),"")</f>
        <v/>
      </c>
      <c r="O808" s="508" t="str">
        <f>IFERROR(__xludf.DUMMYFUNCTION("""COMPUTED_VALUE"""),"")</f>
        <v/>
      </c>
      <c r="P808" s="510" t="str">
        <f>IFERROR(__xludf.DUMMYFUNCTION("""COMPUTED_VALUE"""),"")</f>
        <v/>
      </c>
      <c r="Q808" s="508" t="str">
        <f>IFERROR(__xludf.DUMMYFUNCTION("""COMPUTED_VALUE"""),"")</f>
        <v/>
      </c>
      <c r="R808" s="508" t="str">
        <f>IFERROR(__xludf.DUMMYFUNCTION("""COMPUTED_VALUE"""),"")</f>
        <v/>
      </c>
      <c r="S808" s="510" t="str">
        <f>IFERROR(__xludf.DUMMYFUNCTION("""COMPUTED_VALUE"""),"")</f>
        <v/>
      </c>
      <c r="T808" s="510" t="str">
        <f>IFERROR(__xludf.DUMMYFUNCTION("""COMPUTED_VALUE"""),"")</f>
        <v/>
      </c>
    </row>
    <row r="809">
      <c r="A809" s="508" t="str">
        <f>IFERROR(__xludf.DUMMYFUNCTION("""COMPUTED_VALUE"""),"")</f>
        <v/>
      </c>
      <c r="B809" s="508" t="str">
        <f>IFERROR(__xludf.DUMMYFUNCTION("""COMPUTED_VALUE"""),"")</f>
        <v/>
      </c>
      <c r="C809" s="508" t="str">
        <f>IFERROR(__xludf.DUMMYFUNCTION("""COMPUTED_VALUE"""),"")</f>
        <v/>
      </c>
      <c r="D809" s="508" t="str">
        <f>IFERROR(__xludf.DUMMYFUNCTION("""COMPUTED_VALUE"""),"")</f>
        <v/>
      </c>
      <c r="E809" s="508" t="str">
        <f>IFERROR(__xludf.DUMMYFUNCTION("""COMPUTED_VALUE"""),"")</f>
        <v/>
      </c>
      <c r="F809" s="508" t="str">
        <f>IFERROR(__xludf.DUMMYFUNCTION("""COMPUTED_VALUE"""),"")</f>
        <v/>
      </c>
      <c r="G809" s="510" t="str">
        <f>IFERROR(__xludf.DUMMYFUNCTION("""COMPUTED_VALUE"""),"")</f>
        <v/>
      </c>
      <c r="H809" s="508" t="str">
        <f>IFERROR(__xludf.DUMMYFUNCTION("""COMPUTED_VALUE"""),"")</f>
        <v/>
      </c>
      <c r="I809" s="510" t="str">
        <f>IFERROR(__xludf.DUMMYFUNCTION("""COMPUTED_VALUE"""),"")</f>
        <v/>
      </c>
      <c r="J809" s="508" t="str">
        <f>IFERROR(__xludf.DUMMYFUNCTION("""COMPUTED_VALUE"""),"")</f>
        <v/>
      </c>
      <c r="K809" s="510" t="str">
        <f>IFERROR(__xludf.DUMMYFUNCTION("""COMPUTED_VALUE"""),"")</f>
        <v/>
      </c>
      <c r="L809" s="508" t="str">
        <f>IFERROR(__xludf.DUMMYFUNCTION("""COMPUTED_VALUE"""),"")</f>
        <v/>
      </c>
      <c r="M809" s="508" t="str">
        <f>IFERROR(__xludf.DUMMYFUNCTION("""COMPUTED_VALUE"""),"")</f>
        <v/>
      </c>
      <c r="N809" s="508" t="str">
        <f>IFERROR(__xludf.DUMMYFUNCTION("""COMPUTED_VALUE"""),"")</f>
        <v/>
      </c>
      <c r="O809" s="508" t="str">
        <f>IFERROR(__xludf.DUMMYFUNCTION("""COMPUTED_VALUE"""),"")</f>
        <v/>
      </c>
      <c r="P809" s="510" t="str">
        <f>IFERROR(__xludf.DUMMYFUNCTION("""COMPUTED_VALUE"""),"")</f>
        <v/>
      </c>
      <c r="Q809" s="508" t="str">
        <f>IFERROR(__xludf.DUMMYFUNCTION("""COMPUTED_VALUE"""),"")</f>
        <v/>
      </c>
      <c r="R809" s="508" t="str">
        <f>IFERROR(__xludf.DUMMYFUNCTION("""COMPUTED_VALUE"""),"")</f>
        <v/>
      </c>
      <c r="S809" s="510" t="str">
        <f>IFERROR(__xludf.DUMMYFUNCTION("""COMPUTED_VALUE"""),"")</f>
        <v/>
      </c>
      <c r="T809" s="510" t="str">
        <f>IFERROR(__xludf.DUMMYFUNCTION("""COMPUTED_VALUE"""),"")</f>
        <v/>
      </c>
    </row>
    <row r="810">
      <c r="A810" s="508" t="str">
        <f>IFERROR(__xludf.DUMMYFUNCTION("""COMPUTED_VALUE"""),"")</f>
        <v/>
      </c>
      <c r="B810" s="508" t="str">
        <f>IFERROR(__xludf.DUMMYFUNCTION("""COMPUTED_VALUE"""),"")</f>
        <v/>
      </c>
      <c r="C810" s="508" t="str">
        <f>IFERROR(__xludf.DUMMYFUNCTION("""COMPUTED_VALUE"""),"")</f>
        <v/>
      </c>
      <c r="D810" s="508" t="str">
        <f>IFERROR(__xludf.DUMMYFUNCTION("""COMPUTED_VALUE"""),"")</f>
        <v/>
      </c>
      <c r="E810" s="508" t="str">
        <f>IFERROR(__xludf.DUMMYFUNCTION("""COMPUTED_VALUE"""),"")</f>
        <v/>
      </c>
      <c r="F810" s="508" t="str">
        <f>IFERROR(__xludf.DUMMYFUNCTION("""COMPUTED_VALUE"""),"")</f>
        <v/>
      </c>
      <c r="G810" s="510" t="str">
        <f>IFERROR(__xludf.DUMMYFUNCTION("""COMPUTED_VALUE"""),"")</f>
        <v/>
      </c>
      <c r="H810" s="508" t="str">
        <f>IFERROR(__xludf.DUMMYFUNCTION("""COMPUTED_VALUE"""),"")</f>
        <v/>
      </c>
      <c r="I810" s="510" t="str">
        <f>IFERROR(__xludf.DUMMYFUNCTION("""COMPUTED_VALUE"""),"")</f>
        <v/>
      </c>
      <c r="J810" s="508" t="str">
        <f>IFERROR(__xludf.DUMMYFUNCTION("""COMPUTED_VALUE"""),"")</f>
        <v/>
      </c>
      <c r="K810" s="510" t="str">
        <f>IFERROR(__xludf.DUMMYFUNCTION("""COMPUTED_VALUE"""),"")</f>
        <v/>
      </c>
      <c r="L810" s="508" t="str">
        <f>IFERROR(__xludf.DUMMYFUNCTION("""COMPUTED_VALUE"""),"")</f>
        <v/>
      </c>
      <c r="M810" s="508" t="str">
        <f>IFERROR(__xludf.DUMMYFUNCTION("""COMPUTED_VALUE"""),"")</f>
        <v/>
      </c>
      <c r="N810" s="508" t="str">
        <f>IFERROR(__xludf.DUMMYFUNCTION("""COMPUTED_VALUE"""),"")</f>
        <v/>
      </c>
      <c r="O810" s="508" t="str">
        <f>IFERROR(__xludf.DUMMYFUNCTION("""COMPUTED_VALUE"""),"")</f>
        <v/>
      </c>
      <c r="P810" s="510" t="str">
        <f>IFERROR(__xludf.DUMMYFUNCTION("""COMPUTED_VALUE"""),"")</f>
        <v/>
      </c>
      <c r="Q810" s="508" t="str">
        <f>IFERROR(__xludf.DUMMYFUNCTION("""COMPUTED_VALUE"""),"")</f>
        <v/>
      </c>
      <c r="R810" s="508" t="str">
        <f>IFERROR(__xludf.DUMMYFUNCTION("""COMPUTED_VALUE"""),"")</f>
        <v/>
      </c>
      <c r="S810" s="510" t="str">
        <f>IFERROR(__xludf.DUMMYFUNCTION("""COMPUTED_VALUE"""),"")</f>
        <v/>
      </c>
      <c r="T810" s="510" t="str">
        <f>IFERROR(__xludf.DUMMYFUNCTION("""COMPUTED_VALUE"""),"")</f>
        <v/>
      </c>
    </row>
    <row r="811">
      <c r="A811" s="508" t="str">
        <f>IFERROR(__xludf.DUMMYFUNCTION("""COMPUTED_VALUE"""),"")</f>
        <v/>
      </c>
      <c r="B811" s="508" t="str">
        <f>IFERROR(__xludf.DUMMYFUNCTION("""COMPUTED_VALUE"""),"")</f>
        <v/>
      </c>
      <c r="C811" s="508" t="str">
        <f>IFERROR(__xludf.DUMMYFUNCTION("""COMPUTED_VALUE"""),"")</f>
        <v/>
      </c>
      <c r="D811" s="508" t="str">
        <f>IFERROR(__xludf.DUMMYFUNCTION("""COMPUTED_VALUE"""),"")</f>
        <v/>
      </c>
      <c r="E811" s="508" t="str">
        <f>IFERROR(__xludf.DUMMYFUNCTION("""COMPUTED_VALUE"""),"")</f>
        <v/>
      </c>
      <c r="F811" s="508" t="str">
        <f>IFERROR(__xludf.DUMMYFUNCTION("""COMPUTED_VALUE"""),"")</f>
        <v/>
      </c>
      <c r="G811" s="510" t="str">
        <f>IFERROR(__xludf.DUMMYFUNCTION("""COMPUTED_VALUE"""),"")</f>
        <v/>
      </c>
      <c r="H811" s="508" t="str">
        <f>IFERROR(__xludf.DUMMYFUNCTION("""COMPUTED_VALUE"""),"")</f>
        <v/>
      </c>
      <c r="I811" s="510" t="str">
        <f>IFERROR(__xludf.DUMMYFUNCTION("""COMPUTED_VALUE"""),"")</f>
        <v/>
      </c>
      <c r="J811" s="508" t="str">
        <f>IFERROR(__xludf.DUMMYFUNCTION("""COMPUTED_VALUE"""),"")</f>
        <v/>
      </c>
      <c r="K811" s="510" t="str">
        <f>IFERROR(__xludf.DUMMYFUNCTION("""COMPUTED_VALUE"""),"")</f>
        <v/>
      </c>
      <c r="L811" s="508" t="str">
        <f>IFERROR(__xludf.DUMMYFUNCTION("""COMPUTED_VALUE"""),"")</f>
        <v/>
      </c>
      <c r="M811" s="508" t="str">
        <f>IFERROR(__xludf.DUMMYFUNCTION("""COMPUTED_VALUE"""),"")</f>
        <v/>
      </c>
      <c r="N811" s="508" t="str">
        <f>IFERROR(__xludf.DUMMYFUNCTION("""COMPUTED_VALUE"""),"")</f>
        <v/>
      </c>
      <c r="O811" s="508" t="str">
        <f>IFERROR(__xludf.DUMMYFUNCTION("""COMPUTED_VALUE"""),"")</f>
        <v/>
      </c>
      <c r="P811" s="510" t="str">
        <f>IFERROR(__xludf.DUMMYFUNCTION("""COMPUTED_VALUE"""),"")</f>
        <v/>
      </c>
      <c r="Q811" s="508" t="str">
        <f>IFERROR(__xludf.DUMMYFUNCTION("""COMPUTED_VALUE"""),"")</f>
        <v/>
      </c>
      <c r="R811" s="508" t="str">
        <f>IFERROR(__xludf.DUMMYFUNCTION("""COMPUTED_VALUE"""),"")</f>
        <v/>
      </c>
      <c r="S811" s="510" t="str">
        <f>IFERROR(__xludf.DUMMYFUNCTION("""COMPUTED_VALUE"""),"")</f>
        <v/>
      </c>
      <c r="T811" s="510" t="str">
        <f>IFERROR(__xludf.DUMMYFUNCTION("""COMPUTED_VALUE"""),"")</f>
        <v/>
      </c>
    </row>
    <row r="812">
      <c r="A812" s="508" t="str">
        <f>IFERROR(__xludf.DUMMYFUNCTION("""COMPUTED_VALUE"""),"")</f>
        <v/>
      </c>
      <c r="B812" s="508" t="str">
        <f>IFERROR(__xludf.DUMMYFUNCTION("""COMPUTED_VALUE"""),"")</f>
        <v/>
      </c>
      <c r="C812" s="508" t="str">
        <f>IFERROR(__xludf.DUMMYFUNCTION("""COMPUTED_VALUE"""),"")</f>
        <v/>
      </c>
      <c r="D812" s="508" t="str">
        <f>IFERROR(__xludf.DUMMYFUNCTION("""COMPUTED_VALUE"""),"")</f>
        <v/>
      </c>
      <c r="E812" s="508" t="str">
        <f>IFERROR(__xludf.DUMMYFUNCTION("""COMPUTED_VALUE"""),"")</f>
        <v/>
      </c>
      <c r="F812" s="508" t="str">
        <f>IFERROR(__xludf.DUMMYFUNCTION("""COMPUTED_VALUE"""),"")</f>
        <v/>
      </c>
      <c r="G812" s="510" t="str">
        <f>IFERROR(__xludf.DUMMYFUNCTION("""COMPUTED_VALUE"""),"")</f>
        <v/>
      </c>
      <c r="H812" s="508" t="str">
        <f>IFERROR(__xludf.DUMMYFUNCTION("""COMPUTED_VALUE"""),"")</f>
        <v/>
      </c>
      <c r="I812" s="510" t="str">
        <f>IFERROR(__xludf.DUMMYFUNCTION("""COMPUTED_VALUE"""),"")</f>
        <v/>
      </c>
      <c r="J812" s="508" t="str">
        <f>IFERROR(__xludf.DUMMYFUNCTION("""COMPUTED_VALUE"""),"")</f>
        <v/>
      </c>
      <c r="K812" s="510" t="str">
        <f>IFERROR(__xludf.DUMMYFUNCTION("""COMPUTED_VALUE"""),"")</f>
        <v/>
      </c>
      <c r="L812" s="508" t="str">
        <f>IFERROR(__xludf.DUMMYFUNCTION("""COMPUTED_VALUE"""),"")</f>
        <v/>
      </c>
      <c r="M812" s="508" t="str">
        <f>IFERROR(__xludf.DUMMYFUNCTION("""COMPUTED_VALUE"""),"")</f>
        <v/>
      </c>
      <c r="N812" s="508" t="str">
        <f>IFERROR(__xludf.DUMMYFUNCTION("""COMPUTED_VALUE"""),"")</f>
        <v/>
      </c>
      <c r="O812" s="508" t="str">
        <f>IFERROR(__xludf.DUMMYFUNCTION("""COMPUTED_VALUE"""),"")</f>
        <v/>
      </c>
      <c r="P812" s="510" t="str">
        <f>IFERROR(__xludf.DUMMYFUNCTION("""COMPUTED_VALUE"""),"")</f>
        <v/>
      </c>
      <c r="Q812" s="508" t="str">
        <f>IFERROR(__xludf.DUMMYFUNCTION("""COMPUTED_VALUE"""),"")</f>
        <v/>
      </c>
      <c r="R812" s="508" t="str">
        <f>IFERROR(__xludf.DUMMYFUNCTION("""COMPUTED_VALUE"""),"")</f>
        <v/>
      </c>
      <c r="S812" s="510" t="str">
        <f>IFERROR(__xludf.DUMMYFUNCTION("""COMPUTED_VALUE"""),"")</f>
        <v/>
      </c>
      <c r="T812" s="510" t="str">
        <f>IFERROR(__xludf.DUMMYFUNCTION("""COMPUTED_VALUE"""),"")</f>
        <v/>
      </c>
    </row>
    <row r="813">
      <c r="A813" s="508" t="str">
        <f>IFERROR(__xludf.DUMMYFUNCTION("""COMPUTED_VALUE"""),"")</f>
        <v/>
      </c>
      <c r="B813" s="508" t="str">
        <f>IFERROR(__xludf.DUMMYFUNCTION("""COMPUTED_VALUE"""),"")</f>
        <v/>
      </c>
      <c r="C813" s="508" t="str">
        <f>IFERROR(__xludf.DUMMYFUNCTION("""COMPUTED_VALUE"""),"")</f>
        <v/>
      </c>
      <c r="D813" s="508" t="str">
        <f>IFERROR(__xludf.DUMMYFUNCTION("""COMPUTED_VALUE"""),"")</f>
        <v/>
      </c>
      <c r="E813" s="508" t="str">
        <f>IFERROR(__xludf.DUMMYFUNCTION("""COMPUTED_VALUE"""),"")</f>
        <v/>
      </c>
      <c r="F813" s="508" t="str">
        <f>IFERROR(__xludf.DUMMYFUNCTION("""COMPUTED_VALUE"""),"")</f>
        <v/>
      </c>
      <c r="G813" s="510" t="str">
        <f>IFERROR(__xludf.DUMMYFUNCTION("""COMPUTED_VALUE"""),"")</f>
        <v/>
      </c>
      <c r="H813" s="508" t="str">
        <f>IFERROR(__xludf.DUMMYFUNCTION("""COMPUTED_VALUE"""),"")</f>
        <v/>
      </c>
      <c r="I813" s="510" t="str">
        <f>IFERROR(__xludf.DUMMYFUNCTION("""COMPUTED_VALUE"""),"")</f>
        <v/>
      </c>
      <c r="J813" s="508" t="str">
        <f>IFERROR(__xludf.DUMMYFUNCTION("""COMPUTED_VALUE"""),"")</f>
        <v/>
      </c>
      <c r="K813" s="510" t="str">
        <f>IFERROR(__xludf.DUMMYFUNCTION("""COMPUTED_VALUE"""),"")</f>
        <v/>
      </c>
      <c r="L813" s="508" t="str">
        <f>IFERROR(__xludf.DUMMYFUNCTION("""COMPUTED_VALUE"""),"")</f>
        <v/>
      </c>
      <c r="M813" s="508" t="str">
        <f>IFERROR(__xludf.DUMMYFUNCTION("""COMPUTED_VALUE"""),"")</f>
        <v/>
      </c>
      <c r="N813" s="508" t="str">
        <f>IFERROR(__xludf.DUMMYFUNCTION("""COMPUTED_VALUE"""),"")</f>
        <v/>
      </c>
      <c r="O813" s="508" t="str">
        <f>IFERROR(__xludf.DUMMYFUNCTION("""COMPUTED_VALUE"""),"")</f>
        <v/>
      </c>
      <c r="P813" s="510" t="str">
        <f>IFERROR(__xludf.DUMMYFUNCTION("""COMPUTED_VALUE"""),"")</f>
        <v/>
      </c>
      <c r="Q813" s="508" t="str">
        <f>IFERROR(__xludf.DUMMYFUNCTION("""COMPUTED_VALUE"""),"")</f>
        <v/>
      </c>
      <c r="R813" s="508" t="str">
        <f>IFERROR(__xludf.DUMMYFUNCTION("""COMPUTED_VALUE"""),"")</f>
        <v/>
      </c>
      <c r="S813" s="510" t="str">
        <f>IFERROR(__xludf.DUMMYFUNCTION("""COMPUTED_VALUE"""),"")</f>
        <v/>
      </c>
      <c r="T813" s="510" t="str">
        <f>IFERROR(__xludf.DUMMYFUNCTION("""COMPUTED_VALUE"""),"")</f>
        <v/>
      </c>
    </row>
    <row r="814">
      <c r="A814" s="508" t="str">
        <f>IFERROR(__xludf.DUMMYFUNCTION("""COMPUTED_VALUE"""),"")</f>
        <v/>
      </c>
      <c r="B814" s="508" t="str">
        <f>IFERROR(__xludf.DUMMYFUNCTION("""COMPUTED_VALUE"""),"")</f>
        <v/>
      </c>
      <c r="C814" s="508" t="str">
        <f>IFERROR(__xludf.DUMMYFUNCTION("""COMPUTED_VALUE"""),"")</f>
        <v/>
      </c>
      <c r="D814" s="508" t="str">
        <f>IFERROR(__xludf.DUMMYFUNCTION("""COMPUTED_VALUE"""),"")</f>
        <v/>
      </c>
      <c r="E814" s="508" t="str">
        <f>IFERROR(__xludf.DUMMYFUNCTION("""COMPUTED_VALUE"""),"")</f>
        <v/>
      </c>
      <c r="F814" s="508" t="str">
        <f>IFERROR(__xludf.DUMMYFUNCTION("""COMPUTED_VALUE"""),"")</f>
        <v/>
      </c>
      <c r="G814" s="510" t="str">
        <f>IFERROR(__xludf.DUMMYFUNCTION("""COMPUTED_VALUE"""),"")</f>
        <v/>
      </c>
      <c r="H814" s="508" t="str">
        <f>IFERROR(__xludf.DUMMYFUNCTION("""COMPUTED_VALUE"""),"")</f>
        <v/>
      </c>
      <c r="I814" s="510" t="str">
        <f>IFERROR(__xludf.DUMMYFUNCTION("""COMPUTED_VALUE"""),"")</f>
        <v/>
      </c>
      <c r="J814" s="508" t="str">
        <f>IFERROR(__xludf.DUMMYFUNCTION("""COMPUTED_VALUE"""),"")</f>
        <v/>
      </c>
      <c r="K814" s="510" t="str">
        <f>IFERROR(__xludf.DUMMYFUNCTION("""COMPUTED_VALUE"""),"")</f>
        <v/>
      </c>
      <c r="L814" s="508" t="str">
        <f>IFERROR(__xludf.DUMMYFUNCTION("""COMPUTED_VALUE"""),"")</f>
        <v/>
      </c>
      <c r="M814" s="508" t="str">
        <f>IFERROR(__xludf.DUMMYFUNCTION("""COMPUTED_VALUE"""),"")</f>
        <v/>
      </c>
      <c r="N814" s="508" t="str">
        <f>IFERROR(__xludf.DUMMYFUNCTION("""COMPUTED_VALUE"""),"")</f>
        <v/>
      </c>
      <c r="O814" s="508" t="str">
        <f>IFERROR(__xludf.DUMMYFUNCTION("""COMPUTED_VALUE"""),"")</f>
        <v/>
      </c>
      <c r="P814" s="510" t="str">
        <f>IFERROR(__xludf.DUMMYFUNCTION("""COMPUTED_VALUE"""),"")</f>
        <v/>
      </c>
      <c r="Q814" s="508" t="str">
        <f>IFERROR(__xludf.DUMMYFUNCTION("""COMPUTED_VALUE"""),"")</f>
        <v/>
      </c>
      <c r="R814" s="508" t="str">
        <f>IFERROR(__xludf.DUMMYFUNCTION("""COMPUTED_VALUE"""),"")</f>
        <v/>
      </c>
      <c r="S814" s="510" t="str">
        <f>IFERROR(__xludf.DUMMYFUNCTION("""COMPUTED_VALUE"""),"")</f>
        <v/>
      </c>
      <c r="T814" s="510" t="str">
        <f>IFERROR(__xludf.DUMMYFUNCTION("""COMPUTED_VALUE"""),"")</f>
        <v/>
      </c>
    </row>
    <row r="815">
      <c r="A815" s="508" t="str">
        <f>IFERROR(__xludf.DUMMYFUNCTION("""COMPUTED_VALUE"""),"")</f>
        <v/>
      </c>
      <c r="B815" s="508" t="str">
        <f>IFERROR(__xludf.DUMMYFUNCTION("""COMPUTED_VALUE"""),"")</f>
        <v/>
      </c>
      <c r="C815" s="508" t="str">
        <f>IFERROR(__xludf.DUMMYFUNCTION("""COMPUTED_VALUE"""),"")</f>
        <v/>
      </c>
      <c r="D815" s="508" t="str">
        <f>IFERROR(__xludf.DUMMYFUNCTION("""COMPUTED_VALUE"""),"")</f>
        <v/>
      </c>
      <c r="E815" s="508" t="str">
        <f>IFERROR(__xludf.DUMMYFUNCTION("""COMPUTED_VALUE"""),"")</f>
        <v/>
      </c>
      <c r="F815" s="508" t="str">
        <f>IFERROR(__xludf.DUMMYFUNCTION("""COMPUTED_VALUE"""),"")</f>
        <v/>
      </c>
      <c r="G815" s="510" t="str">
        <f>IFERROR(__xludf.DUMMYFUNCTION("""COMPUTED_VALUE"""),"")</f>
        <v/>
      </c>
      <c r="H815" s="508" t="str">
        <f>IFERROR(__xludf.DUMMYFUNCTION("""COMPUTED_VALUE"""),"")</f>
        <v/>
      </c>
      <c r="I815" s="510" t="str">
        <f>IFERROR(__xludf.DUMMYFUNCTION("""COMPUTED_VALUE"""),"")</f>
        <v/>
      </c>
      <c r="J815" s="508" t="str">
        <f>IFERROR(__xludf.DUMMYFUNCTION("""COMPUTED_VALUE"""),"")</f>
        <v/>
      </c>
      <c r="K815" s="510" t="str">
        <f>IFERROR(__xludf.DUMMYFUNCTION("""COMPUTED_VALUE"""),"")</f>
        <v/>
      </c>
      <c r="L815" s="508" t="str">
        <f>IFERROR(__xludf.DUMMYFUNCTION("""COMPUTED_VALUE"""),"")</f>
        <v/>
      </c>
      <c r="M815" s="508" t="str">
        <f>IFERROR(__xludf.DUMMYFUNCTION("""COMPUTED_VALUE"""),"")</f>
        <v/>
      </c>
      <c r="N815" s="508" t="str">
        <f>IFERROR(__xludf.DUMMYFUNCTION("""COMPUTED_VALUE"""),"")</f>
        <v/>
      </c>
      <c r="O815" s="508" t="str">
        <f>IFERROR(__xludf.DUMMYFUNCTION("""COMPUTED_VALUE"""),"")</f>
        <v/>
      </c>
      <c r="P815" s="510" t="str">
        <f>IFERROR(__xludf.DUMMYFUNCTION("""COMPUTED_VALUE"""),"")</f>
        <v/>
      </c>
      <c r="Q815" s="508" t="str">
        <f>IFERROR(__xludf.DUMMYFUNCTION("""COMPUTED_VALUE"""),"")</f>
        <v/>
      </c>
      <c r="R815" s="508" t="str">
        <f>IFERROR(__xludf.DUMMYFUNCTION("""COMPUTED_VALUE"""),"")</f>
        <v/>
      </c>
      <c r="S815" s="510" t="str">
        <f>IFERROR(__xludf.DUMMYFUNCTION("""COMPUTED_VALUE"""),"")</f>
        <v/>
      </c>
      <c r="T815" s="510" t="str">
        <f>IFERROR(__xludf.DUMMYFUNCTION("""COMPUTED_VALUE"""),"")</f>
        <v/>
      </c>
    </row>
    <row r="816">
      <c r="A816" s="508" t="str">
        <f>IFERROR(__xludf.DUMMYFUNCTION("""COMPUTED_VALUE"""),"")</f>
        <v/>
      </c>
      <c r="B816" s="508" t="str">
        <f>IFERROR(__xludf.DUMMYFUNCTION("""COMPUTED_VALUE"""),"")</f>
        <v/>
      </c>
      <c r="C816" s="508" t="str">
        <f>IFERROR(__xludf.DUMMYFUNCTION("""COMPUTED_VALUE"""),"")</f>
        <v/>
      </c>
      <c r="D816" s="508" t="str">
        <f>IFERROR(__xludf.DUMMYFUNCTION("""COMPUTED_VALUE"""),"")</f>
        <v/>
      </c>
      <c r="E816" s="508" t="str">
        <f>IFERROR(__xludf.DUMMYFUNCTION("""COMPUTED_VALUE"""),"")</f>
        <v/>
      </c>
      <c r="F816" s="508" t="str">
        <f>IFERROR(__xludf.DUMMYFUNCTION("""COMPUTED_VALUE"""),"")</f>
        <v/>
      </c>
      <c r="G816" s="510" t="str">
        <f>IFERROR(__xludf.DUMMYFUNCTION("""COMPUTED_VALUE"""),"")</f>
        <v/>
      </c>
      <c r="H816" s="508" t="str">
        <f>IFERROR(__xludf.DUMMYFUNCTION("""COMPUTED_VALUE"""),"")</f>
        <v/>
      </c>
      <c r="I816" s="510" t="str">
        <f>IFERROR(__xludf.DUMMYFUNCTION("""COMPUTED_VALUE"""),"")</f>
        <v/>
      </c>
      <c r="J816" s="508" t="str">
        <f>IFERROR(__xludf.DUMMYFUNCTION("""COMPUTED_VALUE"""),"")</f>
        <v/>
      </c>
      <c r="K816" s="510" t="str">
        <f>IFERROR(__xludf.DUMMYFUNCTION("""COMPUTED_VALUE"""),"")</f>
        <v/>
      </c>
      <c r="L816" s="508" t="str">
        <f>IFERROR(__xludf.DUMMYFUNCTION("""COMPUTED_VALUE"""),"")</f>
        <v/>
      </c>
      <c r="M816" s="508" t="str">
        <f>IFERROR(__xludf.DUMMYFUNCTION("""COMPUTED_VALUE"""),"")</f>
        <v/>
      </c>
      <c r="N816" s="508" t="str">
        <f>IFERROR(__xludf.DUMMYFUNCTION("""COMPUTED_VALUE"""),"")</f>
        <v/>
      </c>
      <c r="O816" s="508" t="str">
        <f>IFERROR(__xludf.DUMMYFUNCTION("""COMPUTED_VALUE"""),"")</f>
        <v/>
      </c>
      <c r="P816" s="510" t="str">
        <f>IFERROR(__xludf.DUMMYFUNCTION("""COMPUTED_VALUE"""),"")</f>
        <v/>
      </c>
      <c r="Q816" s="508" t="str">
        <f>IFERROR(__xludf.DUMMYFUNCTION("""COMPUTED_VALUE"""),"")</f>
        <v/>
      </c>
      <c r="R816" s="508" t="str">
        <f>IFERROR(__xludf.DUMMYFUNCTION("""COMPUTED_VALUE"""),"")</f>
        <v/>
      </c>
      <c r="S816" s="510" t="str">
        <f>IFERROR(__xludf.DUMMYFUNCTION("""COMPUTED_VALUE"""),"")</f>
        <v/>
      </c>
      <c r="T816" s="510" t="str">
        <f>IFERROR(__xludf.DUMMYFUNCTION("""COMPUTED_VALUE"""),"")</f>
        <v/>
      </c>
    </row>
    <row r="817">
      <c r="A817" s="508" t="str">
        <f>IFERROR(__xludf.DUMMYFUNCTION("""COMPUTED_VALUE"""),"")</f>
        <v/>
      </c>
      <c r="B817" s="508" t="str">
        <f>IFERROR(__xludf.DUMMYFUNCTION("""COMPUTED_VALUE"""),"")</f>
        <v/>
      </c>
      <c r="C817" s="508" t="str">
        <f>IFERROR(__xludf.DUMMYFUNCTION("""COMPUTED_VALUE"""),"")</f>
        <v/>
      </c>
      <c r="D817" s="508" t="str">
        <f>IFERROR(__xludf.DUMMYFUNCTION("""COMPUTED_VALUE"""),"")</f>
        <v/>
      </c>
      <c r="E817" s="508" t="str">
        <f>IFERROR(__xludf.DUMMYFUNCTION("""COMPUTED_VALUE"""),"")</f>
        <v/>
      </c>
      <c r="F817" s="508" t="str">
        <f>IFERROR(__xludf.DUMMYFUNCTION("""COMPUTED_VALUE"""),"")</f>
        <v/>
      </c>
      <c r="G817" s="510" t="str">
        <f>IFERROR(__xludf.DUMMYFUNCTION("""COMPUTED_VALUE"""),"")</f>
        <v/>
      </c>
      <c r="H817" s="508" t="str">
        <f>IFERROR(__xludf.DUMMYFUNCTION("""COMPUTED_VALUE"""),"")</f>
        <v/>
      </c>
      <c r="I817" s="510" t="str">
        <f>IFERROR(__xludf.DUMMYFUNCTION("""COMPUTED_VALUE"""),"")</f>
        <v/>
      </c>
      <c r="J817" s="508" t="str">
        <f>IFERROR(__xludf.DUMMYFUNCTION("""COMPUTED_VALUE"""),"")</f>
        <v/>
      </c>
      <c r="K817" s="510" t="str">
        <f>IFERROR(__xludf.DUMMYFUNCTION("""COMPUTED_VALUE"""),"")</f>
        <v/>
      </c>
      <c r="L817" s="508" t="str">
        <f>IFERROR(__xludf.DUMMYFUNCTION("""COMPUTED_VALUE"""),"")</f>
        <v/>
      </c>
      <c r="M817" s="508" t="str">
        <f>IFERROR(__xludf.DUMMYFUNCTION("""COMPUTED_VALUE"""),"")</f>
        <v/>
      </c>
      <c r="N817" s="508" t="str">
        <f>IFERROR(__xludf.DUMMYFUNCTION("""COMPUTED_VALUE"""),"")</f>
        <v/>
      </c>
      <c r="O817" s="508" t="str">
        <f>IFERROR(__xludf.DUMMYFUNCTION("""COMPUTED_VALUE"""),"")</f>
        <v/>
      </c>
      <c r="P817" s="510" t="str">
        <f>IFERROR(__xludf.DUMMYFUNCTION("""COMPUTED_VALUE"""),"")</f>
        <v/>
      </c>
      <c r="Q817" s="508" t="str">
        <f>IFERROR(__xludf.DUMMYFUNCTION("""COMPUTED_VALUE"""),"")</f>
        <v/>
      </c>
      <c r="R817" s="508" t="str">
        <f>IFERROR(__xludf.DUMMYFUNCTION("""COMPUTED_VALUE"""),"")</f>
        <v/>
      </c>
      <c r="S817" s="510" t="str">
        <f>IFERROR(__xludf.DUMMYFUNCTION("""COMPUTED_VALUE"""),"")</f>
        <v/>
      </c>
      <c r="T817" s="510" t="str">
        <f>IFERROR(__xludf.DUMMYFUNCTION("""COMPUTED_VALUE"""),"")</f>
        <v/>
      </c>
    </row>
    <row r="818">
      <c r="A818" s="508" t="str">
        <f>IFERROR(__xludf.DUMMYFUNCTION("""COMPUTED_VALUE"""),"")</f>
        <v/>
      </c>
      <c r="B818" s="508" t="str">
        <f>IFERROR(__xludf.DUMMYFUNCTION("""COMPUTED_VALUE"""),"")</f>
        <v/>
      </c>
      <c r="C818" s="508" t="str">
        <f>IFERROR(__xludf.DUMMYFUNCTION("""COMPUTED_VALUE"""),"")</f>
        <v/>
      </c>
      <c r="D818" s="508" t="str">
        <f>IFERROR(__xludf.DUMMYFUNCTION("""COMPUTED_VALUE"""),"")</f>
        <v/>
      </c>
      <c r="E818" s="508" t="str">
        <f>IFERROR(__xludf.DUMMYFUNCTION("""COMPUTED_VALUE"""),"")</f>
        <v/>
      </c>
      <c r="F818" s="508" t="str">
        <f>IFERROR(__xludf.DUMMYFUNCTION("""COMPUTED_VALUE"""),"")</f>
        <v/>
      </c>
      <c r="G818" s="510" t="str">
        <f>IFERROR(__xludf.DUMMYFUNCTION("""COMPUTED_VALUE"""),"")</f>
        <v/>
      </c>
      <c r="H818" s="508" t="str">
        <f>IFERROR(__xludf.DUMMYFUNCTION("""COMPUTED_VALUE"""),"")</f>
        <v/>
      </c>
      <c r="I818" s="510" t="str">
        <f>IFERROR(__xludf.DUMMYFUNCTION("""COMPUTED_VALUE"""),"")</f>
        <v/>
      </c>
      <c r="J818" s="508" t="str">
        <f>IFERROR(__xludf.DUMMYFUNCTION("""COMPUTED_VALUE"""),"")</f>
        <v/>
      </c>
      <c r="K818" s="510" t="str">
        <f>IFERROR(__xludf.DUMMYFUNCTION("""COMPUTED_VALUE"""),"")</f>
        <v/>
      </c>
      <c r="L818" s="508" t="str">
        <f>IFERROR(__xludf.DUMMYFUNCTION("""COMPUTED_VALUE"""),"")</f>
        <v/>
      </c>
      <c r="M818" s="508" t="str">
        <f>IFERROR(__xludf.DUMMYFUNCTION("""COMPUTED_VALUE"""),"")</f>
        <v/>
      </c>
      <c r="N818" s="508" t="str">
        <f>IFERROR(__xludf.DUMMYFUNCTION("""COMPUTED_VALUE"""),"")</f>
        <v/>
      </c>
      <c r="O818" s="508" t="str">
        <f>IFERROR(__xludf.DUMMYFUNCTION("""COMPUTED_VALUE"""),"")</f>
        <v/>
      </c>
      <c r="P818" s="510" t="str">
        <f>IFERROR(__xludf.DUMMYFUNCTION("""COMPUTED_VALUE"""),"")</f>
        <v/>
      </c>
      <c r="Q818" s="508" t="str">
        <f>IFERROR(__xludf.DUMMYFUNCTION("""COMPUTED_VALUE"""),"")</f>
        <v/>
      </c>
      <c r="R818" s="508" t="str">
        <f>IFERROR(__xludf.DUMMYFUNCTION("""COMPUTED_VALUE"""),"")</f>
        <v/>
      </c>
      <c r="S818" s="510" t="str">
        <f>IFERROR(__xludf.DUMMYFUNCTION("""COMPUTED_VALUE"""),"")</f>
        <v/>
      </c>
      <c r="T818" s="510" t="str">
        <f>IFERROR(__xludf.DUMMYFUNCTION("""COMPUTED_VALUE"""),"")</f>
        <v/>
      </c>
    </row>
    <row r="819">
      <c r="A819" s="508" t="str">
        <f>IFERROR(__xludf.DUMMYFUNCTION("""COMPUTED_VALUE"""),"")</f>
        <v/>
      </c>
      <c r="B819" s="508" t="str">
        <f>IFERROR(__xludf.DUMMYFUNCTION("""COMPUTED_VALUE"""),"")</f>
        <v/>
      </c>
      <c r="C819" s="508" t="str">
        <f>IFERROR(__xludf.DUMMYFUNCTION("""COMPUTED_VALUE"""),"")</f>
        <v/>
      </c>
      <c r="D819" s="508" t="str">
        <f>IFERROR(__xludf.DUMMYFUNCTION("""COMPUTED_VALUE"""),"")</f>
        <v/>
      </c>
      <c r="E819" s="508" t="str">
        <f>IFERROR(__xludf.DUMMYFUNCTION("""COMPUTED_VALUE"""),"")</f>
        <v/>
      </c>
      <c r="F819" s="508" t="str">
        <f>IFERROR(__xludf.DUMMYFUNCTION("""COMPUTED_VALUE"""),"")</f>
        <v/>
      </c>
      <c r="G819" s="510" t="str">
        <f>IFERROR(__xludf.DUMMYFUNCTION("""COMPUTED_VALUE"""),"")</f>
        <v/>
      </c>
      <c r="H819" s="508" t="str">
        <f>IFERROR(__xludf.DUMMYFUNCTION("""COMPUTED_VALUE"""),"")</f>
        <v/>
      </c>
      <c r="I819" s="510" t="str">
        <f>IFERROR(__xludf.DUMMYFUNCTION("""COMPUTED_VALUE"""),"")</f>
        <v/>
      </c>
      <c r="J819" s="508" t="str">
        <f>IFERROR(__xludf.DUMMYFUNCTION("""COMPUTED_VALUE"""),"")</f>
        <v/>
      </c>
      <c r="K819" s="510" t="str">
        <f>IFERROR(__xludf.DUMMYFUNCTION("""COMPUTED_VALUE"""),"")</f>
        <v/>
      </c>
      <c r="L819" s="508" t="str">
        <f>IFERROR(__xludf.DUMMYFUNCTION("""COMPUTED_VALUE"""),"")</f>
        <v/>
      </c>
      <c r="M819" s="508" t="str">
        <f>IFERROR(__xludf.DUMMYFUNCTION("""COMPUTED_VALUE"""),"")</f>
        <v/>
      </c>
      <c r="N819" s="508" t="str">
        <f>IFERROR(__xludf.DUMMYFUNCTION("""COMPUTED_VALUE"""),"")</f>
        <v/>
      </c>
      <c r="O819" s="508" t="str">
        <f>IFERROR(__xludf.DUMMYFUNCTION("""COMPUTED_VALUE"""),"")</f>
        <v/>
      </c>
      <c r="P819" s="510" t="str">
        <f>IFERROR(__xludf.DUMMYFUNCTION("""COMPUTED_VALUE"""),"")</f>
        <v/>
      </c>
      <c r="Q819" s="508" t="str">
        <f>IFERROR(__xludf.DUMMYFUNCTION("""COMPUTED_VALUE"""),"")</f>
        <v/>
      </c>
      <c r="R819" s="508" t="str">
        <f>IFERROR(__xludf.DUMMYFUNCTION("""COMPUTED_VALUE"""),"")</f>
        <v/>
      </c>
      <c r="S819" s="510" t="str">
        <f>IFERROR(__xludf.DUMMYFUNCTION("""COMPUTED_VALUE"""),"")</f>
        <v/>
      </c>
      <c r="T819" s="510" t="str">
        <f>IFERROR(__xludf.DUMMYFUNCTION("""COMPUTED_VALUE"""),"")</f>
        <v/>
      </c>
    </row>
    <row r="820">
      <c r="A820" s="508" t="str">
        <f>IFERROR(__xludf.DUMMYFUNCTION("""COMPUTED_VALUE"""),"")</f>
        <v/>
      </c>
      <c r="B820" s="508" t="str">
        <f>IFERROR(__xludf.DUMMYFUNCTION("""COMPUTED_VALUE"""),"")</f>
        <v/>
      </c>
      <c r="C820" s="508" t="str">
        <f>IFERROR(__xludf.DUMMYFUNCTION("""COMPUTED_VALUE"""),"")</f>
        <v/>
      </c>
      <c r="D820" s="508" t="str">
        <f>IFERROR(__xludf.DUMMYFUNCTION("""COMPUTED_VALUE"""),"")</f>
        <v/>
      </c>
      <c r="E820" s="508" t="str">
        <f>IFERROR(__xludf.DUMMYFUNCTION("""COMPUTED_VALUE"""),"")</f>
        <v/>
      </c>
      <c r="F820" s="508" t="str">
        <f>IFERROR(__xludf.DUMMYFUNCTION("""COMPUTED_VALUE"""),"")</f>
        <v/>
      </c>
      <c r="G820" s="510" t="str">
        <f>IFERROR(__xludf.DUMMYFUNCTION("""COMPUTED_VALUE"""),"")</f>
        <v/>
      </c>
      <c r="H820" s="508" t="str">
        <f>IFERROR(__xludf.DUMMYFUNCTION("""COMPUTED_VALUE"""),"")</f>
        <v/>
      </c>
      <c r="I820" s="510" t="str">
        <f>IFERROR(__xludf.DUMMYFUNCTION("""COMPUTED_VALUE"""),"")</f>
        <v/>
      </c>
      <c r="J820" s="508" t="str">
        <f>IFERROR(__xludf.DUMMYFUNCTION("""COMPUTED_VALUE"""),"")</f>
        <v/>
      </c>
      <c r="K820" s="510" t="str">
        <f>IFERROR(__xludf.DUMMYFUNCTION("""COMPUTED_VALUE"""),"")</f>
        <v/>
      </c>
      <c r="L820" s="508" t="str">
        <f>IFERROR(__xludf.DUMMYFUNCTION("""COMPUTED_VALUE"""),"")</f>
        <v/>
      </c>
      <c r="M820" s="508" t="str">
        <f>IFERROR(__xludf.DUMMYFUNCTION("""COMPUTED_VALUE"""),"")</f>
        <v/>
      </c>
      <c r="N820" s="508" t="str">
        <f>IFERROR(__xludf.DUMMYFUNCTION("""COMPUTED_VALUE"""),"")</f>
        <v/>
      </c>
      <c r="O820" s="508" t="str">
        <f>IFERROR(__xludf.DUMMYFUNCTION("""COMPUTED_VALUE"""),"")</f>
        <v/>
      </c>
      <c r="P820" s="510" t="str">
        <f>IFERROR(__xludf.DUMMYFUNCTION("""COMPUTED_VALUE"""),"")</f>
        <v/>
      </c>
      <c r="Q820" s="508" t="str">
        <f>IFERROR(__xludf.DUMMYFUNCTION("""COMPUTED_VALUE"""),"")</f>
        <v/>
      </c>
      <c r="R820" s="508" t="str">
        <f>IFERROR(__xludf.DUMMYFUNCTION("""COMPUTED_VALUE"""),"")</f>
        <v/>
      </c>
      <c r="S820" s="510" t="str">
        <f>IFERROR(__xludf.DUMMYFUNCTION("""COMPUTED_VALUE"""),"")</f>
        <v/>
      </c>
      <c r="T820" s="510" t="str">
        <f>IFERROR(__xludf.DUMMYFUNCTION("""COMPUTED_VALUE"""),"")</f>
        <v/>
      </c>
    </row>
    <row r="821">
      <c r="A821" s="508" t="str">
        <f>IFERROR(__xludf.DUMMYFUNCTION("""COMPUTED_VALUE"""),"")</f>
        <v/>
      </c>
      <c r="B821" s="508" t="str">
        <f>IFERROR(__xludf.DUMMYFUNCTION("""COMPUTED_VALUE"""),"")</f>
        <v/>
      </c>
      <c r="C821" s="508" t="str">
        <f>IFERROR(__xludf.DUMMYFUNCTION("""COMPUTED_VALUE"""),"")</f>
        <v/>
      </c>
      <c r="D821" s="508" t="str">
        <f>IFERROR(__xludf.DUMMYFUNCTION("""COMPUTED_VALUE"""),"")</f>
        <v/>
      </c>
      <c r="E821" s="508" t="str">
        <f>IFERROR(__xludf.DUMMYFUNCTION("""COMPUTED_VALUE"""),"")</f>
        <v/>
      </c>
      <c r="F821" s="508" t="str">
        <f>IFERROR(__xludf.DUMMYFUNCTION("""COMPUTED_VALUE"""),"")</f>
        <v/>
      </c>
      <c r="G821" s="510" t="str">
        <f>IFERROR(__xludf.DUMMYFUNCTION("""COMPUTED_VALUE"""),"")</f>
        <v/>
      </c>
      <c r="H821" s="508" t="str">
        <f>IFERROR(__xludf.DUMMYFUNCTION("""COMPUTED_VALUE"""),"")</f>
        <v/>
      </c>
      <c r="I821" s="510" t="str">
        <f>IFERROR(__xludf.DUMMYFUNCTION("""COMPUTED_VALUE"""),"")</f>
        <v/>
      </c>
      <c r="J821" s="508" t="str">
        <f>IFERROR(__xludf.DUMMYFUNCTION("""COMPUTED_VALUE"""),"")</f>
        <v/>
      </c>
      <c r="K821" s="510" t="str">
        <f>IFERROR(__xludf.DUMMYFUNCTION("""COMPUTED_VALUE"""),"")</f>
        <v/>
      </c>
      <c r="L821" s="508" t="str">
        <f>IFERROR(__xludf.DUMMYFUNCTION("""COMPUTED_VALUE"""),"")</f>
        <v/>
      </c>
      <c r="M821" s="508" t="str">
        <f>IFERROR(__xludf.DUMMYFUNCTION("""COMPUTED_VALUE"""),"")</f>
        <v/>
      </c>
      <c r="N821" s="508" t="str">
        <f>IFERROR(__xludf.DUMMYFUNCTION("""COMPUTED_VALUE"""),"")</f>
        <v/>
      </c>
      <c r="O821" s="508" t="str">
        <f>IFERROR(__xludf.DUMMYFUNCTION("""COMPUTED_VALUE"""),"")</f>
        <v/>
      </c>
      <c r="P821" s="510" t="str">
        <f>IFERROR(__xludf.DUMMYFUNCTION("""COMPUTED_VALUE"""),"")</f>
        <v/>
      </c>
      <c r="Q821" s="508" t="str">
        <f>IFERROR(__xludf.DUMMYFUNCTION("""COMPUTED_VALUE"""),"")</f>
        <v/>
      </c>
      <c r="R821" s="508" t="str">
        <f>IFERROR(__xludf.DUMMYFUNCTION("""COMPUTED_VALUE"""),"")</f>
        <v/>
      </c>
      <c r="S821" s="510" t="str">
        <f>IFERROR(__xludf.DUMMYFUNCTION("""COMPUTED_VALUE"""),"")</f>
        <v/>
      </c>
      <c r="T821" s="510" t="str">
        <f>IFERROR(__xludf.DUMMYFUNCTION("""COMPUTED_VALUE"""),"")</f>
        <v/>
      </c>
    </row>
    <row r="822">
      <c r="A822" s="508" t="str">
        <f>IFERROR(__xludf.DUMMYFUNCTION("""COMPUTED_VALUE"""),"")</f>
        <v/>
      </c>
      <c r="B822" s="508" t="str">
        <f>IFERROR(__xludf.DUMMYFUNCTION("""COMPUTED_VALUE"""),"")</f>
        <v/>
      </c>
      <c r="C822" s="508" t="str">
        <f>IFERROR(__xludf.DUMMYFUNCTION("""COMPUTED_VALUE"""),"")</f>
        <v/>
      </c>
      <c r="D822" s="508" t="str">
        <f>IFERROR(__xludf.DUMMYFUNCTION("""COMPUTED_VALUE"""),"")</f>
        <v/>
      </c>
      <c r="E822" s="508" t="str">
        <f>IFERROR(__xludf.DUMMYFUNCTION("""COMPUTED_VALUE"""),"")</f>
        <v/>
      </c>
      <c r="F822" s="508" t="str">
        <f>IFERROR(__xludf.DUMMYFUNCTION("""COMPUTED_VALUE"""),"")</f>
        <v/>
      </c>
      <c r="G822" s="510" t="str">
        <f>IFERROR(__xludf.DUMMYFUNCTION("""COMPUTED_VALUE"""),"")</f>
        <v/>
      </c>
      <c r="H822" s="508" t="str">
        <f>IFERROR(__xludf.DUMMYFUNCTION("""COMPUTED_VALUE"""),"")</f>
        <v/>
      </c>
      <c r="I822" s="510" t="str">
        <f>IFERROR(__xludf.DUMMYFUNCTION("""COMPUTED_VALUE"""),"")</f>
        <v/>
      </c>
      <c r="J822" s="508" t="str">
        <f>IFERROR(__xludf.DUMMYFUNCTION("""COMPUTED_VALUE"""),"")</f>
        <v/>
      </c>
      <c r="K822" s="510" t="str">
        <f>IFERROR(__xludf.DUMMYFUNCTION("""COMPUTED_VALUE"""),"")</f>
        <v/>
      </c>
      <c r="L822" s="508" t="str">
        <f>IFERROR(__xludf.DUMMYFUNCTION("""COMPUTED_VALUE"""),"")</f>
        <v/>
      </c>
      <c r="M822" s="508" t="str">
        <f>IFERROR(__xludf.DUMMYFUNCTION("""COMPUTED_VALUE"""),"")</f>
        <v/>
      </c>
      <c r="N822" s="508" t="str">
        <f>IFERROR(__xludf.DUMMYFUNCTION("""COMPUTED_VALUE"""),"")</f>
        <v/>
      </c>
      <c r="O822" s="508" t="str">
        <f>IFERROR(__xludf.DUMMYFUNCTION("""COMPUTED_VALUE"""),"")</f>
        <v/>
      </c>
      <c r="P822" s="510" t="str">
        <f>IFERROR(__xludf.DUMMYFUNCTION("""COMPUTED_VALUE"""),"")</f>
        <v/>
      </c>
      <c r="Q822" s="508" t="str">
        <f>IFERROR(__xludf.DUMMYFUNCTION("""COMPUTED_VALUE"""),"")</f>
        <v/>
      </c>
      <c r="R822" s="508" t="str">
        <f>IFERROR(__xludf.DUMMYFUNCTION("""COMPUTED_VALUE"""),"")</f>
        <v/>
      </c>
      <c r="S822" s="510" t="str">
        <f>IFERROR(__xludf.DUMMYFUNCTION("""COMPUTED_VALUE"""),"")</f>
        <v/>
      </c>
      <c r="T822" s="510" t="str">
        <f>IFERROR(__xludf.DUMMYFUNCTION("""COMPUTED_VALUE"""),"")</f>
        <v/>
      </c>
    </row>
    <row r="823">
      <c r="A823" s="508" t="str">
        <f>IFERROR(__xludf.DUMMYFUNCTION("""COMPUTED_VALUE"""),"")</f>
        <v/>
      </c>
      <c r="B823" s="508" t="str">
        <f>IFERROR(__xludf.DUMMYFUNCTION("""COMPUTED_VALUE"""),"")</f>
        <v/>
      </c>
      <c r="C823" s="508" t="str">
        <f>IFERROR(__xludf.DUMMYFUNCTION("""COMPUTED_VALUE"""),"")</f>
        <v/>
      </c>
      <c r="D823" s="508" t="str">
        <f>IFERROR(__xludf.DUMMYFUNCTION("""COMPUTED_VALUE"""),"")</f>
        <v/>
      </c>
      <c r="E823" s="508" t="str">
        <f>IFERROR(__xludf.DUMMYFUNCTION("""COMPUTED_VALUE"""),"")</f>
        <v/>
      </c>
      <c r="F823" s="508" t="str">
        <f>IFERROR(__xludf.DUMMYFUNCTION("""COMPUTED_VALUE"""),"")</f>
        <v/>
      </c>
      <c r="G823" s="510" t="str">
        <f>IFERROR(__xludf.DUMMYFUNCTION("""COMPUTED_VALUE"""),"")</f>
        <v/>
      </c>
      <c r="H823" s="508" t="str">
        <f>IFERROR(__xludf.DUMMYFUNCTION("""COMPUTED_VALUE"""),"")</f>
        <v/>
      </c>
      <c r="I823" s="510" t="str">
        <f>IFERROR(__xludf.DUMMYFUNCTION("""COMPUTED_VALUE"""),"")</f>
        <v/>
      </c>
      <c r="J823" s="508" t="str">
        <f>IFERROR(__xludf.DUMMYFUNCTION("""COMPUTED_VALUE"""),"")</f>
        <v/>
      </c>
      <c r="K823" s="510" t="str">
        <f>IFERROR(__xludf.DUMMYFUNCTION("""COMPUTED_VALUE"""),"")</f>
        <v/>
      </c>
      <c r="L823" s="508" t="str">
        <f>IFERROR(__xludf.DUMMYFUNCTION("""COMPUTED_VALUE"""),"")</f>
        <v/>
      </c>
      <c r="M823" s="508" t="str">
        <f>IFERROR(__xludf.DUMMYFUNCTION("""COMPUTED_VALUE"""),"")</f>
        <v/>
      </c>
      <c r="N823" s="508" t="str">
        <f>IFERROR(__xludf.DUMMYFUNCTION("""COMPUTED_VALUE"""),"")</f>
        <v/>
      </c>
      <c r="O823" s="508" t="str">
        <f>IFERROR(__xludf.DUMMYFUNCTION("""COMPUTED_VALUE"""),"")</f>
        <v/>
      </c>
      <c r="P823" s="510" t="str">
        <f>IFERROR(__xludf.DUMMYFUNCTION("""COMPUTED_VALUE"""),"")</f>
        <v/>
      </c>
      <c r="Q823" s="508" t="str">
        <f>IFERROR(__xludf.DUMMYFUNCTION("""COMPUTED_VALUE"""),"")</f>
        <v/>
      </c>
      <c r="R823" s="508" t="str">
        <f>IFERROR(__xludf.DUMMYFUNCTION("""COMPUTED_VALUE"""),"")</f>
        <v/>
      </c>
      <c r="S823" s="510" t="str">
        <f>IFERROR(__xludf.DUMMYFUNCTION("""COMPUTED_VALUE"""),"")</f>
        <v/>
      </c>
      <c r="T823" s="510" t="str">
        <f>IFERROR(__xludf.DUMMYFUNCTION("""COMPUTED_VALUE"""),"")</f>
        <v/>
      </c>
    </row>
    <row r="824">
      <c r="A824" s="508" t="str">
        <f>IFERROR(__xludf.DUMMYFUNCTION("""COMPUTED_VALUE"""),"")</f>
        <v/>
      </c>
      <c r="B824" s="508" t="str">
        <f>IFERROR(__xludf.DUMMYFUNCTION("""COMPUTED_VALUE"""),"")</f>
        <v/>
      </c>
      <c r="C824" s="508" t="str">
        <f>IFERROR(__xludf.DUMMYFUNCTION("""COMPUTED_VALUE"""),"")</f>
        <v/>
      </c>
      <c r="D824" s="508" t="str">
        <f>IFERROR(__xludf.DUMMYFUNCTION("""COMPUTED_VALUE"""),"")</f>
        <v/>
      </c>
      <c r="E824" s="508" t="str">
        <f>IFERROR(__xludf.DUMMYFUNCTION("""COMPUTED_VALUE"""),"")</f>
        <v/>
      </c>
      <c r="F824" s="508" t="str">
        <f>IFERROR(__xludf.DUMMYFUNCTION("""COMPUTED_VALUE"""),"")</f>
        <v/>
      </c>
      <c r="G824" s="510" t="str">
        <f>IFERROR(__xludf.DUMMYFUNCTION("""COMPUTED_VALUE"""),"")</f>
        <v/>
      </c>
      <c r="H824" s="508" t="str">
        <f>IFERROR(__xludf.DUMMYFUNCTION("""COMPUTED_VALUE"""),"")</f>
        <v/>
      </c>
      <c r="I824" s="510" t="str">
        <f>IFERROR(__xludf.DUMMYFUNCTION("""COMPUTED_VALUE"""),"")</f>
        <v/>
      </c>
      <c r="J824" s="508" t="str">
        <f>IFERROR(__xludf.DUMMYFUNCTION("""COMPUTED_VALUE"""),"")</f>
        <v/>
      </c>
      <c r="K824" s="510" t="str">
        <f>IFERROR(__xludf.DUMMYFUNCTION("""COMPUTED_VALUE"""),"")</f>
        <v/>
      </c>
      <c r="L824" s="508" t="str">
        <f>IFERROR(__xludf.DUMMYFUNCTION("""COMPUTED_VALUE"""),"")</f>
        <v/>
      </c>
      <c r="M824" s="508" t="str">
        <f>IFERROR(__xludf.DUMMYFUNCTION("""COMPUTED_VALUE"""),"")</f>
        <v/>
      </c>
      <c r="N824" s="508" t="str">
        <f>IFERROR(__xludf.DUMMYFUNCTION("""COMPUTED_VALUE"""),"")</f>
        <v/>
      </c>
      <c r="O824" s="508" t="str">
        <f>IFERROR(__xludf.DUMMYFUNCTION("""COMPUTED_VALUE"""),"")</f>
        <v/>
      </c>
      <c r="P824" s="510" t="str">
        <f>IFERROR(__xludf.DUMMYFUNCTION("""COMPUTED_VALUE"""),"")</f>
        <v/>
      </c>
      <c r="Q824" s="508" t="str">
        <f>IFERROR(__xludf.DUMMYFUNCTION("""COMPUTED_VALUE"""),"")</f>
        <v/>
      </c>
      <c r="R824" s="508" t="str">
        <f>IFERROR(__xludf.DUMMYFUNCTION("""COMPUTED_VALUE"""),"")</f>
        <v/>
      </c>
      <c r="S824" s="510" t="str">
        <f>IFERROR(__xludf.DUMMYFUNCTION("""COMPUTED_VALUE"""),"")</f>
        <v/>
      </c>
      <c r="T824" s="510" t="str">
        <f>IFERROR(__xludf.DUMMYFUNCTION("""COMPUTED_VALUE"""),"")</f>
        <v/>
      </c>
    </row>
    <row r="825">
      <c r="A825" s="508" t="str">
        <f>IFERROR(__xludf.DUMMYFUNCTION("""COMPUTED_VALUE"""),"")</f>
        <v/>
      </c>
      <c r="B825" s="508" t="str">
        <f>IFERROR(__xludf.DUMMYFUNCTION("""COMPUTED_VALUE"""),"")</f>
        <v/>
      </c>
      <c r="C825" s="508" t="str">
        <f>IFERROR(__xludf.DUMMYFUNCTION("""COMPUTED_VALUE"""),"")</f>
        <v/>
      </c>
      <c r="D825" s="508" t="str">
        <f>IFERROR(__xludf.DUMMYFUNCTION("""COMPUTED_VALUE"""),"")</f>
        <v/>
      </c>
      <c r="E825" s="508" t="str">
        <f>IFERROR(__xludf.DUMMYFUNCTION("""COMPUTED_VALUE"""),"")</f>
        <v/>
      </c>
      <c r="F825" s="508" t="str">
        <f>IFERROR(__xludf.DUMMYFUNCTION("""COMPUTED_VALUE"""),"")</f>
        <v/>
      </c>
      <c r="G825" s="510" t="str">
        <f>IFERROR(__xludf.DUMMYFUNCTION("""COMPUTED_VALUE"""),"")</f>
        <v/>
      </c>
      <c r="H825" s="508" t="str">
        <f>IFERROR(__xludf.DUMMYFUNCTION("""COMPUTED_VALUE"""),"")</f>
        <v/>
      </c>
      <c r="I825" s="510" t="str">
        <f>IFERROR(__xludf.DUMMYFUNCTION("""COMPUTED_VALUE"""),"")</f>
        <v/>
      </c>
      <c r="J825" s="508" t="str">
        <f>IFERROR(__xludf.DUMMYFUNCTION("""COMPUTED_VALUE"""),"")</f>
        <v/>
      </c>
      <c r="K825" s="510" t="str">
        <f>IFERROR(__xludf.DUMMYFUNCTION("""COMPUTED_VALUE"""),"")</f>
        <v/>
      </c>
      <c r="L825" s="508" t="str">
        <f>IFERROR(__xludf.DUMMYFUNCTION("""COMPUTED_VALUE"""),"")</f>
        <v/>
      </c>
      <c r="M825" s="508" t="str">
        <f>IFERROR(__xludf.DUMMYFUNCTION("""COMPUTED_VALUE"""),"")</f>
        <v/>
      </c>
      <c r="N825" s="508" t="str">
        <f>IFERROR(__xludf.DUMMYFUNCTION("""COMPUTED_VALUE"""),"")</f>
        <v/>
      </c>
      <c r="O825" s="508" t="str">
        <f>IFERROR(__xludf.DUMMYFUNCTION("""COMPUTED_VALUE"""),"")</f>
        <v/>
      </c>
      <c r="P825" s="510" t="str">
        <f>IFERROR(__xludf.DUMMYFUNCTION("""COMPUTED_VALUE"""),"")</f>
        <v/>
      </c>
      <c r="Q825" s="508" t="str">
        <f>IFERROR(__xludf.DUMMYFUNCTION("""COMPUTED_VALUE"""),"")</f>
        <v/>
      </c>
      <c r="R825" s="508" t="str">
        <f>IFERROR(__xludf.DUMMYFUNCTION("""COMPUTED_VALUE"""),"")</f>
        <v/>
      </c>
      <c r="S825" s="510" t="str">
        <f>IFERROR(__xludf.DUMMYFUNCTION("""COMPUTED_VALUE"""),"")</f>
        <v/>
      </c>
      <c r="T825" s="510" t="str">
        <f>IFERROR(__xludf.DUMMYFUNCTION("""COMPUTED_VALUE"""),"")</f>
        <v/>
      </c>
    </row>
    <row r="826">
      <c r="A826" s="508" t="str">
        <f>IFERROR(__xludf.DUMMYFUNCTION("""COMPUTED_VALUE"""),"")</f>
        <v/>
      </c>
      <c r="B826" s="508" t="str">
        <f>IFERROR(__xludf.DUMMYFUNCTION("""COMPUTED_VALUE"""),"")</f>
        <v/>
      </c>
      <c r="C826" s="508" t="str">
        <f>IFERROR(__xludf.DUMMYFUNCTION("""COMPUTED_VALUE"""),"")</f>
        <v/>
      </c>
      <c r="D826" s="508" t="str">
        <f>IFERROR(__xludf.DUMMYFUNCTION("""COMPUTED_VALUE"""),"")</f>
        <v/>
      </c>
      <c r="E826" s="508" t="str">
        <f>IFERROR(__xludf.DUMMYFUNCTION("""COMPUTED_VALUE"""),"")</f>
        <v/>
      </c>
      <c r="F826" s="508" t="str">
        <f>IFERROR(__xludf.DUMMYFUNCTION("""COMPUTED_VALUE"""),"")</f>
        <v/>
      </c>
      <c r="G826" s="510" t="str">
        <f>IFERROR(__xludf.DUMMYFUNCTION("""COMPUTED_VALUE"""),"")</f>
        <v/>
      </c>
      <c r="H826" s="508" t="str">
        <f>IFERROR(__xludf.DUMMYFUNCTION("""COMPUTED_VALUE"""),"")</f>
        <v/>
      </c>
      <c r="I826" s="510" t="str">
        <f>IFERROR(__xludf.DUMMYFUNCTION("""COMPUTED_VALUE"""),"")</f>
        <v/>
      </c>
      <c r="J826" s="508" t="str">
        <f>IFERROR(__xludf.DUMMYFUNCTION("""COMPUTED_VALUE"""),"")</f>
        <v/>
      </c>
      <c r="K826" s="510" t="str">
        <f>IFERROR(__xludf.DUMMYFUNCTION("""COMPUTED_VALUE"""),"")</f>
        <v/>
      </c>
      <c r="L826" s="508" t="str">
        <f>IFERROR(__xludf.DUMMYFUNCTION("""COMPUTED_VALUE"""),"")</f>
        <v/>
      </c>
      <c r="M826" s="508" t="str">
        <f>IFERROR(__xludf.DUMMYFUNCTION("""COMPUTED_VALUE"""),"")</f>
        <v/>
      </c>
      <c r="N826" s="508" t="str">
        <f>IFERROR(__xludf.DUMMYFUNCTION("""COMPUTED_VALUE"""),"")</f>
        <v/>
      </c>
      <c r="O826" s="508" t="str">
        <f>IFERROR(__xludf.DUMMYFUNCTION("""COMPUTED_VALUE"""),"")</f>
        <v/>
      </c>
      <c r="P826" s="510" t="str">
        <f>IFERROR(__xludf.DUMMYFUNCTION("""COMPUTED_VALUE"""),"")</f>
        <v/>
      </c>
      <c r="Q826" s="508" t="str">
        <f>IFERROR(__xludf.DUMMYFUNCTION("""COMPUTED_VALUE"""),"")</f>
        <v/>
      </c>
      <c r="R826" s="508" t="str">
        <f>IFERROR(__xludf.DUMMYFUNCTION("""COMPUTED_VALUE"""),"")</f>
        <v/>
      </c>
      <c r="S826" s="510" t="str">
        <f>IFERROR(__xludf.DUMMYFUNCTION("""COMPUTED_VALUE"""),"")</f>
        <v/>
      </c>
      <c r="T826" s="510" t="str">
        <f>IFERROR(__xludf.DUMMYFUNCTION("""COMPUTED_VALUE"""),"")</f>
        <v/>
      </c>
    </row>
    <row r="827">
      <c r="A827" s="508" t="str">
        <f>IFERROR(__xludf.DUMMYFUNCTION("""COMPUTED_VALUE"""),"")</f>
        <v/>
      </c>
      <c r="B827" s="508" t="str">
        <f>IFERROR(__xludf.DUMMYFUNCTION("""COMPUTED_VALUE"""),"")</f>
        <v/>
      </c>
      <c r="C827" s="508" t="str">
        <f>IFERROR(__xludf.DUMMYFUNCTION("""COMPUTED_VALUE"""),"")</f>
        <v/>
      </c>
      <c r="D827" s="508" t="str">
        <f>IFERROR(__xludf.DUMMYFUNCTION("""COMPUTED_VALUE"""),"")</f>
        <v/>
      </c>
      <c r="E827" s="508" t="str">
        <f>IFERROR(__xludf.DUMMYFUNCTION("""COMPUTED_VALUE"""),"")</f>
        <v/>
      </c>
      <c r="F827" s="508" t="str">
        <f>IFERROR(__xludf.DUMMYFUNCTION("""COMPUTED_VALUE"""),"")</f>
        <v/>
      </c>
      <c r="G827" s="510" t="str">
        <f>IFERROR(__xludf.DUMMYFUNCTION("""COMPUTED_VALUE"""),"")</f>
        <v/>
      </c>
      <c r="H827" s="508" t="str">
        <f>IFERROR(__xludf.DUMMYFUNCTION("""COMPUTED_VALUE"""),"")</f>
        <v/>
      </c>
      <c r="I827" s="510" t="str">
        <f>IFERROR(__xludf.DUMMYFUNCTION("""COMPUTED_VALUE"""),"")</f>
        <v/>
      </c>
      <c r="J827" s="508" t="str">
        <f>IFERROR(__xludf.DUMMYFUNCTION("""COMPUTED_VALUE"""),"")</f>
        <v/>
      </c>
      <c r="K827" s="510" t="str">
        <f>IFERROR(__xludf.DUMMYFUNCTION("""COMPUTED_VALUE"""),"")</f>
        <v/>
      </c>
      <c r="L827" s="508" t="str">
        <f>IFERROR(__xludf.DUMMYFUNCTION("""COMPUTED_VALUE"""),"")</f>
        <v/>
      </c>
      <c r="M827" s="508" t="str">
        <f>IFERROR(__xludf.DUMMYFUNCTION("""COMPUTED_VALUE"""),"")</f>
        <v/>
      </c>
      <c r="N827" s="508" t="str">
        <f>IFERROR(__xludf.DUMMYFUNCTION("""COMPUTED_VALUE"""),"")</f>
        <v/>
      </c>
      <c r="O827" s="508" t="str">
        <f>IFERROR(__xludf.DUMMYFUNCTION("""COMPUTED_VALUE"""),"")</f>
        <v/>
      </c>
      <c r="P827" s="510" t="str">
        <f>IFERROR(__xludf.DUMMYFUNCTION("""COMPUTED_VALUE"""),"")</f>
        <v/>
      </c>
      <c r="Q827" s="508" t="str">
        <f>IFERROR(__xludf.DUMMYFUNCTION("""COMPUTED_VALUE"""),"")</f>
        <v/>
      </c>
      <c r="R827" s="508" t="str">
        <f>IFERROR(__xludf.DUMMYFUNCTION("""COMPUTED_VALUE"""),"")</f>
        <v/>
      </c>
      <c r="S827" s="510" t="str">
        <f>IFERROR(__xludf.DUMMYFUNCTION("""COMPUTED_VALUE"""),"")</f>
        <v/>
      </c>
      <c r="T827" s="510" t="str">
        <f>IFERROR(__xludf.DUMMYFUNCTION("""COMPUTED_VALUE"""),"")</f>
        <v/>
      </c>
    </row>
    <row r="828">
      <c r="A828" s="508" t="str">
        <f>IFERROR(__xludf.DUMMYFUNCTION("""COMPUTED_VALUE"""),"")</f>
        <v/>
      </c>
      <c r="B828" s="508" t="str">
        <f>IFERROR(__xludf.DUMMYFUNCTION("""COMPUTED_VALUE"""),"")</f>
        <v/>
      </c>
      <c r="C828" s="508" t="str">
        <f>IFERROR(__xludf.DUMMYFUNCTION("""COMPUTED_VALUE"""),"")</f>
        <v/>
      </c>
      <c r="D828" s="508" t="str">
        <f>IFERROR(__xludf.DUMMYFUNCTION("""COMPUTED_VALUE"""),"")</f>
        <v/>
      </c>
      <c r="E828" s="508" t="str">
        <f>IFERROR(__xludf.DUMMYFUNCTION("""COMPUTED_VALUE"""),"")</f>
        <v/>
      </c>
      <c r="F828" s="508" t="str">
        <f>IFERROR(__xludf.DUMMYFUNCTION("""COMPUTED_VALUE"""),"")</f>
        <v/>
      </c>
      <c r="G828" s="510" t="str">
        <f>IFERROR(__xludf.DUMMYFUNCTION("""COMPUTED_VALUE"""),"")</f>
        <v/>
      </c>
      <c r="H828" s="508" t="str">
        <f>IFERROR(__xludf.DUMMYFUNCTION("""COMPUTED_VALUE"""),"")</f>
        <v/>
      </c>
      <c r="I828" s="510" t="str">
        <f>IFERROR(__xludf.DUMMYFUNCTION("""COMPUTED_VALUE"""),"")</f>
        <v/>
      </c>
      <c r="J828" s="508" t="str">
        <f>IFERROR(__xludf.DUMMYFUNCTION("""COMPUTED_VALUE"""),"")</f>
        <v/>
      </c>
      <c r="K828" s="510" t="str">
        <f>IFERROR(__xludf.DUMMYFUNCTION("""COMPUTED_VALUE"""),"")</f>
        <v/>
      </c>
      <c r="L828" s="508" t="str">
        <f>IFERROR(__xludf.DUMMYFUNCTION("""COMPUTED_VALUE"""),"")</f>
        <v/>
      </c>
      <c r="M828" s="508" t="str">
        <f>IFERROR(__xludf.DUMMYFUNCTION("""COMPUTED_VALUE"""),"")</f>
        <v/>
      </c>
      <c r="N828" s="508" t="str">
        <f>IFERROR(__xludf.DUMMYFUNCTION("""COMPUTED_VALUE"""),"")</f>
        <v/>
      </c>
      <c r="O828" s="508" t="str">
        <f>IFERROR(__xludf.DUMMYFUNCTION("""COMPUTED_VALUE"""),"")</f>
        <v/>
      </c>
      <c r="P828" s="510" t="str">
        <f>IFERROR(__xludf.DUMMYFUNCTION("""COMPUTED_VALUE"""),"")</f>
        <v/>
      </c>
      <c r="Q828" s="508" t="str">
        <f>IFERROR(__xludf.DUMMYFUNCTION("""COMPUTED_VALUE"""),"")</f>
        <v/>
      </c>
      <c r="R828" s="508" t="str">
        <f>IFERROR(__xludf.DUMMYFUNCTION("""COMPUTED_VALUE"""),"")</f>
        <v/>
      </c>
      <c r="S828" s="510" t="str">
        <f>IFERROR(__xludf.DUMMYFUNCTION("""COMPUTED_VALUE"""),"")</f>
        <v/>
      </c>
      <c r="T828" s="510" t="str">
        <f>IFERROR(__xludf.DUMMYFUNCTION("""COMPUTED_VALUE"""),"")</f>
        <v/>
      </c>
    </row>
    <row r="829">
      <c r="A829" s="508" t="str">
        <f>IFERROR(__xludf.DUMMYFUNCTION("""COMPUTED_VALUE"""),"")</f>
        <v/>
      </c>
      <c r="B829" s="508" t="str">
        <f>IFERROR(__xludf.DUMMYFUNCTION("""COMPUTED_VALUE"""),"")</f>
        <v/>
      </c>
      <c r="C829" s="508" t="str">
        <f>IFERROR(__xludf.DUMMYFUNCTION("""COMPUTED_VALUE"""),"")</f>
        <v/>
      </c>
      <c r="D829" s="508" t="str">
        <f>IFERROR(__xludf.DUMMYFUNCTION("""COMPUTED_VALUE"""),"")</f>
        <v/>
      </c>
      <c r="E829" s="508" t="str">
        <f>IFERROR(__xludf.DUMMYFUNCTION("""COMPUTED_VALUE"""),"")</f>
        <v/>
      </c>
      <c r="F829" s="508" t="str">
        <f>IFERROR(__xludf.DUMMYFUNCTION("""COMPUTED_VALUE"""),"")</f>
        <v/>
      </c>
      <c r="G829" s="510" t="str">
        <f>IFERROR(__xludf.DUMMYFUNCTION("""COMPUTED_VALUE"""),"")</f>
        <v/>
      </c>
      <c r="H829" s="508" t="str">
        <f>IFERROR(__xludf.DUMMYFUNCTION("""COMPUTED_VALUE"""),"")</f>
        <v/>
      </c>
      <c r="I829" s="510" t="str">
        <f>IFERROR(__xludf.DUMMYFUNCTION("""COMPUTED_VALUE"""),"")</f>
        <v/>
      </c>
      <c r="J829" s="508" t="str">
        <f>IFERROR(__xludf.DUMMYFUNCTION("""COMPUTED_VALUE"""),"")</f>
        <v/>
      </c>
      <c r="K829" s="510" t="str">
        <f>IFERROR(__xludf.DUMMYFUNCTION("""COMPUTED_VALUE"""),"")</f>
        <v/>
      </c>
      <c r="L829" s="508" t="str">
        <f>IFERROR(__xludf.DUMMYFUNCTION("""COMPUTED_VALUE"""),"")</f>
        <v/>
      </c>
      <c r="M829" s="508" t="str">
        <f>IFERROR(__xludf.DUMMYFUNCTION("""COMPUTED_VALUE"""),"")</f>
        <v/>
      </c>
      <c r="N829" s="508" t="str">
        <f>IFERROR(__xludf.DUMMYFUNCTION("""COMPUTED_VALUE"""),"")</f>
        <v/>
      </c>
      <c r="O829" s="508" t="str">
        <f>IFERROR(__xludf.DUMMYFUNCTION("""COMPUTED_VALUE"""),"")</f>
        <v/>
      </c>
      <c r="P829" s="510" t="str">
        <f>IFERROR(__xludf.DUMMYFUNCTION("""COMPUTED_VALUE"""),"")</f>
        <v/>
      </c>
      <c r="Q829" s="508" t="str">
        <f>IFERROR(__xludf.DUMMYFUNCTION("""COMPUTED_VALUE"""),"")</f>
        <v/>
      </c>
      <c r="R829" s="508" t="str">
        <f>IFERROR(__xludf.DUMMYFUNCTION("""COMPUTED_VALUE"""),"")</f>
        <v/>
      </c>
      <c r="S829" s="510" t="str">
        <f>IFERROR(__xludf.DUMMYFUNCTION("""COMPUTED_VALUE"""),"")</f>
        <v/>
      </c>
      <c r="T829" s="510" t="str">
        <f>IFERROR(__xludf.DUMMYFUNCTION("""COMPUTED_VALUE"""),"")</f>
        <v/>
      </c>
    </row>
    <row r="830">
      <c r="A830" s="508" t="str">
        <f>IFERROR(__xludf.DUMMYFUNCTION("""COMPUTED_VALUE"""),"")</f>
        <v/>
      </c>
      <c r="B830" s="508" t="str">
        <f>IFERROR(__xludf.DUMMYFUNCTION("""COMPUTED_VALUE"""),"")</f>
        <v/>
      </c>
      <c r="C830" s="508" t="str">
        <f>IFERROR(__xludf.DUMMYFUNCTION("""COMPUTED_VALUE"""),"")</f>
        <v/>
      </c>
      <c r="D830" s="508" t="str">
        <f>IFERROR(__xludf.DUMMYFUNCTION("""COMPUTED_VALUE"""),"")</f>
        <v/>
      </c>
      <c r="E830" s="508" t="str">
        <f>IFERROR(__xludf.DUMMYFUNCTION("""COMPUTED_VALUE"""),"")</f>
        <v/>
      </c>
      <c r="F830" s="508" t="str">
        <f>IFERROR(__xludf.DUMMYFUNCTION("""COMPUTED_VALUE"""),"")</f>
        <v/>
      </c>
      <c r="G830" s="510" t="str">
        <f>IFERROR(__xludf.DUMMYFUNCTION("""COMPUTED_VALUE"""),"")</f>
        <v/>
      </c>
      <c r="H830" s="508" t="str">
        <f>IFERROR(__xludf.DUMMYFUNCTION("""COMPUTED_VALUE"""),"")</f>
        <v/>
      </c>
      <c r="I830" s="510" t="str">
        <f>IFERROR(__xludf.DUMMYFUNCTION("""COMPUTED_VALUE"""),"")</f>
        <v/>
      </c>
      <c r="J830" s="508" t="str">
        <f>IFERROR(__xludf.DUMMYFUNCTION("""COMPUTED_VALUE"""),"")</f>
        <v/>
      </c>
      <c r="K830" s="510" t="str">
        <f>IFERROR(__xludf.DUMMYFUNCTION("""COMPUTED_VALUE"""),"")</f>
        <v/>
      </c>
      <c r="L830" s="508" t="str">
        <f>IFERROR(__xludf.DUMMYFUNCTION("""COMPUTED_VALUE"""),"")</f>
        <v/>
      </c>
      <c r="M830" s="508" t="str">
        <f>IFERROR(__xludf.DUMMYFUNCTION("""COMPUTED_VALUE"""),"")</f>
        <v/>
      </c>
      <c r="N830" s="508" t="str">
        <f>IFERROR(__xludf.DUMMYFUNCTION("""COMPUTED_VALUE"""),"")</f>
        <v/>
      </c>
      <c r="O830" s="508" t="str">
        <f>IFERROR(__xludf.DUMMYFUNCTION("""COMPUTED_VALUE"""),"")</f>
        <v/>
      </c>
      <c r="P830" s="510" t="str">
        <f>IFERROR(__xludf.DUMMYFUNCTION("""COMPUTED_VALUE"""),"")</f>
        <v/>
      </c>
      <c r="Q830" s="508" t="str">
        <f>IFERROR(__xludf.DUMMYFUNCTION("""COMPUTED_VALUE"""),"")</f>
        <v/>
      </c>
      <c r="R830" s="508" t="str">
        <f>IFERROR(__xludf.DUMMYFUNCTION("""COMPUTED_VALUE"""),"")</f>
        <v/>
      </c>
      <c r="S830" s="510" t="str">
        <f>IFERROR(__xludf.DUMMYFUNCTION("""COMPUTED_VALUE"""),"")</f>
        <v/>
      </c>
      <c r="T830" s="510" t="str">
        <f>IFERROR(__xludf.DUMMYFUNCTION("""COMPUTED_VALUE"""),"")</f>
        <v/>
      </c>
    </row>
    <row r="831">
      <c r="A831" s="508" t="str">
        <f>IFERROR(__xludf.DUMMYFUNCTION("""COMPUTED_VALUE"""),"")</f>
        <v/>
      </c>
      <c r="B831" s="508" t="str">
        <f>IFERROR(__xludf.DUMMYFUNCTION("""COMPUTED_VALUE"""),"")</f>
        <v/>
      </c>
      <c r="C831" s="508" t="str">
        <f>IFERROR(__xludf.DUMMYFUNCTION("""COMPUTED_VALUE"""),"")</f>
        <v/>
      </c>
      <c r="D831" s="508" t="str">
        <f>IFERROR(__xludf.DUMMYFUNCTION("""COMPUTED_VALUE"""),"")</f>
        <v/>
      </c>
      <c r="E831" s="508" t="str">
        <f>IFERROR(__xludf.DUMMYFUNCTION("""COMPUTED_VALUE"""),"")</f>
        <v/>
      </c>
      <c r="F831" s="508" t="str">
        <f>IFERROR(__xludf.DUMMYFUNCTION("""COMPUTED_VALUE"""),"")</f>
        <v/>
      </c>
      <c r="G831" s="510" t="str">
        <f>IFERROR(__xludf.DUMMYFUNCTION("""COMPUTED_VALUE"""),"")</f>
        <v/>
      </c>
      <c r="H831" s="508" t="str">
        <f>IFERROR(__xludf.DUMMYFUNCTION("""COMPUTED_VALUE"""),"")</f>
        <v/>
      </c>
      <c r="I831" s="510" t="str">
        <f>IFERROR(__xludf.DUMMYFUNCTION("""COMPUTED_VALUE"""),"")</f>
        <v/>
      </c>
      <c r="J831" s="508" t="str">
        <f>IFERROR(__xludf.DUMMYFUNCTION("""COMPUTED_VALUE"""),"")</f>
        <v/>
      </c>
      <c r="K831" s="510" t="str">
        <f>IFERROR(__xludf.DUMMYFUNCTION("""COMPUTED_VALUE"""),"")</f>
        <v/>
      </c>
      <c r="L831" s="508" t="str">
        <f>IFERROR(__xludf.DUMMYFUNCTION("""COMPUTED_VALUE"""),"")</f>
        <v/>
      </c>
      <c r="M831" s="508" t="str">
        <f>IFERROR(__xludf.DUMMYFUNCTION("""COMPUTED_VALUE"""),"")</f>
        <v/>
      </c>
      <c r="N831" s="508" t="str">
        <f>IFERROR(__xludf.DUMMYFUNCTION("""COMPUTED_VALUE"""),"")</f>
        <v/>
      </c>
      <c r="O831" s="508" t="str">
        <f>IFERROR(__xludf.DUMMYFUNCTION("""COMPUTED_VALUE"""),"")</f>
        <v/>
      </c>
      <c r="P831" s="510" t="str">
        <f>IFERROR(__xludf.DUMMYFUNCTION("""COMPUTED_VALUE"""),"")</f>
        <v/>
      </c>
      <c r="Q831" s="508" t="str">
        <f>IFERROR(__xludf.DUMMYFUNCTION("""COMPUTED_VALUE"""),"")</f>
        <v/>
      </c>
      <c r="R831" s="508" t="str">
        <f>IFERROR(__xludf.DUMMYFUNCTION("""COMPUTED_VALUE"""),"")</f>
        <v/>
      </c>
      <c r="S831" s="510" t="str">
        <f>IFERROR(__xludf.DUMMYFUNCTION("""COMPUTED_VALUE"""),"")</f>
        <v/>
      </c>
      <c r="T831" s="510" t="str">
        <f>IFERROR(__xludf.DUMMYFUNCTION("""COMPUTED_VALUE"""),"")</f>
        <v/>
      </c>
    </row>
    <row r="832">
      <c r="A832" s="508" t="str">
        <f>IFERROR(__xludf.DUMMYFUNCTION("""COMPUTED_VALUE"""),"")</f>
        <v/>
      </c>
      <c r="B832" s="508" t="str">
        <f>IFERROR(__xludf.DUMMYFUNCTION("""COMPUTED_VALUE"""),"")</f>
        <v/>
      </c>
      <c r="C832" s="508" t="str">
        <f>IFERROR(__xludf.DUMMYFUNCTION("""COMPUTED_VALUE"""),"")</f>
        <v/>
      </c>
      <c r="D832" s="508" t="str">
        <f>IFERROR(__xludf.DUMMYFUNCTION("""COMPUTED_VALUE"""),"")</f>
        <v/>
      </c>
      <c r="E832" s="508" t="str">
        <f>IFERROR(__xludf.DUMMYFUNCTION("""COMPUTED_VALUE"""),"")</f>
        <v/>
      </c>
      <c r="F832" s="508" t="str">
        <f>IFERROR(__xludf.DUMMYFUNCTION("""COMPUTED_VALUE"""),"")</f>
        <v/>
      </c>
      <c r="G832" s="510" t="str">
        <f>IFERROR(__xludf.DUMMYFUNCTION("""COMPUTED_VALUE"""),"")</f>
        <v/>
      </c>
      <c r="H832" s="508" t="str">
        <f>IFERROR(__xludf.DUMMYFUNCTION("""COMPUTED_VALUE"""),"")</f>
        <v/>
      </c>
      <c r="I832" s="510" t="str">
        <f>IFERROR(__xludf.DUMMYFUNCTION("""COMPUTED_VALUE"""),"")</f>
        <v/>
      </c>
      <c r="J832" s="508" t="str">
        <f>IFERROR(__xludf.DUMMYFUNCTION("""COMPUTED_VALUE"""),"")</f>
        <v/>
      </c>
      <c r="K832" s="510" t="str">
        <f>IFERROR(__xludf.DUMMYFUNCTION("""COMPUTED_VALUE"""),"")</f>
        <v/>
      </c>
      <c r="L832" s="508" t="str">
        <f>IFERROR(__xludf.DUMMYFUNCTION("""COMPUTED_VALUE"""),"")</f>
        <v/>
      </c>
      <c r="M832" s="508" t="str">
        <f>IFERROR(__xludf.DUMMYFUNCTION("""COMPUTED_VALUE"""),"")</f>
        <v/>
      </c>
      <c r="N832" s="508" t="str">
        <f>IFERROR(__xludf.DUMMYFUNCTION("""COMPUTED_VALUE"""),"")</f>
        <v/>
      </c>
      <c r="O832" s="508" t="str">
        <f>IFERROR(__xludf.DUMMYFUNCTION("""COMPUTED_VALUE"""),"")</f>
        <v/>
      </c>
      <c r="P832" s="510" t="str">
        <f>IFERROR(__xludf.DUMMYFUNCTION("""COMPUTED_VALUE"""),"")</f>
        <v/>
      </c>
      <c r="Q832" s="508" t="str">
        <f>IFERROR(__xludf.DUMMYFUNCTION("""COMPUTED_VALUE"""),"")</f>
        <v/>
      </c>
      <c r="R832" s="508" t="str">
        <f>IFERROR(__xludf.DUMMYFUNCTION("""COMPUTED_VALUE"""),"")</f>
        <v/>
      </c>
      <c r="S832" s="510" t="str">
        <f>IFERROR(__xludf.DUMMYFUNCTION("""COMPUTED_VALUE"""),"")</f>
        <v/>
      </c>
      <c r="T832" s="510" t="str">
        <f>IFERROR(__xludf.DUMMYFUNCTION("""COMPUTED_VALUE"""),"")</f>
        <v/>
      </c>
    </row>
    <row r="833">
      <c r="A833" s="508" t="str">
        <f>IFERROR(__xludf.DUMMYFUNCTION("""COMPUTED_VALUE"""),"")</f>
        <v/>
      </c>
      <c r="B833" s="508" t="str">
        <f>IFERROR(__xludf.DUMMYFUNCTION("""COMPUTED_VALUE"""),"")</f>
        <v/>
      </c>
      <c r="C833" s="508" t="str">
        <f>IFERROR(__xludf.DUMMYFUNCTION("""COMPUTED_VALUE"""),"")</f>
        <v/>
      </c>
      <c r="D833" s="508" t="str">
        <f>IFERROR(__xludf.DUMMYFUNCTION("""COMPUTED_VALUE"""),"")</f>
        <v/>
      </c>
      <c r="E833" s="508" t="str">
        <f>IFERROR(__xludf.DUMMYFUNCTION("""COMPUTED_VALUE"""),"")</f>
        <v/>
      </c>
      <c r="F833" s="508" t="str">
        <f>IFERROR(__xludf.DUMMYFUNCTION("""COMPUTED_VALUE"""),"")</f>
        <v/>
      </c>
      <c r="G833" s="510" t="str">
        <f>IFERROR(__xludf.DUMMYFUNCTION("""COMPUTED_VALUE"""),"")</f>
        <v/>
      </c>
      <c r="H833" s="508" t="str">
        <f>IFERROR(__xludf.DUMMYFUNCTION("""COMPUTED_VALUE"""),"")</f>
        <v/>
      </c>
      <c r="I833" s="510" t="str">
        <f>IFERROR(__xludf.DUMMYFUNCTION("""COMPUTED_VALUE"""),"")</f>
        <v/>
      </c>
      <c r="J833" s="508" t="str">
        <f>IFERROR(__xludf.DUMMYFUNCTION("""COMPUTED_VALUE"""),"")</f>
        <v/>
      </c>
      <c r="K833" s="510" t="str">
        <f>IFERROR(__xludf.DUMMYFUNCTION("""COMPUTED_VALUE"""),"")</f>
        <v/>
      </c>
      <c r="L833" s="508" t="str">
        <f>IFERROR(__xludf.DUMMYFUNCTION("""COMPUTED_VALUE"""),"")</f>
        <v/>
      </c>
      <c r="M833" s="508" t="str">
        <f>IFERROR(__xludf.DUMMYFUNCTION("""COMPUTED_VALUE"""),"")</f>
        <v/>
      </c>
      <c r="N833" s="508" t="str">
        <f>IFERROR(__xludf.DUMMYFUNCTION("""COMPUTED_VALUE"""),"")</f>
        <v/>
      </c>
      <c r="O833" s="508" t="str">
        <f>IFERROR(__xludf.DUMMYFUNCTION("""COMPUTED_VALUE"""),"")</f>
        <v/>
      </c>
      <c r="P833" s="510" t="str">
        <f>IFERROR(__xludf.DUMMYFUNCTION("""COMPUTED_VALUE"""),"")</f>
        <v/>
      </c>
      <c r="Q833" s="508" t="str">
        <f>IFERROR(__xludf.DUMMYFUNCTION("""COMPUTED_VALUE"""),"")</f>
        <v/>
      </c>
      <c r="R833" s="508" t="str">
        <f>IFERROR(__xludf.DUMMYFUNCTION("""COMPUTED_VALUE"""),"")</f>
        <v/>
      </c>
      <c r="S833" s="510" t="str">
        <f>IFERROR(__xludf.DUMMYFUNCTION("""COMPUTED_VALUE"""),"")</f>
        <v/>
      </c>
      <c r="T833" s="510" t="str">
        <f>IFERROR(__xludf.DUMMYFUNCTION("""COMPUTED_VALUE"""),"")</f>
        <v/>
      </c>
    </row>
    <row r="834">
      <c r="A834" s="508" t="str">
        <f>IFERROR(__xludf.DUMMYFUNCTION("""COMPUTED_VALUE"""),"")</f>
        <v/>
      </c>
      <c r="B834" s="508" t="str">
        <f>IFERROR(__xludf.DUMMYFUNCTION("""COMPUTED_VALUE"""),"")</f>
        <v/>
      </c>
      <c r="C834" s="508" t="str">
        <f>IFERROR(__xludf.DUMMYFUNCTION("""COMPUTED_VALUE"""),"")</f>
        <v/>
      </c>
      <c r="D834" s="508" t="str">
        <f>IFERROR(__xludf.DUMMYFUNCTION("""COMPUTED_VALUE"""),"")</f>
        <v/>
      </c>
      <c r="E834" s="508" t="str">
        <f>IFERROR(__xludf.DUMMYFUNCTION("""COMPUTED_VALUE"""),"")</f>
        <v/>
      </c>
      <c r="F834" s="508" t="str">
        <f>IFERROR(__xludf.DUMMYFUNCTION("""COMPUTED_VALUE"""),"")</f>
        <v/>
      </c>
      <c r="G834" s="510" t="str">
        <f>IFERROR(__xludf.DUMMYFUNCTION("""COMPUTED_VALUE"""),"")</f>
        <v/>
      </c>
      <c r="H834" s="508" t="str">
        <f>IFERROR(__xludf.DUMMYFUNCTION("""COMPUTED_VALUE"""),"")</f>
        <v/>
      </c>
      <c r="I834" s="510" t="str">
        <f>IFERROR(__xludf.DUMMYFUNCTION("""COMPUTED_VALUE"""),"")</f>
        <v/>
      </c>
      <c r="J834" s="508" t="str">
        <f>IFERROR(__xludf.DUMMYFUNCTION("""COMPUTED_VALUE"""),"")</f>
        <v/>
      </c>
      <c r="K834" s="510" t="str">
        <f>IFERROR(__xludf.DUMMYFUNCTION("""COMPUTED_VALUE"""),"")</f>
        <v/>
      </c>
      <c r="L834" s="508" t="str">
        <f>IFERROR(__xludf.DUMMYFUNCTION("""COMPUTED_VALUE"""),"")</f>
        <v/>
      </c>
      <c r="M834" s="508" t="str">
        <f>IFERROR(__xludf.DUMMYFUNCTION("""COMPUTED_VALUE"""),"")</f>
        <v/>
      </c>
      <c r="N834" s="508" t="str">
        <f>IFERROR(__xludf.DUMMYFUNCTION("""COMPUTED_VALUE"""),"")</f>
        <v/>
      </c>
      <c r="O834" s="508" t="str">
        <f>IFERROR(__xludf.DUMMYFUNCTION("""COMPUTED_VALUE"""),"")</f>
        <v/>
      </c>
      <c r="P834" s="510" t="str">
        <f>IFERROR(__xludf.DUMMYFUNCTION("""COMPUTED_VALUE"""),"")</f>
        <v/>
      </c>
      <c r="Q834" s="508" t="str">
        <f>IFERROR(__xludf.DUMMYFUNCTION("""COMPUTED_VALUE"""),"")</f>
        <v/>
      </c>
      <c r="R834" s="508" t="str">
        <f>IFERROR(__xludf.DUMMYFUNCTION("""COMPUTED_VALUE"""),"")</f>
        <v/>
      </c>
      <c r="S834" s="510" t="str">
        <f>IFERROR(__xludf.DUMMYFUNCTION("""COMPUTED_VALUE"""),"")</f>
        <v/>
      </c>
      <c r="T834" s="510" t="str">
        <f>IFERROR(__xludf.DUMMYFUNCTION("""COMPUTED_VALUE"""),"")</f>
        <v/>
      </c>
    </row>
    <row r="835">
      <c r="A835" s="508" t="str">
        <f>IFERROR(__xludf.DUMMYFUNCTION("""COMPUTED_VALUE"""),"")</f>
        <v/>
      </c>
      <c r="B835" s="508" t="str">
        <f>IFERROR(__xludf.DUMMYFUNCTION("""COMPUTED_VALUE"""),"")</f>
        <v/>
      </c>
      <c r="C835" s="508" t="str">
        <f>IFERROR(__xludf.DUMMYFUNCTION("""COMPUTED_VALUE"""),"")</f>
        <v/>
      </c>
      <c r="D835" s="508" t="str">
        <f>IFERROR(__xludf.DUMMYFUNCTION("""COMPUTED_VALUE"""),"")</f>
        <v/>
      </c>
      <c r="E835" s="508" t="str">
        <f>IFERROR(__xludf.DUMMYFUNCTION("""COMPUTED_VALUE"""),"")</f>
        <v/>
      </c>
      <c r="F835" s="508" t="str">
        <f>IFERROR(__xludf.DUMMYFUNCTION("""COMPUTED_VALUE"""),"")</f>
        <v/>
      </c>
      <c r="G835" s="510" t="str">
        <f>IFERROR(__xludf.DUMMYFUNCTION("""COMPUTED_VALUE"""),"")</f>
        <v/>
      </c>
      <c r="H835" s="508" t="str">
        <f>IFERROR(__xludf.DUMMYFUNCTION("""COMPUTED_VALUE"""),"")</f>
        <v/>
      </c>
      <c r="I835" s="510" t="str">
        <f>IFERROR(__xludf.DUMMYFUNCTION("""COMPUTED_VALUE"""),"")</f>
        <v/>
      </c>
      <c r="J835" s="508" t="str">
        <f>IFERROR(__xludf.DUMMYFUNCTION("""COMPUTED_VALUE"""),"")</f>
        <v/>
      </c>
      <c r="K835" s="510" t="str">
        <f>IFERROR(__xludf.DUMMYFUNCTION("""COMPUTED_VALUE"""),"")</f>
        <v/>
      </c>
      <c r="L835" s="508" t="str">
        <f>IFERROR(__xludf.DUMMYFUNCTION("""COMPUTED_VALUE"""),"")</f>
        <v/>
      </c>
      <c r="M835" s="508" t="str">
        <f>IFERROR(__xludf.DUMMYFUNCTION("""COMPUTED_VALUE"""),"")</f>
        <v/>
      </c>
      <c r="N835" s="508" t="str">
        <f>IFERROR(__xludf.DUMMYFUNCTION("""COMPUTED_VALUE"""),"")</f>
        <v/>
      </c>
      <c r="O835" s="508" t="str">
        <f>IFERROR(__xludf.DUMMYFUNCTION("""COMPUTED_VALUE"""),"")</f>
        <v/>
      </c>
      <c r="P835" s="510" t="str">
        <f>IFERROR(__xludf.DUMMYFUNCTION("""COMPUTED_VALUE"""),"")</f>
        <v/>
      </c>
      <c r="Q835" s="508" t="str">
        <f>IFERROR(__xludf.DUMMYFUNCTION("""COMPUTED_VALUE"""),"")</f>
        <v/>
      </c>
      <c r="R835" s="508" t="str">
        <f>IFERROR(__xludf.DUMMYFUNCTION("""COMPUTED_VALUE"""),"")</f>
        <v/>
      </c>
      <c r="S835" s="510" t="str">
        <f>IFERROR(__xludf.DUMMYFUNCTION("""COMPUTED_VALUE"""),"")</f>
        <v/>
      </c>
      <c r="T835" s="510" t="str">
        <f>IFERROR(__xludf.DUMMYFUNCTION("""COMPUTED_VALUE"""),"")</f>
        <v/>
      </c>
    </row>
    <row r="836">
      <c r="A836" s="508" t="str">
        <f>IFERROR(__xludf.DUMMYFUNCTION("""COMPUTED_VALUE"""),"")</f>
        <v/>
      </c>
      <c r="B836" s="508" t="str">
        <f>IFERROR(__xludf.DUMMYFUNCTION("""COMPUTED_VALUE"""),"")</f>
        <v/>
      </c>
      <c r="C836" s="508" t="str">
        <f>IFERROR(__xludf.DUMMYFUNCTION("""COMPUTED_VALUE"""),"")</f>
        <v/>
      </c>
      <c r="D836" s="508" t="str">
        <f>IFERROR(__xludf.DUMMYFUNCTION("""COMPUTED_VALUE"""),"")</f>
        <v/>
      </c>
      <c r="E836" s="508" t="str">
        <f>IFERROR(__xludf.DUMMYFUNCTION("""COMPUTED_VALUE"""),"")</f>
        <v/>
      </c>
      <c r="F836" s="508" t="str">
        <f>IFERROR(__xludf.DUMMYFUNCTION("""COMPUTED_VALUE"""),"")</f>
        <v/>
      </c>
      <c r="G836" s="510" t="str">
        <f>IFERROR(__xludf.DUMMYFUNCTION("""COMPUTED_VALUE"""),"")</f>
        <v/>
      </c>
      <c r="H836" s="508" t="str">
        <f>IFERROR(__xludf.DUMMYFUNCTION("""COMPUTED_VALUE"""),"")</f>
        <v/>
      </c>
      <c r="I836" s="510" t="str">
        <f>IFERROR(__xludf.DUMMYFUNCTION("""COMPUTED_VALUE"""),"")</f>
        <v/>
      </c>
      <c r="J836" s="508" t="str">
        <f>IFERROR(__xludf.DUMMYFUNCTION("""COMPUTED_VALUE"""),"")</f>
        <v/>
      </c>
      <c r="K836" s="510" t="str">
        <f>IFERROR(__xludf.DUMMYFUNCTION("""COMPUTED_VALUE"""),"")</f>
        <v/>
      </c>
      <c r="L836" s="508" t="str">
        <f>IFERROR(__xludf.DUMMYFUNCTION("""COMPUTED_VALUE"""),"")</f>
        <v/>
      </c>
      <c r="M836" s="508" t="str">
        <f>IFERROR(__xludf.DUMMYFUNCTION("""COMPUTED_VALUE"""),"")</f>
        <v/>
      </c>
      <c r="N836" s="508" t="str">
        <f>IFERROR(__xludf.DUMMYFUNCTION("""COMPUTED_VALUE"""),"")</f>
        <v/>
      </c>
      <c r="O836" s="508" t="str">
        <f>IFERROR(__xludf.DUMMYFUNCTION("""COMPUTED_VALUE"""),"")</f>
        <v/>
      </c>
      <c r="P836" s="510" t="str">
        <f>IFERROR(__xludf.DUMMYFUNCTION("""COMPUTED_VALUE"""),"")</f>
        <v/>
      </c>
      <c r="Q836" s="508" t="str">
        <f>IFERROR(__xludf.DUMMYFUNCTION("""COMPUTED_VALUE"""),"")</f>
        <v/>
      </c>
      <c r="R836" s="508" t="str">
        <f>IFERROR(__xludf.DUMMYFUNCTION("""COMPUTED_VALUE"""),"")</f>
        <v/>
      </c>
      <c r="S836" s="510" t="str">
        <f>IFERROR(__xludf.DUMMYFUNCTION("""COMPUTED_VALUE"""),"")</f>
        <v/>
      </c>
      <c r="T836" s="510" t="str">
        <f>IFERROR(__xludf.DUMMYFUNCTION("""COMPUTED_VALUE"""),"")</f>
        <v/>
      </c>
    </row>
    <row r="837">
      <c r="A837" s="508" t="str">
        <f>IFERROR(__xludf.DUMMYFUNCTION("""COMPUTED_VALUE"""),"")</f>
        <v/>
      </c>
      <c r="B837" s="508" t="str">
        <f>IFERROR(__xludf.DUMMYFUNCTION("""COMPUTED_VALUE"""),"")</f>
        <v/>
      </c>
      <c r="C837" s="508" t="str">
        <f>IFERROR(__xludf.DUMMYFUNCTION("""COMPUTED_VALUE"""),"")</f>
        <v/>
      </c>
      <c r="D837" s="508" t="str">
        <f>IFERROR(__xludf.DUMMYFUNCTION("""COMPUTED_VALUE"""),"")</f>
        <v/>
      </c>
      <c r="E837" s="508" t="str">
        <f>IFERROR(__xludf.DUMMYFUNCTION("""COMPUTED_VALUE"""),"")</f>
        <v/>
      </c>
      <c r="F837" s="508" t="str">
        <f>IFERROR(__xludf.DUMMYFUNCTION("""COMPUTED_VALUE"""),"")</f>
        <v/>
      </c>
      <c r="G837" s="510" t="str">
        <f>IFERROR(__xludf.DUMMYFUNCTION("""COMPUTED_VALUE"""),"")</f>
        <v/>
      </c>
      <c r="H837" s="508" t="str">
        <f>IFERROR(__xludf.DUMMYFUNCTION("""COMPUTED_VALUE"""),"")</f>
        <v/>
      </c>
      <c r="I837" s="510" t="str">
        <f>IFERROR(__xludf.DUMMYFUNCTION("""COMPUTED_VALUE"""),"")</f>
        <v/>
      </c>
      <c r="J837" s="508" t="str">
        <f>IFERROR(__xludf.DUMMYFUNCTION("""COMPUTED_VALUE"""),"")</f>
        <v/>
      </c>
      <c r="K837" s="510" t="str">
        <f>IFERROR(__xludf.DUMMYFUNCTION("""COMPUTED_VALUE"""),"")</f>
        <v/>
      </c>
      <c r="L837" s="508" t="str">
        <f>IFERROR(__xludf.DUMMYFUNCTION("""COMPUTED_VALUE"""),"")</f>
        <v/>
      </c>
      <c r="M837" s="508" t="str">
        <f>IFERROR(__xludf.DUMMYFUNCTION("""COMPUTED_VALUE"""),"")</f>
        <v/>
      </c>
      <c r="N837" s="508" t="str">
        <f>IFERROR(__xludf.DUMMYFUNCTION("""COMPUTED_VALUE"""),"")</f>
        <v/>
      </c>
      <c r="O837" s="508" t="str">
        <f>IFERROR(__xludf.DUMMYFUNCTION("""COMPUTED_VALUE"""),"")</f>
        <v/>
      </c>
      <c r="P837" s="510" t="str">
        <f>IFERROR(__xludf.DUMMYFUNCTION("""COMPUTED_VALUE"""),"")</f>
        <v/>
      </c>
      <c r="Q837" s="508" t="str">
        <f>IFERROR(__xludf.DUMMYFUNCTION("""COMPUTED_VALUE"""),"")</f>
        <v/>
      </c>
      <c r="R837" s="508" t="str">
        <f>IFERROR(__xludf.DUMMYFUNCTION("""COMPUTED_VALUE"""),"")</f>
        <v/>
      </c>
      <c r="S837" s="510" t="str">
        <f>IFERROR(__xludf.DUMMYFUNCTION("""COMPUTED_VALUE"""),"")</f>
        <v/>
      </c>
      <c r="T837" s="510" t="str">
        <f>IFERROR(__xludf.DUMMYFUNCTION("""COMPUTED_VALUE"""),"")</f>
        <v/>
      </c>
    </row>
    <row r="838">
      <c r="A838" s="508" t="str">
        <f>IFERROR(__xludf.DUMMYFUNCTION("""COMPUTED_VALUE"""),"")</f>
        <v/>
      </c>
      <c r="B838" s="508" t="str">
        <f>IFERROR(__xludf.DUMMYFUNCTION("""COMPUTED_VALUE"""),"")</f>
        <v/>
      </c>
      <c r="C838" s="508" t="str">
        <f>IFERROR(__xludf.DUMMYFUNCTION("""COMPUTED_VALUE"""),"")</f>
        <v/>
      </c>
      <c r="D838" s="508" t="str">
        <f>IFERROR(__xludf.DUMMYFUNCTION("""COMPUTED_VALUE"""),"")</f>
        <v/>
      </c>
      <c r="E838" s="508" t="str">
        <f>IFERROR(__xludf.DUMMYFUNCTION("""COMPUTED_VALUE"""),"")</f>
        <v/>
      </c>
      <c r="F838" s="508" t="str">
        <f>IFERROR(__xludf.DUMMYFUNCTION("""COMPUTED_VALUE"""),"")</f>
        <v/>
      </c>
      <c r="G838" s="510" t="str">
        <f>IFERROR(__xludf.DUMMYFUNCTION("""COMPUTED_VALUE"""),"")</f>
        <v/>
      </c>
      <c r="H838" s="508" t="str">
        <f>IFERROR(__xludf.DUMMYFUNCTION("""COMPUTED_VALUE"""),"")</f>
        <v/>
      </c>
      <c r="I838" s="510" t="str">
        <f>IFERROR(__xludf.DUMMYFUNCTION("""COMPUTED_VALUE"""),"")</f>
        <v/>
      </c>
      <c r="J838" s="508" t="str">
        <f>IFERROR(__xludf.DUMMYFUNCTION("""COMPUTED_VALUE"""),"")</f>
        <v/>
      </c>
      <c r="K838" s="510" t="str">
        <f>IFERROR(__xludf.DUMMYFUNCTION("""COMPUTED_VALUE"""),"")</f>
        <v/>
      </c>
      <c r="L838" s="508" t="str">
        <f>IFERROR(__xludf.DUMMYFUNCTION("""COMPUTED_VALUE"""),"")</f>
        <v/>
      </c>
      <c r="M838" s="508" t="str">
        <f>IFERROR(__xludf.DUMMYFUNCTION("""COMPUTED_VALUE"""),"")</f>
        <v/>
      </c>
      <c r="N838" s="508" t="str">
        <f>IFERROR(__xludf.DUMMYFUNCTION("""COMPUTED_VALUE"""),"")</f>
        <v/>
      </c>
      <c r="O838" s="508" t="str">
        <f>IFERROR(__xludf.DUMMYFUNCTION("""COMPUTED_VALUE"""),"")</f>
        <v/>
      </c>
      <c r="P838" s="510" t="str">
        <f>IFERROR(__xludf.DUMMYFUNCTION("""COMPUTED_VALUE"""),"")</f>
        <v/>
      </c>
      <c r="Q838" s="508" t="str">
        <f>IFERROR(__xludf.DUMMYFUNCTION("""COMPUTED_VALUE"""),"")</f>
        <v/>
      </c>
      <c r="R838" s="508" t="str">
        <f>IFERROR(__xludf.DUMMYFUNCTION("""COMPUTED_VALUE"""),"")</f>
        <v/>
      </c>
      <c r="S838" s="510" t="str">
        <f>IFERROR(__xludf.DUMMYFUNCTION("""COMPUTED_VALUE"""),"")</f>
        <v/>
      </c>
      <c r="T838" s="510" t="str">
        <f>IFERROR(__xludf.DUMMYFUNCTION("""COMPUTED_VALUE"""),"")</f>
        <v/>
      </c>
    </row>
    <row r="839">
      <c r="A839" s="508" t="str">
        <f>IFERROR(__xludf.DUMMYFUNCTION("""COMPUTED_VALUE"""),"")</f>
        <v/>
      </c>
      <c r="B839" s="508" t="str">
        <f>IFERROR(__xludf.DUMMYFUNCTION("""COMPUTED_VALUE"""),"")</f>
        <v/>
      </c>
      <c r="C839" s="508" t="str">
        <f>IFERROR(__xludf.DUMMYFUNCTION("""COMPUTED_VALUE"""),"")</f>
        <v/>
      </c>
      <c r="D839" s="508" t="str">
        <f>IFERROR(__xludf.DUMMYFUNCTION("""COMPUTED_VALUE"""),"")</f>
        <v/>
      </c>
      <c r="E839" s="508" t="str">
        <f>IFERROR(__xludf.DUMMYFUNCTION("""COMPUTED_VALUE"""),"")</f>
        <v/>
      </c>
      <c r="F839" s="508" t="str">
        <f>IFERROR(__xludf.DUMMYFUNCTION("""COMPUTED_VALUE"""),"")</f>
        <v/>
      </c>
      <c r="G839" s="510" t="str">
        <f>IFERROR(__xludf.DUMMYFUNCTION("""COMPUTED_VALUE"""),"")</f>
        <v/>
      </c>
      <c r="H839" s="508" t="str">
        <f>IFERROR(__xludf.DUMMYFUNCTION("""COMPUTED_VALUE"""),"")</f>
        <v/>
      </c>
      <c r="I839" s="510" t="str">
        <f>IFERROR(__xludf.DUMMYFUNCTION("""COMPUTED_VALUE"""),"")</f>
        <v/>
      </c>
      <c r="J839" s="508" t="str">
        <f>IFERROR(__xludf.DUMMYFUNCTION("""COMPUTED_VALUE"""),"")</f>
        <v/>
      </c>
      <c r="K839" s="510" t="str">
        <f>IFERROR(__xludf.DUMMYFUNCTION("""COMPUTED_VALUE"""),"")</f>
        <v/>
      </c>
      <c r="L839" s="508" t="str">
        <f>IFERROR(__xludf.DUMMYFUNCTION("""COMPUTED_VALUE"""),"")</f>
        <v/>
      </c>
      <c r="M839" s="508" t="str">
        <f>IFERROR(__xludf.DUMMYFUNCTION("""COMPUTED_VALUE"""),"")</f>
        <v/>
      </c>
      <c r="N839" s="508" t="str">
        <f>IFERROR(__xludf.DUMMYFUNCTION("""COMPUTED_VALUE"""),"")</f>
        <v/>
      </c>
      <c r="O839" s="508" t="str">
        <f>IFERROR(__xludf.DUMMYFUNCTION("""COMPUTED_VALUE"""),"")</f>
        <v/>
      </c>
      <c r="P839" s="510" t="str">
        <f>IFERROR(__xludf.DUMMYFUNCTION("""COMPUTED_VALUE"""),"")</f>
        <v/>
      </c>
      <c r="Q839" s="508" t="str">
        <f>IFERROR(__xludf.DUMMYFUNCTION("""COMPUTED_VALUE"""),"")</f>
        <v/>
      </c>
      <c r="R839" s="508" t="str">
        <f>IFERROR(__xludf.DUMMYFUNCTION("""COMPUTED_VALUE"""),"")</f>
        <v/>
      </c>
      <c r="S839" s="510" t="str">
        <f>IFERROR(__xludf.DUMMYFUNCTION("""COMPUTED_VALUE"""),"")</f>
        <v/>
      </c>
      <c r="T839" s="510" t="str">
        <f>IFERROR(__xludf.DUMMYFUNCTION("""COMPUTED_VALUE"""),"")</f>
        <v/>
      </c>
    </row>
    <row r="840">
      <c r="A840" s="508" t="str">
        <f>IFERROR(__xludf.DUMMYFUNCTION("""COMPUTED_VALUE"""),"")</f>
        <v/>
      </c>
      <c r="B840" s="508" t="str">
        <f>IFERROR(__xludf.DUMMYFUNCTION("""COMPUTED_VALUE"""),"")</f>
        <v/>
      </c>
      <c r="C840" s="508" t="str">
        <f>IFERROR(__xludf.DUMMYFUNCTION("""COMPUTED_VALUE"""),"")</f>
        <v/>
      </c>
      <c r="D840" s="508" t="str">
        <f>IFERROR(__xludf.DUMMYFUNCTION("""COMPUTED_VALUE"""),"")</f>
        <v/>
      </c>
      <c r="E840" s="508" t="str">
        <f>IFERROR(__xludf.DUMMYFUNCTION("""COMPUTED_VALUE"""),"")</f>
        <v/>
      </c>
      <c r="F840" s="508" t="str">
        <f>IFERROR(__xludf.DUMMYFUNCTION("""COMPUTED_VALUE"""),"")</f>
        <v/>
      </c>
      <c r="G840" s="510" t="str">
        <f>IFERROR(__xludf.DUMMYFUNCTION("""COMPUTED_VALUE"""),"")</f>
        <v/>
      </c>
      <c r="H840" s="508" t="str">
        <f>IFERROR(__xludf.DUMMYFUNCTION("""COMPUTED_VALUE"""),"")</f>
        <v/>
      </c>
      <c r="I840" s="510" t="str">
        <f>IFERROR(__xludf.DUMMYFUNCTION("""COMPUTED_VALUE"""),"")</f>
        <v/>
      </c>
      <c r="J840" s="508" t="str">
        <f>IFERROR(__xludf.DUMMYFUNCTION("""COMPUTED_VALUE"""),"")</f>
        <v/>
      </c>
      <c r="K840" s="510" t="str">
        <f>IFERROR(__xludf.DUMMYFUNCTION("""COMPUTED_VALUE"""),"")</f>
        <v/>
      </c>
      <c r="L840" s="508" t="str">
        <f>IFERROR(__xludf.DUMMYFUNCTION("""COMPUTED_VALUE"""),"")</f>
        <v/>
      </c>
      <c r="M840" s="508" t="str">
        <f>IFERROR(__xludf.DUMMYFUNCTION("""COMPUTED_VALUE"""),"")</f>
        <v/>
      </c>
      <c r="N840" s="508" t="str">
        <f>IFERROR(__xludf.DUMMYFUNCTION("""COMPUTED_VALUE"""),"")</f>
        <v/>
      </c>
      <c r="O840" s="508" t="str">
        <f>IFERROR(__xludf.DUMMYFUNCTION("""COMPUTED_VALUE"""),"")</f>
        <v/>
      </c>
      <c r="P840" s="510" t="str">
        <f>IFERROR(__xludf.DUMMYFUNCTION("""COMPUTED_VALUE"""),"")</f>
        <v/>
      </c>
      <c r="Q840" s="508" t="str">
        <f>IFERROR(__xludf.DUMMYFUNCTION("""COMPUTED_VALUE"""),"")</f>
        <v/>
      </c>
      <c r="R840" s="508" t="str">
        <f>IFERROR(__xludf.DUMMYFUNCTION("""COMPUTED_VALUE"""),"")</f>
        <v/>
      </c>
      <c r="S840" s="510" t="str">
        <f>IFERROR(__xludf.DUMMYFUNCTION("""COMPUTED_VALUE"""),"")</f>
        <v/>
      </c>
      <c r="T840" s="510" t="str">
        <f>IFERROR(__xludf.DUMMYFUNCTION("""COMPUTED_VALUE"""),"")</f>
        <v/>
      </c>
    </row>
    <row r="841">
      <c r="A841" s="508" t="str">
        <f>IFERROR(__xludf.DUMMYFUNCTION("""COMPUTED_VALUE"""),"")</f>
        <v/>
      </c>
      <c r="B841" s="508" t="str">
        <f>IFERROR(__xludf.DUMMYFUNCTION("""COMPUTED_VALUE"""),"")</f>
        <v/>
      </c>
      <c r="C841" s="508" t="str">
        <f>IFERROR(__xludf.DUMMYFUNCTION("""COMPUTED_VALUE"""),"")</f>
        <v/>
      </c>
      <c r="D841" s="508" t="str">
        <f>IFERROR(__xludf.DUMMYFUNCTION("""COMPUTED_VALUE"""),"")</f>
        <v/>
      </c>
      <c r="E841" s="508" t="str">
        <f>IFERROR(__xludf.DUMMYFUNCTION("""COMPUTED_VALUE"""),"")</f>
        <v/>
      </c>
      <c r="F841" s="508" t="str">
        <f>IFERROR(__xludf.DUMMYFUNCTION("""COMPUTED_VALUE"""),"")</f>
        <v/>
      </c>
      <c r="G841" s="510" t="str">
        <f>IFERROR(__xludf.DUMMYFUNCTION("""COMPUTED_VALUE"""),"")</f>
        <v/>
      </c>
      <c r="H841" s="508" t="str">
        <f>IFERROR(__xludf.DUMMYFUNCTION("""COMPUTED_VALUE"""),"")</f>
        <v/>
      </c>
      <c r="I841" s="510" t="str">
        <f>IFERROR(__xludf.DUMMYFUNCTION("""COMPUTED_VALUE"""),"")</f>
        <v/>
      </c>
      <c r="J841" s="508" t="str">
        <f>IFERROR(__xludf.DUMMYFUNCTION("""COMPUTED_VALUE"""),"")</f>
        <v/>
      </c>
      <c r="K841" s="510" t="str">
        <f>IFERROR(__xludf.DUMMYFUNCTION("""COMPUTED_VALUE"""),"")</f>
        <v/>
      </c>
      <c r="L841" s="508" t="str">
        <f>IFERROR(__xludf.DUMMYFUNCTION("""COMPUTED_VALUE"""),"")</f>
        <v/>
      </c>
      <c r="M841" s="508" t="str">
        <f>IFERROR(__xludf.DUMMYFUNCTION("""COMPUTED_VALUE"""),"")</f>
        <v/>
      </c>
      <c r="N841" s="508" t="str">
        <f>IFERROR(__xludf.DUMMYFUNCTION("""COMPUTED_VALUE"""),"")</f>
        <v/>
      </c>
      <c r="O841" s="508" t="str">
        <f>IFERROR(__xludf.DUMMYFUNCTION("""COMPUTED_VALUE"""),"")</f>
        <v/>
      </c>
      <c r="P841" s="510" t="str">
        <f>IFERROR(__xludf.DUMMYFUNCTION("""COMPUTED_VALUE"""),"")</f>
        <v/>
      </c>
      <c r="Q841" s="508" t="str">
        <f>IFERROR(__xludf.DUMMYFUNCTION("""COMPUTED_VALUE"""),"")</f>
        <v/>
      </c>
      <c r="R841" s="508" t="str">
        <f>IFERROR(__xludf.DUMMYFUNCTION("""COMPUTED_VALUE"""),"")</f>
        <v/>
      </c>
      <c r="S841" s="510" t="str">
        <f>IFERROR(__xludf.DUMMYFUNCTION("""COMPUTED_VALUE"""),"")</f>
        <v/>
      </c>
      <c r="T841" s="510" t="str">
        <f>IFERROR(__xludf.DUMMYFUNCTION("""COMPUTED_VALUE"""),"")</f>
        <v/>
      </c>
    </row>
    <row r="842">
      <c r="A842" s="508" t="str">
        <f>IFERROR(__xludf.DUMMYFUNCTION("""COMPUTED_VALUE"""),"")</f>
        <v/>
      </c>
      <c r="B842" s="508" t="str">
        <f>IFERROR(__xludf.DUMMYFUNCTION("""COMPUTED_VALUE"""),"")</f>
        <v/>
      </c>
      <c r="C842" s="508" t="str">
        <f>IFERROR(__xludf.DUMMYFUNCTION("""COMPUTED_VALUE"""),"")</f>
        <v/>
      </c>
      <c r="D842" s="508" t="str">
        <f>IFERROR(__xludf.DUMMYFUNCTION("""COMPUTED_VALUE"""),"")</f>
        <v/>
      </c>
      <c r="E842" s="508" t="str">
        <f>IFERROR(__xludf.DUMMYFUNCTION("""COMPUTED_VALUE"""),"")</f>
        <v/>
      </c>
      <c r="F842" s="508" t="str">
        <f>IFERROR(__xludf.DUMMYFUNCTION("""COMPUTED_VALUE"""),"")</f>
        <v/>
      </c>
      <c r="G842" s="510" t="str">
        <f>IFERROR(__xludf.DUMMYFUNCTION("""COMPUTED_VALUE"""),"")</f>
        <v/>
      </c>
      <c r="H842" s="508" t="str">
        <f>IFERROR(__xludf.DUMMYFUNCTION("""COMPUTED_VALUE"""),"")</f>
        <v/>
      </c>
      <c r="I842" s="510" t="str">
        <f>IFERROR(__xludf.DUMMYFUNCTION("""COMPUTED_VALUE"""),"")</f>
        <v/>
      </c>
      <c r="J842" s="508" t="str">
        <f>IFERROR(__xludf.DUMMYFUNCTION("""COMPUTED_VALUE"""),"")</f>
        <v/>
      </c>
      <c r="K842" s="510" t="str">
        <f>IFERROR(__xludf.DUMMYFUNCTION("""COMPUTED_VALUE"""),"")</f>
        <v/>
      </c>
      <c r="L842" s="508" t="str">
        <f>IFERROR(__xludf.DUMMYFUNCTION("""COMPUTED_VALUE"""),"")</f>
        <v/>
      </c>
      <c r="M842" s="508" t="str">
        <f>IFERROR(__xludf.DUMMYFUNCTION("""COMPUTED_VALUE"""),"")</f>
        <v/>
      </c>
      <c r="N842" s="508" t="str">
        <f>IFERROR(__xludf.DUMMYFUNCTION("""COMPUTED_VALUE"""),"")</f>
        <v/>
      </c>
      <c r="O842" s="508" t="str">
        <f>IFERROR(__xludf.DUMMYFUNCTION("""COMPUTED_VALUE"""),"")</f>
        <v/>
      </c>
      <c r="P842" s="510" t="str">
        <f>IFERROR(__xludf.DUMMYFUNCTION("""COMPUTED_VALUE"""),"")</f>
        <v/>
      </c>
      <c r="Q842" s="508" t="str">
        <f>IFERROR(__xludf.DUMMYFUNCTION("""COMPUTED_VALUE"""),"")</f>
        <v/>
      </c>
      <c r="R842" s="508" t="str">
        <f>IFERROR(__xludf.DUMMYFUNCTION("""COMPUTED_VALUE"""),"")</f>
        <v/>
      </c>
      <c r="S842" s="510" t="str">
        <f>IFERROR(__xludf.DUMMYFUNCTION("""COMPUTED_VALUE"""),"")</f>
        <v/>
      </c>
      <c r="T842" s="510" t="str">
        <f>IFERROR(__xludf.DUMMYFUNCTION("""COMPUTED_VALUE"""),"")</f>
        <v/>
      </c>
    </row>
    <row r="843">
      <c r="A843" s="508" t="str">
        <f>IFERROR(__xludf.DUMMYFUNCTION("""COMPUTED_VALUE"""),"")</f>
        <v/>
      </c>
      <c r="B843" s="508" t="str">
        <f>IFERROR(__xludf.DUMMYFUNCTION("""COMPUTED_VALUE"""),"")</f>
        <v/>
      </c>
      <c r="C843" s="508" t="str">
        <f>IFERROR(__xludf.DUMMYFUNCTION("""COMPUTED_VALUE"""),"")</f>
        <v/>
      </c>
      <c r="D843" s="508" t="str">
        <f>IFERROR(__xludf.DUMMYFUNCTION("""COMPUTED_VALUE"""),"")</f>
        <v/>
      </c>
      <c r="E843" s="508" t="str">
        <f>IFERROR(__xludf.DUMMYFUNCTION("""COMPUTED_VALUE"""),"")</f>
        <v/>
      </c>
      <c r="F843" s="508" t="str">
        <f>IFERROR(__xludf.DUMMYFUNCTION("""COMPUTED_VALUE"""),"")</f>
        <v/>
      </c>
      <c r="G843" s="510" t="str">
        <f>IFERROR(__xludf.DUMMYFUNCTION("""COMPUTED_VALUE"""),"")</f>
        <v/>
      </c>
      <c r="H843" s="508" t="str">
        <f>IFERROR(__xludf.DUMMYFUNCTION("""COMPUTED_VALUE"""),"")</f>
        <v/>
      </c>
      <c r="I843" s="510" t="str">
        <f>IFERROR(__xludf.DUMMYFUNCTION("""COMPUTED_VALUE"""),"")</f>
        <v/>
      </c>
      <c r="J843" s="508" t="str">
        <f>IFERROR(__xludf.DUMMYFUNCTION("""COMPUTED_VALUE"""),"")</f>
        <v/>
      </c>
      <c r="K843" s="510" t="str">
        <f>IFERROR(__xludf.DUMMYFUNCTION("""COMPUTED_VALUE"""),"")</f>
        <v/>
      </c>
      <c r="L843" s="508" t="str">
        <f>IFERROR(__xludf.DUMMYFUNCTION("""COMPUTED_VALUE"""),"")</f>
        <v/>
      </c>
      <c r="M843" s="508" t="str">
        <f>IFERROR(__xludf.DUMMYFUNCTION("""COMPUTED_VALUE"""),"")</f>
        <v/>
      </c>
      <c r="N843" s="508" t="str">
        <f>IFERROR(__xludf.DUMMYFUNCTION("""COMPUTED_VALUE"""),"")</f>
        <v/>
      </c>
      <c r="O843" s="508" t="str">
        <f>IFERROR(__xludf.DUMMYFUNCTION("""COMPUTED_VALUE"""),"")</f>
        <v/>
      </c>
      <c r="P843" s="510" t="str">
        <f>IFERROR(__xludf.DUMMYFUNCTION("""COMPUTED_VALUE"""),"")</f>
        <v/>
      </c>
      <c r="Q843" s="508" t="str">
        <f>IFERROR(__xludf.DUMMYFUNCTION("""COMPUTED_VALUE"""),"")</f>
        <v/>
      </c>
      <c r="R843" s="508" t="str">
        <f>IFERROR(__xludf.DUMMYFUNCTION("""COMPUTED_VALUE"""),"")</f>
        <v/>
      </c>
      <c r="S843" s="510" t="str">
        <f>IFERROR(__xludf.DUMMYFUNCTION("""COMPUTED_VALUE"""),"")</f>
        <v/>
      </c>
      <c r="T843" s="510" t="str">
        <f>IFERROR(__xludf.DUMMYFUNCTION("""COMPUTED_VALUE"""),"")</f>
        <v/>
      </c>
    </row>
    <row r="844">
      <c r="A844" s="508" t="str">
        <f>IFERROR(__xludf.DUMMYFUNCTION("""COMPUTED_VALUE"""),"")</f>
        <v/>
      </c>
      <c r="B844" s="508" t="str">
        <f>IFERROR(__xludf.DUMMYFUNCTION("""COMPUTED_VALUE"""),"")</f>
        <v/>
      </c>
      <c r="C844" s="508" t="str">
        <f>IFERROR(__xludf.DUMMYFUNCTION("""COMPUTED_VALUE"""),"")</f>
        <v/>
      </c>
      <c r="D844" s="508" t="str">
        <f>IFERROR(__xludf.DUMMYFUNCTION("""COMPUTED_VALUE"""),"")</f>
        <v/>
      </c>
      <c r="E844" s="508" t="str">
        <f>IFERROR(__xludf.DUMMYFUNCTION("""COMPUTED_VALUE"""),"")</f>
        <v/>
      </c>
      <c r="F844" s="508" t="str">
        <f>IFERROR(__xludf.DUMMYFUNCTION("""COMPUTED_VALUE"""),"")</f>
        <v/>
      </c>
      <c r="G844" s="510" t="str">
        <f>IFERROR(__xludf.DUMMYFUNCTION("""COMPUTED_VALUE"""),"")</f>
        <v/>
      </c>
      <c r="H844" s="508" t="str">
        <f>IFERROR(__xludf.DUMMYFUNCTION("""COMPUTED_VALUE"""),"")</f>
        <v/>
      </c>
      <c r="I844" s="510" t="str">
        <f>IFERROR(__xludf.DUMMYFUNCTION("""COMPUTED_VALUE"""),"")</f>
        <v/>
      </c>
      <c r="J844" s="508" t="str">
        <f>IFERROR(__xludf.DUMMYFUNCTION("""COMPUTED_VALUE"""),"")</f>
        <v/>
      </c>
      <c r="K844" s="510" t="str">
        <f>IFERROR(__xludf.DUMMYFUNCTION("""COMPUTED_VALUE"""),"")</f>
        <v/>
      </c>
      <c r="L844" s="508" t="str">
        <f>IFERROR(__xludf.DUMMYFUNCTION("""COMPUTED_VALUE"""),"")</f>
        <v/>
      </c>
      <c r="M844" s="508" t="str">
        <f>IFERROR(__xludf.DUMMYFUNCTION("""COMPUTED_VALUE"""),"")</f>
        <v/>
      </c>
      <c r="N844" s="508" t="str">
        <f>IFERROR(__xludf.DUMMYFUNCTION("""COMPUTED_VALUE"""),"")</f>
        <v/>
      </c>
      <c r="O844" s="508" t="str">
        <f>IFERROR(__xludf.DUMMYFUNCTION("""COMPUTED_VALUE"""),"")</f>
        <v/>
      </c>
      <c r="P844" s="510" t="str">
        <f>IFERROR(__xludf.DUMMYFUNCTION("""COMPUTED_VALUE"""),"")</f>
        <v/>
      </c>
      <c r="Q844" s="508" t="str">
        <f>IFERROR(__xludf.DUMMYFUNCTION("""COMPUTED_VALUE"""),"")</f>
        <v/>
      </c>
      <c r="R844" s="508" t="str">
        <f>IFERROR(__xludf.DUMMYFUNCTION("""COMPUTED_VALUE"""),"")</f>
        <v/>
      </c>
      <c r="S844" s="510" t="str">
        <f>IFERROR(__xludf.DUMMYFUNCTION("""COMPUTED_VALUE"""),"")</f>
        <v/>
      </c>
      <c r="T844" s="510" t="str">
        <f>IFERROR(__xludf.DUMMYFUNCTION("""COMPUTED_VALUE"""),"")</f>
        <v/>
      </c>
    </row>
    <row r="845">
      <c r="A845" s="508" t="str">
        <f>IFERROR(__xludf.DUMMYFUNCTION("""COMPUTED_VALUE"""),"")</f>
        <v/>
      </c>
      <c r="B845" s="508" t="str">
        <f>IFERROR(__xludf.DUMMYFUNCTION("""COMPUTED_VALUE"""),"")</f>
        <v/>
      </c>
      <c r="C845" s="508" t="str">
        <f>IFERROR(__xludf.DUMMYFUNCTION("""COMPUTED_VALUE"""),"")</f>
        <v/>
      </c>
      <c r="D845" s="508" t="str">
        <f>IFERROR(__xludf.DUMMYFUNCTION("""COMPUTED_VALUE"""),"")</f>
        <v/>
      </c>
      <c r="E845" s="508" t="str">
        <f>IFERROR(__xludf.DUMMYFUNCTION("""COMPUTED_VALUE"""),"")</f>
        <v/>
      </c>
      <c r="F845" s="508" t="str">
        <f>IFERROR(__xludf.DUMMYFUNCTION("""COMPUTED_VALUE"""),"")</f>
        <v/>
      </c>
      <c r="G845" s="510" t="str">
        <f>IFERROR(__xludf.DUMMYFUNCTION("""COMPUTED_VALUE"""),"")</f>
        <v/>
      </c>
      <c r="H845" s="508" t="str">
        <f>IFERROR(__xludf.DUMMYFUNCTION("""COMPUTED_VALUE"""),"")</f>
        <v/>
      </c>
      <c r="I845" s="510" t="str">
        <f>IFERROR(__xludf.DUMMYFUNCTION("""COMPUTED_VALUE"""),"")</f>
        <v/>
      </c>
      <c r="J845" s="508" t="str">
        <f>IFERROR(__xludf.DUMMYFUNCTION("""COMPUTED_VALUE"""),"")</f>
        <v/>
      </c>
      <c r="K845" s="510" t="str">
        <f>IFERROR(__xludf.DUMMYFUNCTION("""COMPUTED_VALUE"""),"")</f>
        <v/>
      </c>
      <c r="L845" s="508" t="str">
        <f>IFERROR(__xludf.DUMMYFUNCTION("""COMPUTED_VALUE"""),"")</f>
        <v/>
      </c>
      <c r="M845" s="508" t="str">
        <f>IFERROR(__xludf.DUMMYFUNCTION("""COMPUTED_VALUE"""),"")</f>
        <v/>
      </c>
      <c r="N845" s="508" t="str">
        <f>IFERROR(__xludf.DUMMYFUNCTION("""COMPUTED_VALUE"""),"")</f>
        <v/>
      </c>
      <c r="O845" s="508" t="str">
        <f>IFERROR(__xludf.DUMMYFUNCTION("""COMPUTED_VALUE"""),"")</f>
        <v/>
      </c>
      <c r="P845" s="510" t="str">
        <f>IFERROR(__xludf.DUMMYFUNCTION("""COMPUTED_VALUE"""),"")</f>
        <v/>
      </c>
      <c r="Q845" s="508" t="str">
        <f>IFERROR(__xludf.DUMMYFUNCTION("""COMPUTED_VALUE"""),"")</f>
        <v/>
      </c>
      <c r="R845" s="508" t="str">
        <f>IFERROR(__xludf.DUMMYFUNCTION("""COMPUTED_VALUE"""),"")</f>
        <v/>
      </c>
      <c r="S845" s="510" t="str">
        <f>IFERROR(__xludf.DUMMYFUNCTION("""COMPUTED_VALUE"""),"")</f>
        <v/>
      </c>
      <c r="T845" s="510" t="str">
        <f>IFERROR(__xludf.DUMMYFUNCTION("""COMPUTED_VALUE"""),"")</f>
        <v/>
      </c>
    </row>
    <row r="846">
      <c r="A846" s="508" t="str">
        <f>IFERROR(__xludf.DUMMYFUNCTION("""COMPUTED_VALUE"""),"")</f>
        <v/>
      </c>
      <c r="B846" s="508" t="str">
        <f>IFERROR(__xludf.DUMMYFUNCTION("""COMPUTED_VALUE"""),"")</f>
        <v/>
      </c>
      <c r="C846" s="508" t="str">
        <f>IFERROR(__xludf.DUMMYFUNCTION("""COMPUTED_VALUE"""),"")</f>
        <v/>
      </c>
      <c r="D846" s="508" t="str">
        <f>IFERROR(__xludf.DUMMYFUNCTION("""COMPUTED_VALUE"""),"")</f>
        <v/>
      </c>
      <c r="E846" s="508" t="str">
        <f>IFERROR(__xludf.DUMMYFUNCTION("""COMPUTED_VALUE"""),"")</f>
        <v/>
      </c>
      <c r="F846" s="508" t="str">
        <f>IFERROR(__xludf.DUMMYFUNCTION("""COMPUTED_VALUE"""),"")</f>
        <v/>
      </c>
      <c r="G846" s="510" t="str">
        <f>IFERROR(__xludf.DUMMYFUNCTION("""COMPUTED_VALUE"""),"")</f>
        <v/>
      </c>
      <c r="H846" s="508" t="str">
        <f>IFERROR(__xludf.DUMMYFUNCTION("""COMPUTED_VALUE"""),"")</f>
        <v/>
      </c>
      <c r="I846" s="510" t="str">
        <f>IFERROR(__xludf.DUMMYFUNCTION("""COMPUTED_VALUE"""),"")</f>
        <v/>
      </c>
      <c r="J846" s="508" t="str">
        <f>IFERROR(__xludf.DUMMYFUNCTION("""COMPUTED_VALUE"""),"")</f>
        <v/>
      </c>
      <c r="K846" s="510" t="str">
        <f>IFERROR(__xludf.DUMMYFUNCTION("""COMPUTED_VALUE"""),"")</f>
        <v/>
      </c>
      <c r="L846" s="508" t="str">
        <f>IFERROR(__xludf.DUMMYFUNCTION("""COMPUTED_VALUE"""),"")</f>
        <v/>
      </c>
      <c r="M846" s="508" t="str">
        <f>IFERROR(__xludf.DUMMYFUNCTION("""COMPUTED_VALUE"""),"")</f>
        <v/>
      </c>
      <c r="N846" s="508" t="str">
        <f>IFERROR(__xludf.DUMMYFUNCTION("""COMPUTED_VALUE"""),"")</f>
        <v/>
      </c>
      <c r="O846" s="508" t="str">
        <f>IFERROR(__xludf.DUMMYFUNCTION("""COMPUTED_VALUE"""),"")</f>
        <v/>
      </c>
      <c r="P846" s="510" t="str">
        <f>IFERROR(__xludf.DUMMYFUNCTION("""COMPUTED_VALUE"""),"")</f>
        <v/>
      </c>
      <c r="Q846" s="508" t="str">
        <f>IFERROR(__xludf.DUMMYFUNCTION("""COMPUTED_VALUE"""),"")</f>
        <v/>
      </c>
      <c r="R846" s="508" t="str">
        <f>IFERROR(__xludf.DUMMYFUNCTION("""COMPUTED_VALUE"""),"")</f>
        <v/>
      </c>
      <c r="S846" s="510" t="str">
        <f>IFERROR(__xludf.DUMMYFUNCTION("""COMPUTED_VALUE"""),"")</f>
        <v/>
      </c>
      <c r="T846" s="510" t="str">
        <f>IFERROR(__xludf.DUMMYFUNCTION("""COMPUTED_VALUE"""),"")</f>
        <v/>
      </c>
    </row>
    <row r="847">
      <c r="A847" s="508" t="str">
        <f>IFERROR(__xludf.DUMMYFUNCTION("""COMPUTED_VALUE"""),"")</f>
        <v/>
      </c>
      <c r="B847" s="508" t="str">
        <f>IFERROR(__xludf.DUMMYFUNCTION("""COMPUTED_VALUE"""),"")</f>
        <v/>
      </c>
      <c r="C847" s="508" t="str">
        <f>IFERROR(__xludf.DUMMYFUNCTION("""COMPUTED_VALUE"""),"")</f>
        <v/>
      </c>
      <c r="D847" s="508" t="str">
        <f>IFERROR(__xludf.DUMMYFUNCTION("""COMPUTED_VALUE"""),"")</f>
        <v/>
      </c>
      <c r="E847" s="508" t="str">
        <f>IFERROR(__xludf.DUMMYFUNCTION("""COMPUTED_VALUE"""),"")</f>
        <v/>
      </c>
      <c r="F847" s="508" t="str">
        <f>IFERROR(__xludf.DUMMYFUNCTION("""COMPUTED_VALUE"""),"")</f>
        <v/>
      </c>
      <c r="G847" s="510" t="str">
        <f>IFERROR(__xludf.DUMMYFUNCTION("""COMPUTED_VALUE"""),"")</f>
        <v/>
      </c>
      <c r="H847" s="508" t="str">
        <f>IFERROR(__xludf.DUMMYFUNCTION("""COMPUTED_VALUE"""),"")</f>
        <v/>
      </c>
      <c r="I847" s="510" t="str">
        <f>IFERROR(__xludf.DUMMYFUNCTION("""COMPUTED_VALUE"""),"")</f>
        <v/>
      </c>
      <c r="J847" s="508" t="str">
        <f>IFERROR(__xludf.DUMMYFUNCTION("""COMPUTED_VALUE"""),"")</f>
        <v/>
      </c>
      <c r="K847" s="510" t="str">
        <f>IFERROR(__xludf.DUMMYFUNCTION("""COMPUTED_VALUE"""),"")</f>
        <v/>
      </c>
      <c r="L847" s="508" t="str">
        <f>IFERROR(__xludf.DUMMYFUNCTION("""COMPUTED_VALUE"""),"")</f>
        <v/>
      </c>
      <c r="M847" s="508" t="str">
        <f>IFERROR(__xludf.DUMMYFUNCTION("""COMPUTED_VALUE"""),"")</f>
        <v/>
      </c>
      <c r="N847" s="508" t="str">
        <f>IFERROR(__xludf.DUMMYFUNCTION("""COMPUTED_VALUE"""),"")</f>
        <v/>
      </c>
      <c r="O847" s="508" t="str">
        <f>IFERROR(__xludf.DUMMYFUNCTION("""COMPUTED_VALUE"""),"")</f>
        <v/>
      </c>
      <c r="P847" s="510" t="str">
        <f>IFERROR(__xludf.DUMMYFUNCTION("""COMPUTED_VALUE"""),"")</f>
        <v/>
      </c>
      <c r="Q847" s="508" t="str">
        <f>IFERROR(__xludf.DUMMYFUNCTION("""COMPUTED_VALUE"""),"")</f>
        <v/>
      </c>
      <c r="R847" s="508" t="str">
        <f>IFERROR(__xludf.DUMMYFUNCTION("""COMPUTED_VALUE"""),"")</f>
        <v/>
      </c>
      <c r="S847" s="510" t="str">
        <f>IFERROR(__xludf.DUMMYFUNCTION("""COMPUTED_VALUE"""),"")</f>
        <v/>
      </c>
      <c r="T847" s="510" t="str">
        <f>IFERROR(__xludf.DUMMYFUNCTION("""COMPUTED_VALUE"""),"")</f>
        <v/>
      </c>
    </row>
    <row r="848">
      <c r="A848" s="508" t="str">
        <f>IFERROR(__xludf.DUMMYFUNCTION("""COMPUTED_VALUE"""),"")</f>
        <v/>
      </c>
      <c r="B848" s="508" t="str">
        <f>IFERROR(__xludf.DUMMYFUNCTION("""COMPUTED_VALUE"""),"")</f>
        <v/>
      </c>
      <c r="C848" s="508" t="str">
        <f>IFERROR(__xludf.DUMMYFUNCTION("""COMPUTED_VALUE"""),"")</f>
        <v/>
      </c>
      <c r="D848" s="508" t="str">
        <f>IFERROR(__xludf.DUMMYFUNCTION("""COMPUTED_VALUE"""),"")</f>
        <v/>
      </c>
      <c r="E848" s="508" t="str">
        <f>IFERROR(__xludf.DUMMYFUNCTION("""COMPUTED_VALUE"""),"")</f>
        <v/>
      </c>
      <c r="F848" s="508" t="str">
        <f>IFERROR(__xludf.DUMMYFUNCTION("""COMPUTED_VALUE"""),"")</f>
        <v/>
      </c>
      <c r="G848" s="510" t="str">
        <f>IFERROR(__xludf.DUMMYFUNCTION("""COMPUTED_VALUE"""),"")</f>
        <v/>
      </c>
      <c r="H848" s="508" t="str">
        <f>IFERROR(__xludf.DUMMYFUNCTION("""COMPUTED_VALUE"""),"")</f>
        <v/>
      </c>
      <c r="I848" s="510" t="str">
        <f>IFERROR(__xludf.DUMMYFUNCTION("""COMPUTED_VALUE"""),"")</f>
        <v/>
      </c>
      <c r="J848" s="508" t="str">
        <f>IFERROR(__xludf.DUMMYFUNCTION("""COMPUTED_VALUE"""),"")</f>
        <v/>
      </c>
      <c r="K848" s="510" t="str">
        <f>IFERROR(__xludf.DUMMYFUNCTION("""COMPUTED_VALUE"""),"")</f>
        <v/>
      </c>
      <c r="L848" s="508" t="str">
        <f>IFERROR(__xludf.DUMMYFUNCTION("""COMPUTED_VALUE"""),"")</f>
        <v/>
      </c>
      <c r="M848" s="508" t="str">
        <f>IFERROR(__xludf.DUMMYFUNCTION("""COMPUTED_VALUE"""),"")</f>
        <v/>
      </c>
      <c r="N848" s="508" t="str">
        <f>IFERROR(__xludf.DUMMYFUNCTION("""COMPUTED_VALUE"""),"")</f>
        <v/>
      </c>
      <c r="O848" s="508" t="str">
        <f>IFERROR(__xludf.DUMMYFUNCTION("""COMPUTED_VALUE"""),"")</f>
        <v/>
      </c>
      <c r="P848" s="510" t="str">
        <f>IFERROR(__xludf.DUMMYFUNCTION("""COMPUTED_VALUE"""),"")</f>
        <v/>
      </c>
      <c r="Q848" s="508" t="str">
        <f>IFERROR(__xludf.DUMMYFUNCTION("""COMPUTED_VALUE"""),"")</f>
        <v/>
      </c>
      <c r="R848" s="508" t="str">
        <f>IFERROR(__xludf.DUMMYFUNCTION("""COMPUTED_VALUE"""),"")</f>
        <v/>
      </c>
      <c r="S848" s="510" t="str">
        <f>IFERROR(__xludf.DUMMYFUNCTION("""COMPUTED_VALUE"""),"")</f>
        <v/>
      </c>
      <c r="T848" s="510" t="str">
        <f>IFERROR(__xludf.DUMMYFUNCTION("""COMPUTED_VALUE"""),"")</f>
        <v/>
      </c>
    </row>
    <row r="849">
      <c r="A849" s="508" t="str">
        <f>IFERROR(__xludf.DUMMYFUNCTION("""COMPUTED_VALUE"""),"")</f>
        <v/>
      </c>
      <c r="B849" s="508" t="str">
        <f>IFERROR(__xludf.DUMMYFUNCTION("""COMPUTED_VALUE"""),"")</f>
        <v/>
      </c>
      <c r="C849" s="508" t="str">
        <f>IFERROR(__xludf.DUMMYFUNCTION("""COMPUTED_VALUE"""),"")</f>
        <v/>
      </c>
      <c r="D849" s="508" t="str">
        <f>IFERROR(__xludf.DUMMYFUNCTION("""COMPUTED_VALUE"""),"")</f>
        <v/>
      </c>
      <c r="E849" s="508" t="str">
        <f>IFERROR(__xludf.DUMMYFUNCTION("""COMPUTED_VALUE"""),"")</f>
        <v/>
      </c>
      <c r="F849" s="508" t="str">
        <f>IFERROR(__xludf.DUMMYFUNCTION("""COMPUTED_VALUE"""),"")</f>
        <v/>
      </c>
      <c r="G849" s="510" t="str">
        <f>IFERROR(__xludf.DUMMYFUNCTION("""COMPUTED_VALUE"""),"")</f>
        <v/>
      </c>
      <c r="H849" s="508" t="str">
        <f>IFERROR(__xludf.DUMMYFUNCTION("""COMPUTED_VALUE"""),"")</f>
        <v/>
      </c>
      <c r="I849" s="510" t="str">
        <f>IFERROR(__xludf.DUMMYFUNCTION("""COMPUTED_VALUE"""),"")</f>
        <v/>
      </c>
      <c r="J849" s="508" t="str">
        <f>IFERROR(__xludf.DUMMYFUNCTION("""COMPUTED_VALUE"""),"")</f>
        <v/>
      </c>
      <c r="K849" s="510" t="str">
        <f>IFERROR(__xludf.DUMMYFUNCTION("""COMPUTED_VALUE"""),"")</f>
        <v/>
      </c>
      <c r="L849" s="508" t="str">
        <f>IFERROR(__xludf.DUMMYFUNCTION("""COMPUTED_VALUE"""),"")</f>
        <v/>
      </c>
      <c r="M849" s="508" t="str">
        <f>IFERROR(__xludf.DUMMYFUNCTION("""COMPUTED_VALUE"""),"")</f>
        <v/>
      </c>
      <c r="N849" s="508" t="str">
        <f>IFERROR(__xludf.DUMMYFUNCTION("""COMPUTED_VALUE"""),"")</f>
        <v/>
      </c>
      <c r="O849" s="508" t="str">
        <f>IFERROR(__xludf.DUMMYFUNCTION("""COMPUTED_VALUE"""),"")</f>
        <v/>
      </c>
      <c r="P849" s="510" t="str">
        <f>IFERROR(__xludf.DUMMYFUNCTION("""COMPUTED_VALUE"""),"")</f>
        <v/>
      </c>
      <c r="Q849" s="508" t="str">
        <f>IFERROR(__xludf.DUMMYFUNCTION("""COMPUTED_VALUE"""),"")</f>
        <v/>
      </c>
      <c r="R849" s="508" t="str">
        <f>IFERROR(__xludf.DUMMYFUNCTION("""COMPUTED_VALUE"""),"")</f>
        <v/>
      </c>
      <c r="S849" s="510" t="str">
        <f>IFERROR(__xludf.DUMMYFUNCTION("""COMPUTED_VALUE"""),"")</f>
        <v/>
      </c>
      <c r="T849" s="510" t="str">
        <f>IFERROR(__xludf.DUMMYFUNCTION("""COMPUTED_VALUE"""),"")</f>
        <v/>
      </c>
    </row>
    <row r="850">
      <c r="A850" s="508" t="str">
        <f>IFERROR(__xludf.DUMMYFUNCTION("""COMPUTED_VALUE"""),"")</f>
        <v/>
      </c>
      <c r="B850" s="508" t="str">
        <f>IFERROR(__xludf.DUMMYFUNCTION("""COMPUTED_VALUE"""),"")</f>
        <v/>
      </c>
      <c r="C850" s="508" t="str">
        <f>IFERROR(__xludf.DUMMYFUNCTION("""COMPUTED_VALUE"""),"")</f>
        <v/>
      </c>
      <c r="D850" s="508" t="str">
        <f>IFERROR(__xludf.DUMMYFUNCTION("""COMPUTED_VALUE"""),"")</f>
        <v/>
      </c>
      <c r="E850" s="508" t="str">
        <f>IFERROR(__xludf.DUMMYFUNCTION("""COMPUTED_VALUE"""),"")</f>
        <v/>
      </c>
      <c r="F850" s="508" t="str">
        <f>IFERROR(__xludf.DUMMYFUNCTION("""COMPUTED_VALUE"""),"")</f>
        <v/>
      </c>
      <c r="G850" s="510" t="str">
        <f>IFERROR(__xludf.DUMMYFUNCTION("""COMPUTED_VALUE"""),"")</f>
        <v/>
      </c>
      <c r="H850" s="508" t="str">
        <f>IFERROR(__xludf.DUMMYFUNCTION("""COMPUTED_VALUE"""),"")</f>
        <v/>
      </c>
      <c r="I850" s="510" t="str">
        <f>IFERROR(__xludf.DUMMYFUNCTION("""COMPUTED_VALUE"""),"")</f>
        <v/>
      </c>
      <c r="J850" s="508" t="str">
        <f>IFERROR(__xludf.DUMMYFUNCTION("""COMPUTED_VALUE"""),"")</f>
        <v/>
      </c>
      <c r="K850" s="510" t="str">
        <f>IFERROR(__xludf.DUMMYFUNCTION("""COMPUTED_VALUE"""),"")</f>
        <v/>
      </c>
      <c r="L850" s="508" t="str">
        <f>IFERROR(__xludf.DUMMYFUNCTION("""COMPUTED_VALUE"""),"")</f>
        <v/>
      </c>
      <c r="M850" s="508" t="str">
        <f>IFERROR(__xludf.DUMMYFUNCTION("""COMPUTED_VALUE"""),"")</f>
        <v/>
      </c>
      <c r="N850" s="508" t="str">
        <f>IFERROR(__xludf.DUMMYFUNCTION("""COMPUTED_VALUE"""),"")</f>
        <v/>
      </c>
      <c r="O850" s="508" t="str">
        <f>IFERROR(__xludf.DUMMYFUNCTION("""COMPUTED_VALUE"""),"")</f>
        <v/>
      </c>
      <c r="P850" s="510" t="str">
        <f>IFERROR(__xludf.DUMMYFUNCTION("""COMPUTED_VALUE"""),"")</f>
        <v/>
      </c>
      <c r="Q850" s="508" t="str">
        <f>IFERROR(__xludf.DUMMYFUNCTION("""COMPUTED_VALUE"""),"")</f>
        <v/>
      </c>
      <c r="R850" s="508" t="str">
        <f>IFERROR(__xludf.DUMMYFUNCTION("""COMPUTED_VALUE"""),"")</f>
        <v/>
      </c>
      <c r="S850" s="510" t="str">
        <f>IFERROR(__xludf.DUMMYFUNCTION("""COMPUTED_VALUE"""),"")</f>
        <v/>
      </c>
      <c r="T850" s="510" t="str">
        <f>IFERROR(__xludf.DUMMYFUNCTION("""COMPUTED_VALUE"""),"")</f>
        <v/>
      </c>
    </row>
    <row r="851">
      <c r="A851" s="508" t="str">
        <f>IFERROR(__xludf.DUMMYFUNCTION("""COMPUTED_VALUE"""),"")</f>
        <v/>
      </c>
      <c r="B851" s="508" t="str">
        <f>IFERROR(__xludf.DUMMYFUNCTION("""COMPUTED_VALUE"""),"")</f>
        <v/>
      </c>
      <c r="C851" s="508" t="str">
        <f>IFERROR(__xludf.DUMMYFUNCTION("""COMPUTED_VALUE"""),"")</f>
        <v/>
      </c>
      <c r="D851" s="508" t="str">
        <f>IFERROR(__xludf.DUMMYFUNCTION("""COMPUTED_VALUE"""),"")</f>
        <v/>
      </c>
      <c r="E851" s="508" t="str">
        <f>IFERROR(__xludf.DUMMYFUNCTION("""COMPUTED_VALUE"""),"")</f>
        <v/>
      </c>
      <c r="F851" s="508" t="str">
        <f>IFERROR(__xludf.DUMMYFUNCTION("""COMPUTED_VALUE"""),"")</f>
        <v/>
      </c>
      <c r="G851" s="510" t="str">
        <f>IFERROR(__xludf.DUMMYFUNCTION("""COMPUTED_VALUE"""),"")</f>
        <v/>
      </c>
      <c r="H851" s="508" t="str">
        <f>IFERROR(__xludf.DUMMYFUNCTION("""COMPUTED_VALUE"""),"")</f>
        <v/>
      </c>
      <c r="I851" s="510" t="str">
        <f>IFERROR(__xludf.DUMMYFUNCTION("""COMPUTED_VALUE"""),"")</f>
        <v/>
      </c>
      <c r="J851" s="508" t="str">
        <f>IFERROR(__xludf.DUMMYFUNCTION("""COMPUTED_VALUE"""),"")</f>
        <v/>
      </c>
      <c r="K851" s="510" t="str">
        <f>IFERROR(__xludf.DUMMYFUNCTION("""COMPUTED_VALUE"""),"")</f>
        <v/>
      </c>
      <c r="L851" s="508" t="str">
        <f>IFERROR(__xludf.DUMMYFUNCTION("""COMPUTED_VALUE"""),"")</f>
        <v/>
      </c>
      <c r="M851" s="508" t="str">
        <f>IFERROR(__xludf.DUMMYFUNCTION("""COMPUTED_VALUE"""),"")</f>
        <v/>
      </c>
      <c r="N851" s="508" t="str">
        <f>IFERROR(__xludf.DUMMYFUNCTION("""COMPUTED_VALUE"""),"")</f>
        <v/>
      </c>
      <c r="O851" s="508" t="str">
        <f>IFERROR(__xludf.DUMMYFUNCTION("""COMPUTED_VALUE"""),"")</f>
        <v/>
      </c>
      <c r="P851" s="510" t="str">
        <f>IFERROR(__xludf.DUMMYFUNCTION("""COMPUTED_VALUE"""),"")</f>
        <v/>
      </c>
      <c r="Q851" s="508" t="str">
        <f>IFERROR(__xludf.DUMMYFUNCTION("""COMPUTED_VALUE"""),"")</f>
        <v/>
      </c>
      <c r="R851" s="508" t="str">
        <f>IFERROR(__xludf.DUMMYFUNCTION("""COMPUTED_VALUE"""),"")</f>
        <v/>
      </c>
      <c r="S851" s="510" t="str">
        <f>IFERROR(__xludf.DUMMYFUNCTION("""COMPUTED_VALUE"""),"")</f>
        <v/>
      </c>
      <c r="T851" s="510" t="str">
        <f>IFERROR(__xludf.DUMMYFUNCTION("""COMPUTED_VALUE"""),"")</f>
        <v/>
      </c>
    </row>
    <row r="852">
      <c r="A852" s="508" t="str">
        <f>IFERROR(__xludf.DUMMYFUNCTION("""COMPUTED_VALUE"""),"")</f>
        <v/>
      </c>
      <c r="B852" s="508" t="str">
        <f>IFERROR(__xludf.DUMMYFUNCTION("""COMPUTED_VALUE"""),"")</f>
        <v/>
      </c>
      <c r="C852" s="508" t="str">
        <f>IFERROR(__xludf.DUMMYFUNCTION("""COMPUTED_VALUE"""),"")</f>
        <v/>
      </c>
      <c r="D852" s="508" t="str">
        <f>IFERROR(__xludf.DUMMYFUNCTION("""COMPUTED_VALUE"""),"")</f>
        <v/>
      </c>
      <c r="E852" s="508" t="str">
        <f>IFERROR(__xludf.DUMMYFUNCTION("""COMPUTED_VALUE"""),"")</f>
        <v/>
      </c>
      <c r="F852" s="508" t="str">
        <f>IFERROR(__xludf.DUMMYFUNCTION("""COMPUTED_VALUE"""),"")</f>
        <v/>
      </c>
      <c r="G852" s="510" t="str">
        <f>IFERROR(__xludf.DUMMYFUNCTION("""COMPUTED_VALUE"""),"")</f>
        <v/>
      </c>
      <c r="H852" s="508" t="str">
        <f>IFERROR(__xludf.DUMMYFUNCTION("""COMPUTED_VALUE"""),"")</f>
        <v/>
      </c>
      <c r="I852" s="510" t="str">
        <f>IFERROR(__xludf.DUMMYFUNCTION("""COMPUTED_VALUE"""),"")</f>
        <v/>
      </c>
      <c r="J852" s="508" t="str">
        <f>IFERROR(__xludf.DUMMYFUNCTION("""COMPUTED_VALUE"""),"")</f>
        <v/>
      </c>
      <c r="K852" s="510" t="str">
        <f>IFERROR(__xludf.DUMMYFUNCTION("""COMPUTED_VALUE"""),"")</f>
        <v/>
      </c>
      <c r="L852" s="508" t="str">
        <f>IFERROR(__xludf.DUMMYFUNCTION("""COMPUTED_VALUE"""),"")</f>
        <v/>
      </c>
      <c r="M852" s="508" t="str">
        <f>IFERROR(__xludf.DUMMYFUNCTION("""COMPUTED_VALUE"""),"")</f>
        <v/>
      </c>
      <c r="N852" s="508" t="str">
        <f>IFERROR(__xludf.DUMMYFUNCTION("""COMPUTED_VALUE"""),"")</f>
        <v/>
      </c>
      <c r="O852" s="508" t="str">
        <f>IFERROR(__xludf.DUMMYFUNCTION("""COMPUTED_VALUE"""),"")</f>
        <v/>
      </c>
      <c r="P852" s="510" t="str">
        <f>IFERROR(__xludf.DUMMYFUNCTION("""COMPUTED_VALUE"""),"")</f>
        <v/>
      </c>
      <c r="Q852" s="508" t="str">
        <f>IFERROR(__xludf.DUMMYFUNCTION("""COMPUTED_VALUE"""),"")</f>
        <v/>
      </c>
      <c r="R852" s="508" t="str">
        <f>IFERROR(__xludf.DUMMYFUNCTION("""COMPUTED_VALUE"""),"")</f>
        <v/>
      </c>
      <c r="S852" s="510" t="str">
        <f>IFERROR(__xludf.DUMMYFUNCTION("""COMPUTED_VALUE"""),"")</f>
        <v/>
      </c>
      <c r="T852" s="510" t="str">
        <f>IFERROR(__xludf.DUMMYFUNCTION("""COMPUTED_VALUE"""),"")</f>
        <v/>
      </c>
    </row>
    <row r="853">
      <c r="A853" s="508" t="str">
        <f>IFERROR(__xludf.DUMMYFUNCTION("""COMPUTED_VALUE"""),"")</f>
        <v/>
      </c>
      <c r="B853" s="508" t="str">
        <f>IFERROR(__xludf.DUMMYFUNCTION("""COMPUTED_VALUE"""),"")</f>
        <v/>
      </c>
      <c r="C853" s="508" t="str">
        <f>IFERROR(__xludf.DUMMYFUNCTION("""COMPUTED_VALUE"""),"")</f>
        <v/>
      </c>
      <c r="D853" s="508" t="str">
        <f>IFERROR(__xludf.DUMMYFUNCTION("""COMPUTED_VALUE"""),"")</f>
        <v/>
      </c>
      <c r="E853" s="508" t="str">
        <f>IFERROR(__xludf.DUMMYFUNCTION("""COMPUTED_VALUE"""),"")</f>
        <v/>
      </c>
      <c r="F853" s="508" t="str">
        <f>IFERROR(__xludf.DUMMYFUNCTION("""COMPUTED_VALUE"""),"")</f>
        <v/>
      </c>
      <c r="G853" s="510" t="str">
        <f>IFERROR(__xludf.DUMMYFUNCTION("""COMPUTED_VALUE"""),"")</f>
        <v/>
      </c>
      <c r="H853" s="508" t="str">
        <f>IFERROR(__xludf.DUMMYFUNCTION("""COMPUTED_VALUE"""),"")</f>
        <v/>
      </c>
      <c r="I853" s="510" t="str">
        <f>IFERROR(__xludf.DUMMYFUNCTION("""COMPUTED_VALUE"""),"")</f>
        <v/>
      </c>
      <c r="J853" s="508" t="str">
        <f>IFERROR(__xludf.DUMMYFUNCTION("""COMPUTED_VALUE"""),"")</f>
        <v/>
      </c>
      <c r="K853" s="510" t="str">
        <f>IFERROR(__xludf.DUMMYFUNCTION("""COMPUTED_VALUE"""),"")</f>
        <v/>
      </c>
      <c r="L853" s="508" t="str">
        <f>IFERROR(__xludf.DUMMYFUNCTION("""COMPUTED_VALUE"""),"")</f>
        <v/>
      </c>
      <c r="M853" s="508" t="str">
        <f>IFERROR(__xludf.DUMMYFUNCTION("""COMPUTED_VALUE"""),"")</f>
        <v/>
      </c>
      <c r="N853" s="508" t="str">
        <f>IFERROR(__xludf.DUMMYFUNCTION("""COMPUTED_VALUE"""),"")</f>
        <v/>
      </c>
      <c r="O853" s="508" t="str">
        <f>IFERROR(__xludf.DUMMYFUNCTION("""COMPUTED_VALUE"""),"")</f>
        <v/>
      </c>
      <c r="P853" s="510" t="str">
        <f>IFERROR(__xludf.DUMMYFUNCTION("""COMPUTED_VALUE"""),"")</f>
        <v/>
      </c>
      <c r="Q853" s="508" t="str">
        <f>IFERROR(__xludf.DUMMYFUNCTION("""COMPUTED_VALUE"""),"")</f>
        <v/>
      </c>
      <c r="R853" s="508" t="str">
        <f>IFERROR(__xludf.DUMMYFUNCTION("""COMPUTED_VALUE"""),"")</f>
        <v/>
      </c>
      <c r="S853" s="510" t="str">
        <f>IFERROR(__xludf.DUMMYFUNCTION("""COMPUTED_VALUE"""),"")</f>
        <v/>
      </c>
      <c r="T853" s="510" t="str">
        <f>IFERROR(__xludf.DUMMYFUNCTION("""COMPUTED_VALUE"""),"")</f>
        <v/>
      </c>
    </row>
    <row r="854">
      <c r="A854" s="508" t="str">
        <f>IFERROR(__xludf.DUMMYFUNCTION("""COMPUTED_VALUE"""),"")</f>
        <v/>
      </c>
      <c r="B854" s="508" t="str">
        <f>IFERROR(__xludf.DUMMYFUNCTION("""COMPUTED_VALUE"""),"")</f>
        <v/>
      </c>
      <c r="C854" s="508" t="str">
        <f>IFERROR(__xludf.DUMMYFUNCTION("""COMPUTED_VALUE"""),"")</f>
        <v/>
      </c>
      <c r="D854" s="508" t="str">
        <f>IFERROR(__xludf.DUMMYFUNCTION("""COMPUTED_VALUE"""),"")</f>
        <v/>
      </c>
      <c r="E854" s="508" t="str">
        <f>IFERROR(__xludf.DUMMYFUNCTION("""COMPUTED_VALUE"""),"")</f>
        <v/>
      </c>
      <c r="F854" s="508" t="str">
        <f>IFERROR(__xludf.DUMMYFUNCTION("""COMPUTED_VALUE"""),"")</f>
        <v/>
      </c>
      <c r="G854" s="510" t="str">
        <f>IFERROR(__xludf.DUMMYFUNCTION("""COMPUTED_VALUE"""),"")</f>
        <v/>
      </c>
      <c r="H854" s="508" t="str">
        <f>IFERROR(__xludf.DUMMYFUNCTION("""COMPUTED_VALUE"""),"")</f>
        <v/>
      </c>
      <c r="I854" s="510" t="str">
        <f>IFERROR(__xludf.DUMMYFUNCTION("""COMPUTED_VALUE"""),"")</f>
        <v/>
      </c>
      <c r="J854" s="508" t="str">
        <f>IFERROR(__xludf.DUMMYFUNCTION("""COMPUTED_VALUE"""),"")</f>
        <v/>
      </c>
      <c r="K854" s="510" t="str">
        <f>IFERROR(__xludf.DUMMYFUNCTION("""COMPUTED_VALUE"""),"")</f>
        <v/>
      </c>
      <c r="L854" s="508" t="str">
        <f>IFERROR(__xludf.DUMMYFUNCTION("""COMPUTED_VALUE"""),"")</f>
        <v/>
      </c>
      <c r="M854" s="508" t="str">
        <f>IFERROR(__xludf.DUMMYFUNCTION("""COMPUTED_VALUE"""),"")</f>
        <v/>
      </c>
      <c r="N854" s="508" t="str">
        <f>IFERROR(__xludf.DUMMYFUNCTION("""COMPUTED_VALUE"""),"")</f>
        <v/>
      </c>
      <c r="O854" s="508" t="str">
        <f>IFERROR(__xludf.DUMMYFUNCTION("""COMPUTED_VALUE"""),"")</f>
        <v/>
      </c>
      <c r="P854" s="510" t="str">
        <f>IFERROR(__xludf.DUMMYFUNCTION("""COMPUTED_VALUE"""),"")</f>
        <v/>
      </c>
      <c r="Q854" s="508" t="str">
        <f>IFERROR(__xludf.DUMMYFUNCTION("""COMPUTED_VALUE"""),"")</f>
        <v/>
      </c>
      <c r="R854" s="508" t="str">
        <f>IFERROR(__xludf.DUMMYFUNCTION("""COMPUTED_VALUE"""),"")</f>
        <v/>
      </c>
      <c r="S854" s="510" t="str">
        <f>IFERROR(__xludf.DUMMYFUNCTION("""COMPUTED_VALUE"""),"")</f>
        <v/>
      </c>
      <c r="T854" s="510" t="str">
        <f>IFERROR(__xludf.DUMMYFUNCTION("""COMPUTED_VALUE"""),"")</f>
        <v/>
      </c>
    </row>
    <row r="855">
      <c r="A855" s="508" t="str">
        <f>IFERROR(__xludf.DUMMYFUNCTION("""COMPUTED_VALUE"""),"")</f>
        <v/>
      </c>
      <c r="B855" s="508" t="str">
        <f>IFERROR(__xludf.DUMMYFUNCTION("""COMPUTED_VALUE"""),"")</f>
        <v/>
      </c>
      <c r="C855" s="508" t="str">
        <f>IFERROR(__xludf.DUMMYFUNCTION("""COMPUTED_VALUE"""),"")</f>
        <v/>
      </c>
      <c r="D855" s="508" t="str">
        <f>IFERROR(__xludf.DUMMYFUNCTION("""COMPUTED_VALUE"""),"")</f>
        <v/>
      </c>
      <c r="E855" s="508" t="str">
        <f>IFERROR(__xludf.DUMMYFUNCTION("""COMPUTED_VALUE"""),"")</f>
        <v/>
      </c>
      <c r="F855" s="508" t="str">
        <f>IFERROR(__xludf.DUMMYFUNCTION("""COMPUTED_VALUE"""),"")</f>
        <v/>
      </c>
      <c r="G855" s="510" t="str">
        <f>IFERROR(__xludf.DUMMYFUNCTION("""COMPUTED_VALUE"""),"")</f>
        <v/>
      </c>
      <c r="H855" s="508" t="str">
        <f>IFERROR(__xludf.DUMMYFUNCTION("""COMPUTED_VALUE"""),"")</f>
        <v/>
      </c>
      <c r="I855" s="510" t="str">
        <f>IFERROR(__xludf.DUMMYFUNCTION("""COMPUTED_VALUE"""),"")</f>
        <v/>
      </c>
      <c r="J855" s="508" t="str">
        <f>IFERROR(__xludf.DUMMYFUNCTION("""COMPUTED_VALUE"""),"")</f>
        <v/>
      </c>
      <c r="K855" s="510" t="str">
        <f>IFERROR(__xludf.DUMMYFUNCTION("""COMPUTED_VALUE"""),"")</f>
        <v/>
      </c>
      <c r="L855" s="508" t="str">
        <f>IFERROR(__xludf.DUMMYFUNCTION("""COMPUTED_VALUE"""),"")</f>
        <v/>
      </c>
      <c r="M855" s="508" t="str">
        <f>IFERROR(__xludf.DUMMYFUNCTION("""COMPUTED_VALUE"""),"")</f>
        <v/>
      </c>
      <c r="N855" s="508" t="str">
        <f>IFERROR(__xludf.DUMMYFUNCTION("""COMPUTED_VALUE"""),"")</f>
        <v/>
      </c>
      <c r="O855" s="508" t="str">
        <f>IFERROR(__xludf.DUMMYFUNCTION("""COMPUTED_VALUE"""),"")</f>
        <v/>
      </c>
      <c r="P855" s="510" t="str">
        <f>IFERROR(__xludf.DUMMYFUNCTION("""COMPUTED_VALUE"""),"")</f>
        <v/>
      </c>
      <c r="Q855" s="508" t="str">
        <f>IFERROR(__xludf.DUMMYFUNCTION("""COMPUTED_VALUE"""),"")</f>
        <v/>
      </c>
      <c r="R855" s="508" t="str">
        <f>IFERROR(__xludf.DUMMYFUNCTION("""COMPUTED_VALUE"""),"")</f>
        <v/>
      </c>
      <c r="S855" s="510" t="str">
        <f>IFERROR(__xludf.DUMMYFUNCTION("""COMPUTED_VALUE"""),"")</f>
        <v/>
      </c>
      <c r="T855" s="510" t="str">
        <f>IFERROR(__xludf.DUMMYFUNCTION("""COMPUTED_VALUE"""),"")</f>
        <v/>
      </c>
    </row>
    <row r="856">
      <c r="A856" s="508" t="str">
        <f>IFERROR(__xludf.DUMMYFUNCTION("""COMPUTED_VALUE"""),"")</f>
        <v/>
      </c>
      <c r="B856" s="508" t="str">
        <f>IFERROR(__xludf.DUMMYFUNCTION("""COMPUTED_VALUE"""),"")</f>
        <v/>
      </c>
      <c r="C856" s="508" t="str">
        <f>IFERROR(__xludf.DUMMYFUNCTION("""COMPUTED_VALUE"""),"")</f>
        <v/>
      </c>
      <c r="D856" s="508" t="str">
        <f>IFERROR(__xludf.DUMMYFUNCTION("""COMPUTED_VALUE"""),"")</f>
        <v/>
      </c>
      <c r="E856" s="508" t="str">
        <f>IFERROR(__xludf.DUMMYFUNCTION("""COMPUTED_VALUE"""),"")</f>
        <v/>
      </c>
      <c r="F856" s="508" t="str">
        <f>IFERROR(__xludf.DUMMYFUNCTION("""COMPUTED_VALUE"""),"")</f>
        <v/>
      </c>
      <c r="G856" s="510" t="str">
        <f>IFERROR(__xludf.DUMMYFUNCTION("""COMPUTED_VALUE"""),"")</f>
        <v/>
      </c>
      <c r="H856" s="508" t="str">
        <f>IFERROR(__xludf.DUMMYFUNCTION("""COMPUTED_VALUE"""),"")</f>
        <v/>
      </c>
      <c r="I856" s="510" t="str">
        <f>IFERROR(__xludf.DUMMYFUNCTION("""COMPUTED_VALUE"""),"")</f>
        <v/>
      </c>
      <c r="J856" s="508" t="str">
        <f>IFERROR(__xludf.DUMMYFUNCTION("""COMPUTED_VALUE"""),"")</f>
        <v/>
      </c>
      <c r="K856" s="510" t="str">
        <f>IFERROR(__xludf.DUMMYFUNCTION("""COMPUTED_VALUE"""),"")</f>
        <v/>
      </c>
      <c r="L856" s="508" t="str">
        <f>IFERROR(__xludf.DUMMYFUNCTION("""COMPUTED_VALUE"""),"")</f>
        <v/>
      </c>
      <c r="M856" s="508" t="str">
        <f>IFERROR(__xludf.DUMMYFUNCTION("""COMPUTED_VALUE"""),"")</f>
        <v/>
      </c>
      <c r="N856" s="508" t="str">
        <f>IFERROR(__xludf.DUMMYFUNCTION("""COMPUTED_VALUE"""),"")</f>
        <v/>
      </c>
      <c r="O856" s="508" t="str">
        <f>IFERROR(__xludf.DUMMYFUNCTION("""COMPUTED_VALUE"""),"")</f>
        <v/>
      </c>
      <c r="P856" s="510" t="str">
        <f>IFERROR(__xludf.DUMMYFUNCTION("""COMPUTED_VALUE"""),"")</f>
        <v/>
      </c>
      <c r="Q856" s="508" t="str">
        <f>IFERROR(__xludf.DUMMYFUNCTION("""COMPUTED_VALUE"""),"")</f>
        <v/>
      </c>
      <c r="R856" s="508" t="str">
        <f>IFERROR(__xludf.DUMMYFUNCTION("""COMPUTED_VALUE"""),"")</f>
        <v/>
      </c>
      <c r="S856" s="510" t="str">
        <f>IFERROR(__xludf.DUMMYFUNCTION("""COMPUTED_VALUE"""),"")</f>
        <v/>
      </c>
      <c r="T856" s="510" t="str">
        <f>IFERROR(__xludf.DUMMYFUNCTION("""COMPUTED_VALUE"""),"")</f>
        <v/>
      </c>
    </row>
    <row r="857">
      <c r="A857" s="508" t="str">
        <f>IFERROR(__xludf.DUMMYFUNCTION("""COMPUTED_VALUE"""),"")</f>
        <v/>
      </c>
      <c r="B857" s="508" t="str">
        <f>IFERROR(__xludf.DUMMYFUNCTION("""COMPUTED_VALUE"""),"")</f>
        <v/>
      </c>
      <c r="C857" s="508" t="str">
        <f>IFERROR(__xludf.DUMMYFUNCTION("""COMPUTED_VALUE"""),"")</f>
        <v/>
      </c>
      <c r="D857" s="508" t="str">
        <f>IFERROR(__xludf.DUMMYFUNCTION("""COMPUTED_VALUE"""),"")</f>
        <v/>
      </c>
      <c r="E857" s="508" t="str">
        <f>IFERROR(__xludf.DUMMYFUNCTION("""COMPUTED_VALUE"""),"")</f>
        <v/>
      </c>
      <c r="F857" s="508" t="str">
        <f>IFERROR(__xludf.DUMMYFUNCTION("""COMPUTED_VALUE"""),"")</f>
        <v/>
      </c>
      <c r="G857" s="510" t="str">
        <f>IFERROR(__xludf.DUMMYFUNCTION("""COMPUTED_VALUE"""),"")</f>
        <v/>
      </c>
      <c r="H857" s="508" t="str">
        <f>IFERROR(__xludf.DUMMYFUNCTION("""COMPUTED_VALUE"""),"")</f>
        <v/>
      </c>
      <c r="I857" s="510" t="str">
        <f>IFERROR(__xludf.DUMMYFUNCTION("""COMPUTED_VALUE"""),"")</f>
        <v/>
      </c>
      <c r="J857" s="508" t="str">
        <f>IFERROR(__xludf.DUMMYFUNCTION("""COMPUTED_VALUE"""),"")</f>
        <v/>
      </c>
      <c r="K857" s="510" t="str">
        <f>IFERROR(__xludf.DUMMYFUNCTION("""COMPUTED_VALUE"""),"")</f>
        <v/>
      </c>
      <c r="L857" s="508" t="str">
        <f>IFERROR(__xludf.DUMMYFUNCTION("""COMPUTED_VALUE"""),"")</f>
        <v/>
      </c>
      <c r="M857" s="508" t="str">
        <f>IFERROR(__xludf.DUMMYFUNCTION("""COMPUTED_VALUE"""),"")</f>
        <v/>
      </c>
      <c r="N857" s="508" t="str">
        <f>IFERROR(__xludf.DUMMYFUNCTION("""COMPUTED_VALUE"""),"")</f>
        <v/>
      </c>
      <c r="O857" s="508" t="str">
        <f>IFERROR(__xludf.DUMMYFUNCTION("""COMPUTED_VALUE"""),"")</f>
        <v/>
      </c>
      <c r="P857" s="510" t="str">
        <f>IFERROR(__xludf.DUMMYFUNCTION("""COMPUTED_VALUE"""),"")</f>
        <v/>
      </c>
      <c r="Q857" s="508" t="str">
        <f>IFERROR(__xludf.DUMMYFUNCTION("""COMPUTED_VALUE"""),"")</f>
        <v/>
      </c>
      <c r="R857" s="508" t="str">
        <f>IFERROR(__xludf.DUMMYFUNCTION("""COMPUTED_VALUE"""),"")</f>
        <v/>
      </c>
      <c r="S857" s="510" t="str">
        <f>IFERROR(__xludf.DUMMYFUNCTION("""COMPUTED_VALUE"""),"")</f>
        <v/>
      </c>
      <c r="T857" s="510" t="str">
        <f>IFERROR(__xludf.DUMMYFUNCTION("""COMPUTED_VALUE"""),"")</f>
        <v/>
      </c>
    </row>
    <row r="858">
      <c r="A858" s="508" t="str">
        <f>IFERROR(__xludf.DUMMYFUNCTION("""COMPUTED_VALUE"""),"")</f>
        <v/>
      </c>
      <c r="B858" s="508" t="str">
        <f>IFERROR(__xludf.DUMMYFUNCTION("""COMPUTED_VALUE"""),"")</f>
        <v/>
      </c>
      <c r="C858" s="508" t="str">
        <f>IFERROR(__xludf.DUMMYFUNCTION("""COMPUTED_VALUE"""),"")</f>
        <v/>
      </c>
      <c r="D858" s="508" t="str">
        <f>IFERROR(__xludf.DUMMYFUNCTION("""COMPUTED_VALUE"""),"")</f>
        <v/>
      </c>
      <c r="E858" s="508" t="str">
        <f>IFERROR(__xludf.DUMMYFUNCTION("""COMPUTED_VALUE"""),"")</f>
        <v/>
      </c>
      <c r="F858" s="508" t="str">
        <f>IFERROR(__xludf.DUMMYFUNCTION("""COMPUTED_VALUE"""),"")</f>
        <v/>
      </c>
      <c r="G858" s="510" t="str">
        <f>IFERROR(__xludf.DUMMYFUNCTION("""COMPUTED_VALUE"""),"")</f>
        <v/>
      </c>
      <c r="H858" s="508" t="str">
        <f>IFERROR(__xludf.DUMMYFUNCTION("""COMPUTED_VALUE"""),"")</f>
        <v/>
      </c>
      <c r="I858" s="510" t="str">
        <f>IFERROR(__xludf.DUMMYFUNCTION("""COMPUTED_VALUE"""),"")</f>
        <v/>
      </c>
      <c r="J858" s="508" t="str">
        <f>IFERROR(__xludf.DUMMYFUNCTION("""COMPUTED_VALUE"""),"")</f>
        <v/>
      </c>
      <c r="K858" s="510" t="str">
        <f>IFERROR(__xludf.DUMMYFUNCTION("""COMPUTED_VALUE"""),"")</f>
        <v/>
      </c>
      <c r="L858" s="508" t="str">
        <f>IFERROR(__xludf.DUMMYFUNCTION("""COMPUTED_VALUE"""),"")</f>
        <v/>
      </c>
      <c r="M858" s="508" t="str">
        <f>IFERROR(__xludf.DUMMYFUNCTION("""COMPUTED_VALUE"""),"")</f>
        <v/>
      </c>
      <c r="N858" s="508" t="str">
        <f>IFERROR(__xludf.DUMMYFUNCTION("""COMPUTED_VALUE"""),"")</f>
        <v/>
      </c>
      <c r="O858" s="508" t="str">
        <f>IFERROR(__xludf.DUMMYFUNCTION("""COMPUTED_VALUE"""),"")</f>
        <v/>
      </c>
      <c r="P858" s="510" t="str">
        <f>IFERROR(__xludf.DUMMYFUNCTION("""COMPUTED_VALUE"""),"")</f>
        <v/>
      </c>
      <c r="Q858" s="508" t="str">
        <f>IFERROR(__xludf.DUMMYFUNCTION("""COMPUTED_VALUE"""),"")</f>
        <v/>
      </c>
      <c r="R858" s="508" t="str">
        <f>IFERROR(__xludf.DUMMYFUNCTION("""COMPUTED_VALUE"""),"")</f>
        <v/>
      </c>
      <c r="S858" s="510" t="str">
        <f>IFERROR(__xludf.DUMMYFUNCTION("""COMPUTED_VALUE"""),"")</f>
        <v/>
      </c>
      <c r="T858" s="510" t="str">
        <f>IFERROR(__xludf.DUMMYFUNCTION("""COMPUTED_VALUE"""),"")</f>
        <v/>
      </c>
    </row>
    <row r="859">
      <c r="A859" s="508" t="str">
        <f>IFERROR(__xludf.DUMMYFUNCTION("""COMPUTED_VALUE"""),"")</f>
        <v/>
      </c>
      <c r="B859" s="508" t="str">
        <f>IFERROR(__xludf.DUMMYFUNCTION("""COMPUTED_VALUE"""),"")</f>
        <v/>
      </c>
      <c r="C859" s="508" t="str">
        <f>IFERROR(__xludf.DUMMYFUNCTION("""COMPUTED_VALUE"""),"")</f>
        <v/>
      </c>
      <c r="D859" s="508" t="str">
        <f>IFERROR(__xludf.DUMMYFUNCTION("""COMPUTED_VALUE"""),"")</f>
        <v/>
      </c>
      <c r="E859" s="508" t="str">
        <f>IFERROR(__xludf.DUMMYFUNCTION("""COMPUTED_VALUE"""),"")</f>
        <v/>
      </c>
      <c r="F859" s="508" t="str">
        <f>IFERROR(__xludf.DUMMYFUNCTION("""COMPUTED_VALUE"""),"")</f>
        <v/>
      </c>
      <c r="G859" s="510" t="str">
        <f>IFERROR(__xludf.DUMMYFUNCTION("""COMPUTED_VALUE"""),"")</f>
        <v/>
      </c>
      <c r="H859" s="508" t="str">
        <f>IFERROR(__xludf.DUMMYFUNCTION("""COMPUTED_VALUE"""),"")</f>
        <v/>
      </c>
      <c r="I859" s="510" t="str">
        <f>IFERROR(__xludf.DUMMYFUNCTION("""COMPUTED_VALUE"""),"")</f>
        <v/>
      </c>
      <c r="J859" s="508" t="str">
        <f>IFERROR(__xludf.DUMMYFUNCTION("""COMPUTED_VALUE"""),"")</f>
        <v/>
      </c>
      <c r="K859" s="510" t="str">
        <f>IFERROR(__xludf.DUMMYFUNCTION("""COMPUTED_VALUE"""),"")</f>
        <v/>
      </c>
      <c r="L859" s="508" t="str">
        <f>IFERROR(__xludf.DUMMYFUNCTION("""COMPUTED_VALUE"""),"")</f>
        <v/>
      </c>
      <c r="M859" s="508" t="str">
        <f>IFERROR(__xludf.DUMMYFUNCTION("""COMPUTED_VALUE"""),"")</f>
        <v/>
      </c>
      <c r="N859" s="508" t="str">
        <f>IFERROR(__xludf.DUMMYFUNCTION("""COMPUTED_VALUE"""),"")</f>
        <v/>
      </c>
      <c r="O859" s="508" t="str">
        <f>IFERROR(__xludf.DUMMYFUNCTION("""COMPUTED_VALUE"""),"")</f>
        <v/>
      </c>
      <c r="P859" s="510" t="str">
        <f>IFERROR(__xludf.DUMMYFUNCTION("""COMPUTED_VALUE"""),"")</f>
        <v/>
      </c>
      <c r="Q859" s="508" t="str">
        <f>IFERROR(__xludf.DUMMYFUNCTION("""COMPUTED_VALUE"""),"")</f>
        <v/>
      </c>
      <c r="R859" s="508" t="str">
        <f>IFERROR(__xludf.DUMMYFUNCTION("""COMPUTED_VALUE"""),"")</f>
        <v/>
      </c>
      <c r="S859" s="510" t="str">
        <f>IFERROR(__xludf.DUMMYFUNCTION("""COMPUTED_VALUE"""),"")</f>
        <v/>
      </c>
      <c r="T859" s="510" t="str">
        <f>IFERROR(__xludf.DUMMYFUNCTION("""COMPUTED_VALUE"""),"")</f>
        <v/>
      </c>
    </row>
    <row r="860">
      <c r="A860" s="508" t="str">
        <f>IFERROR(__xludf.DUMMYFUNCTION("""COMPUTED_VALUE"""),"")</f>
        <v/>
      </c>
      <c r="B860" s="508" t="str">
        <f>IFERROR(__xludf.DUMMYFUNCTION("""COMPUTED_VALUE"""),"")</f>
        <v/>
      </c>
      <c r="C860" s="508" t="str">
        <f>IFERROR(__xludf.DUMMYFUNCTION("""COMPUTED_VALUE"""),"")</f>
        <v/>
      </c>
      <c r="D860" s="508" t="str">
        <f>IFERROR(__xludf.DUMMYFUNCTION("""COMPUTED_VALUE"""),"")</f>
        <v/>
      </c>
      <c r="E860" s="508" t="str">
        <f>IFERROR(__xludf.DUMMYFUNCTION("""COMPUTED_VALUE"""),"")</f>
        <v/>
      </c>
      <c r="F860" s="508" t="str">
        <f>IFERROR(__xludf.DUMMYFUNCTION("""COMPUTED_VALUE"""),"")</f>
        <v/>
      </c>
      <c r="G860" s="510" t="str">
        <f>IFERROR(__xludf.DUMMYFUNCTION("""COMPUTED_VALUE"""),"")</f>
        <v/>
      </c>
      <c r="H860" s="508" t="str">
        <f>IFERROR(__xludf.DUMMYFUNCTION("""COMPUTED_VALUE"""),"")</f>
        <v/>
      </c>
      <c r="I860" s="510" t="str">
        <f>IFERROR(__xludf.DUMMYFUNCTION("""COMPUTED_VALUE"""),"")</f>
        <v/>
      </c>
      <c r="J860" s="508" t="str">
        <f>IFERROR(__xludf.DUMMYFUNCTION("""COMPUTED_VALUE"""),"")</f>
        <v/>
      </c>
      <c r="K860" s="510" t="str">
        <f>IFERROR(__xludf.DUMMYFUNCTION("""COMPUTED_VALUE"""),"")</f>
        <v/>
      </c>
      <c r="L860" s="508" t="str">
        <f>IFERROR(__xludf.DUMMYFUNCTION("""COMPUTED_VALUE"""),"")</f>
        <v/>
      </c>
      <c r="M860" s="508" t="str">
        <f>IFERROR(__xludf.DUMMYFUNCTION("""COMPUTED_VALUE"""),"")</f>
        <v/>
      </c>
      <c r="N860" s="508" t="str">
        <f>IFERROR(__xludf.DUMMYFUNCTION("""COMPUTED_VALUE"""),"")</f>
        <v/>
      </c>
      <c r="O860" s="508" t="str">
        <f>IFERROR(__xludf.DUMMYFUNCTION("""COMPUTED_VALUE"""),"")</f>
        <v/>
      </c>
      <c r="P860" s="510" t="str">
        <f>IFERROR(__xludf.DUMMYFUNCTION("""COMPUTED_VALUE"""),"")</f>
        <v/>
      </c>
      <c r="Q860" s="508" t="str">
        <f>IFERROR(__xludf.DUMMYFUNCTION("""COMPUTED_VALUE"""),"")</f>
        <v/>
      </c>
      <c r="R860" s="508" t="str">
        <f>IFERROR(__xludf.DUMMYFUNCTION("""COMPUTED_VALUE"""),"")</f>
        <v/>
      </c>
      <c r="S860" s="510" t="str">
        <f>IFERROR(__xludf.DUMMYFUNCTION("""COMPUTED_VALUE"""),"")</f>
        <v/>
      </c>
      <c r="T860" s="510" t="str">
        <f>IFERROR(__xludf.DUMMYFUNCTION("""COMPUTED_VALUE"""),"")</f>
        <v/>
      </c>
    </row>
    <row r="861">
      <c r="A861" s="508" t="str">
        <f>IFERROR(__xludf.DUMMYFUNCTION("""COMPUTED_VALUE"""),"")</f>
        <v/>
      </c>
      <c r="B861" s="508" t="str">
        <f>IFERROR(__xludf.DUMMYFUNCTION("""COMPUTED_VALUE"""),"")</f>
        <v/>
      </c>
      <c r="C861" s="508" t="str">
        <f>IFERROR(__xludf.DUMMYFUNCTION("""COMPUTED_VALUE"""),"")</f>
        <v/>
      </c>
      <c r="D861" s="508" t="str">
        <f>IFERROR(__xludf.DUMMYFUNCTION("""COMPUTED_VALUE"""),"")</f>
        <v/>
      </c>
      <c r="E861" s="508" t="str">
        <f>IFERROR(__xludf.DUMMYFUNCTION("""COMPUTED_VALUE"""),"")</f>
        <v/>
      </c>
      <c r="F861" s="508" t="str">
        <f>IFERROR(__xludf.DUMMYFUNCTION("""COMPUTED_VALUE"""),"")</f>
        <v/>
      </c>
      <c r="G861" s="510" t="str">
        <f>IFERROR(__xludf.DUMMYFUNCTION("""COMPUTED_VALUE"""),"")</f>
        <v/>
      </c>
      <c r="H861" s="508" t="str">
        <f>IFERROR(__xludf.DUMMYFUNCTION("""COMPUTED_VALUE"""),"")</f>
        <v/>
      </c>
      <c r="I861" s="510" t="str">
        <f>IFERROR(__xludf.DUMMYFUNCTION("""COMPUTED_VALUE"""),"")</f>
        <v/>
      </c>
      <c r="J861" s="508" t="str">
        <f>IFERROR(__xludf.DUMMYFUNCTION("""COMPUTED_VALUE"""),"")</f>
        <v/>
      </c>
      <c r="K861" s="510" t="str">
        <f>IFERROR(__xludf.DUMMYFUNCTION("""COMPUTED_VALUE"""),"")</f>
        <v/>
      </c>
      <c r="L861" s="508" t="str">
        <f>IFERROR(__xludf.DUMMYFUNCTION("""COMPUTED_VALUE"""),"")</f>
        <v/>
      </c>
      <c r="M861" s="508" t="str">
        <f>IFERROR(__xludf.DUMMYFUNCTION("""COMPUTED_VALUE"""),"")</f>
        <v/>
      </c>
      <c r="N861" s="508" t="str">
        <f>IFERROR(__xludf.DUMMYFUNCTION("""COMPUTED_VALUE"""),"")</f>
        <v/>
      </c>
      <c r="O861" s="508" t="str">
        <f>IFERROR(__xludf.DUMMYFUNCTION("""COMPUTED_VALUE"""),"")</f>
        <v/>
      </c>
      <c r="P861" s="510" t="str">
        <f>IFERROR(__xludf.DUMMYFUNCTION("""COMPUTED_VALUE"""),"")</f>
        <v/>
      </c>
      <c r="Q861" s="508" t="str">
        <f>IFERROR(__xludf.DUMMYFUNCTION("""COMPUTED_VALUE"""),"")</f>
        <v/>
      </c>
      <c r="R861" s="508" t="str">
        <f>IFERROR(__xludf.DUMMYFUNCTION("""COMPUTED_VALUE"""),"")</f>
        <v/>
      </c>
      <c r="S861" s="510" t="str">
        <f>IFERROR(__xludf.DUMMYFUNCTION("""COMPUTED_VALUE"""),"")</f>
        <v/>
      </c>
      <c r="T861" s="510" t="str">
        <f>IFERROR(__xludf.DUMMYFUNCTION("""COMPUTED_VALUE"""),"")</f>
        <v/>
      </c>
    </row>
    <row r="862">
      <c r="A862" s="508" t="str">
        <f>IFERROR(__xludf.DUMMYFUNCTION("""COMPUTED_VALUE"""),"")</f>
        <v/>
      </c>
      <c r="B862" s="508" t="str">
        <f>IFERROR(__xludf.DUMMYFUNCTION("""COMPUTED_VALUE"""),"")</f>
        <v/>
      </c>
      <c r="C862" s="508" t="str">
        <f>IFERROR(__xludf.DUMMYFUNCTION("""COMPUTED_VALUE"""),"")</f>
        <v/>
      </c>
      <c r="D862" s="508" t="str">
        <f>IFERROR(__xludf.DUMMYFUNCTION("""COMPUTED_VALUE"""),"")</f>
        <v/>
      </c>
      <c r="E862" s="508" t="str">
        <f>IFERROR(__xludf.DUMMYFUNCTION("""COMPUTED_VALUE"""),"")</f>
        <v/>
      </c>
      <c r="F862" s="508" t="str">
        <f>IFERROR(__xludf.DUMMYFUNCTION("""COMPUTED_VALUE"""),"")</f>
        <v/>
      </c>
      <c r="G862" s="510" t="str">
        <f>IFERROR(__xludf.DUMMYFUNCTION("""COMPUTED_VALUE"""),"")</f>
        <v/>
      </c>
      <c r="H862" s="508" t="str">
        <f>IFERROR(__xludf.DUMMYFUNCTION("""COMPUTED_VALUE"""),"")</f>
        <v/>
      </c>
      <c r="I862" s="510" t="str">
        <f>IFERROR(__xludf.DUMMYFUNCTION("""COMPUTED_VALUE"""),"")</f>
        <v/>
      </c>
      <c r="J862" s="508" t="str">
        <f>IFERROR(__xludf.DUMMYFUNCTION("""COMPUTED_VALUE"""),"")</f>
        <v/>
      </c>
      <c r="K862" s="510" t="str">
        <f>IFERROR(__xludf.DUMMYFUNCTION("""COMPUTED_VALUE"""),"")</f>
        <v/>
      </c>
      <c r="L862" s="508" t="str">
        <f>IFERROR(__xludf.DUMMYFUNCTION("""COMPUTED_VALUE"""),"")</f>
        <v/>
      </c>
      <c r="M862" s="508" t="str">
        <f>IFERROR(__xludf.DUMMYFUNCTION("""COMPUTED_VALUE"""),"")</f>
        <v/>
      </c>
      <c r="N862" s="508" t="str">
        <f>IFERROR(__xludf.DUMMYFUNCTION("""COMPUTED_VALUE"""),"")</f>
        <v/>
      </c>
      <c r="O862" s="508" t="str">
        <f>IFERROR(__xludf.DUMMYFUNCTION("""COMPUTED_VALUE"""),"")</f>
        <v/>
      </c>
      <c r="P862" s="510" t="str">
        <f>IFERROR(__xludf.DUMMYFUNCTION("""COMPUTED_VALUE"""),"")</f>
        <v/>
      </c>
      <c r="Q862" s="508" t="str">
        <f>IFERROR(__xludf.DUMMYFUNCTION("""COMPUTED_VALUE"""),"")</f>
        <v/>
      </c>
      <c r="R862" s="508" t="str">
        <f>IFERROR(__xludf.DUMMYFUNCTION("""COMPUTED_VALUE"""),"")</f>
        <v/>
      </c>
      <c r="S862" s="510" t="str">
        <f>IFERROR(__xludf.DUMMYFUNCTION("""COMPUTED_VALUE"""),"")</f>
        <v/>
      </c>
      <c r="T862" s="510" t="str">
        <f>IFERROR(__xludf.DUMMYFUNCTION("""COMPUTED_VALUE"""),"")</f>
        <v/>
      </c>
    </row>
    <row r="863">
      <c r="A863" s="508" t="str">
        <f>IFERROR(__xludf.DUMMYFUNCTION("""COMPUTED_VALUE"""),"")</f>
        <v/>
      </c>
      <c r="B863" s="508" t="str">
        <f>IFERROR(__xludf.DUMMYFUNCTION("""COMPUTED_VALUE"""),"")</f>
        <v/>
      </c>
      <c r="C863" s="508" t="str">
        <f>IFERROR(__xludf.DUMMYFUNCTION("""COMPUTED_VALUE"""),"")</f>
        <v/>
      </c>
      <c r="D863" s="508" t="str">
        <f>IFERROR(__xludf.DUMMYFUNCTION("""COMPUTED_VALUE"""),"")</f>
        <v/>
      </c>
      <c r="E863" s="508" t="str">
        <f>IFERROR(__xludf.DUMMYFUNCTION("""COMPUTED_VALUE"""),"")</f>
        <v/>
      </c>
      <c r="F863" s="508" t="str">
        <f>IFERROR(__xludf.DUMMYFUNCTION("""COMPUTED_VALUE"""),"")</f>
        <v/>
      </c>
      <c r="G863" s="510" t="str">
        <f>IFERROR(__xludf.DUMMYFUNCTION("""COMPUTED_VALUE"""),"")</f>
        <v/>
      </c>
      <c r="H863" s="508" t="str">
        <f>IFERROR(__xludf.DUMMYFUNCTION("""COMPUTED_VALUE"""),"")</f>
        <v/>
      </c>
      <c r="I863" s="510" t="str">
        <f>IFERROR(__xludf.DUMMYFUNCTION("""COMPUTED_VALUE"""),"")</f>
        <v/>
      </c>
      <c r="J863" s="508" t="str">
        <f>IFERROR(__xludf.DUMMYFUNCTION("""COMPUTED_VALUE"""),"")</f>
        <v/>
      </c>
      <c r="K863" s="510" t="str">
        <f>IFERROR(__xludf.DUMMYFUNCTION("""COMPUTED_VALUE"""),"")</f>
        <v/>
      </c>
      <c r="L863" s="508" t="str">
        <f>IFERROR(__xludf.DUMMYFUNCTION("""COMPUTED_VALUE"""),"")</f>
        <v/>
      </c>
      <c r="M863" s="508" t="str">
        <f>IFERROR(__xludf.DUMMYFUNCTION("""COMPUTED_VALUE"""),"")</f>
        <v/>
      </c>
      <c r="N863" s="508" t="str">
        <f>IFERROR(__xludf.DUMMYFUNCTION("""COMPUTED_VALUE"""),"")</f>
        <v/>
      </c>
      <c r="O863" s="508" t="str">
        <f>IFERROR(__xludf.DUMMYFUNCTION("""COMPUTED_VALUE"""),"")</f>
        <v/>
      </c>
      <c r="P863" s="510" t="str">
        <f>IFERROR(__xludf.DUMMYFUNCTION("""COMPUTED_VALUE"""),"")</f>
        <v/>
      </c>
      <c r="Q863" s="508" t="str">
        <f>IFERROR(__xludf.DUMMYFUNCTION("""COMPUTED_VALUE"""),"")</f>
        <v/>
      </c>
      <c r="R863" s="508" t="str">
        <f>IFERROR(__xludf.DUMMYFUNCTION("""COMPUTED_VALUE"""),"")</f>
        <v/>
      </c>
      <c r="S863" s="510" t="str">
        <f>IFERROR(__xludf.DUMMYFUNCTION("""COMPUTED_VALUE"""),"")</f>
        <v/>
      </c>
      <c r="T863" s="510" t="str">
        <f>IFERROR(__xludf.DUMMYFUNCTION("""COMPUTED_VALUE"""),"")</f>
        <v/>
      </c>
    </row>
    <row r="864">
      <c r="A864" s="508" t="str">
        <f>IFERROR(__xludf.DUMMYFUNCTION("""COMPUTED_VALUE"""),"")</f>
        <v/>
      </c>
      <c r="B864" s="508" t="str">
        <f>IFERROR(__xludf.DUMMYFUNCTION("""COMPUTED_VALUE"""),"")</f>
        <v/>
      </c>
      <c r="C864" s="508" t="str">
        <f>IFERROR(__xludf.DUMMYFUNCTION("""COMPUTED_VALUE"""),"")</f>
        <v/>
      </c>
      <c r="D864" s="508" t="str">
        <f>IFERROR(__xludf.DUMMYFUNCTION("""COMPUTED_VALUE"""),"")</f>
        <v/>
      </c>
      <c r="E864" s="508" t="str">
        <f>IFERROR(__xludf.DUMMYFUNCTION("""COMPUTED_VALUE"""),"")</f>
        <v/>
      </c>
      <c r="F864" s="508" t="str">
        <f>IFERROR(__xludf.DUMMYFUNCTION("""COMPUTED_VALUE"""),"")</f>
        <v/>
      </c>
      <c r="G864" s="510" t="str">
        <f>IFERROR(__xludf.DUMMYFUNCTION("""COMPUTED_VALUE"""),"")</f>
        <v/>
      </c>
      <c r="H864" s="508" t="str">
        <f>IFERROR(__xludf.DUMMYFUNCTION("""COMPUTED_VALUE"""),"")</f>
        <v/>
      </c>
      <c r="I864" s="510" t="str">
        <f>IFERROR(__xludf.DUMMYFUNCTION("""COMPUTED_VALUE"""),"")</f>
        <v/>
      </c>
      <c r="J864" s="508" t="str">
        <f>IFERROR(__xludf.DUMMYFUNCTION("""COMPUTED_VALUE"""),"")</f>
        <v/>
      </c>
      <c r="K864" s="510" t="str">
        <f>IFERROR(__xludf.DUMMYFUNCTION("""COMPUTED_VALUE"""),"")</f>
        <v/>
      </c>
      <c r="L864" s="508" t="str">
        <f>IFERROR(__xludf.DUMMYFUNCTION("""COMPUTED_VALUE"""),"")</f>
        <v/>
      </c>
      <c r="M864" s="508" t="str">
        <f>IFERROR(__xludf.DUMMYFUNCTION("""COMPUTED_VALUE"""),"")</f>
        <v/>
      </c>
      <c r="N864" s="508" t="str">
        <f>IFERROR(__xludf.DUMMYFUNCTION("""COMPUTED_VALUE"""),"")</f>
        <v/>
      </c>
      <c r="O864" s="508" t="str">
        <f>IFERROR(__xludf.DUMMYFUNCTION("""COMPUTED_VALUE"""),"")</f>
        <v/>
      </c>
      <c r="P864" s="510" t="str">
        <f>IFERROR(__xludf.DUMMYFUNCTION("""COMPUTED_VALUE"""),"")</f>
        <v/>
      </c>
      <c r="Q864" s="508" t="str">
        <f>IFERROR(__xludf.DUMMYFUNCTION("""COMPUTED_VALUE"""),"")</f>
        <v/>
      </c>
      <c r="R864" s="508" t="str">
        <f>IFERROR(__xludf.DUMMYFUNCTION("""COMPUTED_VALUE"""),"")</f>
        <v/>
      </c>
      <c r="S864" s="510" t="str">
        <f>IFERROR(__xludf.DUMMYFUNCTION("""COMPUTED_VALUE"""),"")</f>
        <v/>
      </c>
      <c r="T864" s="510" t="str">
        <f>IFERROR(__xludf.DUMMYFUNCTION("""COMPUTED_VALUE"""),"")</f>
        <v/>
      </c>
    </row>
    <row r="865">
      <c r="A865" s="508" t="str">
        <f>IFERROR(__xludf.DUMMYFUNCTION("""COMPUTED_VALUE"""),"")</f>
        <v/>
      </c>
      <c r="B865" s="508" t="str">
        <f>IFERROR(__xludf.DUMMYFUNCTION("""COMPUTED_VALUE"""),"")</f>
        <v/>
      </c>
      <c r="C865" s="508" t="str">
        <f>IFERROR(__xludf.DUMMYFUNCTION("""COMPUTED_VALUE"""),"")</f>
        <v/>
      </c>
      <c r="D865" s="508" t="str">
        <f>IFERROR(__xludf.DUMMYFUNCTION("""COMPUTED_VALUE"""),"")</f>
        <v/>
      </c>
      <c r="E865" s="508" t="str">
        <f>IFERROR(__xludf.DUMMYFUNCTION("""COMPUTED_VALUE"""),"")</f>
        <v/>
      </c>
      <c r="F865" s="508" t="str">
        <f>IFERROR(__xludf.DUMMYFUNCTION("""COMPUTED_VALUE"""),"")</f>
        <v/>
      </c>
      <c r="G865" s="510" t="str">
        <f>IFERROR(__xludf.DUMMYFUNCTION("""COMPUTED_VALUE"""),"")</f>
        <v/>
      </c>
      <c r="H865" s="508" t="str">
        <f>IFERROR(__xludf.DUMMYFUNCTION("""COMPUTED_VALUE"""),"")</f>
        <v/>
      </c>
      <c r="I865" s="510" t="str">
        <f>IFERROR(__xludf.DUMMYFUNCTION("""COMPUTED_VALUE"""),"")</f>
        <v/>
      </c>
      <c r="J865" s="508" t="str">
        <f>IFERROR(__xludf.DUMMYFUNCTION("""COMPUTED_VALUE"""),"")</f>
        <v/>
      </c>
      <c r="K865" s="510" t="str">
        <f>IFERROR(__xludf.DUMMYFUNCTION("""COMPUTED_VALUE"""),"")</f>
        <v/>
      </c>
      <c r="L865" s="508" t="str">
        <f>IFERROR(__xludf.DUMMYFUNCTION("""COMPUTED_VALUE"""),"")</f>
        <v/>
      </c>
      <c r="M865" s="508" t="str">
        <f>IFERROR(__xludf.DUMMYFUNCTION("""COMPUTED_VALUE"""),"")</f>
        <v/>
      </c>
      <c r="N865" s="508" t="str">
        <f>IFERROR(__xludf.DUMMYFUNCTION("""COMPUTED_VALUE"""),"")</f>
        <v/>
      </c>
      <c r="O865" s="508" t="str">
        <f>IFERROR(__xludf.DUMMYFUNCTION("""COMPUTED_VALUE"""),"")</f>
        <v/>
      </c>
      <c r="P865" s="510" t="str">
        <f>IFERROR(__xludf.DUMMYFUNCTION("""COMPUTED_VALUE"""),"")</f>
        <v/>
      </c>
      <c r="Q865" s="508" t="str">
        <f>IFERROR(__xludf.DUMMYFUNCTION("""COMPUTED_VALUE"""),"")</f>
        <v/>
      </c>
      <c r="R865" s="508" t="str">
        <f>IFERROR(__xludf.DUMMYFUNCTION("""COMPUTED_VALUE"""),"")</f>
        <v/>
      </c>
      <c r="S865" s="510" t="str">
        <f>IFERROR(__xludf.DUMMYFUNCTION("""COMPUTED_VALUE"""),"")</f>
        <v/>
      </c>
      <c r="T865" s="510" t="str">
        <f>IFERROR(__xludf.DUMMYFUNCTION("""COMPUTED_VALUE"""),"")</f>
        <v/>
      </c>
    </row>
    <row r="866">
      <c r="A866" s="508" t="str">
        <f>IFERROR(__xludf.DUMMYFUNCTION("""COMPUTED_VALUE"""),"")</f>
        <v/>
      </c>
      <c r="B866" s="508" t="str">
        <f>IFERROR(__xludf.DUMMYFUNCTION("""COMPUTED_VALUE"""),"")</f>
        <v/>
      </c>
      <c r="C866" s="508" t="str">
        <f>IFERROR(__xludf.DUMMYFUNCTION("""COMPUTED_VALUE"""),"")</f>
        <v/>
      </c>
      <c r="D866" s="508" t="str">
        <f>IFERROR(__xludf.DUMMYFUNCTION("""COMPUTED_VALUE"""),"")</f>
        <v/>
      </c>
      <c r="E866" s="508" t="str">
        <f>IFERROR(__xludf.DUMMYFUNCTION("""COMPUTED_VALUE"""),"")</f>
        <v/>
      </c>
      <c r="F866" s="508" t="str">
        <f>IFERROR(__xludf.DUMMYFUNCTION("""COMPUTED_VALUE"""),"")</f>
        <v/>
      </c>
      <c r="G866" s="510" t="str">
        <f>IFERROR(__xludf.DUMMYFUNCTION("""COMPUTED_VALUE"""),"")</f>
        <v/>
      </c>
      <c r="H866" s="508" t="str">
        <f>IFERROR(__xludf.DUMMYFUNCTION("""COMPUTED_VALUE"""),"")</f>
        <v/>
      </c>
      <c r="I866" s="510" t="str">
        <f>IFERROR(__xludf.DUMMYFUNCTION("""COMPUTED_VALUE"""),"")</f>
        <v/>
      </c>
      <c r="J866" s="508" t="str">
        <f>IFERROR(__xludf.DUMMYFUNCTION("""COMPUTED_VALUE"""),"")</f>
        <v/>
      </c>
      <c r="K866" s="510" t="str">
        <f>IFERROR(__xludf.DUMMYFUNCTION("""COMPUTED_VALUE"""),"")</f>
        <v/>
      </c>
      <c r="L866" s="508" t="str">
        <f>IFERROR(__xludf.DUMMYFUNCTION("""COMPUTED_VALUE"""),"")</f>
        <v/>
      </c>
      <c r="M866" s="508" t="str">
        <f>IFERROR(__xludf.DUMMYFUNCTION("""COMPUTED_VALUE"""),"")</f>
        <v/>
      </c>
      <c r="N866" s="508" t="str">
        <f>IFERROR(__xludf.DUMMYFUNCTION("""COMPUTED_VALUE"""),"")</f>
        <v/>
      </c>
      <c r="O866" s="508" t="str">
        <f>IFERROR(__xludf.DUMMYFUNCTION("""COMPUTED_VALUE"""),"")</f>
        <v/>
      </c>
      <c r="P866" s="510" t="str">
        <f>IFERROR(__xludf.DUMMYFUNCTION("""COMPUTED_VALUE"""),"")</f>
        <v/>
      </c>
      <c r="Q866" s="508" t="str">
        <f>IFERROR(__xludf.DUMMYFUNCTION("""COMPUTED_VALUE"""),"")</f>
        <v/>
      </c>
      <c r="R866" s="508" t="str">
        <f>IFERROR(__xludf.DUMMYFUNCTION("""COMPUTED_VALUE"""),"")</f>
        <v/>
      </c>
      <c r="S866" s="510" t="str">
        <f>IFERROR(__xludf.DUMMYFUNCTION("""COMPUTED_VALUE"""),"")</f>
        <v/>
      </c>
      <c r="T866" s="510" t="str">
        <f>IFERROR(__xludf.DUMMYFUNCTION("""COMPUTED_VALUE"""),"")</f>
        <v/>
      </c>
    </row>
    <row r="867">
      <c r="A867" s="508" t="str">
        <f>IFERROR(__xludf.DUMMYFUNCTION("""COMPUTED_VALUE"""),"")</f>
        <v/>
      </c>
      <c r="B867" s="508" t="str">
        <f>IFERROR(__xludf.DUMMYFUNCTION("""COMPUTED_VALUE"""),"")</f>
        <v/>
      </c>
      <c r="C867" s="508" t="str">
        <f>IFERROR(__xludf.DUMMYFUNCTION("""COMPUTED_VALUE"""),"")</f>
        <v/>
      </c>
      <c r="D867" s="508" t="str">
        <f>IFERROR(__xludf.DUMMYFUNCTION("""COMPUTED_VALUE"""),"")</f>
        <v/>
      </c>
      <c r="E867" s="508" t="str">
        <f>IFERROR(__xludf.DUMMYFUNCTION("""COMPUTED_VALUE"""),"")</f>
        <v/>
      </c>
      <c r="F867" s="508" t="str">
        <f>IFERROR(__xludf.DUMMYFUNCTION("""COMPUTED_VALUE"""),"")</f>
        <v/>
      </c>
      <c r="G867" s="510" t="str">
        <f>IFERROR(__xludf.DUMMYFUNCTION("""COMPUTED_VALUE"""),"")</f>
        <v/>
      </c>
      <c r="H867" s="508" t="str">
        <f>IFERROR(__xludf.DUMMYFUNCTION("""COMPUTED_VALUE"""),"")</f>
        <v/>
      </c>
      <c r="I867" s="510" t="str">
        <f>IFERROR(__xludf.DUMMYFUNCTION("""COMPUTED_VALUE"""),"")</f>
        <v/>
      </c>
      <c r="J867" s="508" t="str">
        <f>IFERROR(__xludf.DUMMYFUNCTION("""COMPUTED_VALUE"""),"")</f>
        <v/>
      </c>
      <c r="K867" s="510" t="str">
        <f>IFERROR(__xludf.DUMMYFUNCTION("""COMPUTED_VALUE"""),"")</f>
        <v/>
      </c>
      <c r="L867" s="508" t="str">
        <f>IFERROR(__xludf.DUMMYFUNCTION("""COMPUTED_VALUE"""),"")</f>
        <v/>
      </c>
      <c r="M867" s="508" t="str">
        <f>IFERROR(__xludf.DUMMYFUNCTION("""COMPUTED_VALUE"""),"")</f>
        <v/>
      </c>
      <c r="N867" s="508" t="str">
        <f>IFERROR(__xludf.DUMMYFUNCTION("""COMPUTED_VALUE"""),"")</f>
        <v/>
      </c>
      <c r="O867" s="508" t="str">
        <f>IFERROR(__xludf.DUMMYFUNCTION("""COMPUTED_VALUE"""),"")</f>
        <v/>
      </c>
      <c r="P867" s="510" t="str">
        <f>IFERROR(__xludf.DUMMYFUNCTION("""COMPUTED_VALUE"""),"")</f>
        <v/>
      </c>
      <c r="Q867" s="508" t="str">
        <f>IFERROR(__xludf.DUMMYFUNCTION("""COMPUTED_VALUE"""),"")</f>
        <v/>
      </c>
      <c r="R867" s="508" t="str">
        <f>IFERROR(__xludf.DUMMYFUNCTION("""COMPUTED_VALUE"""),"")</f>
        <v/>
      </c>
      <c r="S867" s="510" t="str">
        <f>IFERROR(__xludf.DUMMYFUNCTION("""COMPUTED_VALUE"""),"")</f>
        <v/>
      </c>
      <c r="T867" s="510" t="str">
        <f>IFERROR(__xludf.DUMMYFUNCTION("""COMPUTED_VALUE"""),"")</f>
        <v/>
      </c>
    </row>
    <row r="868">
      <c r="A868" s="508" t="str">
        <f>IFERROR(__xludf.DUMMYFUNCTION("""COMPUTED_VALUE"""),"")</f>
        <v/>
      </c>
      <c r="B868" s="508" t="str">
        <f>IFERROR(__xludf.DUMMYFUNCTION("""COMPUTED_VALUE"""),"")</f>
        <v/>
      </c>
      <c r="C868" s="508" t="str">
        <f>IFERROR(__xludf.DUMMYFUNCTION("""COMPUTED_VALUE"""),"")</f>
        <v/>
      </c>
      <c r="D868" s="508" t="str">
        <f>IFERROR(__xludf.DUMMYFUNCTION("""COMPUTED_VALUE"""),"")</f>
        <v/>
      </c>
      <c r="E868" s="508" t="str">
        <f>IFERROR(__xludf.DUMMYFUNCTION("""COMPUTED_VALUE"""),"")</f>
        <v/>
      </c>
      <c r="F868" s="508" t="str">
        <f>IFERROR(__xludf.DUMMYFUNCTION("""COMPUTED_VALUE"""),"")</f>
        <v/>
      </c>
      <c r="G868" s="510" t="str">
        <f>IFERROR(__xludf.DUMMYFUNCTION("""COMPUTED_VALUE"""),"")</f>
        <v/>
      </c>
      <c r="H868" s="508" t="str">
        <f>IFERROR(__xludf.DUMMYFUNCTION("""COMPUTED_VALUE"""),"")</f>
        <v/>
      </c>
      <c r="I868" s="510" t="str">
        <f>IFERROR(__xludf.DUMMYFUNCTION("""COMPUTED_VALUE"""),"")</f>
        <v/>
      </c>
      <c r="J868" s="508" t="str">
        <f>IFERROR(__xludf.DUMMYFUNCTION("""COMPUTED_VALUE"""),"")</f>
        <v/>
      </c>
      <c r="K868" s="510" t="str">
        <f>IFERROR(__xludf.DUMMYFUNCTION("""COMPUTED_VALUE"""),"")</f>
        <v/>
      </c>
      <c r="L868" s="508" t="str">
        <f>IFERROR(__xludf.DUMMYFUNCTION("""COMPUTED_VALUE"""),"")</f>
        <v/>
      </c>
      <c r="M868" s="508" t="str">
        <f>IFERROR(__xludf.DUMMYFUNCTION("""COMPUTED_VALUE"""),"")</f>
        <v/>
      </c>
      <c r="N868" s="508" t="str">
        <f>IFERROR(__xludf.DUMMYFUNCTION("""COMPUTED_VALUE"""),"")</f>
        <v/>
      </c>
      <c r="O868" s="508" t="str">
        <f>IFERROR(__xludf.DUMMYFUNCTION("""COMPUTED_VALUE"""),"")</f>
        <v/>
      </c>
      <c r="P868" s="510" t="str">
        <f>IFERROR(__xludf.DUMMYFUNCTION("""COMPUTED_VALUE"""),"")</f>
        <v/>
      </c>
      <c r="Q868" s="508" t="str">
        <f>IFERROR(__xludf.DUMMYFUNCTION("""COMPUTED_VALUE"""),"")</f>
        <v/>
      </c>
      <c r="R868" s="508" t="str">
        <f>IFERROR(__xludf.DUMMYFUNCTION("""COMPUTED_VALUE"""),"")</f>
        <v/>
      </c>
      <c r="S868" s="510" t="str">
        <f>IFERROR(__xludf.DUMMYFUNCTION("""COMPUTED_VALUE"""),"")</f>
        <v/>
      </c>
      <c r="T868" s="510" t="str">
        <f>IFERROR(__xludf.DUMMYFUNCTION("""COMPUTED_VALUE"""),"")</f>
        <v/>
      </c>
    </row>
    <row r="869">
      <c r="A869" s="508" t="str">
        <f>IFERROR(__xludf.DUMMYFUNCTION("""COMPUTED_VALUE"""),"")</f>
        <v/>
      </c>
      <c r="B869" s="508" t="str">
        <f>IFERROR(__xludf.DUMMYFUNCTION("""COMPUTED_VALUE"""),"")</f>
        <v/>
      </c>
      <c r="C869" s="508" t="str">
        <f>IFERROR(__xludf.DUMMYFUNCTION("""COMPUTED_VALUE"""),"")</f>
        <v/>
      </c>
      <c r="D869" s="508" t="str">
        <f>IFERROR(__xludf.DUMMYFUNCTION("""COMPUTED_VALUE"""),"")</f>
        <v/>
      </c>
      <c r="E869" s="508" t="str">
        <f>IFERROR(__xludf.DUMMYFUNCTION("""COMPUTED_VALUE"""),"")</f>
        <v/>
      </c>
      <c r="F869" s="508" t="str">
        <f>IFERROR(__xludf.DUMMYFUNCTION("""COMPUTED_VALUE"""),"")</f>
        <v/>
      </c>
      <c r="G869" s="510" t="str">
        <f>IFERROR(__xludf.DUMMYFUNCTION("""COMPUTED_VALUE"""),"")</f>
        <v/>
      </c>
      <c r="H869" s="508" t="str">
        <f>IFERROR(__xludf.DUMMYFUNCTION("""COMPUTED_VALUE"""),"")</f>
        <v/>
      </c>
      <c r="I869" s="510" t="str">
        <f>IFERROR(__xludf.DUMMYFUNCTION("""COMPUTED_VALUE"""),"")</f>
        <v/>
      </c>
      <c r="J869" s="508" t="str">
        <f>IFERROR(__xludf.DUMMYFUNCTION("""COMPUTED_VALUE"""),"")</f>
        <v/>
      </c>
      <c r="K869" s="510" t="str">
        <f>IFERROR(__xludf.DUMMYFUNCTION("""COMPUTED_VALUE"""),"")</f>
        <v/>
      </c>
      <c r="L869" s="508" t="str">
        <f>IFERROR(__xludf.DUMMYFUNCTION("""COMPUTED_VALUE"""),"")</f>
        <v/>
      </c>
      <c r="M869" s="508" t="str">
        <f>IFERROR(__xludf.DUMMYFUNCTION("""COMPUTED_VALUE"""),"")</f>
        <v/>
      </c>
      <c r="N869" s="508" t="str">
        <f>IFERROR(__xludf.DUMMYFUNCTION("""COMPUTED_VALUE"""),"")</f>
        <v/>
      </c>
      <c r="O869" s="508" t="str">
        <f>IFERROR(__xludf.DUMMYFUNCTION("""COMPUTED_VALUE"""),"")</f>
        <v/>
      </c>
      <c r="P869" s="510" t="str">
        <f>IFERROR(__xludf.DUMMYFUNCTION("""COMPUTED_VALUE"""),"")</f>
        <v/>
      </c>
      <c r="Q869" s="508" t="str">
        <f>IFERROR(__xludf.DUMMYFUNCTION("""COMPUTED_VALUE"""),"")</f>
        <v/>
      </c>
      <c r="R869" s="508" t="str">
        <f>IFERROR(__xludf.DUMMYFUNCTION("""COMPUTED_VALUE"""),"")</f>
        <v/>
      </c>
      <c r="S869" s="510" t="str">
        <f>IFERROR(__xludf.DUMMYFUNCTION("""COMPUTED_VALUE"""),"")</f>
        <v/>
      </c>
      <c r="T869" s="510" t="str">
        <f>IFERROR(__xludf.DUMMYFUNCTION("""COMPUTED_VALUE"""),"")</f>
        <v/>
      </c>
    </row>
    <row r="870">
      <c r="A870" s="508" t="str">
        <f>IFERROR(__xludf.DUMMYFUNCTION("""COMPUTED_VALUE"""),"")</f>
        <v/>
      </c>
      <c r="B870" s="508" t="str">
        <f>IFERROR(__xludf.DUMMYFUNCTION("""COMPUTED_VALUE"""),"")</f>
        <v/>
      </c>
      <c r="C870" s="508" t="str">
        <f>IFERROR(__xludf.DUMMYFUNCTION("""COMPUTED_VALUE"""),"")</f>
        <v/>
      </c>
      <c r="D870" s="508" t="str">
        <f>IFERROR(__xludf.DUMMYFUNCTION("""COMPUTED_VALUE"""),"")</f>
        <v/>
      </c>
      <c r="E870" s="508" t="str">
        <f>IFERROR(__xludf.DUMMYFUNCTION("""COMPUTED_VALUE"""),"")</f>
        <v/>
      </c>
      <c r="F870" s="508" t="str">
        <f>IFERROR(__xludf.DUMMYFUNCTION("""COMPUTED_VALUE"""),"")</f>
        <v/>
      </c>
      <c r="G870" s="510" t="str">
        <f>IFERROR(__xludf.DUMMYFUNCTION("""COMPUTED_VALUE"""),"")</f>
        <v/>
      </c>
      <c r="H870" s="508" t="str">
        <f>IFERROR(__xludf.DUMMYFUNCTION("""COMPUTED_VALUE"""),"")</f>
        <v/>
      </c>
      <c r="I870" s="510" t="str">
        <f>IFERROR(__xludf.DUMMYFUNCTION("""COMPUTED_VALUE"""),"")</f>
        <v/>
      </c>
      <c r="J870" s="508" t="str">
        <f>IFERROR(__xludf.DUMMYFUNCTION("""COMPUTED_VALUE"""),"")</f>
        <v/>
      </c>
      <c r="K870" s="510" t="str">
        <f>IFERROR(__xludf.DUMMYFUNCTION("""COMPUTED_VALUE"""),"")</f>
        <v/>
      </c>
      <c r="L870" s="508" t="str">
        <f>IFERROR(__xludf.DUMMYFUNCTION("""COMPUTED_VALUE"""),"")</f>
        <v/>
      </c>
      <c r="M870" s="508" t="str">
        <f>IFERROR(__xludf.DUMMYFUNCTION("""COMPUTED_VALUE"""),"")</f>
        <v/>
      </c>
      <c r="N870" s="508" t="str">
        <f>IFERROR(__xludf.DUMMYFUNCTION("""COMPUTED_VALUE"""),"")</f>
        <v/>
      </c>
      <c r="O870" s="508" t="str">
        <f>IFERROR(__xludf.DUMMYFUNCTION("""COMPUTED_VALUE"""),"")</f>
        <v/>
      </c>
      <c r="P870" s="510" t="str">
        <f>IFERROR(__xludf.DUMMYFUNCTION("""COMPUTED_VALUE"""),"")</f>
        <v/>
      </c>
      <c r="Q870" s="508" t="str">
        <f>IFERROR(__xludf.DUMMYFUNCTION("""COMPUTED_VALUE"""),"")</f>
        <v/>
      </c>
      <c r="R870" s="508" t="str">
        <f>IFERROR(__xludf.DUMMYFUNCTION("""COMPUTED_VALUE"""),"")</f>
        <v/>
      </c>
      <c r="S870" s="510" t="str">
        <f>IFERROR(__xludf.DUMMYFUNCTION("""COMPUTED_VALUE"""),"")</f>
        <v/>
      </c>
      <c r="T870" s="510" t="str">
        <f>IFERROR(__xludf.DUMMYFUNCTION("""COMPUTED_VALUE"""),"")</f>
        <v/>
      </c>
    </row>
    <row r="871">
      <c r="A871" s="508" t="str">
        <f>IFERROR(__xludf.DUMMYFUNCTION("""COMPUTED_VALUE"""),"")</f>
        <v/>
      </c>
      <c r="B871" s="508" t="str">
        <f>IFERROR(__xludf.DUMMYFUNCTION("""COMPUTED_VALUE"""),"")</f>
        <v/>
      </c>
      <c r="C871" s="508" t="str">
        <f>IFERROR(__xludf.DUMMYFUNCTION("""COMPUTED_VALUE"""),"")</f>
        <v/>
      </c>
      <c r="D871" s="508" t="str">
        <f>IFERROR(__xludf.DUMMYFUNCTION("""COMPUTED_VALUE"""),"")</f>
        <v/>
      </c>
      <c r="E871" s="508" t="str">
        <f>IFERROR(__xludf.DUMMYFUNCTION("""COMPUTED_VALUE"""),"")</f>
        <v/>
      </c>
      <c r="F871" s="508" t="str">
        <f>IFERROR(__xludf.DUMMYFUNCTION("""COMPUTED_VALUE"""),"")</f>
        <v/>
      </c>
      <c r="G871" s="510" t="str">
        <f>IFERROR(__xludf.DUMMYFUNCTION("""COMPUTED_VALUE"""),"")</f>
        <v/>
      </c>
      <c r="H871" s="508" t="str">
        <f>IFERROR(__xludf.DUMMYFUNCTION("""COMPUTED_VALUE"""),"")</f>
        <v/>
      </c>
      <c r="I871" s="510" t="str">
        <f>IFERROR(__xludf.DUMMYFUNCTION("""COMPUTED_VALUE"""),"")</f>
        <v/>
      </c>
      <c r="J871" s="508" t="str">
        <f>IFERROR(__xludf.DUMMYFUNCTION("""COMPUTED_VALUE"""),"")</f>
        <v/>
      </c>
      <c r="K871" s="510" t="str">
        <f>IFERROR(__xludf.DUMMYFUNCTION("""COMPUTED_VALUE"""),"")</f>
        <v/>
      </c>
      <c r="L871" s="508" t="str">
        <f>IFERROR(__xludf.DUMMYFUNCTION("""COMPUTED_VALUE"""),"")</f>
        <v/>
      </c>
      <c r="M871" s="508" t="str">
        <f>IFERROR(__xludf.DUMMYFUNCTION("""COMPUTED_VALUE"""),"")</f>
        <v/>
      </c>
      <c r="N871" s="508" t="str">
        <f>IFERROR(__xludf.DUMMYFUNCTION("""COMPUTED_VALUE"""),"")</f>
        <v/>
      </c>
      <c r="O871" s="508" t="str">
        <f>IFERROR(__xludf.DUMMYFUNCTION("""COMPUTED_VALUE"""),"")</f>
        <v/>
      </c>
      <c r="P871" s="510" t="str">
        <f>IFERROR(__xludf.DUMMYFUNCTION("""COMPUTED_VALUE"""),"")</f>
        <v/>
      </c>
      <c r="Q871" s="508" t="str">
        <f>IFERROR(__xludf.DUMMYFUNCTION("""COMPUTED_VALUE"""),"")</f>
        <v/>
      </c>
      <c r="R871" s="508" t="str">
        <f>IFERROR(__xludf.DUMMYFUNCTION("""COMPUTED_VALUE"""),"")</f>
        <v/>
      </c>
      <c r="S871" s="510" t="str">
        <f>IFERROR(__xludf.DUMMYFUNCTION("""COMPUTED_VALUE"""),"")</f>
        <v/>
      </c>
      <c r="T871" s="510" t="str">
        <f>IFERROR(__xludf.DUMMYFUNCTION("""COMPUTED_VALUE"""),"")</f>
        <v/>
      </c>
    </row>
    <row r="872">
      <c r="A872" s="508" t="str">
        <f>IFERROR(__xludf.DUMMYFUNCTION("""COMPUTED_VALUE"""),"")</f>
        <v/>
      </c>
      <c r="B872" s="508" t="str">
        <f>IFERROR(__xludf.DUMMYFUNCTION("""COMPUTED_VALUE"""),"")</f>
        <v/>
      </c>
      <c r="C872" s="508" t="str">
        <f>IFERROR(__xludf.DUMMYFUNCTION("""COMPUTED_VALUE"""),"")</f>
        <v/>
      </c>
      <c r="D872" s="508" t="str">
        <f>IFERROR(__xludf.DUMMYFUNCTION("""COMPUTED_VALUE"""),"")</f>
        <v/>
      </c>
      <c r="E872" s="508" t="str">
        <f>IFERROR(__xludf.DUMMYFUNCTION("""COMPUTED_VALUE"""),"")</f>
        <v/>
      </c>
      <c r="F872" s="508" t="str">
        <f>IFERROR(__xludf.DUMMYFUNCTION("""COMPUTED_VALUE"""),"")</f>
        <v/>
      </c>
      <c r="G872" s="510" t="str">
        <f>IFERROR(__xludf.DUMMYFUNCTION("""COMPUTED_VALUE"""),"")</f>
        <v/>
      </c>
      <c r="H872" s="508" t="str">
        <f>IFERROR(__xludf.DUMMYFUNCTION("""COMPUTED_VALUE"""),"")</f>
        <v/>
      </c>
      <c r="I872" s="510" t="str">
        <f>IFERROR(__xludf.DUMMYFUNCTION("""COMPUTED_VALUE"""),"")</f>
        <v/>
      </c>
      <c r="J872" s="508" t="str">
        <f>IFERROR(__xludf.DUMMYFUNCTION("""COMPUTED_VALUE"""),"")</f>
        <v/>
      </c>
      <c r="K872" s="510" t="str">
        <f>IFERROR(__xludf.DUMMYFUNCTION("""COMPUTED_VALUE"""),"")</f>
        <v/>
      </c>
      <c r="L872" s="508" t="str">
        <f>IFERROR(__xludf.DUMMYFUNCTION("""COMPUTED_VALUE"""),"")</f>
        <v/>
      </c>
      <c r="M872" s="508" t="str">
        <f>IFERROR(__xludf.DUMMYFUNCTION("""COMPUTED_VALUE"""),"")</f>
        <v/>
      </c>
      <c r="N872" s="508" t="str">
        <f>IFERROR(__xludf.DUMMYFUNCTION("""COMPUTED_VALUE"""),"")</f>
        <v/>
      </c>
      <c r="O872" s="508" t="str">
        <f>IFERROR(__xludf.DUMMYFUNCTION("""COMPUTED_VALUE"""),"")</f>
        <v/>
      </c>
      <c r="P872" s="510" t="str">
        <f>IFERROR(__xludf.DUMMYFUNCTION("""COMPUTED_VALUE"""),"")</f>
        <v/>
      </c>
      <c r="Q872" s="508" t="str">
        <f>IFERROR(__xludf.DUMMYFUNCTION("""COMPUTED_VALUE"""),"")</f>
        <v/>
      </c>
      <c r="R872" s="508" t="str">
        <f>IFERROR(__xludf.DUMMYFUNCTION("""COMPUTED_VALUE"""),"")</f>
        <v/>
      </c>
      <c r="S872" s="510" t="str">
        <f>IFERROR(__xludf.DUMMYFUNCTION("""COMPUTED_VALUE"""),"")</f>
        <v/>
      </c>
      <c r="T872" s="510" t="str">
        <f>IFERROR(__xludf.DUMMYFUNCTION("""COMPUTED_VALUE"""),"")</f>
        <v/>
      </c>
    </row>
    <row r="873">
      <c r="A873" s="508" t="str">
        <f>IFERROR(__xludf.DUMMYFUNCTION("""COMPUTED_VALUE"""),"")</f>
        <v/>
      </c>
      <c r="B873" s="508" t="str">
        <f>IFERROR(__xludf.DUMMYFUNCTION("""COMPUTED_VALUE"""),"")</f>
        <v/>
      </c>
      <c r="C873" s="508" t="str">
        <f>IFERROR(__xludf.DUMMYFUNCTION("""COMPUTED_VALUE"""),"")</f>
        <v/>
      </c>
      <c r="D873" s="508" t="str">
        <f>IFERROR(__xludf.DUMMYFUNCTION("""COMPUTED_VALUE"""),"")</f>
        <v/>
      </c>
      <c r="E873" s="508" t="str">
        <f>IFERROR(__xludf.DUMMYFUNCTION("""COMPUTED_VALUE"""),"")</f>
        <v/>
      </c>
      <c r="F873" s="508" t="str">
        <f>IFERROR(__xludf.DUMMYFUNCTION("""COMPUTED_VALUE"""),"")</f>
        <v/>
      </c>
      <c r="G873" s="510" t="str">
        <f>IFERROR(__xludf.DUMMYFUNCTION("""COMPUTED_VALUE"""),"")</f>
        <v/>
      </c>
      <c r="H873" s="508" t="str">
        <f>IFERROR(__xludf.DUMMYFUNCTION("""COMPUTED_VALUE"""),"")</f>
        <v/>
      </c>
      <c r="I873" s="510" t="str">
        <f>IFERROR(__xludf.DUMMYFUNCTION("""COMPUTED_VALUE"""),"")</f>
        <v/>
      </c>
      <c r="J873" s="508" t="str">
        <f>IFERROR(__xludf.DUMMYFUNCTION("""COMPUTED_VALUE"""),"")</f>
        <v/>
      </c>
      <c r="K873" s="510" t="str">
        <f>IFERROR(__xludf.DUMMYFUNCTION("""COMPUTED_VALUE"""),"")</f>
        <v/>
      </c>
      <c r="L873" s="508" t="str">
        <f>IFERROR(__xludf.DUMMYFUNCTION("""COMPUTED_VALUE"""),"")</f>
        <v/>
      </c>
      <c r="M873" s="508" t="str">
        <f>IFERROR(__xludf.DUMMYFUNCTION("""COMPUTED_VALUE"""),"")</f>
        <v/>
      </c>
      <c r="N873" s="508" t="str">
        <f>IFERROR(__xludf.DUMMYFUNCTION("""COMPUTED_VALUE"""),"")</f>
        <v/>
      </c>
      <c r="O873" s="508" t="str">
        <f>IFERROR(__xludf.DUMMYFUNCTION("""COMPUTED_VALUE"""),"")</f>
        <v/>
      </c>
      <c r="P873" s="510" t="str">
        <f>IFERROR(__xludf.DUMMYFUNCTION("""COMPUTED_VALUE"""),"")</f>
        <v/>
      </c>
      <c r="Q873" s="508" t="str">
        <f>IFERROR(__xludf.DUMMYFUNCTION("""COMPUTED_VALUE"""),"")</f>
        <v/>
      </c>
      <c r="R873" s="508" t="str">
        <f>IFERROR(__xludf.DUMMYFUNCTION("""COMPUTED_VALUE"""),"")</f>
        <v/>
      </c>
      <c r="S873" s="510" t="str">
        <f>IFERROR(__xludf.DUMMYFUNCTION("""COMPUTED_VALUE"""),"")</f>
        <v/>
      </c>
      <c r="T873" s="510" t="str">
        <f>IFERROR(__xludf.DUMMYFUNCTION("""COMPUTED_VALUE"""),"")</f>
        <v/>
      </c>
    </row>
    <row r="874">
      <c r="A874" s="508" t="str">
        <f>IFERROR(__xludf.DUMMYFUNCTION("""COMPUTED_VALUE"""),"")</f>
        <v/>
      </c>
      <c r="B874" s="508" t="str">
        <f>IFERROR(__xludf.DUMMYFUNCTION("""COMPUTED_VALUE"""),"")</f>
        <v/>
      </c>
      <c r="C874" s="508" t="str">
        <f>IFERROR(__xludf.DUMMYFUNCTION("""COMPUTED_VALUE"""),"")</f>
        <v/>
      </c>
      <c r="D874" s="508" t="str">
        <f>IFERROR(__xludf.DUMMYFUNCTION("""COMPUTED_VALUE"""),"")</f>
        <v/>
      </c>
      <c r="E874" s="508" t="str">
        <f>IFERROR(__xludf.DUMMYFUNCTION("""COMPUTED_VALUE"""),"")</f>
        <v/>
      </c>
      <c r="F874" s="508" t="str">
        <f>IFERROR(__xludf.DUMMYFUNCTION("""COMPUTED_VALUE"""),"")</f>
        <v/>
      </c>
      <c r="G874" s="510" t="str">
        <f>IFERROR(__xludf.DUMMYFUNCTION("""COMPUTED_VALUE"""),"")</f>
        <v/>
      </c>
      <c r="H874" s="508" t="str">
        <f>IFERROR(__xludf.DUMMYFUNCTION("""COMPUTED_VALUE"""),"")</f>
        <v/>
      </c>
      <c r="I874" s="510" t="str">
        <f>IFERROR(__xludf.DUMMYFUNCTION("""COMPUTED_VALUE"""),"")</f>
        <v/>
      </c>
      <c r="J874" s="508" t="str">
        <f>IFERROR(__xludf.DUMMYFUNCTION("""COMPUTED_VALUE"""),"")</f>
        <v/>
      </c>
      <c r="K874" s="510" t="str">
        <f>IFERROR(__xludf.DUMMYFUNCTION("""COMPUTED_VALUE"""),"")</f>
        <v/>
      </c>
      <c r="L874" s="508" t="str">
        <f>IFERROR(__xludf.DUMMYFUNCTION("""COMPUTED_VALUE"""),"")</f>
        <v/>
      </c>
      <c r="M874" s="508" t="str">
        <f>IFERROR(__xludf.DUMMYFUNCTION("""COMPUTED_VALUE"""),"")</f>
        <v/>
      </c>
      <c r="N874" s="508" t="str">
        <f>IFERROR(__xludf.DUMMYFUNCTION("""COMPUTED_VALUE"""),"")</f>
        <v/>
      </c>
      <c r="O874" s="508" t="str">
        <f>IFERROR(__xludf.DUMMYFUNCTION("""COMPUTED_VALUE"""),"")</f>
        <v/>
      </c>
      <c r="P874" s="510" t="str">
        <f>IFERROR(__xludf.DUMMYFUNCTION("""COMPUTED_VALUE"""),"")</f>
        <v/>
      </c>
      <c r="Q874" s="508" t="str">
        <f>IFERROR(__xludf.DUMMYFUNCTION("""COMPUTED_VALUE"""),"")</f>
        <v/>
      </c>
      <c r="R874" s="508" t="str">
        <f>IFERROR(__xludf.DUMMYFUNCTION("""COMPUTED_VALUE"""),"")</f>
        <v/>
      </c>
      <c r="S874" s="510" t="str">
        <f>IFERROR(__xludf.DUMMYFUNCTION("""COMPUTED_VALUE"""),"")</f>
        <v/>
      </c>
      <c r="T874" s="510" t="str">
        <f>IFERROR(__xludf.DUMMYFUNCTION("""COMPUTED_VALUE"""),"")</f>
        <v/>
      </c>
    </row>
    <row r="875">
      <c r="A875" s="508" t="str">
        <f>IFERROR(__xludf.DUMMYFUNCTION("""COMPUTED_VALUE"""),"")</f>
        <v/>
      </c>
      <c r="B875" s="508" t="str">
        <f>IFERROR(__xludf.DUMMYFUNCTION("""COMPUTED_VALUE"""),"")</f>
        <v/>
      </c>
      <c r="C875" s="508" t="str">
        <f>IFERROR(__xludf.DUMMYFUNCTION("""COMPUTED_VALUE"""),"")</f>
        <v/>
      </c>
      <c r="D875" s="508" t="str">
        <f>IFERROR(__xludf.DUMMYFUNCTION("""COMPUTED_VALUE"""),"")</f>
        <v/>
      </c>
      <c r="E875" s="508" t="str">
        <f>IFERROR(__xludf.DUMMYFUNCTION("""COMPUTED_VALUE"""),"")</f>
        <v/>
      </c>
      <c r="F875" s="508" t="str">
        <f>IFERROR(__xludf.DUMMYFUNCTION("""COMPUTED_VALUE"""),"")</f>
        <v/>
      </c>
      <c r="G875" s="510" t="str">
        <f>IFERROR(__xludf.DUMMYFUNCTION("""COMPUTED_VALUE"""),"")</f>
        <v/>
      </c>
      <c r="H875" s="508" t="str">
        <f>IFERROR(__xludf.DUMMYFUNCTION("""COMPUTED_VALUE"""),"")</f>
        <v/>
      </c>
      <c r="I875" s="510" t="str">
        <f>IFERROR(__xludf.DUMMYFUNCTION("""COMPUTED_VALUE"""),"")</f>
        <v/>
      </c>
      <c r="J875" s="508" t="str">
        <f>IFERROR(__xludf.DUMMYFUNCTION("""COMPUTED_VALUE"""),"")</f>
        <v/>
      </c>
      <c r="K875" s="510" t="str">
        <f>IFERROR(__xludf.DUMMYFUNCTION("""COMPUTED_VALUE"""),"")</f>
        <v/>
      </c>
      <c r="L875" s="508" t="str">
        <f>IFERROR(__xludf.DUMMYFUNCTION("""COMPUTED_VALUE"""),"")</f>
        <v/>
      </c>
      <c r="M875" s="508" t="str">
        <f>IFERROR(__xludf.DUMMYFUNCTION("""COMPUTED_VALUE"""),"")</f>
        <v/>
      </c>
      <c r="N875" s="508" t="str">
        <f>IFERROR(__xludf.DUMMYFUNCTION("""COMPUTED_VALUE"""),"")</f>
        <v/>
      </c>
      <c r="O875" s="508" t="str">
        <f>IFERROR(__xludf.DUMMYFUNCTION("""COMPUTED_VALUE"""),"")</f>
        <v/>
      </c>
      <c r="P875" s="510" t="str">
        <f>IFERROR(__xludf.DUMMYFUNCTION("""COMPUTED_VALUE"""),"")</f>
        <v/>
      </c>
      <c r="Q875" s="508" t="str">
        <f>IFERROR(__xludf.DUMMYFUNCTION("""COMPUTED_VALUE"""),"")</f>
        <v/>
      </c>
      <c r="R875" s="508" t="str">
        <f>IFERROR(__xludf.DUMMYFUNCTION("""COMPUTED_VALUE"""),"")</f>
        <v/>
      </c>
      <c r="S875" s="510" t="str">
        <f>IFERROR(__xludf.DUMMYFUNCTION("""COMPUTED_VALUE"""),"")</f>
        <v/>
      </c>
      <c r="T875" s="510" t="str">
        <f>IFERROR(__xludf.DUMMYFUNCTION("""COMPUTED_VALUE"""),"")</f>
        <v/>
      </c>
    </row>
    <row r="876">
      <c r="A876" s="508" t="str">
        <f>IFERROR(__xludf.DUMMYFUNCTION("""COMPUTED_VALUE"""),"")</f>
        <v/>
      </c>
      <c r="B876" s="508" t="str">
        <f>IFERROR(__xludf.DUMMYFUNCTION("""COMPUTED_VALUE"""),"")</f>
        <v/>
      </c>
      <c r="C876" s="508" t="str">
        <f>IFERROR(__xludf.DUMMYFUNCTION("""COMPUTED_VALUE"""),"")</f>
        <v/>
      </c>
      <c r="D876" s="508" t="str">
        <f>IFERROR(__xludf.DUMMYFUNCTION("""COMPUTED_VALUE"""),"")</f>
        <v/>
      </c>
      <c r="E876" s="508" t="str">
        <f>IFERROR(__xludf.DUMMYFUNCTION("""COMPUTED_VALUE"""),"")</f>
        <v/>
      </c>
      <c r="F876" s="508" t="str">
        <f>IFERROR(__xludf.DUMMYFUNCTION("""COMPUTED_VALUE"""),"")</f>
        <v/>
      </c>
      <c r="G876" s="510" t="str">
        <f>IFERROR(__xludf.DUMMYFUNCTION("""COMPUTED_VALUE"""),"")</f>
        <v/>
      </c>
      <c r="H876" s="508" t="str">
        <f>IFERROR(__xludf.DUMMYFUNCTION("""COMPUTED_VALUE"""),"")</f>
        <v/>
      </c>
      <c r="I876" s="510" t="str">
        <f>IFERROR(__xludf.DUMMYFUNCTION("""COMPUTED_VALUE"""),"")</f>
        <v/>
      </c>
      <c r="J876" s="508" t="str">
        <f>IFERROR(__xludf.DUMMYFUNCTION("""COMPUTED_VALUE"""),"")</f>
        <v/>
      </c>
      <c r="K876" s="510" t="str">
        <f>IFERROR(__xludf.DUMMYFUNCTION("""COMPUTED_VALUE"""),"")</f>
        <v/>
      </c>
      <c r="L876" s="508" t="str">
        <f>IFERROR(__xludf.DUMMYFUNCTION("""COMPUTED_VALUE"""),"")</f>
        <v/>
      </c>
      <c r="M876" s="508" t="str">
        <f>IFERROR(__xludf.DUMMYFUNCTION("""COMPUTED_VALUE"""),"")</f>
        <v/>
      </c>
      <c r="N876" s="508" t="str">
        <f>IFERROR(__xludf.DUMMYFUNCTION("""COMPUTED_VALUE"""),"")</f>
        <v/>
      </c>
      <c r="O876" s="508" t="str">
        <f>IFERROR(__xludf.DUMMYFUNCTION("""COMPUTED_VALUE"""),"")</f>
        <v/>
      </c>
      <c r="P876" s="510" t="str">
        <f>IFERROR(__xludf.DUMMYFUNCTION("""COMPUTED_VALUE"""),"")</f>
        <v/>
      </c>
      <c r="Q876" s="508" t="str">
        <f>IFERROR(__xludf.DUMMYFUNCTION("""COMPUTED_VALUE"""),"")</f>
        <v/>
      </c>
      <c r="R876" s="508" t="str">
        <f>IFERROR(__xludf.DUMMYFUNCTION("""COMPUTED_VALUE"""),"")</f>
        <v/>
      </c>
      <c r="S876" s="510" t="str">
        <f>IFERROR(__xludf.DUMMYFUNCTION("""COMPUTED_VALUE"""),"")</f>
        <v/>
      </c>
      <c r="T876" s="510" t="str">
        <f>IFERROR(__xludf.DUMMYFUNCTION("""COMPUTED_VALUE"""),"")</f>
        <v/>
      </c>
    </row>
    <row r="877">
      <c r="A877" s="508" t="str">
        <f>IFERROR(__xludf.DUMMYFUNCTION("""COMPUTED_VALUE"""),"")</f>
        <v/>
      </c>
      <c r="B877" s="508" t="str">
        <f>IFERROR(__xludf.DUMMYFUNCTION("""COMPUTED_VALUE"""),"")</f>
        <v/>
      </c>
      <c r="C877" s="508" t="str">
        <f>IFERROR(__xludf.DUMMYFUNCTION("""COMPUTED_VALUE"""),"")</f>
        <v/>
      </c>
      <c r="D877" s="508" t="str">
        <f>IFERROR(__xludf.DUMMYFUNCTION("""COMPUTED_VALUE"""),"")</f>
        <v/>
      </c>
      <c r="E877" s="508" t="str">
        <f>IFERROR(__xludf.DUMMYFUNCTION("""COMPUTED_VALUE"""),"")</f>
        <v/>
      </c>
      <c r="F877" s="508" t="str">
        <f>IFERROR(__xludf.DUMMYFUNCTION("""COMPUTED_VALUE"""),"")</f>
        <v/>
      </c>
      <c r="G877" s="510" t="str">
        <f>IFERROR(__xludf.DUMMYFUNCTION("""COMPUTED_VALUE"""),"")</f>
        <v/>
      </c>
      <c r="H877" s="508" t="str">
        <f>IFERROR(__xludf.DUMMYFUNCTION("""COMPUTED_VALUE"""),"")</f>
        <v/>
      </c>
      <c r="I877" s="510" t="str">
        <f>IFERROR(__xludf.DUMMYFUNCTION("""COMPUTED_VALUE"""),"")</f>
        <v/>
      </c>
      <c r="J877" s="508" t="str">
        <f>IFERROR(__xludf.DUMMYFUNCTION("""COMPUTED_VALUE"""),"")</f>
        <v/>
      </c>
      <c r="K877" s="510" t="str">
        <f>IFERROR(__xludf.DUMMYFUNCTION("""COMPUTED_VALUE"""),"")</f>
        <v/>
      </c>
      <c r="L877" s="508" t="str">
        <f>IFERROR(__xludf.DUMMYFUNCTION("""COMPUTED_VALUE"""),"")</f>
        <v/>
      </c>
      <c r="M877" s="508" t="str">
        <f>IFERROR(__xludf.DUMMYFUNCTION("""COMPUTED_VALUE"""),"")</f>
        <v/>
      </c>
      <c r="N877" s="508" t="str">
        <f>IFERROR(__xludf.DUMMYFUNCTION("""COMPUTED_VALUE"""),"")</f>
        <v/>
      </c>
      <c r="O877" s="508" t="str">
        <f>IFERROR(__xludf.DUMMYFUNCTION("""COMPUTED_VALUE"""),"")</f>
        <v/>
      </c>
      <c r="P877" s="510" t="str">
        <f>IFERROR(__xludf.DUMMYFUNCTION("""COMPUTED_VALUE"""),"")</f>
        <v/>
      </c>
      <c r="Q877" s="508" t="str">
        <f>IFERROR(__xludf.DUMMYFUNCTION("""COMPUTED_VALUE"""),"")</f>
        <v/>
      </c>
      <c r="R877" s="508" t="str">
        <f>IFERROR(__xludf.DUMMYFUNCTION("""COMPUTED_VALUE"""),"")</f>
        <v/>
      </c>
      <c r="S877" s="510" t="str">
        <f>IFERROR(__xludf.DUMMYFUNCTION("""COMPUTED_VALUE"""),"")</f>
        <v/>
      </c>
      <c r="T877" s="510" t="str">
        <f>IFERROR(__xludf.DUMMYFUNCTION("""COMPUTED_VALUE"""),"")</f>
        <v/>
      </c>
    </row>
    <row r="878">
      <c r="A878" s="508" t="str">
        <f>IFERROR(__xludf.DUMMYFUNCTION("""COMPUTED_VALUE"""),"")</f>
        <v/>
      </c>
      <c r="B878" s="508" t="str">
        <f>IFERROR(__xludf.DUMMYFUNCTION("""COMPUTED_VALUE"""),"")</f>
        <v/>
      </c>
      <c r="C878" s="508" t="str">
        <f>IFERROR(__xludf.DUMMYFUNCTION("""COMPUTED_VALUE"""),"")</f>
        <v/>
      </c>
      <c r="D878" s="508" t="str">
        <f>IFERROR(__xludf.DUMMYFUNCTION("""COMPUTED_VALUE"""),"")</f>
        <v/>
      </c>
      <c r="E878" s="508" t="str">
        <f>IFERROR(__xludf.DUMMYFUNCTION("""COMPUTED_VALUE"""),"")</f>
        <v/>
      </c>
      <c r="F878" s="508" t="str">
        <f>IFERROR(__xludf.DUMMYFUNCTION("""COMPUTED_VALUE"""),"")</f>
        <v/>
      </c>
      <c r="G878" s="510" t="str">
        <f>IFERROR(__xludf.DUMMYFUNCTION("""COMPUTED_VALUE"""),"")</f>
        <v/>
      </c>
      <c r="H878" s="508" t="str">
        <f>IFERROR(__xludf.DUMMYFUNCTION("""COMPUTED_VALUE"""),"")</f>
        <v/>
      </c>
      <c r="I878" s="510" t="str">
        <f>IFERROR(__xludf.DUMMYFUNCTION("""COMPUTED_VALUE"""),"")</f>
        <v/>
      </c>
      <c r="J878" s="508" t="str">
        <f>IFERROR(__xludf.DUMMYFUNCTION("""COMPUTED_VALUE"""),"")</f>
        <v/>
      </c>
      <c r="K878" s="510" t="str">
        <f>IFERROR(__xludf.DUMMYFUNCTION("""COMPUTED_VALUE"""),"")</f>
        <v/>
      </c>
      <c r="L878" s="508" t="str">
        <f>IFERROR(__xludf.DUMMYFUNCTION("""COMPUTED_VALUE"""),"")</f>
        <v/>
      </c>
      <c r="M878" s="508" t="str">
        <f>IFERROR(__xludf.DUMMYFUNCTION("""COMPUTED_VALUE"""),"")</f>
        <v/>
      </c>
      <c r="N878" s="508" t="str">
        <f>IFERROR(__xludf.DUMMYFUNCTION("""COMPUTED_VALUE"""),"")</f>
        <v/>
      </c>
      <c r="O878" s="508" t="str">
        <f>IFERROR(__xludf.DUMMYFUNCTION("""COMPUTED_VALUE"""),"")</f>
        <v/>
      </c>
      <c r="P878" s="510" t="str">
        <f>IFERROR(__xludf.DUMMYFUNCTION("""COMPUTED_VALUE"""),"")</f>
        <v/>
      </c>
      <c r="Q878" s="508" t="str">
        <f>IFERROR(__xludf.DUMMYFUNCTION("""COMPUTED_VALUE"""),"")</f>
        <v/>
      </c>
      <c r="R878" s="508" t="str">
        <f>IFERROR(__xludf.DUMMYFUNCTION("""COMPUTED_VALUE"""),"")</f>
        <v/>
      </c>
      <c r="S878" s="510" t="str">
        <f>IFERROR(__xludf.DUMMYFUNCTION("""COMPUTED_VALUE"""),"")</f>
        <v/>
      </c>
      <c r="T878" s="510" t="str">
        <f>IFERROR(__xludf.DUMMYFUNCTION("""COMPUTED_VALUE"""),"")</f>
        <v/>
      </c>
    </row>
    <row r="879">
      <c r="A879" s="508" t="str">
        <f>IFERROR(__xludf.DUMMYFUNCTION("""COMPUTED_VALUE"""),"")</f>
        <v/>
      </c>
      <c r="B879" s="508" t="str">
        <f>IFERROR(__xludf.DUMMYFUNCTION("""COMPUTED_VALUE"""),"")</f>
        <v/>
      </c>
      <c r="C879" s="508" t="str">
        <f>IFERROR(__xludf.DUMMYFUNCTION("""COMPUTED_VALUE"""),"")</f>
        <v/>
      </c>
      <c r="D879" s="508" t="str">
        <f>IFERROR(__xludf.DUMMYFUNCTION("""COMPUTED_VALUE"""),"")</f>
        <v/>
      </c>
      <c r="E879" s="508" t="str">
        <f>IFERROR(__xludf.DUMMYFUNCTION("""COMPUTED_VALUE"""),"")</f>
        <v/>
      </c>
      <c r="F879" s="508" t="str">
        <f>IFERROR(__xludf.DUMMYFUNCTION("""COMPUTED_VALUE"""),"")</f>
        <v/>
      </c>
      <c r="G879" s="510" t="str">
        <f>IFERROR(__xludf.DUMMYFUNCTION("""COMPUTED_VALUE"""),"")</f>
        <v/>
      </c>
      <c r="H879" s="508" t="str">
        <f>IFERROR(__xludf.DUMMYFUNCTION("""COMPUTED_VALUE"""),"")</f>
        <v/>
      </c>
      <c r="I879" s="510" t="str">
        <f>IFERROR(__xludf.DUMMYFUNCTION("""COMPUTED_VALUE"""),"")</f>
        <v/>
      </c>
      <c r="J879" s="508" t="str">
        <f>IFERROR(__xludf.DUMMYFUNCTION("""COMPUTED_VALUE"""),"")</f>
        <v/>
      </c>
      <c r="K879" s="510" t="str">
        <f>IFERROR(__xludf.DUMMYFUNCTION("""COMPUTED_VALUE"""),"")</f>
        <v/>
      </c>
      <c r="L879" s="508" t="str">
        <f>IFERROR(__xludf.DUMMYFUNCTION("""COMPUTED_VALUE"""),"")</f>
        <v/>
      </c>
      <c r="M879" s="508" t="str">
        <f>IFERROR(__xludf.DUMMYFUNCTION("""COMPUTED_VALUE"""),"")</f>
        <v/>
      </c>
      <c r="N879" s="508" t="str">
        <f>IFERROR(__xludf.DUMMYFUNCTION("""COMPUTED_VALUE"""),"")</f>
        <v/>
      </c>
      <c r="O879" s="508" t="str">
        <f>IFERROR(__xludf.DUMMYFUNCTION("""COMPUTED_VALUE"""),"")</f>
        <v/>
      </c>
      <c r="P879" s="510" t="str">
        <f>IFERROR(__xludf.DUMMYFUNCTION("""COMPUTED_VALUE"""),"")</f>
        <v/>
      </c>
      <c r="Q879" s="508" t="str">
        <f>IFERROR(__xludf.DUMMYFUNCTION("""COMPUTED_VALUE"""),"")</f>
        <v/>
      </c>
      <c r="R879" s="508" t="str">
        <f>IFERROR(__xludf.DUMMYFUNCTION("""COMPUTED_VALUE"""),"")</f>
        <v/>
      </c>
      <c r="S879" s="510" t="str">
        <f>IFERROR(__xludf.DUMMYFUNCTION("""COMPUTED_VALUE"""),"")</f>
        <v/>
      </c>
      <c r="T879" s="510" t="str">
        <f>IFERROR(__xludf.DUMMYFUNCTION("""COMPUTED_VALUE"""),"")</f>
        <v/>
      </c>
    </row>
    <row r="880">
      <c r="A880" s="508" t="str">
        <f>IFERROR(__xludf.DUMMYFUNCTION("""COMPUTED_VALUE"""),"")</f>
        <v/>
      </c>
      <c r="B880" s="508" t="str">
        <f>IFERROR(__xludf.DUMMYFUNCTION("""COMPUTED_VALUE"""),"")</f>
        <v/>
      </c>
      <c r="C880" s="508" t="str">
        <f>IFERROR(__xludf.DUMMYFUNCTION("""COMPUTED_VALUE"""),"")</f>
        <v/>
      </c>
      <c r="D880" s="508" t="str">
        <f>IFERROR(__xludf.DUMMYFUNCTION("""COMPUTED_VALUE"""),"")</f>
        <v/>
      </c>
      <c r="E880" s="508" t="str">
        <f>IFERROR(__xludf.DUMMYFUNCTION("""COMPUTED_VALUE"""),"")</f>
        <v/>
      </c>
      <c r="F880" s="508" t="str">
        <f>IFERROR(__xludf.DUMMYFUNCTION("""COMPUTED_VALUE"""),"")</f>
        <v/>
      </c>
      <c r="G880" s="510" t="str">
        <f>IFERROR(__xludf.DUMMYFUNCTION("""COMPUTED_VALUE"""),"")</f>
        <v/>
      </c>
      <c r="H880" s="508" t="str">
        <f>IFERROR(__xludf.DUMMYFUNCTION("""COMPUTED_VALUE"""),"")</f>
        <v/>
      </c>
      <c r="I880" s="510" t="str">
        <f>IFERROR(__xludf.DUMMYFUNCTION("""COMPUTED_VALUE"""),"")</f>
        <v/>
      </c>
      <c r="J880" s="508" t="str">
        <f>IFERROR(__xludf.DUMMYFUNCTION("""COMPUTED_VALUE"""),"")</f>
        <v/>
      </c>
      <c r="K880" s="510" t="str">
        <f>IFERROR(__xludf.DUMMYFUNCTION("""COMPUTED_VALUE"""),"")</f>
        <v/>
      </c>
      <c r="L880" s="508" t="str">
        <f>IFERROR(__xludf.DUMMYFUNCTION("""COMPUTED_VALUE"""),"")</f>
        <v/>
      </c>
      <c r="M880" s="508" t="str">
        <f>IFERROR(__xludf.DUMMYFUNCTION("""COMPUTED_VALUE"""),"")</f>
        <v/>
      </c>
      <c r="N880" s="508" t="str">
        <f>IFERROR(__xludf.DUMMYFUNCTION("""COMPUTED_VALUE"""),"")</f>
        <v/>
      </c>
      <c r="O880" s="508" t="str">
        <f>IFERROR(__xludf.DUMMYFUNCTION("""COMPUTED_VALUE"""),"")</f>
        <v/>
      </c>
      <c r="P880" s="510" t="str">
        <f>IFERROR(__xludf.DUMMYFUNCTION("""COMPUTED_VALUE"""),"")</f>
        <v/>
      </c>
      <c r="Q880" s="508" t="str">
        <f>IFERROR(__xludf.DUMMYFUNCTION("""COMPUTED_VALUE"""),"")</f>
        <v/>
      </c>
      <c r="R880" s="508" t="str">
        <f>IFERROR(__xludf.DUMMYFUNCTION("""COMPUTED_VALUE"""),"")</f>
        <v/>
      </c>
      <c r="S880" s="510" t="str">
        <f>IFERROR(__xludf.DUMMYFUNCTION("""COMPUTED_VALUE"""),"")</f>
        <v/>
      </c>
      <c r="T880" s="510" t="str">
        <f>IFERROR(__xludf.DUMMYFUNCTION("""COMPUTED_VALUE"""),"")</f>
        <v/>
      </c>
    </row>
    <row r="881">
      <c r="A881" s="508" t="str">
        <f>IFERROR(__xludf.DUMMYFUNCTION("""COMPUTED_VALUE"""),"")</f>
        <v/>
      </c>
      <c r="B881" s="508" t="str">
        <f>IFERROR(__xludf.DUMMYFUNCTION("""COMPUTED_VALUE"""),"")</f>
        <v/>
      </c>
      <c r="C881" s="508" t="str">
        <f>IFERROR(__xludf.DUMMYFUNCTION("""COMPUTED_VALUE"""),"")</f>
        <v/>
      </c>
      <c r="D881" s="508" t="str">
        <f>IFERROR(__xludf.DUMMYFUNCTION("""COMPUTED_VALUE"""),"")</f>
        <v/>
      </c>
      <c r="E881" s="508" t="str">
        <f>IFERROR(__xludf.DUMMYFUNCTION("""COMPUTED_VALUE"""),"")</f>
        <v/>
      </c>
      <c r="F881" s="508" t="str">
        <f>IFERROR(__xludf.DUMMYFUNCTION("""COMPUTED_VALUE"""),"")</f>
        <v/>
      </c>
      <c r="G881" s="510" t="str">
        <f>IFERROR(__xludf.DUMMYFUNCTION("""COMPUTED_VALUE"""),"")</f>
        <v/>
      </c>
      <c r="H881" s="508" t="str">
        <f>IFERROR(__xludf.DUMMYFUNCTION("""COMPUTED_VALUE"""),"")</f>
        <v/>
      </c>
      <c r="I881" s="510" t="str">
        <f>IFERROR(__xludf.DUMMYFUNCTION("""COMPUTED_VALUE"""),"")</f>
        <v/>
      </c>
      <c r="J881" s="508" t="str">
        <f>IFERROR(__xludf.DUMMYFUNCTION("""COMPUTED_VALUE"""),"")</f>
        <v/>
      </c>
      <c r="K881" s="510" t="str">
        <f>IFERROR(__xludf.DUMMYFUNCTION("""COMPUTED_VALUE"""),"")</f>
        <v/>
      </c>
      <c r="L881" s="508" t="str">
        <f>IFERROR(__xludf.DUMMYFUNCTION("""COMPUTED_VALUE"""),"")</f>
        <v/>
      </c>
      <c r="M881" s="508" t="str">
        <f>IFERROR(__xludf.DUMMYFUNCTION("""COMPUTED_VALUE"""),"")</f>
        <v/>
      </c>
      <c r="N881" s="508" t="str">
        <f>IFERROR(__xludf.DUMMYFUNCTION("""COMPUTED_VALUE"""),"")</f>
        <v/>
      </c>
      <c r="O881" s="508" t="str">
        <f>IFERROR(__xludf.DUMMYFUNCTION("""COMPUTED_VALUE"""),"")</f>
        <v/>
      </c>
      <c r="P881" s="510" t="str">
        <f>IFERROR(__xludf.DUMMYFUNCTION("""COMPUTED_VALUE"""),"")</f>
        <v/>
      </c>
      <c r="Q881" s="508" t="str">
        <f>IFERROR(__xludf.DUMMYFUNCTION("""COMPUTED_VALUE"""),"")</f>
        <v/>
      </c>
      <c r="R881" s="508" t="str">
        <f>IFERROR(__xludf.DUMMYFUNCTION("""COMPUTED_VALUE"""),"")</f>
        <v/>
      </c>
      <c r="S881" s="510" t="str">
        <f>IFERROR(__xludf.DUMMYFUNCTION("""COMPUTED_VALUE"""),"")</f>
        <v/>
      </c>
      <c r="T881" s="510" t="str">
        <f>IFERROR(__xludf.DUMMYFUNCTION("""COMPUTED_VALUE"""),"")</f>
        <v/>
      </c>
    </row>
    <row r="882">
      <c r="A882" s="508" t="str">
        <f>IFERROR(__xludf.DUMMYFUNCTION("""COMPUTED_VALUE"""),"")</f>
        <v/>
      </c>
      <c r="B882" s="508" t="str">
        <f>IFERROR(__xludf.DUMMYFUNCTION("""COMPUTED_VALUE"""),"")</f>
        <v/>
      </c>
      <c r="C882" s="508" t="str">
        <f>IFERROR(__xludf.DUMMYFUNCTION("""COMPUTED_VALUE"""),"")</f>
        <v/>
      </c>
      <c r="D882" s="508" t="str">
        <f>IFERROR(__xludf.DUMMYFUNCTION("""COMPUTED_VALUE"""),"")</f>
        <v/>
      </c>
      <c r="E882" s="508" t="str">
        <f>IFERROR(__xludf.DUMMYFUNCTION("""COMPUTED_VALUE"""),"")</f>
        <v/>
      </c>
      <c r="F882" s="508" t="str">
        <f>IFERROR(__xludf.DUMMYFUNCTION("""COMPUTED_VALUE"""),"")</f>
        <v/>
      </c>
      <c r="G882" s="510" t="str">
        <f>IFERROR(__xludf.DUMMYFUNCTION("""COMPUTED_VALUE"""),"")</f>
        <v/>
      </c>
      <c r="H882" s="508" t="str">
        <f>IFERROR(__xludf.DUMMYFUNCTION("""COMPUTED_VALUE"""),"")</f>
        <v/>
      </c>
      <c r="I882" s="510" t="str">
        <f>IFERROR(__xludf.DUMMYFUNCTION("""COMPUTED_VALUE"""),"")</f>
        <v/>
      </c>
      <c r="J882" s="508" t="str">
        <f>IFERROR(__xludf.DUMMYFUNCTION("""COMPUTED_VALUE"""),"")</f>
        <v/>
      </c>
      <c r="K882" s="510" t="str">
        <f>IFERROR(__xludf.DUMMYFUNCTION("""COMPUTED_VALUE"""),"")</f>
        <v/>
      </c>
      <c r="L882" s="508" t="str">
        <f>IFERROR(__xludf.DUMMYFUNCTION("""COMPUTED_VALUE"""),"")</f>
        <v/>
      </c>
      <c r="M882" s="508" t="str">
        <f>IFERROR(__xludf.DUMMYFUNCTION("""COMPUTED_VALUE"""),"")</f>
        <v/>
      </c>
      <c r="N882" s="508" t="str">
        <f>IFERROR(__xludf.DUMMYFUNCTION("""COMPUTED_VALUE"""),"")</f>
        <v/>
      </c>
      <c r="O882" s="508" t="str">
        <f>IFERROR(__xludf.DUMMYFUNCTION("""COMPUTED_VALUE"""),"")</f>
        <v/>
      </c>
      <c r="P882" s="510" t="str">
        <f>IFERROR(__xludf.DUMMYFUNCTION("""COMPUTED_VALUE"""),"")</f>
        <v/>
      </c>
      <c r="Q882" s="508" t="str">
        <f>IFERROR(__xludf.DUMMYFUNCTION("""COMPUTED_VALUE"""),"")</f>
        <v/>
      </c>
      <c r="R882" s="508" t="str">
        <f>IFERROR(__xludf.DUMMYFUNCTION("""COMPUTED_VALUE"""),"")</f>
        <v/>
      </c>
      <c r="S882" s="510" t="str">
        <f>IFERROR(__xludf.DUMMYFUNCTION("""COMPUTED_VALUE"""),"")</f>
        <v/>
      </c>
      <c r="T882" s="510" t="str">
        <f>IFERROR(__xludf.DUMMYFUNCTION("""COMPUTED_VALUE"""),"")</f>
        <v/>
      </c>
    </row>
    <row r="883">
      <c r="A883" s="508" t="str">
        <f>IFERROR(__xludf.DUMMYFUNCTION("""COMPUTED_VALUE"""),"")</f>
        <v/>
      </c>
      <c r="B883" s="508" t="str">
        <f>IFERROR(__xludf.DUMMYFUNCTION("""COMPUTED_VALUE"""),"")</f>
        <v/>
      </c>
      <c r="C883" s="508" t="str">
        <f>IFERROR(__xludf.DUMMYFUNCTION("""COMPUTED_VALUE"""),"")</f>
        <v/>
      </c>
      <c r="D883" s="508" t="str">
        <f>IFERROR(__xludf.DUMMYFUNCTION("""COMPUTED_VALUE"""),"")</f>
        <v/>
      </c>
      <c r="E883" s="508" t="str">
        <f>IFERROR(__xludf.DUMMYFUNCTION("""COMPUTED_VALUE"""),"")</f>
        <v/>
      </c>
      <c r="F883" s="508" t="str">
        <f>IFERROR(__xludf.DUMMYFUNCTION("""COMPUTED_VALUE"""),"")</f>
        <v/>
      </c>
      <c r="G883" s="510" t="str">
        <f>IFERROR(__xludf.DUMMYFUNCTION("""COMPUTED_VALUE"""),"")</f>
        <v/>
      </c>
      <c r="H883" s="508" t="str">
        <f>IFERROR(__xludf.DUMMYFUNCTION("""COMPUTED_VALUE"""),"")</f>
        <v/>
      </c>
      <c r="I883" s="510" t="str">
        <f>IFERROR(__xludf.DUMMYFUNCTION("""COMPUTED_VALUE"""),"")</f>
        <v/>
      </c>
      <c r="J883" s="508" t="str">
        <f>IFERROR(__xludf.DUMMYFUNCTION("""COMPUTED_VALUE"""),"")</f>
        <v/>
      </c>
      <c r="K883" s="510" t="str">
        <f>IFERROR(__xludf.DUMMYFUNCTION("""COMPUTED_VALUE"""),"")</f>
        <v/>
      </c>
      <c r="L883" s="508" t="str">
        <f>IFERROR(__xludf.DUMMYFUNCTION("""COMPUTED_VALUE"""),"")</f>
        <v/>
      </c>
      <c r="M883" s="508" t="str">
        <f>IFERROR(__xludf.DUMMYFUNCTION("""COMPUTED_VALUE"""),"")</f>
        <v/>
      </c>
      <c r="N883" s="508" t="str">
        <f>IFERROR(__xludf.DUMMYFUNCTION("""COMPUTED_VALUE"""),"")</f>
        <v/>
      </c>
      <c r="O883" s="508" t="str">
        <f>IFERROR(__xludf.DUMMYFUNCTION("""COMPUTED_VALUE"""),"")</f>
        <v/>
      </c>
      <c r="P883" s="510" t="str">
        <f>IFERROR(__xludf.DUMMYFUNCTION("""COMPUTED_VALUE"""),"")</f>
        <v/>
      </c>
      <c r="Q883" s="508" t="str">
        <f>IFERROR(__xludf.DUMMYFUNCTION("""COMPUTED_VALUE"""),"")</f>
        <v/>
      </c>
      <c r="R883" s="508" t="str">
        <f>IFERROR(__xludf.DUMMYFUNCTION("""COMPUTED_VALUE"""),"")</f>
        <v/>
      </c>
      <c r="S883" s="510" t="str">
        <f>IFERROR(__xludf.DUMMYFUNCTION("""COMPUTED_VALUE"""),"")</f>
        <v/>
      </c>
      <c r="T883" s="510" t="str">
        <f>IFERROR(__xludf.DUMMYFUNCTION("""COMPUTED_VALUE"""),"")</f>
        <v/>
      </c>
    </row>
    <row r="884">
      <c r="A884" s="508" t="str">
        <f>IFERROR(__xludf.DUMMYFUNCTION("""COMPUTED_VALUE"""),"")</f>
        <v/>
      </c>
      <c r="B884" s="508" t="str">
        <f>IFERROR(__xludf.DUMMYFUNCTION("""COMPUTED_VALUE"""),"")</f>
        <v/>
      </c>
      <c r="C884" s="508" t="str">
        <f>IFERROR(__xludf.DUMMYFUNCTION("""COMPUTED_VALUE"""),"")</f>
        <v/>
      </c>
      <c r="D884" s="508" t="str">
        <f>IFERROR(__xludf.DUMMYFUNCTION("""COMPUTED_VALUE"""),"")</f>
        <v/>
      </c>
      <c r="E884" s="508" t="str">
        <f>IFERROR(__xludf.DUMMYFUNCTION("""COMPUTED_VALUE"""),"")</f>
        <v/>
      </c>
      <c r="F884" s="508" t="str">
        <f>IFERROR(__xludf.DUMMYFUNCTION("""COMPUTED_VALUE"""),"")</f>
        <v/>
      </c>
      <c r="G884" s="510" t="str">
        <f>IFERROR(__xludf.DUMMYFUNCTION("""COMPUTED_VALUE"""),"")</f>
        <v/>
      </c>
      <c r="H884" s="508" t="str">
        <f>IFERROR(__xludf.DUMMYFUNCTION("""COMPUTED_VALUE"""),"")</f>
        <v/>
      </c>
      <c r="I884" s="510" t="str">
        <f>IFERROR(__xludf.DUMMYFUNCTION("""COMPUTED_VALUE"""),"")</f>
        <v/>
      </c>
      <c r="J884" s="508" t="str">
        <f>IFERROR(__xludf.DUMMYFUNCTION("""COMPUTED_VALUE"""),"")</f>
        <v/>
      </c>
      <c r="K884" s="510" t="str">
        <f>IFERROR(__xludf.DUMMYFUNCTION("""COMPUTED_VALUE"""),"")</f>
        <v/>
      </c>
      <c r="L884" s="508" t="str">
        <f>IFERROR(__xludf.DUMMYFUNCTION("""COMPUTED_VALUE"""),"")</f>
        <v/>
      </c>
      <c r="M884" s="508" t="str">
        <f>IFERROR(__xludf.DUMMYFUNCTION("""COMPUTED_VALUE"""),"")</f>
        <v/>
      </c>
      <c r="N884" s="508" t="str">
        <f>IFERROR(__xludf.DUMMYFUNCTION("""COMPUTED_VALUE"""),"")</f>
        <v/>
      </c>
      <c r="O884" s="508" t="str">
        <f>IFERROR(__xludf.DUMMYFUNCTION("""COMPUTED_VALUE"""),"")</f>
        <v/>
      </c>
      <c r="P884" s="510" t="str">
        <f>IFERROR(__xludf.DUMMYFUNCTION("""COMPUTED_VALUE"""),"")</f>
        <v/>
      </c>
      <c r="Q884" s="508" t="str">
        <f>IFERROR(__xludf.DUMMYFUNCTION("""COMPUTED_VALUE"""),"")</f>
        <v/>
      </c>
      <c r="R884" s="508" t="str">
        <f>IFERROR(__xludf.DUMMYFUNCTION("""COMPUTED_VALUE"""),"")</f>
        <v/>
      </c>
      <c r="S884" s="510" t="str">
        <f>IFERROR(__xludf.DUMMYFUNCTION("""COMPUTED_VALUE"""),"")</f>
        <v/>
      </c>
      <c r="T884" s="510" t="str">
        <f>IFERROR(__xludf.DUMMYFUNCTION("""COMPUTED_VALUE"""),"")</f>
        <v/>
      </c>
    </row>
    <row r="885">
      <c r="A885" s="508" t="str">
        <f>IFERROR(__xludf.DUMMYFUNCTION("""COMPUTED_VALUE"""),"")</f>
        <v/>
      </c>
      <c r="B885" s="508" t="str">
        <f>IFERROR(__xludf.DUMMYFUNCTION("""COMPUTED_VALUE"""),"")</f>
        <v/>
      </c>
      <c r="C885" s="508" t="str">
        <f>IFERROR(__xludf.DUMMYFUNCTION("""COMPUTED_VALUE"""),"")</f>
        <v/>
      </c>
      <c r="D885" s="508" t="str">
        <f>IFERROR(__xludf.DUMMYFUNCTION("""COMPUTED_VALUE"""),"")</f>
        <v/>
      </c>
      <c r="E885" s="508" t="str">
        <f>IFERROR(__xludf.DUMMYFUNCTION("""COMPUTED_VALUE"""),"")</f>
        <v/>
      </c>
      <c r="F885" s="508" t="str">
        <f>IFERROR(__xludf.DUMMYFUNCTION("""COMPUTED_VALUE"""),"")</f>
        <v/>
      </c>
      <c r="G885" s="510" t="str">
        <f>IFERROR(__xludf.DUMMYFUNCTION("""COMPUTED_VALUE"""),"")</f>
        <v/>
      </c>
      <c r="H885" s="508" t="str">
        <f>IFERROR(__xludf.DUMMYFUNCTION("""COMPUTED_VALUE"""),"")</f>
        <v/>
      </c>
      <c r="I885" s="510" t="str">
        <f>IFERROR(__xludf.DUMMYFUNCTION("""COMPUTED_VALUE"""),"")</f>
        <v/>
      </c>
      <c r="J885" s="508" t="str">
        <f>IFERROR(__xludf.DUMMYFUNCTION("""COMPUTED_VALUE"""),"")</f>
        <v/>
      </c>
      <c r="K885" s="510" t="str">
        <f>IFERROR(__xludf.DUMMYFUNCTION("""COMPUTED_VALUE"""),"")</f>
        <v/>
      </c>
      <c r="L885" s="508" t="str">
        <f>IFERROR(__xludf.DUMMYFUNCTION("""COMPUTED_VALUE"""),"")</f>
        <v/>
      </c>
      <c r="M885" s="508" t="str">
        <f>IFERROR(__xludf.DUMMYFUNCTION("""COMPUTED_VALUE"""),"")</f>
        <v/>
      </c>
      <c r="N885" s="508" t="str">
        <f>IFERROR(__xludf.DUMMYFUNCTION("""COMPUTED_VALUE"""),"")</f>
        <v/>
      </c>
      <c r="O885" s="508" t="str">
        <f>IFERROR(__xludf.DUMMYFUNCTION("""COMPUTED_VALUE"""),"")</f>
        <v/>
      </c>
      <c r="P885" s="510" t="str">
        <f>IFERROR(__xludf.DUMMYFUNCTION("""COMPUTED_VALUE"""),"")</f>
        <v/>
      </c>
      <c r="Q885" s="508" t="str">
        <f>IFERROR(__xludf.DUMMYFUNCTION("""COMPUTED_VALUE"""),"")</f>
        <v/>
      </c>
      <c r="R885" s="508" t="str">
        <f>IFERROR(__xludf.DUMMYFUNCTION("""COMPUTED_VALUE"""),"")</f>
        <v/>
      </c>
      <c r="S885" s="510" t="str">
        <f>IFERROR(__xludf.DUMMYFUNCTION("""COMPUTED_VALUE"""),"")</f>
        <v/>
      </c>
      <c r="T885" s="510" t="str">
        <f>IFERROR(__xludf.DUMMYFUNCTION("""COMPUTED_VALUE"""),"")</f>
        <v/>
      </c>
    </row>
    <row r="886">
      <c r="A886" s="508" t="str">
        <f>IFERROR(__xludf.DUMMYFUNCTION("""COMPUTED_VALUE"""),"")</f>
        <v/>
      </c>
      <c r="B886" s="508" t="str">
        <f>IFERROR(__xludf.DUMMYFUNCTION("""COMPUTED_VALUE"""),"")</f>
        <v/>
      </c>
      <c r="C886" s="508" t="str">
        <f>IFERROR(__xludf.DUMMYFUNCTION("""COMPUTED_VALUE"""),"")</f>
        <v/>
      </c>
      <c r="D886" s="508" t="str">
        <f>IFERROR(__xludf.DUMMYFUNCTION("""COMPUTED_VALUE"""),"")</f>
        <v/>
      </c>
      <c r="E886" s="508" t="str">
        <f>IFERROR(__xludf.DUMMYFUNCTION("""COMPUTED_VALUE"""),"")</f>
        <v/>
      </c>
      <c r="F886" s="508" t="str">
        <f>IFERROR(__xludf.DUMMYFUNCTION("""COMPUTED_VALUE"""),"")</f>
        <v/>
      </c>
      <c r="G886" s="510" t="str">
        <f>IFERROR(__xludf.DUMMYFUNCTION("""COMPUTED_VALUE"""),"")</f>
        <v/>
      </c>
      <c r="H886" s="508" t="str">
        <f>IFERROR(__xludf.DUMMYFUNCTION("""COMPUTED_VALUE"""),"")</f>
        <v/>
      </c>
      <c r="I886" s="510" t="str">
        <f>IFERROR(__xludf.DUMMYFUNCTION("""COMPUTED_VALUE"""),"")</f>
        <v/>
      </c>
      <c r="J886" s="508" t="str">
        <f>IFERROR(__xludf.DUMMYFUNCTION("""COMPUTED_VALUE"""),"")</f>
        <v/>
      </c>
      <c r="K886" s="510" t="str">
        <f>IFERROR(__xludf.DUMMYFUNCTION("""COMPUTED_VALUE"""),"")</f>
        <v/>
      </c>
      <c r="L886" s="508" t="str">
        <f>IFERROR(__xludf.DUMMYFUNCTION("""COMPUTED_VALUE"""),"")</f>
        <v/>
      </c>
      <c r="M886" s="508" t="str">
        <f>IFERROR(__xludf.DUMMYFUNCTION("""COMPUTED_VALUE"""),"")</f>
        <v/>
      </c>
      <c r="N886" s="508" t="str">
        <f>IFERROR(__xludf.DUMMYFUNCTION("""COMPUTED_VALUE"""),"")</f>
        <v/>
      </c>
      <c r="O886" s="508" t="str">
        <f>IFERROR(__xludf.DUMMYFUNCTION("""COMPUTED_VALUE"""),"")</f>
        <v/>
      </c>
      <c r="P886" s="510" t="str">
        <f>IFERROR(__xludf.DUMMYFUNCTION("""COMPUTED_VALUE"""),"")</f>
        <v/>
      </c>
      <c r="Q886" s="508" t="str">
        <f>IFERROR(__xludf.DUMMYFUNCTION("""COMPUTED_VALUE"""),"")</f>
        <v/>
      </c>
      <c r="R886" s="508" t="str">
        <f>IFERROR(__xludf.DUMMYFUNCTION("""COMPUTED_VALUE"""),"")</f>
        <v/>
      </c>
      <c r="S886" s="510" t="str">
        <f>IFERROR(__xludf.DUMMYFUNCTION("""COMPUTED_VALUE"""),"")</f>
        <v/>
      </c>
      <c r="T886" s="510" t="str">
        <f>IFERROR(__xludf.DUMMYFUNCTION("""COMPUTED_VALUE"""),"")</f>
        <v/>
      </c>
    </row>
    <row r="887">
      <c r="A887" s="508" t="str">
        <f>IFERROR(__xludf.DUMMYFUNCTION("""COMPUTED_VALUE"""),"")</f>
        <v/>
      </c>
      <c r="B887" s="508" t="str">
        <f>IFERROR(__xludf.DUMMYFUNCTION("""COMPUTED_VALUE"""),"")</f>
        <v/>
      </c>
      <c r="C887" s="508" t="str">
        <f>IFERROR(__xludf.DUMMYFUNCTION("""COMPUTED_VALUE"""),"")</f>
        <v/>
      </c>
      <c r="D887" s="508" t="str">
        <f>IFERROR(__xludf.DUMMYFUNCTION("""COMPUTED_VALUE"""),"")</f>
        <v/>
      </c>
      <c r="E887" s="508" t="str">
        <f>IFERROR(__xludf.DUMMYFUNCTION("""COMPUTED_VALUE"""),"")</f>
        <v/>
      </c>
      <c r="F887" s="508" t="str">
        <f>IFERROR(__xludf.DUMMYFUNCTION("""COMPUTED_VALUE"""),"")</f>
        <v/>
      </c>
      <c r="G887" s="510" t="str">
        <f>IFERROR(__xludf.DUMMYFUNCTION("""COMPUTED_VALUE"""),"")</f>
        <v/>
      </c>
      <c r="H887" s="508" t="str">
        <f>IFERROR(__xludf.DUMMYFUNCTION("""COMPUTED_VALUE"""),"")</f>
        <v/>
      </c>
      <c r="I887" s="510" t="str">
        <f>IFERROR(__xludf.DUMMYFUNCTION("""COMPUTED_VALUE"""),"")</f>
        <v/>
      </c>
      <c r="J887" s="508" t="str">
        <f>IFERROR(__xludf.DUMMYFUNCTION("""COMPUTED_VALUE"""),"")</f>
        <v/>
      </c>
      <c r="K887" s="510" t="str">
        <f>IFERROR(__xludf.DUMMYFUNCTION("""COMPUTED_VALUE"""),"")</f>
        <v/>
      </c>
      <c r="L887" s="508" t="str">
        <f>IFERROR(__xludf.DUMMYFUNCTION("""COMPUTED_VALUE"""),"")</f>
        <v/>
      </c>
      <c r="M887" s="508" t="str">
        <f>IFERROR(__xludf.DUMMYFUNCTION("""COMPUTED_VALUE"""),"")</f>
        <v/>
      </c>
      <c r="N887" s="508" t="str">
        <f>IFERROR(__xludf.DUMMYFUNCTION("""COMPUTED_VALUE"""),"")</f>
        <v/>
      </c>
      <c r="O887" s="508" t="str">
        <f>IFERROR(__xludf.DUMMYFUNCTION("""COMPUTED_VALUE"""),"")</f>
        <v/>
      </c>
      <c r="P887" s="510" t="str">
        <f>IFERROR(__xludf.DUMMYFUNCTION("""COMPUTED_VALUE"""),"")</f>
        <v/>
      </c>
      <c r="Q887" s="508" t="str">
        <f>IFERROR(__xludf.DUMMYFUNCTION("""COMPUTED_VALUE"""),"")</f>
        <v/>
      </c>
      <c r="R887" s="508" t="str">
        <f>IFERROR(__xludf.DUMMYFUNCTION("""COMPUTED_VALUE"""),"")</f>
        <v/>
      </c>
      <c r="S887" s="510" t="str">
        <f>IFERROR(__xludf.DUMMYFUNCTION("""COMPUTED_VALUE"""),"")</f>
        <v/>
      </c>
      <c r="T887" s="510" t="str">
        <f>IFERROR(__xludf.DUMMYFUNCTION("""COMPUTED_VALUE"""),"")</f>
        <v/>
      </c>
    </row>
    <row r="888">
      <c r="A888" s="508" t="str">
        <f>IFERROR(__xludf.DUMMYFUNCTION("""COMPUTED_VALUE"""),"")</f>
        <v/>
      </c>
      <c r="B888" s="508" t="str">
        <f>IFERROR(__xludf.DUMMYFUNCTION("""COMPUTED_VALUE"""),"")</f>
        <v/>
      </c>
      <c r="C888" s="508" t="str">
        <f>IFERROR(__xludf.DUMMYFUNCTION("""COMPUTED_VALUE"""),"")</f>
        <v/>
      </c>
      <c r="D888" s="508" t="str">
        <f>IFERROR(__xludf.DUMMYFUNCTION("""COMPUTED_VALUE"""),"")</f>
        <v/>
      </c>
      <c r="E888" s="508" t="str">
        <f>IFERROR(__xludf.DUMMYFUNCTION("""COMPUTED_VALUE"""),"")</f>
        <v/>
      </c>
      <c r="F888" s="508" t="str">
        <f>IFERROR(__xludf.DUMMYFUNCTION("""COMPUTED_VALUE"""),"")</f>
        <v/>
      </c>
      <c r="G888" s="510" t="str">
        <f>IFERROR(__xludf.DUMMYFUNCTION("""COMPUTED_VALUE"""),"")</f>
        <v/>
      </c>
      <c r="H888" s="508" t="str">
        <f>IFERROR(__xludf.DUMMYFUNCTION("""COMPUTED_VALUE"""),"")</f>
        <v/>
      </c>
      <c r="I888" s="510" t="str">
        <f>IFERROR(__xludf.DUMMYFUNCTION("""COMPUTED_VALUE"""),"")</f>
        <v/>
      </c>
      <c r="J888" s="508" t="str">
        <f>IFERROR(__xludf.DUMMYFUNCTION("""COMPUTED_VALUE"""),"")</f>
        <v/>
      </c>
      <c r="K888" s="510" t="str">
        <f>IFERROR(__xludf.DUMMYFUNCTION("""COMPUTED_VALUE"""),"")</f>
        <v/>
      </c>
      <c r="L888" s="508" t="str">
        <f>IFERROR(__xludf.DUMMYFUNCTION("""COMPUTED_VALUE"""),"")</f>
        <v/>
      </c>
      <c r="M888" s="508" t="str">
        <f>IFERROR(__xludf.DUMMYFUNCTION("""COMPUTED_VALUE"""),"")</f>
        <v/>
      </c>
      <c r="N888" s="508" t="str">
        <f>IFERROR(__xludf.DUMMYFUNCTION("""COMPUTED_VALUE"""),"")</f>
        <v/>
      </c>
      <c r="O888" s="508" t="str">
        <f>IFERROR(__xludf.DUMMYFUNCTION("""COMPUTED_VALUE"""),"")</f>
        <v/>
      </c>
      <c r="P888" s="510" t="str">
        <f>IFERROR(__xludf.DUMMYFUNCTION("""COMPUTED_VALUE"""),"")</f>
        <v/>
      </c>
      <c r="Q888" s="508" t="str">
        <f>IFERROR(__xludf.DUMMYFUNCTION("""COMPUTED_VALUE"""),"")</f>
        <v/>
      </c>
      <c r="R888" s="508" t="str">
        <f>IFERROR(__xludf.DUMMYFUNCTION("""COMPUTED_VALUE"""),"")</f>
        <v/>
      </c>
      <c r="S888" s="510" t="str">
        <f>IFERROR(__xludf.DUMMYFUNCTION("""COMPUTED_VALUE"""),"")</f>
        <v/>
      </c>
      <c r="T888" s="510" t="str">
        <f>IFERROR(__xludf.DUMMYFUNCTION("""COMPUTED_VALUE"""),"")</f>
        <v/>
      </c>
    </row>
    <row r="889">
      <c r="A889" s="508" t="str">
        <f>IFERROR(__xludf.DUMMYFUNCTION("""COMPUTED_VALUE"""),"")</f>
        <v/>
      </c>
      <c r="B889" s="508" t="str">
        <f>IFERROR(__xludf.DUMMYFUNCTION("""COMPUTED_VALUE"""),"")</f>
        <v/>
      </c>
      <c r="C889" s="508" t="str">
        <f>IFERROR(__xludf.DUMMYFUNCTION("""COMPUTED_VALUE"""),"")</f>
        <v/>
      </c>
      <c r="D889" s="508" t="str">
        <f>IFERROR(__xludf.DUMMYFUNCTION("""COMPUTED_VALUE"""),"")</f>
        <v/>
      </c>
      <c r="E889" s="508" t="str">
        <f>IFERROR(__xludf.DUMMYFUNCTION("""COMPUTED_VALUE"""),"")</f>
        <v/>
      </c>
      <c r="F889" s="508" t="str">
        <f>IFERROR(__xludf.DUMMYFUNCTION("""COMPUTED_VALUE"""),"")</f>
        <v/>
      </c>
      <c r="G889" s="510" t="str">
        <f>IFERROR(__xludf.DUMMYFUNCTION("""COMPUTED_VALUE"""),"")</f>
        <v/>
      </c>
      <c r="H889" s="508" t="str">
        <f>IFERROR(__xludf.DUMMYFUNCTION("""COMPUTED_VALUE"""),"")</f>
        <v/>
      </c>
      <c r="I889" s="510" t="str">
        <f>IFERROR(__xludf.DUMMYFUNCTION("""COMPUTED_VALUE"""),"")</f>
        <v/>
      </c>
      <c r="J889" s="508" t="str">
        <f>IFERROR(__xludf.DUMMYFUNCTION("""COMPUTED_VALUE"""),"")</f>
        <v/>
      </c>
      <c r="K889" s="510" t="str">
        <f>IFERROR(__xludf.DUMMYFUNCTION("""COMPUTED_VALUE"""),"")</f>
        <v/>
      </c>
      <c r="L889" s="508" t="str">
        <f>IFERROR(__xludf.DUMMYFUNCTION("""COMPUTED_VALUE"""),"")</f>
        <v/>
      </c>
      <c r="M889" s="508" t="str">
        <f>IFERROR(__xludf.DUMMYFUNCTION("""COMPUTED_VALUE"""),"")</f>
        <v/>
      </c>
      <c r="N889" s="508" t="str">
        <f>IFERROR(__xludf.DUMMYFUNCTION("""COMPUTED_VALUE"""),"")</f>
        <v/>
      </c>
      <c r="O889" s="508" t="str">
        <f>IFERROR(__xludf.DUMMYFUNCTION("""COMPUTED_VALUE"""),"")</f>
        <v/>
      </c>
      <c r="P889" s="510" t="str">
        <f>IFERROR(__xludf.DUMMYFUNCTION("""COMPUTED_VALUE"""),"")</f>
        <v/>
      </c>
      <c r="Q889" s="508" t="str">
        <f>IFERROR(__xludf.DUMMYFUNCTION("""COMPUTED_VALUE"""),"")</f>
        <v/>
      </c>
      <c r="R889" s="508" t="str">
        <f>IFERROR(__xludf.DUMMYFUNCTION("""COMPUTED_VALUE"""),"")</f>
        <v/>
      </c>
      <c r="S889" s="510" t="str">
        <f>IFERROR(__xludf.DUMMYFUNCTION("""COMPUTED_VALUE"""),"")</f>
        <v/>
      </c>
      <c r="T889" s="510" t="str">
        <f>IFERROR(__xludf.DUMMYFUNCTION("""COMPUTED_VALUE"""),"")</f>
        <v/>
      </c>
    </row>
    <row r="890">
      <c r="A890" s="508" t="str">
        <f>IFERROR(__xludf.DUMMYFUNCTION("""COMPUTED_VALUE"""),"")</f>
        <v/>
      </c>
      <c r="B890" s="508" t="str">
        <f>IFERROR(__xludf.DUMMYFUNCTION("""COMPUTED_VALUE"""),"")</f>
        <v/>
      </c>
      <c r="C890" s="508" t="str">
        <f>IFERROR(__xludf.DUMMYFUNCTION("""COMPUTED_VALUE"""),"")</f>
        <v/>
      </c>
      <c r="D890" s="508" t="str">
        <f>IFERROR(__xludf.DUMMYFUNCTION("""COMPUTED_VALUE"""),"")</f>
        <v/>
      </c>
      <c r="E890" s="508" t="str">
        <f>IFERROR(__xludf.DUMMYFUNCTION("""COMPUTED_VALUE"""),"")</f>
        <v/>
      </c>
      <c r="F890" s="508" t="str">
        <f>IFERROR(__xludf.DUMMYFUNCTION("""COMPUTED_VALUE"""),"")</f>
        <v/>
      </c>
      <c r="G890" s="510" t="str">
        <f>IFERROR(__xludf.DUMMYFUNCTION("""COMPUTED_VALUE"""),"")</f>
        <v/>
      </c>
      <c r="H890" s="508" t="str">
        <f>IFERROR(__xludf.DUMMYFUNCTION("""COMPUTED_VALUE"""),"")</f>
        <v/>
      </c>
      <c r="I890" s="510" t="str">
        <f>IFERROR(__xludf.DUMMYFUNCTION("""COMPUTED_VALUE"""),"")</f>
        <v/>
      </c>
      <c r="J890" s="508" t="str">
        <f>IFERROR(__xludf.DUMMYFUNCTION("""COMPUTED_VALUE"""),"")</f>
        <v/>
      </c>
      <c r="K890" s="510" t="str">
        <f>IFERROR(__xludf.DUMMYFUNCTION("""COMPUTED_VALUE"""),"")</f>
        <v/>
      </c>
      <c r="L890" s="508" t="str">
        <f>IFERROR(__xludf.DUMMYFUNCTION("""COMPUTED_VALUE"""),"")</f>
        <v/>
      </c>
      <c r="M890" s="508" t="str">
        <f>IFERROR(__xludf.DUMMYFUNCTION("""COMPUTED_VALUE"""),"")</f>
        <v/>
      </c>
      <c r="N890" s="508" t="str">
        <f>IFERROR(__xludf.DUMMYFUNCTION("""COMPUTED_VALUE"""),"")</f>
        <v/>
      </c>
      <c r="O890" s="508" t="str">
        <f>IFERROR(__xludf.DUMMYFUNCTION("""COMPUTED_VALUE"""),"")</f>
        <v/>
      </c>
      <c r="P890" s="510" t="str">
        <f>IFERROR(__xludf.DUMMYFUNCTION("""COMPUTED_VALUE"""),"")</f>
        <v/>
      </c>
      <c r="Q890" s="508" t="str">
        <f>IFERROR(__xludf.DUMMYFUNCTION("""COMPUTED_VALUE"""),"")</f>
        <v/>
      </c>
      <c r="R890" s="508" t="str">
        <f>IFERROR(__xludf.DUMMYFUNCTION("""COMPUTED_VALUE"""),"")</f>
        <v/>
      </c>
      <c r="S890" s="510" t="str">
        <f>IFERROR(__xludf.DUMMYFUNCTION("""COMPUTED_VALUE"""),"")</f>
        <v/>
      </c>
      <c r="T890" s="510" t="str">
        <f>IFERROR(__xludf.DUMMYFUNCTION("""COMPUTED_VALUE"""),"")</f>
        <v/>
      </c>
    </row>
    <row r="891">
      <c r="A891" s="508" t="str">
        <f>IFERROR(__xludf.DUMMYFUNCTION("""COMPUTED_VALUE"""),"")</f>
        <v/>
      </c>
      <c r="B891" s="508" t="str">
        <f>IFERROR(__xludf.DUMMYFUNCTION("""COMPUTED_VALUE"""),"")</f>
        <v/>
      </c>
      <c r="C891" s="508" t="str">
        <f>IFERROR(__xludf.DUMMYFUNCTION("""COMPUTED_VALUE"""),"")</f>
        <v/>
      </c>
      <c r="D891" s="508" t="str">
        <f>IFERROR(__xludf.DUMMYFUNCTION("""COMPUTED_VALUE"""),"")</f>
        <v/>
      </c>
      <c r="E891" s="508" t="str">
        <f>IFERROR(__xludf.DUMMYFUNCTION("""COMPUTED_VALUE"""),"")</f>
        <v/>
      </c>
      <c r="F891" s="508" t="str">
        <f>IFERROR(__xludf.DUMMYFUNCTION("""COMPUTED_VALUE"""),"")</f>
        <v/>
      </c>
      <c r="G891" s="510" t="str">
        <f>IFERROR(__xludf.DUMMYFUNCTION("""COMPUTED_VALUE"""),"")</f>
        <v/>
      </c>
      <c r="H891" s="508" t="str">
        <f>IFERROR(__xludf.DUMMYFUNCTION("""COMPUTED_VALUE"""),"")</f>
        <v/>
      </c>
      <c r="I891" s="510" t="str">
        <f>IFERROR(__xludf.DUMMYFUNCTION("""COMPUTED_VALUE"""),"")</f>
        <v/>
      </c>
      <c r="J891" s="508" t="str">
        <f>IFERROR(__xludf.DUMMYFUNCTION("""COMPUTED_VALUE"""),"")</f>
        <v/>
      </c>
      <c r="K891" s="510" t="str">
        <f>IFERROR(__xludf.DUMMYFUNCTION("""COMPUTED_VALUE"""),"")</f>
        <v/>
      </c>
      <c r="L891" s="508" t="str">
        <f>IFERROR(__xludf.DUMMYFUNCTION("""COMPUTED_VALUE"""),"")</f>
        <v/>
      </c>
      <c r="M891" s="508" t="str">
        <f>IFERROR(__xludf.DUMMYFUNCTION("""COMPUTED_VALUE"""),"")</f>
        <v/>
      </c>
      <c r="N891" s="508" t="str">
        <f>IFERROR(__xludf.DUMMYFUNCTION("""COMPUTED_VALUE"""),"")</f>
        <v/>
      </c>
      <c r="O891" s="508" t="str">
        <f>IFERROR(__xludf.DUMMYFUNCTION("""COMPUTED_VALUE"""),"")</f>
        <v/>
      </c>
      <c r="P891" s="510" t="str">
        <f>IFERROR(__xludf.DUMMYFUNCTION("""COMPUTED_VALUE"""),"")</f>
        <v/>
      </c>
      <c r="Q891" s="508" t="str">
        <f>IFERROR(__xludf.DUMMYFUNCTION("""COMPUTED_VALUE"""),"")</f>
        <v/>
      </c>
      <c r="R891" s="508" t="str">
        <f>IFERROR(__xludf.DUMMYFUNCTION("""COMPUTED_VALUE"""),"")</f>
        <v/>
      </c>
      <c r="S891" s="510" t="str">
        <f>IFERROR(__xludf.DUMMYFUNCTION("""COMPUTED_VALUE"""),"")</f>
        <v/>
      </c>
      <c r="T891" s="510" t="str">
        <f>IFERROR(__xludf.DUMMYFUNCTION("""COMPUTED_VALUE"""),"")</f>
        <v/>
      </c>
    </row>
    <row r="892">
      <c r="A892" s="508" t="str">
        <f>IFERROR(__xludf.DUMMYFUNCTION("""COMPUTED_VALUE"""),"")</f>
        <v/>
      </c>
      <c r="B892" s="508" t="str">
        <f>IFERROR(__xludf.DUMMYFUNCTION("""COMPUTED_VALUE"""),"")</f>
        <v/>
      </c>
      <c r="C892" s="508" t="str">
        <f>IFERROR(__xludf.DUMMYFUNCTION("""COMPUTED_VALUE"""),"")</f>
        <v/>
      </c>
      <c r="D892" s="508" t="str">
        <f>IFERROR(__xludf.DUMMYFUNCTION("""COMPUTED_VALUE"""),"")</f>
        <v/>
      </c>
      <c r="E892" s="508" t="str">
        <f>IFERROR(__xludf.DUMMYFUNCTION("""COMPUTED_VALUE"""),"")</f>
        <v/>
      </c>
      <c r="F892" s="508" t="str">
        <f>IFERROR(__xludf.DUMMYFUNCTION("""COMPUTED_VALUE"""),"")</f>
        <v/>
      </c>
      <c r="G892" s="510" t="str">
        <f>IFERROR(__xludf.DUMMYFUNCTION("""COMPUTED_VALUE"""),"")</f>
        <v/>
      </c>
      <c r="H892" s="508" t="str">
        <f>IFERROR(__xludf.DUMMYFUNCTION("""COMPUTED_VALUE"""),"")</f>
        <v/>
      </c>
      <c r="I892" s="510" t="str">
        <f>IFERROR(__xludf.DUMMYFUNCTION("""COMPUTED_VALUE"""),"")</f>
        <v/>
      </c>
      <c r="J892" s="508" t="str">
        <f>IFERROR(__xludf.DUMMYFUNCTION("""COMPUTED_VALUE"""),"")</f>
        <v/>
      </c>
      <c r="K892" s="510" t="str">
        <f>IFERROR(__xludf.DUMMYFUNCTION("""COMPUTED_VALUE"""),"")</f>
        <v/>
      </c>
      <c r="L892" s="508" t="str">
        <f>IFERROR(__xludf.DUMMYFUNCTION("""COMPUTED_VALUE"""),"")</f>
        <v/>
      </c>
      <c r="M892" s="508" t="str">
        <f>IFERROR(__xludf.DUMMYFUNCTION("""COMPUTED_VALUE"""),"")</f>
        <v/>
      </c>
      <c r="N892" s="508" t="str">
        <f>IFERROR(__xludf.DUMMYFUNCTION("""COMPUTED_VALUE"""),"")</f>
        <v/>
      </c>
      <c r="O892" s="508" t="str">
        <f>IFERROR(__xludf.DUMMYFUNCTION("""COMPUTED_VALUE"""),"")</f>
        <v/>
      </c>
      <c r="P892" s="510" t="str">
        <f>IFERROR(__xludf.DUMMYFUNCTION("""COMPUTED_VALUE"""),"")</f>
        <v/>
      </c>
      <c r="Q892" s="508" t="str">
        <f>IFERROR(__xludf.DUMMYFUNCTION("""COMPUTED_VALUE"""),"")</f>
        <v/>
      </c>
      <c r="R892" s="508" t="str">
        <f>IFERROR(__xludf.DUMMYFUNCTION("""COMPUTED_VALUE"""),"")</f>
        <v/>
      </c>
      <c r="S892" s="510" t="str">
        <f>IFERROR(__xludf.DUMMYFUNCTION("""COMPUTED_VALUE"""),"")</f>
        <v/>
      </c>
      <c r="T892" s="510" t="str">
        <f>IFERROR(__xludf.DUMMYFUNCTION("""COMPUTED_VALUE"""),"")</f>
        <v/>
      </c>
    </row>
    <row r="893">
      <c r="A893" s="508" t="str">
        <f>IFERROR(__xludf.DUMMYFUNCTION("""COMPUTED_VALUE"""),"")</f>
        <v/>
      </c>
      <c r="B893" s="508" t="str">
        <f>IFERROR(__xludf.DUMMYFUNCTION("""COMPUTED_VALUE"""),"")</f>
        <v/>
      </c>
      <c r="C893" s="508" t="str">
        <f>IFERROR(__xludf.DUMMYFUNCTION("""COMPUTED_VALUE"""),"")</f>
        <v/>
      </c>
      <c r="D893" s="508" t="str">
        <f>IFERROR(__xludf.DUMMYFUNCTION("""COMPUTED_VALUE"""),"")</f>
        <v/>
      </c>
      <c r="E893" s="508" t="str">
        <f>IFERROR(__xludf.DUMMYFUNCTION("""COMPUTED_VALUE"""),"")</f>
        <v/>
      </c>
      <c r="F893" s="508" t="str">
        <f>IFERROR(__xludf.DUMMYFUNCTION("""COMPUTED_VALUE"""),"")</f>
        <v/>
      </c>
      <c r="G893" s="510" t="str">
        <f>IFERROR(__xludf.DUMMYFUNCTION("""COMPUTED_VALUE"""),"")</f>
        <v/>
      </c>
      <c r="H893" s="508" t="str">
        <f>IFERROR(__xludf.DUMMYFUNCTION("""COMPUTED_VALUE"""),"")</f>
        <v/>
      </c>
      <c r="I893" s="510" t="str">
        <f>IFERROR(__xludf.DUMMYFUNCTION("""COMPUTED_VALUE"""),"")</f>
        <v/>
      </c>
      <c r="J893" s="508" t="str">
        <f>IFERROR(__xludf.DUMMYFUNCTION("""COMPUTED_VALUE"""),"")</f>
        <v/>
      </c>
      <c r="K893" s="510" t="str">
        <f>IFERROR(__xludf.DUMMYFUNCTION("""COMPUTED_VALUE"""),"")</f>
        <v/>
      </c>
      <c r="L893" s="508" t="str">
        <f>IFERROR(__xludf.DUMMYFUNCTION("""COMPUTED_VALUE"""),"")</f>
        <v/>
      </c>
      <c r="M893" s="508" t="str">
        <f>IFERROR(__xludf.DUMMYFUNCTION("""COMPUTED_VALUE"""),"")</f>
        <v/>
      </c>
      <c r="N893" s="508" t="str">
        <f>IFERROR(__xludf.DUMMYFUNCTION("""COMPUTED_VALUE"""),"")</f>
        <v/>
      </c>
      <c r="O893" s="508" t="str">
        <f>IFERROR(__xludf.DUMMYFUNCTION("""COMPUTED_VALUE"""),"")</f>
        <v/>
      </c>
      <c r="P893" s="510" t="str">
        <f>IFERROR(__xludf.DUMMYFUNCTION("""COMPUTED_VALUE"""),"")</f>
        <v/>
      </c>
      <c r="Q893" s="508" t="str">
        <f>IFERROR(__xludf.DUMMYFUNCTION("""COMPUTED_VALUE"""),"")</f>
        <v/>
      </c>
      <c r="R893" s="508" t="str">
        <f>IFERROR(__xludf.DUMMYFUNCTION("""COMPUTED_VALUE"""),"")</f>
        <v/>
      </c>
      <c r="S893" s="510" t="str">
        <f>IFERROR(__xludf.DUMMYFUNCTION("""COMPUTED_VALUE"""),"")</f>
        <v/>
      </c>
      <c r="T893" s="510" t="str">
        <f>IFERROR(__xludf.DUMMYFUNCTION("""COMPUTED_VALUE"""),"")</f>
        <v/>
      </c>
    </row>
    <row r="894">
      <c r="A894" s="508" t="str">
        <f>IFERROR(__xludf.DUMMYFUNCTION("""COMPUTED_VALUE"""),"")</f>
        <v/>
      </c>
      <c r="B894" s="508" t="str">
        <f>IFERROR(__xludf.DUMMYFUNCTION("""COMPUTED_VALUE"""),"")</f>
        <v/>
      </c>
      <c r="C894" s="508" t="str">
        <f>IFERROR(__xludf.DUMMYFUNCTION("""COMPUTED_VALUE"""),"")</f>
        <v/>
      </c>
      <c r="D894" s="508" t="str">
        <f>IFERROR(__xludf.DUMMYFUNCTION("""COMPUTED_VALUE"""),"")</f>
        <v/>
      </c>
      <c r="E894" s="508" t="str">
        <f>IFERROR(__xludf.DUMMYFUNCTION("""COMPUTED_VALUE"""),"")</f>
        <v/>
      </c>
      <c r="F894" s="508" t="str">
        <f>IFERROR(__xludf.DUMMYFUNCTION("""COMPUTED_VALUE"""),"")</f>
        <v/>
      </c>
      <c r="G894" s="510" t="str">
        <f>IFERROR(__xludf.DUMMYFUNCTION("""COMPUTED_VALUE"""),"")</f>
        <v/>
      </c>
      <c r="H894" s="508" t="str">
        <f>IFERROR(__xludf.DUMMYFUNCTION("""COMPUTED_VALUE"""),"")</f>
        <v/>
      </c>
      <c r="I894" s="510" t="str">
        <f>IFERROR(__xludf.DUMMYFUNCTION("""COMPUTED_VALUE"""),"")</f>
        <v/>
      </c>
      <c r="J894" s="508" t="str">
        <f>IFERROR(__xludf.DUMMYFUNCTION("""COMPUTED_VALUE"""),"")</f>
        <v/>
      </c>
      <c r="K894" s="510" t="str">
        <f>IFERROR(__xludf.DUMMYFUNCTION("""COMPUTED_VALUE"""),"")</f>
        <v/>
      </c>
      <c r="L894" s="508" t="str">
        <f>IFERROR(__xludf.DUMMYFUNCTION("""COMPUTED_VALUE"""),"")</f>
        <v/>
      </c>
      <c r="M894" s="508" t="str">
        <f>IFERROR(__xludf.DUMMYFUNCTION("""COMPUTED_VALUE"""),"")</f>
        <v/>
      </c>
      <c r="N894" s="508" t="str">
        <f>IFERROR(__xludf.DUMMYFUNCTION("""COMPUTED_VALUE"""),"")</f>
        <v/>
      </c>
      <c r="O894" s="508" t="str">
        <f>IFERROR(__xludf.DUMMYFUNCTION("""COMPUTED_VALUE"""),"")</f>
        <v/>
      </c>
      <c r="P894" s="510" t="str">
        <f>IFERROR(__xludf.DUMMYFUNCTION("""COMPUTED_VALUE"""),"")</f>
        <v/>
      </c>
      <c r="Q894" s="508" t="str">
        <f>IFERROR(__xludf.DUMMYFUNCTION("""COMPUTED_VALUE"""),"")</f>
        <v/>
      </c>
      <c r="R894" s="508" t="str">
        <f>IFERROR(__xludf.DUMMYFUNCTION("""COMPUTED_VALUE"""),"")</f>
        <v/>
      </c>
      <c r="S894" s="510" t="str">
        <f>IFERROR(__xludf.DUMMYFUNCTION("""COMPUTED_VALUE"""),"")</f>
        <v/>
      </c>
      <c r="T894" s="510" t="str">
        <f>IFERROR(__xludf.DUMMYFUNCTION("""COMPUTED_VALUE"""),"")</f>
        <v/>
      </c>
    </row>
    <row r="895">
      <c r="A895" s="508" t="str">
        <f>IFERROR(__xludf.DUMMYFUNCTION("""COMPUTED_VALUE"""),"")</f>
        <v/>
      </c>
      <c r="B895" s="508" t="str">
        <f>IFERROR(__xludf.DUMMYFUNCTION("""COMPUTED_VALUE"""),"")</f>
        <v/>
      </c>
      <c r="C895" s="508" t="str">
        <f>IFERROR(__xludf.DUMMYFUNCTION("""COMPUTED_VALUE"""),"")</f>
        <v/>
      </c>
      <c r="D895" s="508" t="str">
        <f>IFERROR(__xludf.DUMMYFUNCTION("""COMPUTED_VALUE"""),"")</f>
        <v/>
      </c>
      <c r="E895" s="508" t="str">
        <f>IFERROR(__xludf.DUMMYFUNCTION("""COMPUTED_VALUE"""),"")</f>
        <v/>
      </c>
      <c r="F895" s="508" t="str">
        <f>IFERROR(__xludf.DUMMYFUNCTION("""COMPUTED_VALUE"""),"")</f>
        <v/>
      </c>
      <c r="G895" s="510" t="str">
        <f>IFERROR(__xludf.DUMMYFUNCTION("""COMPUTED_VALUE"""),"")</f>
        <v/>
      </c>
      <c r="H895" s="508" t="str">
        <f>IFERROR(__xludf.DUMMYFUNCTION("""COMPUTED_VALUE"""),"")</f>
        <v/>
      </c>
      <c r="I895" s="510" t="str">
        <f>IFERROR(__xludf.DUMMYFUNCTION("""COMPUTED_VALUE"""),"")</f>
        <v/>
      </c>
      <c r="J895" s="508" t="str">
        <f>IFERROR(__xludf.DUMMYFUNCTION("""COMPUTED_VALUE"""),"")</f>
        <v/>
      </c>
      <c r="K895" s="510" t="str">
        <f>IFERROR(__xludf.DUMMYFUNCTION("""COMPUTED_VALUE"""),"")</f>
        <v/>
      </c>
      <c r="L895" s="508" t="str">
        <f>IFERROR(__xludf.DUMMYFUNCTION("""COMPUTED_VALUE"""),"")</f>
        <v/>
      </c>
      <c r="M895" s="508" t="str">
        <f>IFERROR(__xludf.DUMMYFUNCTION("""COMPUTED_VALUE"""),"")</f>
        <v/>
      </c>
      <c r="N895" s="508" t="str">
        <f>IFERROR(__xludf.DUMMYFUNCTION("""COMPUTED_VALUE"""),"")</f>
        <v/>
      </c>
      <c r="O895" s="508" t="str">
        <f>IFERROR(__xludf.DUMMYFUNCTION("""COMPUTED_VALUE"""),"")</f>
        <v/>
      </c>
      <c r="P895" s="510" t="str">
        <f>IFERROR(__xludf.DUMMYFUNCTION("""COMPUTED_VALUE"""),"")</f>
        <v/>
      </c>
      <c r="Q895" s="508" t="str">
        <f>IFERROR(__xludf.DUMMYFUNCTION("""COMPUTED_VALUE"""),"")</f>
        <v/>
      </c>
      <c r="R895" s="508" t="str">
        <f>IFERROR(__xludf.DUMMYFUNCTION("""COMPUTED_VALUE"""),"")</f>
        <v/>
      </c>
      <c r="S895" s="510" t="str">
        <f>IFERROR(__xludf.DUMMYFUNCTION("""COMPUTED_VALUE"""),"")</f>
        <v/>
      </c>
      <c r="T895" s="510" t="str">
        <f>IFERROR(__xludf.DUMMYFUNCTION("""COMPUTED_VALUE"""),"")</f>
        <v/>
      </c>
    </row>
    <row r="896">
      <c r="A896" s="508" t="str">
        <f>IFERROR(__xludf.DUMMYFUNCTION("""COMPUTED_VALUE"""),"")</f>
        <v/>
      </c>
      <c r="B896" s="508" t="str">
        <f>IFERROR(__xludf.DUMMYFUNCTION("""COMPUTED_VALUE"""),"")</f>
        <v/>
      </c>
      <c r="C896" s="508" t="str">
        <f>IFERROR(__xludf.DUMMYFUNCTION("""COMPUTED_VALUE"""),"")</f>
        <v/>
      </c>
      <c r="D896" s="508" t="str">
        <f>IFERROR(__xludf.DUMMYFUNCTION("""COMPUTED_VALUE"""),"")</f>
        <v/>
      </c>
      <c r="E896" s="508" t="str">
        <f>IFERROR(__xludf.DUMMYFUNCTION("""COMPUTED_VALUE"""),"")</f>
        <v/>
      </c>
      <c r="F896" s="508" t="str">
        <f>IFERROR(__xludf.DUMMYFUNCTION("""COMPUTED_VALUE"""),"")</f>
        <v/>
      </c>
      <c r="G896" s="510" t="str">
        <f>IFERROR(__xludf.DUMMYFUNCTION("""COMPUTED_VALUE"""),"")</f>
        <v/>
      </c>
      <c r="H896" s="508" t="str">
        <f>IFERROR(__xludf.DUMMYFUNCTION("""COMPUTED_VALUE"""),"")</f>
        <v/>
      </c>
      <c r="I896" s="510" t="str">
        <f>IFERROR(__xludf.DUMMYFUNCTION("""COMPUTED_VALUE"""),"")</f>
        <v/>
      </c>
      <c r="J896" s="508" t="str">
        <f>IFERROR(__xludf.DUMMYFUNCTION("""COMPUTED_VALUE"""),"")</f>
        <v/>
      </c>
      <c r="K896" s="510" t="str">
        <f>IFERROR(__xludf.DUMMYFUNCTION("""COMPUTED_VALUE"""),"")</f>
        <v/>
      </c>
      <c r="L896" s="508" t="str">
        <f>IFERROR(__xludf.DUMMYFUNCTION("""COMPUTED_VALUE"""),"")</f>
        <v/>
      </c>
      <c r="M896" s="508" t="str">
        <f>IFERROR(__xludf.DUMMYFUNCTION("""COMPUTED_VALUE"""),"")</f>
        <v/>
      </c>
      <c r="N896" s="508" t="str">
        <f>IFERROR(__xludf.DUMMYFUNCTION("""COMPUTED_VALUE"""),"")</f>
        <v/>
      </c>
      <c r="O896" s="508" t="str">
        <f>IFERROR(__xludf.DUMMYFUNCTION("""COMPUTED_VALUE"""),"")</f>
        <v/>
      </c>
      <c r="P896" s="510" t="str">
        <f>IFERROR(__xludf.DUMMYFUNCTION("""COMPUTED_VALUE"""),"")</f>
        <v/>
      </c>
      <c r="Q896" s="508" t="str">
        <f>IFERROR(__xludf.DUMMYFUNCTION("""COMPUTED_VALUE"""),"")</f>
        <v/>
      </c>
      <c r="R896" s="508" t="str">
        <f>IFERROR(__xludf.DUMMYFUNCTION("""COMPUTED_VALUE"""),"")</f>
        <v/>
      </c>
      <c r="S896" s="510" t="str">
        <f>IFERROR(__xludf.DUMMYFUNCTION("""COMPUTED_VALUE"""),"")</f>
        <v/>
      </c>
      <c r="T896" s="510" t="str">
        <f>IFERROR(__xludf.DUMMYFUNCTION("""COMPUTED_VALUE"""),"")</f>
        <v/>
      </c>
    </row>
    <row r="897">
      <c r="A897" s="508" t="str">
        <f>IFERROR(__xludf.DUMMYFUNCTION("""COMPUTED_VALUE"""),"")</f>
        <v/>
      </c>
      <c r="B897" s="508" t="str">
        <f>IFERROR(__xludf.DUMMYFUNCTION("""COMPUTED_VALUE"""),"")</f>
        <v/>
      </c>
      <c r="C897" s="508" t="str">
        <f>IFERROR(__xludf.DUMMYFUNCTION("""COMPUTED_VALUE"""),"")</f>
        <v/>
      </c>
      <c r="D897" s="508" t="str">
        <f>IFERROR(__xludf.DUMMYFUNCTION("""COMPUTED_VALUE"""),"")</f>
        <v/>
      </c>
      <c r="E897" s="508" t="str">
        <f>IFERROR(__xludf.DUMMYFUNCTION("""COMPUTED_VALUE"""),"")</f>
        <v/>
      </c>
      <c r="F897" s="508" t="str">
        <f>IFERROR(__xludf.DUMMYFUNCTION("""COMPUTED_VALUE"""),"")</f>
        <v/>
      </c>
      <c r="G897" s="510" t="str">
        <f>IFERROR(__xludf.DUMMYFUNCTION("""COMPUTED_VALUE"""),"")</f>
        <v/>
      </c>
      <c r="H897" s="508" t="str">
        <f>IFERROR(__xludf.DUMMYFUNCTION("""COMPUTED_VALUE"""),"")</f>
        <v/>
      </c>
      <c r="I897" s="510" t="str">
        <f>IFERROR(__xludf.DUMMYFUNCTION("""COMPUTED_VALUE"""),"")</f>
        <v/>
      </c>
      <c r="J897" s="508" t="str">
        <f>IFERROR(__xludf.DUMMYFUNCTION("""COMPUTED_VALUE"""),"")</f>
        <v/>
      </c>
      <c r="K897" s="510" t="str">
        <f>IFERROR(__xludf.DUMMYFUNCTION("""COMPUTED_VALUE"""),"")</f>
        <v/>
      </c>
      <c r="L897" s="508" t="str">
        <f>IFERROR(__xludf.DUMMYFUNCTION("""COMPUTED_VALUE"""),"")</f>
        <v/>
      </c>
      <c r="M897" s="508" t="str">
        <f>IFERROR(__xludf.DUMMYFUNCTION("""COMPUTED_VALUE"""),"")</f>
        <v/>
      </c>
      <c r="N897" s="508" t="str">
        <f>IFERROR(__xludf.DUMMYFUNCTION("""COMPUTED_VALUE"""),"")</f>
        <v/>
      </c>
      <c r="O897" s="508" t="str">
        <f>IFERROR(__xludf.DUMMYFUNCTION("""COMPUTED_VALUE"""),"")</f>
        <v/>
      </c>
      <c r="P897" s="510" t="str">
        <f>IFERROR(__xludf.DUMMYFUNCTION("""COMPUTED_VALUE"""),"")</f>
        <v/>
      </c>
      <c r="Q897" s="508" t="str">
        <f>IFERROR(__xludf.DUMMYFUNCTION("""COMPUTED_VALUE"""),"")</f>
        <v/>
      </c>
      <c r="R897" s="508" t="str">
        <f>IFERROR(__xludf.DUMMYFUNCTION("""COMPUTED_VALUE"""),"")</f>
        <v/>
      </c>
      <c r="S897" s="510" t="str">
        <f>IFERROR(__xludf.DUMMYFUNCTION("""COMPUTED_VALUE"""),"")</f>
        <v/>
      </c>
      <c r="T897" s="510" t="str">
        <f>IFERROR(__xludf.DUMMYFUNCTION("""COMPUTED_VALUE"""),"")</f>
        <v/>
      </c>
    </row>
    <row r="898">
      <c r="A898" s="508" t="str">
        <f>IFERROR(__xludf.DUMMYFUNCTION("""COMPUTED_VALUE"""),"")</f>
        <v/>
      </c>
      <c r="B898" s="508" t="str">
        <f>IFERROR(__xludf.DUMMYFUNCTION("""COMPUTED_VALUE"""),"")</f>
        <v/>
      </c>
      <c r="C898" s="508" t="str">
        <f>IFERROR(__xludf.DUMMYFUNCTION("""COMPUTED_VALUE"""),"")</f>
        <v/>
      </c>
      <c r="D898" s="508" t="str">
        <f>IFERROR(__xludf.DUMMYFUNCTION("""COMPUTED_VALUE"""),"")</f>
        <v/>
      </c>
      <c r="E898" s="508" t="str">
        <f>IFERROR(__xludf.DUMMYFUNCTION("""COMPUTED_VALUE"""),"")</f>
        <v/>
      </c>
      <c r="F898" s="508" t="str">
        <f>IFERROR(__xludf.DUMMYFUNCTION("""COMPUTED_VALUE"""),"")</f>
        <v/>
      </c>
      <c r="G898" s="510" t="str">
        <f>IFERROR(__xludf.DUMMYFUNCTION("""COMPUTED_VALUE"""),"")</f>
        <v/>
      </c>
      <c r="H898" s="508" t="str">
        <f>IFERROR(__xludf.DUMMYFUNCTION("""COMPUTED_VALUE"""),"")</f>
        <v/>
      </c>
      <c r="I898" s="510" t="str">
        <f>IFERROR(__xludf.DUMMYFUNCTION("""COMPUTED_VALUE"""),"")</f>
        <v/>
      </c>
      <c r="J898" s="508" t="str">
        <f>IFERROR(__xludf.DUMMYFUNCTION("""COMPUTED_VALUE"""),"")</f>
        <v/>
      </c>
      <c r="K898" s="510" t="str">
        <f>IFERROR(__xludf.DUMMYFUNCTION("""COMPUTED_VALUE"""),"")</f>
        <v/>
      </c>
      <c r="L898" s="508" t="str">
        <f>IFERROR(__xludf.DUMMYFUNCTION("""COMPUTED_VALUE"""),"")</f>
        <v/>
      </c>
      <c r="M898" s="508" t="str">
        <f>IFERROR(__xludf.DUMMYFUNCTION("""COMPUTED_VALUE"""),"")</f>
        <v/>
      </c>
      <c r="N898" s="508" t="str">
        <f>IFERROR(__xludf.DUMMYFUNCTION("""COMPUTED_VALUE"""),"")</f>
        <v/>
      </c>
      <c r="O898" s="508" t="str">
        <f>IFERROR(__xludf.DUMMYFUNCTION("""COMPUTED_VALUE"""),"")</f>
        <v/>
      </c>
      <c r="P898" s="510" t="str">
        <f>IFERROR(__xludf.DUMMYFUNCTION("""COMPUTED_VALUE"""),"")</f>
        <v/>
      </c>
      <c r="Q898" s="508" t="str">
        <f>IFERROR(__xludf.DUMMYFUNCTION("""COMPUTED_VALUE"""),"")</f>
        <v/>
      </c>
      <c r="R898" s="508" t="str">
        <f>IFERROR(__xludf.DUMMYFUNCTION("""COMPUTED_VALUE"""),"")</f>
        <v/>
      </c>
      <c r="S898" s="510" t="str">
        <f>IFERROR(__xludf.DUMMYFUNCTION("""COMPUTED_VALUE"""),"")</f>
        <v/>
      </c>
      <c r="T898" s="510" t="str">
        <f>IFERROR(__xludf.DUMMYFUNCTION("""COMPUTED_VALUE"""),"")</f>
        <v/>
      </c>
    </row>
    <row r="899">
      <c r="A899" s="508" t="str">
        <f>IFERROR(__xludf.DUMMYFUNCTION("""COMPUTED_VALUE"""),"")</f>
        <v/>
      </c>
      <c r="B899" s="508" t="str">
        <f>IFERROR(__xludf.DUMMYFUNCTION("""COMPUTED_VALUE"""),"")</f>
        <v/>
      </c>
      <c r="C899" s="508" t="str">
        <f>IFERROR(__xludf.DUMMYFUNCTION("""COMPUTED_VALUE"""),"")</f>
        <v/>
      </c>
      <c r="D899" s="508" t="str">
        <f>IFERROR(__xludf.DUMMYFUNCTION("""COMPUTED_VALUE"""),"")</f>
        <v/>
      </c>
      <c r="E899" s="508" t="str">
        <f>IFERROR(__xludf.DUMMYFUNCTION("""COMPUTED_VALUE"""),"")</f>
        <v/>
      </c>
      <c r="F899" s="508" t="str">
        <f>IFERROR(__xludf.DUMMYFUNCTION("""COMPUTED_VALUE"""),"")</f>
        <v/>
      </c>
      <c r="G899" s="510" t="str">
        <f>IFERROR(__xludf.DUMMYFUNCTION("""COMPUTED_VALUE"""),"")</f>
        <v/>
      </c>
      <c r="H899" s="508" t="str">
        <f>IFERROR(__xludf.DUMMYFUNCTION("""COMPUTED_VALUE"""),"")</f>
        <v/>
      </c>
      <c r="I899" s="510" t="str">
        <f>IFERROR(__xludf.DUMMYFUNCTION("""COMPUTED_VALUE"""),"")</f>
        <v/>
      </c>
      <c r="J899" s="508" t="str">
        <f>IFERROR(__xludf.DUMMYFUNCTION("""COMPUTED_VALUE"""),"")</f>
        <v/>
      </c>
      <c r="K899" s="510" t="str">
        <f>IFERROR(__xludf.DUMMYFUNCTION("""COMPUTED_VALUE"""),"")</f>
        <v/>
      </c>
      <c r="L899" s="508" t="str">
        <f>IFERROR(__xludf.DUMMYFUNCTION("""COMPUTED_VALUE"""),"")</f>
        <v/>
      </c>
      <c r="M899" s="508" t="str">
        <f>IFERROR(__xludf.DUMMYFUNCTION("""COMPUTED_VALUE"""),"")</f>
        <v/>
      </c>
      <c r="N899" s="508" t="str">
        <f>IFERROR(__xludf.DUMMYFUNCTION("""COMPUTED_VALUE"""),"")</f>
        <v/>
      </c>
      <c r="O899" s="508" t="str">
        <f>IFERROR(__xludf.DUMMYFUNCTION("""COMPUTED_VALUE"""),"")</f>
        <v/>
      </c>
      <c r="P899" s="510" t="str">
        <f>IFERROR(__xludf.DUMMYFUNCTION("""COMPUTED_VALUE"""),"")</f>
        <v/>
      </c>
      <c r="Q899" s="508" t="str">
        <f>IFERROR(__xludf.DUMMYFUNCTION("""COMPUTED_VALUE"""),"")</f>
        <v/>
      </c>
      <c r="R899" s="508" t="str">
        <f>IFERROR(__xludf.DUMMYFUNCTION("""COMPUTED_VALUE"""),"")</f>
        <v/>
      </c>
      <c r="S899" s="510" t="str">
        <f>IFERROR(__xludf.DUMMYFUNCTION("""COMPUTED_VALUE"""),"")</f>
        <v/>
      </c>
      <c r="T899" s="510" t="str">
        <f>IFERROR(__xludf.DUMMYFUNCTION("""COMPUTED_VALUE"""),"")</f>
        <v/>
      </c>
    </row>
    <row r="900">
      <c r="A900" s="508" t="str">
        <f>IFERROR(__xludf.DUMMYFUNCTION("""COMPUTED_VALUE"""),"")</f>
        <v/>
      </c>
      <c r="B900" s="508" t="str">
        <f>IFERROR(__xludf.DUMMYFUNCTION("""COMPUTED_VALUE"""),"")</f>
        <v/>
      </c>
      <c r="C900" s="508" t="str">
        <f>IFERROR(__xludf.DUMMYFUNCTION("""COMPUTED_VALUE"""),"")</f>
        <v/>
      </c>
      <c r="D900" s="508" t="str">
        <f>IFERROR(__xludf.DUMMYFUNCTION("""COMPUTED_VALUE"""),"")</f>
        <v/>
      </c>
      <c r="E900" s="508" t="str">
        <f>IFERROR(__xludf.DUMMYFUNCTION("""COMPUTED_VALUE"""),"")</f>
        <v/>
      </c>
      <c r="F900" s="508" t="str">
        <f>IFERROR(__xludf.DUMMYFUNCTION("""COMPUTED_VALUE"""),"")</f>
        <v/>
      </c>
      <c r="G900" s="510" t="str">
        <f>IFERROR(__xludf.DUMMYFUNCTION("""COMPUTED_VALUE"""),"")</f>
        <v/>
      </c>
      <c r="H900" s="508" t="str">
        <f>IFERROR(__xludf.DUMMYFUNCTION("""COMPUTED_VALUE"""),"")</f>
        <v/>
      </c>
      <c r="I900" s="510" t="str">
        <f>IFERROR(__xludf.DUMMYFUNCTION("""COMPUTED_VALUE"""),"")</f>
        <v/>
      </c>
      <c r="J900" s="508" t="str">
        <f>IFERROR(__xludf.DUMMYFUNCTION("""COMPUTED_VALUE"""),"")</f>
        <v/>
      </c>
      <c r="K900" s="510" t="str">
        <f>IFERROR(__xludf.DUMMYFUNCTION("""COMPUTED_VALUE"""),"")</f>
        <v/>
      </c>
      <c r="L900" s="508" t="str">
        <f>IFERROR(__xludf.DUMMYFUNCTION("""COMPUTED_VALUE"""),"")</f>
        <v/>
      </c>
      <c r="M900" s="508" t="str">
        <f>IFERROR(__xludf.DUMMYFUNCTION("""COMPUTED_VALUE"""),"")</f>
        <v/>
      </c>
      <c r="N900" s="508" t="str">
        <f>IFERROR(__xludf.DUMMYFUNCTION("""COMPUTED_VALUE"""),"")</f>
        <v/>
      </c>
      <c r="O900" s="508" t="str">
        <f>IFERROR(__xludf.DUMMYFUNCTION("""COMPUTED_VALUE"""),"")</f>
        <v/>
      </c>
      <c r="P900" s="510" t="str">
        <f>IFERROR(__xludf.DUMMYFUNCTION("""COMPUTED_VALUE"""),"")</f>
        <v/>
      </c>
      <c r="Q900" s="508" t="str">
        <f>IFERROR(__xludf.DUMMYFUNCTION("""COMPUTED_VALUE"""),"")</f>
        <v/>
      </c>
      <c r="R900" s="508" t="str">
        <f>IFERROR(__xludf.DUMMYFUNCTION("""COMPUTED_VALUE"""),"")</f>
        <v/>
      </c>
      <c r="S900" s="510" t="str">
        <f>IFERROR(__xludf.DUMMYFUNCTION("""COMPUTED_VALUE"""),"")</f>
        <v/>
      </c>
      <c r="T900" s="510" t="str">
        <f>IFERROR(__xludf.DUMMYFUNCTION("""COMPUTED_VALUE"""),"")</f>
        <v/>
      </c>
    </row>
    <row r="901">
      <c r="A901" s="508" t="str">
        <f>IFERROR(__xludf.DUMMYFUNCTION("""COMPUTED_VALUE"""),"")</f>
        <v/>
      </c>
      <c r="B901" s="508" t="str">
        <f>IFERROR(__xludf.DUMMYFUNCTION("""COMPUTED_VALUE"""),"")</f>
        <v/>
      </c>
      <c r="C901" s="508" t="str">
        <f>IFERROR(__xludf.DUMMYFUNCTION("""COMPUTED_VALUE"""),"")</f>
        <v/>
      </c>
      <c r="D901" s="508" t="str">
        <f>IFERROR(__xludf.DUMMYFUNCTION("""COMPUTED_VALUE"""),"")</f>
        <v/>
      </c>
      <c r="E901" s="508" t="str">
        <f>IFERROR(__xludf.DUMMYFUNCTION("""COMPUTED_VALUE"""),"")</f>
        <v/>
      </c>
      <c r="F901" s="508" t="str">
        <f>IFERROR(__xludf.DUMMYFUNCTION("""COMPUTED_VALUE"""),"")</f>
        <v/>
      </c>
      <c r="G901" s="510" t="str">
        <f>IFERROR(__xludf.DUMMYFUNCTION("""COMPUTED_VALUE"""),"")</f>
        <v/>
      </c>
      <c r="H901" s="508" t="str">
        <f>IFERROR(__xludf.DUMMYFUNCTION("""COMPUTED_VALUE"""),"")</f>
        <v/>
      </c>
      <c r="I901" s="510" t="str">
        <f>IFERROR(__xludf.DUMMYFUNCTION("""COMPUTED_VALUE"""),"")</f>
        <v/>
      </c>
      <c r="J901" s="508" t="str">
        <f>IFERROR(__xludf.DUMMYFUNCTION("""COMPUTED_VALUE"""),"")</f>
        <v/>
      </c>
      <c r="K901" s="510" t="str">
        <f>IFERROR(__xludf.DUMMYFUNCTION("""COMPUTED_VALUE"""),"")</f>
        <v/>
      </c>
      <c r="L901" s="508" t="str">
        <f>IFERROR(__xludf.DUMMYFUNCTION("""COMPUTED_VALUE"""),"")</f>
        <v/>
      </c>
      <c r="M901" s="508" t="str">
        <f>IFERROR(__xludf.DUMMYFUNCTION("""COMPUTED_VALUE"""),"")</f>
        <v/>
      </c>
      <c r="N901" s="508" t="str">
        <f>IFERROR(__xludf.DUMMYFUNCTION("""COMPUTED_VALUE"""),"")</f>
        <v/>
      </c>
      <c r="O901" s="508" t="str">
        <f>IFERROR(__xludf.DUMMYFUNCTION("""COMPUTED_VALUE"""),"")</f>
        <v/>
      </c>
      <c r="P901" s="510" t="str">
        <f>IFERROR(__xludf.DUMMYFUNCTION("""COMPUTED_VALUE"""),"")</f>
        <v/>
      </c>
      <c r="Q901" s="508" t="str">
        <f>IFERROR(__xludf.DUMMYFUNCTION("""COMPUTED_VALUE"""),"")</f>
        <v/>
      </c>
      <c r="R901" s="508" t="str">
        <f>IFERROR(__xludf.DUMMYFUNCTION("""COMPUTED_VALUE"""),"")</f>
        <v/>
      </c>
      <c r="S901" s="510" t="str">
        <f>IFERROR(__xludf.DUMMYFUNCTION("""COMPUTED_VALUE"""),"")</f>
        <v/>
      </c>
      <c r="T901" s="510" t="str">
        <f>IFERROR(__xludf.DUMMYFUNCTION("""COMPUTED_VALUE"""),"")</f>
        <v/>
      </c>
    </row>
    <row r="902">
      <c r="A902" s="508" t="str">
        <f>IFERROR(__xludf.DUMMYFUNCTION("""COMPUTED_VALUE"""),"")</f>
        <v/>
      </c>
      <c r="B902" s="508" t="str">
        <f>IFERROR(__xludf.DUMMYFUNCTION("""COMPUTED_VALUE"""),"")</f>
        <v/>
      </c>
      <c r="C902" s="508" t="str">
        <f>IFERROR(__xludf.DUMMYFUNCTION("""COMPUTED_VALUE"""),"")</f>
        <v/>
      </c>
      <c r="D902" s="508" t="str">
        <f>IFERROR(__xludf.DUMMYFUNCTION("""COMPUTED_VALUE"""),"")</f>
        <v/>
      </c>
      <c r="E902" s="508" t="str">
        <f>IFERROR(__xludf.DUMMYFUNCTION("""COMPUTED_VALUE"""),"")</f>
        <v/>
      </c>
      <c r="F902" s="508" t="str">
        <f>IFERROR(__xludf.DUMMYFUNCTION("""COMPUTED_VALUE"""),"")</f>
        <v/>
      </c>
      <c r="G902" s="510" t="str">
        <f>IFERROR(__xludf.DUMMYFUNCTION("""COMPUTED_VALUE"""),"")</f>
        <v/>
      </c>
      <c r="H902" s="508" t="str">
        <f>IFERROR(__xludf.DUMMYFUNCTION("""COMPUTED_VALUE"""),"")</f>
        <v/>
      </c>
      <c r="I902" s="510" t="str">
        <f>IFERROR(__xludf.DUMMYFUNCTION("""COMPUTED_VALUE"""),"")</f>
        <v/>
      </c>
      <c r="J902" s="508" t="str">
        <f>IFERROR(__xludf.DUMMYFUNCTION("""COMPUTED_VALUE"""),"")</f>
        <v/>
      </c>
      <c r="K902" s="510" t="str">
        <f>IFERROR(__xludf.DUMMYFUNCTION("""COMPUTED_VALUE"""),"")</f>
        <v/>
      </c>
      <c r="L902" s="508" t="str">
        <f>IFERROR(__xludf.DUMMYFUNCTION("""COMPUTED_VALUE"""),"")</f>
        <v/>
      </c>
      <c r="M902" s="508" t="str">
        <f>IFERROR(__xludf.DUMMYFUNCTION("""COMPUTED_VALUE"""),"")</f>
        <v/>
      </c>
      <c r="N902" s="508" t="str">
        <f>IFERROR(__xludf.DUMMYFUNCTION("""COMPUTED_VALUE"""),"")</f>
        <v/>
      </c>
      <c r="O902" s="508" t="str">
        <f>IFERROR(__xludf.DUMMYFUNCTION("""COMPUTED_VALUE"""),"")</f>
        <v/>
      </c>
      <c r="P902" s="510" t="str">
        <f>IFERROR(__xludf.DUMMYFUNCTION("""COMPUTED_VALUE"""),"")</f>
        <v/>
      </c>
      <c r="Q902" s="508" t="str">
        <f>IFERROR(__xludf.DUMMYFUNCTION("""COMPUTED_VALUE"""),"")</f>
        <v/>
      </c>
      <c r="R902" s="508" t="str">
        <f>IFERROR(__xludf.DUMMYFUNCTION("""COMPUTED_VALUE"""),"")</f>
        <v/>
      </c>
      <c r="S902" s="510" t="str">
        <f>IFERROR(__xludf.DUMMYFUNCTION("""COMPUTED_VALUE"""),"")</f>
        <v/>
      </c>
      <c r="T902" s="510" t="str">
        <f>IFERROR(__xludf.DUMMYFUNCTION("""COMPUTED_VALUE"""),"")</f>
        <v/>
      </c>
    </row>
    <row r="903">
      <c r="A903" s="508" t="str">
        <f>IFERROR(__xludf.DUMMYFUNCTION("""COMPUTED_VALUE"""),"")</f>
        <v/>
      </c>
      <c r="B903" s="508" t="str">
        <f>IFERROR(__xludf.DUMMYFUNCTION("""COMPUTED_VALUE"""),"")</f>
        <v/>
      </c>
      <c r="C903" s="508" t="str">
        <f>IFERROR(__xludf.DUMMYFUNCTION("""COMPUTED_VALUE"""),"")</f>
        <v/>
      </c>
      <c r="D903" s="508" t="str">
        <f>IFERROR(__xludf.DUMMYFUNCTION("""COMPUTED_VALUE"""),"")</f>
        <v/>
      </c>
      <c r="E903" s="508" t="str">
        <f>IFERROR(__xludf.DUMMYFUNCTION("""COMPUTED_VALUE"""),"")</f>
        <v/>
      </c>
      <c r="F903" s="508" t="str">
        <f>IFERROR(__xludf.DUMMYFUNCTION("""COMPUTED_VALUE"""),"")</f>
        <v/>
      </c>
      <c r="G903" s="510" t="str">
        <f>IFERROR(__xludf.DUMMYFUNCTION("""COMPUTED_VALUE"""),"")</f>
        <v/>
      </c>
      <c r="H903" s="508" t="str">
        <f>IFERROR(__xludf.DUMMYFUNCTION("""COMPUTED_VALUE"""),"")</f>
        <v/>
      </c>
      <c r="I903" s="510" t="str">
        <f>IFERROR(__xludf.DUMMYFUNCTION("""COMPUTED_VALUE"""),"")</f>
        <v/>
      </c>
      <c r="J903" s="508" t="str">
        <f>IFERROR(__xludf.DUMMYFUNCTION("""COMPUTED_VALUE"""),"")</f>
        <v/>
      </c>
      <c r="K903" s="510" t="str">
        <f>IFERROR(__xludf.DUMMYFUNCTION("""COMPUTED_VALUE"""),"")</f>
        <v/>
      </c>
      <c r="L903" s="508" t="str">
        <f>IFERROR(__xludf.DUMMYFUNCTION("""COMPUTED_VALUE"""),"")</f>
        <v/>
      </c>
      <c r="M903" s="508" t="str">
        <f>IFERROR(__xludf.DUMMYFUNCTION("""COMPUTED_VALUE"""),"")</f>
        <v/>
      </c>
      <c r="N903" s="508" t="str">
        <f>IFERROR(__xludf.DUMMYFUNCTION("""COMPUTED_VALUE"""),"")</f>
        <v/>
      </c>
      <c r="O903" s="508" t="str">
        <f>IFERROR(__xludf.DUMMYFUNCTION("""COMPUTED_VALUE"""),"")</f>
        <v/>
      </c>
      <c r="P903" s="510" t="str">
        <f>IFERROR(__xludf.DUMMYFUNCTION("""COMPUTED_VALUE"""),"")</f>
        <v/>
      </c>
      <c r="Q903" s="508" t="str">
        <f>IFERROR(__xludf.DUMMYFUNCTION("""COMPUTED_VALUE"""),"")</f>
        <v/>
      </c>
      <c r="R903" s="508" t="str">
        <f>IFERROR(__xludf.DUMMYFUNCTION("""COMPUTED_VALUE"""),"")</f>
        <v/>
      </c>
      <c r="S903" s="510" t="str">
        <f>IFERROR(__xludf.DUMMYFUNCTION("""COMPUTED_VALUE"""),"")</f>
        <v/>
      </c>
      <c r="T903" s="510" t="str">
        <f>IFERROR(__xludf.DUMMYFUNCTION("""COMPUTED_VALUE"""),"")</f>
        <v/>
      </c>
    </row>
    <row r="904">
      <c r="A904" s="508" t="str">
        <f>IFERROR(__xludf.DUMMYFUNCTION("""COMPUTED_VALUE"""),"")</f>
        <v/>
      </c>
      <c r="B904" s="508" t="str">
        <f>IFERROR(__xludf.DUMMYFUNCTION("""COMPUTED_VALUE"""),"")</f>
        <v/>
      </c>
      <c r="C904" s="508" t="str">
        <f>IFERROR(__xludf.DUMMYFUNCTION("""COMPUTED_VALUE"""),"")</f>
        <v/>
      </c>
      <c r="D904" s="508" t="str">
        <f>IFERROR(__xludf.DUMMYFUNCTION("""COMPUTED_VALUE"""),"")</f>
        <v/>
      </c>
      <c r="E904" s="508" t="str">
        <f>IFERROR(__xludf.DUMMYFUNCTION("""COMPUTED_VALUE"""),"")</f>
        <v/>
      </c>
      <c r="F904" s="508" t="str">
        <f>IFERROR(__xludf.DUMMYFUNCTION("""COMPUTED_VALUE"""),"")</f>
        <v/>
      </c>
      <c r="G904" s="510" t="str">
        <f>IFERROR(__xludf.DUMMYFUNCTION("""COMPUTED_VALUE"""),"")</f>
        <v/>
      </c>
      <c r="H904" s="508" t="str">
        <f>IFERROR(__xludf.DUMMYFUNCTION("""COMPUTED_VALUE"""),"")</f>
        <v/>
      </c>
      <c r="I904" s="510" t="str">
        <f>IFERROR(__xludf.DUMMYFUNCTION("""COMPUTED_VALUE"""),"")</f>
        <v/>
      </c>
      <c r="J904" s="508" t="str">
        <f>IFERROR(__xludf.DUMMYFUNCTION("""COMPUTED_VALUE"""),"")</f>
        <v/>
      </c>
      <c r="K904" s="510" t="str">
        <f>IFERROR(__xludf.DUMMYFUNCTION("""COMPUTED_VALUE"""),"")</f>
        <v/>
      </c>
      <c r="L904" s="508" t="str">
        <f>IFERROR(__xludf.DUMMYFUNCTION("""COMPUTED_VALUE"""),"")</f>
        <v/>
      </c>
      <c r="M904" s="508" t="str">
        <f>IFERROR(__xludf.DUMMYFUNCTION("""COMPUTED_VALUE"""),"")</f>
        <v/>
      </c>
      <c r="N904" s="508" t="str">
        <f>IFERROR(__xludf.DUMMYFUNCTION("""COMPUTED_VALUE"""),"")</f>
        <v/>
      </c>
      <c r="O904" s="508" t="str">
        <f>IFERROR(__xludf.DUMMYFUNCTION("""COMPUTED_VALUE"""),"")</f>
        <v/>
      </c>
      <c r="P904" s="510" t="str">
        <f>IFERROR(__xludf.DUMMYFUNCTION("""COMPUTED_VALUE"""),"")</f>
        <v/>
      </c>
      <c r="Q904" s="508" t="str">
        <f>IFERROR(__xludf.DUMMYFUNCTION("""COMPUTED_VALUE"""),"")</f>
        <v/>
      </c>
      <c r="R904" s="508" t="str">
        <f>IFERROR(__xludf.DUMMYFUNCTION("""COMPUTED_VALUE"""),"")</f>
        <v/>
      </c>
      <c r="S904" s="510" t="str">
        <f>IFERROR(__xludf.DUMMYFUNCTION("""COMPUTED_VALUE"""),"")</f>
        <v/>
      </c>
      <c r="T904" s="510" t="str">
        <f>IFERROR(__xludf.DUMMYFUNCTION("""COMPUTED_VALUE"""),"")</f>
        <v/>
      </c>
    </row>
    <row r="905">
      <c r="A905" s="508" t="str">
        <f>IFERROR(__xludf.DUMMYFUNCTION("""COMPUTED_VALUE"""),"")</f>
        <v/>
      </c>
      <c r="B905" s="508" t="str">
        <f>IFERROR(__xludf.DUMMYFUNCTION("""COMPUTED_VALUE"""),"")</f>
        <v/>
      </c>
      <c r="C905" s="508" t="str">
        <f>IFERROR(__xludf.DUMMYFUNCTION("""COMPUTED_VALUE"""),"")</f>
        <v/>
      </c>
      <c r="D905" s="508" t="str">
        <f>IFERROR(__xludf.DUMMYFUNCTION("""COMPUTED_VALUE"""),"")</f>
        <v/>
      </c>
      <c r="E905" s="508" t="str">
        <f>IFERROR(__xludf.DUMMYFUNCTION("""COMPUTED_VALUE"""),"")</f>
        <v/>
      </c>
      <c r="F905" s="508" t="str">
        <f>IFERROR(__xludf.DUMMYFUNCTION("""COMPUTED_VALUE"""),"")</f>
        <v/>
      </c>
      <c r="G905" s="510" t="str">
        <f>IFERROR(__xludf.DUMMYFUNCTION("""COMPUTED_VALUE"""),"")</f>
        <v/>
      </c>
      <c r="H905" s="508" t="str">
        <f>IFERROR(__xludf.DUMMYFUNCTION("""COMPUTED_VALUE"""),"")</f>
        <v/>
      </c>
      <c r="I905" s="510" t="str">
        <f>IFERROR(__xludf.DUMMYFUNCTION("""COMPUTED_VALUE"""),"")</f>
        <v/>
      </c>
      <c r="J905" s="508" t="str">
        <f>IFERROR(__xludf.DUMMYFUNCTION("""COMPUTED_VALUE"""),"")</f>
        <v/>
      </c>
      <c r="K905" s="510" t="str">
        <f>IFERROR(__xludf.DUMMYFUNCTION("""COMPUTED_VALUE"""),"")</f>
        <v/>
      </c>
      <c r="L905" s="508" t="str">
        <f>IFERROR(__xludf.DUMMYFUNCTION("""COMPUTED_VALUE"""),"")</f>
        <v/>
      </c>
      <c r="M905" s="508" t="str">
        <f>IFERROR(__xludf.DUMMYFUNCTION("""COMPUTED_VALUE"""),"")</f>
        <v/>
      </c>
      <c r="N905" s="508" t="str">
        <f>IFERROR(__xludf.DUMMYFUNCTION("""COMPUTED_VALUE"""),"")</f>
        <v/>
      </c>
      <c r="O905" s="508" t="str">
        <f>IFERROR(__xludf.DUMMYFUNCTION("""COMPUTED_VALUE"""),"")</f>
        <v/>
      </c>
      <c r="P905" s="510" t="str">
        <f>IFERROR(__xludf.DUMMYFUNCTION("""COMPUTED_VALUE"""),"")</f>
        <v/>
      </c>
      <c r="Q905" s="508" t="str">
        <f>IFERROR(__xludf.DUMMYFUNCTION("""COMPUTED_VALUE"""),"")</f>
        <v/>
      </c>
      <c r="R905" s="508" t="str">
        <f>IFERROR(__xludf.DUMMYFUNCTION("""COMPUTED_VALUE"""),"")</f>
        <v/>
      </c>
      <c r="S905" s="510" t="str">
        <f>IFERROR(__xludf.DUMMYFUNCTION("""COMPUTED_VALUE"""),"")</f>
        <v/>
      </c>
      <c r="T905" s="510" t="str">
        <f>IFERROR(__xludf.DUMMYFUNCTION("""COMPUTED_VALUE"""),"")</f>
        <v/>
      </c>
    </row>
    <row r="906">
      <c r="A906" s="508" t="str">
        <f>IFERROR(__xludf.DUMMYFUNCTION("""COMPUTED_VALUE"""),"")</f>
        <v/>
      </c>
      <c r="B906" s="508" t="str">
        <f>IFERROR(__xludf.DUMMYFUNCTION("""COMPUTED_VALUE"""),"")</f>
        <v/>
      </c>
      <c r="C906" s="508" t="str">
        <f>IFERROR(__xludf.DUMMYFUNCTION("""COMPUTED_VALUE"""),"")</f>
        <v/>
      </c>
      <c r="D906" s="508" t="str">
        <f>IFERROR(__xludf.DUMMYFUNCTION("""COMPUTED_VALUE"""),"")</f>
        <v/>
      </c>
      <c r="E906" s="508" t="str">
        <f>IFERROR(__xludf.DUMMYFUNCTION("""COMPUTED_VALUE"""),"")</f>
        <v/>
      </c>
      <c r="F906" s="508" t="str">
        <f>IFERROR(__xludf.DUMMYFUNCTION("""COMPUTED_VALUE"""),"")</f>
        <v/>
      </c>
      <c r="G906" s="510" t="str">
        <f>IFERROR(__xludf.DUMMYFUNCTION("""COMPUTED_VALUE"""),"")</f>
        <v/>
      </c>
      <c r="H906" s="508" t="str">
        <f>IFERROR(__xludf.DUMMYFUNCTION("""COMPUTED_VALUE"""),"")</f>
        <v/>
      </c>
      <c r="I906" s="510" t="str">
        <f>IFERROR(__xludf.DUMMYFUNCTION("""COMPUTED_VALUE"""),"")</f>
        <v/>
      </c>
      <c r="J906" s="508" t="str">
        <f>IFERROR(__xludf.DUMMYFUNCTION("""COMPUTED_VALUE"""),"")</f>
        <v/>
      </c>
      <c r="K906" s="510" t="str">
        <f>IFERROR(__xludf.DUMMYFUNCTION("""COMPUTED_VALUE"""),"")</f>
        <v/>
      </c>
      <c r="L906" s="508" t="str">
        <f>IFERROR(__xludf.DUMMYFUNCTION("""COMPUTED_VALUE"""),"")</f>
        <v/>
      </c>
      <c r="M906" s="508" t="str">
        <f>IFERROR(__xludf.DUMMYFUNCTION("""COMPUTED_VALUE"""),"")</f>
        <v/>
      </c>
      <c r="N906" s="508" t="str">
        <f>IFERROR(__xludf.DUMMYFUNCTION("""COMPUTED_VALUE"""),"")</f>
        <v/>
      </c>
      <c r="O906" s="508" t="str">
        <f>IFERROR(__xludf.DUMMYFUNCTION("""COMPUTED_VALUE"""),"")</f>
        <v/>
      </c>
      <c r="P906" s="510" t="str">
        <f>IFERROR(__xludf.DUMMYFUNCTION("""COMPUTED_VALUE"""),"")</f>
        <v/>
      </c>
      <c r="Q906" s="508" t="str">
        <f>IFERROR(__xludf.DUMMYFUNCTION("""COMPUTED_VALUE"""),"")</f>
        <v/>
      </c>
      <c r="R906" s="508" t="str">
        <f>IFERROR(__xludf.DUMMYFUNCTION("""COMPUTED_VALUE"""),"")</f>
        <v/>
      </c>
      <c r="S906" s="510" t="str">
        <f>IFERROR(__xludf.DUMMYFUNCTION("""COMPUTED_VALUE"""),"")</f>
        <v/>
      </c>
      <c r="T906" s="510" t="str">
        <f>IFERROR(__xludf.DUMMYFUNCTION("""COMPUTED_VALUE"""),"")</f>
        <v/>
      </c>
    </row>
    <row r="907">
      <c r="A907" s="508" t="str">
        <f>IFERROR(__xludf.DUMMYFUNCTION("""COMPUTED_VALUE"""),"")</f>
        <v/>
      </c>
      <c r="B907" s="508" t="str">
        <f>IFERROR(__xludf.DUMMYFUNCTION("""COMPUTED_VALUE"""),"")</f>
        <v/>
      </c>
      <c r="C907" s="508" t="str">
        <f>IFERROR(__xludf.DUMMYFUNCTION("""COMPUTED_VALUE"""),"")</f>
        <v/>
      </c>
      <c r="D907" s="508" t="str">
        <f>IFERROR(__xludf.DUMMYFUNCTION("""COMPUTED_VALUE"""),"")</f>
        <v/>
      </c>
      <c r="E907" s="508" t="str">
        <f>IFERROR(__xludf.DUMMYFUNCTION("""COMPUTED_VALUE"""),"")</f>
        <v/>
      </c>
      <c r="F907" s="508" t="str">
        <f>IFERROR(__xludf.DUMMYFUNCTION("""COMPUTED_VALUE"""),"")</f>
        <v/>
      </c>
      <c r="G907" s="510" t="str">
        <f>IFERROR(__xludf.DUMMYFUNCTION("""COMPUTED_VALUE"""),"")</f>
        <v/>
      </c>
      <c r="H907" s="508" t="str">
        <f>IFERROR(__xludf.DUMMYFUNCTION("""COMPUTED_VALUE"""),"")</f>
        <v/>
      </c>
      <c r="I907" s="510" t="str">
        <f>IFERROR(__xludf.DUMMYFUNCTION("""COMPUTED_VALUE"""),"")</f>
        <v/>
      </c>
      <c r="J907" s="508" t="str">
        <f>IFERROR(__xludf.DUMMYFUNCTION("""COMPUTED_VALUE"""),"")</f>
        <v/>
      </c>
      <c r="K907" s="510" t="str">
        <f>IFERROR(__xludf.DUMMYFUNCTION("""COMPUTED_VALUE"""),"")</f>
        <v/>
      </c>
      <c r="L907" s="508" t="str">
        <f>IFERROR(__xludf.DUMMYFUNCTION("""COMPUTED_VALUE"""),"")</f>
        <v/>
      </c>
      <c r="M907" s="508" t="str">
        <f>IFERROR(__xludf.DUMMYFUNCTION("""COMPUTED_VALUE"""),"")</f>
        <v/>
      </c>
      <c r="N907" s="508" t="str">
        <f>IFERROR(__xludf.DUMMYFUNCTION("""COMPUTED_VALUE"""),"")</f>
        <v/>
      </c>
      <c r="O907" s="508" t="str">
        <f>IFERROR(__xludf.DUMMYFUNCTION("""COMPUTED_VALUE"""),"")</f>
        <v/>
      </c>
      <c r="P907" s="510" t="str">
        <f>IFERROR(__xludf.DUMMYFUNCTION("""COMPUTED_VALUE"""),"")</f>
        <v/>
      </c>
      <c r="Q907" s="508" t="str">
        <f>IFERROR(__xludf.DUMMYFUNCTION("""COMPUTED_VALUE"""),"")</f>
        <v/>
      </c>
      <c r="R907" s="508" t="str">
        <f>IFERROR(__xludf.DUMMYFUNCTION("""COMPUTED_VALUE"""),"")</f>
        <v/>
      </c>
      <c r="S907" s="510" t="str">
        <f>IFERROR(__xludf.DUMMYFUNCTION("""COMPUTED_VALUE"""),"")</f>
        <v/>
      </c>
      <c r="T907" s="510" t="str">
        <f>IFERROR(__xludf.DUMMYFUNCTION("""COMPUTED_VALUE"""),"")</f>
        <v/>
      </c>
    </row>
    <row r="908">
      <c r="A908" s="508" t="str">
        <f>IFERROR(__xludf.DUMMYFUNCTION("""COMPUTED_VALUE"""),"")</f>
        <v/>
      </c>
      <c r="B908" s="508" t="str">
        <f>IFERROR(__xludf.DUMMYFUNCTION("""COMPUTED_VALUE"""),"")</f>
        <v/>
      </c>
      <c r="C908" s="508" t="str">
        <f>IFERROR(__xludf.DUMMYFUNCTION("""COMPUTED_VALUE"""),"")</f>
        <v/>
      </c>
      <c r="D908" s="508" t="str">
        <f>IFERROR(__xludf.DUMMYFUNCTION("""COMPUTED_VALUE"""),"")</f>
        <v/>
      </c>
      <c r="E908" s="508" t="str">
        <f>IFERROR(__xludf.DUMMYFUNCTION("""COMPUTED_VALUE"""),"")</f>
        <v/>
      </c>
      <c r="F908" s="508" t="str">
        <f>IFERROR(__xludf.DUMMYFUNCTION("""COMPUTED_VALUE"""),"")</f>
        <v/>
      </c>
      <c r="G908" s="510" t="str">
        <f>IFERROR(__xludf.DUMMYFUNCTION("""COMPUTED_VALUE"""),"")</f>
        <v/>
      </c>
      <c r="H908" s="508" t="str">
        <f>IFERROR(__xludf.DUMMYFUNCTION("""COMPUTED_VALUE"""),"")</f>
        <v/>
      </c>
      <c r="I908" s="510" t="str">
        <f>IFERROR(__xludf.DUMMYFUNCTION("""COMPUTED_VALUE"""),"")</f>
        <v/>
      </c>
      <c r="J908" s="508" t="str">
        <f>IFERROR(__xludf.DUMMYFUNCTION("""COMPUTED_VALUE"""),"")</f>
        <v/>
      </c>
      <c r="K908" s="510" t="str">
        <f>IFERROR(__xludf.DUMMYFUNCTION("""COMPUTED_VALUE"""),"")</f>
        <v/>
      </c>
      <c r="L908" s="508" t="str">
        <f>IFERROR(__xludf.DUMMYFUNCTION("""COMPUTED_VALUE"""),"")</f>
        <v/>
      </c>
      <c r="M908" s="508" t="str">
        <f>IFERROR(__xludf.DUMMYFUNCTION("""COMPUTED_VALUE"""),"")</f>
        <v/>
      </c>
      <c r="N908" s="508" t="str">
        <f>IFERROR(__xludf.DUMMYFUNCTION("""COMPUTED_VALUE"""),"")</f>
        <v/>
      </c>
      <c r="O908" s="508" t="str">
        <f>IFERROR(__xludf.DUMMYFUNCTION("""COMPUTED_VALUE"""),"")</f>
        <v/>
      </c>
      <c r="P908" s="510" t="str">
        <f>IFERROR(__xludf.DUMMYFUNCTION("""COMPUTED_VALUE"""),"")</f>
        <v/>
      </c>
      <c r="Q908" s="508" t="str">
        <f>IFERROR(__xludf.DUMMYFUNCTION("""COMPUTED_VALUE"""),"")</f>
        <v/>
      </c>
      <c r="R908" s="508" t="str">
        <f>IFERROR(__xludf.DUMMYFUNCTION("""COMPUTED_VALUE"""),"")</f>
        <v/>
      </c>
      <c r="S908" s="510" t="str">
        <f>IFERROR(__xludf.DUMMYFUNCTION("""COMPUTED_VALUE"""),"")</f>
        <v/>
      </c>
      <c r="T908" s="510" t="str">
        <f>IFERROR(__xludf.DUMMYFUNCTION("""COMPUTED_VALUE"""),"")</f>
        <v/>
      </c>
    </row>
    <row r="909">
      <c r="A909" s="508" t="str">
        <f>IFERROR(__xludf.DUMMYFUNCTION("""COMPUTED_VALUE"""),"")</f>
        <v/>
      </c>
      <c r="B909" s="508" t="str">
        <f>IFERROR(__xludf.DUMMYFUNCTION("""COMPUTED_VALUE"""),"")</f>
        <v/>
      </c>
      <c r="C909" s="508" t="str">
        <f>IFERROR(__xludf.DUMMYFUNCTION("""COMPUTED_VALUE"""),"")</f>
        <v/>
      </c>
      <c r="D909" s="508" t="str">
        <f>IFERROR(__xludf.DUMMYFUNCTION("""COMPUTED_VALUE"""),"")</f>
        <v/>
      </c>
      <c r="E909" s="508" t="str">
        <f>IFERROR(__xludf.DUMMYFUNCTION("""COMPUTED_VALUE"""),"")</f>
        <v/>
      </c>
      <c r="F909" s="508" t="str">
        <f>IFERROR(__xludf.DUMMYFUNCTION("""COMPUTED_VALUE"""),"")</f>
        <v/>
      </c>
      <c r="G909" s="510" t="str">
        <f>IFERROR(__xludf.DUMMYFUNCTION("""COMPUTED_VALUE"""),"")</f>
        <v/>
      </c>
      <c r="H909" s="508" t="str">
        <f>IFERROR(__xludf.DUMMYFUNCTION("""COMPUTED_VALUE"""),"")</f>
        <v/>
      </c>
      <c r="I909" s="510" t="str">
        <f>IFERROR(__xludf.DUMMYFUNCTION("""COMPUTED_VALUE"""),"")</f>
        <v/>
      </c>
      <c r="J909" s="508" t="str">
        <f>IFERROR(__xludf.DUMMYFUNCTION("""COMPUTED_VALUE"""),"")</f>
        <v/>
      </c>
      <c r="K909" s="510" t="str">
        <f>IFERROR(__xludf.DUMMYFUNCTION("""COMPUTED_VALUE"""),"")</f>
        <v/>
      </c>
      <c r="L909" s="508" t="str">
        <f>IFERROR(__xludf.DUMMYFUNCTION("""COMPUTED_VALUE"""),"")</f>
        <v/>
      </c>
      <c r="M909" s="508" t="str">
        <f>IFERROR(__xludf.DUMMYFUNCTION("""COMPUTED_VALUE"""),"")</f>
        <v/>
      </c>
      <c r="N909" s="508" t="str">
        <f>IFERROR(__xludf.DUMMYFUNCTION("""COMPUTED_VALUE"""),"")</f>
        <v/>
      </c>
      <c r="O909" s="508" t="str">
        <f>IFERROR(__xludf.DUMMYFUNCTION("""COMPUTED_VALUE"""),"")</f>
        <v/>
      </c>
      <c r="P909" s="510" t="str">
        <f>IFERROR(__xludf.DUMMYFUNCTION("""COMPUTED_VALUE"""),"")</f>
        <v/>
      </c>
      <c r="Q909" s="508" t="str">
        <f>IFERROR(__xludf.DUMMYFUNCTION("""COMPUTED_VALUE"""),"")</f>
        <v/>
      </c>
      <c r="R909" s="508" t="str">
        <f>IFERROR(__xludf.DUMMYFUNCTION("""COMPUTED_VALUE"""),"")</f>
        <v/>
      </c>
      <c r="S909" s="510" t="str">
        <f>IFERROR(__xludf.DUMMYFUNCTION("""COMPUTED_VALUE"""),"")</f>
        <v/>
      </c>
      <c r="T909" s="510" t="str">
        <f>IFERROR(__xludf.DUMMYFUNCTION("""COMPUTED_VALUE"""),"")</f>
        <v/>
      </c>
    </row>
    <row r="910">
      <c r="A910" s="508" t="str">
        <f>IFERROR(__xludf.DUMMYFUNCTION("""COMPUTED_VALUE"""),"")</f>
        <v/>
      </c>
      <c r="B910" s="508" t="str">
        <f>IFERROR(__xludf.DUMMYFUNCTION("""COMPUTED_VALUE"""),"")</f>
        <v/>
      </c>
      <c r="C910" s="508" t="str">
        <f>IFERROR(__xludf.DUMMYFUNCTION("""COMPUTED_VALUE"""),"")</f>
        <v/>
      </c>
      <c r="D910" s="508" t="str">
        <f>IFERROR(__xludf.DUMMYFUNCTION("""COMPUTED_VALUE"""),"")</f>
        <v/>
      </c>
      <c r="E910" s="508" t="str">
        <f>IFERROR(__xludf.DUMMYFUNCTION("""COMPUTED_VALUE"""),"")</f>
        <v/>
      </c>
      <c r="F910" s="508" t="str">
        <f>IFERROR(__xludf.DUMMYFUNCTION("""COMPUTED_VALUE"""),"")</f>
        <v/>
      </c>
      <c r="G910" s="510" t="str">
        <f>IFERROR(__xludf.DUMMYFUNCTION("""COMPUTED_VALUE"""),"")</f>
        <v/>
      </c>
      <c r="H910" s="508" t="str">
        <f>IFERROR(__xludf.DUMMYFUNCTION("""COMPUTED_VALUE"""),"")</f>
        <v/>
      </c>
      <c r="I910" s="510" t="str">
        <f>IFERROR(__xludf.DUMMYFUNCTION("""COMPUTED_VALUE"""),"")</f>
        <v/>
      </c>
      <c r="J910" s="508" t="str">
        <f>IFERROR(__xludf.DUMMYFUNCTION("""COMPUTED_VALUE"""),"")</f>
        <v/>
      </c>
      <c r="K910" s="510" t="str">
        <f>IFERROR(__xludf.DUMMYFUNCTION("""COMPUTED_VALUE"""),"")</f>
        <v/>
      </c>
      <c r="L910" s="508" t="str">
        <f>IFERROR(__xludf.DUMMYFUNCTION("""COMPUTED_VALUE"""),"")</f>
        <v/>
      </c>
      <c r="M910" s="508" t="str">
        <f>IFERROR(__xludf.DUMMYFUNCTION("""COMPUTED_VALUE"""),"")</f>
        <v/>
      </c>
      <c r="N910" s="508" t="str">
        <f>IFERROR(__xludf.DUMMYFUNCTION("""COMPUTED_VALUE"""),"")</f>
        <v/>
      </c>
      <c r="O910" s="508" t="str">
        <f>IFERROR(__xludf.DUMMYFUNCTION("""COMPUTED_VALUE"""),"")</f>
        <v/>
      </c>
      <c r="P910" s="510" t="str">
        <f>IFERROR(__xludf.DUMMYFUNCTION("""COMPUTED_VALUE"""),"")</f>
        <v/>
      </c>
      <c r="Q910" s="508" t="str">
        <f>IFERROR(__xludf.DUMMYFUNCTION("""COMPUTED_VALUE"""),"")</f>
        <v/>
      </c>
      <c r="R910" s="508" t="str">
        <f>IFERROR(__xludf.DUMMYFUNCTION("""COMPUTED_VALUE"""),"")</f>
        <v/>
      </c>
      <c r="S910" s="510" t="str">
        <f>IFERROR(__xludf.DUMMYFUNCTION("""COMPUTED_VALUE"""),"")</f>
        <v/>
      </c>
      <c r="T910" s="510" t="str">
        <f>IFERROR(__xludf.DUMMYFUNCTION("""COMPUTED_VALUE"""),"")</f>
        <v/>
      </c>
    </row>
    <row r="911">
      <c r="A911" s="508" t="str">
        <f>IFERROR(__xludf.DUMMYFUNCTION("""COMPUTED_VALUE"""),"")</f>
        <v/>
      </c>
      <c r="B911" s="508" t="str">
        <f>IFERROR(__xludf.DUMMYFUNCTION("""COMPUTED_VALUE"""),"")</f>
        <v/>
      </c>
      <c r="C911" s="508" t="str">
        <f>IFERROR(__xludf.DUMMYFUNCTION("""COMPUTED_VALUE"""),"")</f>
        <v/>
      </c>
      <c r="D911" s="508" t="str">
        <f>IFERROR(__xludf.DUMMYFUNCTION("""COMPUTED_VALUE"""),"")</f>
        <v/>
      </c>
      <c r="E911" s="508" t="str">
        <f>IFERROR(__xludf.DUMMYFUNCTION("""COMPUTED_VALUE"""),"")</f>
        <v/>
      </c>
      <c r="F911" s="508" t="str">
        <f>IFERROR(__xludf.DUMMYFUNCTION("""COMPUTED_VALUE"""),"")</f>
        <v/>
      </c>
      <c r="G911" s="510" t="str">
        <f>IFERROR(__xludf.DUMMYFUNCTION("""COMPUTED_VALUE"""),"")</f>
        <v/>
      </c>
      <c r="H911" s="508" t="str">
        <f>IFERROR(__xludf.DUMMYFUNCTION("""COMPUTED_VALUE"""),"")</f>
        <v/>
      </c>
      <c r="I911" s="510" t="str">
        <f>IFERROR(__xludf.DUMMYFUNCTION("""COMPUTED_VALUE"""),"")</f>
        <v/>
      </c>
      <c r="J911" s="508" t="str">
        <f>IFERROR(__xludf.DUMMYFUNCTION("""COMPUTED_VALUE"""),"")</f>
        <v/>
      </c>
      <c r="K911" s="510" t="str">
        <f>IFERROR(__xludf.DUMMYFUNCTION("""COMPUTED_VALUE"""),"")</f>
        <v/>
      </c>
      <c r="L911" s="508" t="str">
        <f>IFERROR(__xludf.DUMMYFUNCTION("""COMPUTED_VALUE"""),"")</f>
        <v/>
      </c>
      <c r="M911" s="508" t="str">
        <f>IFERROR(__xludf.DUMMYFUNCTION("""COMPUTED_VALUE"""),"")</f>
        <v/>
      </c>
      <c r="N911" s="508" t="str">
        <f>IFERROR(__xludf.DUMMYFUNCTION("""COMPUTED_VALUE"""),"")</f>
        <v/>
      </c>
      <c r="O911" s="508" t="str">
        <f>IFERROR(__xludf.DUMMYFUNCTION("""COMPUTED_VALUE"""),"")</f>
        <v/>
      </c>
      <c r="P911" s="510" t="str">
        <f>IFERROR(__xludf.DUMMYFUNCTION("""COMPUTED_VALUE"""),"")</f>
        <v/>
      </c>
      <c r="Q911" s="508" t="str">
        <f>IFERROR(__xludf.DUMMYFUNCTION("""COMPUTED_VALUE"""),"")</f>
        <v/>
      </c>
      <c r="R911" s="508" t="str">
        <f>IFERROR(__xludf.DUMMYFUNCTION("""COMPUTED_VALUE"""),"")</f>
        <v/>
      </c>
      <c r="S911" s="510" t="str">
        <f>IFERROR(__xludf.DUMMYFUNCTION("""COMPUTED_VALUE"""),"")</f>
        <v/>
      </c>
      <c r="T911" s="510" t="str">
        <f>IFERROR(__xludf.DUMMYFUNCTION("""COMPUTED_VALUE"""),"")</f>
        <v/>
      </c>
    </row>
    <row r="912">
      <c r="A912" s="508" t="str">
        <f>IFERROR(__xludf.DUMMYFUNCTION("""COMPUTED_VALUE"""),"")</f>
        <v/>
      </c>
      <c r="B912" s="508" t="str">
        <f>IFERROR(__xludf.DUMMYFUNCTION("""COMPUTED_VALUE"""),"")</f>
        <v/>
      </c>
      <c r="C912" s="508" t="str">
        <f>IFERROR(__xludf.DUMMYFUNCTION("""COMPUTED_VALUE"""),"")</f>
        <v/>
      </c>
      <c r="D912" s="508" t="str">
        <f>IFERROR(__xludf.DUMMYFUNCTION("""COMPUTED_VALUE"""),"")</f>
        <v/>
      </c>
      <c r="E912" s="508" t="str">
        <f>IFERROR(__xludf.DUMMYFUNCTION("""COMPUTED_VALUE"""),"")</f>
        <v/>
      </c>
      <c r="F912" s="508" t="str">
        <f>IFERROR(__xludf.DUMMYFUNCTION("""COMPUTED_VALUE"""),"")</f>
        <v/>
      </c>
      <c r="G912" s="510" t="str">
        <f>IFERROR(__xludf.DUMMYFUNCTION("""COMPUTED_VALUE"""),"")</f>
        <v/>
      </c>
      <c r="H912" s="508" t="str">
        <f>IFERROR(__xludf.DUMMYFUNCTION("""COMPUTED_VALUE"""),"")</f>
        <v/>
      </c>
      <c r="I912" s="510" t="str">
        <f>IFERROR(__xludf.DUMMYFUNCTION("""COMPUTED_VALUE"""),"")</f>
        <v/>
      </c>
      <c r="J912" s="508" t="str">
        <f>IFERROR(__xludf.DUMMYFUNCTION("""COMPUTED_VALUE"""),"")</f>
        <v/>
      </c>
      <c r="K912" s="510" t="str">
        <f>IFERROR(__xludf.DUMMYFUNCTION("""COMPUTED_VALUE"""),"")</f>
        <v/>
      </c>
      <c r="L912" s="508" t="str">
        <f>IFERROR(__xludf.DUMMYFUNCTION("""COMPUTED_VALUE"""),"")</f>
        <v/>
      </c>
      <c r="M912" s="508" t="str">
        <f>IFERROR(__xludf.DUMMYFUNCTION("""COMPUTED_VALUE"""),"")</f>
        <v/>
      </c>
      <c r="N912" s="508" t="str">
        <f>IFERROR(__xludf.DUMMYFUNCTION("""COMPUTED_VALUE"""),"")</f>
        <v/>
      </c>
      <c r="O912" s="508" t="str">
        <f>IFERROR(__xludf.DUMMYFUNCTION("""COMPUTED_VALUE"""),"")</f>
        <v/>
      </c>
      <c r="P912" s="510" t="str">
        <f>IFERROR(__xludf.DUMMYFUNCTION("""COMPUTED_VALUE"""),"")</f>
        <v/>
      </c>
      <c r="Q912" s="508" t="str">
        <f>IFERROR(__xludf.DUMMYFUNCTION("""COMPUTED_VALUE"""),"")</f>
        <v/>
      </c>
      <c r="R912" s="508" t="str">
        <f>IFERROR(__xludf.DUMMYFUNCTION("""COMPUTED_VALUE"""),"")</f>
        <v/>
      </c>
      <c r="S912" s="510" t="str">
        <f>IFERROR(__xludf.DUMMYFUNCTION("""COMPUTED_VALUE"""),"")</f>
        <v/>
      </c>
      <c r="T912" s="510" t="str">
        <f>IFERROR(__xludf.DUMMYFUNCTION("""COMPUTED_VALUE"""),"")</f>
        <v/>
      </c>
    </row>
    <row r="913">
      <c r="A913" s="508" t="str">
        <f>IFERROR(__xludf.DUMMYFUNCTION("""COMPUTED_VALUE"""),"")</f>
        <v/>
      </c>
      <c r="B913" s="508" t="str">
        <f>IFERROR(__xludf.DUMMYFUNCTION("""COMPUTED_VALUE"""),"")</f>
        <v/>
      </c>
      <c r="C913" s="508" t="str">
        <f>IFERROR(__xludf.DUMMYFUNCTION("""COMPUTED_VALUE"""),"")</f>
        <v/>
      </c>
      <c r="D913" s="508" t="str">
        <f>IFERROR(__xludf.DUMMYFUNCTION("""COMPUTED_VALUE"""),"")</f>
        <v/>
      </c>
      <c r="E913" s="508" t="str">
        <f>IFERROR(__xludf.DUMMYFUNCTION("""COMPUTED_VALUE"""),"")</f>
        <v/>
      </c>
      <c r="F913" s="508" t="str">
        <f>IFERROR(__xludf.DUMMYFUNCTION("""COMPUTED_VALUE"""),"")</f>
        <v/>
      </c>
      <c r="G913" s="510" t="str">
        <f>IFERROR(__xludf.DUMMYFUNCTION("""COMPUTED_VALUE"""),"")</f>
        <v/>
      </c>
      <c r="H913" s="508" t="str">
        <f>IFERROR(__xludf.DUMMYFUNCTION("""COMPUTED_VALUE"""),"")</f>
        <v/>
      </c>
      <c r="I913" s="510" t="str">
        <f>IFERROR(__xludf.DUMMYFUNCTION("""COMPUTED_VALUE"""),"")</f>
        <v/>
      </c>
      <c r="J913" s="508" t="str">
        <f>IFERROR(__xludf.DUMMYFUNCTION("""COMPUTED_VALUE"""),"")</f>
        <v/>
      </c>
      <c r="K913" s="510" t="str">
        <f>IFERROR(__xludf.DUMMYFUNCTION("""COMPUTED_VALUE"""),"")</f>
        <v/>
      </c>
      <c r="L913" s="508" t="str">
        <f>IFERROR(__xludf.DUMMYFUNCTION("""COMPUTED_VALUE"""),"")</f>
        <v/>
      </c>
      <c r="M913" s="508" t="str">
        <f>IFERROR(__xludf.DUMMYFUNCTION("""COMPUTED_VALUE"""),"")</f>
        <v/>
      </c>
      <c r="N913" s="508" t="str">
        <f>IFERROR(__xludf.DUMMYFUNCTION("""COMPUTED_VALUE"""),"")</f>
        <v/>
      </c>
      <c r="O913" s="508" t="str">
        <f>IFERROR(__xludf.DUMMYFUNCTION("""COMPUTED_VALUE"""),"")</f>
        <v/>
      </c>
      <c r="P913" s="510" t="str">
        <f>IFERROR(__xludf.DUMMYFUNCTION("""COMPUTED_VALUE"""),"")</f>
        <v/>
      </c>
      <c r="Q913" s="508" t="str">
        <f>IFERROR(__xludf.DUMMYFUNCTION("""COMPUTED_VALUE"""),"")</f>
        <v/>
      </c>
      <c r="R913" s="508" t="str">
        <f>IFERROR(__xludf.DUMMYFUNCTION("""COMPUTED_VALUE"""),"")</f>
        <v/>
      </c>
      <c r="S913" s="510" t="str">
        <f>IFERROR(__xludf.DUMMYFUNCTION("""COMPUTED_VALUE"""),"")</f>
        <v/>
      </c>
      <c r="T913" s="510" t="str">
        <f>IFERROR(__xludf.DUMMYFUNCTION("""COMPUTED_VALUE"""),"")</f>
        <v/>
      </c>
    </row>
    <row r="914">
      <c r="A914" s="508" t="str">
        <f>IFERROR(__xludf.DUMMYFUNCTION("""COMPUTED_VALUE"""),"")</f>
        <v/>
      </c>
      <c r="B914" s="508" t="str">
        <f>IFERROR(__xludf.DUMMYFUNCTION("""COMPUTED_VALUE"""),"")</f>
        <v/>
      </c>
      <c r="C914" s="508" t="str">
        <f>IFERROR(__xludf.DUMMYFUNCTION("""COMPUTED_VALUE"""),"")</f>
        <v/>
      </c>
      <c r="D914" s="508" t="str">
        <f>IFERROR(__xludf.DUMMYFUNCTION("""COMPUTED_VALUE"""),"")</f>
        <v/>
      </c>
      <c r="E914" s="508" t="str">
        <f>IFERROR(__xludf.DUMMYFUNCTION("""COMPUTED_VALUE"""),"")</f>
        <v/>
      </c>
      <c r="F914" s="508" t="str">
        <f>IFERROR(__xludf.DUMMYFUNCTION("""COMPUTED_VALUE"""),"")</f>
        <v/>
      </c>
      <c r="G914" s="510" t="str">
        <f>IFERROR(__xludf.DUMMYFUNCTION("""COMPUTED_VALUE"""),"")</f>
        <v/>
      </c>
      <c r="H914" s="508" t="str">
        <f>IFERROR(__xludf.DUMMYFUNCTION("""COMPUTED_VALUE"""),"")</f>
        <v/>
      </c>
      <c r="I914" s="510" t="str">
        <f>IFERROR(__xludf.DUMMYFUNCTION("""COMPUTED_VALUE"""),"")</f>
        <v/>
      </c>
      <c r="J914" s="508" t="str">
        <f>IFERROR(__xludf.DUMMYFUNCTION("""COMPUTED_VALUE"""),"")</f>
        <v/>
      </c>
      <c r="K914" s="510" t="str">
        <f>IFERROR(__xludf.DUMMYFUNCTION("""COMPUTED_VALUE"""),"")</f>
        <v/>
      </c>
      <c r="L914" s="508" t="str">
        <f>IFERROR(__xludf.DUMMYFUNCTION("""COMPUTED_VALUE"""),"")</f>
        <v/>
      </c>
      <c r="M914" s="508" t="str">
        <f>IFERROR(__xludf.DUMMYFUNCTION("""COMPUTED_VALUE"""),"")</f>
        <v/>
      </c>
      <c r="N914" s="508" t="str">
        <f>IFERROR(__xludf.DUMMYFUNCTION("""COMPUTED_VALUE"""),"")</f>
        <v/>
      </c>
      <c r="O914" s="508" t="str">
        <f>IFERROR(__xludf.DUMMYFUNCTION("""COMPUTED_VALUE"""),"")</f>
        <v/>
      </c>
      <c r="P914" s="510" t="str">
        <f>IFERROR(__xludf.DUMMYFUNCTION("""COMPUTED_VALUE"""),"")</f>
        <v/>
      </c>
      <c r="Q914" s="508" t="str">
        <f>IFERROR(__xludf.DUMMYFUNCTION("""COMPUTED_VALUE"""),"")</f>
        <v/>
      </c>
      <c r="R914" s="508" t="str">
        <f>IFERROR(__xludf.DUMMYFUNCTION("""COMPUTED_VALUE"""),"")</f>
        <v/>
      </c>
      <c r="S914" s="510" t="str">
        <f>IFERROR(__xludf.DUMMYFUNCTION("""COMPUTED_VALUE"""),"")</f>
        <v/>
      </c>
      <c r="T914" s="510" t="str">
        <f>IFERROR(__xludf.DUMMYFUNCTION("""COMPUTED_VALUE"""),"")</f>
        <v/>
      </c>
    </row>
    <row r="915">
      <c r="A915" s="508" t="str">
        <f>IFERROR(__xludf.DUMMYFUNCTION("""COMPUTED_VALUE"""),"")</f>
        <v/>
      </c>
      <c r="B915" s="508" t="str">
        <f>IFERROR(__xludf.DUMMYFUNCTION("""COMPUTED_VALUE"""),"")</f>
        <v/>
      </c>
      <c r="C915" s="508" t="str">
        <f>IFERROR(__xludf.DUMMYFUNCTION("""COMPUTED_VALUE"""),"")</f>
        <v/>
      </c>
      <c r="D915" s="508" t="str">
        <f>IFERROR(__xludf.DUMMYFUNCTION("""COMPUTED_VALUE"""),"")</f>
        <v/>
      </c>
      <c r="E915" s="508" t="str">
        <f>IFERROR(__xludf.DUMMYFUNCTION("""COMPUTED_VALUE"""),"")</f>
        <v/>
      </c>
      <c r="F915" s="508" t="str">
        <f>IFERROR(__xludf.DUMMYFUNCTION("""COMPUTED_VALUE"""),"")</f>
        <v/>
      </c>
      <c r="G915" s="510" t="str">
        <f>IFERROR(__xludf.DUMMYFUNCTION("""COMPUTED_VALUE"""),"")</f>
        <v/>
      </c>
      <c r="H915" s="508" t="str">
        <f>IFERROR(__xludf.DUMMYFUNCTION("""COMPUTED_VALUE"""),"")</f>
        <v/>
      </c>
      <c r="I915" s="510" t="str">
        <f>IFERROR(__xludf.DUMMYFUNCTION("""COMPUTED_VALUE"""),"")</f>
        <v/>
      </c>
      <c r="J915" s="508" t="str">
        <f>IFERROR(__xludf.DUMMYFUNCTION("""COMPUTED_VALUE"""),"")</f>
        <v/>
      </c>
      <c r="K915" s="510" t="str">
        <f>IFERROR(__xludf.DUMMYFUNCTION("""COMPUTED_VALUE"""),"")</f>
        <v/>
      </c>
      <c r="L915" s="508" t="str">
        <f>IFERROR(__xludf.DUMMYFUNCTION("""COMPUTED_VALUE"""),"")</f>
        <v/>
      </c>
      <c r="M915" s="508" t="str">
        <f>IFERROR(__xludf.DUMMYFUNCTION("""COMPUTED_VALUE"""),"")</f>
        <v/>
      </c>
      <c r="N915" s="508" t="str">
        <f>IFERROR(__xludf.DUMMYFUNCTION("""COMPUTED_VALUE"""),"")</f>
        <v/>
      </c>
      <c r="O915" s="508" t="str">
        <f>IFERROR(__xludf.DUMMYFUNCTION("""COMPUTED_VALUE"""),"")</f>
        <v/>
      </c>
      <c r="P915" s="510" t="str">
        <f>IFERROR(__xludf.DUMMYFUNCTION("""COMPUTED_VALUE"""),"")</f>
        <v/>
      </c>
      <c r="Q915" s="508" t="str">
        <f>IFERROR(__xludf.DUMMYFUNCTION("""COMPUTED_VALUE"""),"")</f>
        <v/>
      </c>
      <c r="R915" s="508" t="str">
        <f>IFERROR(__xludf.DUMMYFUNCTION("""COMPUTED_VALUE"""),"")</f>
        <v/>
      </c>
      <c r="S915" s="510" t="str">
        <f>IFERROR(__xludf.DUMMYFUNCTION("""COMPUTED_VALUE"""),"")</f>
        <v/>
      </c>
      <c r="T915" s="510" t="str">
        <f>IFERROR(__xludf.DUMMYFUNCTION("""COMPUTED_VALUE"""),"")</f>
        <v/>
      </c>
    </row>
    <row r="916">
      <c r="A916" s="508" t="str">
        <f>IFERROR(__xludf.DUMMYFUNCTION("""COMPUTED_VALUE"""),"")</f>
        <v/>
      </c>
      <c r="B916" s="508" t="str">
        <f>IFERROR(__xludf.DUMMYFUNCTION("""COMPUTED_VALUE"""),"")</f>
        <v/>
      </c>
      <c r="C916" s="508" t="str">
        <f>IFERROR(__xludf.DUMMYFUNCTION("""COMPUTED_VALUE"""),"")</f>
        <v/>
      </c>
      <c r="D916" s="508" t="str">
        <f>IFERROR(__xludf.DUMMYFUNCTION("""COMPUTED_VALUE"""),"")</f>
        <v/>
      </c>
      <c r="E916" s="508" t="str">
        <f>IFERROR(__xludf.DUMMYFUNCTION("""COMPUTED_VALUE"""),"")</f>
        <v/>
      </c>
      <c r="F916" s="508" t="str">
        <f>IFERROR(__xludf.DUMMYFUNCTION("""COMPUTED_VALUE"""),"")</f>
        <v/>
      </c>
      <c r="G916" s="510" t="str">
        <f>IFERROR(__xludf.DUMMYFUNCTION("""COMPUTED_VALUE"""),"")</f>
        <v/>
      </c>
      <c r="H916" s="508" t="str">
        <f>IFERROR(__xludf.DUMMYFUNCTION("""COMPUTED_VALUE"""),"")</f>
        <v/>
      </c>
      <c r="I916" s="510" t="str">
        <f>IFERROR(__xludf.DUMMYFUNCTION("""COMPUTED_VALUE"""),"")</f>
        <v/>
      </c>
      <c r="J916" s="508" t="str">
        <f>IFERROR(__xludf.DUMMYFUNCTION("""COMPUTED_VALUE"""),"")</f>
        <v/>
      </c>
      <c r="K916" s="510" t="str">
        <f>IFERROR(__xludf.DUMMYFUNCTION("""COMPUTED_VALUE"""),"")</f>
        <v/>
      </c>
      <c r="L916" s="508" t="str">
        <f>IFERROR(__xludf.DUMMYFUNCTION("""COMPUTED_VALUE"""),"")</f>
        <v/>
      </c>
      <c r="M916" s="508" t="str">
        <f>IFERROR(__xludf.DUMMYFUNCTION("""COMPUTED_VALUE"""),"")</f>
        <v/>
      </c>
      <c r="N916" s="508" t="str">
        <f>IFERROR(__xludf.DUMMYFUNCTION("""COMPUTED_VALUE"""),"")</f>
        <v/>
      </c>
      <c r="O916" s="508" t="str">
        <f>IFERROR(__xludf.DUMMYFUNCTION("""COMPUTED_VALUE"""),"")</f>
        <v/>
      </c>
      <c r="P916" s="510" t="str">
        <f>IFERROR(__xludf.DUMMYFUNCTION("""COMPUTED_VALUE"""),"")</f>
        <v/>
      </c>
      <c r="Q916" s="508" t="str">
        <f>IFERROR(__xludf.DUMMYFUNCTION("""COMPUTED_VALUE"""),"")</f>
        <v/>
      </c>
      <c r="R916" s="508" t="str">
        <f>IFERROR(__xludf.DUMMYFUNCTION("""COMPUTED_VALUE"""),"")</f>
        <v/>
      </c>
      <c r="S916" s="510" t="str">
        <f>IFERROR(__xludf.DUMMYFUNCTION("""COMPUTED_VALUE"""),"")</f>
        <v/>
      </c>
      <c r="T916" s="510" t="str">
        <f>IFERROR(__xludf.DUMMYFUNCTION("""COMPUTED_VALUE"""),"")</f>
        <v/>
      </c>
    </row>
    <row r="917">
      <c r="A917" s="508" t="str">
        <f>IFERROR(__xludf.DUMMYFUNCTION("""COMPUTED_VALUE"""),"")</f>
        <v/>
      </c>
      <c r="B917" s="508" t="str">
        <f>IFERROR(__xludf.DUMMYFUNCTION("""COMPUTED_VALUE"""),"")</f>
        <v/>
      </c>
      <c r="C917" s="508" t="str">
        <f>IFERROR(__xludf.DUMMYFUNCTION("""COMPUTED_VALUE"""),"")</f>
        <v/>
      </c>
      <c r="D917" s="508" t="str">
        <f>IFERROR(__xludf.DUMMYFUNCTION("""COMPUTED_VALUE"""),"")</f>
        <v/>
      </c>
      <c r="E917" s="508" t="str">
        <f>IFERROR(__xludf.DUMMYFUNCTION("""COMPUTED_VALUE"""),"")</f>
        <v/>
      </c>
      <c r="F917" s="508" t="str">
        <f>IFERROR(__xludf.DUMMYFUNCTION("""COMPUTED_VALUE"""),"")</f>
        <v/>
      </c>
      <c r="G917" s="510" t="str">
        <f>IFERROR(__xludf.DUMMYFUNCTION("""COMPUTED_VALUE"""),"")</f>
        <v/>
      </c>
      <c r="H917" s="508" t="str">
        <f>IFERROR(__xludf.DUMMYFUNCTION("""COMPUTED_VALUE"""),"")</f>
        <v/>
      </c>
      <c r="I917" s="510" t="str">
        <f>IFERROR(__xludf.DUMMYFUNCTION("""COMPUTED_VALUE"""),"")</f>
        <v/>
      </c>
      <c r="J917" s="508" t="str">
        <f>IFERROR(__xludf.DUMMYFUNCTION("""COMPUTED_VALUE"""),"")</f>
        <v/>
      </c>
      <c r="K917" s="510" t="str">
        <f>IFERROR(__xludf.DUMMYFUNCTION("""COMPUTED_VALUE"""),"")</f>
        <v/>
      </c>
      <c r="L917" s="508" t="str">
        <f>IFERROR(__xludf.DUMMYFUNCTION("""COMPUTED_VALUE"""),"")</f>
        <v/>
      </c>
      <c r="M917" s="508" t="str">
        <f>IFERROR(__xludf.DUMMYFUNCTION("""COMPUTED_VALUE"""),"")</f>
        <v/>
      </c>
      <c r="N917" s="508" t="str">
        <f>IFERROR(__xludf.DUMMYFUNCTION("""COMPUTED_VALUE"""),"")</f>
        <v/>
      </c>
      <c r="O917" s="508" t="str">
        <f>IFERROR(__xludf.DUMMYFUNCTION("""COMPUTED_VALUE"""),"")</f>
        <v/>
      </c>
      <c r="P917" s="510" t="str">
        <f>IFERROR(__xludf.DUMMYFUNCTION("""COMPUTED_VALUE"""),"")</f>
        <v/>
      </c>
      <c r="Q917" s="508" t="str">
        <f>IFERROR(__xludf.DUMMYFUNCTION("""COMPUTED_VALUE"""),"")</f>
        <v/>
      </c>
      <c r="R917" s="508" t="str">
        <f>IFERROR(__xludf.DUMMYFUNCTION("""COMPUTED_VALUE"""),"")</f>
        <v/>
      </c>
      <c r="S917" s="510" t="str">
        <f>IFERROR(__xludf.DUMMYFUNCTION("""COMPUTED_VALUE"""),"")</f>
        <v/>
      </c>
      <c r="T917" s="510" t="str">
        <f>IFERROR(__xludf.DUMMYFUNCTION("""COMPUTED_VALUE"""),"")</f>
        <v/>
      </c>
    </row>
    <row r="918">
      <c r="A918" s="508" t="str">
        <f>IFERROR(__xludf.DUMMYFUNCTION("""COMPUTED_VALUE"""),"")</f>
        <v/>
      </c>
      <c r="B918" s="508" t="str">
        <f>IFERROR(__xludf.DUMMYFUNCTION("""COMPUTED_VALUE"""),"")</f>
        <v/>
      </c>
      <c r="C918" s="508" t="str">
        <f>IFERROR(__xludf.DUMMYFUNCTION("""COMPUTED_VALUE"""),"")</f>
        <v/>
      </c>
      <c r="D918" s="508" t="str">
        <f>IFERROR(__xludf.DUMMYFUNCTION("""COMPUTED_VALUE"""),"")</f>
        <v/>
      </c>
      <c r="E918" s="508" t="str">
        <f>IFERROR(__xludf.DUMMYFUNCTION("""COMPUTED_VALUE"""),"")</f>
        <v/>
      </c>
      <c r="F918" s="508" t="str">
        <f>IFERROR(__xludf.DUMMYFUNCTION("""COMPUTED_VALUE"""),"")</f>
        <v/>
      </c>
      <c r="G918" s="510" t="str">
        <f>IFERROR(__xludf.DUMMYFUNCTION("""COMPUTED_VALUE"""),"")</f>
        <v/>
      </c>
      <c r="H918" s="508" t="str">
        <f>IFERROR(__xludf.DUMMYFUNCTION("""COMPUTED_VALUE"""),"")</f>
        <v/>
      </c>
      <c r="I918" s="510" t="str">
        <f>IFERROR(__xludf.DUMMYFUNCTION("""COMPUTED_VALUE"""),"")</f>
        <v/>
      </c>
      <c r="J918" s="508" t="str">
        <f>IFERROR(__xludf.DUMMYFUNCTION("""COMPUTED_VALUE"""),"")</f>
        <v/>
      </c>
      <c r="K918" s="510" t="str">
        <f>IFERROR(__xludf.DUMMYFUNCTION("""COMPUTED_VALUE"""),"")</f>
        <v/>
      </c>
      <c r="L918" s="508" t="str">
        <f>IFERROR(__xludf.DUMMYFUNCTION("""COMPUTED_VALUE"""),"")</f>
        <v/>
      </c>
      <c r="M918" s="508" t="str">
        <f>IFERROR(__xludf.DUMMYFUNCTION("""COMPUTED_VALUE"""),"")</f>
        <v/>
      </c>
      <c r="N918" s="508" t="str">
        <f>IFERROR(__xludf.DUMMYFUNCTION("""COMPUTED_VALUE"""),"")</f>
        <v/>
      </c>
      <c r="O918" s="508" t="str">
        <f>IFERROR(__xludf.DUMMYFUNCTION("""COMPUTED_VALUE"""),"")</f>
        <v/>
      </c>
      <c r="P918" s="510" t="str">
        <f>IFERROR(__xludf.DUMMYFUNCTION("""COMPUTED_VALUE"""),"")</f>
        <v/>
      </c>
      <c r="Q918" s="508" t="str">
        <f>IFERROR(__xludf.DUMMYFUNCTION("""COMPUTED_VALUE"""),"")</f>
        <v/>
      </c>
      <c r="R918" s="508" t="str">
        <f>IFERROR(__xludf.DUMMYFUNCTION("""COMPUTED_VALUE"""),"")</f>
        <v/>
      </c>
      <c r="S918" s="510" t="str">
        <f>IFERROR(__xludf.DUMMYFUNCTION("""COMPUTED_VALUE"""),"")</f>
        <v/>
      </c>
      <c r="T918" s="510" t="str">
        <f>IFERROR(__xludf.DUMMYFUNCTION("""COMPUTED_VALUE"""),"")</f>
        <v/>
      </c>
    </row>
    <row r="919">
      <c r="A919" s="508" t="str">
        <f>IFERROR(__xludf.DUMMYFUNCTION("""COMPUTED_VALUE"""),"")</f>
        <v/>
      </c>
      <c r="B919" s="508" t="str">
        <f>IFERROR(__xludf.DUMMYFUNCTION("""COMPUTED_VALUE"""),"")</f>
        <v/>
      </c>
      <c r="C919" s="508" t="str">
        <f>IFERROR(__xludf.DUMMYFUNCTION("""COMPUTED_VALUE"""),"")</f>
        <v/>
      </c>
      <c r="D919" s="508" t="str">
        <f>IFERROR(__xludf.DUMMYFUNCTION("""COMPUTED_VALUE"""),"")</f>
        <v/>
      </c>
      <c r="E919" s="508" t="str">
        <f>IFERROR(__xludf.DUMMYFUNCTION("""COMPUTED_VALUE"""),"")</f>
        <v/>
      </c>
      <c r="F919" s="508" t="str">
        <f>IFERROR(__xludf.DUMMYFUNCTION("""COMPUTED_VALUE"""),"")</f>
        <v/>
      </c>
      <c r="G919" s="510" t="str">
        <f>IFERROR(__xludf.DUMMYFUNCTION("""COMPUTED_VALUE"""),"")</f>
        <v/>
      </c>
      <c r="H919" s="508" t="str">
        <f>IFERROR(__xludf.DUMMYFUNCTION("""COMPUTED_VALUE"""),"")</f>
        <v/>
      </c>
      <c r="I919" s="510" t="str">
        <f>IFERROR(__xludf.DUMMYFUNCTION("""COMPUTED_VALUE"""),"")</f>
        <v/>
      </c>
      <c r="J919" s="508" t="str">
        <f>IFERROR(__xludf.DUMMYFUNCTION("""COMPUTED_VALUE"""),"")</f>
        <v/>
      </c>
      <c r="K919" s="510" t="str">
        <f>IFERROR(__xludf.DUMMYFUNCTION("""COMPUTED_VALUE"""),"")</f>
        <v/>
      </c>
      <c r="L919" s="508" t="str">
        <f>IFERROR(__xludf.DUMMYFUNCTION("""COMPUTED_VALUE"""),"")</f>
        <v/>
      </c>
      <c r="M919" s="508" t="str">
        <f>IFERROR(__xludf.DUMMYFUNCTION("""COMPUTED_VALUE"""),"")</f>
        <v/>
      </c>
      <c r="N919" s="508" t="str">
        <f>IFERROR(__xludf.DUMMYFUNCTION("""COMPUTED_VALUE"""),"")</f>
        <v/>
      </c>
      <c r="O919" s="508" t="str">
        <f>IFERROR(__xludf.DUMMYFUNCTION("""COMPUTED_VALUE"""),"")</f>
        <v/>
      </c>
      <c r="P919" s="510" t="str">
        <f>IFERROR(__xludf.DUMMYFUNCTION("""COMPUTED_VALUE"""),"")</f>
        <v/>
      </c>
      <c r="Q919" s="508" t="str">
        <f>IFERROR(__xludf.DUMMYFUNCTION("""COMPUTED_VALUE"""),"")</f>
        <v/>
      </c>
      <c r="R919" s="508" t="str">
        <f>IFERROR(__xludf.DUMMYFUNCTION("""COMPUTED_VALUE"""),"")</f>
        <v/>
      </c>
      <c r="S919" s="510" t="str">
        <f>IFERROR(__xludf.DUMMYFUNCTION("""COMPUTED_VALUE"""),"")</f>
        <v/>
      </c>
      <c r="T919" s="510" t="str">
        <f>IFERROR(__xludf.DUMMYFUNCTION("""COMPUTED_VALUE"""),"")</f>
        <v/>
      </c>
    </row>
    <row r="920">
      <c r="A920" s="508" t="str">
        <f>IFERROR(__xludf.DUMMYFUNCTION("""COMPUTED_VALUE"""),"")</f>
        <v/>
      </c>
      <c r="B920" s="508" t="str">
        <f>IFERROR(__xludf.DUMMYFUNCTION("""COMPUTED_VALUE"""),"")</f>
        <v/>
      </c>
      <c r="C920" s="508" t="str">
        <f>IFERROR(__xludf.DUMMYFUNCTION("""COMPUTED_VALUE"""),"")</f>
        <v/>
      </c>
      <c r="D920" s="508" t="str">
        <f>IFERROR(__xludf.DUMMYFUNCTION("""COMPUTED_VALUE"""),"")</f>
        <v/>
      </c>
      <c r="E920" s="508" t="str">
        <f>IFERROR(__xludf.DUMMYFUNCTION("""COMPUTED_VALUE"""),"")</f>
        <v/>
      </c>
      <c r="F920" s="508" t="str">
        <f>IFERROR(__xludf.DUMMYFUNCTION("""COMPUTED_VALUE"""),"")</f>
        <v/>
      </c>
      <c r="G920" s="510" t="str">
        <f>IFERROR(__xludf.DUMMYFUNCTION("""COMPUTED_VALUE"""),"")</f>
        <v/>
      </c>
      <c r="H920" s="508" t="str">
        <f>IFERROR(__xludf.DUMMYFUNCTION("""COMPUTED_VALUE"""),"")</f>
        <v/>
      </c>
      <c r="I920" s="510" t="str">
        <f>IFERROR(__xludf.DUMMYFUNCTION("""COMPUTED_VALUE"""),"")</f>
        <v/>
      </c>
      <c r="J920" s="508" t="str">
        <f>IFERROR(__xludf.DUMMYFUNCTION("""COMPUTED_VALUE"""),"")</f>
        <v/>
      </c>
      <c r="K920" s="510" t="str">
        <f>IFERROR(__xludf.DUMMYFUNCTION("""COMPUTED_VALUE"""),"")</f>
        <v/>
      </c>
      <c r="L920" s="508" t="str">
        <f>IFERROR(__xludf.DUMMYFUNCTION("""COMPUTED_VALUE"""),"")</f>
        <v/>
      </c>
      <c r="M920" s="508" t="str">
        <f>IFERROR(__xludf.DUMMYFUNCTION("""COMPUTED_VALUE"""),"")</f>
        <v/>
      </c>
      <c r="N920" s="508" t="str">
        <f>IFERROR(__xludf.DUMMYFUNCTION("""COMPUTED_VALUE"""),"")</f>
        <v/>
      </c>
      <c r="O920" s="508" t="str">
        <f>IFERROR(__xludf.DUMMYFUNCTION("""COMPUTED_VALUE"""),"")</f>
        <v/>
      </c>
      <c r="P920" s="510" t="str">
        <f>IFERROR(__xludf.DUMMYFUNCTION("""COMPUTED_VALUE"""),"")</f>
        <v/>
      </c>
      <c r="Q920" s="508" t="str">
        <f>IFERROR(__xludf.DUMMYFUNCTION("""COMPUTED_VALUE"""),"")</f>
        <v/>
      </c>
      <c r="R920" s="508" t="str">
        <f>IFERROR(__xludf.DUMMYFUNCTION("""COMPUTED_VALUE"""),"")</f>
        <v/>
      </c>
      <c r="S920" s="510" t="str">
        <f>IFERROR(__xludf.DUMMYFUNCTION("""COMPUTED_VALUE"""),"")</f>
        <v/>
      </c>
      <c r="T920" s="510" t="str">
        <f>IFERROR(__xludf.DUMMYFUNCTION("""COMPUTED_VALUE"""),"")</f>
        <v/>
      </c>
    </row>
    <row r="921">
      <c r="A921" s="508" t="str">
        <f>IFERROR(__xludf.DUMMYFUNCTION("""COMPUTED_VALUE"""),"")</f>
        <v/>
      </c>
      <c r="B921" s="508" t="str">
        <f>IFERROR(__xludf.DUMMYFUNCTION("""COMPUTED_VALUE"""),"")</f>
        <v/>
      </c>
      <c r="C921" s="508" t="str">
        <f>IFERROR(__xludf.DUMMYFUNCTION("""COMPUTED_VALUE"""),"")</f>
        <v/>
      </c>
      <c r="D921" s="508" t="str">
        <f>IFERROR(__xludf.DUMMYFUNCTION("""COMPUTED_VALUE"""),"")</f>
        <v/>
      </c>
      <c r="E921" s="508" t="str">
        <f>IFERROR(__xludf.DUMMYFUNCTION("""COMPUTED_VALUE"""),"")</f>
        <v/>
      </c>
      <c r="F921" s="508" t="str">
        <f>IFERROR(__xludf.DUMMYFUNCTION("""COMPUTED_VALUE"""),"")</f>
        <v/>
      </c>
      <c r="G921" s="510" t="str">
        <f>IFERROR(__xludf.DUMMYFUNCTION("""COMPUTED_VALUE"""),"")</f>
        <v/>
      </c>
      <c r="H921" s="508" t="str">
        <f>IFERROR(__xludf.DUMMYFUNCTION("""COMPUTED_VALUE"""),"")</f>
        <v/>
      </c>
      <c r="I921" s="510" t="str">
        <f>IFERROR(__xludf.DUMMYFUNCTION("""COMPUTED_VALUE"""),"")</f>
        <v/>
      </c>
      <c r="J921" s="508" t="str">
        <f>IFERROR(__xludf.DUMMYFUNCTION("""COMPUTED_VALUE"""),"")</f>
        <v/>
      </c>
      <c r="K921" s="510" t="str">
        <f>IFERROR(__xludf.DUMMYFUNCTION("""COMPUTED_VALUE"""),"")</f>
        <v/>
      </c>
      <c r="L921" s="508" t="str">
        <f>IFERROR(__xludf.DUMMYFUNCTION("""COMPUTED_VALUE"""),"")</f>
        <v/>
      </c>
      <c r="M921" s="508" t="str">
        <f>IFERROR(__xludf.DUMMYFUNCTION("""COMPUTED_VALUE"""),"")</f>
        <v/>
      </c>
      <c r="N921" s="508" t="str">
        <f>IFERROR(__xludf.DUMMYFUNCTION("""COMPUTED_VALUE"""),"")</f>
        <v/>
      </c>
      <c r="O921" s="508" t="str">
        <f>IFERROR(__xludf.DUMMYFUNCTION("""COMPUTED_VALUE"""),"")</f>
        <v/>
      </c>
      <c r="P921" s="510" t="str">
        <f>IFERROR(__xludf.DUMMYFUNCTION("""COMPUTED_VALUE"""),"")</f>
        <v/>
      </c>
      <c r="Q921" s="508" t="str">
        <f>IFERROR(__xludf.DUMMYFUNCTION("""COMPUTED_VALUE"""),"")</f>
        <v/>
      </c>
      <c r="R921" s="508" t="str">
        <f>IFERROR(__xludf.DUMMYFUNCTION("""COMPUTED_VALUE"""),"")</f>
        <v/>
      </c>
      <c r="S921" s="510" t="str">
        <f>IFERROR(__xludf.DUMMYFUNCTION("""COMPUTED_VALUE"""),"")</f>
        <v/>
      </c>
      <c r="T921" s="510" t="str">
        <f>IFERROR(__xludf.DUMMYFUNCTION("""COMPUTED_VALUE"""),"")</f>
        <v/>
      </c>
    </row>
    <row r="922">
      <c r="A922" s="508" t="str">
        <f>IFERROR(__xludf.DUMMYFUNCTION("""COMPUTED_VALUE"""),"")</f>
        <v/>
      </c>
      <c r="B922" s="508" t="str">
        <f>IFERROR(__xludf.DUMMYFUNCTION("""COMPUTED_VALUE"""),"")</f>
        <v/>
      </c>
      <c r="C922" s="508" t="str">
        <f>IFERROR(__xludf.DUMMYFUNCTION("""COMPUTED_VALUE"""),"")</f>
        <v/>
      </c>
      <c r="D922" s="508" t="str">
        <f>IFERROR(__xludf.DUMMYFUNCTION("""COMPUTED_VALUE"""),"")</f>
        <v/>
      </c>
      <c r="E922" s="508" t="str">
        <f>IFERROR(__xludf.DUMMYFUNCTION("""COMPUTED_VALUE"""),"")</f>
        <v/>
      </c>
      <c r="F922" s="508" t="str">
        <f>IFERROR(__xludf.DUMMYFUNCTION("""COMPUTED_VALUE"""),"")</f>
        <v/>
      </c>
      <c r="G922" s="510" t="str">
        <f>IFERROR(__xludf.DUMMYFUNCTION("""COMPUTED_VALUE"""),"")</f>
        <v/>
      </c>
      <c r="H922" s="508" t="str">
        <f>IFERROR(__xludf.DUMMYFUNCTION("""COMPUTED_VALUE"""),"")</f>
        <v/>
      </c>
      <c r="I922" s="510" t="str">
        <f>IFERROR(__xludf.DUMMYFUNCTION("""COMPUTED_VALUE"""),"")</f>
        <v/>
      </c>
      <c r="J922" s="508" t="str">
        <f>IFERROR(__xludf.DUMMYFUNCTION("""COMPUTED_VALUE"""),"")</f>
        <v/>
      </c>
      <c r="K922" s="510" t="str">
        <f>IFERROR(__xludf.DUMMYFUNCTION("""COMPUTED_VALUE"""),"")</f>
        <v/>
      </c>
      <c r="L922" s="508" t="str">
        <f>IFERROR(__xludf.DUMMYFUNCTION("""COMPUTED_VALUE"""),"")</f>
        <v/>
      </c>
      <c r="M922" s="508" t="str">
        <f>IFERROR(__xludf.DUMMYFUNCTION("""COMPUTED_VALUE"""),"")</f>
        <v/>
      </c>
      <c r="N922" s="508" t="str">
        <f>IFERROR(__xludf.DUMMYFUNCTION("""COMPUTED_VALUE"""),"")</f>
        <v/>
      </c>
      <c r="O922" s="508" t="str">
        <f>IFERROR(__xludf.DUMMYFUNCTION("""COMPUTED_VALUE"""),"")</f>
        <v/>
      </c>
      <c r="P922" s="510" t="str">
        <f>IFERROR(__xludf.DUMMYFUNCTION("""COMPUTED_VALUE"""),"")</f>
        <v/>
      </c>
      <c r="Q922" s="508" t="str">
        <f>IFERROR(__xludf.DUMMYFUNCTION("""COMPUTED_VALUE"""),"")</f>
        <v/>
      </c>
      <c r="R922" s="508" t="str">
        <f>IFERROR(__xludf.DUMMYFUNCTION("""COMPUTED_VALUE"""),"")</f>
        <v/>
      </c>
      <c r="S922" s="510" t="str">
        <f>IFERROR(__xludf.DUMMYFUNCTION("""COMPUTED_VALUE"""),"")</f>
        <v/>
      </c>
      <c r="T922" s="510" t="str">
        <f>IFERROR(__xludf.DUMMYFUNCTION("""COMPUTED_VALUE"""),"")</f>
        <v/>
      </c>
    </row>
    <row r="923">
      <c r="A923" s="508" t="str">
        <f>IFERROR(__xludf.DUMMYFUNCTION("""COMPUTED_VALUE"""),"")</f>
        <v/>
      </c>
      <c r="B923" s="508" t="str">
        <f>IFERROR(__xludf.DUMMYFUNCTION("""COMPUTED_VALUE"""),"")</f>
        <v/>
      </c>
      <c r="C923" s="508" t="str">
        <f>IFERROR(__xludf.DUMMYFUNCTION("""COMPUTED_VALUE"""),"")</f>
        <v/>
      </c>
      <c r="D923" s="508" t="str">
        <f>IFERROR(__xludf.DUMMYFUNCTION("""COMPUTED_VALUE"""),"")</f>
        <v/>
      </c>
      <c r="E923" s="508" t="str">
        <f>IFERROR(__xludf.DUMMYFUNCTION("""COMPUTED_VALUE"""),"")</f>
        <v/>
      </c>
      <c r="F923" s="508" t="str">
        <f>IFERROR(__xludf.DUMMYFUNCTION("""COMPUTED_VALUE"""),"")</f>
        <v/>
      </c>
      <c r="G923" s="510" t="str">
        <f>IFERROR(__xludf.DUMMYFUNCTION("""COMPUTED_VALUE"""),"")</f>
        <v/>
      </c>
      <c r="H923" s="508" t="str">
        <f>IFERROR(__xludf.DUMMYFUNCTION("""COMPUTED_VALUE"""),"")</f>
        <v/>
      </c>
      <c r="I923" s="510" t="str">
        <f>IFERROR(__xludf.DUMMYFUNCTION("""COMPUTED_VALUE"""),"")</f>
        <v/>
      </c>
      <c r="J923" s="508" t="str">
        <f>IFERROR(__xludf.DUMMYFUNCTION("""COMPUTED_VALUE"""),"")</f>
        <v/>
      </c>
      <c r="K923" s="510" t="str">
        <f>IFERROR(__xludf.DUMMYFUNCTION("""COMPUTED_VALUE"""),"")</f>
        <v/>
      </c>
      <c r="L923" s="508" t="str">
        <f>IFERROR(__xludf.DUMMYFUNCTION("""COMPUTED_VALUE"""),"")</f>
        <v/>
      </c>
      <c r="M923" s="508" t="str">
        <f>IFERROR(__xludf.DUMMYFUNCTION("""COMPUTED_VALUE"""),"")</f>
        <v/>
      </c>
      <c r="N923" s="508" t="str">
        <f>IFERROR(__xludf.DUMMYFUNCTION("""COMPUTED_VALUE"""),"")</f>
        <v/>
      </c>
      <c r="O923" s="508" t="str">
        <f>IFERROR(__xludf.DUMMYFUNCTION("""COMPUTED_VALUE"""),"")</f>
        <v/>
      </c>
      <c r="P923" s="510" t="str">
        <f>IFERROR(__xludf.DUMMYFUNCTION("""COMPUTED_VALUE"""),"")</f>
        <v/>
      </c>
      <c r="Q923" s="508" t="str">
        <f>IFERROR(__xludf.DUMMYFUNCTION("""COMPUTED_VALUE"""),"")</f>
        <v/>
      </c>
      <c r="R923" s="508" t="str">
        <f>IFERROR(__xludf.DUMMYFUNCTION("""COMPUTED_VALUE"""),"")</f>
        <v/>
      </c>
      <c r="S923" s="510" t="str">
        <f>IFERROR(__xludf.DUMMYFUNCTION("""COMPUTED_VALUE"""),"")</f>
        <v/>
      </c>
      <c r="T923" s="510" t="str">
        <f>IFERROR(__xludf.DUMMYFUNCTION("""COMPUTED_VALUE"""),"")</f>
        <v/>
      </c>
    </row>
    <row r="924">
      <c r="A924" s="508" t="str">
        <f>IFERROR(__xludf.DUMMYFUNCTION("""COMPUTED_VALUE"""),"")</f>
        <v/>
      </c>
      <c r="B924" s="508" t="str">
        <f>IFERROR(__xludf.DUMMYFUNCTION("""COMPUTED_VALUE"""),"")</f>
        <v/>
      </c>
      <c r="C924" s="508" t="str">
        <f>IFERROR(__xludf.DUMMYFUNCTION("""COMPUTED_VALUE"""),"")</f>
        <v/>
      </c>
      <c r="D924" s="508" t="str">
        <f>IFERROR(__xludf.DUMMYFUNCTION("""COMPUTED_VALUE"""),"")</f>
        <v/>
      </c>
      <c r="E924" s="508" t="str">
        <f>IFERROR(__xludf.DUMMYFUNCTION("""COMPUTED_VALUE"""),"")</f>
        <v/>
      </c>
      <c r="F924" s="508" t="str">
        <f>IFERROR(__xludf.DUMMYFUNCTION("""COMPUTED_VALUE"""),"")</f>
        <v/>
      </c>
      <c r="G924" s="510" t="str">
        <f>IFERROR(__xludf.DUMMYFUNCTION("""COMPUTED_VALUE"""),"")</f>
        <v/>
      </c>
      <c r="H924" s="508" t="str">
        <f>IFERROR(__xludf.DUMMYFUNCTION("""COMPUTED_VALUE"""),"")</f>
        <v/>
      </c>
      <c r="I924" s="510" t="str">
        <f>IFERROR(__xludf.DUMMYFUNCTION("""COMPUTED_VALUE"""),"")</f>
        <v/>
      </c>
      <c r="J924" s="508" t="str">
        <f>IFERROR(__xludf.DUMMYFUNCTION("""COMPUTED_VALUE"""),"")</f>
        <v/>
      </c>
      <c r="K924" s="510" t="str">
        <f>IFERROR(__xludf.DUMMYFUNCTION("""COMPUTED_VALUE"""),"")</f>
        <v/>
      </c>
      <c r="L924" s="508" t="str">
        <f>IFERROR(__xludf.DUMMYFUNCTION("""COMPUTED_VALUE"""),"")</f>
        <v/>
      </c>
      <c r="M924" s="508" t="str">
        <f>IFERROR(__xludf.DUMMYFUNCTION("""COMPUTED_VALUE"""),"")</f>
        <v/>
      </c>
      <c r="N924" s="508" t="str">
        <f>IFERROR(__xludf.DUMMYFUNCTION("""COMPUTED_VALUE"""),"")</f>
        <v/>
      </c>
      <c r="O924" s="508" t="str">
        <f>IFERROR(__xludf.DUMMYFUNCTION("""COMPUTED_VALUE"""),"")</f>
        <v/>
      </c>
      <c r="P924" s="510" t="str">
        <f>IFERROR(__xludf.DUMMYFUNCTION("""COMPUTED_VALUE"""),"")</f>
        <v/>
      </c>
      <c r="Q924" s="508" t="str">
        <f>IFERROR(__xludf.DUMMYFUNCTION("""COMPUTED_VALUE"""),"")</f>
        <v/>
      </c>
      <c r="R924" s="508" t="str">
        <f>IFERROR(__xludf.DUMMYFUNCTION("""COMPUTED_VALUE"""),"")</f>
        <v/>
      </c>
      <c r="S924" s="510" t="str">
        <f>IFERROR(__xludf.DUMMYFUNCTION("""COMPUTED_VALUE"""),"")</f>
        <v/>
      </c>
      <c r="T924" s="510" t="str">
        <f>IFERROR(__xludf.DUMMYFUNCTION("""COMPUTED_VALUE"""),"")</f>
        <v/>
      </c>
    </row>
    <row r="925">
      <c r="A925" s="508" t="str">
        <f>IFERROR(__xludf.DUMMYFUNCTION("""COMPUTED_VALUE"""),"")</f>
        <v/>
      </c>
      <c r="B925" s="508" t="str">
        <f>IFERROR(__xludf.DUMMYFUNCTION("""COMPUTED_VALUE"""),"")</f>
        <v/>
      </c>
      <c r="C925" s="508" t="str">
        <f>IFERROR(__xludf.DUMMYFUNCTION("""COMPUTED_VALUE"""),"")</f>
        <v/>
      </c>
      <c r="D925" s="508" t="str">
        <f>IFERROR(__xludf.DUMMYFUNCTION("""COMPUTED_VALUE"""),"")</f>
        <v/>
      </c>
      <c r="E925" s="508" t="str">
        <f>IFERROR(__xludf.DUMMYFUNCTION("""COMPUTED_VALUE"""),"")</f>
        <v/>
      </c>
      <c r="F925" s="508" t="str">
        <f>IFERROR(__xludf.DUMMYFUNCTION("""COMPUTED_VALUE"""),"")</f>
        <v/>
      </c>
      <c r="G925" s="510" t="str">
        <f>IFERROR(__xludf.DUMMYFUNCTION("""COMPUTED_VALUE"""),"")</f>
        <v/>
      </c>
      <c r="H925" s="508" t="str">
        <f>IFERROR(__xludf.DUMMYFUNCTION("""COMPUTED_VALUE"""),"")</f>
        <v/>
      </c>
      <c r="I925" s="510" t="str">
        <f>IFERROR(__xludf.DUMMYFUNCTION("""COMPUTED_VALUE"""),"")</f>
        <v/>
      </c>
      <c r="J925" s="508" t="str">
        <f>IFERROR(__xludf.DUMMYFUNCTION("""COMPUTED_VALUE"""),"")</f>
        <v/>
      </c>
      <c r="K925" s="510" t="str">
        <f>IFERROR(__xludf.DUMMYFUNCTION("""COMPUTED_VALUE"""),"")</f>
        <v/>
      </c>
      <c r="L925" s="508" t="str">
        <f>IFERROR(__xludf.DUMMYFUNCTION("""COMPUTED_VALUE"""),"")</f>
        <v/>
      </c>
      <c r="M925" s="508" t="str">
        <f>IFERROR(__xludf.DUMMYFUNCTION("""COMPUTED_VALUE"""),"")</f>
        <v/>
      </c>
      <c r="N925" s="508" t="str">
        <f>IFERROR(__xludf.DUMMYFUNCTION("""COMPUTED_VALUE"""),"")</f>
        <v/>
      </c>
      <c r="O925" s="508" t="str">
        <f>IFERROR(__xludf.DUMMYFUNCTION("""COMPUTED_VALUE"""),"")</f>
        <v/>
      </c>
      <c r="P925" s="510" t="str">
        <f>IFERROR(__xludf.DUMMYFUNCTION("""COMPUTED_VALUE"""),"")</f>
        <v/>
      </c>
      <c r="Q925" s="508" t="str">
        <f>IFERROR(__xludf.DUMMYFUNCTION("""COMPUTED_VALUE"""),"")</f>
        <v/>
      </c>
      <c r="R925" s="508" t="str">
        <f>IFERROR(__xludf.DUMMYFUNCTION("""COMPUTED_VALUE"""),"")</f>
        <v/>
      </c>
      <c r="S925" s="510" t="str">
        <f>IFERROR(__xludf.DUMMYFUNCTION("""COMPUTED_VALUE"""),"")</f>
        <v/>
      </c>
      <c r="T925" s="510" t="str">
        <f>IFERROR(__xludf.DUMMYFUNCTION("""COMPUTED_VALUE"""),"")</f>
        <v/>
      </c>
    </row>
    <row r="926">
      <c r="A926" s="508" t="str">
        <f>IFERROR(__xludf.DUMMYFUNCTION("""COMPUTED_VALUE"""),"")</f>
        <v/>
      </c>
      <c r="B926" s="508" t="str">
        <f>IFERROR(__xludf.DUMMYFUNCTION("""COMPUTED_VALUE"""),"")</f>
        <v/>
      </c>
      <c r="C926" s="508" t="str">
        <f>IFERROR(__xludf.DUMMYFUNCTION("""COMPUTED_VALUE"""),"")</f>
        <v/>
      </c>
      <c r="D926" s="508" t="str">
        <f>IFERROR(__xludf.DUMMYFUNCTION("""COMPUTED_VALUE"""),"")</f>
        <v/>
      </c>
      <c r="E926" s="508" t="str">
        <f>IFERROR(__xludf.DUMMYFUNCTION("""COMPUTED_VALUE"""),"")</f>
        <v/>
      </c>
      <c r="F926" s="508" t="str">
        <f>IFERROR(__xludf.DUMMYFUNCTION("""COMPUTED_VALUE"""),"")</f>
        <v/>
      </c>
      <c r="G926" s="510" t="str">
        <f>IFERROR(__xludf.DUMMYFUNCTION("""COMPUTED_VALUE"""),"")</f>
        <v/>
      </c>
      <c r="H926" s="508" t="str">
        <f>IFERROR(__xludf.DUMMYFUNCTION("""COMPUTED_VALUE"""),"")</f>
        <v/>
      </c>
      <c r="I926" s="510" t="str">
        <f>IFERROR(__xludf.DUMMYFUNCTION("""COMPUTED_VALUE"""),"")</f>
        <v/>
      </c>
      <c r="J926" s="508" t="str">
        <f>IFERROR(__xludf.DUMMYFUNCTION("""COMPUTED_VALUE"""),"")</f>
        <v/>
      </c>
      <c r="K926" s="510" t="str">
        <f>IFERROR(__xludf.DUMMYFUNCTION("""COMPUTED_VALUE"""),"")</f>
        <v/>
      </c>
      <c r="L926" s="508" t="str">
        <f>IFERROR(__xludf.DUMMYFUNCTION("""COMPUTED_VALUE"""),"")</f>
        <v/>
      </c>
      <c r="M926" s="508" t="str">
        <f>IFERROR(__xludf.DUMMYFUNCTION("""COMPUTED_VALUE"""),"")</f>
        <v/>
      </c>
      <c r="N926" s="508" t="str">
        <f>IFERROR(__xludf.DUMMYFUNCTION("""COMPUTED_VALUE"""),"")</f>
        <v/>
      </c>
      <c r="O926" s="508" t="str">
        <f>IFERROR(__xludf.DUMMYFUNCTION("""COMPUTED_VALUE"""),"")</f>
        <v/>
      </c>
      <c r="P926" s="510" t="str">
        <f>IFERROR(__xludf.DUMMYFUNCTION("""COMPUTED_VALUE"""),"")</f>
        <v/>
      </c>
      <c r="Q926" s="508" t="str">
        <f>IFERROR(__xludf.DUMMYFUNCTION("""COMPUTED_VALUE"""),"")</f>
        <v/>
      </c>
      <c r="R926" s="508" t="str">
        <f>IFERROR(__xludf.DUMMYFUNCTION("""COMPUTED_VALUE"""),"")</f>
        <v/>
      </c>
      <c r="S926" s="510" t="str">
        <f>IFERROR(__xludf.DUMMYFUNCTION("""COMPUTED_VALUE"""),"")</f>
        <v/>
      </c>
      <c r="T926" s="510" t="str">
        <f>IFERROR(__xludf.DUMMYFUNCTION("""COMPUTED_VALUE"""),"")</f>
        <v/>
      </c>
    </row>
    <row r="927">
      <c r="A927" s="508" t="str">
        <f>IFERROR(__xludf.DUMMYFUNCTION("""COMPUTED_VALUE"""),"")</f>
        <v/>
      </c>
      <c r="B927" s="508" t="str">
        <f>IFERROR(__xludf.DUMMYFUNCTION("""COMPUTED_VALUE"""),"")</f>
        <v/>
      </c>
      <c r="C927" s="508" t="str">
        <f>IFERROR(__xludf.DUMMYFUNCTION("""COMPUTED_VALUE"""),"")</f>
        <v/>
      </c>
      <c r="D927" s="508" t="str">
        <f>IFERROR(__xludf.DUMMYFUNCTION("""COMPUTED_VALUE"""),"")</f>
        <v/>
      </c>
      <c r="E927" s="508" t="str">
        <f>IFERROR(__xludf.DUMMYFUNCTION("""COMPUTED_VALUE"""),"")</f>
        <v/>
      </c>
      <c r="F927" s="508" t="str">
        <f>IFERROR(__xludf.DUMMYFUNCTION("""COMPUTED_VALUE"""),"")</f>
        <v/>
      </c>
      <c r="G927" s="510" t="str">
        <f>IFERROR(__xludf.DUMMYFUNCTION("""COMPUTED_VALUE"""),"")</f>
        <v/>
      </c>
      <c r="H927" s="508" t="str">
        <f>IFERROR(__xludf.DUMMYFUNCTION("""COMPUTED_VALUE"""),"")</f>
        <v/>
      </c>
      <c r="I927" s="510" t="str">
        <f>IFERROR(__xludf.DUMMYFUNCTION("""COMPUTED_VALUE"""),"")</f>
        <v/>
      </c>
      <c r="J927" s="508" t="str">
        <f>IFERROR(__xludf.DUMMYFUNCTION("""COMPUTED_VALUE"""),"")</f>
        <v/>
      </c>
      <c r="K927" s="510" t="str">
        <f>IFERROR(__xludf.DUMMYFUNCTION("""COMPUTED_VALUE"""),"")</f>
        <v/>
      </c>
      <c r="L927" s="508" t="str">
        <f>IFERROR(__xludf.DUMMYFUNCTION("""COMPUTED_VALUE"""),"")</f>
        <v/>
      </c>
      <c r="M927" s="508" t="str">
        <f>IFERROR(__xludf.DUMMYFUNCTION("""COMPUTED_VALUE"""),"")</f>
        <v/>
      </c>
      <c r="N927" s="508" t="str">
        <f>IFERROR(__xludf.DUMMYFUNCTION("""COMPUTED_VALUE"""),"")</f>
        <v/>
      </c>
      <c r="O927" s="508" t="str">
        <f>IFERROR(__xludf.DUMMYFUNCTION("""COMPUTED_VALUE"""),"")</f>
        <v/>
      </c>
      <c r="P927" s="510" t="str">
        <f>IFERROR(__xludf.DUMMYFUNCTION("""COMPUTED_VALUE"""),"")</f>
        <v/>
      </c>
      <c r="Q927" s="508" t="str">
        <f>IFERROR(__xludf.DUMMYFUNCTION("""COMPUTED_VALUE"""),"")</f>
        <v/>
      </c>
      <c r="R927" s="508" t="str">
        <f>IFERROR(__xludf.DUMMYFUNCTION("""COMPUTED_VALUE"""),"")</f>
        <v/>
      </c>
      <c r="S927" s="510" t="str">
        <f>IFERROR(__xludf.DUMMYFUNCTION("""COMPUTED_VALUE"""),"")</f>
        <v/>
      </c>
      <c r="T927" s="510" t="str">
        <f>IFERROR(__xludf.DUMMYFUNCTION("""COMPUTED_VALUE"""),"")</f>
        <v/>
      </c>
    </row>
    <row r="928">
      <c r="A928" s="508" t="str">
        <f>IFERROR(__xludf.DUMMYFUNCTION("""COMPUTED_VALUE"""),"")</f>
        <v/>
      </c>
      <c r="B928" s="508" t="str">
        <f>IFERROR(__xludf.DUMMYFUNCTION("""COMPUTED_VALUE"""),"")</f>
        <v/>
      </c>
      <c r="C928" s="508" t="str">
        <f>IFERROR(__xludf.DUMMYFUNCTION("""COMPUTED_VALUE"""),"")</f>
        <v/>
      </c>
      <c r="D928" s="508" t="str">
        <f>IFERROR(__xludf.DUMMYFUNCTION("""COMPUTED_VALUE"""),"")</f>
        <v/>
      </c>
      <c r="E928" s="508" t="str">
        <f>IFERROR(__xludf.DUMMYFUNCTION("""COMPUTED_VALUE"""),"")</f>
        <v/>
      </c>
      <c r="F928" s="508" t="str">
        <f>IFERROR(__xludf.DUMMYFUNCTION("""COMPUTED_VALUE"""),"")</f>
        <v/>
      </c>
      <c r="G928" s="510" t="str">
        <f>IFERROR(__xludf.DUMMYFUNCTION("""COMPUTED_VALUE"""),"")</f>
        <v/>
      </c>
      <c r="H928" s="508" t="str">
        <f>IFERROR(__xludf.DUMMYFUNCTION("""COMPUTED_VALUE"""),"")</f>
        <v/>
      </c>
      <c r="I928" s="510" t="str">
        <f>IFERROR(__xludf.DUMMYFUNCTION("""COMPUTED_VALUE"""),"")</f>
        <v/>
      </c>
      <c r="J928" s="508" t="str">
        <f>IFERROR(__xludf.DUMMYFUNCTION("""COMPUTED_VALUE"""),"")</f>
        <v/>
      </c>
      <c r="K928" s="510" t="str">
        <f>IFERROR(__xludf.DUMMYFUNCTION("""COMPUTED_VALUE"""),"")</f>
        <v/>
      </c>
      <c r="L928" s="508" t="str">
        <f>IFERROR(__xludf.DUMMYFUNCTION("""COMPUTED_VALUE"""),"")</f>
        <v/>
      </c>
      <c r="M928" s="508" t="str">
        <f>IFERROR(__xludf.DUMMYFUNCTION("""COMPUTED_VALUE"""),"")</f>
        <v/>
      </c>
      <c r="N928" s="508" t="str">
        <f>IFERROR(__xludf.DUMMYFUNCTION("""COMPUTED_VALUE"""),"")</f>
        <v/>
      </c>
      <c r="O928" s="508" t="str">
        <f>IFERROR(__xludf.DUMMYFUNCTION("""COMPUTED_VALUE"""),"")</f>
        <v/>
      </c>
      <c r="P928" s="510" t="str">
        <f>IFERROR(__xludf.DUMMYFUNCTION("""COMPUTED_VALUE"""),"")</f>
        <v/>
      </c>
      <c r="Q928" s="508" t="str">
        <f>IFERROR(__xludf.DUMMYFUNCTION("""COMPUTED_VALUE"""),"")</f>
        <v/>
      </c>
      <c r="R928" s="508" t="str">
        <f>IFERROR(__xludf.DUMMYFUNCTION("""COMPUTED_VALUE"""),"")</f>
        <v/>
      </c>
      <c r="S928" s="510" t="str">
        <f>IFERROR(__xludf.DUMMYFUNCTION("""COMPUTED_VALUE"""),"")</f>
        <v/>
      </c>
      <c r="T928" s="510" t="str">
        <f>IFERROR(__xludf.DUMMYFUNCTION("""COMPUTED_VALUE"""),"")</f>
        <v/>
      </c>
    </row>
    <row r="929">
      <c r="A929" s="508" t="str">
        <f>IFERROR(__xludf.DUMMYFUNCTION("""COMPUTED_VALUE"""),"")</f>
        <v/>
      </c>
      <c r="B929" s="508" t="str">
        <f>IFERROR(__xludf.DUMMYFUNCTION("""COMPUTED_VALUE"""),"")</f>
        <v/>
      </c>
      <c r="C929" s="508" t="str">
        <f>IFERROR(__xludf.DUMMYFUNCTION("""COMPUTED_VALUE"""),"")</f>
        <v/>
      </c>
      <c r="D929" s="508" t="str">
        <f>IFERROR(__xludf.DUMMYFUNCTION("""COMPUTED_VALUE"""),"")</f>
        <v/>
      </c>
      <c r="E929" s="508" t="str">
        <f>IFERROR(__xludf.DUMMYFUNCTION("""COMPUTED_VALUE"""),"")</f>
        <v/>
      </c>
      <c r="F929" s="508" t="str">
        <f>IFERROR(__xludf.DUMMYFUNCTION("""COMPUTED_VALUE"""),"")</f>
        <v/>
      </c>
      <c r="G929" s="510" t="str">
        <f>IFERROR(__xludf.DUMMYFUNCTION("""COMPUTED_VALUE"""),"")</f>
        <v/>
      </c>
      <c r="H929" s="508" t="str">
        <f>IFERROR(__xludf.DUMMYFUNCTION("""COMPUTED_VALUE"""),"")</f>
        <v/>
      </c>
      <c r="I929" s="510" t="str">
        <f>IFERROR(__xludf.DUMMYFUNCTION("""COMPUTED_VALUE"""),"")</f>
        <v/>
      </c>
      <c r="J929" s="508" t="str">
        <f>IFERROR(__xludf.DUMMYFUNCTION("""COMPUTED_VALUE"""),"")</f>
        <v/>
      </c>
      <c r="K929" s="510" t="str">
        <f>IFERROR(__xludf.DUMMYFUNCTION("""COMPUTED_VALUE"""),"")</f>
        <v/>
      </c>
      <c r="L929" s="508" t="str">
        <f>IFERROR(__xludf.DUMMYFUNCTION("""COMPUTED_VALUE"""),"")</f>
        <v/>
      </c>
      <c r="M929" s="508" t="str">
        <f>IFERROR(__xludf.DUMMYFUNCTION("""COMPUTED_VALUE"""),"")</f>
        <v/>
      </c>
      <c r="N929" s="508" t="str">
        <f>IFERROR(__xludf.DUMMYFUNCTION("""COMPUTED_VALUE"""),"")</f>
        <v/>
      </c>
      <c r="O929" s="508" t="str">
        <f>IFERROR(__xludf.DUMMYFUNCTION("""COMPUTED_VALUE"""),"")</f>
        <v/>
      </c>
      <c r="P929" s="510" t="str">
        <f>IFERROR(__xludf.DUMMYFUNCTION("""COMPUTED_VALUE"""),"")</f>
        <v/>
      </c>
      <c r="Q929" s="508" t="str">
        <f>IFERROR(__xludf.DUMMYFUNCTION("""COMPUTED_VALUE"""),"")</f>
        <v/>
      </c>
      <c r="R929" s="508" t="str">
        <f>IFERROR(__xludf.DUMMYFUNCTION("""COMPUTED_VALUE"""),"")</f>
        <v/>
      </c>
      <c r="S929" s="510" t="str">
        <f>IFERROR(__xludf.DUMMYFUNCTION("""COMPUTED_VALUE"""),"")</f>
        <v/>
      </c>
      <c r="T929" s="510" t="str">
        <f>IFERROR(__xludf.DUMMYFUNCTION("""COMPUTED_VALUE"""),"")</f>
        <v/>
      </c>
    </row>
    <row r="930">
      <c r="A930" s="508" t="str">
        <f>IFERROR(__xludf.DUMMYFUNCTION("""COMPUTED_VALUE"""),"")</f>
        <v/>
      </c>
      <c r="B930" s="508" t="str">
        <f>IFERROR(__xludf.DUMMYFUNCTION("""COMPUTED_VALUE"""),"")</f>
        <v/>
      </c>
      <c r="C930" s="508" t="str">
        <f>IFERROR(__xludf.DUMMYFUNCTION("""COMPUTED_VALUE"""),"")</f>
        <v/>
      </c>
      <c r="D930" s="508" t="str">
        <f>IFERROR(__xludf.DUMMYFUNCTION("""COMPUTED_VALUE"""),"")</f>
        <v/>
      </c>
      <c r="E930" s="508" t="str">
        <f>IFERROR(__xludf.DUMMYFUNCTION("""COMPUTED_VALUE"""),"")</f>
        <v/>
      </c>
      <c r="F930" s="508" t="str">
        <f>IFERROR(__xludf.DUMMYFUNCTION("""COMPUTED_VALUE"""),"")</f>
        <v/>
      </c>
      <c r="G930" s="510" t="str">
        <f>IFERROR(__xludf.DUMMYFUNCTION("""COMPUTED_VALUE"""),"")</f>
        <v/>
      </c>
      <c r="H930" s="508" t="str">
        <f>IFERROR(__xludf.DUMMYFUNCTION("""COMPUTED_VALUE"""),"")</f>
        <v/>
      </c>
      <c r="I930" s="510" t="str">
        <f>IFERROR(__xludf.DUMMYFUNCTION("""COMPUTED_VALUE"""),"")</f>
        <v/>
      </c>
      <c r="J930" s="508" t="str">
        <f>IFERROR(__xludf.DUMMYFUNCTION("""COMPUTED_VALUE"""),"")</f>
        <v/>
      </c>
      <c r="K930" s="510" t="str">
        <f>IFERROR(__xludf.DUMMYFUNCTION("""COMPUTED_VALUE"""),"")</f>
        <v/>
      </c>
      <c r="L930" s="508" t="str">
        <f>IFERROR(__xludf.DUMMYFUNCTION("""COMPUTED_VALUE"""),"")</f>
        <v/>
      </c>
      <c r="M930" s="508" t="str">
        <f>IFERROR(__xludf.DUMMYFUNCTION("""COMPUTED_VALUE"""),"")</f>
        <v/>
      </c>
      <c r="N930" s="508" t="str">
        <f>IFERROR(__xludf.DUMMYFUNCTION("""COMPUTED_VALUE"""),"")</f>
        <v/>
      </c>
      <c r="O930" s="508" t="str">
        <f>IFERROR(__xludf.DUMMYFUNCTION("""COMPUTED_VALUE"""),"")</f>
        <v/>
      </c>
      <c r="P930" s="510" t="str">
        <f>IFERROR(__xludf.DUMMYFUNCTION("""COMPUTED_VALUE"""),"")</f>
        <v/>
      </c>
      <c r="Q930" s="508" t="str">
        <f>IFERROR(__xludf.DUMMYFUNCTION("""COMPUTED_VALUE"""),"")</f>
        <v/>
      </c>
      <c r="R930" s="508" t="str">
        <f>IFERROR(__xludf.DUMMYFUNCTION("""COMPUTED_VALUE"""),"")</f>
        <v/>
      </c>
      <c r="S930" s="510" t="str">
        <f>IFERROR(__xludf.DUMMYFUNCTION("""COMPUTED_VALUE"""),"")</f>
        <v/>
      </c>
      <c r="T930" s="510" t="str">
        <f>IFERROR(__xludf.DUMMYFUNCTION("""COMPUTED_VALUE"""),"")</f>
        <v/>
      </c>
    </row>
    <row r="931">
      <c r="A931" s="508" t="str">
        <f>IFERROR(__xludf.DUMMYFUNCTION("""COMPUTED_VALUE"""),"")</f>
        <v/>
      </c>
      <c r="B931" s="508" t="str">
        <f>IFERROR(__xludf.DUMMYFUNCTION("""COMPUTED_VALUE"""),"")</f>
        <v/>
      </c>
      <c r="C931" s="508" t="str">
        <f>IFERROR(__xludf.DUMMYFUNCTION("""COMPUTED_VALUE"""),"")</f>
        <v/>
      </c>
      <c r="D931" s="508" t="str">
        <f>IFERROR(__xludf.DUMMYFUNCTION("""COMPUTED_VALUE"""),"")</f>
        <v/>
      </c>
      <c r="E931" s="508" t="str">
        <f>IFERROR(__xludf.DUMMYFUNCTION("""COMPUTED_VALUE"""),"")</f>
        <v/>
      </c>
      <c r="F931" s="508" t="str">
        <f>IFERROR(__xludf.DUMMYFUNCTION("""COMPUTED_VALUE"""),"")</f>
        <v/>
      </c>
      <c r="G931" s="510" t="str">
        <f>IFERROR(__xludf.DUMMYFUNCTION("""COMPUTED_VALUE"""),"")</f>
        <v/>
      </c>
      <c r="H931" s="508" t="str">
        <f>IFERROR(__xludf.DUMMYFUNCTION("""COMPUTED_VALUE"""),"")</f>
        <v/>
      </c>
      <c r="I931" s="510" t="str">
        <f>IFERROR(__xludf.DUMMYFUNCTION("""COMPUTED_VALUE"""),"")</f>
        <v/>
      </c>
      <c r="J931" s="508" t="str">
        <f>IFERROR(__xludf.DUMMYFUNCTION("""COMPUTED_VALUE"""),"")</f>
        <v/>
      </c>
      <c r="K931" s="510" t="str">
        <f>IFERROR(__xludf.DUMMYFUNCTION("""COMPUTED_VALUE"""),"")</f>
        <v/>
      </c>
      <c r="L931" s="508" t="str">
        <f>IFERROR(__xludf.DUMMYFUNCTION("""COMPUTED_VALUE"""),"")</f>
        <v/>
      </c>
      <c r="M931" s="508" t="str">
        <f>IFERROR(__xludf.DUMMYFUNCTION("""COMPUTED_VALUE"""),"")</f>
        <v/>
      </c>
      <c r="N931" s="508" t="str">
        <f>IFERROR(__xludf.DUMMYFUNCTION("""COMPUTED_VALUE"""),"")</f>
        <v/>
      </c>
      <c r="O931" s="508" t="str">
        <f>IFERROR(__xludf.DUMMYFUNCTION("""COMPUTED_VALUE"""),"")</f>
        <v/>
      </c>
      <c r="P931" s="510" t="str">
        <f>IFERROR(__xludf.DUMMYFUNCTION("""COMPUTED_VALUE"""),"")</f>
        <v/>
      </c>
      <c r="Q931" s="508" t="str">
        <f>IFERROR(__xludf.DUMMYFUNCTION("""COMPUTED_VALUE"""),"")</f>
        <v/>
      </c>
      <c r="R931" s="508" t="str">
        <f>IFERROR(__xludf.DUMMYFUNCTION("""COMPUTED_VALUE"""),"")</f>
        <v/>
      </c>
      <c r="S931" s="510" t="str">
        <f>IFERROR(__xludf.DUMMYFUNCTION("""COMPUTED_VALUE"""),"")</f>
        <v/>
      </c>
      <c r="T931" s="510" t="str">
        <f>IFERROR(__xludf.DUMMYFUNCTION("""COMPUTED_VALUE"""),"")</f>
        <v/>
      </c>
    </row>
    <row r="932">
      <c r="A932" s="508" t="str">
        <f>IFERROR(__xludf.DUMMYFUNCTION("""COMPUTED_VALUE"""),"")</f>
        <v/>
      </c>
      <c r="B932" s="508" t="str">
        <f>IFERROR(__xludf.DUMMYFUNCTION("""COMPUTED_VALUE"""),"")</f>
        <v/>
      </c>
      <c r="C932" s="508" t="str">
        <f>IFERROR(__xludf.DUMMYFUNCTION("""COMPUTED_VALUE"""),"")</f>
        <v/>
      </c>
      <c r="D932" s="508" t="str">
        <f>IFERROR(__xludf.DUMMYFUNCTION("""COMPUTED_VALUE"""),"")</f>
        <v/>
      </c>
      <c r="E932" s="508" t="str">
        <f>IFERROR(__xludf.DUMMYFUNCTION("""COMPUTED_VALUE"""),"")</f>
        <v/>
      </c>
      <c r="F932" s="508" t="str">
        <f>IFERROR(__xludf.DUMMYFUNCTION("""COMPUTED_VALUE"""),"")</f>
        <v/>
      </c>
      <c r="G932" s="510" t="str">
        <f>IFERROR(__xludf.DUMMYFUNCTION("""COMPUTED_VALUE"""),"")</f>
        <v/>
      </c>
      <c r="H932" s="508" t="str">
        <f>IFERROR(__xludf.DUMMYFUNCTION("""COMPUTED_VALUE"""),"")</f>
        <v/>
      </c>
      <c r="I932" s="510" t="str">
        <f>IFERROR(__xludf.DUMMYFUNCTION("""COMPUTED_VALUE"""),"")</f>
        <v/>
      </c>
      <c r="J932" s="508" t="str">
        <f>IFERROR(__xludf.DUMMYFUNCTION("""COMPUTED_VALUE"""),"")</f>
        <v/>
      </c>
      <c r="K932" s="510" t="str">
        <f>IFERROR(__xludf.DUMMYFUNCTION("""COMPUTED_VALUE"""),"")</f>
        <v/>
      </c>
      <c r="L932" s="508" t="str">
        <f>IFERROR(__xludf.DUMMYFUNCTION("""COMPUTED_VALUE"""),"")</f>
        <v/>
      </c>
      <c r="M932" s="508" t="str">
        <f>IFERROR(__xludf.DUMMYFUNCTION("""COMPUTED_VALUE"""),"")</f>
        <v/>
      </c>
      <c r="N932" s="508" t="str">
        <f>IFERROR(__xludf.DUMMYFUNCTION("""COMPUTED_VALUE"""),"")</f>
        <v/>
      </c>
      <c r="O932" s="508" t="str">
        <f>IFERROR(__xludf.DUMMYFUNCTION("""COMPUTED_VALUE"""),"")</f>
        <v/>
      </c>
      <c r="P932" s="510" t="str">
        <f>IFERROR(__xludf.DUMMYFUNCTION("""COMPUTED_VALUE"""),"")</f>
        <v/>
      </c>
      <c r="Q932" s="508" t="str">
        <f>IFERROR(__xludf.DUMMYFUNCTION("""COMPUTED_VALUE"""),"")</f>
        <v/>
      </c>
      <c r="R932" s="508" t="str">
        <f>IFERROR(__xludf.DUMMYFUNCTION("""COMPUTED_VALUE"""),"")</f>
        <v/>
      </c>
      <c r="S932" s="510" t="str">
        <f>IFERROR(__xludf.DUMMYFUNCTION("""COMPUTED_VALUE"""),"")</f>
        <v/>
      </c>
      <c r="T932" s="510" t="str">
        <f>IFERROR(__xludf.DUMMYFUNCTION("""COMPUTED_VALUE"""),"")</f>
        <v/>
      </c>
    </row>
    <row r="933">
      <c r="A933" s="508" t="str">
        <f>IFERROR(__xludf.DUMMYFUNCTION("""COMPUTED_VALUE"""),"")</f>
        <v/>
      </c>
      <c r="B933" s="508" t="str">
        <f>IFERROR(__xludf.DUMMYFUNCTION("""COMPUTED_VALUE"""),"")</f>
        <v/>
      </c>
      <c r="C933" s="508" t="str">
        <f>IFERROR(__xludf.DUMMYFUNCTION("""COMPUTED_VALUE"""),"")</f>
        <v/>
      </c>
      <c r="D933" s="508" t="str">
        <f>IFERROR(__xludf.DUMMYFUNCTION("""COMPUTED_VALUE"""),"")</f>
        <v/>
      </c>
      <c r="E933" s="508" t="str">
        <f>IFERROR(__xludf.DUMMYFUNCTION("""COMPUTED_VALUE"""),"")</f>
        <v/>
      </c>
      <c r="F933" s="508" t="str">
        <f>IFERROR(__xludf.DUMMYFUNCTION("""COMPUTED_VALUE"""),"")</f>
        <v/>
      </c>
      <c r="G933" s="510" t="str">
        <f>IFERROR(__xludf.DUMMYFUNCTION("""COMPUTED_VALUE"""),"")</f>
        <v/>
      </c>
      <c r="H933" s="508" t="str">
        <f>IFERROR(__xludf.DUMMYFUNCTION("""COMPUTED_VALUE"""),"")</f>
        <v/>
      </c>
      <c r="I933" s="510" t="str">
        <f>IFERROR(__xludf.DUMMYFUNCTION("""COMPUTED_VALUE"""),"")</f>
        <v/>
      </c>
      <c r="J933" s="508" t="str">
        <f>IFERROR(__xludf.DUMMYFUNCTION("""COMPUTED_VALUE"""),"")</f>
        <v/>
      </c>
      <c r="K933" s="510" t="str">
        <f>IFERROR(__xludf.DUMMYFUNCTION("""COMPUTED_VALUE"""),"")</f>
        <v/>
      </c>
      <c r="L933" s="508" t="str">
        <f>IFERROR(__xludf.DUMMYFUNCTION("""COMPUTED_VALUE"""),"")</f>
        <v/>
      </c>
      <c r="M933" s="508" t="str">
        <f>IFERROR(__xludf.DUMMYFUNCTION("""COMPUTED_VALUE"""),"")</f>
        <v/>
      </c>
      <c r="N933" s="508" t="str">
        <f>IFERROR(__xludf.DUMMYFUNCTION("""COMPUTED_VALUE"""),"")</f>
        <v/>
      </c>
      <c r="O933" s="508" t="str">
        <f>IFERROR(__xludf.DUMMYFUNCTION("""COMPUTED_VALUE"""),"")</f>
        <v/>
      </c>
      <c r="P933" s="510" t="str">
        <f>IFERROR(__xludf.DUMMYFUNCTION("""COMPUTED_VALUE"""),"")</f>
        <v/>
      </c>
      <c r="Q933" s="508" t="str">
        <f>IFERROR(__xludf.DUMMYFUNCTION("""COMPUTED_VALUE"""),"")</f>
        <v/>
      </c>
      <c r="R933" s="508" t="str">
        <f>IFERROR(__xludf.DUMMYFUNCTION("""COMPUTED_VALUE"""),"")</f>
        <v/>
      </c>
      <c r="S933" s="510" t="str">
        <f>IFERROR(__xludf.DUMMYFUNCTION("""COMPUTED_VALUE"""),"")</f>
        <v/>
      </c>
      <c r="T933" s="510" t="str">
        <f>IFERROR(__xludf.DUMMYFUNCTION("""COMPUTED_VALUE"""),"")</f>
        <v/>
      </c>
    </row>
    <row r="934">
      <c r="A934" s="508" t="str">
        <f>IFERROR(__xludf.DUMMYFUNCTION("""COMPUTED_VALUE"""),"")</f>
        <v/>
      </c>
      <c r="B934" s="508" t="str">
        <f>IFERROR(__xludf.DUMMYFUNCTION("""COMPUTED_VALUE"""),"")</f>
        <v/>
      </c>
      <c r="C934" s="508" t="str">
        <f>IFERROR(__xludf.DUMMYFUNCTION("""COMPUTED_VALUE"""),"")</f>
        <v/>
      </c>
      <c r="D934" s="508" t="str">
        <f>IFERROR(__xludf.DUMMYFUNCTION("""COMPUTED_VALUE"""),"")</f>
        <v/>
      </c>
      <c r="E934" s="508" t="str">
        <f>IFERROR(__xludf.DUMMYFUNCTION("""COMPUTED_VALUE"""),"")</f>
        <v/>
      </c>
      <c r="F934" s="508" t="str">
        <f>IFERROR(__xludf.DUMMYFUNCTION("""COMPUTED_VALUE"""),"")</f>
        <v/>
      </c>
      <c r="G934" s="510" t="str">
        <f>IFERROR(__xludf.DUMMYFUNCTION("""COMPUTED_VALUE"""),"")</f>
        <v/>
      </c>
      <c r="H934" s="508" t="str">
        <f>IFERROR(__xludf.DUMMYFUNCTION("""COMPUTED_VALUE"""),"")</f>
        <v/>
      </c>
      <c r="I934" s="510" t="str">
        <f>IFERROR(__xludf.DUMMYFUNCTION("""COMPUTED_VALUE"""),"")</f>
        <v/>
      </c>
      <c r="J934" s="508" t="str">
        <f>IFERROR(__xludf.DUMMYFUNCTION("""COMPUTED_VALUE"""),"")</f>
        <v/>
      </c>
      <c r="K934" s="510" t="str">
        <f>IFERROR(__xludf.DUMMYFUNCTION("""COMPUTED_VALUE"""),"")</f>
        <v/>
      </c>
      <c r="L934" s="508" t="str">
        <f>IFERROR(__xludf.DUMMYFUNCTION("""COMPUTED_VALUE"""),"")</f>
        <v/>
      </c>
      <c r="M934" s="508" t="str">
        <f>IFERROR(__xludf.DUMMYFUNCTION("""COMPUTED_VALUE"""),"")</f>
        <v/>
      </c>
      <c r="N934" s="508" t="str">
        <f>IFERROR(__xludf.DUMMYFUNCTION("""COMPUTED_VALUE"""),"")</f>
        <v/>
      </c>
      <c r="O934" s="508" t="str">
        <f>IFERROR(__xludf.DUMMYFUNCTION("""COMPUTED_VALUE"""),"")</f>
        <v/>
      </c>
      <c r="P934" s="510" t="str">
        <f>IFERROR(__xludf.DUMMYFUNCTION("""COMPUTED_VALUE"""),"")</f>
        <v/>
      </c>
      <c r="Q934" s="508" t="str">
        <f>IFERROR(__xludf.DUMMYFUNCTION("""COMPUTED_VALUE"""),"")</f>
        <v/>
      </c>
      <c r="R934" s="508" t="str">
        <f>IFERROR(__xludf.DUMMYFUNCTION("""COMPUTED_VALUE"""),"")</f>
        <v/>
      </c>
      <c r="S934" s="510" t="str">
        <f>IFERROR(__xludf.DUMMYFUNCTION("""COMPUTED_VALUE"""),"")</f>
        <v/>
      </c>
      <c r="T934" s="510" t="str">
        <f>IFERROR(__xludf.DUMMYFUNCTION("""COMPUTED_VALUE"""),"")</f>
        <v/>
      </c>
    </row>
    <row r="935">
      <c r="A935" s="508" t="str">
        <f>IFERROR(__xludf.DUMMYFUNCTION("""COMPUTED_VALUE"""),"")</f>
        <v/>
      </c>
      <c r="B935" s="508" t="str">
        <f>IFERROR(__xludf.DUMMYFUNCTION("""COMPUTED_VALUE"""),"")</f>
        <v/>
      </c>
      <c r="C935" s="508" t="str">
        <f>IFERROR(__xludf.DUMMYFUNCTION("""COMPUTED_VALUE"""),"")</f>
        <v/>
      </c>
      <c r="D935" s="508" t="str">
        <f>IFERROR(__xludf.DUMMYFUNCTION("""COMPUTED_VALUE"""),"")</f>
        <v/>
      </c>
      <c r="E935" s="508" t="str">
        <f>IFERROR(__xludf.DUMMYFUNCTION("""COMPUTED_VALUE"""),"")</f>
        <v/>
      </c>
      <c r="F935" s="508" t="str">
        <f>IFERROR(__xludf.DUMMYFUNCTION("""COMPUTED_VALUE"""),"")</f>
        <v/>
      </c>
      <c r="G935" s="510" t="str">
        <f>IFERROR(__xludf.DUMMYFUNCTION("""COMPUTED_VALUE"""),"")</f>
        <v/>
      </c>
      <c r="H935" s="508" t="str">
        <f>IFERROR(__xludf.DUMMYFUNCTION("""COMPUTED_VALUE"""),"")</f>
        <v/>
      </c>
      <c r="I935" s="510" t="str">
        <f>IFERROR(__xludf.DUMMYFUNCTION("""COMPUTED_VALUE"""),"")</f>
        <v/>
      </c>
      <c r="J935" s="508" t="str">
        <f>IFERROR(__xludf.DUMMYFUNCTION("""COMPUTED_VALUE"""),"")</f>
        <v/>
      </c>
      <c r="K935" s="510" t="str">
        <f>IFERROR(__xludf.DUMMYFUNCTION("""COMPUTED_VALUE"""),"")</f>
        <v/>
      </c>
      <c r="L935" s="508" t="str">
        <f>IFERROR(__xludf.DUMMYFUNCTION("""COMPUTED_VALUE"""),"")</f>
        <v/>
      </c>
      <c r="M935" s="508" t="str">
        <f>IFERROR(__xludf.DUMMYFUNCTION("""COMPUTED_VALUE"""),"")</f>
        <v/>
      </c>
      <c r="N935" s="508" t="str">
        <f>IFERROR(__xludf.DUMMYFUNCTION("""COMPUTED_VALUE"""),"")</f>
        <v/>
      </c>
      <c r="O935" s="508" t="str">
        <f>IFERROR(__xludf.DUMMYFUNCTION("""COMPUTED_VALUE"""),"")</f>
        <v/>
      </c>
      <c r="P935" s="510" t="str">
        <f>IFERROR(__xludf.DUMMYFUNCTION("""COMPUTED_VALUE"""),"")</f>
        <v/>
      </c>
      <c r="Q935" s="508" t="str">
        <f>IFERROR(__xludf.DUMMYFUNCTION("""COMPUTED_VALUE"""),"")</f>
        <v/>
      </c>
      <c r="R935" s="508" t="str">
        <f>IFERROR(__xludf.DUMMYFUNCTION("""COMPUTED_VALUE"""),"")</f>
        <v/>
      </c>
      <c r="S935" s="510" t="str">
        <f>IFERROR(__xludf.DUMMYFUNCTION("""COMPUTED_VALUE"""),"")</f>
        <v/>
      </c>
      <c r="T935" s="510" t="str">
        <f>IFERROR(__xludf.DUMMYFUNCTION("""COMPUTED_VALUE"""),"")</f>
        <v/>
      </c>
    </row>
    <row r="936">
      <c r="A936" s="508" t="str">
        <f>IFERROR(__xludf.DUMMYFUNCTION("""COMPUTED_VALUE"""),"")</f>
        <v/>
      </c>
      <c r="B936" s="508" t="str">
        <f>IFERROR(__xludf.DUMMYFUNCTION("""COMPUTED_VALUE"""),"")</f>
        <v/>
      </c>
      <c r="C936" s="508" t="str">
        <f>IFERROR(__xludf.DUMMYFUNCTION("""COMPUTED_VALUE"""),"")</f>
        <v/>
      </c>
      <c r="D936" s="508" t="str">
        <f>IFERROR(__xludf.DUMMYFUNCTION("""COMPUTED_VALUE"""),"")</f>
        <v/>
      </c>
      <c r="E936" s="508" t="str">
        <f>IFERROR(__xludf.DUMMYFUNCTION("""COMPUTED_VALUE"""),"")</f>
        <v/>
      </c>
      <c r="F936" s="508" t="str">
        <f>IFERROR(__xludf.DUMMYFUNCTION("""COMPUTED_VALUE"""),"")</f>
        <v/>
      </c>
      <c r="G936" s="510" t="str">
        <f>IFERROR(__xludf.DUMMYFUNCTION("""COMPUTED_VALUE"""),"")</f>
        <v/>
      </c>
      <c r="H936" s="508" t="str">
        <f>IFERROR(__xludf.DUMMYFUNCTION("""COMPUTED_VALUE"""),"")</f>
        <v/>
      </c>
      <c r="I936" s="510" t="str">
        <f>IFERROR(__xludf.DUMMYFUNCTION("""COMPUTED_VALUE"""),"")</f>
        <v/>
      </c>
      <c r="J936" s="508" t="str">
        <f>IFERROR(__xludf.DUMMYFUNCTION("""COMPUTED_VALUE"""),"")</f>
        <v/>
      </c>
      <c r="K936" s="510" t="str">
        <f>IFERROR(__xludf.DUMMYFUNCTION("""COMPUTED_VALUE"""),"")</f>
        <v/>
      </c>
      <c r="L936" s="508" t="str">
        <f>IFERROR(__xludf.DUMMYFUNCTION("""COMPUTED_VALUE"""),"")</f>
        <v/>
      </c>
      <c r="M936" s="508" t="str">
        <f>IFERROR(__xludf.DUMMYFUNCTION("""COMPUTED_VALUE"""),"")</f>
        <v/>
      </c>
      <c r="N936" s="508" t="str">
        <f>IFERROR(__xludf.DUMMYFUNCTION("""COMPUTED_VALUE"""),"")</f>
        <v/>
      </c>
      <c r="O936" s="508" t="str">
        <f>IFERROR(__xludf.DUMMYFUNCTION("""COMPUTED_VALUE"""),"")</f>
        <v/>
      </c>
      <c r="P936" s="510" t="str">
        <f>IFERROR(__xludf.DUMMYFUNCTION("""COMPUTED_VALUE"""),"")</f>
        <v/>
      </c>
      <c r="Q936" s="508" t="str">
        <f>IFERROR(__xludf.DUMMYFUNCTION("""COMPUTED_VALUE"""),"")</f>
        <v/>
      </c>
      <c r="R936" s="508" t="str">
        <f>IFERROR(__xludf.DUMMYFUNCTION("""COMPUTED_VALUE"""),"")</f>
        <v/>
      </c>
      <c r="S936" s="510" t="str">
        <f>IFERROR(__xludf.DUMMYFUNCTION("""COMPUTED_VALUE"""),"")</f>
        <v/>
      </c>
      <c r="T936" s="510" t="str">
        <f>IFERROR(__xludf.DUMMYFUNCTION("""COMPUTED_VALUE"""),"")</f>
        <v/>
      </c>
    </row>
    <row r="937">
      <c r="A937" s="508" t="str">
        <f>IFERROR(__xludf.DUMMYFUNCTION("""COMPUTED_VALUE"""),"")</f>
        <v/>
      </c>
      <c r="B937" s="508" t="str">
        <f>IFERROR(__xludf.DUMMYFUNCTION("""COMPUTED_VALUE"""),"")</f>
        <v/>
      </c>
      <c r="C937" s="508" t="str">
        <f>IFERROR(__xludf.DUMMYFUNCTION("""COMPUTED_VALUE"""),"")</f>
        <v/>
      </c>
      <c r="D937" s="508" t="str">
        <f>IFERROR(__xludf.DUMMYFUNCTION("""COMPUTED_VALUE"""),"")</f>
        <v/>
      </c>
      <c r="E937" s="508" t="str">
        <f>IFERROR(__xludf.DUMMYFUNCTION("""COMPUTED_VALUE"""),"")</f>
        <v/>
      </c>
      <c r="F937" s="508" t="str">
        <f>IFERROR(__xludf.DUMMYFUNCTION("""COMPUTED_VALUE"""),"")</f>
        <v/>
      </c>
      <c r="G937" s="510" t="str">
        <f>IFERROR(__xludf.DUMMYFUNCTION("""COMPUTED_VALUE"""),"")</f>
        <v/>
      </c>
      <c r="H937" s="508" t="str">
        <f>IFERROR(__xludf.DUMMYFUNCTION("""COMPUTED_VALUE"""),"")</f>
        <v/>
      </c>
      <c r="I937" s="510" t="str">
        <f>IFERROR(__xludf.DUMMYFUNCTION("""COMPUTED_VALUE"""),"")</f>
        <v/>
      </c>
      <c r="J937" s="508" t="str">
        <f>IFERROR(__xludf.DUMMYFUNCTION("""COMPUTED_VALUE"""),"")</f>
        <v/>
      </c>
      <c r="K937" s="510" t="str">
        <f>IFERROR(__xludf.DUMMYFUNCTION("""COMPUTED_VALUE"""),"")</f>
        <v/>
      </c>
      <c r="L937" s="508" t="str">
        <f>IFERROR(__xludf.DUMMYFUNCTION("""COMPUTED_VALUE"""),"")</f>
        <v/>
      </c>
      <c r="M937" s="508" t="str">
        <f>IFERROR(__xludf.DUMMYFUNCTION("""COMPUTED_VALUE"""),"")</f>
        <v/>
      </c>
      <c r="N937" s="508" t="str">
        <f>IFERROR(__xludf.DUMMYFUNCTION("""COMPUTED_VALUE"""),"")</f>
        <v/>
      </c>
      <c r="O937" s="508" t="str">
        <f>IFERROR(__xludf.DUMMYFUNCTION("""COMPUTED_VALUE"""),"")</f>
        <v/>
      </c>
      <c r="P937" s="510" t="str">
        <f>IFERROR(__xludf.DUMMYFUNCTION("""COMPUTED_VALUE"""),"")</f>
        <v/>
      </c>
      <c r="Q937" s="508" t="str">
        <f>IFERROR(__xludf.DUMMYFUNCTION("""COMPUTED_VALUE"""),"")</f>
        <v/>
      </c>
      <c r="R937" s="508" t="str">
        <f>IFERROR(__xludf.DUMMYFUNCTION("""COMPUTED_VALUE"""),"")</f>
        <v/>
      </c>
      <c r="S937" s="510" t="str">
        <f>IFERROR(__xludf.DUMMYFUNCTION("""COMPUTED_VALUE"""),"")</f>
        <v/>
      </c>
      <c r="T937" s="510" t="str">
        <f>IFERROR(__xludf.DUMMYFUNCTION("""COMPUTED_VALUE"""),"")</f>
        <v/>
      </c>
    </row>
    <row r="938">
      <c r="A938" s="508" t="str">
        <f>IFERROR(__xludf.DUMMYFUNCTION("""COMPUTED_VALUE"""),"")</f>
        <v/>
      </c>
      <c r="B938" s="508" t="str">
        <f>IFERROR(__xludf.DUMMYFUNCTION("""COMPUTED_VALUE"""),"")</f>
        <v/>
      </c>
      <c r="C938" s="508" t="str">
        <f>IFERROR(__xludf.DUMMYFUNCTION("""COMPUTED_VALUE"""),"")</f>
        <v/>
      </c>
      <c r="D938" s="508" t="str">
        <f>IFERROR(__xludf.DUMMYFUNCTION("""COMPUTED_VALUE"""),"")</f>
        <v/>
      </c>
      <c r="E938" s="508" t="str">
        <f>IFERROR(__xludf.DUMMYFUNCTION("""COMPUTED_VALUE"""),"")</f>
        <v/>
      </c>
      <c r="F938" s="508" t="str">
        <f>IFERROR(__xludf.DUMMYFUNCTION("""COMPUTED_VALUE"""),"")</f>
        <v/>
      </c>
      <c r="G938" s="510" t="str">
        <f>IFERROR(__xludf.DUMMYFUNCTION("""COMPUTED_VALUE"""),"")</f>
        <v/>
      </c>
      <c r="H938" s="508" t="str">
        <f>IFERROR(__xludf.DUMMYFUNCTION("""COMPUTED_VALUE"""),"")</f>
        <v/>
      </c>
      <c r="I938" s="510" t="str">
        <f>IFERROR(__xludf.DUMMYFUNCTION("""COMPUTED_VALUE"""),"")</f>
        <v/>
      </c>
      <c r="J938" s="508" t="str">
        <f>IFERROR(__xludf.DUMMYFUNCTION("""COMPUTED_VALUE"""),"")</f>
        <v/>
      </c>
      <c r="K938" s="510" t="str">
        <f>IFERROR(__xludf.DUMMYFUNCTION("""COMPUTED_VALUE"""),"")</f>
        <v/>
      </c>
      <c r="L938" s="508" t="str">
        <f>IFERROR(__xludf.DUMMYFUNCTION("""COMPUTED_VALUE"""),"")</f>
        <v/>
      </c>
      <c r="M938" s="508" t="str">
        <f>IFERROR(__xludf.DUMMYFUNCTION("""COMPUTED_VALUE"""),"")</f>
        <v/>
      </c>
      <c r="N938" s="508" t="str">
        <f>IFERROR(__xludf.DUMMYFUNCTION("""COMPUTED_VALUE"""),"")</f>
        <v/>
      </c>
      <c r="O938" s="508" t="str">
        <f>IFERROR(__xludf.DUMMYFUNCTION("""COMPUTED_VALUE"""),"")</f>
        <v/>
      </c>
      <c r="P938" s="510" t="str">
        <f>IFERROR(__xludf.DUMMYFUNCTION("""COMPUTED_VALUE"""),"")</f>
        <v/>
      </c>
      <c r="Q938" s="508" t="str">
        <f>IFERROR(__xludf.DUMMYFUNCTION("""COMPUTED_VALUE"""),"")</f>
        <v/>
      </c>
      <c r="R938" s="508" t="str">
        <f>IFERROR(__xludf.DUMMYFUNCTION("""COMPUTED_VALUE"""),"")</f>
        <v/>
      </c>
      <c r="S938" s="510" t="str">
        <f>IFERROR(__xludf.DUMMYFUNCTION("""COMPUTED_VALUE"""),"")</f>
        <v/>
      </c>
      <c r="T938" s="510" t="str">
        <f>IFERROR(__xludf.DUMMYFUNCTION("""COMPUTED_VALUE"""),"")</f>
        <v/>
      </c>
    </row>
    <row r="939">
      <c r="A939" s="508" t="str">
        <f>IFERROR(__xludf.DUMMYFUNCTION("""COMPUTED_VALUE"""),"")</f>
        <v/>
      </c>
      <c r="B939" s="508" t="str">
        <f>IFERROR(__xludf.DUMMYFUNCTION("""COMPUTED_VALUE"""),"")</f>
        <v/>
      </c>
      <c r="C939" s="508" t="str">
        <f>IFERROR(__xludf.DUMMYFUNCTION("""COMPUTED_VALUE"""),"")</f>
        <v/>
      </c>
      <c r="D939" s="508" t="str">
        <f>IFERROR(__xludf.DUMMYFUNCTION("""COMPUTED_VALUE"""),"")</f>
        <v/>
      </c>
      <c r="E939" s="508" t="str">
        <f>IFERROR(__xludf.DUMMYFUNCTION("""COMPUTED_VALUE"""),"")</f>
        <v/>
      </c>
      <c r="F939" s="508" t="str">
        <f>IFERROR(__xludf.DUMMYFUNCTION("""COMPUTED_VALUE"""),"")</f>
        <v/>
      </c>
      <c r="G939" s="510" t="str">
        <f>IFERROR(__xludf.DUMMYFUNCTION("""COMPUTED_VALUE"""),"")</f>
        <v/>
      </c>
      <c r="H939" s="508" t="str">
        <f>IFERROR(__xludf.DUMMYFUNCTION("""COMPUTED_VALUE"""),"")</f>
        <v/>
      </c>
      <c r="I939" s="510" t="str">
        <f>IFERROR(__xludf.DUMMYFUNCTION("""COMPUTED_VALUE"""),"")</f>
        <v/>
      </c>
      <c r="J939" s="508" t="str">
        <f>IFERROR(__xludf.DUMMYFUNCTION("""COMPUTED_VALUE"""),"")</f>
        <v/>
      </c>
      <c r="K939" s="510" t="str">
        <f>IFERROR(__xludf.DUMMYFUNCTION("""COMPUTED_VALUE"""),"")</f>
        <v/>
      </c>
      <c r="L939" s="508" t="str">
        <f>IFERROR(__xludf.DUMMYFUNCTION("""COMPUTED_VALUE"""),"")</f>
        <v/>
      </c>
      <c r="M939" s="508" t="str">
        <f>IFERROR(__xludf.DUMMYFUNCTION("""COMPUTED_VALUE"""),"")</f>
        <v/>
      </c>
      <c r="N939" s="508" t="str">
        <f>IFERROR(__xludf.DUMMYFUNCTION("""COMPUTED_VALUE"""),"")</f>
        <v/>
      </c>
      <c r="O939" s="508" t="str">
        <f>IFERROR(__xludf.DUMMYFUNCTION("""COMPUTED_VALUE"""),"")</f>
        <v/>
      </c>
      <c r="P939" s="510" t="str">
        <f>IFERROR(__xludf.DUMMYFUNCTION("""COMPUTED_VALUE"""),"")</f>
        <v/>
      </c>
      <c r="Q939" s="508" t="str">
        <f>IFERROR(__xludf.DUMMYFUNCTION("""COMPUTED_VALUE"""),"")</f>
        <v/>
      </c>
      <c r="R939" s="508" t="str">
        <f>IFERROR(__xludf.DUMMYFUNCTION("""COMPUTED_VALUE"""),"")</f>
        <v/>
      </c>
      <c r="S939" s="510" t="str">
        <f>IFERROR(__xludf.DUMMYFUNCTION("""COMPUTED_VALUE"""),"")</f>
        <v/>
      </c>
      <c r="T939" s="510" t="str">
        <f>IFERROR(__xludf.DUMMYFUNCTION("""COMPUTED_VALUE"""),"")</f>
        <v/>
      </c>
    </row>
    <row r="940">
      <c r="A940" s="508" t="str">
        <f>IFERROR(__xludf.DUMMYFUNCTION("""COMPUTED_VALUE"""),"")</f>
        <v/>
      </c>
      <c r="B940" s="508" t="str">
        <f>IFERROR(__xludf.DUMMYFUNCTION("""COMPUTED_VALUE"""),"")</f>
        <v/>
      </c>
      <c r="C940" s="508" t="str">
        <f>IFERROR(__xludf.DUMMYFUNCTION("""COMPUTED_VALUE"""),"")</f>
        <v/>
      </c>
      <c r="D940" s="508" t="str">
        <f>IFERROR(__xludf.DUMMYFUNCTION("""COMPUTED_VALUE"""),"")</f>
        <v/>
      </c>
      <c r="E940" s="508" t="str">
        <f>IFERROR(__xludf.DUMMYFUNCTION("""COMPUTED_VALUE"""),"")</f>
        <v/>
      </c>
      <c r="F940" s="508" t="str">
        <f>IFERROR(__xludf.DUMMYFUNCTION("""COMPUTED_VALUE"""),"")</f>
        <v/>
      </c>
      <c r="G940" s="510" t="str">
        <f>IFERROR(__xludf.DUMMYFUNCTION("""COMPUTED_VALUE"""),"")</f>
        <v/>
      </c>
      <c r="H940" s="508" t="str">
        <f>IFERROR(__xludf.DUMMYFUNCTION("""COMPUTED_VALUE"""),"")</f>
        <v/>
      </c>
      <c r="I940" s="510" t="str">
        <f>IFERROR(__xludf.DUMMYFUNCTION("""COMPUTED_VALUE"""),"")</f>
        <v/>
      </c>
      <c r="J940" s="508" t="str">
        <f>IFERROR(__xludf.DUMMYFUNCTION("""COMPUTED_VALUE"""),"")</f>
        <v/>
      </c>
      <c r="K940" s="510" t="str">
        <f>IFERROR(__xludf.DUMMYFUNCTION("""COMPUTED_VALUE"""),"")</f>
        <v/>
      </c>
      <c r="L940" s="508" t="str">
        <f>IFERROR(__xludf.DUMMYFUNCTION("""COMPUTED_VALUE"""),"")</f>
        <v/>
      </c>
      <c r="M940" s="508" t="str">
        <f>IFERROR(__xludf.DUMMYFUNCTION("""COMPUTED_VALUE"""),"")</f>
        <v/>
      </c>
      <c r="N940" s="508" t="str">
        <f>IFERROR(__xludf.DUMMYFUNCTION("""COMPUTED_VALUE"""),"")</f>
        <v/>
      </c>
      <c r="O940" s="508" t="str">
        <f>IFERROR(__xludf.DUMMYFUNCTION("""COMPUTED_VALUE"""),"")</f>
        <v/>
      </c>
      <c r="P940" s="510" t="str">
        <f>IFERROR(__xludf.DUMMYFUNCTION("""COMPUTED_VALUE"""),"")</f>
        <v/>
      </c>
      <c r="Q940" s="508" t="str">
        <f>IFERROR(__xludf.DUMMYFUNCTION("""COMPUTED_VALUE"""),"")</f>
        <v/>
      </c>
      <c r="R940" s="508" t="str">
        <f>IFERROR(__xludf.DUMMYFUNCTION("""COMPUTED_VALUE"""),"")</f>
        <v/>
      </c>
      <c r="S940" s="510" t="str">
        <f>IFERROR(__xludf.DUMMYFUNCTION("""COMPUTED_VALUE"""),"")</f>
        <v/>
      </c>
      <c r="T940" s="510" t="str">
        <f>IFERROR(__xludf.DUMMYFUNCTION("""COMPUTED_VALUE"""),"")</f>
        <v/>
      </c>
    </row>
    <row r="941">
      <c r="A941" s="508" t="str">
        <f>IFERROR(__xludf.DUMMYFUNCTION("""COMPUTED_VALUE"""),"")</f>
        <v/>
      </c>
      <c r="B941" s="508" t="str">
        <f>IFERROR(__xludf.DUMMYFUNCTION("""COMPUTED_VALUE"""),"")</f>
        <v/>
      </c>
      <c r="C941" s="508" t="str">
        <f>IFERROR(__xludf.DUMMYFUNCTION("""COMPUTED_VALUE"""),"")</f>
        <v/>
      </c>
      <c r="D941" s="508" t="str">
        <f>IFERROR(__xludf.DUMMYFUNCTION("""COMPUTED_VALUE"""),"")</f>
        <v/>
      </c>
      <c r="E941" s="508" t="str">
        <f>IFERROR(__xludf.DUMMYFUNCTION("""COMPUTED_VALUE"""),"")</f>
        <v/>
      </c>
      <c r="F941" s="508" t="str">
        <f>IFERROR(__xludf.DUMMYFUNCTION("""COMPUTED_VALUE"""),"")</f>
        <v/>
      </c>
      <c r="G941" s="510" t="str">
        <f>IFERROR(__xludf.DUMMYFUNCTION("""COMPUTED_VALUE"""),"")</f>
        <v/>
      </c>
      <c r="H941" s="508" t="str">
        <f>IFERROR(__xludf.DUMMYFUNCTION("""COMPUTED_VALUE"""),"")</f>
        <v/>
      </c>
      <c r="I941" s="510" t="str">
        <f>IFERROR(__xludf.DUMMYFUNCTION("""COMPUTED_VALUE"""),"")</f>
        <v/>
      </c>
      <c r="J941" s="508" t="str">
        <f>IFERROR(__xludf.DUMMYFUNCTION("""COMPUTED_VALUE"""),"")</f>
        <v/>
      </c>
      <c r="K941" s="510" t="str">
        <f>IFERROR(__xludf.DUMMYFUNCTION("""COMPUTED_VALUE"""),"")</f>
        <v/>
      </c>
      <c r="L941" s="508" t="str">
        <f>IFERROR(__xludf.DUMMYFUNCTION("""COMPUTED_VALUE"""),"")</f>
        <v/>
      </c>
      <c r="M941" s="508" t="str">
        <f>IFERROR(__xludf.DUMMYFUNCTION("""COMPUTED_VALUE"""),"")</f>
        <v/>
      </c>
      <c r="N941" s="508" t="str">
        <f>IFERROR(__xludf.DUMMYFUNCTION("""COMPUTED_VALUE"""),"")</f>
        <v/>
      </c>
      <c r="O941" s="508" t="str">
        <f>IFERROR(__xludf.DUMMYFUNCTION("""COMPUTED_VALUE"""),"")</f>
        <v/>
      </c>
      <c r="P941" s="510" t="str">
        <f>IFERROR(__xludf.DUMMYFUNCTION("""COMPUTED_VALUE"""),"")</f>
        <v/>
      </c>
      <c r="Q941" s="508" t="str">
        <f>IFERROR(__xludf.DUMMYFUNCTION("""COMPUTED_VALUE"""),"")</f>
        <v/>
      </c>
      <c r="R941" s="508" t="str">
        <f>IFERROR(__xludf.DUMMYFUNCTION("""COMPUTED_VALUE"""),"")</f>
        <v/>
      </c>
      <c r="S941" s="510" t="str">
        <f>IFERROR(__xludf.DUMMYFUNCTION("""COMPUTED_VALUE"""),"")</f>
        <v/>
      </c>
      <c r="T941" s="510" t="str">
        <f>IFERROR(__xludf.DUMMYFUNCTION("""COMPUTED_VALUE"""),"")</f>
        <v/>
      </c>
    </row>
    <row r="942">
      <c r="A942" s="508" t="str">
        <f>IFERROR(__xludf.DUMMYFUNCTION("""COMPUTED_VALUE"""),"")</f>
        <v/>
      </c>
      <c r="B942" s="508" t="str">
        <f>IFERROR(__xludf.DUMMYFUNCTION("""COMPUTED_VALUE"""),"")</f>
        <v/>
      </c>
      <c r="C942" s="508" t="str">
        <f>IFERROR(__xludf.DUMMYFUNCTION("""COMPUTED_VALUE"""),"")</f>
        <v/>
      </c>
      <c r="D942" s="508" t="str">
        <f>IFERROR(__xludf.DUMMYFUNCTION("""COMPUTED_VALUE"""),"")</f>
        <v/>
      </c>
      <c r="E942" s="508" t="str">
        <f>IFERROR(__xludf.DUMMYFUNCTION("""COMPUTED_VALUE"""),"")</f>
        <v/>
      </c>
      <c r="F942" s="508" t="str">
        <f>IFERROR(__xludf.DUMMYFUNCTION("""COMPUTED_VALUE"""),"")</f>
        <v/>
      </c>
      <c r="G942" s="510" t="str">
        <f>IFERROR(__xludf.DUMMYFUNCTION("""COMPUTED_VALUE"""),"")</f>
        <v/>
      </c>
      <c r="H942" s="508" t="str">
        <f>IFERROR(__xludf.DUMMYFUNCTION("""COMPUTED_VALUE"""),"")</f>
        <v/>
      </c>
      <c r="I942" s="510" t="str">
        <f>IFERROR(__xludf.DUMMYFUNCTION("""COMPUTED_VALUE"""),"")</f>
        <v/>
      </c>
      <c r="J942" s="508" t="str">
        <f>IFERROR(__xludf.DUMMYFUNCTION("""COMPUTED_VALUE"""),"")</f>
        <v/>
      </c>
      <c r="K942" s="510" t="str">
        <f>IFERROR(__xludf.DUMMYFUNCTION("""COMPUTED_VALUE"""),"")</f>
        <v/>
      </c>
      <c r="L942" s="508" t="str">
        <f>IFERROR(__xludf.DUMMYFUNCTION("""COMPUTED_VALUE"""),"")</f>
        <v/>
      </c>
      <c r="M942" s="508" t="str">
        <f>IFERROR(__xludf.DUMMYFUNCTION("""COMPUTED_VALUE"""),"")</f>
        <v/>
      </c>
      <c r="N942" s="508" t="str">
        <f>IFERROR(__xludf.DUMMYFUNCTION("""COMPUTED_VALUE"""),"")</f>
        <v/>
      </c>
      <c r="O942" s="508" t="str">
        <f>IFERROR(__xludf.DUMMYFUNCTION("""COMPUTED_VALUE"""),"")</f>
        <v/>
      </c>
      <c r="P942" s="510" t="str">
        <f>IFERROR(__xludf.DUMMYFUNCTION("""COMPUTED_VALUE"""),"")</f>
        <v/>
      </c>
      <c r="Q942" s="508" t="str">
        <f>IFERROR(__xludf.DUMMYFUNCTION("""COMPUTED_VALUE"""),"")</f>
        <v/>
      </c>
      <c r="R942" s="508" t="str">
        <f>IFERROR(__xludf.DUMMYFUNCTION("""COMPUTED_VALUE"""),"")</f>
        <v/>
      </c>
      <c r="S942" s="510" t="str">
        <f>IFERROR(__xludf.DUMMYFUNCTION("""COMPUTED_VALUE"""),"")</f>
        <v/>
      </c>
      <c r="T942" s="510" t="str">
        <f>IFERROR(__xludf.DUMMYFUNCTION("""COMPUTED_VALUE"""),"")</f>
        <v/>
      </c>
    </row>
    <row r="943">
      <c r="A943" s="508" t="str">
        <f>IFERROR(__xludf.DUMMYFUNCTION("""COMPUTED_VALUE"""),"")</f>
        <v/>
      </c>
      <c r="B943" s="508" t="str">
        <f>IFERROR(__xludf.DUMMYFUNCTION("""COMPUTED_VALUE"""),"")</f>
        <v/>
      </c>
      <c r="C943" s="508" t="str">
        <f>IFERROR(__xludf.DUMMYFUNCTION("""COMPUTED_VALUE"""),"")</f>
        <v/>
      </c>
      <c r="D943" s="508" t="str">
        <f>IFERROR(__xludf.DUMMYFUNCTION("""COMPUTED_VALUE"""),"")</f>
        <v/>
      </c>
      <c r="E943" s="508" t="str">
        <f>IFERROR(__xludf.DUMMYFUNCTION("""COMPUTED_VALUE"""),"")</f>
        <v/>
      </c>
      <c r="F943" s="508" t="str">
        <f>IFERROR(__xludf.DUMMYFUNCTION("""COMPUTED_VALUE"""),"")</f>
        <v/>
      </c>
      <c r="G943" s="510" t="str">
        <f>IFERROR(__xludf.DUMMYFUNCTION("""COMPUTED_VALUE"""),"")</f>
        <v/>
      </c>
      <c r="H943" s="508" t="str">
        <f>IFERROR(__xludf.DUMMYFUNCTION("""COMPUTED_VALUE"""),"")</f>
        <v/>
      </c>
      <c r="I943" s="510" t="str">
        <f>IFERROR(__xludf.DUMMYFUNCTION("""COMPUTED_VALUE"""),"")</f>
        <v/>
      </c>
      <c r="J943" s="508" t="str">
        <f>IFERROR(__xludf.DUMMYFUNCTION("""COMPUTED_VALUE"""),"")</f>
        <v/>
      </c>
      <c r="K943" s="510" t="str">
        <f>IFERROR(__xludf.DUMMYFUNCTION("""COMPUTED_VALUE"""),"")</f>
        <v/>
      </c>
      <c r="L943" s="508" t="str">
        <f>IFERROR(__xludf.DUMMYFUNCTION("""COMPUTED_VALUE"""),"")</f>
        <v/>
      </c>
      <c r="M943" s="508" t="str">
        <f>IFERROR(__xludf.DUMMYFUNCTION("""COMPUTED_VALUE"""),"")</f>
        <v/>
      </c>
      <c r="N943" s="508" t="str">
        <f>IFERROR(__xludf.DUMMYFUNCTION("""COMPUTED_VALUE"""),"")</f>
        <v/>
      </c>
      <c r="O943" s="508" t="str">
        <f>IFERROR(__xludf.DUMMYFUNCTION("""COMPUTED_VALUE"""),"")</f>
        <v/>
      </c>
      <c r="P943" s="510" t="str">
        <f>IFERROR(__xludf.DUMMYFUNCTION("""COMPUTED_VALUE"""),"")</f>
        <v/>
      </c>
      <c r="Q943" s="508" t="str">
        <f>IFERROR(__xludf.DUMMYFUNCTION("""COMPUTED_VALUE"""),"")</f>
        <v/>
      </c>
      <c r="R943" s="508" t="str">
        <f>IFERROR(__xludf.DUMMYFUNCTION("""COMPUTED_VALUE"""),"")</f>
        <v/>
      </c>
      <c r="S943" s="510" t="str">
        <f>IFERROR(__xludf.DUMMYFUNCTION("""COMPUTED_VALUE"""),"")</f>
        <v/>
      </c>
      <c r="T943" s="510" t="str">
        <f>IFERROR(__xludf.DUMMYFUNCTION("""COMPUTED_VALUE"""),"")</f>
        <v/>
      </c>
    </row>
    <row r="944">
      <c r="A944" s="508" t="str">
        <f>IFERROR(__xludf.DUMMYFUNCTION("""COMPUTED_VALUE"""),"")</f>
        <v/>
      </c>
      <c r="B944" s="508" t="str">
        <f>IFERROR(__xludf.DUMMYFUNCTION("""COMPUTED_VALUE"""),"")</f>
        <v/>
      </c>
      <c r="C944" s="508" t="str">
        <f>IFERROR(__xludf.DUMMYFUNCTION("""COMPUTED_VALUE"""),"")</f>
        <v/>
      </c>
      <c r="D944" s="508" t="str">
        <f>IFERROR(__xludf.DUMMYFUNCTION("""COMPUTED_VALUE"""),"")</f>
        <v/>
      </c>
      <c r="E944" s="508" t="str">
        <f>IFERROR(__xludf.DUMMYFUNCTION("""COMPUTED_VALUE"""),"")</f>
        <v/>
      </c>
      <c r="F944" s="508" t="str">
        <f>IFERROR(__xludf.DUMMYFUNCTION("""COMPUTED_VALUE"""),"")</f>
        <v/>
      </c>
      <c r="G944" s="510" t="str">
        <f>IFERROR(__xludf.DUMMYFUNCTION("""COMPUTED_VALUE"""),"")</f>
        <v/>
      </c>
      <c r="H944" s="508" t="str">
        <f>IFERROR(__xludf.DUMMYFUNCTION("""COMPUTED_VALUE"""),"")</f>
        <v/>
      </c>
      <c r="I944" s="510" t="str">
        <f>IFERROR(__xludf.DUMMYFUNCTION("""COMPUTED_VALUE"""),"")</f>
        <v/>
      </c>
      <c r="J944" s="508" t="str">
        <f>IFERROR(__xludf.DUMMYFUNCTION("""COMPUTED_VALUE"""),"")</f>
        <v/>
      </c>
      <c r="K944" s="510" t="str">
        <f>IFERROR(__xludf.DUMMYFUNCTION("""COMPUTED_VALUE"""),"")</f>
        <v/>
      </c>
      <c r="L944" s="508" t="str">
        <f>IFERROR(__xludf.DUMMYFUNCTION("""COMPUTED_VALUE"""),"")</f>
        <v/>
      </c>
      <c r="M944" s="508" t="str">
        <f>IFERROR(__xludf.DUMMYFUNCTION("""COMPUTED_VALUE"""),"")</f>
        <v/>
      </c>
      <c r="N944" s="508" t="str">
        <f>IFERROR(__xludf.DUMMYFUNCTION("""COMPUTED_VALUE"""),"")</f>
        <v/>
      </c>
      <c r="O944" s="508" t="str">
        <f>IFERROR(__xludf.DUMMYFUNCTION("""COMPUTED_VALUE"""),"")</f>
        <v/>
      </c>
      <c r="P944" s="510" t="str">
        <f>IFERROR(__xludf.DUMMYFUNCTION("""COMPUTED_VALUE"""),"")</f>
        <v/>
      </c>
      <c r="Q944" s="508" t="str">
        <f>IFERROR(__xludf.DUMMYFUNCTION("""COMPUTED_VALUE"""),"")</f>
        <v/>
      </c>
      <c r="R944" s="508" t="str">
        <f>IFERROR(__xludf.DUMMYFUNCTION("""COMPUTED_VALUE"""),"")</f>
        <v/>
      </c>
      <c r="S944" s="510" t="str">
        <f>IFERROR(__xludf.DUMMYFUNCTION("""COMPUTED_VALUE"""),"")</f>
        <v/>
      </c>
      <c r="T944" s="510" t="str">
        <f>IFERROR(__xludf.DUMMYFUNCTION("""COMPUTED_VALUE"""),"")</f>
        <v/>
      </c>
    </row>
    <row r="945">
      <c r="A945" s="508" t="str">
        <f>IFERROR(__xludf.DUMMYFUNCTION("""COMPUTED_VALUE"""),"")</f>
        <v/>
      </c>
      <c r="B945" s="508" t="str">
        <f>IFERROR(__xludf.DUMMYFUNCTION("""COMPUTED_VALUE"""),"")</f>
        <v/>
      </c>
      <c r="C945" s="508" t="str">
        <f>IFERROR(__xludf.DUMMYFUNCTION("""COMPUTED_VALUE"""),"")</f>
        <v/>
      </c>
      <c r="D945" s="508" t="str">
        <f>IFERROR(__xludf.DUMMYFUNCTION("""COMPUTED_VALUE"""),"")</f>
        <v/>
      </c>
      <c r="E945" s="508" t="str">
        <f>IFERROR(__xludf.DUMMYFUNCTION("""COMPUTED_VALUE"""),"")</f>
        <v/>
      </c>
      <c r="F945" s="508" t="str">
        <f>IFERROR(__xludf.DUMMYFUNCTION("""COMPUTED_VALUE"""),"")</f>
        <v/>
      </c>
      <c r="G945" s="510" t="str">
        <f>IFERROR(__xludf.DUMMYFUNCTION("""COMPUTED_VALUE"""),"")</f>
        <v/>
      </c>
      <c r="H945" s="508" t="str">
        <f>IFERROR(__xludf.DUMMYFUNCTION("""COMPUTED_VALUE"""),"")</f>
        <v/>
      </c>
      <c r="I945" s="510" t="str">
        <f>IFERROR(__xludf.DUMMYFUNCTION("""COMPUTED_VALUE"""),"")</f>
        <v/>
      </c>
      <c r="J945" s="508" t="str">
        <f>IFERROR(__xludf.DUMMYFUNCTION("""COMPUTED_VALUE"""),"")</f>
        <v/>
      </c>
      <c r="K945" s="510" t="str">
        <f>IFERROR(__xludf.DUMMYFUNCTION("""COMPUTED_VALUE"""),"")</f>
        <v/>
      </c>
      <c r="L945" s="508" t="str">
        <f>IFERROR(__xludf.DUMMYFUNCTION("""COMPUTED_VALUE"""),"")</f>
        <v/>
      </c>
      <c r="M945" s="508" t="str">
        <f>IFERROR(__xludf.DUMMYFUNCTION("""COMPUTED_VALUE"""),"")</f>
        <v/>
      </c>
      <c r="N945" s="508" t="str">
        <f>IFERROR(__xludf.DUMMYFUNCTION("""COMPUTED_VALUE"""),"")</f>
        <v/>
      </c>
      <c r="O945" s="508" t="str">
        <f>IFERROR(__xludf.DUMMYFUNCTION("""COMPUTED_VALUE"""),"")</f>
        <v/>
      </c>
      <c r="P945" s="510" t="str">
        <f>IFERROR(__xludf.DUMMYFUNCTION("""COMPUTED_VALUE"""),"")</f>
        <v/>
      </c>
      <c r="Q945" s="508" t="str">
        <f>IFERROR(__xludf.DUMMYFUNCTION("""COMPUTED_VALUE"""),"")</f>
        <v/>
      </c>
      <c r="R945" s="508" t="str">
        <f>IFERROR(__xludf.DUMMYFUNCTION("""COMPUTED_VALUE"""),"")</f>
        <v/>
      </c>
      <c r="S945" s="510" t="str">
        <f>IFERROR(__xludf.DUMMYFUNCTION("""COMPUTED_VALUE"""),"")</f>
        <v/>
      </c>
      <c r="T945" s="510" t="str">
        <f>IFERROR(__xludf.DUMMYFUNCTION("""COMPUTED_VALUE"""),"")</f>
        <v/>
      </c>
    </row>
    <row r="946">
      <c r="A946" s="508" t="str">
        <f>IFERROR(__xludf.DUMMYFUNCTION("""COMPUTED_VALUE"""),"")</f>
        <v/>
      </c>
      <c r="B946" s="508" t="str">
        <f>IFERROR(__xludf.DUMMYFUNCTION("""COMPUTED_VALUE"""),"")</f>
        <v/>
      </c>
      <c r="C946" s="508" t="str">
        <f>IFERROR(__xludf.DUMMYFUNCTION("""COMPUTED_VALUE"""),"")</f>
        <v/>
      </c>
      <c r="D946" s="508" t="str">
        <f>IFERROR(__xludf.DUMMYFUNCTION("""COMPUTED_VALUE"""),"")</f>
        <v/>
      </c>
      <c r="E946" s="508" t="str">
        <f>IFERROR(__xludf.DUMMYFUNCTION("""COMPUTED_VALUE"""),"")</f>
        <v/>
      </c>
      <c r="F946" s="508" t="str">
        <f>IFERROR(__xludf.DUMMYFUNCTION("""COMPUTED_VALUE"""),"")</f>
        <v/>
      </c>
      <c r="G946" s="510" t="str">
        <f>IFERROR(__xludf.DUMMYFUNCTION("""COMPUTED_VALUE"""),"")</f>
        <v/>
      </c>
      <c r="H946" s="508" t="str">
        <f>IFERROR(__xludf.DUMMYFUNCTION("""COMPUTED_VALUE"""),"")</f>
        <v/>
      </c>
      <c r="I946" s="510" t="str">
        <f>IFERROR(__xludf.DUMMYFUNCTION("""COMPUTED_VALUE"""),"")</f>
        <v/>
      </c>
      <c r="J946" s="508" t="str">
        <f>IFERROR(__xludf.DUMMYFUNCTION("""COMPUTED_VALUE"""),"")</f>
        <v/>
      </c>
      <c r="K946" s="510" t="str">
        <f>IFERROR(__xludf.DUMMYFUNCTION("""COMPUTED_VALUE"""),"")</f>
        <v/>
      </c>
      <c r="L946" s="508" t="str">
        <f>IFERROR(__xludf.DUMMYFUNCTION("""COMPUTED_VALUE"""),"")</f>
        <v/>
      </c>
      <c r="M946" s="508" t="str">
        <f>IFERROR(__xludf.DUMMYFUNCTION("""COMPUTED_VALUE"""),"")</f>
        <v/>
      </c>
      <c r="N946" s="508" t="str">
        <f>IFERROR(__xludf.DUMMYFUNCTION("""COMPUTED_VALUE"""),"")</f>
        <v/>
      </c>
      <c r="O946" s="508" t="str">
        <f>IFERROR(__xludf.DUMMYFUNCTION("""COMPUTED_VALUE"""),"")</f>
        <v/>
      </c>
      <c r="P946" s="510" t="str">
        <f>IFERROR(__xludf.DUMMYFUNCTION("""COMPUTED_VALUE"""),"")</f>
        <v/>
      </c>
      <c r="Q946" s="508" t="str">
        <f>IFERROR(__xludf.DUMMYFUNCTION("""COMPUTED_VALUE"""),"")</f>
        <v/>
      </c>
      <c r="R946" s="508" t="str">
        <f>IFERROR(__xludf.DUMMYFUNCTION("""COMPUTED_VALUE"""),"")</f>
        <v/>
      </c>
      <c r="S946" s="510" t="str">
        <f>IFERROR(__xludf.DUMMYFUNCTION("""COMPUTED_VALUE"""),"")</f>
        <v/>
      </c>
      <c r="T946" s="510" t="str">
        <f>IFERROR(__xludf.DUMMYFUNCTION("""COMPUTED_VALUE"""),"")</f>
        <v/>
      </c>
    </row>
    <row r="947">
      <c r="A947" s="508" t="str">
        <f>IFERROR(__xludf.DUMMYFUNCTION("""COMPUTED_VALUE"""),"")</f>
        <v/>
      </c>
      <c r="B947" s="508" t="str">
        <f>IFERROR(__xludf.DUMMYFUNCTION("""COMPUTED_VALUE"""),"")</f>
        <v/>
      </c>
      <c r="C947" s="508" t="str">
        <f>IFERROR(__xludf.DUMMYFUNCTION("""COMPUTED_VALUE"""),"")</f>
        <v/>
      </c>
      <c r="D947" s="508" t="str">
        <f>IFERROR(__xludf.DUMMYFUNCTION("""COMPUTED_VALUE"""),"")</f>
        <v/>
      </c>
      <c r="E947" s="508" t="str">
        <f>IFERROR(__xludf.DUMMYFUNCTION("""COMPUTED_VALUE"""),"")</f>
        <v/>
      </c>
      <c r="F947" s="508" t="str">
        <f>IFERROR(__xludf.DUMMYFUNCTION("""COMPUTED_VALUE"""),"")</f>
        <v/>
      </c>
      <c r="G947" s="510" t="str">
        <f>IFERROR(__xludf.DUMMYFUNCTION("""COMPUTED_VALUE"""),"")</f>
        <v/>
      </c>
      <c r="H947" s="508" t="str">
        <f>IFERROR(__xludf.DUMMYFUNCTION("""COMPUTED_VALUE"""),"")</f>
        <v/>
      </c>
      <c r="I947" s="510" t="str">
        <f>IFERROR(__xludf.DUMMYFUNCTION("""COMPUTED_VALUE"""),"")</f>
        <v/>
      </c>
      <c r="J947" s="508" t="str">
        <f>IFERROR(__xludf.DUMMYFUNCTION("""COMPUTED_VALUE"""),"")</f>
        <v/>
      </c>
      <c r="K947" s="510" t="str">
        <f>IFERROR(__xludf.DUMMYFUNCTION("""COMPUTED_VALUE"""),"")</f>
        <v/>
      </c>
      <c r="L947" s="508" t="str">
        <f>IFERROR(__xludf.DUMMYFUNCTION("""COMPUTED_VALUE"""),"")</f>
        <v/>
      </c>
      <c r="M947" s="508" t="str">
        <f>IFERROR(__xludf.DUMMYFUNCTION("""COMPUTED_VALUE"""),"")</f>
        <v/>
      </c>
      <c r="N947" s="508" t="str">
        <f>IFERROR(__xludf.DUMMYFUNCTION("""COMPUTED_VALUE"""),"")</f>
        <v/>
      </c>
      <c r="O947" s="508" t="str">
        <f>IFERROR(__xludf.DUMMYFUNCTION("""COMPUTED_VALUE"""),"")</f>
        <v/>
      </c>
      <c r="P947" s="510" t="str">
        <f>IFERROR(__xludf.DUMMYFUNCTION("""COMPUTED_VALUE"""),"")</f>
        <v/>
      </c>
      <c r="Q947" s="508" t="str">
        <f>IFERROR(__xludf.DUMMYFUNCTION("""COMPUTED_VALUE"""),"")</f>
        <v/>
      </c>
      <c r="R947" s="508" t="str">
        <f>IFERROR(__xludf.DUMMYFUNCTION("""COMPUTED_VALUE"""),"")</f>
        <v/>
      </c>
      <c r="S947" s="510" t="str">
        <f>IFERROR(__xludf.DUMMYFUNCTION("""COMPUTED_VALUE"""),"")</f>
        <v/>
      </c>
      <c r="T947" s="510" t="str">
        <f>IFERROR(__xludf.DUMMYFUNCTION("""COMPUTED_VALUE"""),"")</f>
        <v/>
      </c>
    </row>
    <row r="948">
      <c r="A948" s="508" t="str">
        <f>IFERROR(__xludf.DUMMYFUNCTION("""COMPUTED_VALUE"""),"")</f>
        <v/>
      </c>
      <c r="B948" s="508" t="str">
        <f>IFERROR(__xludf.DUMMYFUNCTION("""COMPUTED_VALUE"""),"")</f>
        <v/>
      </c>
      <c r="C948" s="508" t="str">
        <f>IFERROR(__xludf.DUMMYFUNCTION("""COMPUTED_VALUE"""),"")</f>
        <v/>
      </c>
      <c r="D948" s="508" t="str">
        <f>IFERROR(__xludf.DUMMYFUNCTION("""COMPUTED_VALUE"""),"")</f>
        <v/>
      </c>
      <c r="E948" s="508" t="str">
        <f>IFERROR(__xludf.DUMMYFUNCTION("""COMPUTED_VALUE"""),"")</f>
        <v/>
      </c>
      <c r="F948" s="508" t="str">
        <f>IFERROR(__xludf.DUMMYFUNCTION("""COMPUTED_VALUE"""),"")</f>
        <v/>
      </c>
      <c r="G948" s="510" t="str">
        <f>IFERROR(__xludf.DUMMYFUNCTION("""COMPUTED_VALUE"""),"")</f>
        <v/>
      </c>
      <c r="H948" s="508" t="str">
        <f>IFERROR(__xludf.DUMMYFUNCTION("""COMPUTED_VALUE"""),"")</f>
        <v/>
      </c>
      <c r="I948" s="510" t="str">
        <f>IFERROR(__xludf.DUMMYFUNCTION("""COMPUTED_VALUE"""),"")</f>
        <v/>
      </c>
      <c r="J948" s="508" t="str">
        <f>IFERROR(__xludf.DUMMYFUNCTION("""COMPUTED_VALUE"""),"")</f>
        <v/>
      </c>
      <c r="K948" s="510" t="str">
        <f>IFERROR(__xludf.DUMMYFUNCTION("""COMPUTED_VALUE"""),"")</f>
        <v/>
      </c>
      <c r="L948" s="508" t="str">
        <f>IFERROR(__xludf.DUMMYFUNCTION("""COMPUTED_VALUE"""),"")</f>
        <v/>
      </c>
      <c r="M948" s="508" t="str">
        <f>IFERROR(__xludf.DUMMYFUNCTION("""COMPUTED_VALUE"""),"")</f>
        <v/>
      </c>
      <c r="N948" s="508" t="str">
        <f>IFERROR(__xludf.DUMMYFUNCTION("""COMPUTED_VALUE"""),"")</f>
        <v/>
      </c>
      <c r="O948" s="508" t="str">
        <f>IFERROR(__xludf.DUMMYFUNCTION("""COMPUTED_VALUE"""),"")</f>
        <v/>
      </c>
      <c r="P948" s="510" t="str">
        <f>IFERROR(__xludf.DUMMYFUNCTION("""COMPUTED_VALUE"""),"")</f>
        <v/>
      </c>
      <c r="Q948" s="508" t="str">
        <f>IFERROR(__xludf.DUMMYFUNCTION("""COMPUTED_VALUE"""),"")</f>
        <v/>
      </c>
      <c r="R948" s="508" t="str">
        <f>IFERROR(__xludf.DUMMYFUNCTION("""COMPUTED_VALUE"""),"")</f>
        <v/>
      </c>
      <c r="S948" s="510" t="str">
        <f>IFERROR(__xludf.DUMMYFUNCTION("""COMPUTED_VALUE"""),"")</f>
        <v/>
      </c>
      <c r="T948" s="510" t="str">
        <f>IFERROR(__xludf.DUMMYFUNCTION("""COMPUTED_VALUE"""),"")</f>
        <v/>
      </c>
    </row>
    <row r="949">
      <c r="A949" s="508" t="str">
        <f>IFERROR(__xludf.DUMMYFUNCTION("""COMPUTED_VALUE"""),"")</f>
        <v/>
      </c>
      <c r="B949" s="508" t="str">
        <f>IFERROR(__xludf.DUMMYFUNCTION("""COMPUTED_VALUE"""),"")</f>
        <v/>
      </c>
      <c r="C949" s="508" t="str">
        <f>IFERROR(__xludf.DUMMYFUNCTION("""COMPUTED_VALUE"""),"")</f>
        <v/>
      </c>
      <c r="D949" s="508" t="str">
        <f>IFERROR(__xludf.DUMMYFUNCTION("""COMPUTED_VALUE"""),"")</f>
        <v/>
      </c>
      <c r="E949" s="508" t="str">
        <f>IFERROR(__xludf.DUMMYFUNCTION("""COMPUTED_VALUE"""),"")</f>
        <v/>
      </c>
      <c r="F949" s="508" t="str">
        <f>IFERROR(__xludf.DUMMYFUNCTION("""COMPUTED_VALUE"""),"")</f>
        <v/>
      </c>
      <c r="G949" s="510" t="str">
        <f>IFERROR(__xludf.DUMMYFUNCTION("""COMPUTED_VALUE"""),"")</f>
        <v/>
      </c>
      <c r="H949" s="508" t="str">
        <f>IFERROR(__xludf.DUMMYFUNCTION("""COMPUTED_VALUE"""),"")</f>
        <v/>
      </c>
      <c r="I949" s="510" t="str">
        <f>IFERROR(__xludf.DUMMYFUNCTION("""COMPUTED_VALUE"""),"")</f>
        <v/>
      </c>
      <c r="J949" s="508" t="str">
        <f>IFERROR(__xludf.DUMMYFUNCTION("""COMPUTED_VALUE"""),"")</f>
        <v/>
      </c>
      <c r="K949" s="510" t="str">
        <f>IFERROR(__xludf.DUMMYFUNCTION("""COMPUTED_VALUE"""),"")</f>
        <v/>
      </c>
      <c r="L949" s="508" t="str">
        <f>IFERROR(__xludf.DUMMYFUNCTION("""COMPUTED_VALUE"""),"")</f>
        <v/>
      </c>
      <c r="M949" s="508" t="str">
        <f>IFERROR(__xludf.DUMMYFUNCTION("""COMPUTED_VALUE"""),"")</f>
        <v/>
      </c>
      <c r="N949" s="508" t="str">
        <f>IFERROR(__xludf.DUMMYFUNCTION("""COMPUTED_VALUE"""),"")</f>
        <v/>
      </c>
      <c r="O949" s="508" t="str">
        <f>IFERROR(__xludf.DUMMYFUNCTION("""COMPUTED_VALUE"""),"")</f>
        <v/>
      </c>
      <c r="P949" s="510" t="str">
        <f>IFERROR(__xludf.DUMMYFUNCTION("""COMPUTED_VALUE"""),"")</f>
        <v/>
      </c>
      <c r="Q949" s="508" t="str">
        <f>IFERROR(__xludf.DUMMYFUNCTION("""COMPUTED_VALUE"""),"")</f>
        <v/>
      </c>
      <c r="R949" s="508" t="str">
        <f>IFERROR(__xludf.DUMMYFUNCTION("""COMPUTED_VALUE"""),"")</f>
        <v/>
      </c>
      <c r="S949" s="510" t="str">
        <f>IFERROR(__xludf.DUMMYFUNCTION("""COMPUTED_VALUE"""),"")</f>
        <v/>
      </c>
      <c r="T949" s="510" t="str">
        <f>IFERROR(__xludf.DUMMYFUNCTION("""COMPUTED_VALUE"""),"")</f>
        <v/>
      </c>
    </row>
    <row r="950">
      <c r="A950" s="508" t="str">
        <f>IFERROR(__xludf.DUMMYFUNCTION("""COMPUTED_VALUE"""),"")</f>
        <v/>
      </c>
      <c r="B950" s="508" t="str">
        <f>IFERROR(__xludf.DUMMYFUNCTION("""COMPUTED_VALUE"""),"")</f>
        <v/>
      </c>
      <c r="C950" s="508" t="str">
        <f>IFERROR(__xludf.DUMMYFUNCTION("""COMPUTED_VALUE"""),"")</f>
        <v/>
      </c>
      <c r="D950" s="508" t="str">
        <f>IFERROR(__xludf.DUMMYFUNCTION("""COMPUTED_VALUE"""),"")</f>
        <v/>
      </c>
      <c r="E950" s="508" t="str">
        <f>IFERROR(__xludf.DUMMYFUNCTION("""COMPUTED_VALUE"""),"")</f>
        <v/>
      </c>
      <c r="F950" s="508" t="str">
        <f>IFERROR(__xludf.DUMMYFUNCTION("""COMPUTED_VALUE"""),"")</f>
        <v/>
      </c>
      <c r="G950" s="510" t="str">
        <f>IFERROR(__xludf.DUMMYFUNCTION("""COMPUTED_VALUE"""),"")</f>
        <v/>
      </c>
      <c r="H950" s="508" t="str">
        <f>IFERROR(__xludf.DUMMYFUNCTION("""COMPUTED_VALUE"""),"")</f>
        <v/>
      </c>
      <c r="I950" s="510" t="str">
        <f>IFERROR(__xludf.DUMMYFUNCTION("""COMPUTED_VALUE"""),"")</f>
        <v/>
      </c>
      <c r="J950" s="508" t="str">
        <f>IFERROR(__xludf.DUMMYFUNCTION("""COMPUTED_VALUE"""),"")</f>
        <v/>
      </c>
      <c r="K950" s="510" t="str">
        <f>IFERROR(__xludf.DUMMYFUNCTION("""COMPUTED_VALUE"""),"")</f>
        <v/>
      </c>
      <c r="L950" s="508" t="str">
        <f>IFERROR(__xludf.DUMMYFUNCTION("""COMPUTED_VALUE"""),"")</f>
        <v/>
      </c>
      <c r="M950" s="508" t="str">
        <f>IFERROR(__xludf.DUMMYFUNCTION("""COMPUTED_VALUE"""),"")</f>
        <v/>
      </c>
      <c r="N950" s="508" t="str">
        <f>IFERROR(__xludf.DUMMYFUNCTION("""COMPUTED_VALUE"""),"")</f>
        <v/>
      </c>
      <c r="O950" s="508" t="str">
        <f>IFERROR(__xludf.DUMMYFUNCTION("""COMPUTED_VALUE"""),"")</f>
        <v/>
      </c>
      <c r="P950" s="510" t="str">
        <f>IFERROR(__xludf.DUMMYFUNCTION("""COMPUTED_VALUE"""),"")</f>
        <v/>
      </c>
      <c r="Q950" s="508" t="str">
        <f>IFERROR(__xludf.DUMMYFUNCTION("""COMPUTED_VALUE"""),"")</f>
        <v/>
      </c>
      <c r="R950" s="508" t="str">
        <f>IFERROR(__xludf.DUMMYFUNCTION("""COMPUTED_VALUE"""),"")</f>
        <v/>
      </c>
      <c r="S950" s="510" t="str">
        <f>IFERROR(__xludf.DUMMYFUNCTION("""COMPUTED_VALUE"""),"")</f>
        <v/>
      </c>
      <c r="T950" s="510" t="str">
        <f>IFERROR(__xludf.DUMMYFUNCTION("""COMPUTED_VALUE"""),"")</f>
        <v/>
      </c>
    </row>
    <row r="951">
      <c r="A951" s="508" t="str">
        <f>IFERROR(__xludf.DUMMYFUNCTION("""COMPUTED_VALUE"""),"")</f>
        <v/>
      </c>
      <c r="B951" s="508" t="str">
        <f>IFERROR(__xludf.DUMMYFUNCTION("""COMPUTED_VALUE"""),"")</f>
        <v/>
      </c>
      <c r="C951" s="508" t="str">
        <f>IFERROR(__xludf.DUMMYFUNCTION("""COMPUTED_VALUE"""),"")</f>
        <v/>
      </c>
      <c r="D951" s="508" t="str">
        <f>IFERROR(__xludf.DUMMYFUNCTION("""COMPUTED_VALUE"""),"")</f>
        <v/>
      </c>
      <c r="E951" s="508" t="str">
        <f>IFERROR(__xludf.DUMMYFUNCTION("""COMPUTED_VALUE"""),"")</f>
        <v/>
      </c>
      <c r="F951" s="508" t="str">
        <f>IFERROR(__xludf.DUMMYFUNCTION("""COMPUTED_VALUE"""),"")</f>
        <v/>
      </c>
      <c r="G951" s="510" t="str">
        <f>IFERROR(__xludf.DUMMYFUNCTION("""COMPUTED_VALUE"""),"")</f>
        <v/>
      </c>
      <c r="H951" s="508" t="str">
        <f>IFERROR(__xludf.DUMMYFUNCTION("""COMPUTED_VALUE"""),"")</f>
        <v/>
      </c>
      <c r="I951" s="510" t="str">
        <f>IFERROR(__xludf.DUMMYFUNCTION("""COMPUTED_VALUE"""),"")</f>
        <v/>
      </c>
      <c r="J951" s="508" t="str">
        <f>IFERROR(__xludf.DUMMYFUNCTION("""COMPUTED_VALUE"""),"")</f>
        <v/>
      </c>
      <c r="K951" s="510" t="str">
        <f>IFERROR(__xludf.DUMMYFUNCTION("""COMPUTED_VALUE"""),"")</f>
        <v/>
      </c>
      <c r="L951" s="508" t="str">
        <f>IFERROR(__xludf.DUMMYFUNCTION("""COMPUTED_VALUE"""),"")</f>
        <v/>
      </c>
      <c r="M951" s="508" t="str">
        <f>IFERROR(__xludf.DUMMYFUNCTION("""COMPUTED_VALUE"""),"")</f>
        <v/>
      </c>
      <c r="N951" s="508" t="str">
        <f>IFERROR(__xludf.DUMMYFUNCTION("""COMPUTED_VALUE"""),"")</f>
        <v/>
      </c>
      <c r="O951" s="508" t="str">
        <f>IFERROR(__xludf.DUMMYFUNCTION("""COMPUTED_VALUE"""),"")</f>
        <v/>
      </c>
      <c r="P951" s="510" t="str">
        <f>IFERROR(__xludf.DUMMYFUNCTION("""COMPUTED_VALUE"""),"")</f>
        <v/>
      </c>
      <c r="Q951" s="508" t="str">
        <f>IFERROR(__xludf.DUMMYFUNCTION("""COMPUTED_VALUE"""),"")</f>
        <v/>
      </c>
      <c r="R951" s="508" t="str">
        <f>IFERROR(__xludf.DUMMYFUNCTION("""COMPUTED_VALUE"""),"")</f>
        <v/>
      </c>
      <c r="S951" s="510" t="str">
        <f>IFERROR(__xludf.DUMMYFUNCTION("""COMPUTED_VALUE"""),"")</f>
        <v/>
      </c>
      <c r="T951" s="510" t="str">
        <f>IFERROR(__xludf.DUMMYFUNCTION("""COMPUTED_VALUE"""),"")</f>
        <v/>
      </c>
    </row>
    <row r="952">
      <c r="A952" s="508" t="str">
        <f>IFERROR(__xludf.DUMMYFUNCTION("""COMPUTED_VALUE"""),"")</f>
        <v/>
      </c>
      <c r="B952" s="508" t="str">
        <f>IFERROR(__xludf.DUMMYFUNCTION("""COMPUTED_VALUE"""),"")</f>
        <v/>
      </c>
      <c r="C952" s="508" t="str">
        <f>IFERROR(__xludf.DUMMYFUNCTION("""COMPUTED_VALUE"""),"")</f>
        <v/>
      </c>
      <c r="D952" s="508" t="str">
        <f>IFERROR(__xludf.DUMMYFUNCTION("""COMPUTED_VALUE"""),"")</f>
        <v/>
      </c>
      <c r="E952" s="508" t="str">
        <f>IFERROR(__xludf.DUMMYFUNCTION("""COMPUTED_VALUE"""),"")</f>
        <v/>
      </c>
      <c r="F952" s="508" t="str">
        <f>IFERROR(__xludf.DUMMYFUNCTION("""COMPUTED_VALUE"""),"")</f>
        <v/>
      </c>
      <c r="G952" s="510" t="str">
        <f>IFERROR(__xludf.DUMMYFUNCTION("""COMPUTED_VALUE"""),"")</f>
        <v/>
      </c>
      <c r="H952" s="508" t="str">
        <f>IFERROR(__xludf.DUMMYFUNCTION("""COMPUTED_VALUE"""),"")</f>
        <v/>
      </c>
      <c r="I952" s="510" t="str">
        <f>IFERROR(__xludf.DUMMYFUNCTION("""COMPUTED_VALUE"""),"")</f>
        <v/>
      </c>
      <c r="J952" s="508" t="str">
        <f>IFERROR(__xludf.DUMMYFUNCTION("""COMPUTED_VALUE"""),"")</f>
        <v/>
      </c>
      <c r="K952" s="510" t="str">
        <f>IFERROR(__xludf.DUMMYFUNCTION("""COMPUTED_VALUE"""),"")</f>
        <v/>
      </c>
      <c r="L952" s="508" t="str">
        <f>IFERROR(__xludf.DUMMYFUNCTION("""COMPUTED_VALUE"""),"")</f>
        <v/>
      </c>
      <c r="M952" s="508" t="str">
        <f>IFERROR(__xludf.DUMMYFUNCTION("""COMPUTED_VALUE"""),"")</f>
        <v/>
      </c>
      <c r="N952" s="508" t="str">
        <f>IFERROR(__xludf.DUMMYFUNCTION("""COMPUTED_VALUE"""),"")</f>
        <v/>
      </c>
      <c r="O952" s="508" t="str">
        <f>IFERROR(__xludf.DUMMYFUNCTION("""COMPUTED_VALUE"""),"")</f>
        <v/>
      </c>
      <c r="P952" s="510" t="str">
        <f>IFERROR(__xludf.DUMMYFUNCTION("""COMPUTED_VALUE"""),"")</f>
        <v/>
      </c>
      <c r="Q952" s="508" t="str">
        <f>IFERROR(__xludf.DUMMYFUNCTION("""COMPUTED_VALUE"""),"")</f>
        <v/>
      </c>
      <c r="R952" s="508" t="str">
        <f>IFERROR(__xludf.DUMMYFUNCTION("""COMPUTED_VALUE"""),"")</f>
        <v/>
      </c>
      <c r="S952" s="510" t="str">
        <f>IFERROR(__xludf.DUMMYFUNCTION("""COMPUTED_VALUE"""),"")</f>
        <v/>
      </c>
      <c r="T952" s="510" t="str">
        <f>IFERROR(__xludf.DUMMYFUNCTION("""COMPUTED_VALUE"""),"")</f>
        <v/>
      </c>
    </row>
    <row r="953">
      <c r="A953" s="508" t="str">
        <f>IFERROR(__xludf.DUMMYFUNCTION("""COMPUTED_VALUE"""),"")</f>
        <v/>
      </c>
      <c r="B953" s="508" t="str">
        <f>IFERROR(__xludf.DUMMYFUNCTION("""COMPUTED_VALUE"""),"")</f>
        <v/>
      </c>
      <c r="C953" s="508" t="str">
        <f>IFERROR(__xludf.DUMMYFUNCTION("""COMPUTED_VALUE"""),"")</f>
        <v/>
      </c>
      <c r="D953" s="508" t="str">
        <f>IFERROR(__xludf.DUMMYFUNCTION("""COMPUTED_VALUE"""),"")</f>
        <v/>
      </c>
      <c r="E953" s="508" t="str">
        <f>IFERROR(__xludf.DUMMYFUNCTION("""COMPUTED_VALUE"""),"")</f>
        <v/>
      </c>
      <c r="F953" s="508" t="str">
        <f>IFERROR(__xludf.DUMMYFUNCTION("""COMPUTED_VALUE"""),"")</f>
        <v/>
      </c>
      <c r="G953" s="510" t="str">
        <f>IFERROR(__xludf.DUMMYFUNCTION("""COMPUTED_VALUE"""),"")</f>
        <v/>
      </c>
      <c r="H953" s="508" t="str">
        <f>IFERROR(__xludf.DUMMYFUNCTION("""COMPUTED_VALUE"""),"")</f>
        <v/>
      </c>
      <c r="I953" s="510" t="str">
        <f>IFERROR(__xludf.DUMMYFUNCTION("""COMPUTED_VALUE"""),"")</f>
        <v/>
      </c>
      <c r="J953" s="508" t="str">
        <f>IFERROR(__xludf.DUMMYFUNCTION("""COMPUTED_VALUE"""),"")</f>
        <v/>
      </c>
      <c r="K953" s="510" t="str">
        <f>IFERROR(__xludf.DUMMYFUNCTION("""COMPUTED_VALUE"""),"")</f>
        <v/>
      </c>
      <c r="L953" s="508" t="str">
        <f>IFERROR(__xludf.DUMMYFUNCTION("""COMPUTED_VALUE"""),"")</f>
        <v/>
      </c>
      <c r="M953" s="508" t="str">
        <f>IFERROR(__xludf.DUMMYFUNCTION("""COMPUTED_VALUE"""),"")</f>
        <v/>
      </c>
      <c r="N953" s="508" t="str">
        <f>IFERROR(__xludf.DUMMYFUNCTION("""COMPUTED_VALUE"""),"")</f>
        <v/>
      </c>
      <c r="O953" s="508" t="str">
        <f>IFERROR(__xludf.DUMMYFUNCTION("""COMPUTED_VALUE"""),"")</f>
        <v/>
      </c>
      <c r="P953" s="510" t="str">
        <f>IFERROR(__xludf.DUMMYFUNCTION("""COMPUTED_VALUE"""),"")</f>
        <v/>
      </c>
      <c r="Q953" s="508" t="str">
        <f>IFERROR(__xludf.DUMMYFUNCTION("""COMPUTED_VALUE"""),"")</f>
        <v/>
      </c>
      <c r="R953" s="508" t="str">
        <f>IFERROR(__xludf.DUMMYFUNCTION("""COMPUTED_VALUE"""),"")</f>
        <v/>
      </c>
      <c r="S953" s="510" t="str">
        <f>IFERROR(__xludf.DUMMYFUNCTION("""COMPUTED_VALUE"""),"")</f>
        <v/>
      </c>
      <c r="T953" s="510" t="str">
        <f>IFERROR(__xludf.DUMMYFUNCTION("""COMPUTED_VALUE"""),"")</f>
        <v/>
      </c>
    </row>
    <row r="954">
      <c r="A954" s="508" t="str">
        <f>IFERROR(__xludf.DUMMYFUNCTION("""COMPUTED_VALUE"""),"")</f>
        <v/>
      </c>
      <c r="B954" s="508" t="str">
        <f>IFERROR(__xludf.DUMMYFUNCTION("""COMPUTED_VALUE"""),"")</f>
        <v/>
      </c>
      <c r="C954" s="508" t="str">
        <f>IFERROR(__xludf.DUMMYFUNCTION("""COMPUTED_VALUE"""),"")</f>
        <v/>
      </c>
      <c r="D954" s="508" t="str">
        <f>IFERROR(__xludf.DUMMYFUNCTION("""COMPUTED_VALUE"""),"")</f>
        <v/>
      </c>
      <c r="E954" s="508" t="str">
        <f>IFERROR(__xludf.DUMMYFUNCTION("""COMPUTED_VALUE"""),"")</f>
        <v/>
      </c>
      <c r="F954" s="508" t="str">
        <f>IFERROR(__xludf.DUMMYFUNCTION("""COMPUTED_VALUE"""),"")</f>
        <v/>
      </c>
      <c r="G954" s="510" t="str">
        <f>IFERROR(__xludf.DUMMYFUNCTION("""COMPUTED_VALUE"""),"")</f>
        <v/>
      </c>
      <c r="H954" s="508" t="str">
        <f>IFERROR(__xludf.DUMMYFUNCTION("""COMPUTED_VALUE"""),"")</f>
        <v/>
      </c>
      <c r="I954" s="510" t="str">
        <f>IFERROR(__xludf.DUMMYFUNCTION("""COMPUTED_VALUE"""),"")</f>
        <v/>
      </c>
      <c r="J954" s="508" t="str">
        <f>IFERROR(__xludf.DUMMYFUNCTION("""COMPUTED_VALUE"""),"")</f>
        <v/>
      </c>
      <c r="K954" s="510" t="str">
        <f>IFERROR(__xludf.DUMMYFUNCTION("""COMPUTED_VALUE"""),"")</f>
        <v/>
      </c>
      <c r="L954" s="508" t="str">
        <f>IFERROR(__xludf.DUMMYFUNCTION("""COMPUTED_VALUE"""),"")</f>
        <v/>
      </c>
      <c r="M954" s="508" t="str">
        <f>IFERROR(__xludf.DUMMYFUNCTION("""COMPUTED_VALUE"""),"")</f>
        <v/>
      </c>
      <c r="N954" s="508" t="str">
        <f>IFERROR(__xludf.DUMMYFUNCTION("""COMPUTED_VALUE"""),"")</f>
        <v/>
      </c>
      <c r="O954" s="508" t="str">
        <f>IFERROR(__xludf.DUMMYFUNCTION("""COMPUTED_VALUE"""),"")</f>
        <v/>
      </c>
      <c r="P954" s="510" t="str">
        <f>IFERROR(__xludf.DUMMYFUNCTION("""COMPUTED_VALUE"""),"")</f>
        <v/>
      </c>
      <c r="Q954" s="508" t="str">
        <f>IFERROR(__xludf.DUMMYFUNCTION("""COMPUTED_VALUE"""),"")</f>
        <v/>
      </c>
      <c r="R954" s="508" t="str">
        <f>IFERROR(__xludf.DUMMYFUNCTION("""COMPUTED_VALUE"""),"")</f>
        <v/>
      </c>
      <c r="S954" s="510" t="str">
        <f>IFERROR(__xludf.DUMMYFUNCTION("""COMPUTED_VALUE"""),"")</f>
        <v/>
      </c>
      <c r="T954" s="510" t="str">
        <f>IFERROR(__xludf.DUMMYFUNCTION("""COMPUTED_VALUE"""),"")</f>
        <v/>
      </c>
    </row>
    <row r="955">
      <c r="A955" s="508" t="str">
        <f>IFERROR(__xludf.DUMMYFUNCTION("""COMPUTED_VALUE"""),"")</f>
        <v/>
      </c>
      <c r="B955" s="508" t="str">
        <f>IFERROR(__xludf.DUMMYFUNCTION("""COMPUTED_VALUE"""),"")</f>
        <v/>
      </c>
      <c r="C955" s="508" t="str">
        <f>IFERROR(__xludf.DUMMYFUNCTION("""COMPUTED_VALUE"""),"")</f>
        <v/>
      </c>
      <c r="D955" s="508" t="str">
        <f>IFERROR(__xludf.DUMMYFUNCTION("""COMPUTED_VALUE"""),"")</f>
        <v/>
      </c>
      <c r="E955" s="508" t="str">
        <f>IFERROR(__xludf.DUMMYFUNCTION("""COMPUTED_VALUE"""),"")</f>
        <v/>
      </c>
      <c r="F955" s="508" t="str">
        <f>IFERROR(__xludf.DUMMYFUNCTION("""COMPUTED_VALUE"""),"")</f>
        <v/>
      </c>
      <c r="G955" s="510" t="str">
        <f>IFERROR(__xludf.DUMMYFUNCTION("""COMPUTED_VALUE"""),"")</f>
        <v/>
      </c>
      <c r="H955" s="508" t="str">
        <f>IFERROR(__xludf.DUMMYFUNCTION("""COMPUTED_VALUE"""),"")</f>
        <v/>
      </c>
      <c r="I955" s="510" t="str">
        <f>IFERROR(__xludf.DUMMYFUNCTION("""COMPUTED_VALUE"""),"")</f>
        <v/>
      </c>
      <c r="J955" s="508" t="str">
        <f>IFERROR(__xludf.DUMMYFUNCTION("""COMPUTED_VALUE"""),"")</f>
        <v/>
      </c>
      <c r="K955" s="510" t="str">
        <f>IFERROR(__xludf.DUMMYFUNCTION("""COMPUTED_VALUE"""),"")</f>
        <v/>
      </c>
      <c r="L955" s="508" t="str">
        <f>IFERROR(__xludf.DUMMYFUNCTION("""COMPUTED_VALUE"""),"")</f>
        <v/>
      </c>
      <c r="M955" s="508" t="str">
        <f>IFERROR(__xludf.DUMMYFUNCTION("""COMPUTED_VALUE"""),"")</f>
        <v/>
      </c>
      <c r="N955" s="508" t="str">
        <f>IFERROR(__xludf.DUMMYFUNCTION("""COMPUTED_VALUE"""),"")</f>
        <v/>
      </c>
      <c r="O955" s="508" t="str">
        <f>IFERROR(__xludf.DUMMYFUNCTION("""COMPUTED_VALUE"""),"")</f>
        <v/>
      </c>
      <c r="P955" s="510" t="str">
        <f>IFERROR(__xludf.DUMMYFUNCTION("""COMPUTED_VALUE"""),"")</f>
        <v/>
      </c>
      <c r="Q955" s="508" t="str">
        <f>IFERROR(__xludf.DUMMYFUNCTION("""COMPUTED_VALUE"""),"")</f>
        <v/>
      </c>
      <c r="R955" s="508" t="str">
        <f>IFERROR(__xludf.DUMMYFUNCTION("""COMPUTED_VALUE"""),"")</f>
        <v/>
      </c>
      <c r="S955" s="510" t="str">
        <f>IFERROR(__xludf.DUMMYFUNCTION("""COMPUTED_VALUE"""),"")</f>
        <v/>
      </c>
      <c r="T955" s="510" t="str">
        <f>IFERROR(__xludf.DUMMYFUNCTION("""COMPUTED_VALUE"""),"")</f>
        <v/>
      </c>
    </row>
    <row r="956">
      <c r="A956" s="508" t="str">
        <f>IFERROR(__xludf.DUMMYFUNCTION("""COMPUTED_VALUE"""),"")</f>
        <v/>
      </c>
      <c r="B956" s="508" t="str">
        <f>IFERROR(__xludf.DUMMYFUNCTION("""COMPUTED_VALUE"""),"")</f>
        <v/>
      </c>
      <c r="C956" s="508" t="str">
        <f>IFERROR(__xludf.DUMMYFUNCTION("""COMPUTED_VALUE"""),"")</f>
        <v/>
      </c>
      <c r="D956" s="508" t="str">
        <f>IFERROR(__xludf.DUMMYFUNCTION("""COMPUTED_VALUE"""),"")</f>
        <v/>
      </c>
      <c r="E956" s="508" t="str">
        <f>IFERROR(__xludf.DUMMYFUNCTION("""COMPUTED_VALUE"""),"")</f>
        <v/>
      </c>
      <c r="F956" s="508" t="str">
        <f>IFERROR(__xludf.DUMMYFUNCTION("""COMPUTED_VALUE"""),"")</f>
        <v/>
      </c>
      <c r="G956" s="510" t="str">
        <f>IFERROR(__xludf.DUMMYFUNCTION("""COMPUTED_VALUE"""),"")</f>
        <v/>
      </c>
      <c r="H956" s="508" t="str">
        <f>IFERROR(__xludf.DUMMYFUNCTION("""COMPUTED_VALUE"""),"")</f>
        <v/>
      </c>
      <c r="I956" s="510" t="str">
        <f>IFERROR(__xludf.DUMMYFUNCTION("""COMPUTED_VALUE"""),"")</f>
        <v/>
      </c>
      <c r="J956" s="508" t="str">
        <f>IFERROR(__xludf.DUMMYFUNCTION("""COMPUTED_VALUE"""),"")</f>
        <v/>
      </c>
      <c r="K956" s="510" t="str">
        <f>IFERROR(__xludf.DUMMYFUNCTION("""COMPUTED_VALUE"""),"")</f>
        <v/>
      </c>
      <c r="L956" s="508" t="str">
        <f>IFERROR(__xludf.DUMMYFUNCTION("""COMPUTED_VALUE"""),"")</f>
        <v/>
      </c>
      <c r="M956" s="508" t="str">
        <f>IFERROR(__xludf.DUMMYFUNCTION("""COMPUTED_VALUE"""),"")</f>
        <v/>
      </c>
      <c r="N956" s="508" t="str">
        <f>IFERROR(__xludf.DUMMYFUNCTION("""COMPUTED_VALUE"""),"")</f>
        <v/>
      </c>
      <c r="O956" s="508" t="str">
        <f>IFERROR(__xludf.DUMMYFUNCTION("""COMPUTED_VALUE"""),"")</f>
        <v/>
      </c>
      <c r="P956" s="510" t="str">
        <f>IFERROR(__xludf.DUMMYFUNCTION("""COMPUTED_VALUE"""),"")</f>
        <v/>
      </c>
      <c r="Q956" s="508" t="str">
        <f>IFERROR(__xludf.DUMMYFUNCTION("""COMPUTED_VALUE"""),"")</f>
        <v/>
      </c>
      <c r="R956" s="508" t="str">
        <f>IFERROR(__xludf.DUMMYFUNCTION("""COMPUTED_VALUE"""),"")</f>
        <v/>
      </c>
      <c r="S956" s="510" t="str">
        <f>IFERROR(__xludf.DUMMYFUNCTION("""COMPUTED_VALUE"""),"")</f>
        <v/>
      </c>
      <c r="T956" s="510" t="str">
        <f>IFERROR(__xludf.DUMMYFUNCTION("""COMPUTED_VALUE"""),"")</f>
        <v/>
      </c>
    </row>
    <row r="957">
      <c r="A957" s="508" t="str">
        <f>IFERROR(__xludf.DUMMYFUNCTION("""COMPUTED_VALUE"""),"")</f>
        <v/>
      </c>
      <c r="B957" s="508" t="str">
        <f>IFERROR(__xludf.DUMMYFUNCTION("""COMPUTED_VALUE"""),"")</f>
        <v/>
      </c>
      <c r="C957" s="508" t="str">
        <f>IFERROR(__xludf.DUMMYFUNCTION("""COMPUTED_VALUE"""),"")</f>
        <v/>
      </c>
      <c r="D957" s="508" t="str">
        <f>IFERROR(__xludf.DUMMYFUNCTION("""COMPUTED_VALUE"""),"")</f>
        <v/>
      </c>
      <c r="E957" s="508" t="str">
        <f>IFERROR(__xludf.DUMMYFUNCTION("""COMPUTED_VALUE"""),"")</f>
        <v/>
      </c>
      <c r="F957" s="508" t="str">
        <f>IFERROR(__xludf.DUMMYFUNCTION("""COMPUTED_VALUE"""),"")</f>
        <v/>
      </c>
      <c r="G957" s="510" t="str">
        <f>IFERROR(__xludf.DUMMYFUNCTION("""COMPUTED_VALUE"""),"")</f>
        <v/>
      </c>
      <c r="H957" s="508" t="str">
        <f>IFERROR(__xludf.DUMMYFUNCTION("""COMPUTED_VALUE"""),"")</f>
        <v/>
      </c>
      <c r="I957" s="510" t="str">
        <f>IFERROR(__xludf.DUMMYFUNCTION("""COMPUTED_VALUE"""),"")</f>
        <v/>
      </c>
      <c r="J957" s="508" t="str">
        <f>IFERROR(__xludf.DUMMYFUNCTION("""COMPUTED_VALUE"""),"")</f>
        <v/>
      </c>
      <c r="K957" s="510" t="str">
        <f>IFERROR(__xludf.DUMMYFUNCTION("""COMPUTED_VALUE"""),"")</f>
        <v/>
      </c>
      <c r="L957" s="508" t="str">
        <f>IFERROR(__xludf.DUMMYFUNCTION("""COMPUTED_VALUE"""),"")</f>
        <v/>
      </c>
      <c r="M957" s="508" t="str">
        <f>IFERROR(__xludf.DUMMYFUNCTION("""COMPUTED_VALUE"""),"")</f>
        <v/>
      </c>
      <c r="N957" s="508" t="str">
        <f>IFERROR(__xludf.DUMMYFUNCTION("""COMPUTED_VALUE"""),"")</f>
        <v/>
      </c>
      <c r="O957" s="508" t="str">
        <f>IFERROR(__xludf.DUMMYFUNCTION("""COMPUTED_VALUE"""),"")</f>
        <v/>
      </c>
      <c r="P957" s="510" t="str">
        <f>IFERROR(__xludf.DUMMYFUNCTION("""COMPUTED_VALUE"""),"")</f>
        <v/>
      </c>
      <c r="Q957" s="508" t="str">
        <f>IFERROR(__xludf.DUMMYFUNCTION("""COMPUTED_VALUE"""),"")</f>
        <v/>
      </c>
      <c r="R957" s="508" t="str">
        <f>IFERROR(__xludf.DUMMYFUNCTION("""COMPUTED_VALUE"""),"")</f>
        <v/>
      </c>
      <c r="S957" s="510" t="str">
        <f>IFERROR(__xludf.DUMMYFUNCTION("""COMPUTED_VALUE"""),"")</f>
        <v/>
      </c>
      <c r="T957" s="510" t="str">
        <f>IFERROR(__xludf.DUMMYFUNCTION("""COMPUTED_VALUE"""),"")</f>
        <v/>
      </c>
    </row>
    <row r="958">
      <c r="A958" s="508" t="str">
        <f>IFERROR(__xludf.DUMMYFUNCTION("""COMPUTED_VALUE"""),"")</f>
        <v/>
      </c>
      <c r="B958" s="508" t="str">
        <f>IFERROR(__xludf.DUMMYFUNCTION("""COMPUTED_VALUE"""),"")</f>
        <v/>
      </c>
      <c r="C958" s="508" t="str">
        <f>IFERROR(__xludf.DUMMYFUNCTION("""COMPUTED_VALUE"""),"")</f>
        <v/>
      </c>
      <c r="D958" s="508" t="str">
        <f>IFERROR(__xludf.DUMMYFUNCTION("""COMPUTED_VALUE"""),"")</f>
        <v/>
      </c>
      <c r="E958" s="508" t="str">
        <f>IFERROR(__xludf.DUMMYFUNCTION("""COMPUTED_VALUE"""),"")</f>
        <v/>
      </c>
      <c r="F958" s="508" t="str">
        <f>IFERROR(__xludf.DUMMYFUNCTION("""COMPUTED_VALUE"""),"")</f>
        <v/>
      </c>
      <c r="G958" s="510" t="str">
        <f>IFERROR(__xludf.DUMMYFUNCTION("""COMPUTED_VALUE"""),"")</f>
        <v/>
      </c>
      <c r="H958" s="508" t="str">
        <f>IFERROR(__xludf.DUMMYFUNCTION("""COMPUTED_VALUE"""),"")</f>
        <v/>
      </c>
      <c r="I958" s="510" t="str">
        <f>IFERROR(__xludf.DUMMYFUNCTION("""COMPUTED_VALUE"""),"")</f>
        <v/>
      </c>
      <c r="J958" s="508" t="str">
        <f>IFERROR(__xludf.DUMMYFUNCTION("""COMPUTED_VALUE"""),"")</f>
        <v/>
      </c>
      <c r="K958" s="510" t="str">
        <f>IFERROR(__xludf.DUMMYFUNCTION("""COMPUTED_VALUE"""),"")</f>
        <v/>
      </c>
      <c r="L958" s="508" t="str">
        <f>IFERROR(__xludf.DUMMYFUNCTION("""COMPUTED_VALUE"""),"")</f>
        <v/>
      </c>
      <c r="M958" s="508" t="str">
        <f>IFERROR(__xludf.DUMMYFUNCTION("""COMPUTED_VALUE"""),"")</f>
        <v/>
      </c>
      <c r="N958" s="508" t="str">
        <f>IFERROR(__xludf.DUMMYFUNCTION("""COMPUTED_VALUE"""),"")</f>
        <v/>
      </c>
      <c r="O958" s="508" t="str">
        <f>IFERROR(__xludf.DUMMYFUNCTION("""COMPUTED_VALUE"""),"")</f>
        <v/>
      </c>
      <c r="P958" s="510" t="str">
        <f>IFERROR(__xludf.DUMMYFUNCTION("""COMPUTED_VALUE"""),"")</f>
        <v/>
      </c>
      <c r="Q958" s="508" t="str">
        <f>IFERROR(__xludf.DUMMYFUNCTION("""COMPUTED_VALUE"""),"")</f>
        <v/>
      </c>
      <c r="R958" s="508" t="str">
        <f>IFERROR(__xludf.DUMMYFUNCTION("""COMPUTED_VALUE"""),"")</f>
        <v/>
      </c>
      <c r="S958" s="510" t="str">
        <f>IFERROR(__xludf.DUMMYFUNCTION("""COMPUTED_VALUE"""),"")</f>
        <v/>
      </c>
      <c r="T958" s="510" t="str">
        <f>IFERROR(__xludf.DUMMYFUNCTION("""COMPUTED_VALUE"""),"")</f>
        <v/>
      </c>
    </row>
    <row r="959">
      <c r="A959" s="508" t="str">
        <f>IFERROR(__xludf.DUMMYFUNCTION("""COMPUTED_VALUE"""),"")</f>
        <v/>
      </c>
      <c r="B959" s="508" t="str">
        <f>IFERROR(__xludf.DUMMYFUNCTION("""COMPUTED_VALUE"""),"")</f>
        <v/>
      </c>
      <c r="C959" s="508" t="str">
        <f>IFERROR(__xludf.DUMMYFUNCTION("""COMPUTED_VALUE"""),"")</f>
        <v/>
      </c>
      <c r="D959" s="508" t="str">
        <f>IFERROR(__xludf.DUMMYFUNCTION("""COMPUTED_VALUE"""),"")</f>
        <v/>
      </c>
      <c r="E959" s="508" t="str">
        <f>IFERROR(__xludf.DUMMYFUNCTION("""COMPUTED_VALUE"""),"")</f>
        <v/>
      </c>
      <c r="F959" s="508" t="str">
        <f>IFERROR(__xludf.DUMMYFUNCTION("""COMPUTED_VALUE"""),"")</f>
        <v/>
      </c>
      <c r="G959" s="510" t="str">
        <f>IFERROR(__xludf.DUMMYFUNCTION("""COMPUTED_VALUE"""),"")</f>
        <v/>
      </c>
      <c r="H959" s="508" t="str">
        <f>IFERROR(__xludf.DUMMYFUNCTION("""COMPUTED_VALUE"""),"")</f>
        <v/>
      </c>
      <c r="I959" s="510" t="str">
        <f>IFERROR(__xludf.DUMMYFUNCTION("""COMPUTED_VALUE"""),"")</f>
        <v/>
      </c>
      <c r="J959" s="508" t="str">
        <f>IFERROR(__xludf.DUMMYFUNCTION("""COMPUTED_VALUE"""),"")</f>
        <v/>
      </c>
      <c r="K959" s="510" t="str">
        <f>IFERROR(__xludf.DUMMYFUNCTION("""COMPUTED_VALUE"""),"")</f>
        <v/>
      </c>
      <c r="L959" s="508" t="str">
        <f>IFERROR(__xludf.DUMMYFUNCTION("""COMPUTED_VALUE"""),"")</f>
        <v/>
      </c>
      <c r="M959" s="508" t="str">
        <f>IFERROR(__xludf.DUMMYFUNCTION("""COMPUTED_VALUE"""),"")</f>
        <v/>
      </c>
      <c r="N959" s="508" t="str">
        <f>IFERROR(__xludf.DUMMYFUNCTION("""COMPUTED_VALUE"""),"")</f>
        <v/>
      </c>
      <c r="O959" s="508" t="str">
        <f>IFERROR(__xludf.DUMMYFUNCTION("""COMPUTED_VALUE"""),"")</f>
        <v/>
      </c>
      <c r="P959" s="510" t="str">
        <f>IFERROR(__xludf.DUMMYFUNCTION("""COMPUTED_VALUE"""),"")</f>
        <v/>
      </c>
      <c r="Q959" s="508" t="str">
        <f>IFERROR(__xludf.DUMMYFUNCTION("""COMPUTED_VALUE"""),"")</f>
        <v/>
      </c>
      <c r="R959" s="508" t="str">
        <f>IFERROR(__xludf.DUMMYFUNCTION("""COMPUTED_VALUE"""),"")</f>
        <v/>
      </c>
      <c r="S959" s="510" t="str">
        <f>IFERROR(__xludf.DUMMYFUNCTION("""COMPUTED_VALUE"""),"")</f>
        <v/>
      </c>
      <c r="T959" s="510" t="str">
        <f>IFERROR(__xludf.DUMMYFUNCTION("""COMPUTED_VALUE"""),"")</f>
        <v/>
      </c>
    </row>
    <row r="960">
      <c r="A960" s="508" t="str">
        <f>IFERROR(__xludf.DUMMYFUNCTION("""COMPUTED_VALUE"""),"")</f>
        <v/>
      </c>
      <c r="B960" s="508" t="str">
        <f>IFERROR(__xludf.DUMMYFUNCTION("""COMPUTED_VALUE"""),"")</f>
        <v/>
      </c>
      <c r="C960" s="508" t="str">
        <f>IFERROR(__xludf.DUMMYFUNCTION("""COMPUTED_VALUE"""),"")</f>
        <v/>
      </c>
      <c r="D960" s="508" t="str">
        <f>IFERROR(__xludf.DUMMYFUNCTION("""COMPUTED_VALUE"""),"")</f>
        <v/>
      </c>
      <c r="E960" s="508" t="str">
        <f>IFERROR(__xludf.DUMMYFUNCTION("""COMPUTED_VALUE"""),"")</f>
        <v/>
      </c>
      <c r="F960" s="508" t="str">
        <f>IFERROR(__xludf.DUMMYFUNCTION("""COMPUTED_VALUE"""),"")</f>
        <v/>
      </c>
      <c r="G960" s="510" t="str">
        <f>IFERROR(__xludf.DUMMYFUNCTION("""COMPUTED_VALUE"""),"")</f>
        <v/>
      </c>
      <c r="H960" s="508" t="str">
        <f>IFERROR(__xludf.DUMMYFUNCTION("""COMPUTED_VALUE"""),"")</f>
        <v/>
      </c>
      <c r="I960" s="510" t="str">
        <f>IFERROR(__xludf.DUMMYFUNCTION("""COMPUTED_VALUE"""),"")</f>
        <v/>
      </c>
      <c r="J960" s="508" t="str">
        <f>IFERROR(__xludf.DUMMYFUNCTION("""COMPUTED_VALUE"""),"")</f>
        <v/>
      </c>
      <c r="K960" s="510" t="str">
        <f>IFERROR(__xludf.DUMMYFUNCTION("""COMPUTED_VALUE"""),"")</f>
        <v/>
      </c>
      <c r="L960" s="508" t="str">
        <f>IFERROR(__xludf.DUMMYFUNCTION("""COMPUTED_VALUE"""),"")</f>
        <v/>
      </c>
      <c r="M960" s="508" t="str">
        <f>IFERROR(__xludf.DUMMYFUNCTION("""COMPUTED_VALUE"""),"")</f>
        <v/>
      </c>
      <c r="N960" s="508" t="str">
        <f>IFERROR(__xludf.DUMMYFUNCTION("""COMPUTED_VALUE"""),"")</f>
        <v/>
      </c>
      <c r="O960" s="508" t="str">
        <f>IFERROR(__xludf.DUMMYFUNCTION("""COMPUTED_VALUE"""),"")</f>
        <v/>
      </c>
      <c r="P960" s="510" t="str">
        <f>IFERROR(__xludf.DUMMYFUNCTION("""COMPUTED_VALUE"""),"")</f>
        <v/>
      </c>
      <c r="Q960" s="508" t="str">
        <f>IFERROR(__xludf.DUMMYFUNCTION("""COMPUTED_VALUE"""),"")</f>
        <v/>
      </c>
      <c r="R960" s="508" t="str">
        <f>IFERROR(__xludf.DUMMYFUNCTION("""COMPUTED_VALUE"""),"")</f>
        <v/>
      </c>
      <c r="S960" s="510" t="str">
        <f>IFERROR(__xludf.DUMMYFUNCTION("""COMPUTED_VALUE"""),"")</f>
        <v/>
      </c>
      <c r="T960" s="510" t="str">
        <f>IFERROR(__xludf.DUMMYFUNCTION("""COMPUTED_VALUE"""),"")</f>
        <v/>
      </c>
    </row>
    <row r="961">
      <c r="A961" s="508" t="str">
        <f>IFERROR(__xludf.DUMMYFUNCTION("""COMPUTED_VALUE"""),"")</f>
        <v/>
      </c>
      <c r="B961" s="508" t="str">
        <f>IFERROR(__xludf.DUMMYFUNCTION("""COMPUTED_VALUE"""),"")</f>
        <v/>
      </c>
      <c r="C961" s="508" t="str">
        <f>IFERROR(__xludf.DUMMYFUNCTION("""COMPUTED_VALUE"""),"")</f>
        <v/>
      </c>
      <c r="D961" s="508" t="str">
        <f>IFERROR(__xludf.DUMMYFUNCTION("""COMPUTED_VALUE"""),"")</f>
        <v/>
      </c>
      <c r="E961" s="508" t="str">
        <f>IFERROR(__xludf.DUMMYFUNCTION("""COMPUTED_VALUE"""),"")</f>
        <v/>
      </c>
      <c r="F961" s="508" t="str">
        <f>IFERROR(__xludf.DUMMYFUNCTION("""COMPUTED_VALUE"""),"")</f>
        <v/>
      </c>
      <c r="G961" s="510" t="str">
        <f>IFERROR(__xludf.DUMMYFUNCTION("""COMPUTED_VALUE"""),"")</f>
        <v/>
      </c>
      <c r="H961" s="508" t="str">
        <f>IFERROR(__xludf.DUMMYFUNCTION("""COMPUTED_VALUE"""),"")</f>
        <v/>
      </c>
      <c r="I961" s="510" t="str">
        <f>IFERROR(__xludf.DUMMYFUNCTION("""COMPUTED_VALUE"""),"")</f>
        <v/>
      </c>
      <c r="J961" s="508" t="str">
        <f>IFERROR(__xludf.DUMMYFUNCTION("""COMPUTED_VALUE"""),"")</f>
        <v/>
      </c>
      <c r="K961" s="510" t="str">
        <f>IFERROR(__xludf.DUMMYFUNCTION("""COMPUTED_VALUE"""),"")</f>
        <v/>
      </c>
      <c r="L961" s="508" t="str">
        <f>IFERROR(__xludf.DUMMYFUNCTION("""COMPUTED_VALUE"""),"")</f>
        <v/>
      </c>
      <c r="M961" s="508" t="str">
        <f>IFERROR(__xludf.DUMMYFUNCTION("""COMPUTED_VALUE"""),"")</f>
        <v/>
      </c>
      <c r="N961" s="508" t="str">
        <f>IFERROR(__xludf.DUMMYFUNCTION("""COMPUTED_VALUE"""),"")</f>
        <v/>
      </c>
      <c r="O961" s="508" t="str">
        <f>IFERROR(__xludf.DUMMYFUNCTION("""COMPUTED_VALUE"""),"")</f>
        <v/>
      </c>
      <c r="P961" s="510" t="str">
        <f>IFERROR(__xludf.DUMMYFUNCTION("""COMPUTED_VALUE"""),"")</f>
        <v/>
      </c>
      <c r="Q961" s="508" t="str">
        <f>IFERROR(__xludf.DUMMYFUNCTION("""COMPUTED_VALUE"""),"")</f>
        <v/>
      </c>
      <c r="R961" s="508" t="str">
        <f>IFERROR(__xludf.DUMMYFUNCTION("""COMPUTED_VALUE"""),"")</f>
        <v/>
      </c>
      <c r="S961" s="510" t="str">
        <f>IFERROR(__xludf.DUMMYFUNCTION("""COMPUTED_VALUE"""),"")</f>
        <v/>
      </c>
      <c r="T961" s="510" t="str">
        <f>IFERROR(__xludf.DUMMYFUNCTION("""COMPUTED_VALUE"""),"")</f>
        <v/>
      </c>
    </row>
    <row r="962">
      <c r="A962" s="508" t="str">
        <f>IFERROR(__xludf.DUMMYFUNCTION("""COMPUTED_VALUE"""),"")</f>
        <v/>
      </c>
      <c r="B962" s="508" t="str">
        <f>IFERROR(__xludf.DUMMYFUNCTION("""COMPUTED_VALUE"""),"")</f>
        <v/>
      </c>
      <c r="C962" s="508" t="str">
        <f>IFERROR(__xludf.DUMMYFUNCTION("""COMPUTED_VALUE"""),"")</f>
        <v/>
      </c>
      <c r="D962" s="508" t="str">
        <f>IFERROR(__xludf.DUMMYFUNCTION("""COMPUTED_VALUE"""),"")</f>
        <v/>
      </c>
      <c r="E962" s="508" t="str">
        <f>IFERROR(__xludf.DUMMYFUNCTION("""COMPUTED_VALUE"""),"")</f>
        <v/>
      </c>
      <c r="F962" s="508" t="str">
        <f>IFERROR(__xludf.DUMMYFUNCTION("""COMPUTED_VALUE"""),"")</f>
        <v/>
      </c>
      <c r="G962" s="510" t="str">
        <f>IFERROR(__xludf.DUMMYFUNCTION("""COMPUTED_VALUE"""),"")</f>
        <v/>
      </c>
      <c r="H962" s="508" t="str">
        <f>IFERROR(__xludf.DUMMYFUNCTION("""COMPUTED_VALUE"""),"")</f>
        <v/>
      </c>
      <c r="I962" s="510" t="str">
        <f>IFERROR(__xludf.DUMMYFUNCTION("""COMPUTED_VALUE"""),"")</f>
        <v/>
      </c>
      <c r="J962" s="508" t="str">
        <f>IFERROR(__xludf.DUMMYFUNCTION("""COMPUTED_VALUE"""),"")</f>
        <v/>
      </c>
      <c r="K962" s="510" t="str">
        <f>IFERROR(__xludf.DUMMYFUNCTION("""COMPUTED_VALUE"""),"")</f>
        <v/>
      </c>
      <c r="L962" s="508" t="str">
        <f>IFERROR(__xludf.DUMMYFUNCTION("""COMPUTED_VALUE"""),"")</f>
        <v/>
      </c>
      <c r="M962" s="508" t="str">
        <f>IFERROR(__xludf.DUMMYFUNCTION("""COMPUTED_VALUE"""),"")</f>
        <v/>
      </c>
      <c r="N962" s="508" t="str">
        <f>IFERROR(__xludf.DUMMYFUNCTION("""COMPUTED_VALUE"""),"")</f>
        <v/>
      </c>
      <c r="O962" s="508" t="str">
        <f>IFERROR(__xludf.DUMMYFUNCTION("""COMPUTED_VALUE"""),"")</f>
        <v/>
      </c>
      <c r="P962" s="510" t="str">
        <f>IFERROR(__xludf.DUMMYFUNCTION("""COMPUTED_VALUE"""),"")</f>
        <v/>
      </c>
      <c r="Q962" s="508" t="str">
        <f>IFERROR(__xludf.DUMMYFUNCTION("""COMPUTED_VALUE"""),"")</f>
        <v/>
      </c>
      <c r="R962" s="508" t="str">
        <f>IFERROR(__xludf.DUMMYFUNCTION("""COMPUTED_VALUE"""),"")</f>
        <v/>
      </c>
      <c r="S962" s="510" t="str">
        <f>IFERROR(__xludf.DUMMYFUNCTION("""COMPUTED_VALUE"""),"")</f>
        <v/>
      </c>
      <c r="T962" s="510" t="str">
        <f>IFERROR(__xludf.DUMMYFUNCTION("""COMPUTED_VALUE"""),"")</f>
        <v/>
      </c>
    </row>
    <row r="963">
      <c r="A963" s="508" t="str">
        <f>IFERROR(__xludf.DUMMYFUNCTION("""COMPUTED_VALUE"""),"")</f>
        <v/>
      </c>
      <c r="B963" s="508" t="str">
        <f>IFERROR(__xludf.DUMMYFUNCTION("""COMPUTED_VALUE"""),"")</f>
        <v/>
      </c>
      <c r="C963" s="508" t="str">
        <f>IFERROR(__xludf.DUMMYFUNCTION("""COMPUTED_VALUE"""),"")</f>
        <v/>
      </c>
      <c r="D963" s="508" t="str">
        <f>IFERROR(__xludf.DUMMYFUNCTION("""COMPUTED_VALUE"""),"")</f>
        <v/>
      </c>
      <c r="E963" s="508" t="str">
        <f>IFERROR(__xludf.DUMMYFUNCTION("""COMPUTED_VALUE"""),"")</f>
        <v/>
      </c>
      <c r="F963" s="508" t="str">
        <f>IFERROR(__xludf.DUMMYFUNCTION("""COMPUTED_VALUE"""),"")</f>
        <v/>
      </c>
      <c r="G963" s="510" t="str">
        <f>IFERROR(__xludf.DUMMYFUNCTION("""COMPUTED_VALUE"""),"")</f>
        <v/>
      </c>
      <c r="H963" s="508" t="str">
        <f>IFERROR(__xludf.DUMMYFUNCTION("""COMPUTED_VALUE"""),"")</f>
        <v/>
      </c>
      <c r="I963" s="510" t="str">
        <f>IFERROR(__xludf.DUMMYFUNCTION("""COMPUTED_VALUE"""),"")</f>
        <v/>
      </c>
      <c r="J963" s="508" t="str">
        <f>IFERROR(__xludf.DUMMYFUNCTION("""COMPUTED_VALUE"""),"")</f>
        <v/>
      </c>
      <c r="K963" s="510" t="str">
        <f>IFERROR(__xludf.DUMMYFUNCTION("""COMPUTED_VALUE"""),"")</f>
        <v/>
      </c>
      <c r="L963" s="508" t="str">
        <f>IFERROR(__xludf.DUMMYFUNCTION("""COMPUTED_VALUE"""),"")</f>
        <v/>
      </c>
      <c r="M963" s="508" t="str">
        <f>IFERROR(__xludf.DUMMYFUNCTION("""COMPUTED_VALUE"""),"")</f>
        <v/>
      </c>
      <c r="N963" s="508" t="str">
        <f>IFERROR(__xludf.DUMMYFUNCTION("""COMPUTED_VALUE"""),"")</f>
        <v/>
      </c>
      <c r="O963" s="508" t="str">
        <f>IFERROR(__xludf.DUMMYFUNCTION("""COMPUTED_VALUE"""),"")</f>
        <v/>
      </c>
      <c r="P963" s="510" t="str">
        <f>IFERROR(__xludf.DUMMYFUNCTION("""COMPUTED_VALUE"""),"")</f>
        <v/>
      </c>
      <c r="Q963" s="508" t="str">
        <f>IFERROR(__xludf.DUMMYFUNCTION("""COMPUTED_VALUE"""),"")</f>
        <v/>
      </c>
      <c r="R963" s="508" t="str">
        <f>IFERROR(__xludf.DUMMYFUNCTION("""COMPUTED_VALUE"""),"")</f>
        <v/>
      </c>
      <c r="S963" s="510" t="str">
        <f>IFERROR(__xludf.DUMMYFUNCTION("""COMPUTED_VALUE"""),"")</f>
        <v/>
      </c>
      <c r="T963" s="510" t="str">
        <f>IFERROR(__xludf.DUMMYFUNCTION("""COMPUTED_VALUE"""),"")</f>
        <v/>
      </c>
    </row>
    <row r="964">
      <c r="A964" s="508" t="str">
        <f>IFERROR(__xludf.DUMMYFUNCTION("""COMPUTED_VALUE"""),"")</f>
        <v/>
      </c>
      <c r="B964" s="508" t="str">
        <f>IFERROR(__xludf.DUMMYFUNCTION("""COMPUTED_VALUE"""),"")</f>
        <v/>
      </c>
      <c r="C964" s="508" t="str">
        <f>IFERROR(__xludf.DUMMYFUNCTION("""COMPUTED_VALUE"""),"")</f>
        <v/>
      </c>
      <c r="D964" s="508" t="str">
        <f>IFERROR(__xludf.DUMMYFUNCTION("""COMPUTED_VALUE"""),"")</f>
        <v/>
      </c>
      <c r="E964" s="508" t="str">
        <f>IFERROR(__xludf.DUMMYFUNCTION("""COMPUTED_VALUE"""),"")</f>
        <v/>
      </c>
      <c r="F964" s="508" t="str">
        <f>IFERROR(__xludf.DUMMYFUNCTION("""COMPUTED_VALUE"""),"")</f>
        <v/>
      </c>
      <c r="G964" s="510" t="str">
        <f>IFERROR(__xludf.DUMMYFUNCTION("""COMPUTED_VALUE"""),"")</f>
        <v/>
      </c>
      <c r="H964" s="508" t="str">
        <f>IFERROR(__xludf.DUMMYFUNCTION("""COMPUTED_VALUE"""),"")</f>
        <v/>
      </c>
      <c r="I964" s="510" t="str">
        <f>IFERROR(__xludf.DUMMYFUNCTION("""COMPUTED_VALUE"""),"")</f>
        <v/>
      </c>
      <c r="J964" s="508" t="str">
        <f>IFERROR(__xludf.DUMMYFUNCTION("""COMPUTED_VALUE"""),"")</f>
        <v/>
      </c>
      <c r="K964" s="510" t="str">
        <f>IFERROR(__xludf.DUMMYFUNCTION("""COMPUTED_VALUE"""),"")</f>
        <v/>
      </c>
      <c r="L964" s="508" t="str">
        <f>IFERROR(__xludf.DUMMYFUNCTION("""COMPUTED_VALUE"""),"")</f>
        <v/>
      </c>
      <c r="M964" s="508" t="str">
        <f>IFERROR(__xludf.DUMMYFUNCTION("""COMPUTED_VALUE"""),"")</f>
        <v/>
      </c>
      <c r="N964" s="508" t="str">
        <f>IFERROR(__xludf.DUMMYFUNCTION("""COMPUTED_VALUE"""),"")</f>
        <v/>
      </c>
      <c r="O964" s="508" t="str">
        <f>IFERROR(__xludf.DUMMYFUNCTION("""COMPUTED_VALUE"""),"")</f>
        <v/>
      </c>
      <c r="P964" s="510" t="str">
        <f>IFERROR(__xludf.DUMMYFUNCTION("""COMPUTED_VALUE"""),"")</f>
        <v/>
      </c>
      <c r="Q964" s="508" t="str">
        <f>IFERROR(__xludf.DUMMYFUNCTION("""COMPUTED_VALUE"""),"")</f>
        <v/>
      </c>
      <c r="R964" s="508" t="str">
        <f>IFERROR(__xludf.DUMMYFUNCTION("""COMPUTED_VALUE"""),"")</f>
        <v/>
      </c>
      <c r="S964" s="510" t="str">
        <f>IFERROR(__xludf.DUMMYFUNCTION("""COMPUTED_VALUE"""),"")</f>
        <v/>
      </c>
      <c r="T964" s="510" t="str">
        <f>IFERROR(__xludf.DUMMYFUNCTION("""COMPUTED_VALUE"""),"")</f>
        <v/>
      </c>
    </row>
    <row r="965">
      <c r="A965" s="508" t="str">
        <f>IFERROR(__xludf.DUMMYFUNCTION("""COMPUTED_VALUE"""),"")</f>
        <v/>
      </c>
      <c r="B965" s="508" t="str">
        <f>IFERROR(__xludf.DUMMYFUNCTION("""COMPUTED_VALUE"""),"")</f>
        <v/>
      </c>
      <c r="C965" s="508" t="str">
        <f>IFERROR(__xludf.DUMMYFUNCTION("""COMPUTED_VALUE"""),"")</f>
        <v/>
      </c>
      <c r="D965" s="508" t="str">
        <f>IFERROR(__xludf.DUMMYFUNCTION("""COMPUTED_VALUE"""),"")</f>
        <v/>
      </c>
      <c r="E965" s="508" t="str">
        <f>IFERROR(__xludf.DUMMYFUNCTION("""COMPUTED_VALUE"""),"")</f>
        <v/>
      </c>
      <c r="F965" s="508" t="str">
        <f>IFERROR(__xludf.DUMMYFUNCTION("""COMPUTED_VALUE"""),"")</f>
        <v/>
      </c>
      <c r="G965" s="510" t="str">
        <f>IFERROR(__xludf.DUMMYFUNCTION("""COMPUTED_VALUE"""),"")</f>
        <v/>
      </c>
      <c r="H965" s="508" t="str">
        <f>IFERROR(__xludf.DUMMYFUNCTION("""COMPUTED_VALUE"""),"")</f>
        <v/>
      </c>
      <c r="I965" s="510" t="str">
        <f>IFERROR(__xludf.DUMMYFUNCTION("""COMPUTED_VALUE"""),"")</f>
        <v/>
      </c>
      <c r="J965" s="508" t="str">
        <f>IFERROR(__xludf.DUMMYFUNCTION("""COMPUTED_VALUE"""),"")</f>
        <v/>
      </c>
      <c r="K965" s="510" t="str">
        <f>IFERROR(__xludf.DUMMYFUNCTION("""COMPUTED_VALUE"""),"")</f>
        <v/>
      </c>
      <c r="L965" s="508" t="str">
        <f>IFERROR(__xludf.DUMMYFUNCTION("""COMPUTED_VALUE"""),"")</f>
        <v/>
      </c>
      <c r="M965" s="508" t="str">
        <f>IFERROR(__xludf.DUMMYFUNCTION("""COMPUTED_VALUE"""),"")</f>
        <v/>
      </c>
      <c r="N965" s="508" t="str">
        <f>IFERROR(__xludf.DUMMYFUNCTION("""COMPUTED_VALUE"""),"")</f>
        <v/>
      </c>
      <c r="O965" s="508" t="str">
        <f>IFERROR(__xludf.DUMMYFUNCTION("""COMPUTED_VALUE"""),"")</f>
        <v/>
      </c>
      <c r="P965" s="510" t="str">
        <f>IFERROR(__xludf.DUMMYFUNCTION("""COMPUTED_VALUE"""),"")</f>
        <v/>
      </c>
      <c r="Q965" s="508" t="str">
        <f>IFERROR(__xludf.DUMMYFUNCTION("""COMPUTED_VALUE"""),"")</f>
        <v/>
      </c>
      <c r="R965" s="508" t="str">
        <f>IFERROR(__xludf.DUMMYFUNCTION("""COMPUTED_VALUE"""),"")</f>
        <v/>
      </c>
      <c r="S965" s="510" t="str">
        <f>IFERROR(__xludf.DUMMYFUNCTION("""COMPUTED_VALUE"""),"")</f>
        <v/>
      </c>
      <c r="T965" s="510" t="str">
        <f>IFERROR(__xludf.DUMMYFUNCTION("""COMPUTED_VALUE"""),"")</f>
        <v/>
      </c>
    </row>
    <row r="966">
      <c r="A966" s="508" t="str">
        <f>IFERROR(__xludf.DUMMYFUNCTION("""COMPUTED_VALUE"""),"")</f>
        <v/>
      </c>
      <c r="B966" s="508" t="str">
        <f>IFERROR(__xludf.DUMMYFUNCTION("""COMPUTED_VALUE"""),"")</f>
        <v/>
      </c>
      <c r="C966" s="508" t="str">
        <f>IFERROR(__xludf.DUMMYFUNCTION("""COMPUTED_VALUE"""),"")</f>
        <v/>
      </c>
      <c r="D966" s="508" t="str">
        <f>IFERROR(__xludf.DUMMYFUNCTION("""COMPUTED_VALUE"""),"")</f>
        <v/>
      </c>
      <c r="E966" s="508" t="str">
        <f>IFERROR(__xludf.DUMMYFUNCTION("""COMPUTED_VALUE"""),"")</f>
        <v/>
      </c>
      <c r="F966" s="508" t="str">
        <f>IFERROR(__xludf.DUMMYFUNCTION("""COMPUTED_VALUE"""),"")</f>
        <v/>
      </c>
      <c r="G966" s="510" t="str">
        <f>IFERROR(__xludf.DUMMYFUNCTION("""COMPUTED_VALUE"""),"")</f>
        <v/>
      </c>
      <c r="H966" s="508" t="str">
        <f>IFERROR(__xludf.DUMMYFUNCTION("""COMPUTED_VALUE"""),"")</f>
        <v/>
      </c>
      <c r="I966" s="510" t="str">
        <f>IFERROR(__xludf.DUMMYFUNCTION("""COMPUTED_VALUE"""),"")</f>
        <v/>
      </c>
      <c r="J966" s="508" t="str">
        <f>IFERROR(__xludf.DUMMYFUNCTION("""COMPUTED_VALUE"""),"")</f>
        <v/>
      </c>
      <c r="K966" s="510" t="str">
        <f>IFERROR(__xludf.DUMMYFUNCTION("""COMPUTED_VALUE"""),"")</f>
        <v/>
      </c>
      <c r="L966" s="508" t="str">
        <f>IFERROR(__xludf.DUMMYFUNCTION("""COMPUTED_VALUE"""),"")</f>
        <v/>
      </c>
      <c r="M966" s="508" t="str">
        <f>IFERROR(__xludf.DUMMYFUNCTION("""COMPUTED_VALUE"""),"")</f>
        <v/>
      </c>
      <c r="N966" s="508" t="str">
        <f>IFERROR(__xludf.DUMMYFUNCTION("""COMPUTED_VALUE"""),"")</f>
        <v/>
      </c>
      <c r="O966" s="508" t="str">
        <f>IFERROR(__xludf.DUMMYFUNCTION("""COMPUTED_VALUE"""),"")</f>
        <v/>
      </c>
      <c r="P966" s="510" t="str">
        <f>IFERROR(__xludf.DUMMYFUNCTION("""COMPUTED_VALUE"""),"")</f>
        <v/>
      </c>
      <c r="Q966" s="508" t="str">
        <f>IFERROR(__xludf.DUMMYFUNCTION("""COMPUTED_VALUE"""),"")</f>
        <v/>
      </c>
      <c r="R966" s="508" t="str">
        <f>IFERROR(__xludf.DUMMYFUNCTION("""COMPUTED_VALUE"""),"")</f>
        <v/>
      </c>
      <c r="S966" s="510" t="str">
        <f>IFERROR(__xludf.DUMMYFUNCTION("""COMPUTED_VALUE"""),"")</f>
        <v/>
      </c>
      <c r="T966" s="510" t="str">
        <f>IFERROR(__xludf.DUMMYFUNCTION("""COMPUTED_VALUE"""),"")</f>
        <v/>
      </c>
    </row>
    <row r="967">
      <c r="A967" s="508" t="str">
        <f>IFERROR(__xludf.DUMMYFUNCTION("""COMPUTED_VALUE"""),"")</f>
        <v/>
      </c>
      <c r="B967" s="508" t="str">
        <f>IFERROR(__xludf.DUMMYFUNCTION("""COMPUTED_VALUE"""),"")</f>
        <v/>
      </c>
      <c r="C967" s="508" t="str">
        <f>IFERROR(__xludf.DUMMYFUNCTION("""COMPUTED_VALUE"""),"")</f>
        <v/>
      </c>
      <c r="D967" s="508" t="str">
        <f>IFERROR(__xludf.DUMMYFUNCTION("""COMPUTED_VALUE"""),"")</f>
        <v/>
      </c>
      <c r="E967" s="508" t="str">
        <f>IFERROR(__xludf.DUMMYFUNCTION("""COMPUTED_VALUE"""),"")</f>
        <v/>
      </c>
      <c r="F967" s="508" t="str">
        <f>IFERROR(__xludf.DUMMYFUNCTION("""COMPUTED_VALUE"""),"")</f>
        <v/>
      </c>
      <c r="G967" s="510" t="str">
        <f>IFERROR(__xludf.DUMMYFUNCTION("""COMPUTED_VALUE"""),"")</f>
        <v/>
      </c>
      <c r="H967" s="508" t="str">
        <f>IFERROR(__xludf.DUMMYFUNCTION("""COMPUTED_VALUE"""),"")</f>
        <v/>
      </c>
      <c r="I967" s="510" t="str">
        <f>IFERROR(__xludf.DUMMYFUNCTION("""COMPUTED_VALUE"""),"")</f>
        <v/>
      </c>
      <c r="J967" s="508" t="str">
        <f>IFERROR(__xludf.DUMMYFUNCTION("""COMPUTED_VALUE"""),"")</f>
        <v/>
      </c>
      <c r="K967" s="510" t="str">
        <f>IFERROR(__xludf.DUMMYFUNCTION("""COMPUTED_VALUE"""),"")</f>
        <v/>
      </c>
      <c r="L967" s="508" t="str">
        <f>IFERROR(__xludf.DUMMYFUNCTION("""COMPUTED_VALUE"""),"")</f>
        <v/>
      </c>
      <c r="M967" s="508" t="str">
        <f>IFERROR(__xludf.DUMMYFUNCTION("""COMPUTED_VALUE"""),"")</f>
        <v/>
      </c>
      <c r="N967" s="508" t="str">
        <f>IFERROR(__xludf.DUMMYFUNCTION("""COMPUTED_VALUE"""),"")</f>
        <v/>
      </c>
      <c r="O967" s="508" t="str">
        <f>IFERROR(__xludf.DUMMYFUNCTION("""COMPUTED_VALUE"""),"")</f>
        <v/>
      </c>
      <c r="P967" s="510" t="str">
        <f>IFERROR(__xludf.DUMMYFUNCTION("""COMPUTED_VALUE"""),"")</f>
        <v/>
      </c>
      <c r="Q967" s="508" t="str">
        <f>IFERROR(__xludf.DUMMYFUNCTION("""COMPUTED_VALUE"""),"")</f>
        <v/>
      </c>
      <c r="R967" s="508" t="str">
        <f>IFERROR(__xludf.DUMMYFUNCTION("""COMPUTED_VALUE"""),"")</f>
        <v/>
      </c>
      <c r="S967" s="510" t="str">
        <f>IFERROR(__xludf.DUMMYFUNCTION("""COMPUTED_VALUE"""),"")</f>
        <v/>
      </c>
      <c r="T967" s="510" t="str">
        <f>IFERROR(__xludf.DUMMYFUNCTION("""COMPUTED_VALUE"""),"")</f>
        <v/>
      </c>
    </row>
    <row r="968">
      <c r="A968" s="508" t="str">
        <f>IFERROR(__xludf.DUMMYFUNCTION("""COMPUTED_VALUE"""),"")</f>
        <v/>
      </c>
      <c r="B968" s="508" t="str">
        <f>IFERROR(__xludf.DUMMYFUNCTION("""COMPUTED_VALUE"""),"")</f>
        <v/>
      </c>
      <c r="C968" s="508" t="str">
        <f>IFERROR(__xludf.DUMMYFUNCTION("""COMPUTED_VALUE"""),"")</f>
        <v/>
      </c>
      <c r="D968" s="508" t="str">
        <f>IFERROR(__xludf.DUMMYFUNCTION("""COMPUTED_VALUE"""),"")</f>
        <v/>
      </c>
      <c r="E968" s="508" t="str">
        <f>IFERROR(__xludf.DUMMYFUNCTION("""COMPUTED_VALUE"""),"")</f>
        <v/>
      </c>
      <c r="F968" s="508" t="str">
        <f>IFERROR(__xludf.DUMMYFUNCTION("""COMPUTED_VALUE"""),"")</f>
        <v/>
      </c>
      <c r="G968" s="510" t="str">
        <f>IFERROR(__xludf.DUMMYFUNCTION("""COMPUTED_VALUE"""),"")</f>
        <v/>
      </c>
      <c r="H968" s="508" t="str">
        <f>IFERROR(__xludf.DUMMYFUNCTION("""COMPUTED_VALUE"""),"")</f>
        <v/>
      </c>
      <c r="I968" s="510" t="str">
        <f>IFERROR(__xludf.DUMMYFUNCTION("""COMPUTED_VALUE"""),"")</f>
        <v/>
      </c>
      <c r="J968" s="508" t="str">
        <f>IFERROR(__xludf.DUMMYFUNCTION("""COMPUTED_VALUE"""),"")</f>
        <v/>
      </c>
      <c r="K968" s="510" t="str">
        <f>IFERROR(__xludf.DUMMYFUNCTION("""COMPUTED_VALUE"""),"")</f>
        <v/>
      </c>
      <c r="L968" s="508" t="str">
        <f>IFERROR(__xludf.DUMMYFUNCTION("""COMPUTED_VALUE"""),"")</f>
        <v/>
      </c>
      <c r="M968" s="508" t="str">
        <f>IFERROR(__xludf.DUMMYFUNCTION("""COMPUTED_VALUE"""),"")</f>
        <v/>
      </c>
      <c r="N968" s="508" t="str">
        <f>IFERROR(__xludf.DUMMYFUNCTION("""COMPUTED_VALUE"""),"")</f>
        <v/>
      </c>
      <c r="O968" s="508" t="str">
        <f>IFERROR(__xludf.DUMMYFUNCTION("""COMPUTED_VALUE"""),"")</f>
        <v/>
      </c>
      <c r="P968" s="510" t="str">
        <f>IFERROR(__xludf.DUMMYFUNCTION("""COMPUTED_VALUE"""),"")</f>
        <v/>
      </c>
      <c r="Q968" s="508" t="str">
        <f>IFERROR(__xludf.DUMMYFUNCTION("""COMPUTED_VALUE"""),"")</f>
        <v/>
      </c>
      <c r="R968" s="508" t="str">
        <f>IFERROR(__xludf.DUMMYFUNCTION("""COMPUTED_VALUE"""),"")</f>
        <v/>
      </c>
      <c r="S968" s="510" t="str">
        <f>IFERROR(__xludf.DUMMYFUNCTION("""COMPUTED_VALUE"""),"")</f>
        <v/>
      </c>
      <c r="T968" s="510" t="str">
        <f>IFERROR(__xludf.DUMMYFUNCTION("""COMPUTED_VALUE"""),"")</f>
        <v/>
      </c>
    </row>
    <row r="969">
      <c r="A969" s="508" t="str">
        <f>IFERROR(__xludf.DUMMYFUNCTION("""COMPUTED_VALUE"""),"")</f>
        <v/>
      </c>
      <c r="B969" s="508" t="str">
        <f>IFERROR(__xludf.DUMMYFUNCTION("""COMPUTED_VALUE"""),"")</f>
        <v/>
      </c>
      <c r="C969" s="508" t="str">
        <f>IFERROR(__xludf.DUMMYFUNCTION("""COMPUTED_VALUE"""),"")</f>
        <v/>
      </c>
      <c r="D969" s="508" t="str">
        <f>IFERROR(__xludf.DUMMYFUNCTION("""COMPUTED_VALUE"""),"")</f>
        <v/>
      </c>
      <c r="E969" s="508" t="str">
        <f>IFERROR(__xludf.DUMMYFUNCTION("""COMPUTED_VALUE"""),"")</f>
        <v/>
      </c>
      <c r="F969" s="508" t="str">
        <f>IFERROR(__xludf.DUMMYFUNCTION("""COMPUTED_VALUE"""),"")</f>
        <v/>
      </c>
      <c r="G969" s="510" t="str">
        <f>IFERROR(__xludf.DUMMYFUNCTION("""COMPUTED_VALUE"""),"")</f>
        <v/>
      </c>
      <c r="H969" s="508" t="str">
        <f>IFERROR(__xludf.DUMMYFUNCTION("""COMPUTED_VALUE"""),"")</f>
        <v/>
      </c>
      <c r="I969" s="510" t="str">
        <f>IFERROR(__xludf.DUMMYFUNCTION("""COMPUTED_VALUE"""),"")</f>
        <v/>
      </c>
      <c r="J969" s="508" t="str">
        <f>IFERROR(__xludf.DUMMYFUNCTION("""COMPUTED_VALUE"""),"")</f>
        <v/>
      </c>
      <c r="K969" s="510" t="str">
        <f>IFERROR(__xludf.DUMMYFUNCTION("""COMPUTED_VALUE"""),"")</f>
        <v/>
      </c>
      <c r="L969" s="508" t="str">
        <f>IFERROR(__xludf.DUMMYFUNCTION("""COMPUTED_VALUE"""),"")</f>
        <v/>
      </c>
      <c r="M969" s="508" t="str">
        <f>IFERROR(__xludf.DUMMYFUNCTION("""COMPUTED_VALUE"""),"")</f>
        <v/>
      </c>
      <c r="N969" s="508" t="str">
        <f>IFERROR(__xludf.DUMMYFUNCTION("""COMPUTED_VALUE"""),"")</f>
        <v/>
      </c>
      <c r="O969" s="508" t="str">
        <f>IFERROR(__xludf.DUMMYFUNCTION("""COMPUTED_VALUE"""),"")</f>
        <v/>
      </c>
      <c r="P969" s="510" t="str">
        <f>IFERROR(__xludf.DUMMYFUNCTION("""COMPUTED_VALUE"""),"")</f>
        <v/>
      </c>
      <c r="Q969" s="508" t="str">
        <f>IFERROR(__xludf.DUMMYFUNCTION("""COMPUTED_VALUE"""),"")</f>
        <v/>
      </c>
      <c r="R969" s="508" t="str">
        <f>IFERROR(__xludf.DUMMYFUNCTION("""COMPUTED_VALUE"""),"")</f>
        <v/>
      </c>
      <c r="S969" s="510" t="str">
        <f>IFERROR(__xludf.DUMMYFUNCTION("""COMPUTED_VALUE"""),"")</f>
        <v/>
      </c>
      <c r="T969" s="510" t="str">
        <f>IFERROR(__xludf.DUMMYFUNCTION("""COMPUTED_VALUE"""),"")</f>
        <v/>
      </c>
    </row>
    <row r="970">
      <c r="A970" s="508" t="str">
        <f>IFERROR(__xludf.DUMMYFUNCTION("""COMPUTED_VALUE"""),"")</f>
        <v/>
      </c>
      <c r="B970" s="508" t="str">
        <f>IFERROR(__xludf.DUMMYFUNCTION("""COMPUTED_VALUE"""),"")</f>
        <v/>
      </c>
      <c r="C970" s="508" t="str">
        <f>IFERROR(__xludf.DUMMYFUNCTION("""COMPUTED_VALUE"""),"")</f>
        <v/>
      </c>
      <c r="D970" s="508" t="str">
        <f>IFERROR(__xludf.DUMMYFUNCTION("""COMPUTED_VALUE"""),"")</f>
        <v/>
      </c>
      <c r="E970" s="508" t="str">
        <f>IFERROR(__xludf.DUMMYFUNCTION("""COMPUTED_VALUE"""),"")</f>
        <v/>
      </c>
      <c r="F970" s="508" t="str">
        <f>IFERROR(__xludf.DUMMYFUNCTION("""COMPUTED_VALUE"""),"")</f>
        <v/>
      </c>
      <c r="G970" s="510" t="str">
        <f>IFERROR(__xludf.DUMMYFUNCTION("""COMPUTED_VALUE"""),"")</f>
        <v/>
      </c>
      <c r="H970" s="508" t="str">
        <f>IFERROR(__xludf.DUMMYFUNCTION("""COMPUTED_VALUE"""),"")</f>
        <v/>
      </c>
      <c r="I970" s="510" t="str">
        <f>IFERROR(__xludf.DUMMYFUNCTION("""COMPUTED_VALUE"""),"")</f>
        <v/>
      </c>
      <c r="J970" s="508" t="str">
        <f>IFERROR(__xludf.DUMMYFUNCTION("""COMPUTED_VALUE"""),"")</f>
        <v/>
      </c>
      <c r="K970" s="510" t="str">
        <f>IFERROR(__xludf.DUMMYFUNCTION("""COMPUTED_VALUE"""),"")</f>
        <v/>
      </c>
      <c r="L970" s="508" t="str">
        <f>IFERROR(__xludf.DUMMYFUNCTION("""COMPUTED_VALUE"""),"")</f>
        <v/>
      </c>
      <c r="M970" s="508" t="str">
        <f>IFERROR(__xludf.DUMMYFUNCTION("""COMPUTED_VALUE"""),"")</f>
        <v/>
      </c>
      <c r="N970" s="508" t="str">
        <f>IFERROR(__xludf.DUMMYFUNCTION("""COMPUTED_VALUE"""),"")</f>
        <v/>
      </c>
      <c r="O970" s="508" t="str">
        <f>IFERROR(__xludf.DUMMYFUNCTION("""COMPUTED_VALUE"""),"")</f>
        <v/>
      </c>
      <c r="P970" s="510" t="str">
        <f>IFERROR(__xludf.DUMMYFUNCTION("""COMPUTED_VALUE"""),"")</f>
        <v/>
      </c>
      <c r="Q970" s="508" t="str">
        <f>IFERROR(__xludf.DUMMYFUNCTION("""COMPUTED_VALUE"""),"")</f>
        <v/>
      </c>
      <c r="R970" s="508" t="str">
        <f>IFERROR(__xludf.DUMMYFUNCTION("""COMPUTED_VALUE"""),"")</f>
        <v/>
      </c>
      <c r="S970" s="510" t="str">
        <f>IFERROR(__xludf.DUMMYFUNCTION("""COMPUTED_VALUE"""),"")</f>
        <v/>
      </c>
      <c r="T970" s="510" t="str">
        <f>IFERROR(__xludf.DUMMYFUNCTION("""COMPUTED_VALUE"""),"")</f>
        <v/>
      </c>
    </row>
    <row r="971">
      <c r="A971" s="508" t="str">
        <f>IFERROR(__xludf.DUMMYFUNCTION("""COMPUTED_VALUE"""),"")</f>
        <v/>
      </c>
      <c r="B971" s="508" t="str">
        <f>IFERROR(__xludf.DUMMYFUNCTION("""COMPUTED_VALUE"""),"")</f>
        <v/>
      </c>
      <c r="C971" s="508" t="str">
        <f>IFERROR(__xludf.DUMMYFUNCTION("""COMPUTED_VALUE"""),"")</f>
        <v/>
      </c>
      <c r="D971" s="508" t="str">
        <f>IFERROR(__xludf.DUMMYFUNCTION("""COMPUTED_VALUE"""),"")</f>
        <v/>
      </c>
      <c r="E971" s="508" t="str">
        <f>IFERROR(__xludf.DUMMYFUNCTION("""COMPUTED_VALUE"""),"")</f>
        <v/>
      </c>
      <c r="F971" s="508" t="str">
        <f>IFERROR(__xludf.DUMMYFUNCTION("""COMPUTED_VALUE"""),"")</f>
        <v/>
      </c>
      <c r="G971" s="510" t="str">
        <f>IFERROR(__xludf.DUMMYFUNCTION("""COMPUTED_VALUE"""),"")</f>
        <v/>
      </c>
      <c r="H971" s="508" t="str">
        <f>IFERROR(__xludf.DUMMYFUNCTION("""COMPUTED_VALUE"""),"")</f>
        <v/>
      </c>
      <c r="I971" s="510" t="str">
        <f>IFERROR(__xludf.DUMMYFUNCTION("""COMPUTED_VALUE"""),"")</f>
        <v/>
      </c>
      <c r="J971" s="508" t="str">
        <f>IFERROR(__xludf.DUMMYFUNCTION("""COMPUTED_VALUE"""),"")</f>
        <v/>
      </c>
      <c r="K971" s="510" t="str">
        <f>IFERROR(__xludf.DUMMYFUNCTION("""COMPUTED_VALUE"""),"")</f>
        <v/>
      </c>
      <c r="L971" s="508" t="str">
        <f>IFERROR(__xludf.DUMMYFUNCTION("""COMPUTED_VALUE"""),"")</f>
        <v/>
      </c>
      <c r="M971" s="508" t="str">
        <f>IFERROR(__xludf.DUMMYFUNCTION("""COMPUTED_VALUE"""),"")</f>
        <v/>
      </c>
      <c r="N971" s="508" t="str">
        <f>IFERROR(__xludf.DUMMYFUNCTION("""COMPUTED_VALUE"""),"")</f>
        <v/>
      </c>
      <c r="O971" s="508" t="str">
        <f>IFERROR(__xludf.DUMMYFUNCTION("""COMPUTED_VALUE"""),"")</f>
        <v/>
      </c>
      <c r="P971" s="510" t="str">
        <f>IFERROR(__xludf.DUMMYFUNCTION("""COMPUTED_VALUE"""),"")</f>
        <v/>
      </c>
      <c r="Q971" s="508" t="str">
        <f>IFERROR(__xludf.DUMMYFUNCTION("""COMPUTED_VALUE"""),"")</f>
        <v/>
      </c>
      <c r="R971" s="508" t="str">
        <f>IFERROR(__xludf.DUMMYFUNCTION("""COMPUTED_VALUE"""),"")</f>
        <v/>
      </c>
      <c r="S971" s="510" t="str">
        <f>IFERROR(__xludf.DUMMYFUNCTION("""COMPUTED_VALUE"""),"")</f>
        <v/>
      </c>
      <c r="T971" s="510" t="str">
        <f>IFERROR(__xludf.DUMMYFUNCTION("""COMPUTED_VALUE"""),"")</f>
        <v/>
      </c>
    </row>
    <row r="972">
      <c r="A972" s="508" t="str">
        <f>IFERROR(__xludf.DUMMYFUNCTION("""COMPUTED_VALUE"""),"")</f>
        <v/>
      </c>
      <c r="B972" s="508" t="str">
        <f>IFERROR(__xludf.DUMMYFUNCTION("""COMPUTED_VALUE"""),"")</f>
        <v/>
      </c>
      <c r="C972" s="508" t="str">
        <f>IFERROR(__xludf.DUMMYFUNCTION("""COMPUTED_VALUE"""),"")</f>
        <v/>
      </c>
      <c r="D972" s="508" t="str">
        <f>IFERROR(__xludf.DUMMYFUNCTION("""COMPUTED_VALUE"""),"")</f>
        <v/>
      </c>
      <c r="E972" s="508" t="str">
        <f>IFERROR(__xludf.DUMMYFUNCTION("""COMPUTED_VALUE"""),"")</f>
        <v/>
      </c>
      <c r="F972" s="508" t="str">
        <f>IFERROR(__xludf.DUMMYFUNCTION("""COMPUTED_VALUE"""),"")</f>
        <v/>
      </c>
      <c r="G972" s="510" t="str">
        <f>IFERROR(__xludf.DUMMYFUNCTION("""COMPUTED_VALUE"""),"")</f>
        <v/>
      </c>
      <c r="H972" s="508" t="str">
        <f>IFERROR(__xludf.DUMMYFUNCTION("""COMPUTED_VALUE"""),"")</f>
        <v/>
      </c>
      <c r="I972" s="510" t="str">
        <f>IFERROR(__xludf.DUMMYFUNCTION("""COMPUTED_VALUE"""),"")</f>
        <v/>
      </c>
      <c r="J972" s="508" t="str">
        <f>IFERROR(__xludf.DUMMYFUNCTION("""COMPUTED_VALUE"""),"")</f>
        <v/>
      </c>
      <c r="K972" s="510" t="str">
        <f>IFERROR(__xludf.DUMMYFUNCTION("""COMPUTED_VALUE"""),"")</f>
        <v/>
      </c>
      <c r="L972" s="508" t="str">
        <f>IFERROR(__xludf.DUMMYFUNCTION("""COMPUTED_VALUE"""),"")</f>
        <v/>
      </c>
      <c r="M972" s="508" t="str">
        <f>IFERROR(__xludf.DUMMYFUNCTION("""COMPUTED_VALUE"""),"")</f>
        <v/>
      </c>
      <c r="N972" s="508" t="str">
        <f>IFERROR(__xludf.DUMMYFUNCTION("""COMPUTED_VALUE"""),"")</f>
        <v/>
      </c>
      <c r="O972" s="508" t="str">
        <f>IFERROR(__xludf.DUMMYFUNCTION("""COMPUTED_VALUE"""),"")</f>
        <v/>
      </c>
      <c r="P972" s="510" t="str">
        <f>IFERROR(__xludf.DUMMYFUNCTION("""COMPUTED_VALUE"""),"")</f>
        <v/>
      </c>
      <c r="Q972" s="508" t="str">
        <f>IFERROR(__xludf.DUMMYFUNCTION("""COMPUTED_VALUE"""),"")</f>
        <v/>
      </c>
      <c r="R972" s="508" t="str">
        <f>IFERROR(__xludf.DUMMYFUNCTION("""COMPUTED_VALUE"""),"")</f>
        <v/>
      </c>
      <c r="S972" s="510" t="str">
        <f>IFERROR(__xludf.DUMMYFUNCTION("""COMPUTED_VALUE"""),"")</f>
        <v/>
      </c>
      <c r="T972" s="510" t="str">
        <f>IFERROR(__xludf.DUMMYFUNCTION("""COMPUTED_VALUE"""),"")</f>
        <v/>
      </c>
    </row>
    <row r="973">
      <c r="A973" s="508" t="str">
        <f>IFERROR(__xludf.DUMMYFUNCTION("""COMPUTED_VALUE"""),"")</f>
        <v/>
      </c>
      <c r="B973" s="508" t="str">
        <f>IFERROR(__xludf.DUMMYFUNCTION("""COMPUTED_VALUE"""),"")</f>
        <v/>
      </c>
      <c r="C973" s="508" t="str">
        <f>IFERROR(__xludf.DUMMYFUNCTION("""COMPUTED_VALUE"""),"")</f>
        <v/>
      </c>
      <c r="D973" s="508" t="str">
        <f>IFERROR(__xludf.DUMMYFUNCTION("""COMPUTED_VALUE"""),"")</f>
        <v/>
      </c>
      <c r="E973" s="508" t="str">
        <f>IFERROR(__xludf.DUMMYFUNCTION("""COMPUTED_VALUE"""),"")</f>
        <v/>
      </c>
      <c r="F973" s="508" t="str">
        <f>IFERROR(__xludf.DUMMYFUNCTION("""COMPUTED_VALUE"""),"")</f>
        <v/>
      </c>
      <c r="G973" s="510" t="str">
        <f>IFERROR(__xludf.DUMMYFUNCTION("""COMPUTED_VALUE"""),"")</f>
        <v/>
      </c>
      <c r="H973" s="508" t="str">
        <f>IFERROR(__xludf.DUMMYFUNCTION("""COMPUTED_VALUE"""),"")</f>
        <v/>
      </c>
      <c r="I973" s="510" t="str">
        <f>IFERROR(__xludf.DUMMYFUNCTION("""COMPUTED_VALUE"""),"")</f>
        <v/>
      </c>
      <c r="J973" s="508" t="str">
        <f>IFERROR(__xludf.DUMMYFUNCTION("""COMPUTED_VALUE"""),"")</f>
        <v/>
      </c>
      <c r="K973" s="510" t="str">
        <f>IFERROR(__xludf.DUMMYFUNCTION("""COMPUTED_VALUE"""),"")</f>
        <v/>
      </c>
      <c r="L973" s="508" t="str">
        <f>IFERROR(__xludf.DUMMYFUNCTION("""COMPUTED_VALUE"""),"")</f>
        <v/>
      </c>
      <c r="M973" s="508" t="str">
        <f>IFERROR(__xludf.DUMMYFUNCTION("""COMPUTED_VALUE"""),"")</f>
        <v/>
      </c>
      <c r="N973" s="508" t="str">
        <f>IFERROR(__xludf.DUMMYFUNCTION("""COMPUTED_VALUE"""),"")</f>
        <v/>
      </c>
      <c r="O973" s="508" t="str">
        <f>IFERROR(__xludf.DUMMYFUNCTION("""COMPUTED_VALUE"""),"")</f>
        <v/>
      </c>
      <c r="P973" s="510" t="str">
        <f>IFERROR(__xludf.DUMMYFUNCTION("""COMPUTED_VALUE"""),"")</f>
        <v/>
      </c>
      <c r="Q973" s="508" t="str">
        <f>IFERROR(__xludf.DUMMYFUNCTION("""COMPUTED_VALUE"""),"")</f>
        <v/>
      </c>
      <c r="R973" s="508" t="str">
        <f>IFERROR(__xludf.DUMMYFUNCTION("""COMPUTED_VALUE"""),"")</f>
        <v/>
      </c>
      <c r="S973" s="510" t="str">
        <f>IFERROR(__xludf.DUMMYFUNCTION("""COMPUTED_VALUE"""),"")</f>
        <v/>
      </c>
      <c r="T973" s="510" t="str">
        <f>IFERROR(__xludf.DUMMYFUNCTION("""COMPUTED_VALUE"""),"")</f>
        <v/>
      </c>
    </row>
    <row r="974">
      <c r="A974" s="508"/>
      <c r="B974" s="508"/>
      <c r="C974" s="508"/>
      <c r="D974" s="508"/>
      <c r="E974" s="508"/>
      <c r="F974" s="508"/>
      <c r="G974" s="510"/>
      <c r="H974" s="508"/>
      <c r="I974" s="510"/>
      <c r="J974" s="508"/>
      <c r="K974" s="510"/>
      <c r="L974" s="508"/>
      <c r="M974" s="508"/>
      <c r="N974" s="508"/>
      <c r="O974" s="508"/>
      <c r="P974" s="510"/>
      <c r="Q974" s="508"/>
      <c r="R974" s="508"/>
      <c r="S974" s="510"/>
      <c r="T974" s="510"/>
    </row>
    <row r="975">
      <c r="A975" s="508"/>
      <c r="B975" s="508"/>
      <c r="C975" s="508"/>
      <c r="D975" s="508"/>
      <c r="E975" s="508"/>
      <c r="F975" s="508"/>
      <c r="G975" s="510"/>
      <c r="H975" s="508"/>
      <c r="I975" s="510"/>
      <c r="J975" s="508"/>
      <c r="K975" s="510"/>
      <c r="L975" s="508"/>
      <c r="M975" s="508"/>
      <c r="N975" s="508"/>
      <c r="O975" s="508"/>
      <c r="P975" s="510"/>
      <c r="Q975" s="508"/>
      <c r="R975" s="508"/>
      <c r="S975" s="510"/>
      <c r="T975" s="510"/>
    </row>
    <row r="976">
      <c r="A976" s="508"/>
      <c r="B976" s="508"/>
      <c r="C976" s="508"/>
      <c r="D976" s="508"/>
      <c r="E976" s="508"/>
      <c r="F976" s="508"/>
      <c r="G976" s="510"/>
      <c r="H976" s="508"/>
      <c r="I976" s="510"/>
      <c r="J976" s="508"/>
      <c r="K976" s="510"/>
      <c r="L976" s="508"/>
      <c r="M976" s="508"/>
      <c r="N976" s="508"/>
      <c r="O976" s="508"/>
      <c r="P976" s="510"/>
      <c r="Q976" s="508"/>
      <c r="R976" s="508"/>
      <c r="S976" s="510"/>
      <c r="T976" s="510"/>
    </row>
    <row r="977">
      <c r="A977" s="508"/>
      <c r="B977" s="508"/>
      <c r="C977" s="508"/>
      <c r="D977" s="508"/>
      <c r="E977" s="508"/>
      <c r="F977" s="508"/>
      <c r="G977" s="510"/>
      <c r="H977" s="508"/>
      <c r="I977" s="510"/>
      <c r="J977" s="508"/>
      <c r="K977" s="510"/>
      <c r="L977" s="508"/>
      <c r="M977" s="508"/>
      <c r="N977" s="508"/>
      <c r="O977" s="508"/>
      <c r="P977" s="510"/>
      <c r="Q977" s="508"/>
      <c r="R977" s="508"/>
      <c r="S977" s="510"/>
      <c r="T977" s="510"/>
    </row>
    <row r="978">
      <c r="A978" s="508"/>
      <c r="B978" s="508"/>
      <c r="C978" s="508"/>
      <c r="D978" s="508"/>
      <c r="E978" s="508"/>
      <c r="F978" s="508"/>
      <c r="G978" s="510"/>
      <c r="H978" s="508"/>
      <c r="I978" s="510"/>
      <c r="J978" s="508"/>
      <c r="K978" s="510"/>
      <c r="L978" s="508"/>
      <c r="M978" s="508"/>
      <c r="N978" s="508"/>
      <c r="O978" s="508"/>
      <c r="P978" s="510"/>
      <c r="Q978" s="508"/>
      <c r="R978" s="508"/>
      <c r="S978" s="510"/>
      <c r="T978" s="510"/>
    </row>
    <row r="979">
      <c r="A979" s="508"/>
      <c r="B979" s="508"/>
      <c r="C979" s="508"/>
      <c r="D979" s="508"/>
      <c r="E979" s="508"/>
      <c r="F979" s="508"/>
      <c r="G979" s="510"/>
      <c r="H979" s="508"/>
      <c r="I979" s="510"/>
      <c r="J979" s="508"/>
      <c r="K979" s="510"/>
      <c r="L979" s="508"/>
      <c r="M979" s="508"/>
      <c r="N979" s="508"/>
      <c r="O979" s="508"/>
      <c r="P979" s="510"/>
      <c r="Q979" s="508"/>
      <c r="R979" s="508"/>
      <c r="S979" s="510"/>
      <c r="T979" s="510"/>
    </row>
    <row r="980">
      <c r="A980" s="508"/>
      <c r="B980" s="508"/>
      <c r="C980" s="508"/>
      <c r="D980" s="508"/>
      <c r="E980" s="508"/>
      <c r="F980" s="508"/>
      <c r="G980" s="510"/>
      <c r="H980" s="508"/>
      <c r="I980" s="510"/>
      <c r="J980" s="508"/>
      <c r="K980" s="510"/>
      <c r="L980" s="508"/>
      <c r="M980" s="508"/>
      <c r="N980" s="508"/>
      <c r="O980" s="508"/>
      <c r="P980" s="510"/>
      <c r="Q980" s="508"/>
      <c r="R980" s="508"/>
      <c r="S980" s="510"/>
      <c r="T980" s="510"/>
    </row>
    <row r="981">
      <c r="A981" s="508"/>
      <c r="B981" s="508"/>
      <c r="C981" s="508"/>
      <c r="D981" s="508"/>
      <c r="E981" s="508"/>
      <c r="F981" s="508"/>
      <c r="G981" s="510"/>
      <c r="H981" s="508"/>
      <c r="I981" s="510"/>
      <c r="J981" s="508"/>
      <c r="K981" s="510"/>
      <c r="L981" s="508"/>
      <c r="M981" s="508"/>
      <c r="N981" s="508"/>
      <c r="O981" s="508"/>
      <c r="P981" s="510"/>
      <c r="Q981" s="508"/>
      <c r="R981" s="508"/>
      <c r="S981" s="510"/>
      <c r="T981" s="510"/>
    </row>
    <row r="982">
      <c r="A982" s="508"/>
      <c r="B982" s="508"/>
      <c r="C982" s="508"/>
      <c r="D982" s="508"/>
      <c r="E982" s="508"/>
      <c r="F982" s="508"/>
      <c r="G982" s="510"/>
      <c r="H982" s="508"/>
      <c r="I982" s="510"/>
      <c r="J982" s="508"/>
      <c r="K982" s="510"/>
      <c r="L982" s="508"/>
      <c r="M982" s="508"/>
      <c r="N982" s="508"/>
      <c r="O982" s="508"/>
      <c r="P982" s="510"/>
      <c r="Q982" s="508"/>
      <c r="R982" s="508"/>
      <c r="S982" s="510"/>
      <c r="T982" s="510"/>
    </row>
    <row r="983">
      <c r="A983" s="508"/>
      <c r="B983" s="508"/>
      <c r="C983" s="508"/>
      <c r="D983" s="508"/>
      <c r="E983" s="508"/>
      <c r="F983" s="508"/>
      <c r="G983" s="510"/>
      <c r="H983" s="508"/>
      <c r="I983" s="510"/>
      <c r="J983" s="508"/>
      <c r="K983" s="510"/>
      <c r="L983" s="508"/>
      <c r="M983" s="508"/>
      <c r="N983" s="508"/>
      <c r="O983" s="508"/>
      <c r="P983" s="510"/>
      <c r="Q983" s="508"/>
      <c r="R983" s="508"/>
      <c r="S983" s="510"/>
      <c r="T983" s="510"/>
    </row>
    <row r="984">
      <c r="A984" s="508"/>
      <c r="B984" s="508"/>
      <c r="C984" s="508"/>
      <c r="D984" s="508"/>
      <c r="E984" s="508"/>
      <c r="F984" s="508"/>
      <c r="G984" s="510"/>
      <c r="H984" s="508"/>
      <c r="I984" s="510"/>
      <c r="J984" s="508"/>
      <c r="K984" s="510"/>
      <c r="L984" s="508"/>
      <c r="M984" s="508"/>
      <c r="N984" s="508"/>
      <c r="O984" s="508"/>
      <c r="P984" s="510"/>
      <c r="Q984" s="508"/>
      <c r="R984" s="508"/>
      <c r="S984" s="510"/>
      <c r="T984" s="510"/>
    </row>
    <row r="985">
      <c r="A985" s="508"/>
      <c r="B985" s="508"/>
      <c r="C985" s="508"/>
      <c r="D985" s="508"/>
      <c r="E985" s="508"/>
      <c r="F985" s="508"/>
      <c r="G985" s="510"/>
      <c r="H985" s="508"/>
      <c r="I985" s="510"/>
      <c r="J985" s="508"/>
      <c r="K985" s="510"/>
      <c r="L985" s="508"/>
      <c r="M985" s="508"/>
      <c r="N985" s="508"/>
      <c r="O985" s="508"/>
      <c r="P985" s="510"/>
      <c r="Q985" s="508"/>
      <c r="R985" s="508"/>
      <c r="S985" s="510"/>
      <c r="T985" s="510"/>
    </row>
    <row r="986">
      <c r="A986" s="508"/>
      <c r="B986" s="508"/>
      <c r="C986" s="508"/>
      <c r="D986" s="508"/>
      <c r="E986" s="508"/>
      <c r="F986" s="508"/>
      <c r="G986" s="510"/>
      <c r="H986" s="508"/>
      <c r="I986" s="510"/>
      <c r="J986" s="508"/>
      <c r="K986" s="510"/>
      <c r="L986" s="508"/>
      <c r="M986" s="508"/>
      <c r="N986" s="508"/>
      <c r="O986" s="508"/>
      <c r="P986" s="510"/>
      <c r="Q986" s="508"/>
      <c r="R986" s="508"/>
      <c r="S986" s="510"/>
      <c r="T986" s="510"/>
    </row>
    <row r="987">
      <c r="A987" s="508"/>
      <c r="B987" s="508"/>
      <c r="C987" s="508"/>
      <c r="D987" s="508"/>
      <c r="E987" s="508"/>
      <c r="F987" s="508"/>
      <c r="G987" s="510"/>
      <c r="H987" s="508"/>
      <c r="I987" s="510"/>
      <c r="J987" s="508"/>
      <c r="K987" s="510"/>
      <c r="L987" s="508"/>
      <c r="M987" s="508"/>
      <c r="N987" s="508"/>
      <c r="O987" s="508"/>
      <c r="P987" s="510"/>
      <c r="Q987" s="508"/>
      <c r="R987" s="508"/>
      <c r="S987" s="510"/>
      <c r="T987" s="510"/>
    </row>
    <row r="988">
      <c r="A988" s="508"/>
      <c r="B988" s="508"/>
      <c r="C988" s="508"/>
      <c r="D988" s="508"/>
      <c r="E988" s="508"/>
      <c r="F988" s="508"/>
      <c r="G988" s="510"/>
      <c r="H988" s="508"/>
      <c r="I988" s="510"/>
      <c r="J988" s="508"/>
      <c r="K988" s="510"/>
      <c r="L988" s="508"/>
      <c r="M988" s="508"/>
      <c r="N988" s="508"/>
      <c r="O988" s="508"/>
      <c r="P988" s="510"/>
      <c r="Q988" s="508"/>
      <c r="R988" s="508"/>
      <c r="S988" s="510"/>
      <c r="T988" s="510"/>
    </row>
    <row r="989">
      <c r="A989" s="508"/>
      <c r="B989" s="508"/>
      <c r="C989" s="508"/>
      <c r="D989" s="508"/>
      <c r="E989" s="508"/>
      <c r="F989" s="508"/>
      <c r="G989" s="510"/>
      <c r="H989" s="508"/>
      <c r="I989" s="510"/>
      <c r="J989" s="508"/>
      <c r="K989" s="510"/>
      <c r="L989" s="508"/>
      <c r="M989" s="508"/>
      <c r="N989" s="508"/>
      <c r="O989" s="508"/>
      <c r="P989" s="510"/>
      <c r="Q989" s="508"/>
      <c r="R989" s="508"/>
      <c r="S989" s="510"/>
      <c r="T989" s="510"/>
    </row>
    <row r="990">
      <c r="A990" s="508"/>
      <c r="B990" s="508"/>
      <c r="C990" s="508"/>
      <c r="D990" s="508"/>
      <c r="E990" s="508"/>
      <c r="F990" s="508"/>
      <c r="G990" s="510"/>
      <c r="H990" s="508"/>
      <c r="I990" s="510"/>
      <c r="J990" s="508"/>
      <c r="K990" s="510"/>
      <c r="L990" s="508"/>
      <c r="M990" s="508"/>
      <c r="N990" s="508"/>
      <c r="O990" s="508"/>
      <c r="P990" s="510"/>
      <c r="Q990" s="508"/>
      <c r="R990" s="508"/>
      <c r="S990" s="510"/>
      <c r="T990" s="510"/>
    </row>
    <row r="991">
      <c r="A991" s="508"/>
      <c r="B991" s="508"/>
      <c r="C991" s="508"/>
      <c r="D991" s="508"/>
      <c r="E991" s="508"/>
      <c r="F991" s="508"/>
      <c r="G991" s="510"/>
      <c r="H991" s="508"/>
      <c r="I991" s="510"/>
      <c r="J991" s="508"/>
      <c r="K991" s="510"/>
      <c r="L991" s="508"/>
      <c r="M991" s="508"/>
      <c r="N991" s="508"/>
      <c r="O991" s="508"/>
      <c r="P991" s="510"/>
      <c r="Q991" s="508"/>
      <c r="R991" s="508"/>
      <c r="S991" s="510"/>
      <c r="T991" s="510"/>
    </row>
    <row r="992">
      <c r="A992" s="508"/>
      <c r="B992" s="508"/>
      <c r="C992" s="508"/>
      <c r="D992" s="508"/>
      <c r="E992" s="508"/>
      <c r="F992" s="508"/>
      <c r="G992" s="510"/>
      <c r="H992" s="508"/>
      <c r="I992" s="510"/>
      <c r="J992" s="508"/>
      <c r="K992" s="510"/>
      <c r="L992" s="508"/>
      <c r="M992" s="508"/>
      <c r="N992" s="508"/>
      <c r="O992" s="508"/>
      <c r="P992" s="510"/>
      <c r="Q992" s="508"/>
      <c r="R992" s="508"/>
      <c r="S992" s="510"/>
      <c r="T992" s="510"/>
    </row>
    <row r="993">
      <c r="A993" s="508"/>
      <c r="B993" s="508"/>
      <c r="C993" s="508"/>
      <c r="D993" s="508"/>
      <c r="E993" s="508"/>
      <c r="F993" s="508"/>
      <c r="G993" s="510"/>
      <c r="H993" s="508"/>
      <c r="I993" s="510"/>
      <c r="J993" s="508"/>
      <c r="K993" s="510"/>
      <c r="L993" s="508"/>
      <c r="M993" s="508"/>
      <c r="N993" s="508"/>
      <c r="O993" s="508"/>
      <c r="P993" s="510"/>
      <c r="Q993" s="508"/>
      <c r="R993" s="508"/>
      <c r="S993" s="510"/>
      <c r="T993" s="510"/>
    </row>
    <row r="994">
      <c r="A994" s="508"/>
      <c r="B994" s="508"/>
      <c r="C994" s="508"/>
      <c r="D994" s="508"/>
      <c r="E994" s="508"/>
      <c r="F994" s="508"/>
      <c r="G994" s="510"/>
      <c r="H994" s="508"/>
      <c r="I994" s="510"/>
      <c r="J994" s="508"/>
      <c r="K994" s="510"/>
      <c r="L994" s="508"/>
      <c r="M994" s="508"/>
      <c r="N994" s="508"/>
      <c r="O994" s="508"/>
      <c r="P994" s="510"/>
      <c r="Q994" s="508"/>
      <c r="R994" s="508"/>
      <c r="S994" s="510"/>
      <c r="T994" s="510"/>
    </row>
    <row r="995">
      <c r="A995" s="508"/>
      <c r="B995" s="508"/>
      <c r="C995" s="508"/>
      <c r="D995" s="508"/>
      <c r="E995" s="508"/>
      <c r="F995" s="508"/>
      <c r="G995" s="510"/>
      <c r="H995" s="508"/>
      <c r="I995" s="510"/>
      <c r="J995" s="508"/>
      <c r="K995" s="510"/>
      <c r="L995" s="508"/>
      <c r="M995" s="508"/>
      <c r="N995" s="508"/>
      <c r="O995" s="508"/>
      <c r="P995" s="510"/>
      <c r="Q995" s="508"/>
      <c r="R995" s="508"/>
      <c r="S995" s="510"/>
      <c r="T995" s="510"/>
    </row>
    <row r="996">
      <c r="A996" s="508"/>
      <c r="B996" s="508"/>
      <c r="C996" s="508"/>
      <c r="D996" s="508"/>
      <c r="E996" s="508"/>
      <c r="F996" s="508"/>
      <c r="G996" s="510"/>
      <c r="H996" s="508"/>
      <c r="I996" s="510"/>
      <c r="J996" s="508"/>
      <c r="K996" s="510"/>
      <c r="L996" s="508"/>
      <c r="M996" s="508"/>
      <c r="N996" s="508"/>
      <c r="O996" s="508"/>
      <c r="P996" s="510"/>
      <c r="Q996" s="508"/>
      <c r="R996" s="508"/>
      <c r="S996" s="510"/>
      <c r="T996" s="510"/>
    </row>
    <row r="997">
      <c r="A997" s="508"/>
      <c r="B997" s="508"/>
      <c r="C997" s="508"/>
      <c r="D997" s="508"/>
      <c r="E997" s="508"/>
      <c r="F997" s="508"/>
      <c r="G997" s="510"/>
      <c r="H997" s="508"/>
      <c r="I997" s="510"/>
      <c r="J997" s="508"/>
      <c r="K997" s="510"/>
      <c r="L997" s="508"/>
      <c r="M997" s="508"/>
      <c r="N997" s="508"/>
      <c r="O997" s="508"/>
      <c r="P997" s="510"/>
      <c r="Q997" s="508"/>
      <c r="R997" s="508"/>
      <c r="S997" s="510"/>
      <c r="T997" s="510"/>
    </row>
    <row r="998">
      <c r="A998" s="508"/>
      <c r="B998" s="508"/>
      <c r="C998" s="508"/>
      <c r="D998" s="508"/>
      <c r="E998" s="508"/>
      <c r="F998" s="508"/>
      <c r="G998" s="510"/>
      <c r="H998" s="508"/>
      <c r="I998" s="510"/>
      <c r="J998" s="508"/>
      <c r="K998" s="510"/>
      <c r="L998" s="508"/>
      <c r="M998" s="508"/>
      <c r="N998" s="508"/>
      <c r="O998" s="508"/>
      <c r="P998" s="510"/>
      <c r="Q998" s="508"/>
      <c r="R998" s="508"/>
      <c r="S998" s="510"/>
      <c r="T998" s="510"/>
    </row>
    <row r="999">
      <c r="A999" s="508"/>
      <c r="B999" s="508"/>
      <c r="C999" s="508"/>
      <c r="D999" s="508"/>
      <c r="E999" s="508"/>
      <c r="F999" s="508"/>
      <c r="G999" s="510"/>
      <c r="H999" s="508"/>
      <c r="I999" s="510"/>
      <c r="J999" s="508"/>
      <c r="K999" s="510"/>
      <c r="L999" s="508"/>
      <c r="M999" s="508"/>
      <c r="N999" s="508"/>
      <c r="O999" s="508"/>
      <c r="P999" s="510"/>
      <c r="Q999" s="508"/>
      <c r="R999" s="508"/>
      <c r="S999" s="510"/>
      <c r="T999" s="510"/>
    </row>
    <row r="1000">
      <c r="A1000" s="508"/>
      <c r="B1000" s="508"/>
      <c r="C1000" s="508"/>
      <c r="D1000" s="508"/>
      <c r="E1000" s="508"/>
      <c r="F1000" s="508"/>
      <c r="G1000" s="510"/>
      <c r="H1000" s="508"/>
      <c r="I1000" s="510"/>
      <c r="J1000" s="508"/>
      <c r="K1000" s="510"/>
      <c r="L1000" s="508"/>
      <c r="M1000" s="508"/>
      <c r="N1000" s="508"/>
      <c r="O1000" s="508"/>
      <c r="P1000" s="510"/>
      <c r="Q1000" s="508"/>
      <c r="R1000" s="508"/>
      <c r="S1000" s="510"/>
      <c r="T1000" s="510"/>
    </row>
  </sheetData>
  <hyperlinks>
    <hyperlink r:id="rId1" ref="S33"/>
    <hyperlink r:id="rId2" ref="S48"/>
    <hyperlink r:id="rId3" ref="S58"/>
    <hyperlink r:id="rId4" ref="S75"/>
    <hyperlink r:id="rId5" ref="S92"/>
    <hyperlink r:id="rId6" ref="S104"/>
    <hyperlink r:id="rId7" ref="S133"/>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0"/>
    <col customWidth="1" min="2" max="2" width="10.71"/>
    <col customWidth="1" min="3" max="3" width="10.57"/>
    <col customWidth="1" min="4" max="4" width="13.29"/>
    <col customWidth="1" min="5" max="5" width="15.43"/>
    <col customWidth="1" min="6" max="6" width="11.57"/>
    <col customWidth="1" min="7" max="7" width="17.43"/>
    <col customWidth="1" min="8" max="8" width="59.71"/>
    <col customWidth="1" min="9" max="9" width="18.71"/>
    <col customWidth="1" min="10" max="10" width="13.29"/>
    <col customWidth="1" min="11" max="11" width="15.86"/>
    <col customWidth="1" min="12" max="12" width="10.71"/>
    <col customWidth="1" min="13" max="13" width="11.0"/>
    <col customWidth="1" min="14" max="14" width="10.57"/>
    <col customWidth="1" min="15" max="15" width="17.86"/>
    <col customWidth="1" min="16" max="16" width="86.43"/>
    <col customWidth="1" min="17" max="17" width="56.0"/>
    <col customWidth="1" min="18" max="18" width="69.14"/>
  </cols>
  <sheetData>
    <row r="1">
      <c r="A1" s="512" t="s">
        <v>2188</v>
      </c>
      <c r="B1" s="512" t="s">
        <v>2189</v>
      </c>
      <c r="C1" s="513" t="s">
        <v>2190</v>
      </c>
      <c r="D1" s="513" t="s">
        <v>2191</v>
      </c>
      <c r="E1" s="514" t="s">
        <v>1452</v>
      </c>
      <c r="F1" s="512" t="s">
        <v>2192</v>
      </c>
      <c r="G1" s="512" t="s">
        <v>2193</v>
      </c>
      <c r="H1" s="512" t="s">
        <v>2194</v>
      </c>
      <c r="I1" s="515" t="s">
        <v>2195</v>
      </c>
      <c r="J1" s="516" t="s">
        <v>2196</v>
      </c>
      <c r="K1" s="517" t="s">
        <v>2197</v>
      </c>
      <c r="L1" s="517" t="s">
        <v>642</v>
      </c>
      <c r="M1" s="518" t="s">
        <v>2198</v>
      </c>
      <c r="N1" s="519" t="s">
        <v>2199</v>
      </c>
      <c r="O1" s="520" t="s">
        <v>2200</v>
      </c>
      <c r="P1" s="518" t="s">
        <v>2201</v>
      </c>
      <c r="Q1" s="518" t="s">
        <v>2202</v>
      </c>
      <c r="R1" s="521" t="s">
        <v>2203</v>
      </c>
      <c r="S1" s="522"/>
      <c r="T1" s="522"/>
      <c r="U1" s="522"/>
      <c r="V1" s="522"/>
      <c r="W1" s="522"/>
    </row>
    <row r="2" hidden="1">
      <c r="A2" s="523" t="str">
        <f t="shared" ref="A2:A10" si="1">TEXT(C2,"mmmm")</f>
        <v>januari</v>
      </c>
      <c r="B2" s="524">
        <f t="shared" ref="B2:B10" si="2">WEEKNUM(C2)</f>
        <v>1</v>
      </c>
      <c r="C2" s="525">
        <v>43466.0</v>
      </c>
      <c r="D2" s="525">
        <v>43496.0</v>
      </c>
      <c r="E2" s="58" t="s">
        <v>335</v>
      </c>
      <c r="F2" s="58" t="s">
        <v>2204</v>
      </c>
      <c r="H2" s="526" t="s">
        <v>2205</v>
      </c>
      <c r="I2" s="58" t="s">
        <v>2206</v>
      </c>
      <c r="J2" s="405"/>
      <c r="K2" s="58"/>
      <c r="L2" s="58" t="s">
        <v>2207</v>
      </c>
      <c r="M2" s="58" t="s">
        <v>2208</v>
      </c>
      <c r="N2" s="83"/>
      <c r="O2" s="94" t="s">
        <v>1843</v>
      </c>
      <c r="P2" s="527" t="s">
        <v>2209</v>
      </c>
      <c r="Q2" s="528" t="s">
        <v>2210</v>
      </c>
      <c r="R2" s="478" t="s">
        <v>2211</v>
      </c>
    </row>
    <row r="3" hidden="1">
      <c r="A3" s="523" t="str">
        <f t="shared" si="1"/>
        <v>januari</v>
      </c>
      <c r="B3" s="524">
        <f t="shared" si="2"/>
        <v>1</v>
      </c>
      <c r="C3" s="529">
        <v>43466.0</v>
      </c>
      <c r="D3" s="525">
        <v>43496.0</v>
      </c>
      <c r="E3" s="58" t="s">
        <v>335</v>
      </c>
      <c r="F3" s="58" t="s">
        <v>2204</v>
      </c>
      <c r="H3" s="58" t="s">
        <v>2205</v>
      </c>
      <c r="I3" s="58" t="s">
        <v>2206</v>
      </c>
      <c r="J3" s="405"/>
      <c r="N3" s="83"/>
      <c r="O3" s="405"/>
      <c r="P3" s="530" t="s">
        <v>2209</v>
      </c>
      <c r="Q3" s="530" t="s">
        <v>2212</v>
      </c>
      <c r="R3" s="92" t="s">
        <v>2211</v>
      </c>
    </row>
    <row r="4" hidden="1">
      <c r="A4" s="523" t="str">
        <f t="shared" si="1"/>
        <v>januari</v>
      </c>
      <c r="B4" s="524">
        <f t="shared" si="2"/>
        <v>2</v>
      </c>
      <c r="C4" s="525">
        <v>43472.0</v>
      </c>
      <c r="D4" s="525">
        <v>43478.0</v>
      </c>
      <c r="E4" s="58" t="s">
        <v>329</v>
      </c>
      <c r="F4" s="58" t="s">
        <v>2204</v>
      </c>
      <c r="H4" s="58" t="s">
        <v>2213</v>
      </c>
      <c r="I4" s="58" t="s">
        <v>2214</v>
      </c>
      <c r="J4" s="94"/>
      <c r="N4" s="83"/>
      <c r="O4" s="94" t="s">
        <v>2215</v>
      </c>
      <c r="P4" s="527" t="s">
        <v>2216</v>
      </c>
      <c r="Q4" s="528" t="s">
        <v>2217</v>
      </c>
      <c r="R4" s="478" t="s">
        <v>2218</v>
      </c>
    </row>
    <row r="5" hidden="1">
      <c r="A5" s="523" t="str">
        <f t="shared" si="1"/>
        <v>januari</v>
      </c>
      <c r="B5" s="524">
        <f t="shared" si="2"/>
        <v>2</v>
      </c>
      <c r="C5" s="525">
        <v>43472.0</v>
      </c>
      <c r="D5" s="525">
        <v>43485.0</v>
      </c>
      <c r="E5" s="58" t="s">
        <v>338</v>
      </c>
      <c r="F5" s="58" t="s">
        <v>2204</v>
      </c>
      <c r="H5" s="58" t="s">
        <v>2219</v>
      </c>
      <c r="I5" s="58" t="s">
        <v>2206</v>
      </c>
      <c r="J5" s="405"/>
      <c r="N5" s="83"/>
      <c r="O5" s="94" t="s">
        <v>1843</v>
      </c>
      <c r="P5" s="527" t="s">
        <v>2220</v>
      </c>
      <c r="Q5" s="528" t="s">
        <v>2221</v>
      </c>
      <c r="R5" s="478" t="s">
        <v>2211</v>
      </c>
    </row>
    <row r="6" hidden="1">
      <c r="A6" s="523" t="str">
        <f t="shared" si="1"/>
        <v>januari</v>
      </c>
      <c r="B6" s="524">
        <f t="shared" si="2"/>
        <v>4</v>
      </c>
      <c r="C6" s="525">
        <v>43486.0</v>
      </c>
      <c r="D6" s="525">
        <v>43493.0</v>
      </c>
      <c r="E6" s="58" t="s">
        <v>335</v>
      </c>
      <c r="F6" s="58" t="s">
        <v>2204</v>
      </c>
      <c r="H6" s="58" t="s">
        <v>2222</v>
      </c>
      <c r="I6" s="58" t="s">
        <v>2214</v>
      </c>
      <c r="J6" s="94" t="s">
        <v>2207</v>
      </c>
      <c r="M6" s="58" t="s">
        <v>2223</v>
      </c>
      <c r="N6" s="92" t="s">
        <v>2224</v>
      </c>
      <c r="O6" s="94" t="s">
        <v>2225</v>
      </c>
      <c r="P6" s="527" t="s">
        <v>2226</v>
      </c>
      <c r="Q6" s="528" t="s">
        <v>2227</v>
      </c>
      <c r="R6" s="2" t="s">
        <v>2228</v>
      </c>
    </row>
    <row r="7" hidden="1">
      <c r="A7" s="523" t="str">
        <f t="shared" si="1"/>
        <v>november</v>
      </c>
      <c r="B7" s="524">
        <f t="shared" si="2"/>
        <v>45</v>
      </c>
      <c r="C7" s="529">
        <v>43409.0</v>
      </c>
      <c r="D7" s="525">
        <v>43496.0</v>
      </c>
      <c r="E7" s="58" t="s">
        <v>2229</v>
      </c>
      <c r="F7" s="58" t="s">
        <v>1388</v>
      </c>
      <c r="H7" s="58" t="s">
        <v>2230</v>
      </c>
      <c r="I7" s="58" t="s">
        <v>2231</v>
      </c>
      <c r="J7" s="405"/>
      <c r="K7" s="58"/>
      <c r="L7" s="58" t="s">
        <v>2207</v>
      </c>
      <c r="N7" s="92" t="s">
        <v>2232</v>
      </c>
      <c r="O7" s="94" t="s">
        <v>2233</v>
      </c>
      <c r="P7" s="528" t="s">
        <v>2234</v>
      </c>
      <c r="R7" s="2" t="s">
        <v>2235</v>
      </c>
    </row>
    <row r="8" hidden="1">
      <c r="A8" s="523" t="str">
        <f t="shared" si="1"/>
        <v>januari</v>
      </c>
      <c r="B8" s="524">
        <f t="shared" si="2"/>
        <v>2</v>
      </c>
      <c r="C8" s="525">
        <v>43472.0</v>
      </c>
      <c r="D8" s="525">
        <v>43499.0</v>
      </c>
      <c r="E8" s="58" t="s">
        <v>1369</v>
      </c>
      <c r="F8" s="58" t="s">
        <v>2204</v>
      </c>
      <c r="H8" s="58" t="s">
        <v>2236</v>
      </c>
      <c r="I8" s="58" t="s">
        <v>2206</v>
      </c>
      <c r="J8" s="405"/>
      <c r="K8" s="58"/>
      <c r="L8" s="58" t="s">
        <v>2232</v>
      </c>
      <c r="N8" s="92" t="s">
        <v>2232</v>
      </c>
      <c r="O8" s="94" t="s">
        <v>1843</v>
      </c>
      <c r="P8" s="527" t="s">
        <v>2237</v>
      </c>
      <c r="Q8" s="528" t="s">
        <v>2238</v>
      </c>
      <c r="R8" s="531" t="s">
        <v>2239</v>
      </c>
    </row>
    <row r="9" hidden="1">
      <c r="A9" s="523" t="str">
        <f t="shared" si="1"/>
        <v>januari</v>
      </c>
      <c r="B9" s="524">
        <f t="shared" si="2"/>
        <v>3</v>
      </c>
      <c r="C9" s="529">
        <v>43479.0</v>
      </c>
      <c r="D9" s="529">
        <v>43499.0</v>
      </c>
      <c r="E9" s="58" t="s">
        <v>2240</v>
      </c>
      <c r="F9" s="58" t="s">
        <v>2204</v>
      </c>
      <c r="H9" s="58" t="s">
        <v>2241</v>
      </c>
      <c r="I9" s="58" t="s">
        <v>2242</v>
      </c>
      <c r="J9" s="94" t="s">
        <v>2207</v>
      </c>
      <c r="K9" s="58"/>
      <c r="L9" s="58" t="s">
        <v>2207</v>
      </c>
      <c r="N9" s="92" t="s">
        <v>2232</v>
      </c>
      <c r="O9" s="94" t="s">
        <v>2243</v>
      </c>
      <c r="P9" s="532" t="s">
        <v>2244</v>
      </c>
      <c r="Q9" s="532" t="s">
        <v>2245</v>
      </c>
      <c r="R9" s="533" t="s">
        <v>2246</v>
      </c>
    </row>
    <row r="10" hidden="1">
      <c r="A10" s="523" t="str">
        <f t="shared" si="1"/>
        <v>januari</v>
      </c>
      <c r="B10" s="524">
        <f t="shared" si="2"/>
        <v>5</v>
      </c>
      <c r="C10" s="525">
        <v>43494.0</v>
      </c>
      <c r="D10" s="525">
        <v>43499.0</v>
      </c>
      <c r="E10" s="58" t="s">
        <v>343</v>
      </c>
      <c r="F10" s="58" t="s">
        <v>2204</v>
      </c>
      <c r="H10" s="58" t="s">
        <v>2247</v>
      </c>
      <c r="I10" s="58" t="s">
        <v>2214</v>
      </c>
      <c r="J10" s="94" t="s">
        <v>2207</v>
      </c>
      <c r="M10" s="58" t="s">
        <v>2223</v>
      </c>
      <c r="N10" s="92" t="s">
        <v>2232</v>
      </c>
      <c r="O10" s="94" t="s">
        <v>2248</v>
      </c>
      <c r="P10" s="527" t="s">
        <v>2249</v>
      </c>
      <c r="Q10" s="528" t="s">
        <v>2250</v>
      </c>
      <c r="R10" s="534" t="s">
        <v>1843</v>
      </c>
    </row>
    <row r="11" hidden="1">
      <c r="A11" s="58" t="s">
        <v>2251</v>
      </c>
      <c r="B11" s="58">
        <v>6.0</v>
      </c>
      <c r="C11" s="535">
        <v>43500.0</v>
      </c>
      <c r="D11" s="535">
        <v>43503.0</v>
      </c>
      <c r="E11" s="58" t="s">
        <v>338</v>
      </c>
      <c r="F11" s="58" t="s">
        <v>2204</v>
      </c>
      <c r="H11" s="58" t="s">
        <v>2252</v>
      </c>
      <c r="I11" s="58" t="s">
        <v>2214</v>
      </c>
      <c r="J11" s="94" t="s">
        <v>2207</v>
      </c>
      <c r="K11" s="58"/>
      <c r="L11" s="58" t="s">
        <v>2232</v>
      </c>
      <c r="M11" s="58" t="s">
        <v>2208</v>
      </c>
      <c r="N11" s="92"/>
      <c r="O11" s="94" t="s">
        <v>2253</v>
      </c>
      <c r="P11" s="58" t="s">
        <v>2254</v>
      </c>
      <c r="R11" s="83"/>
    </row>
    <row r="12" hidden="1">
      <c r="A12" s="523" t="str">
        <f t="shared" ref="A12:A21" si="3">TEXT(C12,"mmmm")</f>
        <v>januari</v>
      </c>
      <c r="B12" s="524">
        <f t="shared" ref="B12:B26" si="4">WEEKNUM(C12)</f>
        <v>2</v>
      </c>
      <c r="C12" s="529">
        <v>43475.0</v>
      </c>
      <c r="D12" s="525">
        <v>43506.0</v>
      </c>
      <c r="E12" s="58" t="s">
        <v>1369</v>
      </c>
      <c r="F12" s="58" t="s">
        <v>14</v>
      </c>
      <c r="H12" s="58" t="s">
        <v>2255</v>
      </c>
      <c r="I12" s="58" t="s">
        <v>2231</v>
      </c>
      <c r="J12" s="405"/>
      <c r="K12" s="58"/>
      <c r="L12" s="58" t="s">
        <v>2256</v>
      </c>
      <c r="N12" s="92" t="s">
        <v>2232</v>
      </c>
      <c r="O12" s="536" t="s">
        <v>2257</v>
      </c>
      <c r="P12" s="532" t="s">
        <v>2258</v>
      </c>
      <c r="R12" s="537" t="s">
        <v>2246</v>
      </c>
    </row>
    <row r="13" hidden="1">
      <c r="A13" s="523" t="str">
        <f t="shared" si="3"/>
        <v>februari</v>
      </c>
      <c r="B13" s="524">
        <f t="shared" si="4"/>
        <v>6</v>
      </c>
      <c r="C13" s="525">
        <v>43500.0</v>
      </c>
      <c r="D13" s="525">
        <v>43506.0</v>
      </c>
      <c r="E13" s="58" t="s">
        <v>1369</v>
      </c>
      <c r="F13" s="58" t="s">
        <v>14</v>
      </c>
      <c r="H13" s="58" t="s">
        <v>2259</v>
      </c>
      <c r="J13" s="405"/>
      <c r="K13" s="58"/>
      <c r="L13" s="58" t="s">
        <v>2207</v>
      </c>
      <c r="M13" s="58" t="s">
        <v>2232</v>
      </c>
      <c r="N13" s="92" t="s">
        <v>2232</v>
      </c>
      <c r="O13" s="94"/>
      <c r="P13" s="527"/>
      <c r="Q13" s="528"/>
      <c r="R13" s="533" t="s">
        <v>2211</v>
      </c>
    </row>
    <row r="14" hidden="1">
      <c r="A14" s="523" t="str">
        <f t="shared" si="3"/>
        <v>januari</v>
      </c>
      <c r="B14" s="524">
        <f t="shared" si="4"/>
        <v>2</v>
      </c>
      <c r="C14" s="525">
        <v>43472.0</v>
      </c>
      <c r="D14" s="525">
        <v>43524.0</v>
      </c>
      <c r="E14" s="58" t="s">
        <v>2260</v>
      </c>
      <c r="F14" s="58" t="s">
        <v>14</v>
      </c>
      <c r="H14" s="58" t="s">
        <v>2261</v>
      </c>
      <c r="I14" s="58" t="s">
        <v>2231</v>
      </c>
      <c r="J14" s="94" t="s">
        <v>2207</v>
      </c>
      <c r="K14" s="58" t="s">
        <v>2232</v>
      </c>
      <c r="L14" s="58" t="s">
        <v>2207</v>
      </c>
      <c r="N14" s="92" t="s">
        <v>2232</v>
      </c>
      <c r="O14" s="538" t="s">
        <v>2262</v>
      </c>
      <c r="P14" s="530" t="s">
        <v>2263</v>
      </c>
      <c r="R14" s="92" t="s">
        <v>2264</v>
      </c>
    </row>
    <row r="15" hidden="1">
      <c r="A15" s="523" t="str">
        <f t="shared" si="3"/>
        <v>februari</v>
      </c>
      <c r="B15" s="524">
        <f t="shared" si="4"/>
        <v>5</v>
      </c>
      <c r="C15" s="529">
        <v>43497.0</v>
      </c>
      <c r="D15" s="529">
        <v>43524.0</v>
      </c>
      <c r="E15" s="58" t="s">
        <v>335</v>
      </c>
      <c r="F15" s="58" t="s">
        <v>2204</v>
      </c>
      <c r="H15" s="58" t="s">
        <v>2265</v>
      </c>
      <c r="I15" s="58" t="s">
        <v>2206</v>
      </c>
      <c r="J15" s="94" t="s">
        <v>2207</v>
      </c>
      <c r="K15" s="58" t="s">
        <v>2232</v>
      </c>
      <c r="L15" s="58" t="s">
        <v>2207</v>
      </c>
      <c r="M15" s="58" t="s">
        <v>2232</v>
      </c>
      <c r="N15" s="92" t="s">
        <v>2232</v>
      </c>
      <c r="O15" s="58" t="s">
        <v>1843</v>
      </c>
      <c r="P15" s="532" t="s">
        <v>2266</v>
      </c>
      <c r="Q15" s="532" t="s">
        <v>2267</v>
      </c>
      <c r="R15" s="533" t="s">
        <v>2211</v>
      </c>
    </row>
    <row r="16" hidden="1">
      <c r="A16" s="523" t="str">
        <f t="shared" si="3"/>
        <v>januari</v>
      </c>
      <c r="B16" s="524">
        <f t="shared" si="4"/>
        <v>5</v>
      </c>
      <c r="C16" s="525">
        <v>43493.0</v>
      </c>
      <c r="D16" s="525">
        <v>43509.0</v>
      </c>
      <c r="E16" s="58" t="s">
        <v>2229</v>
      </c>
      <c r="F16" s="58" t="s">
        <v>2204</v>
      </c>
      <c r="G16" s="58" t="s">
        <v>2268</v>
      </c>
      <c r="H16" s="58" t="s">
        <v>2269</v>
      </c>
      <c r="I16" s="58" t="s">
        <v>2231</v>
      </c>
      <c r="J16" s="94" t="s">
        <v>2207</v>
      </c>
      <c r="K16" s="58"/>
      <c r="L16" s="58" t="s">
        <v>2207</v>
      </c>
      <c r="M16" s="58" t="s">
        <v>2208</v>
      </c>
      <c r="N16" s="92" t="s">
        <v>2232</v>
      </c>
      <c r="O16" s="58" t="s">
        <v>2270</v>
      </c>
      <c r="P16" s="532" t="s">
        <v>2271</v>
      </c>
      <c r="Q16" s="532" t="s">
        <v>2272</v>
      </c>
      <c r="R16" s="539" t="s">
        <v>2273</v>
      </c>
    </row>
    <row r="17">
      <c r="A17" s="523" t="str">
        <f t="shared" si="3"/>
        <v>januari</v>
      </c>
      <c r="B17" s="524">
        <f t="shared" si="4"/>
        <v>2</v>
      </c>
      <c r="C17" s="529">
        <v>43476.0</v>
      </c>
      <c r="D17" s="525">
        <v>43585.0</v>
      </c>
      <c r="E17" s="58" t="s">
        <v>2274</v>
      </c>
      <c r="F17" s="58" t="s">
        <v>14</v>
      </c>
      <c r="H17" s="58" t="s">
        <v>2275</v>
      </c>
      <c r="I17" s="58" t="s">
        <v>2231</v>
      </c>
      <c r="J17" s="94" t="s">
        <v>2232</v>
      </c>
      <c r="K17" s="58" t="s">
        <v>2232</v>
      </c>
      <c r="L17" s="58" t="s">
        <v>2256</v>
      </c>
      <c r="M17" s="58" t="s">
        <v>2232</v>
      </c>
      <c r="N17" s="92" t="s">
        <v>2232</v>
      </c>
      <c r="O17" s="280" t="s">
        <v>2276</v>
      </c>
      <c r="P17" s="532" t="s">
        <v>2277</v>
      </c>
      <c r="R17" s="2" t="s">
        <v>2278</v>
      </c>
    </row>
    <row r="18" hidden="1">
      <c r="A18" s="523" t="str">
        <f t="shared" si="3"/>
        <v>februari</v>
      </c>
      <c r="B18" s="524">
        <f t="shared" si="4"/>
        <v>6</v>
      </c>
      <c r="C18" s="525">
        <v>43500.0</v>
      </c>
      <c r="D18" s="525">
        <v>43508.0</v>
      </c>
      <c r="E18" s="58" t="s">
        <v>329</v>
      </c>
      <c r="F18" s="58" t="s">
        <v>2204</v>
      </c>
      <c r="H18" s="58" t="s">
        <v>2279</v>
      </c>
      <c r="I18" s="58" t="s">
        <v>2206</v>
      </c>
      <c r="J18" s="94" t="s">
        <v>2207</v>
      </c>
      <c r="K18" s="58"/>
      <c r="L18" s="58" t="s">
        <v>2207</v>
      </c>
      <c r="M18" s="58" t="s">
        <v>2223</v>
      </c>
      <c r="N18" s="92" t="s">
        <v>2232</v>
      </c>
      <c r="O18" s="405"/>
      <c r="P18" s="532" t="s">
        <v>2280</v>
      </c>
      <c r="Q18" s="532" t="s">
        <v>2281</v>
      </c>
      <c r="R18" s="92" t="s">
        <v>2211</v>
      </c>
    </row>
    <row r="19" hidden="1">
      <c r="A19" s="523" t="str">
        <f t="shared" si="3"/>
        <v>februari</v>
      </c>
      <c r="B19" s="524">
        <f t="shared" si="4"/>
        <v>8</v>
      </c>
      <c r="C19" s="525">
        <v>43514.0</v>
      </c>
      <c r="D19" s="525">
        <v>43521.0</v>
      </c>
      <c r="E19" s="58" t="s">
        <v>329</v>
      </c>
      <c r="F19" s="58" t="s">
        <v>2204</v>
      </c>
      <c r="G19" s="58" t="s">
        <v>2282</v>
      </c>
      <c r="H19" s="58" t="s">
        <v>2283</v>
      </c>
      <c r="I19" s="58" t="s">
        <v>2214</v>
      </c>
      <c r="J19" s="94" t="s">
        <v>2207</v>
      </c>
      <c r="K19" s="58"/>
      <c r="L19" s="58" t="s">
        <v>2207</v>
      </c>
      <c r="M19" s="58" t="s">
        <v>2223</v>
      </c>
      <c r="N19" s="92" t="s">
        <v>2232</v>
      </c>
      <c r="O19" s="94" t="s">
        <v>2284</v>
      </c>
      <c r="P19" s="527" t="s">
        <v>2216</v>
      </c>
      <c r="Q19" s="528" t="s">
        <v>2217</v>
      </c>
      <c r="R19" s="92" t="s">
        <v>2285</v>
      </c>
    </row>
    <row r="20" hidden="1">
      <c r="A20" s="523" t="str">
        <f t="shared" si="3"/>
        <v>februari</v>
      </c>
      <c r="B20" s="524">
        <f t="shared" si="4"/>
        <v>9</v>
      </c>
      <c r="C20" s="535">
        <v>43521.0</v>
      </c>
      <c r="D20" s="535">
        <v>43534.0</v>
      </c>
      <c r="E20" s="58" t="s">
        <v>335</v>
      </c>
      <c r="F20" s="58" t="s">
        <v>14</v>
      </c>
      <c r="G20" s="58" t="s">
        <v>2268</v>
      </c>
      <c r="H20" s="58" t="s">
        <v>2286</v>
      </c>
      <c r="I20" s="58" t="s">
        <v>2231</v>
      </c>
      <c r="J20" s="94" t="s">
        <v>2232</v>
      </c>
      <c r="K20" s="58" t="s">
        <v>2232</v>
      </c>
      <c r="L20" s="58" t="s">
        <v>2256</v>
      </c>
      <c r="M20" s="58" t="s">
        <v>2232</v>
      </c>
      <c r="N20" s="92" t="s">
        <v>2232</v>
      </c>
      <c r="O20" s="94" t="s">
        <v>2287</v>
      </c>
      <c r="P20" s="532" t="s">
        <v>2288</v>
      </c>
      <c r="R20" s="2" t="s">
        <v>2246</v>
      </c>
    </row>
    <row r="21" hidden="1">
      <c r="A21" s="523" t="str">
        <f t="shared" si="3"/>
        <v>december</v>
      </c>
      <c r="B21" s="524">
        <f t="shared" si="4"/>
        <v>52</v>
      </c>
      <c r="C21" s="540">
        <v>43458.0</v>
      </c>
      <c r="D21" s="525">
        <v>43471.0</v>
      </c>
      <c r="E21" s="526" t="s">
        <v>2229</v>
      </c>
      <c r="F21" s="541" t="s">
        <v>2204</v>
      </c>
      <c r="G21" s="542"/>
      <c r="H21" s="542" t="s">
        <v>2289</v>
      </c>
      <c r="I21" s="526" t="s">
        <v>2242</v>
      </c>
      <c r="J21" s="405"/>
      <c r="K21" s="58"/>
      <c r="L21" s="58" t="s">
        <v>2207</v>
      </c>
      <c r="N21" s="83"/>
      <c r="O21" s="536" t="s">
        <v>2290</v>
      </c>
      <c r="P21" s="527" t="s">
        <v>2291</v>
      </c>
      <c r="Q21" s="528" t="s">
        <v>2292</v>
      </c>
      <c r="R21" s="537" t="s">
        <v>2246</v>
      </c>
    </row>
    <row r="22" hidden="1">
      <c r="A22" s="58" t="s">
        <v>2293</v>
      </c>
      <c r="B22" s="524">
        <f t="shared" si="4"/>
        <v>9</v>
      </c>
      <c r="C22" s="535">
        <v>43524.0</v>
      </c>
      <c r="D22" s="535">
        <v>43527.0</v>
      </c>
      <c r="E22" s="58" t="s">
        <v>2274</v>
      </c>
      <c r="F22" s="58" t="s">
        <v>2204</v>
      </c>
      <c r="G22" s="58" t="s">
        <v>2282</v>
      </c>
      <c r="H22" s="58" t="s">
        <v>2294</v>
      </c>
      <c r="I22" s="58" t="s">
        <v>2214</v>
      </c>
      <c r="J22" s="94" t="s">
        <v>2207</v>
      </c>
      <c r="K22" s="58" t="s">
        <v>2232</v>
      </c>
      <c r="L22" s="58" t="s">
        <v>2207</v>
      </c>
      <c r="M22" s="58" t="s">
        <v>2223</v>
      </c>
      <c r="N22" s="92" t="s">
        <v>2232</v>
      </c>
      <c r="O22" s="94" t="s">
        <v>2295</v>
      </c>
      <c r="P22" s="532" t="s">
        <v>2296</v>
      </c>
      <c r="Q22" s="532" t="s">
        <v>2297</v>
      </c>
      <c r="R22" s="83"/>
    </row>
    <row r="23" hidden="1">
      <c r="A23" s="523" t="str">
        <f t="shared" ref="A23:A25" si="5">TEXT(C23,"mmmm")</f>
        <v>maart</v>
      </c>
      <c r="B23" s="524">
        <f t="shared" si="4"/>
        <v>9</v>
      </c>
      <c r="C23" s="535">
        <v>43525.0</v>
      </c>
      <c r="D23" s="535">
        <v>43555.0</v>
      </c>
      <c r="E23" s="58" t="s">
        <v>335</v>
      </c>
      <c r="F23" s="58" t="s">
        <v>2204</v>
      </c>
      <c r="G23" s="58" t="s">
        <v>2298</v>
      </c>
      <c r="H23" s="58" t="s">
        <v>2299</v>
      </c>
      <c r="I23" s="58" t="s">
        <v>2206</v>
      </c>
      <c r="J23" s="94" t="s">
        <v>2207</v>
      </c>
      <c r="K23" s="58" t="s">
        <v>2232</v>
      </c>
      <c r="L23" s="58" t="s">
        <v>2207</v>
      </c>
      <c r="M23" s="58" t="s">
        <v>2232</v>
      </c>
      <c r="N23" s="92" t="s">
        <v>2232</v>
      </c>
      <c r="O23" s="280" t="s">
        <v>1843</v>
      </c>
      <c r="P23" s="532" t="s">
        <v>2300</v>
      </c>
      <c r="Q23" s="532" t="s">
        <v>2301</v>
      </c>
      <c r="R23" s="533" t="s">
        <v>2211</v>
      </c>
    </row>
    <row r="24" hidden="1">
      <c r="A24" s="523" t="str">
        <f t="shared" si="5"/>
        <v>maart</v>
      </c>
      <c r="B24" s="524">
        <f t="shared" si="4"/>
        <v>9</v>
      </c>
      <c r="C24" s="529">
        <v>43525.0</v>
      </c>
      <c r="D24" s="535">
        <v>43555.0</v>
      </c>
      <c r="E24" s="58" t="s">
        <v>2260</v>
      </c>
      <c r="F24" s="58" t="s">
        <v>14</v>
      </c>
      <c r="G24" s="58" t="s">
        <v>2302</v>
      </c>
      <c r="H24" s="58" t="s">
        <v>2261</v>
      </c>
      <c r="I24" s="58" t="s">
        <v>2231</v>
      </c>
      <c r="J24" s="94" t="s">
        <v>2207</v>
      </c>
      <c r="K24" s="58" t="s">
        <v>2232</v>
      </c>
      <c r="L24" s="58" t="s">
        <v>2207</v>
      </c>
      <c r="M24" s="58" t="s">
        <v>2232</v>
      </c>
      <c r="N24" s="92" t="s">
        <v>2232</v>
      </c>
      <c r="O24" s="543" t="s">
        <v>2262</v>
      </c>
      <c r="P24" s="530" t="s">
        <v>2263</v>
      </c>
      <c r="R24" s="92" t="s">
        <v>2264</v>
      </c>
    </row>
    <row r="25" hidden="1">
      <c r="A25" s="523" t="str">
        <f t="shared" si="5"/>
        <v>maart</v>
      </c>
      <c r="B25" s="524">
        <f t="shared" si="4"/>
        <v>9</v>
      </c>
      <c r="C25" s="529">
        <v>43525.0</v>
      </c>
      <c r="D25" s="529">
        <v>43555.0</v>
      </c>
      <c r="E25" s="58" t="s">
        <v>2240</v>
      </c>
      <c r="F25" s="58" t="s">
        <v>14</v>
      </c>
      <c r="G25" s="58" t="s">
        <v>2302</v>
      </c>
      <c r="H25" s="58" t="s">
        <v>2303</v>
      </c>
      <c r="I25" s="58" t="s">
        <v>2231</v>
      </c>
      <c r="J25" s="94" t="s">
        <v>2232</v>
      </c>
      <c r="K25" s="58" t="s">
        <v>2232</v>
      </c>
      <c r="L25" s="58" t="s">
        <v>2232</v>
      </c>
      <c r="M25" s="58" t="s">
        <v>2232</v>
      </c>
      <c r="N25" s="92" t="s">
        <v>2232</v>
      </c>
      <c r="O25" s="544"/>
      <c r="R25" s="83"/>
    </row>
    <row r="26" hidden="1">
      <c r="A26" s="58" t="s">
        <v>2304</v>
      </c>
      <c r="B26" s="524">
        <f t="shared" si="4"/>
        <v>10</v>
      </c>
      <c r="C26" s="535">
        <v>43528.0</v>
      </c>
      <c r="D26" s="535">
        <v>43534.0</v>
      </c>
      <c r="E26" s="58" t="s">
        <v>1160</v>
      </c>
      <c r="F26" s="58" t="s">
        <v>2204</v>
      </c>
      <c r="G26" s="58" t="s">
        <v>2282</v>
      </c>
      <c r="H26" s="545" t="s">
        <v>2305</v>
      </c>
      <c r="I26" s="58" t="s">
        <v>2214</v>
      </c>
      <c r="J26" s="94" t="s">
        <v>2232</v>
      </c>
      <c r="K26" s="58" t="s">
        <v>2207</v>
      </c>
      <c r="L26" s="58" t="s">
        <v>2207</v>
      </c>
      <c r="M26" s="58" t="s">
        <v>2223</v>
      </c>
      <c r="N26" s="92" t="s">
        <v>2232</v>
      </c>
      <c r="O26" s="94" t="s">
        <v>2306</v>
      </c>
      <c r="P26" s="532" t="s">
        <v>2307</v>
      </c>
      <c r="Q26" s="532" t="s">
        <v>2308</v>
      </c>
      <c r="R26" s="83"/>
    </row>
    <row r="27" hidden="1">
      <c r="A27" s="58" t="s">
        <v>2304</v>
      </c>
      <c r="B27" s="58">
        <v>9.0</v>
      </c>
      <c r="C27" s="58" t="s">
        <v>2309</v>
      </c>
      <c r="D27" s="58" t="s">
        <v>2309</v>
      </c>
      <c r="E27" s="58" t="s">
        <v>2310</v>
      </c>
      <c r="F27" s="58" t="s">
        <v>2204</v>
      </c>
      <c r="H27" s="58" t="s">
        <v>2311</v>
      </c>
      <c r="I27" s="58" t="s">
        <v>2231</v>
      </c>
      <c r="J27" s="405"/>
      <c r="N27" s="83"/>
      <c r="O27" s="405"/>
      <c r="R27" s="83"/>
    </row>
    <row r="28" hidden="1">
      <c r="A28" s="58" t="s">
        <v>2304</v>
      </c>
      <c r="B28" s="524">
        <f t="shared" ref="B28:B32" si="6">WEEKNUM(C28)</f>
        <v>10</v>
      </c>
      <c r="C28" s="529">
        <v>43528.0</v>
      </c>
      <c r="D28" s="529">
        <v>43541.0</v>
      </c>
      <c r="E28" s="58" t="s">
        <v>2240</v>
      </c>
      <c r="F28" s="58" t="s">
        <v>2204</v>
      </c>
      <c r="G28" s="58" t="s">
        <v>2312</v>
      </c>
      <c r="H28" s="58" t="s">
        <v>2313</v>
      </c>
      <c r="I28" s="58" t="s">
        <v>2242</v>
      </c>
      <c r="J28" s="94" t="s">
        <v>2207</v>
      </c>
      <c r="K28" s="58" t="s">
        <v>2232</v>
      </c>
      <c r="L28" s="58" t="s">
        <v>2207</v>
      </c>
      <c r="M28" s="58" t="s">
        <v>2232</v>
      </c>
      <c r="N28" s="92" t="s">
        <v>2232</v>
      </c>
      <c r="O28" s="280" t="s">
        <v>2314</v>
      </c>
      <c r="P28" s="532" t="s">
        <v>2315</v>
      </c>
      <c r="Q28" s="532" t="s">
        <v>2316</v>
      </c>
      <c r="R28" s="2" t="s">
        <v>2246</v>
      </c>
    </row>
    <row r="29" hidden="1">
      <c r="A29" s="523" t="str">
        <f>TEXT(C29,"mmmm")</f>
        <v>?</v>
      </c>
      <c r="B29" s="524" t="str">
        <f t="shared" si="6"/>
        <v>#VALUE!</v>
      </c>
      <c r="C29" s="58" t="s">
        <v>2317</v>
      </c>
      <c r="D29" s="58" t="s">
        <v>2317</v>
      </c>
      <c r="E29" s="58" t="s">
        <v>2240</v>
      </c>
      <c r="F29" s="58" t="s">
        <v>2204</v>
      </c>
      <c r="G29" s="58" t="s">
        <v>2318</v>
      </c>
      <c r="H29" s="58" t="s">
        <v>2319</v>
      </c>
      <c r="I29" s="58" t="s">
        <v>2231</v>
      </c>
      <c r="J29" s="405"/>
      <c r="N29" s="92" t="s">
        <v>2232</v>
      </c>
      <c r="O29" s="405"/>
      <c r="P29" s="532" t="s">
        <v>2244</v>
      </c>
      <c r="Q29" s="532" t="s">
        <v>2245</v>
      </c>
    </row>
    <row r="30" hidden="1">
      <c r="A30" s="58" t="s">
        <v>2304</v>
      </c>
      <c r="B30" s="524">
        <f t="shared" si="6"/>
        <v>10</v>
      </c>
      <c r="C30" s="529">
        <v>43528.0</v>
      </c>
      <c r="D30" s="529">
        <v>43541.0</v>
      </c>
      <c r="E30" s="545" t="s">
        <v>329</v>
      </c>
      <c r="F30" s="545" t="s">
        <v>2204</v>
      </c>
      <c r="G30" s="545" t="s">
        <v>2312</v>
      </c>
      <c r="H30" s="58" t="s">
        <v>2320</v>
      </c>
      <c r="I30" s="545" t="s">
        <v>2242</v>
      </c>
      <c r="J30" s="94" t="s">
        <v>2207</v>
      </c>
      <c r="K30" s="58" t="s">
        <v>2232</v>
      </c>
      <c r="L30" s="58" t="s">
        <v>2207</v>
      </c>
      <c r="M30" s="58" t="s">
        <v>2232</v>
      </c>
      <c r="N30" s="92" t="s">
        <v>2232</v>
      </c>
      <c r="O30" s="280" t="s">
        <v>2314</v>
      </c>
      <c r="P30" s="532" t="s">
        <v>2321</v>
      </c>
      <c r="Q30" s="532" t="s">
        <v>2322</v>
      </c>
      <c r="R30" s="2" t="s">
        <v>2246</v>
      </c>
    </row>
    <row r="31" hidden="1">
      <c r="A31" s="523" t="str">
        <f t="shared" ref="A31:A34" si="7">TEXT(C31,"mmmm")</f>
        <v>maart</v>
      </c>
      <c r="B31" s="524">
        <f t="shared" si="6"/>
        <v>10</v>
      </c>
      <c r="C31" s="525">
        <v>43528.0</v>
      </c>
      <c r="D31" s="529">
        <v>43541.0</v>
      </c>
      <c r="E31" s="58" t="s">
        <v>338</v>
      </c>
      <c r="F31" s="58" t="s">
        <v>2204</v>
      </c>
      <c r="G31" s="58" t="s">
        <v>2323</v>
      </c>
      <c r="H31" s="58" t="s">
        <v>2324</v>
      </c>
      <c r="I31" s="58" t="s">
        <v>2206</v>
      </c>
      <c r="J31" s="94" t="s">
        <v>2207</v>
      </c>
      <c r="K31" s="58" t="s">
        <v>2325</v>
      </c>
      <c r="L31" s="58" t="s">
        <v>2207</v>
      </c>
      <c r="M31" s="58" t="s">
        <v>2223</v>
      </c>
      <c r="N31" s="92" t="s">
        <v>2232</v>
      </c>
      <c r="O31" s="280"/>
      <c r="P31" s="527" t="s">
        <v>2326</v>
      </c>
      <c r="Q31" s="528" t="s">
        <v>2327</v>
      </c>
      <c r="R31" s="533" t="s">
        <v>2211</v>
      </c>
    </row>
    <row r="32">
      <c r="A32" s="523" t="str">
        <f t="shared" si="7"/>
        <v>maart</v>
      </c>
      <c r="B32" s="524">
        <f t="shared" si="6"/>
        <v>10</v>
      </c>
      <c r="C32" s="546">
        <v>43528.0</v>
      </c>
      <c r="D32" s="546">
        <v>43585.0</v>
      </c>
      <c r="E32" s="58" t="s">
        <v>2229</v>
      </c>
      <c r="F32" s="58" t="s">
        <v>1388</v>
      </c>
      <c r="G32" s="58" t="s">
        <v>2328</v>
      </c>
      <c r="H32" s="58" t="s">
        <v>2329</v>
      </c>
      <c r="I32" s="58" t="s">
        <v>2242</v>
      </c>
      <c r="J32" s="94" t="s">
        <v>2207</v>
      </c>
      <c r="K32" s="58" t="s">
        <v>2232</v>
      </c>
      <c r="L32" s="58" t="s">
        <v>2207</v>
      </c>
      <c r="M32" s="58" t="s">
        <v>2232</v>
      </c>
      <c r="N32" s="92" t="s">
        <v>2232</v>
      </c>
      <c r="O32" s="280" t="s">
        <v>2330</v>
      </c>
      <c r="P32" s="532" t="s">
        <v>2331</v>
      </c>
      <c r="Q32" s="58"/>
      <c r="R32" s="547" t="s">
        <v>2332</v>
      </c>
    </row>
    <row r="33" hidden="1">
      <c r="A33" s="523" t="str">
        <f t="shared" si="7"/>
        <v>maart</v>
      </c>
      <c r="B33" s="548">
        <v>11.0</v>
      </c>
      <c r="C33" s="529">
        <v>43536.0</v>
      </c>
      <c r="D33" s="529">
        <v>43555.0</v>
      </c>
      <c r="E33" s="58" t="s">
        <v>343</v>
      </c>
      <c r="F33" s="58" t="s">
        <v>14</v>
      </c>
      <c r="G33" s="58" t="s">
        <v>2298</v>
      </c>
      <c r="H33" s="58" t="s">
        <v>2333</v>
      </c>
      <c r="I33" s="58" t="s">
        <v>2231</v>
      </c>
      <c r="J33" s="94" t="s">
        <v>2207</v>
      </c>
      <c r="K33" s="58" t="s">
        <v>2232</v>
      </c>
      <c r="L33" s="58" t="s">
        <v>2232</v>
      </c>
      <c r="M33" s="58" t="s">
        <v>2232</v>
      </c>
      <c r="N33" s="92" t="s">
        <v>2232</v>
      </c>
      <c r="O33" s="280" t="s">
        <v>2334</v>
      </c>
      <c r="P33" s="532" t="s">
        <v>2335</v>
      </c>
      <c r="Q33" s="58" t="s">
        <v>2134</v>
      </c>
      <c r="R33" s="92" t="s">
        <v>2336</v>
      </c>
    </row>
    <row r="34" ht="15.0" hidden="1" customHeight="1">
      <c r="A34" s="523" t="str">
        <f t="shared" si="7"/>
        <v>maart</v>
      </c>
      <c r="B34" s="524">
        <f t="shared" ref="B34:B36" si="8">WEEKNUM(C34)</f>
        <v>11</v>
      </c>
      <c r="C34" s="549">
        <v>43535.0</v>
      </c>
      <c r="D34" s="549">
        <v>43562.0</v>
      </c>
      <c r="E34" s="58" t="s">
        <v>335</v>
      </c>
      <c r="F34" s="58" t="s">
        <v>17</v>
      </c>
      <c r="G34" s="58" t="s">
        <v>2337</v>
      </c>
      <c r="H34" s="58" t="s">
        <v>2338</v>
      </c>
      <c r="I34" s="58" t="s">
        <v>2242</v>
      </c>
      <c r="J34" s="94" t="s">
        <v>2207</v>
      </c>
      <c r="K34" s="58" t="s">
        <v>2339</v>
      </c>
      <c r="L34" s="58" t="s">
        <v>2207</v>
      </c>
      <c r="M34" s="58" t="s">
        <v>2232</v>
      </c>
      <c r="N34" s="92" t="s">
        <v>2232</v>
      </c>
      <c r="O34" s="280" t="s">
        <v>2225</v>
      </c>
      <c r="P34" s="527"/>
      <c r="Q34" s="528" t="s">
        <v>2227</v>
      </c>
      <c r="R34" s="2" t="s">
        <v>2340</v>
      </c>
    </row>
    <row r="35" hidden="1">
      <c r="A35" s="58" t="s">
        <v>2304</v>
      </c>
      <c r="B35" s="524">
        <f t="shared" si="8"/>
        <v>12</v>
      </c>
      <c r="C35" s="535">
        <v>43542.0</v>
      </c>
      <c r="D35" s="535">
        <v>43548.0</v>
      </c>
      <c r="E35" s="58" t="s">
        <v>2229</v>
      </c>
      <c r="F35" s="58" t="s">
        <v>2204</v>
      </c>
      <c r="G35" s="58" t="s">
        <v>2282</v>
      </c>
      <c r="H35" s="545" t="s">
        <v>2341</v>
      </c>
      <c r="I35" s="58" t="s">
        <v>2214</v>
      </c>
      <c r="J35" s="94" t="s">
        <v>2207</v>
      </c>
      <c r="K35" s="58" t="s">
        <v>2342</v>
      </c>
      <c r="L35" s="58" t="s">
        <v>2207</v>
      </c>
      <c r="M35" s="58" t="s">
        <v>2232</v>
      </c>
      <c r="N35" s="92" t="s">
        <v>2232</v>
      </c>
      <c r="O35" s="280" t="s">
        <v>2334</v>
      </c>
      <c r="P35" s="550" t="s">
        <v>2343</v>
      </c>
      <c r="Q35" s="532" t="s">
        <v>2344</v>
      </c>
      <c r="R35" s="533" t="s">
        <v>2273</v>
      </c>
    </row>
    <row r="36" hidden="1">
      <c r="A36" s="58" t="s">
        <v>2304</v>
      </c>
      <c r="B36" s="524">
        <f t="shared" si="8"/>
        <v>12</v>
      </c>
      <c r="C36" s="529">
        <v>43542.0</v>
      </c>
      <c r="D36" s="529">
        <v>43548.0</v>
      </c>
      <c r="E36" s="58" t="s">
        <v>2240</v>
      </c>
      <c r="F36" s="58" t="s">
        <v>2204</v>
      </c>
      <c r="G36" s="58" t="s">
        <v>2302</v>
      </c>
      <c r="H36" s="58" t="s">
        <v>2345</v>
      </c>
      <c r="I36" s="58" t="s">
        <v>2242</v>
      </c>
      <c r="J36" s="94" t="s">
        <v>2207</v>
      </c>
      <c r="K36" s="58" t="s">
        <v>2232</v>
      </c>
      <c r="L36" s="58" t="s">
        <v>2207</v>
      </c>
      <c r="M36" s="58" t="s">
        <v>2232</v>
      </c>
      <c r="N36" s="92" t="s">
        <v>2232</v>
      </c>
      <c r="O36" s="280" t="s">
        <v>2346</v>
      </c>
      <c r="P36" s="532" t="s">
        <v>2244</v>
      </c>
      <c r="Q36" s="532" t="s">
        <v>2245</v>
      </c>
      <c r="R36" s="92" t="s">
        <v>2347</v>
      </c>
    </row>
    <row r="37" hidden="1">
      <c r="A37" s="523" t="str">
        <f t="shared" ref="A37:A43" si="9">TEXT(C37,"mmmm")</f>
        <v>maart</v>
      </c>
      <c r="B37" s="58">
        <v>13.0</v>
      </c>
      <c r="C37" s="529">
        <v>43549.0</v>
      </c>
      <c r="D37" s="529">
        <v>43555.0</v>
      </c>
      <c r="E37" s="58" t="s">
        <v>1813</v>
      </c>
      <c r="F37" s="58" t="s">
        <v>14</v>
      </c>
      <c r="G37" s="58" t="s">
        <v>2348</v>
      </c>
      <c r="H37" s="58" t="s">
        <v>2349</v>
      </c>
      <c r="I37" s="58" t="s">
        <v>2242</v>
      </c>
      <c r="J37" s="94" t="s">
        <v>2207</v>
      </c>
      <c r="K37" s="58" t="s">
        <v>2232</v>
      </c>
      <c r="L37" s="58" t="s">
        <v>2207</v>
      </c>
      <c r="M37" s="58" t="s">
        <v>2208</v>
      </c>
      <c r="N37" s="92" t="s">
        <v>2232</v>
      </c>
      <c r="O37" s="280" t="s">
        <v>2350</v>
      </c>
      <c r="P37" s="532" t="s">
        <v>2351</v>
      </c>
      <c r="Q37" s="58" t="s">
        <v>2134</v>
      </c>
      <c r="R37" s="92" t="s">
        <v>2352</v>
      </c>
    </row>
    <row r="38" hidden="1">
      <c r="A38" s="523" t="str">
        <f t="shared" si="9"/>
        <v>maart</v>
      </c>
      <c r="B38" s="524">
        <f>WEEKNUM(C38)</f>
        <v>13</v>
      </c>
      <c r="C38" s="525">
        <v>43549.0</v>
      </c>
      <c r="D38" s="525">
        <v>43556.0</v>
      </c>
      <c r="E38" s="58" t="s">
        <v>335</v>
      </c>
      <c r="F38" s="58" t="s">
        <v>14</v>
      </c>
      <c r="G38" s="58" t="s">
        <v>2282</v>
      </c>
      <c r="H38" s="545" t="s">
        <v>2353</v>
      </c>
      <c r="I38" s="58" t="s">
        <v>2214</v>
      </c>
      <c r="J38" s="94" t="s">
        <v>2207</v>
      </c>
      <c r="K38" s="58" t="s">
        <v>2207</v>
      </c>
      <c r="L38" s="58" t="s">
        <v>2207</v>
      </c>
      <c r="M38" s="58" t="s">
        <v>2223</v>
      </c>
      <c r="N38" s="92" t="s">
        <v>2224</v>
      </c>
      <c r="O38" s="280" t="s">
        <v>2225</v>
      </c>
      <c r="P38" s="527" t="s">
        <v>2226</v>
      </c>
      <c r="Q38" s="528" t="s">
        <v>2227</v>
      </c>
      <c r="R38" s="2" t="s">
        <v>2228</v>
      </c>
    </row>
    <row r="39" hidden="1">
      <c r="A39" s="523" t="str">
        <f t="shared" si="9"/>
        <v>maart</v>
      </c>
      <c r="B39" s="548">
        <v>13.0</v>
      </c>
      <c r="C39" s="546">
        <v>43549.0</v>
      </c>
      <c r="D39" s="546">
        <v>43562.0</v>
      </c>
      <c r="E39" s="58" t="s">
        <v>1369</v>
      </c>
      <c r="F39" s="58" t="s">
        <v>2204</v>
      </c>
      <c r="G39" s="58" t="s">
        <v>2323</v>
      </c>
      <c r="H39" s="58" t="s">
        <v>2354</v>
      </c>
      <c r="I39" s="58" t="s">
        <v>2206</v>
      </c>
      <c r="J39" s="94" t="s">
        <v>2207</v>
      </c>
      <c r="K39" s="58" t="s">
        <v>2232</v>
      </c>
      <c r="L39" s="58" t="s">
        <v>2207</v>
      </c>
      <c r="M39" s="58" t="s">
        <v>2232</v>
      </c>
      <c r="N39" s="92" t="s">
        <v>2232</v>
      </c>
      <c r="O39" s="280" t="s">
        <v>438</v>
      </c>
      <c r="P39" s="532" t="s">
        <v>2355</v>
      </c>
      <c r="Q39" s="532" t="s">
        <v>2356</v>
      </c>
      <c r="R39" s="533" t="s">
        <v>2211</v>
      </c>
    </row>
    <row r="40" hidden="1">
      <c r="A40" s="523" t="str">
        <f t="shared" si="9"/>
        <v>maart</v>
      </c>
      <c r="B40" s="524">
        <f t="shared" ref="B40:B43" si="10">WEEKNUM(C40)</f>
        <v>13</v>
      </c>
      <c r="C40" s="546">
        <v>43549.0</v>
      </c>
      <c r="D40" s="546">
        <v>43569.0</v>
      </c>
      <c r="E40" s="58" t="s">
        <v>2240</v>
      </c>
      <c r="F40" s="58" t="s">
        <v>2204</v>
      </c>
      <c r="G40" s="58" t="s">
        <v>2302</v>
      </c>
      <c r="H40" s="58" t="s">
        <v>2357</v>
      </c>
      <c r="I40" s="58" t="s">
        <v>2242</v>
      </c>
      <c r="J40" s="94" t="s">
        <v>2232</v>
      </c>
      <c r="K40" s="58" t="s">
        <v>2232</v>
      </c>
      <c r="L40" s="58" t="s">
        <v>2232</v>
      </c>
      <c r="M40" s="58" t="s">
        <v>2232</v>
      </c>
      <c r="N40" s="92" t="s">
        <v>2232</v>
      </c>
      <c r="O40" s="280" t="s">
        <v>2358</v>
      </c>
      <c r="R40" s="83"/>
    </row>
    <row r="41" hidden="1">
      <c r="A41" s="523" t="str">
        <f t="shared" si="9"/>
        <v>april</v>
      </c>
      <c r="B41" s="524">
        <f t="shared" si="10"/>
        <v>14</v>
      </c>
      <c r="C41" s="546">
        <v>43556.0</v>
      </c>
      <c r="D41" s="546">
        <v>43562.0</v>
      </c>
      <c r="E41" s="58" t="s">
        <v>338</v>
      </c>
      <c r="F41" s="58" t="s">
        <v>2204</v>
      </c>
      <c r="G41" s="58" t="s">
        <v>2323</v>
      </c>
      <c r="H41" s="58" t="s">
        <v>2359</v>
      </c>
      <c r="I41" s="58" t="s">
        <v>2206</v>
      </c>
      <c r="J41" s="94" t="s">
        <v>2207</v>
      </c>
      <c r="K41" s="58" t="s">
        <v>2207</v>
      </c>
      <c r="L41" s="58" t="s">
        <v>2207</v>
      </c>
      <c r="M41" s="58" t="s">
        <v>2208</v>
      </c>
      <c r="N41" s="92" t="s">
        <v>2232</v>
      </c>
      <c r="O41" s="280" t="s">
        <v>438</v>
      </c>
      <c r="P41" s="532" t="s">
        <v>2360</v>
      </c>
      <c r="Q41" s="532" t="s">
        <v>2361</v>
      </c>
      <c r="R41" s="533" t="s">
        <v>2211</v>
      </c>
    </row>
    <row r="42" hidden="1">
      <c r="A42" s="523" t="str">
        <f t="shared" si="9"/>
        <v>april</v>
      </c>
      <c r="B42" s="524">
        <f t="shared" si="10"/>
        <v>14</v>
      </c>
      <c r="C42" s="546">
        <v>43556.0</v>
      </c>
      <c r="D42" s="546">
        <v>43569.0</v>
      </c>
      <c r="E42" s="58" t="s">
        <v>2240</v>
      </c>
      <c r="F42" s="58" t="s">
        <v>14</v>
      </c>
      <c r="G42" s="58" t="s">
        <v>2302</v>
      </c>
      <c r="H42" s="58" t="s">
        <v>2362</v>
      </c>
      <c r="I42" s="58" t="s">
        <v>2231</v>
      </c>
      <c r="J42" s="94" t="s">
        <v>2232</v>
      </c>
      <c r="K42" s="58" t="s">
        <v>2232</v>
      </c>
      <c r="L42" s="58" t="s">
        <v>2232</v>
      </c>
      <c r="M42" s="58" t="s">
        <v>2232</v>
      </c>
      <c r="N42" s="92" t="s">
        <v>2232</v>
      </c>
      <c r="O42" s="280" t="s">
        <v>2363</v>
      </c>
      <c r="P42" s="532" t="s">
        <v>2244</v>
      </c>
      <c r="R42" s="92" t="s">
        <v>2364</v>
      </c>
    </row>
    <row r="43">
      <c r="A43" s="523" t="str">
        <f t="shared" si="9"/>
        <v>april</v>
      </c>
      <c r="B43" s="524">
        <f t="shared" si="10"/>
        <v>14</v>
      </c>
      <c r="C43" s="546">
        <v>43556.0</v>
      </c>
      <c r="D43" s="546">
        <v>43585.0</v>
      </c>
      <c r="E43" s="58" t="s">
        <v>2260</v>
      </c>
      <c r="F43" s="58" t="s">
        <v>14</v>
      </c>
      <c r="G43" s="58" t="s">
        <v>2302</v>
      </c>
      <c r="H43" s="58" t="s">
        <v>2365</v>
      </c>
      <c r="I43" s="58" t="s">
        <v>2231</v>
      </c>
      <c r="J43" s="94" t="s">
        <v>2207</v>
      </c>
      <c r="K43" s="58" t="s">
        <v>2232</v>
      </c>
      <c r="L43" s="58" t="s">
        <v>2207</v>
      </c>
      <c r="M43" s="58" t="s">
        <v>2232</v>
      </c>
      <c r="N43" s="92" t="s">
        <v>2232</v>
      </c>
      <c r="O43" s="280" t="s">
        <v>2262</v>
      </c>
      <c r="P43" s="532" t="s">
        <v>2263</v>
      </c>
      <c r="R43" s="92" t="s">
        <v>2366</v>
      </c>
    </row>
    <row r="44" hidden="1">
      <c r="A44" s="523" t="str">
        <f>if(C44="","",TEXT(C44,"mmmm"))</f>
        <v>april</v>
      </c>
      <c r="B44" s="524">
        <f>if(C44="","",WEEKNUM(C44))</f>
        <v>14</v>
      </c>
      <c r="C44" s="546">
        <v>43558.0</v>
      </c>
      <c r="D44" s="546">
        <v>43562.0</v>
      </c>
      <c r="E44" s="58" t="s">
        <v>329</v>
      </c>
      <c r="F44" s="58" t="s">
        <v>14</v>
      </c>
      <c r="G44" s="58" t="s">
        <v>2367</v>
      </c>
      <c r="H44" s="58" t="s">
        <v>2368</v>
      </c>
      <c r="I44" s="58" t="s">
        <v>2231</v>
      </c>
      <c r="J44" s="94" t="s">
        <v>2232</v>
      </c>
      <c r="K44" s="58" t="s">
        <v>2232</v>
      </c>
      <c r="L44" s="58" t="s">
        <v>2256</v>
      </c>
      <c r="M44" s="58" t="s">
        <v>2232</v>
      </c>
      <c r="N44" s="92" t="s">
        <v>2232</v>
      </c>
      <c r="O44" s="280" t="s">
        <v>2369</v>
      </c>
      <c r="P44" s="532" t="s">
        <v>2321</v>
      </c>
      <c r="R44" s="92" t="s">
        <v>2246</v>
      </c>
    </row>
    <row r="45" hidden="1">
      <c r="A45" s="523" t="str">
        <f>TEXT(C45,"mmmm")</f>
        <v>april</v>
      </c>
      <c r="B45" s="524">
        <f>WEEKNUM(C45)</f>
        <v>15</v>
      </c>
      <c r="C45" s="546">
        <v>43563.0</v>
      </c>
      <c r="D45" s="546">
        <v>43570.0</v>
      </c>
      <c r="E45" s="58" t="s">
        <v>343</v>
      </c>
      <c r="F45" s="58" t="s">
        <v>2204</v>
      </c>
      <c r="G45" s="58" t="s">
        <v>2282</v>
      </c>
      <c r="H45" s="58" t="s">
        <v>2370</v>
      </c>
      <c r="I45" s="58" t="s">
        <v>2214</v>
      </c>
      <c r="J45" s="94" t="s">
        <v>2207</v>
      </c>
      <c r="K45" s="58" t="s">
        <v>2342</v>
      </c>
      <c r="L45" s="58" t="s">
        <v>2207</v>
      </c>
      <c r="M45" s="58" t="s">
        <v>2208</v>
      </c>
      <c r="N45" s="92" t="s">
        <v>2232</v>
      </c>
      <c r="O45" s="280" t="s">
        <v>2371</v>
      </c>
      <c r="P45" s="532" t="s">
        <v>2335</v>
      </c>
      <c r="Q45" s="532" t="s">
        <v>2372</v>
      </c>
      <c r="R45" s="2" t="s">
        <v>2373</v>
      </c>
    </row>
    <row r="46">
      <c r="A46" s="523" t="str">
        <f t="shared" ref="A46:A47" si="11">if(C46="","",TEXT(C46,"mmmm"))</f>
        <v>april</v>
      </c>
      <c r="B46" s="524">
        <f t="shared" ref="B46:B47" si="12">if(C46="","",WEEKNUM(C46))</f>
        <v>15</v>
      </c>
      <c r="C46" s="546">
        <v>43563.0</v>
      </c>
      <c r="D46" s="546">
        <v>43573.0</v>
      </c>
      <c r="E46" s="58" t="s">
        <v>338</v>
      </c>
      <c r="F46" s="58" t="s">
        <v>1388</v>
      </c>
      <c r="G46" s="58" t="s">
        <v>2374</v>
      </c>
      <c r="H46" s="58" t="s">
        <v>2375</v>
      </c>
      <c r="I46" s="58" t="s">
        <v>2242</v>
      </c>
      <c r="J46" s="94" t="s">
        <v>2207</v>
      </c>
      <c r="K46" s="58" t="s">
        <v>2342</v>
      </c>
      <c r="L46" s="58" t="s">
        <v>2207</v>
      </c>
      <c r="M46" s="58" t="s">
        <v>2232</v>
      </c>
      <c r="N46" s="92" t="s">
        <v>2232</v>
      </c>
      <c r="O46" s="280" t="s">
        <v>2376</v>
      </c>
      <c r="P46" s="532" t="s">
        <v>2377</v>
      </c>
      <c r="Q46" s="58" t="s">
        <v>2379</v>
      </c>
      <c r="R46" s="92" t="s">
        <v>2380</v>
      </c>
    </row>
    <row r="47" ht="18.75" customHeight="1">
      <c r="A47" s="523" t="str">
        <f t="shared" si="11"/>
        <v>april</v>
      </c>
      <c r="B47" s="524">
        <f t="shared" si="12"/>
        <v>15</v>
      </c>
      <c r="C47" s="546">
        <v>43563.0</v>
      </c>
      <c r="D47" s="546">
        <v>43576.0</v>
      </c>
      <c r="E47" s="58" t="s">
        <v>1369</v>
      </c>
      <c r="F47" s="58" t="s">
        <v>2204</v>
      </c>
      <c r="G47" s="58" t="s">
        <v>2381</v>
      </c>
      <c r="H47" s="58" t="s">
        <v>2382</v>
      </c>
      <c r="I47" s="58" t="s">
        <v>2206</v>
      </c>
      <c r="J47" s="94" t="s">
        <v>2207</v>
      </c>
      <c r="K47" s="58" t="s">
        <v>2232</v>
      </c>
      <c r="L47" s="58" t="s">
        <v>2207</v>
      </c>
      <c r="M47" s="58" t="s">
        <v>2232</v>
      </c>
      <c r="N47" s="92" t="s">
        <v>2232</v>
      </c>
      <c r="O47" s="544"/>
      <c r="P47" s="532" t="s">
        <v>2384</v>
      </c>
      <c r="Q47" s="532" t="s">
        <v>2385</v>
      </c>
      <c r="R47" s="92" t="s">
        <v>2211</v>
      </c>
    </row>
    <row r="48">
      <c r="A48" s="526" t="s">
        <v>2387</v>
      </c>
      <c r="B48" s="548">
        <v>16.0</v>
      </c>
      <c r="C48" s="546">
        <v>43570.0</v>
      </c>
      <c r="D48" s="546">
        <v>43583.0</v>
      </c>
      <c r="E48" s="58" t="s">
        <v>2388</v>
      </c>
      <c r="F48" s="58" t="s">
        <v>14</v>
      </c>
      <c r="G48" s="58" t="s">
        <v>2323</v>
      </c>
      <c r="H48" s="58" t="s">
        <v>2389</v>
      </c>
      <c r="I48" s="58" t="s">
        <v>2242</v>
      </c>
      <c r="J48" s="94" t="s">
        <v>2207</v>
      </c>
      <c r="K48" s="58" t="s">
        <v>2232</v>
      </c>
      <c r="L48" s="58" t="s">
        <v>2207</v>
      </c>
      <c r="M48" s="58" t="s">
        <v>2232</v>
      </c>
      <c r="N48" s="92" t="s">
        <v>2232</v>
      </c>
      <c r="O48" s="280" t="s">
        <v>2390</v>
      </c>
      <c r="P48" s="532" t="s">
        <v>2391</v>
      </c>
      <c r="Q48" s="58" t="s">
        <v>2379</v>
      </c>
      <c r="R48" s="533" t="s">
        <v>2211</v>
      </c>
    </row>
    <row r="49">
      <c r="A49" s="523" t="str">
        <f t="shared" ref="A49:A52" si="13">TEXT(C49,"mmmm")</f>
        <v>april</v>
      </c>
      <c r="B49" s="524">
        <f t="shared" ref="B49:B50" si="14">WEEKNUM(C49)</f>
        <v>16</v>
      </c>
      <c r="C49" s="546">
        <v>43574.0</v>
      </c>
      <c r="D49" s="546">
        <v>43584.0</v>
      </c>
      <c r="E49" s="58" t="s">
        <v>329</v>
      </c>
      <c r="F49" s="58" t="s">
        <v>14</v>
      </c>
      <c r="G49" s="58" t="s">
        <v>2394</v>
      </c>
      <c r="H49" s="58" t="s">
        <v>2395</v>
      </c>
      <c r="I49" s="58" t="s">
        <v>2214</v>
      </c>
      <c r="J49" s="94" t="s">
        <v>2207</v>
      </c>
      <c r="K49" s="58" t="s">
        <v>2339</v>
      </c>
      <c r="L49" s="58" t="s">
        <v>2207</v>
      </c>
      <c r="M49" s="58" t="s">
        <v>2208</v>
      </c>
      <c r="N49" s="92" t="s">
        <v>2232</v>
      </c>
      <c r="O49" s="280" t="s">
        <v>2398</v>
      </c>
      <c r="P49" s="532" t="s">
        <v>2216</v>
      </c>
      <c r="R49" s="92" t="s">
        <v>2401</v>
      </c>
    </row>
    <row r="50">
      <c r="A50" s="523" t="str">
        <f t="shared" si="13"/>
        <v>april</v>
      </c>
      <c r="B50" s="524">
        <f t="shared" si="14"/>
        <v>16</v>
      </c>
      <c r="C50" s="546">
        <v>43574.0</v>
      </c>
      <c r="D50" s="546">
        <v>43584.0</v>
      </c>
      <c r="E50" s="58" t="s">
        <v>329</v>
      </c>
      <c r="F50" s="58" t="s">
        <v>17</v>
      </c>
      <c r="G50" s="58" t="s">
        <v>2394</v>
      </c>
      <c r="H50" s="58" t="s">
        <v>2395</v>
      </c>
      <c r="I50" s="58" t="s">
        <v>2214</v>
      </c>
      <c r="J50" s="94" t="s">
        <v>2232</v>
      </c>
      <c r="K50" s="58" t="s">
        <v>2232</v>
      </c>
      <c r="L50" s="58" t="s">
        <v>2207</v>
      </c>
      <c r="M50" s="58" t="s">
        <v>2232</v>
      </c>
      <c r="N50" s="92" t="s">
        <v>2232</v>
      </c>
      <c r="O50" s="280" t="s">
        <v>2215</v>
      </c>
      <c r="Q50" s="532" t="s">
        <v>2217</v>
      </c>
      <c r="R50" s="92" t="s">
        <v>2407</v>
      </c>
    </row>
    <row r="51">
      <c r="A51" s="523" t="str">
        <f t="shared" si="13"/>
        <v>april</v>
      </c>
      <c r="B51" s="548">
        <v>17.0</v>
      </c>
      <c r="C51" s="546">
        <v>43577.0</v>
      </c>
      <c r="D51" s="546">
        <v>43590.0</v>
      </c>
      <c r="E51" s="58" t="s">
        <v>1369</v>
      </c>
      <c r="F51" s="58" t="s">
        <v>2204</v>
      </c>
      <c r="G51" s="58" t="s">
        <v>2381</v>
      </c>
      <c r="H51" s="58" t="s">
        <v>2411</v>
      </c>
      <c r="I51" s="58" t="s">
        <v>2242</v>
      </c>
      <c r="J51" s="94" t="s">
        <v>2207</v>
      </c>
      <c r="K51" s="58" t="s">
        <v>2232</v>
      </c>
      <c r="L51" s="58" t="s">
        <v>2207</v>
      </c>
      <c r="M51" s="58" t="s">
        <v>2232</v>
      </c>
      <c r="N51" s="92" t="s">
        <v>2232</v>
      </c>
      <c r="O51" s="280" t="s">
        <v>2414</v>
      </c>
      <c r="P51" s="532" t="s">
        <v>2415</v>
      </c>
      <c r="Q51" s="532" t="s">
        <v>2418</v>
      </c>
      <c r="R51" s="533" t="s">
        <v>2211</v>
      </c>
    </row>
    <row r="52">
      <c r="A52" s="523" t="str">
        <f t="shared" si="13"/>
        <v>april</v>
      </c>
      <c r="B52" s="524">
        <f>WEEKNUM(C52)</f>
        <v>17</v>
      </c>
      <c r="C52" s="546">
        <v>43577.0</v>
      </c>
      <c r="D52" s="546">
        <v>43597.0</v>
      </c>
      <c r="E52" s="58" t="s">
        <v>2240</v>
      </c>
      <c r="F52" s="58" t="s">
        <v>2204</v>
      </c>
      <c r="G52" s="58" t="s">
        <v>2302</v>
      </c>
      <c r="H52" s="58" t="s">
        <v>2424</v>
      </c>
      <c r="I52" s="58" t="s">
        <v>2242</v>
      </c>
      <c r="J52" s="405"/>
      <c r="K52" s="58" t="s">
        <v>2232</v>
      </c>
      <c r="L52" s="58" t="s">
        <v>2207</v>
      </c>
      <c r="M52" s="58" t="s">
        <v>2232</v>
      </c>
      <c r="N52" s="92" t="s">
        <v>2232</v>
      </c>
      <c r="O52" s="280" t="s">
        <v>2314</v>
      </c>
      <c r="P52" s="532" t="s">
        <v>2244</v>
      </c>
      <c r="R52" s="83"/>
    </row>
    <row r="53">
      <c r="A53" s="526" t="s">
        <v>2427</v>
      </c>
      <c r="B53" s="548">
        <v>18.0</v>
      </c>
      <c r="C53" s="546">
        <v>43584.0</v>
      </c>
      <c r="D53" s="546">
        <v>43590.0</v>
      </c>
      <c r="E53" s="58" t="s">
        <v>2229</v>
      </c>
      <c r="F53" s="58" t="s">
        <v>14</v>
      </c>
      <c r="G53" s="58" t="s">
        <v>2394</v>
      </c>
      <c r="H53" s="58" t="s">
        <v>2428</v>
      </c>
      <c r="I53" s="58" t="s">
        <v>2206</v>
      </c>
      <c r="J53" s="94"/>
      <c r="K53" s="58" t="s">
        <v>2342</v>
      </c>
      <c r="L53" s="58"/>
      <c r="M53" s="58" t="s">
        <v>2208</v>
      </c>
      <c r="N53" s="92" t="s">
        <v>2232</v>
      </c>
      <c r="O53" s="280" t="s">
        <v>2379</v>
      </c>
      <c r="P53" s="532" t="s">
        <v>2429</v>
      </c>
      <c r="R53" s="547" t="s">
        <v>2431</v>
      </c>
    </row>
    <row r="54">
      <c r="A54" s="526" t="s">
        <v>2387</v>
      </c>
      <c r="B54" s="524">
        <f>if(C54="","",WEEKNUM(C54))</f>
        <v>18</v>
      </c>
      <c r="C54" s="546">
        <v>43584.0</v>
      </c>
      <c r="D54" s="546">
        <v>43590.0</v>
      </c>
      <c r="E54" s="58" t="s">
        <v>338</v>
      </c>
      <c r="F54" s="58" t="s">
        <v>2204</v>
      </c>
      <c r="G54" s="58" t="s">
        <v>2381</v>
      </c>
      <c r="H54" s="58" t="s">
        <v>2432</v>
      </c>
      <c r="I54" s="58" t="s">
        <v>2206</v>
      </c>
      <c r="J54" s="405"/>
      <c r="N54" s="83"/>
      <c r="O54" s="544"/>
      <c r="P54" s="532" t="s">
        <v>2434</v>
      </c>
      <c r="Q54" s="532" t="s">
        <v>2327</v>
      </c>
      <c r="R54" s="533" t="s">
        <v>2211</v>
      </c>
    </row>
    <row r="55">
      <c r="A55" s="523" t="str">
        <f t="shared" ref="A55:A56" si="15">TEXT(C55,"mmmm")</f>
        <v>mei</v>
      </c>
      <c r="B55" s="524">
        <f t="shared" ref="B55:B56" si="16">WEEKNUM(C55)</f>
        <v>18</v>
      </c>
      <c r="C55" s="546">
        <v>43586.0</v>
      </c>
      <c r="D55" s="546">
        <v>43616.0</v>
      </c>
      <c r="E55" s="58" t="s">
        <v>2229</v>
      </c>
      <c r="F55" s="58" t="s">
        <v>1388</v>
      </c>
      <c r="G55" s="58" t="s">
        <v>2328</v>
      </c>
      <c r="H55" s="58" t="s">
        <v>2437</v>
      </c>
      <c r="I55" s="58" t="s">
        <v>2242</v>
      </c>
      <c r="J55" s="94" t="s">
        <v>2207</v>
      </c>
      <c r="K55" s="58" t="s">
        <v>2232</v>
      </c>
      <c r="L55" s="58" t="s">
        <v>2207</v>
      </c>
      <c r="M55" s="58" t="s">
        <v>2232</v>
      </c>
      <c r="N55" s="92" t="s">
        <v>2232</v>
      </c>
      <c r="O55" s="280" t="s">
        <v>2438</v>
      </c>
      <c r="P55" s="532" t="s">
        <v>2331</v>
      </c>
      <c r="R55" s="547" t="s">
        <v>2441</v>
      </c>
    </row>
    <row r="56">
      <c r="A56" s="523" t="str">
        <f t="shared" si="15"/>
        <v>mei</v>
      </c>
      <c r="B56" s="524">
        <f t="shared" si="16"/>
        <v>18</v>
      </c>
      <c r="C56" s="546">
        <v>43586.0</v>
      </c>
      <c r="D56" s="546">
        <v>43616.0</v>
      </c>
      <c r="E56" s="58" t="s">
        <v>2260</v>
      </c>
      <c r="F56" s="58" t="s">
        <v>14</v>
      </c>
      <c r="G56" s="58" t="s">
        <v>2302</v>
      </c>
      <c r="H56" s="58" t="s">
        <v>2445</v>
      </c>
      <c r="I56" s="58" t="s">
        <v>2231</v>
      </c>
      <c r="J56" s="405"/>
      <c r="K56" s="58" t="s">
        <v>2232</v>
      </c>
      <c r="M56" s="58" t="s">
        <v>2232</v>
      </c>
      <c r="N56" s="92" t="s">
        <v>2232</v>
      </c>
      <c r="O56" s="544"/>
      <c r="R56" s="83"/>
    </row>
    <row r="57">
      <c r="A57" s="526" t="s">
        <v>2427</v>
      </c>
      <c r="B57" s="548">
        <v>19.0</v>
      </c>
      <c r="C57" s="546">
        <v>43591.0</v>
      </c>
      <c r="D57" s="546">
        <v>43591.0</v>
      </c>
      <c r="E57" s="58" t="s">
        <v>2229</v>
      </c>
      <c r="F57" s="58" t="s">
        <v>2204</v>
      </c>
      <c r="G57" s="58" t="s">
        <v>2394</v>
      </c>
      <c r="H57" s="58" t="s">
        <v>1401</v>
      </c>
      <c r="I57" s="58" t="s">
        <v>2242</v>
      </c>
      <c r="J57" s="405"/>
      <c r="K57" s="58" t="s">
        <v>2342</v>
      </c>
      <c r="M57" s="58" t="s">
        <v>2208</v>
      </c>
      <c r="N57" s="92" t="s">
        <v>2232</v>
      </c>
      <c r="O57" s="280" t="s">
        <v>2448</v>
      </c>
      <c r="P57" s="532" t="s">
        <v>2343</v>
      </c>
      <c r="Q57" s="532" t="s">
        <v>2344</v>
      </c>
      <c r="R57" s="92" t="s">
        <v>2461</v>
      </c>
    </row>
    <row r="58">
      <c r="A58" s="523" t="str">
        <f>if(C58="","",TEXT(C58,"mmmm"))</f>
        <v>mei</v>
      </c>
      <c r="B58" s="524">
        <f>WEEKNUM(C58)</f>
        <v>20</v>
      </c>
      <c r="C58" s="546">
        <v>43598.0</v>
      </c>
      <c r="D58" s="546">
        <v>43604.0</v>
      </c>
      <c r="E58" s="58" t="s">
        <v>1369</v>
      </c>
      <c r="F58" s="58" t="s">
        <v>2204</v>
      </c>
      <c r="G58" s="58" t="s">
        <v>2381</v>
      </c>
      <c r="H58" s="58" t="s">
        <v>2466</v>
      </c>
      <c r="J58" s="405"/>
      <c r="K58" s="58" t="s">
        <v>2325</v>
      </c>
      <c r="M58" s="58" t="s">
        <v>2208</v>
      </c>
      <c r="N58" s="92" t="s">
        <v>2232</v>
      </c>
      <c r="O58" s="544"/>
      <c r="P58" s="532" t="s">
        <v>2470</v>
      </c>
      <c r="Q58" s="532" t="s">
        <v>2476</v>
      </c>
      <c r="R58" s="83"/>
    </row>
    <row r="59" hidden="1">
      <c r="A59" s="526" t="s">
        <v>2387</v>
      </c>
      <c r="B59" s="548">
        <v>14.0</v>
      </c>
      <c r="C59" s="535">
        <v>43556.0</v>
      </c>
      <c r="D59" s="58" t="s">
        <v>2490</v>
      </c>
      <c r="E59" s="58" t="s">
        <v>335</v>
      </c>
      <c r="F59" s="58" t="s">
        <v>2204</v>
      </c>
      <c r="G59" s="58" t="s">
        <v>2298</v>
      </c>
      <c r="H59" s="58" t="s">
        <v>2494</v>
      </c>
      <c r="I59" s="58" t="s">
        <v>2206</v>
      </c>
      <c r="J59" s="405"/>
      <c r="N59" s="83"/>
      <c r="O59" s="544"/>
      <c r="P59" s="532" t="s">
        <v>2497</v>
      </c>
      <c r="R59" s="533" t="s">
        <v>2211</v>
      </c>
    </row>
    <row r="60">
      <c r="A60" s="523" t="str">
        <f t="shared" ref="A60:A61" si="17">if(C60="","",TEXT(C60,"mmmm"))</f>
        <v>mei</v>
      </c>
      <c r="B60" s="524">
        <f t="shared" ref="B60:B61" si="18">WEEKNUM(C60)</f>
        <v>20</v>
      </c>
      <c r="C60" s="546">
        <v>43598.0</v>
      </c>
      <c r="D60" s="546">
        <v>43604.0</v>
      </c>
      <c r="E60" s="58" t="s">
        <v>2229</v>
      </c>
      <c r="F60" s="58" t="s">
        <v>14</v>
      </c>
      <c r="G60" s="58" t="s">
        <v>2381</v>
      </c>
      <c r="H60" s="58" t="s">
        <v>2514</v>
      </c>
      <c r="I60" s="58" t="s">
        <v>2206</v>
      </c>
      <c r="J60" s="405"/>
      <c r="N60" s="83"/>
      <c r="O60" s="544"/>
      <c r="P60" s="58" t="s">
        <v>2515</v>
      </c>
      <c r="Q60" s="58" t="s">
        <v>2515</v>
      </c>
      <c r="R60" s="533" t="s">
        <v>2211</v>
      </c>
    </row>
    <row r="61">
      <c r="A61" s="523" t="str">
        <f t="shared" si="17"/>
        <v>mei</v>
      </c>
      <c r="B61" s="524">
        <f t="shared" si="18"/>
        <v>20</v>
      </c>
      <c r="C61" s="546">
        <v>43598.0</v>
      </c>
      <c r="D61" s="546">
        <v>43604.0</v>
      </c>
      <c r="E61" s="58" t="s">
        <v>2229</v>
      </c>
      <c r="F61" s="58" t="s">
        <v>17</v>
      </c>
      <c r="G61" s="58" t="s">
        <v>2381</v>
      </c>
      <c r="H61" s="58" t="s">
        <v>2519</v>
      </c>
      <c r="I61" s="58" t="s">
        <v>2206</v>
      </c>
      <c r="J61" s="405"/>
      <c r="N61" s="83"/>
      <c r="O61" s="544"/>
      <c r="P61" s="606" t="s">
        <v>2515</v>
      </c>
      <c r="Q61" s="606" t="s">
        <v>2515</v>
      </c>
      <c r="R61" s="533" t="s">
        <v>2211</v>
      </c>
    </row>
    <row r="62">
      <c r="A62" s="526" t="s">
        <v>2427</v>
      </c>
      <c r="B62" s="548">
        <v>21.0</v>
      </c>
      <c r="C62" s="546">
        <v>43605.0</v>
      </c>
      <c r="D62" s="546">
        <v>43611.0</v>
      </c>
      <c r="E62" s="58" t="s">
        <v>329</v>
      </c>
      <c r="F62" s="58" t="s">
        <v>2204</v>
      </c>
      <c r="G62" s="58" t="s">
        <v>2394</v>
      </c>
      <c r="H62" s="58" t="s">
        <v>1439</v>
      </c>
      <c r="I62" s="58" t="s">
        <v>2242</v>
      </c>
      <c r="J62" s="405"/>
      <c r="K62" s="58" t="s">
        <v>2339</v>
      </c>
      <c r="M62" s="58" t="s">
        <v>2208</v>
      </c>
      <c r="N62" s="92" t="s">
        <v>2232</v>
      </c>
      <c r="O62" s="280" t="s">
        <v>2548</v>
      </c>
      <c r="P62" s="532" t="s">
        <v>2216</v>
      </c>
      <c r="Q62" s="532" t="s">
        <v>2217</v>
      </c>
      <c r="R62" s="547" t="s">
        <v>2431</v>
      </c>
    </row>
    <row r="63">
      <c r="A63" s="523" t="str">
        <f>TEXT(C63,"mmmm")</f>
        <v>mei</v>
      </c>
      <c r="B63" s="524">
        <f t="shared" ref="B63:B66" si="19">WEEKNUM(C63)</f>
        <v>21</v>
      </c>
      <c r="C63" s="546">
        <v>43605.0</v>
      </c>
      <c r="D63" s="546">
        <v>43625.0</v>
      </c>
      <c r="E63" s="58" t="s">
        <v>2240</v>
      </c>
      <c r="F63" s="58" t="s">
        <v>2204</v>
      </c>
      <c r="G63" s="58" t="s">
        <v>2302</v>
      </c>
      <c r="H63" s="58" t="s">
        <v>2357</v>
      </c>
      <c r="I63" s="58" t="s">
        <v>2242</v>
      </c>
      <c r="J63" s="405"/>
      <c r="K63" s="58" t="s">
        <v>2232</v>
      </c>
      <c r="N63" s="83"/>
      <c r="O63" s="544"/>
      <c r="R63" s="83"/>
    </row>
    <row r="64">
      <c r="A64" s="526" t="s">
        <v>2427</v>
      </c>
      <c r="B64" s="524">
        <f t="shared" si="19"/>
        <v>21</v>
      </c>
      <c r="C64" s="546">
        <v>43605.0</v>
      </c>
      <c r="D64" s="546">
        <v>43625.0</v>
      </c>
      <c r="E64" s="58" t="s">
        <v>343</v>
      </c>
      <c r="F64" s="58" t="s">
        <v>2204</v>
      </c>
      <c r="G64" s="58" t="s">
        <v>2298</v>
      </c>
      <c r="H64" s="58" t="s">
        <v>2333</v>
      </c>
      <c r="I64" s="58" t="s">
        <v>2231</v>
      </c>
      <c r="J64" s="405"/>
      <c r="K64" s="58" t="s">
        <v>2342</v>
      </c>
      <c r="M64" s="58" t="s">
        <v>2232</v>
      </c>
      <c r="N64" s="92" t="s">
        <v>2232</v>
      </c>
      <c r="O64" s="544"/>
      <c r="R64" s="83"/>
    </row>
    <row r="65">
      <c r="A65" s="523" t="str">
        <f t="shared" ref="A65:A66" si="20">if(C65="","",TEXT(C65,"mmmm"))</f>
        <v>mei</v>
      </c>
      <c r="B65" s="524">
        <f t="shared" si="19"/>
        <v>21</v>
      </c>
      <c r="C65" s="546">
        <v>43605.0</v>
      </c>
      <c r="D65" s="546">
        <v>43611.0</v>
      </c>
      <c r="E65" s="58" t="s">
        <v>1369</v>
      </c>
      <c r="F65" s="58" t="s">
        <v>2204</v>
      </c>
      <c r="G65" s="58" t="s">
        <v>2381</v>
      </c>
      <c r="H65" s="58" t="s">
        <v>2571</v>
      </c>
      <c r="I65" s="92" t="s">
        <v>2242</v>
      </c>
      <c r="N65" s="83"/>
      <c r="O65" s="608"/>
      <c r="P65" s="532" t="s">
        <v>2572</v>
      </c>
      <c r="Q65" s="532" t="s">
        <v>2574</v>
      </c>
      <c r="R65" s="83"/>
      <c r="S65" s="355"/>
      <c r="T65" s="355"/>
      <c r="U65" s="355"/>
      <c r="V65" s="355"/>
      <c r="W65" s="355"/>
    </row>
    <row r="66">
      <c r="A66" s="523" t="str">
        <f t="shared" si="20"/>
        <v>mei</v>
      </c>
      <c r="B66" s="524">
        <f t="shared" si="19"/>
        <v>21</v>
      </c>
      <c r="C66" s="546">
        <v>43605.0</v>
      </c>
      <c r="D66" s="546">
        <v>43611.0</v>
      </c>
      <c r="E66" s="58" t="s">
        <v>338</v>
      </c>
      <c r="F66" s="58" t="s">
        <v>2204</v>
      </c>
      <c r="G66" s="58" t="s">
        <v>2381</v>
      </c>
      <c r="H66" s="58" t="s">
        <v>2577</v>
      </c>
      <c r="J66" s="405"/>
      <c r="N66" s="83"/>
      <c r="O66" s="544"/>
      <c r="P66" s="532" t="s">
        <v>2578</v>
      </c>
      <c r="Q66" s="532" t="s">
        <v>2581</v>
      </c>
      <c r="R66" s="83"/>
    </row>
    <row r="67">
      <c r="A67" s="526" t="s">
        <v>2427</v>
      </c>
      <c r="B67" s="548">
        <v>22.0</v>
      </c>
      <c r="C67" s="546">
        <v>43612.0</v>
      </c>
      <c r="D67" s="546">
        <v>43618.0</v>
      </c>
      <c r="E67" s="58" t="s">
        <v>2229</v>
      </c>
      <c r="F67" s="58" t="s">
        <v>14</v>
      </c>
      <c r="G67" s="58" t="s">
        <v>2394</v>
      </c>
      <c r="H67" s="58" t="s">
        <v>2583</v>
      </c>
      <c r="I67" s="58" t="s">
        <v>2242</v>
      </c>
      <c r="J67" s="405"/>
      <c r="K67" s="58" t="s">
        <v>2342</v>
      </c>
      <c r="M67" s="58" t="s">
        <v>2208</v>
      </c>
      <c r="N67" s="92" t="s">
        <v>2232</v>
      </c>
      <c r="O67" s="280" t="s">
        <v>2306</v>
      </c>
      <c r="P67" s="532" t="s">
        <v>2585</v>
      </c>
      <c r="R67" s="547" t="s">
        <v>2431</v>
      </c>
    </row>
    <row r="68">
      <c r="A68" s="619" t="s">
        <v>2427</v>
      </c>
      <c r="B68" s="524">
        <v>22.0</v>
      </c>
      <c r="C68" s="620">
        <v>43612.0</v>
      </c>
      <c r="D68" s="620">
        <v>43618.0</v>
      </c>
      <c r="E68" s="619" t="s">
        <v>2229</v>
      </c>
      <c r="F68" s="526" t="s">
        <v>17</v>
      </c>
      <c r="G68" s="619" t="s">
        <v>2394</v>
      </c>
      <c r="H68" s="526" t="s">
        <v>2591</v>
      </c>
      <c r="I68" s="619" t="s">
        <v>2242</v>
      </c>
      <c r="J68" s="622"/>
      <c r="K68" s="619"/>
      <c r="L68" s="623"/>
      <c r="M68" s="619"/>
      <c r="N68" s="624"/>
      <c r="O68" s="625" t="s">
        <v>2306</v>
      </c>
      <c r="Q68" s="528" t="s">
        <v>2594</v>
      </c>
      <c r="R68" s="547" t="s">
        <v>2431</v>
      </c>
    </row>
    <row r="69">
      <c r="A69" s="523" t="str">
        <f t="shared" ref="A69:A70" si="21">if(C69="","",TEXT(C69,"mmmm"))</f>
        <v>mei</v>
      </c>
      <c r="B69" s="524">
        <f t="shared" ref="B69:B80" si="22">WEEKNUM(C69)</f>
        <v>22</v>
      </c>
      <c r="C69" s="546">
        <v>43612.0</v>
      </c>
      <c r="D69" s="546">
        <v>43618.0</v>
      </c>
      <c r="E69" s="58" t="s">
        <v>1369</v>
      </c>
      <c r="F69" s="58" t="s">
        <v>2204</v>
      </c>
      <c r="G69" s="58" t="s">
        <v>2381</v>
      </c>
      <c r="H69" s="58" t="s">
        <v>2601</v>
      </c>
      <c r="I69" s="58" t="s">
        <v>2242</v>
      </c>
      <c r="J69" s="405"/>
      <c r="N69" s="83"/>
      <c r="O69" s="280" t="s">
        <v>2306</v>
      </c>
      <c r="P69" s="532" t="s">
        <v>2355</v>
      </c>
      <c r="Q69" s="532" t="s">
        <v>2356</v>
      </c>
      <c r="R69" s="92" t="s">
        <v>2607</v>
      </c>
    </row>
    <row r="70">
      <c r="A70" s="523" t="str">
        <f t="shared" si="21"/>
        <v>mei</v>
      </c>
      <c r="B70" s="524">
        <f t="shared" si="22"/>
        <v>22</v>
      </c>
      <c r="C70" s="546">
        <v>43612.0</v>
      </c>
      <c r="D70" s="546">
        <v>43625.0</v>
      </c>
      <c r="E70" s="58" t="s">
        <v>1369</v>
      </c>
      <c r="F70" s="58" t="s">
        <v>2204</v>
      </c>
      <c r="G70" s="58" t="s">
        <v>2381</v>
      </c>
      <c r="H70" s="58" t="s">
        <v>2609</v>
      </c>
      <c r="J70" s="405"/>
      <c r="N70" s="83"/>
      <c r="O70" s="544"/>
      <c r="P70" s="532" t="s">
        <v>2611</v>
      </c>
      <c r="Q70" s="532" t="s">
        <v>2614</v>
      </c>
      <c r="R70" s="83"/>
    </row>
    <row r="71">
      <c r="A71" s="526" t="s">
        <v>2616</v>
      </c>
      <c r="B71" s="524">
        <f t="shared" si="22"/>
        <v>22</v>
      </c>
      <c r="C71" s="546">
        <v>43617.0</v>
      </c>
      <c r="D71" s="546">
        <v>43646.0</v>
      </c>
      <c r="E71" s="58" t="s">
        <v>2260</v>
      </c>
      <c r="F71" s="58" t="s">
        <v>14</v>
      </c>
      <c r="G71" s="58" t="s">
        <v>2302</v>
      </c>
      <c r="H71" s="58" t="s">
        <v>2445</v>
      </c>
      <c r="I71" s="58" t="s">
        <v>2231</v>
      </c>
      <c r="J71" s="405"/>
      <c r="K71" s="58" t="s">
        <v>2232</v>
      </c>
      <c r="N71" s="83"/>
      <c r="O71" s="544"/>
      <c r="R71" s="83"/>
    </row>
    <row r="72">
      <c r="A72" s="526" t="s">
        <v>2616</v>
      </c>
      <c r="B72" s="524">
        <f t="shared" si="22"/>
        <v>22</v>
      </c>
      <c r="C72" s="546">
        <v>43617.0</v>
      </c>
      <c r="D72" s="546">
        <v>43646.0</v>
      </c>
      <c r="E72" s="58" t="s">
        <v>2240</v>
      </c>
      <c r="F72" s="58" t="s">
        <v>14</v>
      </c>
      <c r="G72" s="58" t="s">
        <v>2302</v>
      </c>
      <c r="H72" s="58" t="s">
        <v>2303</v>
      </c>
      <c r="I72" s="58" t="s">
        <v>2231</v>
      </c>
      <c r="J72" s="405"/>
      <c r="K72" s="58" t="s">
        <v>2232</v>
      </c>
      <c r="N72" s="83"/>
      <c r="O72" s="544"/>
      <c r="R72" s="83"/>
    </row>
    <row r="73">
      <c r="A73" s="523" t="str">
        <f>TEXT(C73,"mmmm")</f>
        <v>juni</v>
      </c>
      <c r="B73" s="524">
        <f t="shared" si="22"/>
        <v>23</v>
      </c>
      <c r="C73" s="546">
        <v>43619.0</v>
      </c>
      <c r="D73" s="546">
        <v>43625.0</v>
      </c>
      <c r="E73" s="58" t="s">
        <v>338</v>
      </c>
      <c r="F73" s="58" t="s">
        <v>2204</v>
      </c>
      <c r="G73" s="58" t="s">
        <v>2323</v>
      </c>
      <c r="H73" s="58" t="s">
        <v>2619</v>
      </c>
      <c r="I73" s="58" t="s">
        <v>2206</v>
      </c>
      <c r="J73" s="94" t="s">
        <v>2207</v>
      </c>
      <c r="K73" s="58" t="s">
        <v>2342</v>
      </c>
      <c r="N73" s="83"/>
      <c r="O73" s="544"/>
      <c r="P73" s="532" t="s">
        <v>2220</v>
      </c>
      <c r="Q73" s="532" t="s">
        <v>2221</v>
      </c>
      <c r="R73" s="533" t="s">
        <v>2211</v>
      </c>
    </row>
    <row r="74">
      <c r="A74" s="526" t="s">
        <v>2616</v>
      </c>
      <c r="B74" s="524">
        <f t="shared" si="22"/>
        <v>23</v>
      </c>
      <c r="C74" s="546">
        <v>43619.0</v>
      </c>
      <c r="D74" s="546">
        <v>43625.0</v>
      </c>
      <c r="E74" s="58" t="s">
        <v>335</v>
      </c>
      <c r="F74" s="58" t="s">
        <v>2204</v>
      </c>
      <c r="G74" s="58" t="s">
        <v>2298</v>
      </c>
      <c r="H74" s="58" t="s">
        <v>2626</v>
      </c>
      <c r="I74" s="58" t="s">
        <v>2206</v>
      </c>
      <c r="J74" s="405"/>
      <c r="N74" s="83"/>
      <c r="O74" s="544"/>
      <c r="R74" s="83"/>
    </row>
    <row r="75">
      <c r="A75" s="523" t="str">
        <f t="shared" ref="A75:A79" si="23">if(C75="","",TEXT(C75,"mmmm"))</f>
        <v>juni</v>
      </c>
      <c r="B75" s="524">
        <f t="shared" si="22"/>
        <v>23</v>
      </c>
      <c r="C75" s="546">
        <v>43619.0</v>
      </c>
      <c r="D75" s="546">
        <v>43625.0</v>
      </c>
      <c r="E75" s="58" t="s">
        <v>338</v>
      </c>
      <c r="F75" s="58" t="s">
        <v>2204</v>
      </c>
      <c r="G75" s="58" t="s">
        <v>2381</v>
      </c>
      <c r="H75" s="58" t="s">
        <v>2638</v>
      </c>
      <c r="J75" s="405"/>
      <c r="N75" s="83"/>
      <c r="O75" s="544"/>
      <c r="P75" s="532" t="s">
        <v>2220</v>
      </c>
      <c r="Q75" s="532" t="s">
        <v>2221</v>
      </c>
      <c r="R75" s="83"/>
    </row>
    <row r="76">
      <c r="A76" s="523" t="str">
        <f t="shared" si="23"/>
        <v>juni</v>
      </c>
      <c r="B76" s="524">
        <f t="shared" si="22"/>
        <v>23</v>
      </c>
      <c r="C76" s="546">
        <v>43619.0</v>
      </c>
      <c r="D76" s="546">
        <v>43625.0</v>
      </c>
      <c r="E76" s="58" t="s">
        <v>2388</v>
      </c>
      <c r="F76" s="58" t="s">
        <v>14</v>
      </c>
      <c r="G76" s="58" t="s">
        <v>2381</v>
      </c>
      <c r="H76" s="58" t="s">
        <v>2640</v>
      </c>
      <c r="J76" s="405"/>
      <c r="N76" s="83"/>
      <c r="O76" s="544"/>
      <c r="P76" s="532" t="s">
        <v>2641</v>
      </c>
      <c r="R76" s="83"/>
    </row>
    <row r="77">
      <c r="A77" s="523" t="str">
        <f t="shared" si="23"/>
        <v>juni</v>
      </c>
      <c r="B77" s="524">
        <f t="shared" si="22"/>
        <v>24</v>
      </c>
      <c r="C77" s="546">
        <v>43626.0</v>
      </c>
      <c r="D77" s="546">
        <v>43632.0</v>
      </c>
      <c r="E77" s="58" t="s">
        <v>2388</v>
      </c>
      <c r="F77" s="58" t="s">
        <v>14</v>
      </c>
      <c r="G77" s="58" t="s">
        <v>2381</v>
      </c>
      <c r="H77" s="58" t="s">
        <v>2642</v>
      </c>
      <c r="J77" s="405"/>
      <c r="N77" s="83"/>
      <c r="O77" s="544"/>
      <c r="P77" s="532" t="s">
        <v>2644</v>
      </c>
      <c r="R77" s="83"/>
    </row>
    <row r="78">
      <c r="A78" s="523" t="str">
        <f t="shared" si="23"/>
        <v>juni</v>
      </c>
      <c r="B78" s="524">
        <f t="shared" si="22"/>
        <v>25</v>
      </c>
      <c r="C78" s="546">
        <v>43633.0</v>
      </c>
      <c r="D78" s="546">
        <v>43639.0</v>
      </c>
      <c r="E78" s="58" t="s">
        <v>343</v>
      </c>
      <c r="F78" s="58" t="s">
        <v>2204</v>
      </c>
      <c r="G78" s="58" t="s">
        <v>2298</v>
      </c>
      <c r="H78" s="58" t="s">
        <v>2647</v>
      </c>
      <c r="I78" s="58" t="s">
        <v>2231</v>
      </c>
      <c r="J78" s="405"/>
      <c r="N78" s="83"/>
      <c r="O78" s="544"/>
      <c r="R78" s="83"/>
    </row>
    <row r="79">
      <c r="A79" s="523" t="str">
        <f t="shared" si="23"/>
        <v>juni</v>
      </c>
      <c r="B79" s="524">
        <f t="shared" si="22"/>
        <v>25</v>
      </c>
      <c r="C79" s="546">
        <v>43633.0</v>
      </c>
      <c r="D79" s="546">
        <v>43646.0</v>
      </c>
      <c r="E79" s="58" t="s">
        <v>1369</v>
      </c>
      <c r="F79" s="58" t="s">
        <v>2204</v>
      </c>
      <c r="G79" s="58" t="s">
        <v>2381</v>
      </c>
      <c r="H79" s="58" t="s">
        <v>2649</v>
      </c>
      <c r="J79" s="405"/>
      <c r="N79" s="83"/>
      <c r="O79" s="544"/>
      <c r="P79" s="532" t="s">
        <v>2651</v>
      </c>
      <c r="Q79" s="532" t="s">
        <v>2652</v>
      </c>
      <c r="R79" s="83"/>
    </row>
    <row r="80">
      <c r="A80" s="526" t="s">
        <v>2616</v>
      </c>
      <c r="B80" s="524">
        <f t="shared" si="22"/>
        <v>26</v>
      </c>
      <c r="C80" s="546">
        <v>43640.0</v>
      </c>
      <c r="D80" s="546">
        <v>43647.0</v>
      </c>
      <c r="E80" s="58" t="s">
        <v>335</v>
      </c>
      <c r="F80" s="58" t="s">
        <v>2204</v>
      </c>
      <c r="G80" s="58" t="s">
        <v>2298</v>
      </c>
      <c r="H80" s="58" t="s">
        <v>2654</v>
      </c>
      <c r="I80" s="58" t="s">
        <v>2231</v>
      </c>
      <c r="J80" s="405"/>
      <c r="N80" s="83"/>
      <c r="O80" s="544"/>
      <c r="R80" s="83"/>
    </row>
    <row r="81">
      <c r="A81" s="523" t="str">
        <f t="shared" ref="A81:A548" si="24">if(C81="","",TEXT(C81,"mmmm"))</f>
        <v/>
      </c>
      <c r="B81" s="524" t="str">
        <f t="shared" ref="B81:B548" si="25">if(C81="","",WEEKNUM(C81))</f>
        <v/>
      </c>
      <c r="C81" s="632"/>
      <c r="D81" s="546">
        <v>44561.0</v>
      </c>
      <c r="J81" s="405"/>
      <c r="N81" s="83"/>
      <c r="O81" s="544"/>
      <c r="R81" s="83"/>
    </row>
    <row r="82">
      <c r="A82" s="523" t="str">
        <f t="shared" si="24"/>
        <v/>
      </c>
      <c r="B82" s="524" t="str">
        <f t="shared" si="25"/>
        <v/>
      </c>
      <c r="C82" s="632"/>
      <c r="D82" s="546">
        <v>44561.0</v>
      </c>
      <c r="J82" s="405"/>
      <c r="N82" s="83"/>
      <c r="O82" s="544"/>
      <c r="R82" s="83"/>
    </row>
    <row r="83">
      <c r="A83" s="523" t="str">
        <f t="shared" si="24"/>
        <v/>
      </c>
      <c r="B83" s="524" t="str">
        <f t="shared" si="25"/>
        <v/>
      </c>
      <c r="C83" s="632"/>
      <c r="D83" s="546">
        <v>44561.0</v>
      </c>
      <c r="J83" s="405"/>
      <c r="N83" s="83"/>
      <c r="O83" s="544"/>
      <c r="R83" s="83"/>
    </row>
    <row r="84">
      <c r="A84" s="523" t="str">
        <f t="shared" si="24"/>
        <v/>
      </c>
      <c r="B84" s="524" t="str">
        <f t="shared" si="25"/>
        <v/>
      </c>
      <c r="C84" s="632"/>
      <c r="D84" s="546">
        <v>44561.0</v>
      </c>
      <c r="J84" s="405"/>
      <c r="N84" s="83"/>
      <c r="O84" s="544"/>
      <c r="R84" s="83"/>
    </row>
    <row r="85">
      <c r="A85" s="523" t="str">
        <f t="shared" si="24"/>
        <v/>
      </c>
      <c r="B85" s="524" t="str">
        <f t="shared" si="25"/>
        <v/>
      </c>
      <c r="C85" s="632"/>
      <c r="D85" s="546">
        <v>44561.0</v>
      </c>
      <c r="J85" s="405"/>
      <c r="N85" s="83"/>
      <c r="O85" s="544"/>
      <c r="R85" s="83"/>
    </row>
    <row r="86">
      <c r="A86" s="523" t="str">
        <f t="shared" si="24"/>
        <v/>
      </c>
      <c r="B86" s="524" t="str">
        <f t="shared" si="25"/>
        <v/>
      </c>
      <c r="C86" s="632"/>
      <c r="D86" s="546">
        <v>44561.0</v>
      </c>
      <c r="J86" s="405"/>
      <c r="N86" s="83"/>
      <c r="O86" s="544"/>
      <c r="R86" s="83"/>
    </row>
    <row r="87">
      <c r="A87" s="523" t="str">
        <f t="shared" si="24"/>
        <v/>
      </c>
      <c r="B87" s="524" t="str">
        <f t="shared" si="25"/>
        <v/>
      </c>
      <c r="C87" s="632"/>
      <c r="D87" s="546">
        <v>44561.0</v>
      </c>
      <c r="J87" s="405"/>
      <c r="N87" s="83"/>
      <c r="O87" s="544"/>
      <c r="R87" s="83"/>
    </row>
    <row r="88">
      <c r="A88" s="523" t="str">
        <f t="shared" si="24"/>
        <v/>
      </c>
      <c r="B88" s="524" t="str">
        <f t="shared" si="25"/>
        <v/>
      </c>
      <c r="C88" s="632"/>
      <c r="D88" s="546">
        <v>44561.0</v>
      </c>
      <c r="J88" s="405"/>
      <c r="N88" s="83"/>
      <c r="O88" s="544"/>
      <c r="R88" s="83"/>
    </row>
    <row r="89">
      <c r="A89" s="523" t="str">
        <f t="shared" si="24"/>
        <v/>
      </c>
      <c r="B89" s="524" t="str">
        <f t="shared" si="25"/>
        <v/>
      </c>
      <c r="C89" s="632"/>
      <c r="D89" s="546">
        <v>44561.0</v>
      </c>
      <c r="J89" s="405"/>
      <c r="N89" s="83"/>
      <c r="O89" s="544"/>
      <c r="R89" s="83"/>
    </row>
    <row r="90">
      <c r="A90" s="523" t="str">
        <f t="shared" si="24"/>
        <v/>
      </c>
      <c r="B90" s="524" t="str">
        <f t="shared" si="25"/>
        <v/>
      </c>
      <c r="C90" s="632"/>
      <c r="D90" s="546">
        <v>44561.0</v>
      </c>
      <c r="J90" s="405"/>
      <c r="N90" s="83"/>
      <c r="O90" s="544"/>
      <c r="R90" s="83"/>
    </row>
    <row r="91">
      <c r="A91" s="523" t="str">
        <f t="shared" si="24"/>
        <v/>
      </c>
      <c r="B91" s="524" t="str">
        <f t="shared" si="25"/>
        <v/>
      </c>
      <c r="C91" s="632"/>
      <c r="D91" s="546">
        <v>44561.0</v>
      </c>
      <c r="J91" s="405"/>
      <c r="N91" s="83"/>
      <c r="O91" s="544"/>
      <c r="R91" s="83"/>
    </row>
    <row r="92">
      <c r="A92" s="523" t="str">
        <f t="shared" si="24"/>
        <v/>
      </c>
      <c r="B92" s="524" t="str">
        <f t="shared" si="25"/>
        <v/>
      </c>
      <c r="C92" s="632"/>
      <c r="D92" s="546">
        <v>44561.0</v>
      </c>
      <c r="J92" s="405"/>
      <c r="N92" s="83"/>
      <c r="O92" s="544"/>
      <c r="R92" s="83"/>
    </row>
    <row r="93">
      <c r="A93" s="523" t="str">
        <f t="shared" si="24"/>
        <v/>
      </c>
      <c r="B93" s="524" t="str">
        <f t="shared" si="25"/>
        <v/>
      </c>
      <c r="C93" s="632"/>
      <c r="D93" s="546">
        <v>44561.0</v>
      </c>
      <c r="J93" s="405"/>
      <c r="N93" s="83"/>
      <c r="O93" s="544"/>
      <c r="R93" s="83"/>
    </row>
    <row r="94">
      <c r="A94" s="523" t="str">
        <f t="shared" si="24"/>
        <v/>
      </c>
      <c r="B94" s="524" t="str">
        <f t="shared" si="25"/>
        <v/>
      </c>
      <c r="C94" s="632"/>
      <c r="D94" s="546">
        <v>44561.0</v>
      </c>
      <c r="J94" s="405"/>
      <c r="N94" s="83"/>
      <c r="O94" s="544"/>
      <c r="R94" s="83"/>
    </row>
    <row r="95">
      <c r="A95" s="523" t="str">
        <f t="shared" si="24"/>
        <v/>
      </c>
      <c r="B95" s="524" t="str">
        <f t="shared" si="25"/>
        <v/>
      </c>
      <c r="C95" s="632"/>
      <c r="D95" s="546">
        <v>44561.0</v>
      </c>
      <c r="J95" s="405"/>
      <c r="N95" s="83"/>
      <c r="O95" s="544"/>
      <c r="R95" s="83"/>
    </row>
    <row r="96">
      <c r="A96" s="523" t="str">
        <f t="shared" si="24"/>
        <v/>
      </c>
      <c r="B96" s="524" t="str">
        <f t="shared" si="25"/>
        <v/>
      </c>
      <c r="C96" s="632"/>
      <c r="D96" s="546">
        <v>44561.0</v>
      </c>
      <c r="J96" s="405"/>
      <c r="N96" s="83"/>
      <c r="O96" s="544"/>
      <c r="R96" s="83"/>
    </row>
    <row r="97">
      <c r="A97" s="523" t="str">
        <f t="shared" si="24"/>
        <v/>
      </c>
      <c r="B97" s="524" t="str">
        <f t="shared" si="25"/>
        <v/>
      </c>
      <c r="C97" s="632"/>
      <c r="D97" s="546">
        <v>44561.0</v>
      </c>
      <c r="J97" s="405"/>
      <c r="N97" s="83"/>
      <c r="O97" s="544"/>
      <c r="R97" s="83"/>
    </row>
    <row r="98">
      <c r="A98" s="523" t="str">
        <f t="shared" si="24"/>
        <v/>
      </c>
      <c r="B98" s="524" t="str">
        <f t="shared" si="25"/>
        <v/>
      </c>
      <c r="C98" s="632"/>
      <c r="D98" s="546">
        <v>44561.0</v>
      </c>
      <c r="J98" s="405"/>
      <c r="N98" s="83"/>
      <c r="O98" s="544"/>
      <c r="R98" s="83"/>
    </row>
    <row r="99">
      <c r="A99" s="523" t="str">
        <f t="shared" si="24"/>
        <v/>
      </c>
      <c r="B99" s="524" t="str">
        <f t="shared" si="25"/>
        <v/>
      </c>
      <c r="C99" s="632"/>
      <c r="D99" s="546">
        <v>44561.0</v>
      </c>
      <c r="J99" s="405"/>
      <c r="N99" s="83"/>
      <c r="O99" s="544"/>
      <c r="R99" s="83"/>
    </row>
    <row r="100">
      <c r="A100" s="523" t="str">
        <f t="shared" si="24"/>
        <v/>
      </c>
      <c r="B100" s="524" t="str">
        <f t="shared" si="25"/>
        <v/>
      </c>
      <c r="C100" s="632"/>
      <c r="D100" s="546">
        <v>44561.0</v>
      </c>
      <c r="J100" s="405"/>
      <c r="N100" s="83"/>
      <c r="O100" s="544"/>
      <c r="R100" s="83"/>
    </row>
    <row r="101">
      <c r="A101" s="523" t="str">
        <f t="shared" si="24"/>
        <v/>
      </c>
      <c r="B101" s="524" t="str">
        <f t="shared" si="25"/>
        <v/>
      </c>
      <c r="C101" s="632"/>
      <c r="D101" s="546">
        <v>44561.0</v>
      </c>
      <c r="J101" s="405"/>
      <c r="N101" s="83"/>
      <c r="O101" s="544"/>
      <c r="R101" s="83"/>
    </row>
    <row r="102">
      <c r="A102" s="523" t="str">
        <f t="shared" si="24"/>
        <v/>
      </c>
      <c r="B102" s="524" t="str">
        <f t="shared" si="25"/>
        <v/>
      </c>
      <c r="C102" s="632"/>
      <c r="D102" s="546">
        <v>44561.0</v>
      </c>
      <c r="J102" s="405"/>
      <c r="N102" s="83"/>
      <c r="O102" s="544"/>
      <c r="R102" s="83"/>
    </row>
    <row r="103">
      <c r="A103" s="523" t="str">
        <f t="shared" si="24"/>
        <v/>
      </c>
      <c r="B103" s="524" t="str">
        <f t="shared" si="25"/>
        <v/>
      </c>
      <c r="C103" s="632"/>
      <c r="D103" s="546">
        <v>44561.0</v>
      </c>
      <c r="J103" s="405"/>
      <c r="N103" s="83"/>
      <c r="O103" s="544"/>
      <c r="R103" s="83"/>
    </row>
    <row r="104">
      <c r="A104" s="523" t="str">
        <f t="shared" si="24"/>
        <v/>
      </c>
      <c r="B104" s="524" t="str">
        <f t="shared" si="25"/>
        <v/>
      </c>
      <c r="C104" s="632"/>
      <c r="D104" s="546">
        <v>44561.0</v>
      </c>
      <c r="J104" s="405"/>
      <c r="N104" s="83"/>
      <c r="O104" s="544"/>
      <c r="R104" s="83"/>
    </row>
    <row r="105">
      <c r="A105" s="523" t="str">
        <f t="shared" si="24"/>
        <v/>
      </c>
      <c r="B105" s="524" t="str">
        <f t="shared" si="25"/>
        <v/>
      </c>
      <c r="C105" s="632"/>
      <c r="D105" s="546">
        <v>44561.0</v>
      </c>
      <c r="J105" s="405"/>
      <c r="N105" s="83"/>
      <c r="O105" s="544"/>
      <c r="R105" s="83"/>
    </row>
    <row r="106">
      <c r="A106" s="523" t="str">
        <f t="shared" si="24"/>
        <v/>
      </c>
      <c r="B106" s="524" t="str">
        <f t="shared" si="25"/>
        <v/>
      </c>
      <c r="C106" s="632"/>
      <c r="D106" s="546">
        <v>44561.0</v>
      </c>
      <c r="J106" s="405"/>
      <c r="N106" s="83"/>
      <c r="O106" s="544"/>
      <c r="R106" s="83"/>
    </row>
    <row r="107">
      <c r="A107" s="523" t="str">
        <f t="shared" si="24"/>
        <v/>
      </c>
      <c r="B107" s="524" t="str">
        <f t="shared" si="25"/>
        <v/>
      </c>
      <c r="C107" s="632"/>
      <c r="D107" s="546">
        <v>44561.0</v>
      </c>
      <c r="J107" s="405"/>
      <c r="N107" s="83"/>
      <c r="O107" s="544"/>
      <c r="R107" s="83"/>
    </row>
    <row r="108">
      <c r="A108" s="523" t="str">
        <f t="shared" si="24"/>
        <v/>
      </c>
      <c r="B108" s="524" t="str">
        <f t="shared" si="25"/>
        <v/>
      </c>
      <c r="C108" s="632"/>
      <c r="D108" s="546">
        <v>44561.0</v>
      </c>
      <c r="J108" s="405"/>
      <c r="N108" s="83"/>
      <c r="O108" s="544"/>
      <c r="R108" s="83"/>
    </row>
    <row r="109">
      <c r="A109" s="523" t="str">
        <f t="shared" si="24"/>
        <v/>
      </c>
      <c r="B109" s="524" t="str">
        <f t="shared" si="25"/>
        <v/>
      </c>
      <c r="C109" s="632"/>
      <c r="D109" s="546">
        <v>44561.0</v>
      </c>
      <c r="J109" s="405"/>
      <c r="N109" s="83"/>
      <c r="O109" s="544"/>
      <c r="R109" s="83"/>
    </row>
    <row r="110">
      <c r="A110" s="523" t="str">
        <f t="shared" si="24"/>
        <v/>
      </c>
      <c r="B110" s="524" t="str">
        <f t="shared" si="25"/>
        <v/>
      </c>
      <c r="C110" s="632"/>
      <c r="D110" s="546">
        <v>44561.0</v>
      </c>
      <c r="J110" s="405"/>
      <c r="N110" s="83"/>
      <c r="O110" s="544"/>
      <c r="R110" s="83"/>
    </row>
    <row r="111">
      <c r="A111" s="523" t="str">
        <f t="shared" si="24"/>
        <v/>
      </c>
      <c r="B111" s="524" t="str">
        <f t="shared" si="25"/>
        <v/>
      </c>
      <c r="C111" s="632"/>
      <c r="D111" s="546">
        <v>44561.0</v>
      </c>
      <c r="J111" s="405"/>
      <c r="N111" s="83"/>
      <c r="O111" s="544"/>
      <c r="R111" s="83"/>
    </row>
    <row r="112">
      <c r="A112" s="523" t="str">
        <f t="shared" si="24"/>
        <v/>
      </c>
      <c r="B112" s="524" t="str">
        <f t="shared" si="25"/>
        <v/>
      </c>
      <c r="C112" s="632"/>
      <c r="D112" s="546">
        <v>44561.0</v>
      </c>
      <c r="J112" s="405"/>
      <c r="N112" s="83"/>
      <c r="O112" s="544"/>
      <c r="R112" s="83"/>
    </row>
    <row r="113">
      <c r="A113" s="523" t="str">
        <f t="shared" si="24"/>
        <v/>
      </c>
      <c r="B113" s="524" t="str">
        <f t="shared" si="25"/>
        <v/>
      </c>
      <c r="C113" s="632"/>
      <c r="D113" s="546">
        <v>44561.0</v>
      </c>
      <c r="J113" s="405"/>
      <c r="N113" s="83"/>
      <c r="O113" s="544"/>
      <c r="R113" s="83"/>
    </row>
    <row r="114">
      <c r="A114" s="523" t="str">
        <f t="shared" si="24"/>
        <v/>
      </c>
      <c r="B114" s="524" t="str">
        <f t="shared" si="25"/>
        <v/>
      </c>
      <c r="C114" s="632"/>
      <c r="D114" s="546">
        <v>44561.0</v>
      </c>
      <c r="J114" s="405"/>
      <c r="N114" s="83"/>
      <c r="O114" s="544"/>
      <c r="R114" s="83"/>
    </row>
    <row r="115">
      <c r="A115" s="523" t="str">
        <f t="shared" si="24"/>
        <v/>
      </c>
      <c r="B115" s="524" t="str">
        <f t="shared" si="25"/>
        <v/>
      </c>
      <c r="C115" s="632"/>
      <c r="D115" s="546">
        <v>44561.0</v>
      </c>
      <c r="J115" s="405"/>
      <c r="N115" s="83"/>
      <c r="O115" s="544"/>
      <c r="R115" s="83"/>
    </row>
    <row r="116">
      <c r="A116" s="523" t="str">
        <f t="shared" si="24"/>
        <v/>
      </c>
      <c r="B116" s="524" t="str">
        <f t="shared" si="25"/>
        <v/>
      </c>
      <c r="C116" s="632"/>
      <c r="D116" s="546">
        <v>44561.0</v>
      </c>
      <c r="J116" s="405"/>
      <c r="N116" s="83"/>
      <c r="O116" s="544"/>
      <c r="R116" s="83"/>
    </row>
    <row r="117">
      <c r="A117" s="523" t="str">
        <f t="shared" si="24"/>
        <v/>
      </c>
      <c r="B117" s="524" t="str">
        <f t="shared" si="25"/>
        <v/>
      </c>
      <c r="C117" s="632"/>
      <c r="D117" s="546">
        <v>44561.0</v>
      </c>
      <c r="J117" s="405"/>
      <c r="N117" s="83"/>
      <c r="O117" s="544"/>
      <c r="R117" s="83"/>
    </row>
    <row r="118">
      <c r="A118" s="523" t="str">
        <f t="shared" si="24"/>
        <v/>
      </c>
      <c r="B118" s="524" t="str">
        <f t="shared" si="25"/>
        <v/>
      </c>
      <c r="C118" s="632"/>
      <c r="D118" s="546">
        <v>44561.0</v>
      </c>
      <c r="J118" s="405"/>
      <c r="N118" s="83"/>
      <c r="O118" s="544"/>
      <c r="R118" s="83"/>
    </row>
    <row r="119">
      <c r="A119" s="523" t="str">
        <f t="shared" si="24"/>
        <v/>
      </c>
      <c r="B119" s="524" t="str">
        <f t="shared" si="25"/>
        <v/>
      </c>
      <c r="C119" s="632"/>
      <c r="D119" s="546">
        <v>44561.0</v>
      </c>
      <c r="J119" s="405"/>
      <c r="N119" s="83"/>
      <c r="O119" s="544"/>
      <c r="R119" s="83"/>
    </row>
    <row r="120">
      <c r="A120" s="523" t="str">
        <f t="shared" si="24"/>
        <v/>
      </c>
      <c r="B120" s="524" t="str">
        <f t="shared" si="25"/>
        <v/>
      </c>
      <c r="C120" s="632"/>
      <c r="D120" s="546">
        <v>44561.0</v>
      </c>
      <c r="J120" s="405"/>
      <c r="N120" s="83"/>
      <c r="O120" s="544"/>
      <c r="R120" s="83"/>
    </row>
    <row r="121">
      <c r="A121" s="523" t="str">
        <f t="shared" si="24"/>
        <v/>
      </c>
      <c r="B121" s="524" t="str">
        <f t="shared" si="25"/>
        <v/>
      </c>
      <c r="C121" s="632"/>
      <c r="D121" s="546">
        <v>44561.0</v>
      </c>
      <c r="J121" s="405"/>
      <c r="N121" s="83"/>
      <c r="O121" s="544"/>
      <c r="R121" s="83"/>
    </row>
    <row r="122">
      <c r="A122" s="523" t="str">
        <f t="shared" si="24"/>
        <v/>
      </c>
      <c r="B122" s="524" t="str">
        <f t="shared" si="25"/>
        <v/>
      </c>
      <c r="C122" s="632"/>
      <c r="D122" s="546">
        <v>44561.0</v>
      </c>
      <c r="J122" s="405"/>
      <c r="N122" s="83"/>
      <c r="O122" s="544"/>
      <c r="R122" s="83"/>
    </row>
    <row r="123">
      <c r="A123" s="523" t="str">
        <f t="shared" si="24"/>
        <v/>
      </c>
      <c r="B123" s="524" t="str">
        <f t="shared" si="25"/>
        <v/>
      </c>
      <c r="C123" s="632"/>
      <c r="D123" s="546">
        <v>44561.0</v>
      </c>
      <c r="J123" s="405"/>
      <c r="N123" s="83"/>
      <c r="O123" s="544"/>
      <c r="R123" s="83"/>
    </row>
    <row r="124">
      <c r="A124" s="523" t="str">
        <f t="shared" si="24"/>
        <v/>
      </c>
      <c r="B124" s="524" t="str">
        <f t="shared" si="25"/>
        <v/>
      </c>
      <c r="C124" s="632"/>
      <c r="D124" s="546">
        <v>44561.0</v>
      </c>
      <c r="J124" s="405"/>
      <c r="N124" s="83"/>
      <c r="O124" s="544"/>
      <c r="R124" s="83"/>
    </row>
    <row r="125">
      <c r="A125" s="523" t="str">
        <f t="shared" si="24"/>
        <v/>
      </c>
      <c r="B125" s="524" t="str">
        <f t="shared" si="25"/>
        <v/>
      </c>
      <c r="C125" s="632"/>
      <c r="D125" s="546">
        <v>44561.0</v>
      </c>
      <c r="J125" s="405"/>
      <c r="N125" s="83"/>
      <c r="O125" s="544"/>
      <c r="R125" s="83"/>
    </row>
    <row r="126">
      <c r="A126" s="523" t="str">
        <f t="shared" si="24"/>
        <v/>
      </c>
      <c r="B126" s="524" t="str">
        <f t="shared" si="25"/>
        <v/>
      </c>
      <c r="C126" s="632"/>
      <c r="D126" s="546">
        <v>44561.0</v>
      </c>
      <c r="J126" s="405"/>
      <c r="N126" s="83"/>
      <c r="O126" s="544"/>
      <c r="R126" s="83"/>
    </row>
    <row r="127">
      <c r="A127" s="523" t="str">
        <f t="shared" si="24"/>
        <v/>
      </c>
      <c r="B127" s="524" t="str">
        <f t="shared" si="25"/>
        <v/>
      </c>
      <c r="C127" s="632"/>
      <c r="D127" s="546">
        <v>44561.0</v>
      </c>
      <c r="J127" s="405"/>
      <c r="N127" s="83"/>
      <c r="O127" s="544"/>
      <c r="R127" s="83"/>
    </row>
    <row r="128">
      <c r="A128" s="523" t="str">
        <f t="shared" si="24"/>
        <v/>
      </c>
      <c r="B128" s="524" t="str">
        <f t="shared" si="25"/>
        <v/>
      </c>
      <c r="C128" s="632"/>
      <c r="D128" s="546">
        <v>44561.0</v>
      </c>
      <c r="J128" s="405"/>
      <c r="N128" s="83"/>
      <c r="O128" s="544"/>
      <c r="R128" s="83"/>
    </row>
    <row r="129">
      <c r="A129" s="523" t="str">
        <f t="shared" si="24"/>
        <v/>
      </c>
      <c r="B129" s="524" t="str">
        <f t="shared" si="25"/>
        <v/>
      </c>
      <c r="C129" s="632"/>
      <c r="D129" s="546">
        <v>44561.0</v>
      </c>
      <c r="J129" s="405"/>
      <c r="N129" s="83"/>
      <c r="O129" s="544"/>
      <c r="R129" s="83"/>
    </row>
    <row r="130">
      <c r="A130" s="523" t="str">
        <f t="shared" si="24"/>
        <v/>
      </c>
      <c r="B130" s="524" t="str">
        <f t="shared" si="25"/>
        <v/>
      </c>
      <c r="C130" s="632"/>
      <c r="D130" s="546">
        <v>44561.0</v>
      </c>
      <c r="J130" s="405"/>
      <c r="N130" s="83"/>
      <c r="O130" s="544"/>
      <c r="R130" s="83"/>
    </row>
    <row r="131">
      <c r="A131" s="523" t="str">
        <f t="shared" si="24"/>
        <v/>
      </c>
      <c r="B131" s="524" t="str">
        <f t="shared" si="25"/>
        <v/>
      </c>
      <c r="C131" s="632"/>
      <c r="D131" s="546">
        <v>44561.0</v>
      </c>
      <c r="J131" s="405"/>
      <c r="N131" s="83"/>
      <c r="O131" s="544"/>
      <c r="R131" s="83"/>
    </row>
    <row r="132">
      <c r="A132" s="523" t="str">
        <f t="shared" si="24"/>
        <v/>
      </c>
      <c r="B132" s="524" t="str">
        <f t="shared" si="25"/>
        <v/>
      </c>
      <c r="C132" s="632"/>
      <c r="D132" s="546">
        <v>44561.0</v>
      </c>
      <c r="J132" s="405"/>
      <c r="N132" s="83"/>
      <c r="O132" s="544"/>
      <c r="R132" s="83"/>
    </row>
    <row r="133">
      <c r="A133" s="523" t="str">
        <f t="shared" si="24"/>
        <v/>
      </c>
      <c r="B133" s="524" t="str">
        <f t="shared" si="25"/>
        <v/>
      </c>
      <c r="C133" s="632"/>
      <c r="D133" s="546">
        <v>44561.0</v>
      </c>
      <c r="J133" s="405"/>
      <c r="N133" s="83"/>
      <c r="O133" s="544"/>
      <c r="R133" s="83"/>
    </row>
    <row r="134">
      <c r="A134" s="523" t="str">
        <f t="shared" si="24"/>
        <v/>
      </c>
      <c r="B134" s="524" t="str">
        <f t="shared" si="25"/>
        <v/>
      </c>
      <c r="C134" s="632"/>
      <c r="D134" s="546">
        <v>44561.0</v>
      </c>
      <c r="J134" s="405"/>
      <c r="N134" s="83"/>
      <c r="O134" s="544"/>
      <c r="R134" s="83"/>
    </row>
    <row r="135">
      <c r="A135" s="523" t="str">
        <f t="shared" si="24"/>
        <v/>
      </c>
      <c r="B135" s="524" t="str">
        <f t="shared" si="25"/>
        <v/>
      </c>
      <c r="C135" s="632"/>
      <c r="D135" s="546">
        <v>44561.0</v>
      </c>
      <c r="J135" s="405"/>
      <c r="N135" s="83"/>
      <c r="O135" s="544"/>
      <c r="R135" s="83"/>
    </row>
    <row r="136">
      <c r="A136" s="523" t="str">
        <f t="shared" si="24"/>
        <v/>
      </c>
      <c r="B136" s="524" t="str">
        <f t="shared" si="25"/>
        <v/>
      </c>
      <c r="C136" s="632"/>
      <c r="D136" s="546">
        <v>44561.0</v>
      </c>
      <c r="J136" s="405"/>
      <c r="N136" s="83"/>
      <c r="O136" s="544"/>
      <c r="R136" s="83"/>
    </row>
    <row r="137">
      <c r="A137" s="523" t="str">
        <f t="shared" si="24"/>
        <v/>
      </c>
      <c r="B137" s="524" t="str">
        <f t="shared" si="25"/>
        <v/>
      </c>
      <c r="C137" s="632"/>
      <c r="D137" s="546">
        <v>44561.0</v>
      </c>
      <c r="J137" s="405"/>
      <c r="N137" s="83"/>
      <c r="O137" s="544"/>
      <c r="R137" s="83"/>
    </row>
    <row r="138">
      <c r="A138" s="523" t="str">
        <f t="shared" si="24"/>
        <v/>
      </c>
      <c r="B138" s="524" t="str">
        <f t="shared" si="25"/>
        <v/>
      </c>
      <c r="C138" s="632"/>
      <c r="D138" s="546">
        <v>44561.0</v>
      </c>
      <c r="J138" s="405"/>
      <c r="N138" s="83"/>
      <c r="O138" s="544"/>
      <c r="R138" s="83"/>
    </row>
    <row r="139">
      <c r="A139" s="523" t="str">
        <f t="shared" si="24"/>
        <v/>
      </c>
      <c r="B139" s="524" t="str">
        <f t="shared" si="25"/>
        <v/>
      </c>
      <c r="C139" s="632"/>
      <c r="D139" s="546">
        <v>44561.0</v>
      </c>
      <c r="J139" s="405"/>
      <c r="N139" s="83"/>
      <c r="O139" s="544"/>
      <c r="R139" s="83"/>
    </row>
    <row r="140">
      <c r="A140" s="523" t="str">
        <f t="shared" si="24"/>
        <v/>
      </c>
      <c r="B140" s="524" t="str">
        <f t="shared" si="25"/>
        <v/>
      </c>
      <c r="C140" s="632"/>
      <c r="D140" s="546">
        <v>44561.0</v>
      </c>
      <c r="J140" s="405"/>
      <c r="N140" s="83"/>
      <c r="O140" s="544"/>
      <c r="R140" s="83"/>
    </row>
    <row r="141">
      <c r="A141" s="523" t="str">
        <f t="shared" si="24"/>
        <v/>
      </c>
      <c r="B141" s="524" t="str">
        <f t="shared" si="25"/>
        <v/>
      </c>
      <c r="C141" s="632"/>
      <c r="D141" s="546">
        <v>44561.0</v>
      </c>
      <c r="J141" s="405"/>
      <c r="N141" s="83"/>
      <c r="O141" s="544"/>
      <c r="R141" s="83"/>
    </row>
    <row r="142">
      <c r="A142" s="523" t="str">
        <f t="shared" si="24"/>
        <v/>
      </c>
      <c r="B142" s="524" t="str">
        <f t="shared" si="25"/>
        <v/>
      </c>
      <c r="C142" s="632"/>
      <c r="D142" s="546">
        <v>44561.0</v>
      </c>
      <c r="J142" s="405"/>
      <c r="N142" s="83"/>
      <c r="O142" s="544"/>
      <c r="R142" s="83"/>
    </row>
    <row r="143">
      <c r="A143" s="523" t="str">
        <f t="shared" si="24"/>
        <v/>
      </c>
      <c r="B143" s="524" t="str">
        <f t="shared" si="25"/>
        <v/>
      </c>
      <c r="C143" s="632"/>
      <c r="D143" s="546">
        <v>44561.0</v>
      </c>
      <c r="J143" s="405"/>
      <c r="N143" s="83"/>
      <c r="O143" s="544"/>
      <c r="R143" s="83"/>
    </row>
    <row r="144">
      <c r="A144" s="523" t="str">
        <f t="shared" si="24"/>
        <v/>
      </c>
      <c r="B144" s="524" t="str">
        <f t="shared" si="25"/>
        <v/>
      </c>
      <c r="C144" s="632"/>
      <c r="D144" s="546">
        <v>44561.0</v>
      </c>
      <c r="J144" s="405"/>
      <c r="N144" s="83"/>
      <c r="O144" s="544"/>
      <c r="R144" s="83"/>
    </row>
    <row r="145">
      <c r="A145" s="523" t="str">
        <f t="shared" si="24"/>
        <v/>
      </c>
      <c r="B145" s="524" t="str">
        <f t="shared" si="25"/>
        <v/>
      </c>
      <c r="C145" s="632"/>
      <c r="D145" s="546">
        <v>44561.0</v>
      </c>
      <c r="J145" s="405"/>
      <c r="N145" s="83"/>
      <c r="O145" s="544"/>
      <c r="R145" s="83"/>
    </row>
    <row r="146">
      <c r="A146" s="523" t="str">
        <f t="shared" si="24"/>
        <v/>
      </c>
      <c r="B146" s="524" t="str">
        <f t="shared" si="25"/>
        <v/>
      </c>
      <c r="C146" s="632"/>
      <c r="D146" s="546">
        <v>44561.0</v>
      </c>
      <c r="J146" s="405"/>
      <c r="N146" s="83"/>
      <c r="O146" s="544"/>
      <c r="R146" s="83"/>
    </row>
    <row r="147">
      <c r="A147" s="523" t="str">
        <f t="shared" si="24"/>
        <v/>
      </c>
      <c r="B147" s="524" t="str">
        <f t="shared" si="25"/>
        <v/>
      </c>
      <c r="C147" s="632"/>
      <c r="D147" s="546">
        <v>44561.0</v>
      </c>
      <c r="J147" s="405"/>
      <c r="N147" s="83"/>
      <c r="O147" s="544"/>
      <c r="R147" s="83"/>
    </row>
    <row r="148">
      <c r="A148" s="523" t="str">
        <f t="shared" si="24"/>
        <v/>
      </c>
      <c r="B148" s="524" t="str">
        <f t="shared" si="25"/>
        <v/>
      </c>
      <c r="C148" s="632"/>
      <c r="D148" s="546">
        <v>44561.0</v>
      </c>
      <c r="J148" s="405"/>
      <c r="N148" s="83"/>
      <c r="O148" s="544"/>
      <c r="R148" s="83"/>
    </row>
    <row r="149">
      <c r="A149" s="523" t="str">
        <f t="shared" si="24"/>
        <v/>
      </c>
      <c r="B149" s="524" t="str">
        <f t="shared" si="25"/>
        <v/>
      </c>
      <c r="C149" s="632"/>
      <c r="D149" s="546">
        <v>44561.0</v>
      </c>
      <c r="J149" s="405"/>
      <c r="N149" s="83"/>
      <c r="O149" s="544"/>
      <c r="R149" s="83"/>
    </row>
    <row r="150">
      <c r="A150" s="523" t="str">
        <f t="shared" si="24"/>
        <v/>
      </c>
      <c r="B150" s="524" t="str">
        <f t="shared" si="25"/>
        <v/>
      </c>
      <c r="C150" s="632"/>
      <c r="D150" s="546">
        <v>44561.0</v>
      </c>
      <c r="J150" s="405"/>
      <c r="N150" s="83"/>
      <c r="O150" s="544"/>
      <c r="R150" s="83"/>
    </row>
    <row r="151">
      <c r="A151" s="523" t="str">
        <f t="shared" si="24"/>
        <v/>
      </c>
      <c r="B151" s="524" t="str">
        <f t="shared" si="25"/>
        <v/>
      </c>
      <c r="C151" s="632"/>
      <c r="D151" s="546">
        <v>44561.0</v>
      </c>
      <c r="J151" s="405"/>
      <c r="N151" s="83"/>
      <c r="O151" s="544"/>
      <c r="R151" s="83"/>
    </row>
    <row r="152">
      <c r="A152" s="523" t="str">
        <f t="shared" si="24"/>
        <v/>
      </c>
      <c r="B152" s="524" t="str">
        <f t="shared" si="25"/>
        <v/>
      </c>
      <c r="C152" s="632"/>
      <c r="D152" s="546">
        <v>44561.0</v>
      </c>
      <c r="J152" s="405"/>
      <c r="N152" s="83"/>
      <c r="O152" s="544"/>
      <c r="R152" s="83"/>
    </row>
    <row r="153">
      <c r="A153" s="523" t="str">
        <f t="shared" si="24"/>
        <v/>
      </c>
      <c r="B153" s="524" t="str">
        <f t="shared" si="25"/>
        <v/>
      </c>
      <c r="C153" s="632"/>
      <c r="D153" s="546">
        <v>44561.0</v>
      </c>
      <c r="J153" s="405"/>
      <c r="N153" s="83"/>
      <c r="O153" s="544"/>
      <c r="R153" s="83"/>
    </row>
    <row r="154">
      <c r="A154" s="523" t="str">
        <f t="shared" si="24"/>
        <v/>
      </c>
      <c r="B154" s="524" t="str">
        <f t="shared" si="25"/>
        <v/>
      </c>
      <c r="C154" s="632"/>
      <c r="D154" s="546">
        <v>44561.0</v>
      </c>
      <c r="J154" s="405"/>
      <c r="N154" s="83"/>
      <c r="O154" s="544"/>
      <c r="R154" s="83"/>
    </row>
    <row r="155">
      <c r="A155" s="523" t="str">
        <f t="shared" si="24"/>
        <v/>
      </c>
      <c r="B155" s="524" t="str">
        <f t="shared" si="25"/>
        <v/>
      </c>
      <c r="C155" s="632"/>
      <c r="D155" s="546">
        <v>44561.0</v>
      </c>
      <c r="J155" s="405"/>
      <c r="N155" s="83"/>
      <c r="O155" s="544"/>
      <c r="R155" s="83"/>
    </row>
    <row r="156">
      <c r="A156" s="523" t="str">
        <f t="shared" si="24"/>
        <v/>
      </c>
      <c r="B156" s="524" t="str">
        <f t="shared" si="25"/>
        <v/>
      </c>
      <c r="C156" s="632"/>
      <c r="D156" s="546">
        <v>44561.0</v>
      </c>
      <c r="J156" s="405"/>
      <c r="N156" s="83"/>
      <c r="O156" s="544"/>
      <c r="R156" s="83"/>
    </row>
    <row r="157">
      <c r="A157" s="523" t="str">
        <f t="shared" si="24"/>
        <v/>
      </c>
      <c r="B157" s="524" t="str">
        <f t="shared" si="25"/>
        <v/>
      </c>
      <c r="C157" s="632"/>
      <c r="D157" s="546">
        <v>44561.0</v>
      </c>
      <c r="J157" s="405"/>
      <c r="N157" s="83"/>
      <c r="O157" s="544"/>
      <c r="R157" s="83"/>
    </row>
    <row r="158">
      <c r="A158" s="523" t="str">
        <f t="shared" si="24"/>
        <v/>
      </c>
      <c r="B158" s="524" t="str">
        <f t="shared" si="25"/>
        <v/>
      </c>
      <c r="C158" s="632"/>
      <c r="D158" s="546">
        <v>44561.0</v>
      </c>
      <c r="J158" s="405"/>
      <c r="N158" s="83"/>
      <c r="O158" s="544"/>
      <c r="R158" s="83"/>
    </row>
    <row r="159">
      <c r="A159" s="523" t="str">
        <f t="shared" si="24"/>
        <v/>
      </c>
      <c r="B159" s="524" t="str">
        <f t="shared" si="25"/>
        <v/>
      </c>
      <c r="C159" s="632"/>
      <c r="D159" s="546">
        <v>44561.0</v>
      </c>
      <c r="J159" s="405"/>
      <c r="N159" s="83"/>
      <c r="O159" s="544"/>
      <c r="R159" s="83"/>
    </row>
    <row r="160">
      <c r="A160" s="523" t="str">
        <f t="shared" si="24"/>
        <v/>
      </c>
      <c r="B160" s="524" t="str">
        <f t="shared" si="25"/>
        <v/>
      </c>
      <c r="C160" s="632"/>
      <c r="D160" s="546">
        <v>44561.0</v>
      </c>
      <c r="J160" s="405"/>
      <c r="N160" s="83"/>
      <c r="O160" s="544"/>
      <c r="R160" s="83"/>
    </row>
    <row r="161">
      <c r="A161" s="523" t="str">
        <f t="shared" si="24"/>
        <v/>
      </c>
      <c r="B161" s="524" t="str">
        <f t="shared" si="25"/>
        <v/>
      </c>
      <c r="C161" s="632"/>
      <c r="D161" s="546">
        <v>44561.0</v>
      </c>
      <c r="J161" s="405"/>
      <c r="N161" s="83"/>
      <c r="O161" s="544"/>
      <c r="R161" s="83"/>
    </row>
    <row r="162">
      <c r="A162" s="523" t="str">
        <f t="shared" si="24"/>
        <v/>
      </c>
      <c r="B162" s="524" t="str">
        <f t="shared" si="25"/>
        <v/>
      </c>
      <c r="C162" s="632"/>
      <c r="D162" s="546">
        <v>44561.0</v>
      </c>
      <c r="J162" s="405"/>
      <c r="N162" s="83"/>
      <c r="O162" s="544"/>
      <c r="R162" s="83"/>
    </row>
    <row r="163">
      <c r="A163" s="523" t="str">
        <f t="shared" si="24"/>
        <v/>
      </c>
      <c r="B163" s="524" t="str">
        <f t="shared" si="25"/>
        <v/>
      </c>
      <c r="C163" s="632"/>
      <c r="D163" s="546">
        <v>44561.0</v>
      </c>
      <c r="J163" s="405"/>
      <c r="N163" s="83"/>
      <c r="O163" s="544"/>
      <c r="R163" s="83"/>
    </row>
    <row r="164">
      <c r="A164" s="523" t="str">
        <f t="shared" si="24"/>
        <v/>
      </c>
      <c r="B164" s="524" t="str">
        <f t="shared" si="25"/>
        <v/>
      </c>
      <c r="C164" s="632"/>
      <c r="D164" s="546">
        <v>44561.0</v>
      </c>
      <c r="J164" s="405"/>
      <c r="N164" s="83"/>
      <c r="O164" s="544"/>
      <c r="R164" s="83"/>
    </row>
    <row r="165">
      <c r="A165" s="523" t="str">
        <f t="shared" si="24"/>
        <v/>
      </c>
      <c r="B165" s="524" t="str">
        <f t="shared" si="25"/>
        <v/>
      </c>
      <c r="C165" s="632"/>
      <c r="D165" s="546">
        <v>44561.0</v>
      </c>
      <c r="J165" s="405"/>
      <c r="N165" s="83"/>
      <c r="O165" s="544"/>
      <c r="R165" s="83"/>
    </row>
    <row r="166">
      <c r="A166" s="523" t="str">
        <f t="shared" si="24"/>
        <v/>
      </c>
      <c r="B166" s="524" t="str">
        <f t="shared" si="25"/>
        <v/>
      </c>
      <c r="C166" s="632"/>
      <c r="D166" s="546">
        <v>44561.0</v>
      </c>
      <c r="J166" s="405"/>
      <c r="N166" s="83"/>
      <c r="O166" s="544"/>
      <c r="R166" s="83"/>
    </row>
    <row r="167">
      <c r="A167" s="523" t="str">
        <f t="shared" si="24"/>
        <v/>
      </c>
      <c r="B167" s="524" t="str">
        <f t="shared" si="25"/>
        <v/>
      </c>
      <c r="C167" s="632"/>
      <c r="D167" s="546">
        <v>44561.0</v>
      </c>
      <c r="J167" s="405"/>
      <c r="N167" s="83"/>
      <c r="O167" s="544"/>
      <c r="R167" s="83"/>
    </row>
    <row r="168">
      <c r="A168" s="523" t="str">
        <f t="shared" si="24"/>
        <v/>
      </c>
      <c r="B168" s="524" t="str">
        <f t="shared" si="25"/>
        <v/>
      </c>
      <c r="C168" s="632"/>
      <c r="D168" s="546">
        <v>44561.0</v>
      </c>
      <c r="J168" s="405"/>
      <c r="N168" s="83"/>
      <c r="O168" s="544"/>
      <c r="R168" s="83"/>
    </row>
    <row r="169">
      <c r="A169" s="523" t="str">
        <f t="shared" si="24"/>
        <v/>
      </c>
      <c r="B169" s="524" t="str">
        <f t="shared" si="25"/>
        <v/>
      </c>
      <c r="C169" s="632"/>
      <c r="D169" s="546">
        <v>44561.0</v>
      </c>
      <c r="J169" s="405"/>
      <c r="N169" s="83"/>
      <c r="O169" s="544"/>
      <c r="R169" s="83"/>
    </row>
    <row r="170">
      <c r="A170" s="523" t="str">
        <f t="shared" si="24"/>
        <v/>
      </c>
      <c r="B170" s="524" t="str">
        <f t="shared" si="25"/>
        <v/>
      </c>
      <c r="C170" s="632"/>
      <c r="D170" s="546">
        <v>44561.0</v>
      </c>
      <c r="J170" s="405"/>
      <c r="N170" s="83"/>
      <c r="O170" s="544"/>
      <c r="R170" s="83"/>
    </row>
    <row r="171">
      <c r="A171" s="523" t="str">
        <f t="shared" si="24"/>
        <v/>
      </c>
      <c r="B171" s="524" t="str">
        <f t="shared" si="25"/>
        <v/>
      </c>
      <c r="C171" s="632"/>
      <c r="D171" s="546">
        <v>44561.0</v>
      </c>
      <c r="J171" s="405"/>
      <c r="N171" s="83"/>
      <c r="O171" s="544"/>
      <c r="R171" s="83"/>
    </row>
    <row r="172">
      <c r="A172" s="523" t="str">
        <f t="shared" si="24"/>
        <v/>
      </c>
      <c r="B172" s="524" t="str">
        <f t="shared" si="25"/>
        <v/>
      </c>
      <c r="C172" s="632"/>
      <c r="D172" s="546">
        <v>44561.0</v>
      </c>
      <c r="J172" s="405"/>
      <c r="N172" s="83"/>
      <c r="O172" s="544"/>
      <c r="R172" s="83"/>
    </row>
    <row r="173">
      <c r="A173" s="523" t="str">
        <f t="shared" si="24"/>
        <v/>
      </c>
      <c r="B173" s="524" t="str">
        <f t="shared" si="25"/>
        <v/>
      </c>
      <c r="C173" s="632"/>
      <c r="D173" s="546">
        <v>44561.0</v>
      </c>
      <c r="J173" s="405"/>
      <c r="N173" s="83"/>
      <c r="O173" s="544"/>
      <c r="R173" s="83"/>
    </row>
    <row r="174">
      <c r="A174" s="523" t="str">
        <f t="shared" si="24"/>
        <v/>
      </c>
      <c r="B174" s="524" t="str">
        <f t="shared" si="25"/>
        <v/>
      </c>
      <c r="C174" s="632"/>
      <c r="D174" s="546">
        <v>44561.0</v>
      </c>
      <c r="J174" s="405"/>
      <c r="N174" s="83"/>
      <c r="O174" s="544"/>
      <c r="R174" s="83"/>
    </row>
    <row r="175">
      <c r="A175" s="523" t="str">
        <f t="shared" si="24"/>
        <v/>
      </c>
      <c r="B175" s="524" t="str">
        <f t="shared" si="25"/>
        <v/>
      </c>
      <c r="C175" s="632"/>
      <c r="D175" s="546">
        <v>44561.0</v>
      </c>
      <c r="J175" s="405"/>
      <c r="N175" s="83"/>
      <c r="O175" s="544"/>
      <c r="R175" s="83"/>
    </row>
    <row r="176">
      <c r="A176" s="523" t="str">
        <f t="shared" si="24"/>
        <v/>
      </c>
      <c r="B176" s="524" t="str">
        <f t="shared" si="25"/>
        <v/>
      </c>
      <c r="C176" s="632"/>
      <c r="D176" s="546">
        <v>44561.0</v>
      </c>
      <c r="J176" s="405"/>
      <c r="N176" s="83"/>
      <c r="O176" s="544"/>
      <c r="R176" s="83"/>
    </row>
    <row r="177">
      <c r="A177" s="523" t="str">
        <f t="shared" si="24"/>
        <v/>
      </c>
      <c r="B177" s="524" t="str">
        <f t="shared" si="25"/>
        <v/>
      </c>
      <c r="C177" s="632"/>
      <c r="D177" s="546">
        <v>44561.0</v>
      </c>
      <c r="J177" s="405"/>
      <c r="N177" s="83"/>
      <c r="O177" s="544"/>
      <c r="R177" s="83"/>
    </row>
    <row r="178">
      <c r="A178" s="523" t="str">
        <f t="shared" si="24"/>
        <v/>
      </c>
      <c r="B178" s="524" t="str">
        <f t="shared" si="25"/>
        <v/>
      </c>
      <c r="C178" s="632"/>
      <c r="D178" s="546">
        <v>44561.0</v>
      </c>
      <c r="J178" s="405"/>
      <c r="N178" s="83"/>
      <c r="O178" s="544"/>
      <c r="R178" s="83"/>
    </row>
    <row r="179">
      <c r="A179" s="523" t="str">
        <f t="shared" si="24"/>
        <v/>
      </c>
      <c r="B179" s="524" t="str">
        <f t="shared" si="25"/>
        <v/>
      </c>
      <c r="C179" s="632"/>
      <c r="D179" s="546">
        <v>44561.0</v>
      </c>
      <c r="J179" s="405"/>
      <c r="N179" s="83"/>
      <c r="O179" s="544"/>
      <c r="R179" s="83"/>
    </row>
    <row r="180">
      <c r="A180" s="523" t="str">
        <f t="shared" si="24"/>
        <v/>
      </c>
      <c r="B180" s="524" t="str">
        <f t="shared" si="25"/>
        <v/>
      </c>
      <c r="C180" s="632"/>
      <c r="D180" s="546">
        <v>44561.0</v>
      </c>
      <c r="J180" s="405"/>
      <c r="N180" s="83"/>
      <c r="O180" s="544"/>
      <c r="R180" s="83"/>
    </row>
    <row r="181">
      <c r="A181" s="523" t="str">
        <f t="shared" si="24"/>
        <v/>
      </c>
      <c r="B181" s="524" t="str">
        <f t="shared" si="25"/>
        <v/>
      </c>
      <c r="C181" s="632"/>
      <c r="D181" s="546">
        <v>44561.0</v>
      </c>
      <c r="J181" s="405"/>
      <c r="N181" s="83"/>
      <c r="O181" s="544"/>
      <c r="R181" s="83"/>
    </row>
    <row r="182">
      <c r="A182" s="523" t="str">
        <f t="shared" si="24"/>
        <v/>
      </c>
      <c r="B182" s="524" t="str">
        <f t="shared" si="25"/>
        <v/>
      </c>
      <c r="C182" s="632"/>
      <c r="D182" s="546">
        <v>44561.0</v>
      </c>
      <c r="J182" s="405"/>
      <c r="N182" s="83"/>
      <c r="O182" s="544"/>
      <c r="R182" s="83"/>
    </row>
    <row r="183">
      <c r="A183" s="523" t="str">
        <f t="shared" si="24"/>
        <v/>
      </c>
      <c r="B183" s="524" t="str">
        <f t="shared" si="25"/>
        <v/>
      </c>
      <c r="C183" s="632"/>
      <c r="D183" s="546">
        <v>44561.0</v>
      </c>
      <c r="J183" s="405"/>
      <c r="N183" s="83"/>
      <c r="O183" s="544"/>
      <c r="R183" s="83"/>
    </row>
    <row r="184">
      <c r="A184" s="523" t="str">
        <f t="shared" si="24"/>
        <v/>
      </c>
      <c r="B184" s="524" t="str">
        <f t="shared" si="25"/>
        <v/>
      </c>
      <c r="C184" s="632"/>
      <c r="D184" s="546">
        <v>44561.0</v>
      </c>
      <c r="J184" s="405"/>
      <c r="N184" s="83"/>
      <c r="O184" s="544"/>
      <c r="R184" s="83"/>
    </row>
    <row r="185">
      <c r="A185" s="523" t="str">
        <f t="shared" si="24"/>
        <v/>
      </c>
      <c r="B185" s="524" t="str">
        <f t="shared" si="25"/>
        <v/>
      </c>
      <c r="C185" s="632"/>
      <c r="D185" s="546">
        <v>44561.0</v>
      </c>
      <c r="J185" s="405"/>
      <c r="N185" s="83"/>
      <c r="O185" s="544"/>
      <c r="R185" s="83"/>
    </row>
    <row r="186">
      <c r="A186" s="523" t="str">
        <f t="shared" si="24"/>
        <v/>
      </c>
      <c r="B186" s="524" t="str">
        <f t="shared" si="25"/>
        <v/>
      </c>
      <c r="C186" s="632"/>
      <c r="D186" s="546">
        <v>44561.0</v>
      </c>
      <c r="J186" s="405"/>
      <c r="N186" s="83"/>
      <c r="O186" s="544"/>
      <c r="R186" s="83"/>
    </row>
    <row r="187">
      <c r="A187" s="523" t="str">
        <f t="shared" si="24"/>
        <v/>
      </c>
      <c r="B187" s="524" t="str">
        <f t="shared" si="25"/>
        <v/>
      </c>
      <c r="C187" s="632"/>
      <c r="D187" s="546">
        <v>44561.0</v>
      </c>
      <c r="J187" s="405"/>
      <c r="N187" s="83"/>
      <c r="O187" s="544"/>
      <c r="R187" s="83"/>
    </row>
    <row r="188">
      <c r="A188" s="523" t="str">
        <f t="shared" si="24"/>
        <v/>
      </c>
      <c r="B188" s="524" t="str">
        <f t="shared" si="25"/>
        <v/>
      </c>
      <c r="C188" s="632"/>
      <c r="D188" s="546">
        <v>44561.0</v>
      </c>
      <c r="J188" s="405"/>
      <c r="N188" s="83"/>
      <c r="O188" s="544"/>
      <c r="R188" s="83"/>
    </row>
    <row r="189">
      <c r="A189" s="523" t="str">
        <f t="shared" si="24"/>
        <v/>
      </c>
      <c r="B189" s="524" t="str">
        <f t="shared" si="25"/>
        <v/>
      </c>
      <c r="C189" s="632"/>
      <c r="D189" s="546">
        <v>44561.0</v>
      </c>
      <c r="J189" s="405"/>
      <c r="N189" s="83"/>
      <c r="O189" s="544"/>
      <c r="R189" s="83"/>
    </row>
    <row r="190">
      <c r="A190" s="523" t="str">
        <f t="shared" si="24"/>
        <v/>
      </c>
      <c r="B190" s="524" t="str">
        <f t="shared" si="25"/>
        <v/>
      </c>
      <c r="C190" s="632"/>
      <c r="D190" s="546">
        <v>44561.0</v>
      </c>
      <c r="J190" s="405"/>
      <c r="N190" s="83"/>
      <c r="O190" s="544"/>
      <c r="R190" s="83"/>
    </row>
    <row r="191">
      <c r="A191" s="523" t="str">
        <f t="shared" si="24"/>
        <v/>
      </c>
      <c r="B191" s="524" t="str">
        <f t="shared" si="25"/>
        <v/>
      </c>
      <c r="C191" s="632"/>
      <c r="D191" s="546">
        <v>44561.0</v>
      </c>
      <c r="J191" s="405"/>
      <c r="N191" s="83"/>
      <c r="O191" s="544"/>
      <c r="R191" s="83"/>
    </row>
    <row r="192">
      <c r="A192" s="523" t="str">
        <f t="shared" si="24"/>
        <v/>
      </c>
      <c r="B192" s="524" t="str">
        <f t="shared" si="25"/>
        <v/>
      </c>
      <c r="C192" s="632"/>
      <c r="D192" s="546">
        <v>44561.0</v>
      </c>
      <c r="J192" s="405"/>
      <c r="N192" s="83"/>
      <c r="O192" s="544"/>
      <c r="R192" s="83"/>
    </row>
    <row r="193">
      <c r="A193" s="523" t="str">
        <f t="shared" si="24"/>
        <v/>
      </c>
      <c r="B193" s="524" t="str">
        <f t="shared" si="25"/>
        <v/>
      </c>
      <c r="C193" s="632"/>
      <c r="D193" s="546">
        <v>44561.0</v>
      </c>
      <c r="J193" s="405"/>
      <c r="N193" s="83"/>
      <c r="O193" s="544"/>
      <c r="R193" s="83"/>
    </row>
    <row r="194">
      <c r="A194" s="523" t="str">
        <f t="shared" si="24"/>
        <v/>
      </c>
      <c r="B194" s="524" t="str">
        <f t="shared" si="25"/>
        <v/>
      </c>
      <c r="C194" s="632"/>
      <c r="D194" s="546">
        <v>44561.0</v>
      </c>
      <c r="J194" s="405"/>
      <c r="N194" s="83"/>
      <c r="O194" s="544"/>
      <c r="R194" s="83"/>
    </row>
    <row r="195">
      <c r="A195" s="523" t="str">
        <f t="shared" si="24"/>
        <v/>
      </c>
      <c r="B195" s="524" t="str">
        <f t="shared" si="25"/>
        <v/>
      </c>
      <c r="C195" s="632"/>
      <c r="D195" s="546">
        <v>44561.0</v>
      </c>
      <c r="J195" s="405"/>
      <c r="N195" s="83"/>
      <c r="O195" s="544"/>
      <c r="R195" s="83"/>
    </row>
    <row r="196">
      <c r="A196" s="523" t="str">
        <f t="shared" si="24"/>
        <v/>
      </c>
      <c r="B196" s="524" t="str">
        <f t="shared" si="25"/>
        <v/>
      </c>
      <c r="C196" s="632"/>
      <c r="D196" s="546">
        <v>44561.0</v>
      </c>
      <c r="J196" s="405"/>
      <c r="N196" s="83"/>
      <c r="O196" s="544"/>
      <c r="R196" s="83"/>
    </row>
    <row r="197">
      <c r="A197" s="523" t="str">
        <f t="shared" si="24"/>
        <v/>
      </c>
      <c r="B197" s="524" t="str">
        <f t="shared" si="25"/>
        <v/>
      </c>
      <c r="C197" s="632"/>
      <c r="D197" s="546">
        <v>44561.0</v>
      </c>
      <c r="J197" s="405"/>
      <c r="N197" s="83"/>
      <c r="O197" s="544"/>
      <c r="R197" s="83"/>
    </row>
    <row r="198">
      <c r="A198" s="523" t="str">
        <f t="shared" si="24"/>
        <v/>
      </c>
      <c r="B198" s="524" t="str">
        <f t="shared" si="25"/>
        <v/>
      </c>
      <c r="C198" s="632"/>
      <c r="D198" s="546">
        <v>44561.0</v>
      </c>
      <c r="J198" s="405"/>
      <c r="N198" s="83"/>
      <c r="O198" s="544"/>
      <c r="R198" s="83"/>
    </row>
    <row r="199">
      <c r="A199" s="523" t="str">
        <f t="shared" si="24"/>
        <v/>
      </c>
      <c r="B199" s="524" t="str">
        <f t="shared" si="25"/>
        <v/>
      </c>
      <c r="C199" s="632"/>
      <c r="D199" s="546">
        <v>44561.0</v>
      </c>
      <c r="J199" s="405"/>
      <c r="N199" s="83"/>
      <c r="O199" s="544"/>
      <c r="R199" s="83"/>
    </row>
    <row r="200">
      <c r="A200" s="523" t="str">
        <f t="shared" si="24"/>
        <v/>
      </c>
      <c r="B200" s="524" t="str">
        <f t="shared" si="25"/>
        <v/>
      </c>
      <c r="C200" s="632"/>
      <c r="D200" s="546">
        <v>44561.0</v>
      </c>
      <c r="J200" s="405"/>
      <c r="N200" s="83"/>
      <c r="O200" s="544"/>
      <c r="R200" s="83"/>
    </row>
    <row r="201">
      <c r="A201" s="523" t="str">
        <f t="shared" si="24"/>
        <v/>
      </c>
      <c r="B201" s="524" t="str">
        <f t="shared" si="25"/>
        <v/>
      </c>
      <c r="C201" s="632"/>
      <c r="D201" s="546">
        <v>44561.0</v>
      </c>
      <c r="J201" s="405"/>
      <c r="N201" s="83"/>
      <c r="O201" s="544"/>
      <c r="R201" s="83"/>
    </row>
    <row r="202">
      <c r="A202" s="523" t="str">
        <f t="shared" si="24"/>
        <v/>
      </c>
      <c r="B202" s="524" t="str">
        <f t="shared" si="25"/>
        <v/>
      </c>
      <c r="C202" s="632"/>
      <c r="D202" s="546">
        <v>44561.0</v>
      </c>
      <c r="J202" s="405"/>
      <c r="N202" s="83"/>
      <c r="O202" s="544"/>
      <c r="R202" s="83"/>
    </row>
    <row r="203">
      <c r="A203" s="523" t="str">
        <f t="shared" si="24"/>
        <v/>
      </c>
      <c r="B203" s="524" t="str">
        <f t="shared" si="25"/>
        <v/>
      </c>
      <c r="C203" s="632"/>
      <c r="D203" s="546">
        <v>44561.0</v>
      </c>
      <c r="J203" s="405"/>
      <c r="N203" s="83"/>
      <c r="O203" s="544"/>
      <c r="R203" s="83"/>
    </row>
    <row r="204">
      <c r="A204" s="523" t="str">
        <f t="shared" si="24"/>
        <v/>
      </c>
      <c r="B204" s="524" t="str">
        <f t="shared" si="25"/>
        <v/>
      </c>
      <c r="C204" s="632"/>
      <c r="D204" s="546">
        <v>44561.0</v>
      </c>
      <c r="J204" s="405"/>
      <c r="N204" s="83"/>
      <c r="O204" s="544"/>
      <c r="R204" s="83"/>
    </row>
    <row r="205">
      <c r="A205" s="523" t="str">
        <f t="shared" si="24"/>
        <v/>
      </c>
      <c r="B205" s="524" t="str">
        <f t="shared" si="25"/>
        <v/>
      </c>
      <c r="C205" s="632"/>
      <c r="D205" s="546">
        <v>44561.0</v>
      </c>
      <c r="J205" s="405"/>
      <c r="N205" s="83"/>
      <c r="O205" s="544"/>
      <c r="R205" s="83"/>
    </row>
    <row r="206">
      <c r="A206" s="523" t="str">
        <f t="shared" si="24"/>
        <v/>
      </c>
      <c r="B206" s="524" t="str">
        <f t="shared" si="25"/>
        <v/>
      </c>
      <c r="C206" s="632"/>
      <c r="D206" s="546">
        <v>44561.0</v>
      </c>
      <c r="J206" s="405"/>
      <c r="N206" s="83"/>
      <c r="O206" s="544"/>
      <c r="R206" s="83"/>
    </row>
    <row r="207">
      <c r="A207" s="523" t="str">
        <f t="shared" si="24"/>
        <v/>
      </c>
      <c r="B207" s="524" t="str">
        <f t="shared" si="25"/>
        <v/>
      </c>
      <c r="C207" s="632"/>
      <c r="D207" s="546">
        <v>44561.0</v>
      </c>
      <c r="J207" s="405"/>
      <c r="N207" s="83"/>
      <c r="O207" s="544"/>
      <c r="R207" s="83"/>
    </row>
    <row r="208">
      <c r="A208" s="523" t="str">
        <f t="shared" si="24"/>
        <v/>
      </c>
      <c r="B208" s="524" t="str">
        <f t="shared" si="25"/>
        <v/>
      </c>
      <c r="C208" s="632"/>
      <c r="D208" s="546">
        <v>44561.0</v>
      </c>
      <c r="J208" s="405"/>
      <c r="N208" s="83"/>
      <c r="O208" s="544"/>
      <c r="R208" s="83"/>
    </row>
    <row r="209">
      <c r="A209" s="523" t="str">
        <f t="shared" si="24"/>
        <v/>
      </c>
      <c r="B209" s="524" t="str">
        <f t="shared" si="25"/>
        <v/>
      </c>
      <c r="C209" s="632"/>
      <c r="D209" s="546">
        <v>44561.0</v>
      </c>
      <c r="J209" s="405"/>
      <c r="N209" s="83"/>
      <c r="O209" s="544"/>
      <c r="R209" s="83"/>
    </row>
    <row r="210">
      <c r="A210" s="523" t="str">
        <f t="shared" si="24"/>
        <v/>
      </c>
      <c r="B210" s="524" t="str">
        <f t="shared" si="25"/>
        <v/>
      </c>
      <c r="C210" s="632"/>
      <c r="D210" s="546">
        <v>44561.0</v>
      </c>
      <c r="J210" s="405"/>
      <c r="N210" s="83"/>
      <c r="O210" s="544"/>
      <c r="R210" s="83"/>
    </row>
    <row r="211">
      <c r="A211" s="523" t="str">
        <f t="shared" si="24"/>
        <v/>
      </c>
      <c r="B211" s="524" t="str">
        <f t="shared" si="25"/>
        <v/>
      </c>
      <c r="C211" s="632"/>
      <c r="D211" s="546">
        <v>44561.0</v>
      </c>
      <c r="J211" s="405"/>
      <c r="N211" s="83"/>
      <c r="O211" s="544"/>
      <c r="R211" s="83"/>
    </row>
    <row r="212">
      <c r="A212" s="523" t="str">
        <f t="shared" si="24"/>
        <v/>
      </c>
      <c r="B212" s="524" t="str">
        <f t="shared" si="25"/>
        <v/>
      </c>
      <c r="C212" s="632"/>
      <c r="D212" s="546">
        <v>44561.0</v>
      </c>
      <c r="J212" s="405"/>
      <c r="N212" s="83"/>
      <c r="O212" s="544"/>
      <c r="R212" s="83"/>
    </row>
    <row r="213">
      <c r="A213" s="523" t="str">
        <f t="shared" si="24"/>
        <v/>
      </c>
      <c r="B213" s="524" t="str">
        <f t="shared" si="25"/>
        <v/>
      </c>
      <c r="C213" s="632"/>
      <c r="D213" s="546">
        <v>44561.0</v>
      </c>
      <c r="J213" s="405"/>
      <c r="N213" s="83"/>
      <c r="O213" s="544"/>
      <c r="R213" s="83"/>
    </row>
    <row r="214">
      <c r="A214" s="523" t="str">
        <f t="shared" si="24"/>
        <v/>
      </c>
      <c r="B214" s="524" t="str">
        <f t="shared" si="25"/>
        <v/>
      </c>
      <c r="C214" s="632"/>
      <c r="D214" s="546">
        <v>44561.0</v>
      </c>
      <c r="J214" s="405"/>
      <c r="N214" s="83"/>
      <c r="O214" s="544"/>
      <c r="R214" s="83"/>
    </row>
    <row r="215">
      <c r="A215" s="523" t="str">
        <f t="shared" si="24"/>
        <v/>
      </c>
      <c r="B215" s="524" t="str">
        <f t="shared" si="25"/>
        <v/>
      </c>
      <c r="C215" s="632"/>
      <c r="D215" s="546">
        <v>44561.0</v>
      </c>
      <c r="J215" s="405"/>
      <c r="N215" s="83"/>
      <c r="O215" s="544"/>
      <c r="R215" s="83"/>
    </row>
    <row r="216">
      <c r="A216" s="523" t="str">
        <f t="shared" si="24"/>
        <v/>
      </c>
      <c r="B216" s="524" t="str">
        <f t="shared" si="25"/>
        <v/>
      </c>
      <c r="C216" s="632"/>
      <c r="D216" s="546">
        <v>44561.0</v>
      </c>
      <c r="J216" s="405"/>
      <c r="N216" s="83"/>
      <c r="O216" s="544"/>
      <c r="R216" s="83"/>
    </row>
    <row r="217">
      <c r="A217" s="523" t="str">
        <f t="shared" si="24"/>
        <v/>
      </c>
      <c r="B217" s="524" t="str">
        <f t="shared" si="25"/>
        <v/>
      </c>
      <c r="C217" s="632"/>
      <c r="D217" s="546">
        <v>44561.0</v>
      </c>
      <c r="J217" s="405"/>
      <c r="N217" s="83"/>
      <c r="O217" s="544"/>
      <c r="R217" s="83"/>
    </row>
    <row r="218">
      <c r="A218" s="523" t="str">
        <f t="shared" si="24"/>
        <v/>
      </c>
      <c r="B218" s="524" t="str">
        <f t="shared" si="25"/>
        <v/>
      </c>
      <c r="C218" s="632"/>
      <c r="D218" s="546">
        <v>44561.0</v>
      </c>
      <c r="J218" s="405"/>
      <c r="N218" s="83"/>
      <c r="O218" s="544"/>
      <c r="R218" s="83"/>
    </row>
    <row r="219">
      <c r="A219" s="523" t="str">
        <f t="shared" si="24"/>
        <v/>
      </c>
      <c r="B219" s="524" t="str">
        <f t="shared" si="25"/>
        <v/>
      </c>
      <c r="C219" s="632"/>
      <c r="D219" s="546">
        <v>44561.0</v>
      </c>
      <c r="J219" s="405"/>
      <c r="N219" s="83"/>
      <c r="O219" s="544"/>
      <c r="R219" s="83"/>
    </row>
    <row r="220">
      <c r="A220" s="523" t="str">
        <f t="shared" si="24"/>
        <v/>
      </c>
      <c r="B220" s="524" t="str">
        <f t="shared" si="25"/>
        <v/>
      </c>
      <c r="C220" s="632"/>
      <c r="D220" s="546">
        <v>44561.0</v>
      </c>
      <c r="J220" s="405"/>
      <c r="N220" s="83"/>
      <c r="O220" s="544"/>
      <c r="R220" s="83"/>
    </row>
    <row r="221">
      <c r="A221" s="523" t="str">
        <f t="shared" si="24"/>
        <v/>
      </c>
      <c r="B221" s="524" t="str">
        <f t="shared" si="25"/>
        <v/>
      </c>
      <c r="C221" s="632"/>
      <c r="D221" s="546">
        <v>44561.0</v>
      </c>
      <c r="J221" s="405"/>
      <c r="N221" s="83"/>
      <c r="O221" s="544"/>
      <c r="R221" s="83"/>
    </row>
    <row r="222">
      <c r="A222" s="523" t="str">
        <f t="shared" si="24"/>
        <v/>
      </c>
      <c r="B222" s="524" t="str">
        <f t="shared" si="25"/>
        <v/>
      </c>
      <c r="C222" s="632"/>
      <c r="D222" s="546">
        <v>44561.0</v>
      </c>
      <c r="J222" s="405"/>
      <c r="N222" s="83"/>
      <c r="O222" s="544"/>
      <c r="R222" s="83"/>
    </row>
    <row r="223">
      <c r="A223" s="523" t="str">
        <f t="shared" si="24"/>
        <v/>
      </c>
      <c r="B223" s="524" t="str">
        <f t="shared" si="25"/>
        <v/>
      </c>
      <c r="C223" s="632"/>
      <c r="D223" s="546">
        <v>44561.0</v>
      </c>
      <c r="J223" s="405"/>
      <c r="N223" s="83"/>
      <c r="O223" s="544"/>
      <c r="R223" s="83"/>
    </row>
    <row r="224">
      <c r="A224" s="523" t="str">
        <f t="shared" si="24"/>
        <v/>
      </c>
      <c r="B224" s="524" t="str">
        <f t="shared" si="25"/>
        <v/>
      </c>
      <c r="C224" s="632"/>
      <c r="D224" s="546">
        <v>44561.0</v>
      </c>
      <c r="J224" s="405"/>
      <c r="N224" s="83"/>
      <c r="O224" s="544"/>
      <c r="R224" s="83"/>
    </row>
    <row r="225">
      <c r="A225" s="523" t="str">
        <f t="shared" si="24"/>
        <v/>
      </c>
      <c r="B225" s="524" t="str">
        <f t="shared" si="25"/>
        <v/>
      </c>
      <c r="C225" s="632"/>
      <c r="D225" s="546">
        <v>44561.0</v>
      </c>
      <c r="J225" s="405"/>
      <c r="N225" s="83"/>
      <c r="O225" s="544"/>
      <c r="R225" s="83"/>
    </row>
    <row r="226">
      <c r="A226" s="523" t="str">
        <f t="shared" si="24"/>
        <v/>
      </c>
      <c r="B226" s="524" t="str">
        <f t="shared" si="25"/>
        <v/>
      </c>
      <c r="C226" s="632"/>
      <c r="D226" s="546">
        <v>44561.0</v>
      </c>
      <c r="J226" s="405"/>
      <c r="N226" s="83"/>
      <c r="O226" s="544"/>
      <c r="R226" s="83"/>
    </row>
    <row r="227">
      <c r="A227" s="523" t="str">
        <f t="shared" si="24"/>
        <v/>
      </c>
      <c r="B227" s="524" t="str">
        <f t="shared" si="25"/>
        <v/>
      </c>
      <c r="C227" s="632"/>
      <c r="D227" s="546">
        <v>44561.0</v>
      </c>
      <c r="J227" s="405"/>
      <c r="N227" s="83"/>
      <c r="O227" s="544"/>
      <c r="R227" s="83"/>
    </row>
    <row r="228">
      <c r="A228" s="523" t="str">
        <f t="shared" si="24"/>
        <v/>
      </c>
      <c r="B228" s="524" t="str">
        <f t="shared" si="25"/>
        <v/>
      </c>
      <c r="C228" s="632"/>
      <c r="D228" s="546">
        <v>44561.0</v>
      </c>
      <c r="J228" s="405"/>
      <c r="N228" s="83"/>
      <c r="O228" s="544"/>
      <c r="R228" s="83"/>
    </row>
    <row r="229">
      <c r="A229" s="523" t="str">
        <f t="shared" si="24"/>
        <v/>
      </c>
      <c r="B229" s="524" t="str">
        <f t="shared" si="25"/>
        <v/>
      </c>
      <c r="C229" s="632"/>
      <c r="D229" s="546">
        <v>44561.0</v>
      </c>
      <c r="J229" s="405"/>
      <c r="N229" s="83"/>
      <c r="O229" s="544"/>
      <c r="R229" s="83"/>
    </row>
    <row r="230">
      <c r="A230" s="523" t="str">
        <f t="shared" si="24"/>
        <v/>
      </c>
      <c r="B230" s="524" t="str">
        <f t="shared" si="25"/>
        <v/>
      </c>
      <c r="C230" s="632"/>
      <c r="D230" s="546">
        <v>44561.0</v>
      </c>
      <c r="J230" s="405"/>
      <c r="N230" s="83"/>
      <c r="O230" s="544"/>
      <c r="R230" s="83"/>
    </row>
    <row r="231">
      <c r="A231" s="523" t="str">
        <f t="shared" si="24"/>
        <v/>
      </c>
      <c r="B231" s="524" t="str">
        <f t="shared" si="25"/>
        <v/>
      </c>
      <c r="C231" s="632"/>
      <c r="D231" s="546">
        <v>44561.0</v>
      </c>
      <c r="J231" s="405"/>
      <c r="N231" s="83"/>
      <c r="O231" s="544"/>
      <c r="R231" s="83"/>
    </row>
    <row r="232">
      <c r="A232" s="523" t="str">
        <f t="shared" si="24"/>
        <v/>
      </c>
      <c r="B232" s="524" t="str">
        <f t="shared" si="25"/>
        <v/>
      </c>
      <c r="C232" s="632"/>
      <c r="D232" s="546">
        <v>44561.0</v>
      </c>
      <c r="J232" s="405"/>
      <c r="N232" s="83"/>
      <c r="O232" s="544"/>
      <c r="R232" s="83"/>
    </row>
    <row r="233">
      <c r="A233" s="523" t="str">
        <f t="shared" si="24"/>
        <v/>
      </c>
      <c r="B233" s="524" t="str">
        <f t="shared" si="25"/>
        <v/>
      </c>
      <c r="C233" s="632"/>
      <c r="D233" s="546">
        <v>44561.0</v>
      </c>
      <c r="J233" s="405"/>
      <c r="N233" s="83"/>
      <c r="O233" s="544"/>
      <c r="R233" s="83"/>
    </row>
    <row r="234">
      <c r="A234" s="523" t="str">
        <f t="shared" si="24"/>
        <v/>
      </c>
      <c r="B234" s="524" t="str">
        <f t="shared" si="25"/>
        <v/>
      </c>
      <c r="C234" s="632"/>
      <c r="D234" s="546">
        <v>44561.0</v>
      </c>
      <c r="J234" s="405"/>
      <c r="N234" s="83"/>
      <c r="O234" s="544"/>
      <c r="R234" s="83"/>
    </row>
    <row r="235">
      <c r="A235" s="523" t="str">
        <f t="shared" si="24"/>
        <v/>
      </c>
      <c r="B235" s="524" t="str">
        <f t="shared" si="25"/>
        <v/>
      </c>
      <c r="C235" s="632"/>
      <c r="D235" s="546">
        <v>44561.0</v>
      </c>
      <c r="J235" s="405"/>
      <c r="N235" s="83"/>
      <c r="O235" s="544"/>
      <c r="R235" s="83"/>
    </row>
    <row r="236">
      <c r="A236" s="523" t="str">
        <f t="shared" si="24"/>
        <v/>
      </c>
      <c r="B236" s="524" t="str">
        <f t="shared" si="25"/>
        <v/>
      </c>
      <c r="C236" s="632"/>
      <c r="D236" s="546">
        <v>44561.0</v>
      </c>
      <c r="J236" s="405"/>
      <c r="N236" s="83"/>
      <c r="O236" s="544"/>
      <c r="R236" s="83"/>
    </row>
    <row r="237">
      <c r="A237" s="523" t="str">
        <f t="shared" si="24"/>
        <v/>
      </c>
      <c r="B237" s="524" t="str">
        <f t="shared" si="25"/>
        <v/>
      </c>
      <c r="C237" s="632"/>
      <c r="D237" s="546">
        <v>44561.0</v>
      </c>
      <c r="J237" s="405"/>
      <c r="N237" s="83"/>
      <c r="O237" s="544"/>
      <c r="R237" s="83"/>
    </row>
    <row r="238">
      <c r="A238" s="523" t="str">
        <f t="shared" si="24"/>
        <v/>
      </c>
      <c r="B238" s="524" t="str">
        <f t="shared" si="25"/>
        <v/>
      </c>
      <c r="C238" s="632"/>
      <c r="D238" s="546">
        <v>44561.0</v>
      </c>
      <c r="J238" s="405"/>
      <c r="N238" s="83"/>
      <c r="O238" s="544"/>
      <c r="R238" s="83"/>
    </row>
    <row r="239">
      <c r="A239" s="523" t="str">
        <f t="shared" si="24"/>
        <v/>
      </c>
      <c r="B239" s="524" t="str">
        <f t="shared" si="25"/>
        <v/>
      </c>
      <c r="C239" s="632"/>
      <c r="D239" s="546">
        <v>44561.0</v>
      </c>
      <c r="J239" s="405"/>
      <c r="N239" s="83"/>
      <c r="O239" s="544"/>
      <c r="R239" s="83"/>
    </row>
    <row r="240">
      <c r="A240" s="523" t="str">
        <f t="shared" si="24"/>
        <v/>
      </c>
      <c r="B240" s="524" t="str">
        <f t="shared" si="25"/>
        <v/>
      </c>
      <c r="C240" s="632"/>
      <c r="D240" s="546">
        <v>44561.0</v>
      </c>
      <c r="J240" s="405"/>
      <c r="N240" s="83"/>
      <c r="O240" s="544"/>
      <c r="R240" s="83"/>
    </row>
    <row r="241">
      <c r="A241" s="523" t="str">
        <f t="shared" si="24"/>
        <v/>
      </c>
      <c r="B241" s="524" t="str">
        <f t="shared" si="25"/>
        <v/>
      </c>
      <c r="C241" s="632"/>
      <c r="D241" s="546">
        <v>44561.0</v>
      </c>
      <c r="J241" s="405"/>
      <c r="N241" s="83"/>
      <c r="O241" s="544"/>
      <c r="R241" s="83"/>
    </row>
    <row r="242">
      <c r="A242" s="523" t="str">
        <f t="shared" si="24"/>
        <v/>
      </c>
      <c r="B242" s="524" t="str">
        <f t="shared" si="25"/>
        <v/>
      </c>
      <c r="C242" s="632"/>
      <c r="D242" s="546">
        <v>44561.0</v>
      </c>
      <c r="J242" s="405"/>
      <c r="N242" s="83"/>
      <c r="O242" s="544"/>
      <c r="R242" s="83"/>
    </row>
    <row r="243">
      <c r="A243" s="523" t="str">
        <f t="shared" si="24"/>
        <v/>
      </c>
      <c r="B243" s="524" t="str">
        <f t="shared" si="25"/>
        <v/>
      </c>
      <c r="C243" s="632"/>
      <c r="D243" s="546">
        <v>44561.0</v>
      </c>
      <c r="J243" s="405"/>
      <c r="N243" s="83"/>
      <c r="O243" s="544"/>
      <c r="R243" s="83"/>
    </row>
    <row r="244">
      <c r="A244" s="523" t="str">
        <f t="shared" si="24"/>
        <v/>
      </c>
      <c r="B244" s="524" t="str">
        <f t="shared" si="25"/>
        <v/>
      </c>
      <c r="C244" s="632"/>
      <c r="D244" s="546">
        <v>44561.0</v>
      </c>
      <c r="J244" s="405"/>
      <c r="N244" s="83"/>
      <c r="O244" s="544"/>
      <c r="R244" s="83"/>
    </row>
    <row r="245">
      <c r="A245" s="523" t="str">
        <f t="shared" si="24"/>
        <v/>
      </c>
      <c r="B245" s="524" t="str">
        <f t="shared" si="25"/>
        <v/>
      </c>
      <c r="C245" s="632"/>
      <c r="D245" s="546">
        <v>44561.0</v>
      </c>
      <c r="J245" s="405"/>
      <c r="N245" s="83"/>
      <c r="O245" s="544"/>
      <c r="R245" s="83"/>
    </row>
    <row r="246">
      <c r="A246" s="523" t="str">
        <f t="shared" si="24"/>
        <v/>
      </c>
      <c r="B246" s="524" t="str">
        <f t="shared" si="25"/>
        <v/>
      </c>
      <c r="C246" s="632"/>
      <c r="D246" s="546">
        <v>44561.0</v>
      </c>
      <c r="J246" s="405"/>
      <c r="N246" s="83"/>
      <c r="O246" s="544"/>
      <c r="R246" s="83"/>
    </row>
    <row r="247">
      <c r="A247" s="523" t="str">
        <f t="shared" si="24"/>
        <v/>
      </c>
      <c r="B247" s="524" t="str">
        <f t="shared" si="25"/>
        <v/>
      </c>
      <c r="C247" s="632"/>
      <c r="D247" s="546">
        <v>44561.0</v>
      </c>
      <c r="J247" s="405"/>
      <c r="N247" s="83"/>
      <c r="O247" s="544"/>
      <c r="R247" s="83"/>
    </row>
    <row r="248">
      <c r="A248" s="523" t="str">
        <f t="shared" si="24"/>
        <v/>
      </c>
      <c r="B248" s="524" t="str">
        <f t="shared" si="25"/>
        <v/>
      </c>
      <c r="C248" s="632"/>
      <c r="D248" s="546">
        <v>44561.0</v>
      </c>
      <c r="J248" s="405"/>
      <c r="N248" s="83"/>
      <c r="O248" s="544"/>
      <c r="R248" s="83"/>
    </row>
    <row r="249">
      <c r="A249" s="523" t="str">
        <f t="shared" si="24"/>
        <v/>
      </c>
      <c r="B249" s="524" t="str">
        <f t="shared" si="25"/>
        <v/>
      </c>
      <c r="C249" s="632"/>
      <c r="D249" s="546">
        <v>44561.0</v>
      </c>
      <c r="J249" s="405"/>
      <c r="N249" s="83"/>
      <c r="O249" s="544"/>
      <c r="R249" s="83"/>
    </row>
    <row r="250">
      <c r="A250" s="523" t="str">
        <f t="shared" si="24"/>
        <v/>
      </c>
      <c r="B250" s="524" t="str">
        <f t="shared" si="25"/>
        <v/>
      </c>
      <c r="C250" s="632"/>
      <c r="D250" s="546">
        <v>44561.0</v>
      </c>
      <c r="J250" s="405"/>
      <c r="N250" s="83"/>
      <c r="O250" s="544"/>
      <c r="R250" s="83"/>
    </row>
    <row r="251">
      <c r="A251" s="523" t="str">
        <f t="shared" si="24"/>
        <v/>
      </c>
      <c r="B251" s="524" t="str">
        <f t="shared" si="25"/>
        <v/>
      </c>
      <c r="C251" s="632"/>
      <c r="D251" s="546">
        <v>44561.0</v>
      </c>
      <c r="J251" s="405"/>
      <c r="N251" s="83"/>
      <c r="O251" s="544"/>
      <c r="R251" s="83"/>
    </row>
    <row r="252">
      <c r="A252" s="523" t="str">
        <f t="shared" si="24"/>
        <v/>
      </c>
      <c r="B252" s="524" t="str">
        <f t="shared" si="25"/>
        <v/>
      </c>
      <c r="C252" s="632"/>
      <c r="D252" s="546">
        <v>44561.0</v>
      </c>
      <c r="J252" s="405"/>
      <c r="N252" s="83"/>
      <c r="O252" s="544"/>
      <c r="R252" s="83"/>
    </row>
    <row r="253">
      <c r="A253" s="523" t="str">
        <f t="shared" si="24"/>
        <v/>
      </c>
      <c r="B253" s="524" t="str">
        <f t="shared" si="25"/>
        <v/>
      </c>
      <c r="C253" s="632"/>
      <c r="D253" s="546">
        <v>44561.0</v>
      </c>
      <c r="J253" s="405"/>
      <c r="N253" s="83"/>
      <c r="O253" s="544"/>
      <c r="R253" s="83"/>
    </row>
    <row r="254">
      <c r="A254" s="523" t="str">
        <f t="shared" si="24"/>
        <v/>
      </c>
      <c r="B254" s="524" t="str">
        <f t="shared" si="25"/>
        <v/>
      </c>
      <c r="C254" s="632"/>
      <c r="D254" s="546">
        <v>44561.0</v>
      </c>
      <c r="J254" s="405"/>
      <c r="N254" s="83"/>
      <c r="O254" s="544"/>
      <c r="R254" s="83"/>
    </row>
    <row r="255">
      <c r="A255" s="523" t="str">
        <f t="shared" si="24"/>
        <v/>
      </c>
      <c r="B255" s="524" t="str">
        <f t="shared" si="25"/>
        <v/>
      </c>
      <c r="C255" s="632"/>
      <c r="D255" s="546">
        <v>44561.0</v>
      </c>
      <c r="J255" s="405"/>
      <c r="N255" s="83"/>
      <c r="O255" s="544"/>
      <c r="R255" s="83"/>
    </row>
    <row r="256">
      <c r="A256" s="523" t="str">
        <f t="shared" si="24"/>
        <v/>
      </c>
      <c r="B256" s="524" t="str">
        <f t="shared" si="25"/>
        <v/>
      </c>
      <c r="C256" s="632"/>
      <c r="D256" s="546">
        <v>44561.0</v>
      </c>
      <c r="J256" s="405"/>
      <c r="N256" s="83"/>
      <c r="O256" s="544"/>
      <c r="R256" s="83"/>
    </row>
    <row r="257">
      <c r="A257" s="523" t="str">
        <f t="shared" si="24"/>
        <v/>
      </c>
      <c r="B257" s="524" t="str">
        <f t="shared" si="25"/>
        <v/>
      </c>
      <c r="C257" s="632"/>
      <c r="D257" s="546">
        <v>44561.0</v>
      </c>
      <c r="J257" s="405"/>
      <c r="N257" s="83"/>
      <c r="O257" s="544"/>
      <c r="R257" s="83"/>
    </row>
    <row r="258">
      <c r="A258" s="523" t="str">
        <f t="shared" si="24"/>
        <v/>
      </c>
      <c r="B258" s="524" t="str">
        <f t="shared" si="25"/>
        <v/>
      </c>
      <c r="C258" s="632"/>
      <c r="D258" s="546">
        <v>44561.0</v>
      </c>
      <c r="J258" s="405"/>
      <c r="N258" s="83"/>
      <c r="O258" s="544"/>
      <c r="R258" s="83"/>
    </row>
    <row r="259">
      <c r="A259" s="523" t="str">
        <f t="shared" si="24"/>
        <v/>
      </c>
      <c r="B259" s="524" t="str">
        <f t="shared" si="25"/>
        <v/>
      </c>
      <c r="C259" s="632"/>
      <c r="D259" s="546">
        <v>44561.0</v>
      </c>
      <c r="J259" s="405"/>
      <c r="N259" s="83"/>
      <c r="O259" s="544"/>
      <c r="R259" s="83"/>
    </row>
    <row r="260">
      <c r="A260" s="523" t="str">
        <f t="shared" si="24"/>
        <v/>
      </c>
      <c r="B260" s="524" t="str">
        <f t="shared" si="25"/>
        <v/>
      </c>
      <c r="C260" s="632"/>
      <c r="D260" s="546">
        <v>44561.0</v>
      </c>
      <c r="J260" s="405"/>
      <c r="N260" s="83"/>
      <c r="O260" s="544"/>
      <c r="R260" s="83"/>
    </row>
    <row r="261">
      <c r="A261" s="523" t="str">
        <f t="shared" si="24"/>
        <v/>
      </c>
      <c r="B261" s="524" t="str">
        <f t="shared" si="25"/>
        <v/>
      </c>
      <c r="C261" s="632"/>
      <c r="D261" s="546">
        <v>44561.0</v>
      </c>
      <c r="J261" s="405"/>
      <c r="N261" s="83"/>
      <c r="O261" s="544"/>
      <c r="R261" s="83"/>
    </row>
    <row r="262">
      <c r="A262" s="523" t="str">
        <f t="shared" si="24"/>
        <v/>
      </c>
      <c r="B262" s="524" t="str">
        <f t="shared" si="25"/>
        <v/>
      </c>
      <c r="C262" s="632"/>
      <c r="D262" s="546">
        <v>44561.0</v>
      </c>
      <c r="J262" s="405"/>
      <c r="N262" s="83"/>
      <c r="O262" s="544"/>
      <c r="R262" s="83"/>
    </row>
    <row r="263">
      <c r="A263" s="523" t="str">
        <f t="shared" si="24"/>
        <v/>
      </c>
      <c r="B263" s="524" t="str">
        <f t="shared" si="25"/>
        <v/>
      </c>
      <c r="C263" s="632"/>
      <c r="D263" s="546">
        <v>44561.0</v>
      </c>
      <c r="J263" s="405"/>
      <c r="N263" s="83"/>
      <c r="O263" s="544"/>
      <c r="R263" s="83"/>
    </row>
    <row r="264">
      <c r="A264" s="523" t="str">
        <f t="shared" si="24"/>
        <v/>
      </c>
      <c r="B264" s="524" t="str">
        <f t="shared" si="25"/>
        <v/>
      </c>
      <c r="C264" s="632"/>
      <c r="D264" s="546">
        <v>44561.0</v>
      </c>
      <c r="J264" s="405"/>
      <c r="N264" s="83"/>
      <c r="O264" s="544"/>
      <c r="R264" s="83"/>
    </row>
    <row r="265">
      <c r="A265" s="523" t="str">
        <f t="shared" si="24"/>
        <v/>
      </c>
      <c r="B265" s="524" t="str">
        <f t="shared" si="25"/>
        <v/>
      </c>
      <c r="C265" s="632"/>
      <c r="D265" s="546">
        <v>44561.0</v>
      </c>
      <c r="J265" s="405"/>
      <c r="N265" s="83"/>
      <c r="O265" s="544"/>
      <c r="R265" s="83"/>
    </row>
    <row r="266">
      <c r="A266" s="523" t="str">
        <f t="shared" si="24"/>
        <v/>
      </c>
      <c r="B266" s="524" t="str">
        <f t="shared" si="25"/>
        <v/>
      </c>
      <c r="C266" s="632"/>
      <c r="D266" s="546">
        <v>44561.0</v>
      </c>
      <c r="J266" s="405"/>
      <c r="N266" s="83"/>
      <c r="O266" s="544"/>
      <c r="R266" s="83"/>
    </row>
    <row r="267">
      <c r="A267" s="523" t="str">
        <f t="shared" si="24"/>
        <v/>
      </c>
      <c r="B267" s="524" t="str">
        <f t="shared" si="25"/>
        <v/>
      </c>
      <c r="C267" s="632"/>
      <c r="D267" s="546">
        <v>44561.0</v>
      </c>
      <c r="J267" s="405"/>
      <c r="N267" s="83"/>
      <c r="O267" s="544"/>
      <c r="R267" s="83"/>
    </row>
    <row r="268">
      <c r="A268" s="523" t="str">
        <f t="shared" si="24"/>
        <v/>
      </c>
      <c r="B268" s="524" t="str">
        <f t="shared" si="25"/>
        <v/>
      </c>
      <c r="C268" s="632"/>
      <c r="D268" s="546">
        <v>44561.0</v>
      </c>
      <c r="J268" s="405"/>
      <c r="N268" s="83"/>
      <c r="O268" s="544"/>
      <c r="R268" s="83"/>
    </row>
    <row r="269">
      <c r="A269" s="523" t="str">
        <f t="shared" si="24"/>
        <v/>
      </c>
      <c r="B269" s="524" t="str">
        <f t="shared" si="25"/>
        <v/>
      </c>
      <c r="C269" s="632"/>
      <c r="D269" s="546">
        <v>44561.0</v>
      </c>
      <c r="J269" s="405"/>
      <c r="N269" s="83"/>
      <c r="O269" s="544"/>
      <c r="R269" s="83"/>
    </row>
    <row r="270">
      <c r="A270" s="523" t="str">
        <f t="shared" si="24"/>
        <v/>
      </c>
      <c r="B270" s="524" t="str">
        <f t="shared" si="25"/>
        <v/>
      </c>
      <c r="C270" s="632"/>
      <c r="D270" s="546">
        <v>44561.0</v>
      </c>
      <c r="J270" s="405"/>
      <c r="N270" s="83"/>
      <c r="O270" s="544"/>
      <c r="R270" s="83"/>
    </row>
    <row r="271">
      <c r="A271" s="523" t="str">
        <f t="shared" si="24"/>
        <v/>
      </c>
      <c r="B271" s="524" t="str">
        <f t="shared" si="25"/>
        <v/>
      </c>
      <c r="C271" s="632"/>
      <c r="D271" s="546">
        <v>44561.0</v>
      </c>
      <c r="J271" s="405"/>
      <c r="N271" s="83"/>
      <c r="O271" s="544"/>
      <c r="R271" s="83"/>
    </row>
    <row r="272">
      <c r="A272" s="523" t="str">
        <f t="shared" si="24"/>
        <v/>
      </c>
      <c r="B272" s="524" t="str">
        <f t="shared" si="25"/>
        <v/>
      </c>
      <c r="C272" s="632"/>
      <c r="D272" s="546">
        <v>44561.0</v>
      </c>
      <c r="J272" s="405"/>
      <c r="N272" s="83"/>
      <c r="O272" s="544"/>
      <c r="R272" s="83"/>
    </row>
    <row r="273">
      <c r="A273" s="523" t="str">
        <f t="shared" si="24"/>
        <v/>
      </c>
      <c r="B273" s="524" t="str">
        <f t="shared" si="25"/>
        <v/>
      </c>
      <c r="C273" s="632"/>
      <c r="D273" s="546">
        <v>44561.0</v>
      </c>
      <c r="J273" s="405"/>
      <c r="N273" s="83"/>
      <c r="O273" s="544"/>
      <c r="R273" s="83"/>
    </row>
    <row r="274">
      <c r="A274" s="523" t="str">
        <f t="shared" si="24"/>
        <v/>
      </c>
      <c r="B274" s="524" t="str">
        <f t="shared" si="25"/>
        <v/>
      </c>
      <c r="C274" s="632"/>
      <c r="D274" s="546">
        <v>44561.0</v>
      </c>
      <c r="J274" s="405"/>
      <c r="N274" s="83"/>
      <c r="O274" s="544"/>
      <c r="R274" s="83"/>
    </row>
    <row r="275">
      <c r="A275" s="523" t="str">
        <f t="shared" si="24"/>
        <v/>
      </c>
      <c r="B275" s="524" t="str">
        <f t="shared" si="25"/>
        <v/>
      </c>
      <c r="C275" s="632"/>
      <c r="D275" s="546">
        <v>44561.0</v>
      </c>
      <c r="J275" s="405"/>
      <c r="N275" s="83"/>
      <c r="O275" s="544"/>
      <c r="R275" s="83"/>
    </row>
    <row r="276">
      <c r="A276" s="523" t="str">
        <f t="shared" si="24"/>
        <v/>
      </c>
      <c r="B276" s="524" t="str">
        <f t="shared" si="25"/>
        <v/>
      </c>
      <c r="C276" s="632"/>
      <c r="D276" s="546">
        <v>44561.0</v>
      </c>
      <c r="J276" s="405"/>
      <c r="N276" s="83"/>
      <c r="O276" s="544"/>
      <c r="R276" s="83"/>
    </row>
    <row r="277">
      <c r="A277" s="523" t="str">
        <f t="shared" si="24"/>
        <v/>
      </c>
      <c r="B277" s="524" t="str">
        <f t="shared" si="25"/>
        <v/>
      </c>
      <c r="C277" s="632"/>
      <c r="D277" s="546">
        <v>44561.0</v>
      </c>
      <c r="J277" s="405"/>
      <c r="N277" s="83"/>
      <c r="O277" s="544"/>
      <c r="R277" s="83"/>
    </row>
    <row r="278">
      <c r="A278" s="523" t="str">
        <f t="shared" si="24"/>
        <v/>
      </c>
      <c r="B278" s="524" t="str">
        <f t="shared" si="25"/>
        <v/>
      </c>
      <c r="C278" s="632"/>
      <c r="D278" s="546">
        <v>44561.0</v>
      </c>
      <c r="J278" s="405"/>
      <c r="N278" s="83"/>
      <c r="O278" s="544"/>
      <c r="R278" s="83"/>
    </row>
    <row r="279">
      <c r="A279" s="523" t="str">
        <f t="shared" si="24"/>
        <v/>
      </c>
      <c r="B279" s="524" t="str">
        <f t="shared" si="25"/>
        <v/>
      </c>
      <c r="C279" s="632"/>
      <c r="D279" s="546">
        <v>44561.0</v>
      </c>
      <c r="J279" s="405"/>
      <c r="N279" s="83"/>
      <c r="O279" s="544"/>
      <c r="R279" s="83"/>
    </row>
    <row r="280">
      <c r="A280" s="523" t="str">
        <f t="shared" si="24"/>
        <v/>
      </c>
      <c r="B280" s="524" t="str">
        <f t="shared" si="25"/>
        <v/>
      </c>
      <c r="C280" s="632"/>
      <c r="D280" s="546">
        <v>44561.0</v>
      </c>
      <c r="J280" s="405"/>
      <c r="N280" s="83"/>
      <c r="O280" s="544"/>
      <c r="R280" s="83"/>
    </row>
    <row r="281">
      <c r="A281" s="523" t="str">
        <f t="shared" si="24"/>
        <v/>
      </c>
      <c r="B281" s="524" t="str">
        <f t="shared" si="25"/>
        <v/>
      </c>
      <c r="C281" s="632"/>
      <c r="D281" s="546">
        <v>44561.0</v>
      </c>
      <c r="J281" s="405"/>
      <c r="N281" s="83"/>
      <c r="O281" s="544"/>
      <c r="R281" s="83"/>
    </row>
    <row r="282">
      <c r="A282" s="523" t="str">
        <f t="shared" si="24"/>
        <v/>
      </c>
      <c r="B282" s="524" t="str">
        <f t="shared" si="25"/>
        <v/>
      </c>
      <c r="C282" s="632"/>
      <c r="D282" s="546">
        <v>44561.0</v>
      </c>
      <c r="J282" s="405"/>
      <c r="N282" s="83"/>
      <c r="O282" s="544"/>
      <c r="R282" s="83"/>
    </row>
    <row r="283">
      <c r="A283" s="523" t="str">
        <f t="shared" si="24"/>
        <v/>
      </c>
      <c r="B283" s="524" t="str">
        <f t="shared" si="25"/>
        <v/>
      </c>
      <c r="C283" s="632"/>
      <c r="D283" s="546">
        <v>44561.0</v>
      </c>
      <c r="J283" s="405"/>
      <c r="N283" s="83"/>
      <c r="O283" s="544"/>
      <c r="R283" s="83"/>
    </row>
    <row r="284">
      <c r="A284" s="523" t="str">
        <f t="shared" si="24"/>
        <v/>
      </c>
      <c r="B284" s="524" t="str">
        <f t="shared" si="25"/>
        <v/>
      </c>
      <c r="C284" s="632"/>
      <c r="D284" s="546">
        <v>44561.0</v>
      </c>
      <c r="J284" s="405"/>
      <c r="N284" s="83"/>
      <c r="O284" s="544"/>
      <c r="R284" s="83"/>
    </row>
    <row r="285">
      <c r="A285" s="523" t="str">
        <f t="shared" si="24"/>
        <v/>
      </c>
      <c r="B285" s="524" t="str">
        <f t="shared" si="25"/>
        <v/>
      </c>
      <c r="C285" s="632"/>
      <c r="D285" s="546">
        <v>44561.0</v>
      </c>
      <c r="J285" s="405"/>
      <c r="N285" s="83"/>
      <c r="O285" s="544"/>
      <c r="R285" s="83"/>
    </row>
    <row r="286">
      <c r="A286" s="523" t="str">
        <f t="shared" si="24"/>
        <v/>
      </c>
      <c r="B286" s="524" t="str">
        <f t="shared" si="25"/>
        <v/>
      </c>
      <c r="C286" s="632"/>
      <c r="D286" s="546">
        <v>44561.0</v>
      </c>
      <c r="J286" s="405"/>
      <c r="N286" s="83"/>
      <c r="O286" s="544"/>
      <c r="R286" s="83"/>
    </row>
    <row r="287">
      <c r="A287" s="523" t="str">
        <f t="shared" si="24"/>
        <v/>
      </c>
      <c r="B287" s="524" t="str">
        <f t="shared" si="25"/>
        <v/>
      </c>
      <c r="C287" s="632"/>
      <c r="D287" s="546">
        <v>44561.0</v>
      </c>
      <c r="J287" s="405"/>
      <c r="N287" s="83"/>
      <c r="O287" s="544"/>
      <c r="R287" s="83"/>
    </row>
    <row r="288">
      <c r="A288" s="523" t="str">
        <f t="shared" si="24"/>
        <v/>
      </c>
      <c r="B288" s="524" t="str">
        <f t="shared" si="25"/>
        <v/>
      </c>
      <c r="C288" s="632"/>
      <c r="D288" s="546">
        <v>44561.0</v>
      </c>
      <c r="J288" s="405"/>
      <c r="N288" s="83"/>
      <c r="O288" s="544"/>
      <c r="R288" s="83"/>
    </row>
    <row r="289">
      <c r="A289" s="523" t="str">
        <f t="shared" si="24"/>
        <v/>
      </c>
      <c r="B289" s="524" t="str">
        <f t="shared" si="25"/>
        <v/>
      </c>
      <c r="C289" s="632"/>
      <c r="D289" s="546">
        <v>44561.0</v>
      </c>
      <c r="J289" s="405"/>
      <c r="N289" s="83"/>
      <c r="O289" s="544"/>
      <c r="R289" s="83"/>
    </row>
    <row r="290">
      <c r="A290" s="523" t="str">
        <f t="shared" si="24"/>
        <v/>
      </c>
      <c r="B290" s="524" t="str">
        <f t="shared" si="25"/>
        <v/>
      </c>
      <c r="C290" s="632"/>
      <c r="D290" s="546">
        <v>44561.0</v>
      </c>
      <c r="J290" s="405"/>
      <c r="N290" s="83"/>
      <c r="O290" s="544"/>
      <c r="R290" s="83"/>
    </row>
    <row r="291">
      <c r="A291" s="523" t="str">
        <f t="shared" si="24"/>
        <v/>
      </c>
      <c r="B291" s="524" t="str">
        <f t="shared" si="25"/>
        <v/>
      </c>
      <c r="C291" s="632"/>
      <c r="D291" s="546">
        <v>44561.0</v>
      </c>
      <c r="J291" s="405"/>
      <c r="N291" s="83"/>
      <c r="O291" s="544"/>
      <c r="R291" s="83"/>
    </row>
    <row r="292">
      <c r="A292" s="523" t="str">
        <f t="shared" si="24"/>
        <v/>
      </c>
      <c r="B292" s="524" t="str">
        <f t="shared" si="25"/>
        <v/>
      </c>
      <c r="C292" s="632"/>
      <c r="D292" s="546">
        <v>44561.0</v>
      </c>
      <c r="J292" s="405"/>
      <c r="N292" s="83"/>
      <c r="O292" s="544"/>
      <c r="R292" s="83"/>
    </row>
    <row r="293">
      <c r="A293" s="523" t="str">
        <f t="shared" si="24"/>
        <v/>
      </c>
      <c r="B293" s="524" t="str">
        <f t="shared" si="25"/>
        <v/>
      </c>
      <c r="C293" s="632"/>
      <c r="D293" s="546">
        <v>44561.0</v>
      </c>
      <c r="J293" s="405"/>
      <c r="N293" s="83"/>
      <c r="O293" s="544"/>
      <c r="R293" s="83"/>
    </row>
    <row r="294">
      <c r="A294" s="523" t="str">
        <f t="shared" si="24"/>
        <v/>
      </c>
      <c r="B294" s="524" t="str">
        <f t="shared" si="25"/>
        <v/>
      </c>
      <c r="C294" s="632"/>
      <c r="D294" s="546">
        <v>44561.0</v>
      </c>
      <c r="J294" s="405"/>
      <c r="N294" s="83"/>
      <c r="O294" s="544"/>
      <c r="R294" s="83"/>
    </row>
    <row r="295">
      <c r="A295" s="523" t="str">
        <f t="shared" si="24"/>
        <v/>
      </c>
      <c r="B295" s="524" t="str">
        <f t="shared" si="25"/>
        <v/>
      </c>
      <c r="C295" s="632"/>
      <c r="D295" s="546">
        <v>44561.0</v>
      </c>
      <c r="J295" s="405"/>
      <c r="N295" s="83"/>
      <c r="O295" s="544"/>
      <c r="R295" s="83"/>
    </row>
    <row r="296">
      <c r="A296" s="523" t="str">
        <f t="shared" si="24"/>
        <v/>
      </c>
      <c r="B296" s="524" t="str">
        <f t="shared" si="25"/>
        <v/>
      </c>
      <c r="C296" s="632"/>
      <c r="D296" s="546">
        <v>44561.0</v>
      </c>
      <c r="J296" s="405"/>
      <c r="N296" s="83"/>
      <c r="O296" s="544"/>
      <c r="R296" s="83"/>
    </row>
    <row r="297">
      <c r="A297" s="523" t="str">
        <f t="shared" si="24"/>
        <v/>
      </c>
      <c r="B297" s="524" t="str">
        <f t="shared" si="25"/>
        <v/>
      </c>
      <c r="C297" s="632"/>
      <c r="D297" s="546">
        <v>44561.0</v>
      </c>
      <c r="J297" s="405"/>
      <c r="N297" s="83"/>
      <c r="O297" s="544"/>
      <c r="R297" s="83"/>
    </row>
    <row r="298">
      <c r="A298" s="523" t="str">
        <f t="shared" si="24"/>
        <v/>
      </c>
      <c r="B298" s="524" t="str">
        <f t="shared" si="25"/>
        <v/>
      </c>
      <c r="C298" s="632"/>
      <c r="D298" s="546">
        <v>44561.0</v>
      </c>
      <c r="J298" s="405"/>
      <c r="N298" s="83"/>
      <c r="O298" s="544"/>
      <c r="R298" s="83"/>
    </row>
    <row r="299">
      <c r="A299" s="523" t="str">
        <f t="shared" si="24"/>
        <v/>
      </c>
      <c r="B299" s="524" t="str">
        <f t="shared" si="25"/>
        <v/>
      </c>
      <c r="C299" s="632"/>
      <c r="D299" s="546">
        <v>44561.0</v>
      </c>
      <c r="J299" s="405"/>
      <c r="N299" s="83"/>
      <c r="O299" s="544"/>
      <c r="R299" s="83"/>
    </row>
    <row r="300">
      <c r="A300" s="523" t="str">
        <f t="shared" si="24"/>
        <v/>
      </c>
      <c r="B300" s="524" t="str">
        <f t="shared" si="25"/>
        <v/>
      </c>
      <c r="C300" s="632"/>
      <c r="D300" s="546">
        <v>44561.0</v>
      </c>
      <c r="J300" s="405"/>
      <c r="N300" s="83"/>
      <c r="O300" s="544"/>
      <c r="R300" s="83"/>
    </row>
    <row r="301">
      <c r="A301" s="523" t="str">
        <f t="shared" si="24"/>
        <v/>
      </c>
      <c r="B301" s="524" t="str">
        <f t="shared" si="25"/>
        <v/>
      </c>
      <c r="C301" s="632"/>
      <c r="D301" s="546">
        <v>44561.0</v>
      </c>
      <c r="J301" s="405"/>
      <c r="N301" s="83"/>
      <c r="O301" s="544"/>
      <c r="R301" s="83"/>
    </row>
    <row r="302">
      <c r="A302" s="523" t="str">
        <f t="shared" si="24"/>
        <v/>
      </c>
      <c r="B302" s="524" t="str">
        <f t="shared" si="25"/>
        <v/>
      </c>
      <c r="C302" s="632"/>
      <c r="D302" s="546">
        <v>44561.0</v>
      </c>
      <c r="J302" s="405"/>
      <c r="N302" s="83"/>
      <c r="O302" s="544"/>
      <c r="R302" s="83"/>
    </row>
    <row r="303">
      <c r="A303" s="523" t="str">
        <f t="shared" si="24"/>
        <v/>
      </c>
      <c r="B303" s="524" t="str">
        <f t="shared" si="25"/>
        <v/>
      </c>
      <c r="C303" s="632"/>
      <c r="D303" s="546">
        <v>44561.0</v>
      </c>
      <c r="J303" s="405"/>
      <c r="N303" s="83"/>
      <c r="O303" s="544"/>
      <c r="R303" s="83"/>
    </row>
    <row r="304">
      <c r="A304" s="523" t="str">
        <f t="shared" si="24"/>
        <v/>
      </c>
      <c r="B304" s="524" t="str">
        <f t="shared" si="25"/>
        <v/>
      </c>
      <c r="C304" s="632"/>
      <c r="D304" s="546">
        <v>44561.0</v>
      </c>
      <c r="J304" s="405"/>
      <c r="N304" s="83"/>
      <c r="O304" s="544"/>
      <c r="R304" s="83"/>
    </row>
    <row r="305">
      <c r="A305" s="523" t="str">
        <f t="shared" si="24"/>
        <v/>
      </c>
      <c r="B305" s="524" t="str">
        <f t="shared" si="25"/>
        <v/>
      </c>
      <c r="C305" s="632"/>
      <c r="D305" s="546">
        <v>44561.0</v>
      </c>
      <c r="J305" s="405"/>
      <c r="N305" s="83"/>
      <c r="O305" s="544"/>
      <c r="R305" s="83"/>
    </row>
    <row r="306">
      <c r="A306" s="523" t="str">
        <f t="shared" si="24"/>
        <v/>
      </c>
      <c r="B306" s="524" t="str">
        <f t="shared" si="25"/>
        <v/>
      </c>
      <c r="C306" s="632"/>
      <c r="D306" s="546">
        <v>44561.0</v>
      </c>
      <c r="J306" s="405"/>
      <c r="N306" s="83"/>
      <c r="O306" s="544"/>
      <c r="R306" s="83"/>
    </row>
    <row r="307">
      <c r="A307" s="523" t="str">
        <f t="shared" si="24"/>
        <v/>
      </c>
      <c r="B307" s="524" t="str">
        <f t="shared" si="25"/>
        <v/>
      </c>
      <c r="C307" s="632"/>
      <c r="D307" s="546">
        <v>44561.0</v>
      </c>
      <c r="J307" s="405"/>
      <c r="N307" s="83"/>
      <c r="O307" s="544"/>
      <c r="R307" s="83"/>
    </row>
    <row r="308">
      <c r="A308" s="523" t="str">
        <f t="shared" si="24"/>
        <v/>
      </c>
      <c r="B308" s="524" t="str">
        <f t="shared" si="25"/>
        <v/>
      </c>
      <c r="C308" s="632"/>
      <c r="D308" s="546">
        <v>44561.0</v>
      </c>
      <c r="J308" s="405"/>
      <c r="N308" s="83"/>
      <c r="O308" s="544"/>
      <c r="R308" s="83"/>
    </row>
    <row r="309">
      <c r="A309" s="523" t="str">
        <f t="shared" si="24"/>
        <v/>
      </c>
      <c r="B309" s="524" t="str">
        <f t="shared" si="25"/>
        <v/>
      </c>
      <c r="C309" s="632"/>
      <c r="D309" s="546">
        <v>44561.0</v>
      </c>
      <c r="J309" s="405"/>
      <c r="N309" s="83"/>
      <c r="O309" s="544"/>
      <c r="R309" s="83"/>
    </row>
    <row r="310">
      <c r="A310" s="523" t="str">
        <f t="shared" si="24"/>
        <v/>
      </c>
      <c r="B310" s="524" t="str">
        <f t="shared" si="25"/>
        <v/>
      </c>
      <c r="C310" s="632"/>
      <c r="D310" s="546">
        <v>44561.0</v>
      </c>
      <c r="J310" s="405"/>
      <c r="N310" s="83"/>
      <c r="O310" s="544"/>
      <c r="R310" s="83"/>
    </row>
    <row r="311">
      <c r="A311" s="523" t="str">
        <f t="shared" si="24"/>
        <v/>
      </c>
      <c r="B311" s="524" t="str">
        <f t="shared" si="25"/>
        <v/>
      </c>
      <c r="C311" s="632"/>
      <c r="D311" s="546">
        <v>44561.0</v>
      </c>
      <c r="J311" s="405"/>
      <c r="N311" s="83"/>
      <c r="O311" s="544"/>
      <c r="R311" s="83"/>
    </row>
    <row r="312">
      <c r="A312" s="523" t="str">
        <f t="shared" si="24"/>
        <v/>
      </c>
      <c r="B312" s="524" t="str">
        <f t="shared" si="25"/>
        <v/>
      </c>
      <c r="C312" s="632"/>
      <c r="D312" s="546">
        <v>44561.0</v>
      </c>
      <c r="J312" s="405"/>
      <c r="N312" s="83"/>
      <c r="O312" s="544"/>
      <c r="R312" s="83"/>
    </row>
    <row r="313">
      <c r="A313" s="523" t="str">
        <f t="shared" si="24"/>
        <v/>
      </c>
      <c r="B313" s="524" t="str">
        <f t="shared" si="25"/>
        <v/>
      </c>
      <c r="C313" s="632"/>
      <c r="D313" s="546">
        <v>44561.0</v>
      </c>
      <c r="J313" s="405"/>
      <c r="N313" s="83"/>
      <c r="O313" s="544"/>
      <c r="R313" s="83"/>
    </row>
    <row r="314">
      <c r="A314" s="523" t="str">
        <f t="shared" si="24"/>
        <v/>
      </c>
      <c r="B314" s="524" t="str">
        <f t="shared" si="25"/>
        <v/>
      </c>
      <c r="C314" s="632"/>
      <c r="D314" s="546">
        <v>44561.0</v>
      </c>
      <c r="J314" s="405"/>
      <c r="N314" s="83"/>
      <c r="O314" s="544"/>
      <c r="R314" s="83"/>
    </row>
    <row r="315">
      <c r="A315" s="523" t="str">
        <f t="shared" si="24"/>
        <v/>
      </c>
      <c r="B315" s="524" t="str">
        <f t="shared" si="25"/>
        <v/>
      </c>
      <c r="C315" s="632"/>
      <c r="D315" s="546">
        <v>44561.0</v>
      </c>
      <c r="J315" s="405"/>
      <c r="N315" s="83"/>
      <c r="O315" s="544"/>
      <c r="R315" s="83"/>
    </row>
    <row r="316">
      <c r="A316" s="523" t="str">
        <f t="shared" si="24"/>
        <v/>
      </c>
      <c r="B316" s="524" t="str">
        <f t="shared" si="25"/>
        <v/>
      </c>
      <c r="C316" s="632"/>
      <c r="D316" s="546">
        <v>44561.0</v>
      </c>
      <c r="J316" s="405"/>
      <c r="N316" s="83"/>
      <c r="O316" s="544"/>
      <c r="R316" s="83"/>
    </row>
    <row r="317">
      <c r="A317" s="523" t="str">
        <f t="shared" si="24"/>
        <v/>
      </c>
      <c r="B317" s="524" t="str">
        <f t="shared" si="25"/>
        <v/>
      </c>
      <c r="C317" s="632"/>
      <c r="D317" s="546">
        <v>44561.0</v>
      </c>
      <c r="J317" s="405"/>
      <c r="N317" s="83"/>
      <c r="O317" s="544"/>
      <c r="R317" s="83"/>
    </row>
    <row r="318">
      <c r="A318" s="523" t="str">
        <f t="shared" si="24"/>
        <v/>
      </c>
      <c r="B318" s="524" t="str">
        <f t="shared" si="25"/>
        <v/>
      </c>
      <c r="C318" s="632"/>
      <c r="D318" s="546">
        <v>44561.0</v>
      </c>
      <c r="J318" s="405"/>
      <c r="N318" s="83"/>
      <c r="O318" s="544"/>
      <c r="R318" s="83"/>
    </row>
    <row r="319">
      <c r="A319" s="523" t="str">
        <f t="shared" si="24"/>
        <v/>
      </c>
      <c r="B319" s="524" t="str">
        <f t="shared" si="25"/>
        <v/>
      </c>
      <c r="C319" s="632"/>
      <c r="D319" s="546">
        <v>44561.0</v>
      </c>
      <c r="J319" s="405"/>
      <c r="N319" s="83"/>
      <c r="O319" s="544"/>
      <c r="R319" s="83"/>
    </row>
    <row r="320">
      <c r="A320" s="523" t="str">
        <f t="shared" si="24"/>
        <v/>
      </c>
      <c r="B320" s="524" t="str">
        <f t="shared" si="25"/>
        <v/>
      </c>
      <c r="C320" s="632"/>
      <c r="D320" s="546">
        <v>44561.0</v>
      </c>
      <c r="J320" s="405"/>
      <c r="N320" s="83"/>
      <c r="O320" s="544"/>
      <c r="R320" s="83"/>
    </row>
    <row r="321">
      <c r="A321" s="523" t="str">
        <f t="shared" si="24"/>
        <v/>
      </c>
      <c r="B321" s="524" t="str">
        <f t="shared" si="25"/>
        <v/>
      </c>
      <c r="C321" s="632"/>
      <c r="D321" s="546">
        <v>44561.0</v>
      </c>
      <c r="J321" s="405"/>
      <c r="N321" s="83"/>
      <c r="O321" s="544"/>
      <c r="R321" s="83"/>
    </row>
    <row r="322">
      <c r="A322" s="523" t="str">
        <f t="shared" si="24"/>
        <v/>
      </c>
      <c r="B322" s="524" t="str">
        <f t="shared" si="25"/>
        <v/>
      </c>
      <c r="C322" s="632"/>
      <c r="D322" s="546">
        <v>44561.0</v>
      </c>
      <c r="J322" s="405"/>
      <c r="N322" s="83"/>
      <c r="O322" s="544"/>
      <c r="R322" s="83"/>
    </row>
    <row r="323">
      <c r="A323" s="523" t="str">
        <f t="shared" si="24"/>
        <v/>
      </c>
      <c r="B323" s="524" t="str">
        <f t="shared" si="25"/>
        <v/>
      </c>
      <c r="C323" s="632"/>
      <c r="D323" s="546">
        <v>44561.0</v>
      </c>
      <c r="J323" s="405"/>
      <c r="N323" s="83"/>
      <c r="O323" s="544"/>
      <c r="R323" s="83"/>
    </row>
    <row r="324">
      <c r="A324" s="523" t="str">
        <f t="shared" si="24"/>
        <v/>
      </c>
      <c r="B324" s="524" t="str">
        <f t="shared" si="25"/>
        <v/>
      </c>
      <c r="C324" s="632"/>
      <c r="D324" s="546">
        <v>44561.0</v>
      </c>
      <c r="J324" s="405"/>
      <c r="N324" s="83"/>
      <c r="O324" s="544"/>
      <c r="R324" s="83"/>
    </row>
    <row r="325">
      <c r="A325" s="523" t="str">
        <f t="shared" si="24"/>
        <v/>
      </c>
      <c r="B325" s="524" t="str">
        <f t="shared" si="25"/>
        <v/>
      </c>
      <c r="C325" s="632"/>
      <c r="D325" s="546">
        <v>44561.0</v>
      </c>
      <c r="J325" s="405"/>
      <c r="N325" s="83"/>
      <c r="O325" s="544"/>
      <c r="R325" s="83"/>
    </row>
    <row r="326">
      <c r="A326" s="523" t="str">
        <f t="shared" si="24"/>
        <v/>
      </c>
      <c r="B326" s="524" t="str">
        <f t="shared" si="25"/>
        <v/>
      </c>
      <c r="C326" s="632"/>
      <c r="D326" s="546">
        <v>44561.0</v>
      </c>
      <c r="J326" s="405"/>
      <c r="N326" s="83"/>
      <c r="O326" s="544"/>
      <c r="R326" s="83"/>
    </row>
    <row r="327">
      <c r="A327" s="523" t="str">
        <f t="shared" si="24"/>
        <v/>
      </c>
      <c r="B327" s="524" t="str">
        <f t="shared" si="25"/>
        <v/>
      </c>
      <c r="C327" s="632"/>
      <c r="D327" s="546">
        <v>44561.0</v>
      </c>
      <c r="J327" s="405"/>
      <c r="N327" s="83"/>
      <c r="O327" s="544"/>
      <c r="R327" s="83"/>
    </row>
    <row r="328">
      <c r="A328" s="523" t="str">
        <f t="shared" si="24"/>
        <v/>
      </c>
      <c r="B328" s="524" t="str">
        <f t="shared" si="25"/>
        <v/>
      </c>
      <c r="C328" s="632"/>
      <c r="D328" s="546">
        <v>44561.0</v>
      </c>
      <c r="J328" s="405"/>
      <c r="N328" s="83"/>
      <c r="O328" s="544"/>
      <c r="R328" s="83"/>
    </row>
    <row r="329">
      <c r="A329" s="523" t="str">
        <f t="shared" si="24"/>
        <v/>
      </c>
      <c r="B329" s="524" t="str">
        <f t="shared" si="25"/>
        <v/>
      </c>
      <c r="C329" s="632"/>
      <c r="D329" s="546">
        <v>44561.0</v>
      </c>
      <c r="J329" s="405"/>
      <c r="N329" s="83"/>
      <c r="O329" s="544"/>
      <c r="R329" s="83"/>
    </row>
    <row r="330">
      <c r="A330" s="523" t="str">
        <f t="shared" si="24"/>
        <v/>
      </c>
      <c r="B330" s="524" t="str">
        <f t="shared" si="25"/>
        <v/>
      </c>
      <c r="C330" s="632"/>
      <c r="D330" s="546">
        <v>44561.0</v>
      </c>
      <c r="J330" s="405"/>
      <c r="N330" s="83"/>
      <c r="O330" s="544"/>
      <c r="R330" s="83"/>
    </row>
    <row r="331">
      <c r="A331" s="523" t="str">
        <f t="shared" si="24"/>
        <v/>
      </c>
      <c r="B331" s="524" t="str">
        <f t="shared" si="25"/>
        <v/>
      </c>
      <c r="C331" s="632"/>
      <c r="D331" s="546">
        <v>44561.0</v>
      </c>
      <c r="J331" s="405"/>
      <c r="N331" s="83"/>
      <c r="O331" s="544"/>
      <c r="R331" s="83"/>
    </row>
    <row r="332">
      <c r="A332" s="523" t="str">
        <f t="shared" si="24"/>
        <v/>
      </c>
      <c r="B332" s="524" t="str">
        <f t="shared" si="25"/>
        <v/>
      </c>
      <c r="C332" s="632"/>
      <c r="D332" s="546">
        <v>44561.0</v>
      </c>
      <c r="J332" s="405"/>
      <c r="N332" s="83"/>
      <c r="O332" s="544"/>
      <c r="R332" s="83"/>
    </row>
    <row r="333">
      <c r="A333" s="523" t="str">
        <f t="shared" si="24"/>
        <v/>
      </c>
      <c r="B333" s="524" t="str">
        <f t="shared" si="25"/>
        <v/>
      </c>
      <c r="C333" s="632"/>
      <c r="D333" s="546">
        <v>44561.0</v>
      </c>
      <c r="J333" s="405"/>
      <c r="N333" s="83"/>
      <c r="O333" s="544"/>
      <c r="R333" s="83"/>
    </row>
    <row r="334">
      <c r="A334" s="523" t="str">
        <f t="shared" si="24"/>
        <v/>
      </c>
      <c r="B334" s="524" t="str">
        <f t="shared" si="25"/>
        <v/>
      </c>
      <c r="C334" s="632"/>
      <c r="D334" s="546">
        <v>44561.0</v>
      </c>
      <c r="J334" s="405"/>
      <c r="N334" s="83"/>
      <c r="O334" s="544"/>
      <c r="R334" s="83"/>
    </row>
    <row r="335">
      <c r="A335" s="523" t="str">
        <f t="shared" si="24"/>
        <v/>
      </c>
      <c r="B335" s="524" t="str">
        <f t="shared" si="25"/>
        <v/>
      </c>
      <c r="C335" s="632"/>
      <c r="D335" s="546">
        <v>44561.0</v>
      </c>
      <c r="J335" s="405"/>
      <c r="N335" s="83"/>
      <c r="O335" s="544"/>
      <c r="R335" s="83"/>
    </row>
    <row r="336">
      <c r="A336" s="523" t="str">
        <f t="shared" si="24"/>
        <v/>
      </c>
      <c r="B336" s="524" t="str">
        <f t="shared" si="25"/>
        <v/>
      </c>
      <c r="C336" s="632"/>
      <c r="D336" s="546">
        <v>44561.0</v>
      </c>
      <c r="J336" s="405"/>
      <c r="N336" s="83"/>
      <c r="O336" s="544"/>
      <c r="R336" s="83"/>
    </row>
    <row r="337">
      <c r="A337" s="523" t="str">
        <f t="shared" si="24"/>
        <v/>
      </c>
      <c r="B337" s="524" t="str">
        <f t="shared" si="25"/>
        <v/>
      </c>
      <c r="C337" s="632"/>
      <c r="D337" s="546">
        <v>44561.0</v>
      </c>
      <c r="J337" s="405"/>
      <c r="N337" s="83"/>
      <c r="O337" s="544"/>
      <c r="R337" s="83"/>
    </row>
    <row r="338">
      <c r="A338" s="523" t="str">
        <f t="shared" si="24"/>
        <v/>
      </c>
      <c r="B338" s="524" t="str">
        <f t="shared" si="25"/>
        <v/>
      </c>
      <c r="C338" s="632"/>
      <c r="D338" s="546">
        <v>44561.0</v>
      </c>
      <c r="J338" s="405"/>
      <c r="N338" s="83"/>
      <c r="O338" s="544"/>
      <c r="R338" s="83"/>
    </row>
    <row r="339">
      <c r="A339" s="523" t="str">
        <f t="shared" si="24"/>
        <v/>
      </c>
      <c r="B339" s="524" t="str">
        <f t="shared" si="25"/>
        <v/>
      </c>
      <c r="C339" s="632"/>
      <c r="D339" s="546">
        <v>44561.0</v>
      </c>
      <c r="J339" s="405"/>
      <c r="N339" s="83"/>
      <c r="O339" s="544"/>
      <c r="R339" s="83"/>
    </row>
    <row r="340">
      <c r="A340" s="523" t="str">
        <f t="shared" si="24"/>
        <v/>
      </c>
      <c r="B340" s="524" t="str">
        <f t="shared" si="25"/>
        <v/>
      </c>
      <c r="C340" s="632"/>
      <c r="D340" s="546">
        <v>44561.0</v>
      </c>
      <c r="J340" s="405"/>
      <c r="N340" s="83"/>
      <c r="O340" s="544"/>
      <c r="R340" s="83"/>
    </row>
    <row r="341">
      <c r="A341" s="523" t="str">
        <f t="shared" si="24"/>
        <v/>
      </c>
      <c r="B341" s="524" t="str">
        <f t="shared" si="25"/>
        <v/>
      </c>
      <c r="C341" s="632"/>
      <c r="D341" s="546">
        <v>44561.0</v>
      </c>
      <c r="J341" s="405"/>
      <c r="N341" s="83"/>
      <c r="O341" s="544"/>
      <c r="R341" s="83"/>
    </row>
    <row r="342">
      <c r="A342" s="523" t="str">
        <f t="shared" si="24"/>
        <v/>
      </c>
      <c r="B342" s="524" t="str">
        <f t="shared" si="25"/>
        <v/>
      </c>
      <c r="C342" s="632"/>
      <c r="D342" s="546">
        <v>44561.0</v>
      </c>
      <c r="J342" s="405"/>
      <c r="N342" s="83"/>
      <c r="O342" s="544"/>
      <c r="R342" s="83"/>
    </row>
    <row r="343">
      <c r="A343" s="523" t="str">
        <f t="shared" si="24"/>
        <v/>
      </c>
      <c r="B343" s="524" t="str">
        <f t="shared" si="25"/>
        <v/>
      </c>
      <c r="C343" s="632"/>
      <c r="D343" s="546">
        <v>44561.0</v>
      </c>
      <c r="J343" s="405"/>
      <c r="N343" s="83"/>
      <c r="O343" s="544"/>
      <c r="R343" s="83"/>
    </row>
    <row r="344">
      <c r="A344" s="523" t="str">
        <f t="shared" si="24"/>
        <v/>
      </c>
      <c r="B344" s="524" t="str">
        <f t="shared" si="25"/>
        <v/>
      </c>
      <c r="C344" s="632"/>
      <c r="D344" s="546">
        <v>44561.0</v>
      </c>
      <c r="J344" s="405"/>
      <c r="N344" s="83"/>
      <c r="O344" s="544"/>
      <c r="R344" s="83"/>
    </row>
    <row r="345">
      <c r="A345" s="523" t="str">
        <f t="shared" si="24"/>
        <v/>
      </c>
      <c r="B345" s="524" t="str">
        <f t="shared" si="25"/>
        <v/>
      </c>
      <c r="C345" s="632"/>
      <c r="D345" s="546">
        <v>44561.0</v>
      </c>
      <c r="J345" s="405"/>
      <c r="N345" s="83"/>
      <c r="O345" s="544"/>
      <c r="R345" s="83"/>
    </row>
    <row r="346">
      <c r="A346" s="523" t="str">
        <f t="shared" si="24"/>
        <v/>
      </c>
      <c r="B346" s="524" t="str">
        <f t="shared" si="25"/>
        <v/>
      </c>
      <c r="C346" s="632"/>
      <c r="D346" s="546">
        <v>44561.0</v>
      </c>
      <c r="J346" s="405"/>
      <c r="N346" s="83"/>
      <c r="O346" s="544"/>
      <c r="R346" s="83"/>
    </row>
    <row r="347">
      <c r="A347" s="523" t="str">
        <f t="shared" si="24"/>
        <v/>
      </c>
      <c r="B347" s="524" t="str">
        <f t="shared" si="25"/>
        <v/>
      </c>
      <c r="C347" s="632"/>
      <c r="D347" s="546">
        <v>44561.0</v>
      </c>
      <c r="J347" s="405"/>
      <c r="N347" s="83"/>
      <c r="O347" s="544"/>
      <c r="R347" s="83"/>
    </row>
    <row r="348">
      <c r="A348" s="523" t="str">
        <f t="shared" si="24"/>
        <v/>
      </c>
      <c r="B348" s="524" t="str">
        <f t="shared" si="25"/>
        <v/>
      </c>
      <c r="C348" s="632"/>
      <c r="D348" s="546">
        <v>44561.0</v>
      </c>
      <c r="J348" s="405"/>
      <c r="N348" s="83"/>
      <c r="O348" s="544"/>
      <c r="R348" s="83"/>
    </row>
    <row r="349">
      <c r="A349" s="523" t="str">
        <f t="shared" si="24"/>
        <v/>
      </c>
      <c r="B349" s="524" t="str">
        <f t="shared" si="25"/>
        <v/>
      </c>
      <c r="C349" s="632"/>
      <c r="D349" s="546">
        <v>44561.0</v>
      </c>
      <c r="J349" s="405"/>
      <c r="N349" s="83"/>
      <c r="O349" s="544"/>
      <c r="R349" s="83"/>
    </row>
    <row r="350">
      <c r="A350" s="523" t="str">
        <f t="shared" si="24"/>
        <v/>
      </c>
      <c r="B350" s="524" t="str">
        <f t="shared" si="25"/>
        <v/>
      </c>
      <c r="C350" s="632"/>
      <c r="D350" s="546">
        <v>44561.0</v>
      </c>
      <c r="J350" s="405"/>
      <c r="N350" s="83"/>
      <c r="O350" s="544"/>
      <c r="R350" s="83"/>
    </row>
    <row r="351">
      <c r="A351" s="523" t="str">
        <f t="shared" si="24"/>
        <v/>
      </c>
      <c r="B351" s="524" t="str">
        <f t="shared" si="25"/>
        <v/>
      </c>
      <c r="C351" s="632"/>
      <c r="D351" s="546">
        <v>44561.0</v>
      </c>
      <c r="J351" s="405"/>
      <c r="N351" s="83"/>
      <c r="O351" s="544"/>
      <c r="R351" s="83"/>
    </row>
    <row r="352">
      <c r="A352" s="523" t="str">
        <f t="shared" si="24"/>
        <v/>
      </c>
      <c r="B352" s="524" t="str">
        <f t="shared" si="25"/>
        <v/>
      </c>
      <c r="C352" s="632"/>
      <c r="D352" s="546">
        <v>44561.0</v>
      </c>
      <c r="J352" s="405"/>
      <c r="N352" s="83"/>
      <c r="O352" s="544"/>
      <c r="R352" s="83"/>
    </row>
    <row r="353">
      <c r="A353" s="523" t="str">
        <f t="shared" si="24"/>
        <v/>
      </c>
      <c r="B353" s="524" t="str">
        <f t="shared" si="25"/>
        <v/>
      </c>
      <c r="C353" s="632"/>
      <c r="D353" s="546">
        <v>44561.0</v>
      </c>
      <c r="J353" s="405"/>
      <c r="N353" s="83"/>
      <c r="O353" s="544"/>
      <c r="R353" s="83"/>
    </row>
    <row r="354">
      <c r="A354" s="523" t="str">
        <f t="shared" si="24"/>
        <v/>
      </c>
      <c r="B354" s="524" t="str">
        <f t="shared" si="25"/>
        <v/>
      </c>
      <c r="C354" s="632"/>
      <c r="D354" s="546">
        <v>44561.0</v>
      </c>
      <c r="J354" s="405"/>
      <c r="N354" s="83"/>
      <c r="O354" s="544"/>
      <c r="R354" s="83"/>
    </row>
    <row r="355">
      <c r="A355" s="523" t="str">
        <f t="shared" si="24"/>
        <v/>
      </c>
      <c r="B355" s="524" t="str">
        <f t="shared" si="25"/>
        <v/>
      </c>
      <c r="C355" s="632"/>
      <c r="D355" s="546">
        <v>44561.0</v>
      </c>
      <c r="J355" s="405"/>
      <c r="N355" s="83"/>
      <c r="O355" s="544"/>
      <c r="R355" s="83"/>
    </row>
    <row r="356">
      <c r="A356" s="523" t="str">
        <f t="shared" si="24"/>
        <v/>
      </c>
      <c r="B356" s="524" t="str">
        <f t="shared" si="25"/>
        <v/>
      </c>
      <c r="C356" s="632"/>
      <c r="D356" s="546">
        <v>44561.0</v>
      </c>
      <c r="J356" s="405"/>
      <c r="N356" s="83"/>
      <c r="O356" s="544"/>
      <c r="R356" s="83"/>
    </row>
    <row r="357">
      <c r="A357" s="523" t="str">
        <f t="shared" si="24"/>
        <v/>
      </c>
      <c r="B357" s="524" t="str">
        <f t="shared" si="25"/>
        <v/>
      </c>
      <c r="C357" s="632"/>
      <c r="D357" s="546">
        <v>44561.0</v>
      </c>
      <c r="J357" s="405"/>
      <c r="N357" s="83"/>
      <c r="O357" s="544"/>
      <c r="R357" s="83"/>
    </row>
    <row r="358">
      <c r="A358" s="523" t="str">
        <f t="shared" si="24"/>
        <v/>
      </c>
      <c r="B358" s="524" t="str">
        <f t="shared" si="25"/>
        <v/>
      </c>
      <c r="C358" s="632"/>
      <c r="D358" s="546">
        <v>44561.0</v>
      </c>
      <c r="J358" s="405"/>
      <c r="N358" s="83"/>
      <c r="O358" s="544"/>
      <c r="R358" s="83"/>
    </row>
    <row r="359">
      <c r="A359" s="523" t="str">
        <f t="shared" si="24"/>
        <v/>
      </c>
      <c r="B359" s="524" t="str">
        <f t="shared" si="25"/>
        <v/>
      </c>
      <c r="C359" s="632"/>
      <c r="D359" s="546">
        <v>44561.0</v>
      </c>
      <c r="J359" s="405"/>
      <c r="N359" s="83"/>
      <c r="O359" s="544"/>
      <c r="R359" s="83"/>
    </row>
    <row r="360">
      <c r="A360" s="523" t="str">
        <f t="shared" si="24"/>
        <v/>
      </c>
      <c r="B360" s="524" t="str">
        <f t="shared" si="25"/>
        <v/>
      </c>
      <c r="C360" s="632"/>
      <c r="D360" s="546">
        <v>44561.0</v>
      </c>
      <c r="J360" s="405"/>
      <c r="N360" s="83"/>
      <c r="O360" s="544"/>
      <c r="R360" s="83"/>
    </row>
    <row r="361">
      <c r="A361" s="523" t="str">
        <f t="shared" si="24"/>
        <v/>
      </c>
      <c r="B361" s="524" t="str">
        <f t="shared" si="25"/>
        <v/>
      </c>
      <c r="C361" s="632"/>
      <c r="D361" s="546">
        <v>44561.0</v>
      </c>
      <c r="J361" s="405"/>
      <c r="N361" s="83"/>
      <c r="O361" s="544"/>
      <c r="R361" s="83"/>
    </row>
    <row r="362">
      <c r="A362" s="523" t="str">
        <f t="shared" si="24"/>
        <v/>
      </c>
      <c r="B362" s="524" t="str">
        <f t="shared" si="25"/>
        <v/>
      </c>
      <c r="C362" s="632"/>
      <c r="D362" s="546">
        <v>44561.0</v>
      </c>
      <c r="J362" s="405"/>
      <c r="N362" s="83"/>
      <c r="O362" s="544"/>
      <c r="R362" s="83"/>
    </row>
    <row r="363">
      <c r="A363" s="523" t="str">
        <f t="shared" si="24"/>
        <v/>
      </c>
      <c r="B363" s="524" t="str">
        <f t="shared" si="25"/>
        <v/>
      </c>
      <c r="C363" s="632"/>
      <c r="D363" s="546">
        <v>44561.0</v>
      </c>
      <c r="J363" s="405"/>
      <c r="N363" s="83"/>
      <c r="O363" s="544"/>
      <c r="R363" s="83"/>
    </row>
    <row r="364">
      <c r="A364" s="523" t="str">
        <f t="shared" si="24"/>
        <v/>
      </c>
      <c r="B364" s="524" t="str">
        <f t="shared" si="25"/>
        <v/>
      </c>
      <c r="C364" s="632"/>
      <c r="D364" s="546">
        <v>44561.0</v>
      </c>
      <c r="J364" s="405"/>
      <c r="N364" s="83"/>
      <c r="O364" s="544"/>
      <c r="R364" s="83"/>
    </row>
    <row r="365">
      <c r="A365" s="523" t="str">
        <f t="shared" si="24"/>
        <v/>
      </c>
      <c r="B365" s="524" t="str">
        <f t="shared" si="25"/>
        <v/>
      </c>
      <c r="C365" s="632"/>
      <c r="D365" s="546">
        <v>44561.0</v>
      </c>
      <c r="J365" s="405"/>
      <c r="N365" s="83"/>
      <c r="O365" s="544"/>
      <c r="R365" s="83"/>
    </row>
    <row r="366">
      <c r="A366" s="523" t="str">
        <f t="shared" si="24"/>
        <v/>
      </c>
      <c r="B366" s="524" t="str">
        <f t="shared" si="25"/>
        <v/>
      </c>
      <c r="C366" s="632"/>
      <c r="D366" s="546">
        <v>44561.0</v>
      </c>
      <c r="J366" s="405"/>
      <c r="N366" s="83"/>
      <c r="O366" s="544"/>
      <c r="R366" s="83"/>
    </row>
    <row r="367">
      <c r="A367" s="523" t="str">
        <f t="shared" si="24"/>
        <v/>
      </c>
      <c r="B367" s="524" t="str">
        <f t="shared" si="25"/>
        <v/>
      </c>
      <c r="C367" s="632"/>
      <c r="D367" s="546">
        <v>44561.0</v>
      </c>
      <c r="J367" s="405"/>
      <c r="N367" s="83"/>
      <c r="O367" s="544"/>
      <c r="R367" s="83"/>
    </row>
    <row r="368">
      <c r="A368" s="523" t="str">
        <f t="shared" si="24"/>
        <v/>
      </c>
      <c r="B368" s="524" t="str">
        <f t="shared" si="25"/>
        <v/>
      </c>
      <c r="C368" s="632"/>
      <c r="D368" s="546">
        <v>44561.0</v>
      </c>
      <c r="J368" s="405"/>
      <c r="N368" s="83"/>
      <c r="O368" s="544"/>
      <c r="R368" s="83"/>
    </row>
    <row r="369">
      <c r="A369" s="523" t="str">
        <f t="shared" si="24"/>
        <v/>
      </c>
      <c r="B369" s="524" t="str">
        <f t="shared" si="25"/>
        <v/>
      </c>
      <c r="C369" s="632"/>
      <c r="D369" s="546">
        <v>44561.0</v>
      </c>
      <c r="J369" s="405"/>
      <c r="N369" s="83"/>
      <c r="O369" s="544"/>
      <c r="R369" s="83"/>
    </row>
    <row r="370">
      <c r="A370" s="523" t="str">
        <f t="shared" si="24"/>
        <v/>
      </c>
      <c r="B370" s="524" t="str">
        <f t="shared" si="25"/>
        <v/>
      </c>
      <c r="C370" s="632"/>
      <c r="D370" s="546">
        <v>44561.0</v>
      </c>
      <c r="J370" s="405"/>
      <c r="N370" s="83"/>
      <c r="O370" s="544"/>
      <c r="R370" s="83"/>
    </row>
    <row r="371">
      <c r="A371" s="523" t="str">
        <f t="shared" si="24"/>
        <v/>
      </c>
      <c r="B371" s="524" t="str">
        <f t="shared" si="25"/>
        <v/>
      </c>
      <c r="C371" s="632"/>
      <c r="D371" s="546">
        <v>44561.0</v>
      </c>
      <c r="J371" s="405"/>
      <c r="N371" s="83"/>
      <c r="O371" s="544"/>
      <c r="R371" s="83"/>
    </row>
    <row r="372">
      <c r="A372" s="523" t="str">
        <f t="shared" si="24"/>
        <v/>
      </c>
      <c r="B372" s="524" t="str">
        <f t="shared" si="25"/>
        <v/>
      </c>
      <c r="C372" s="632"/>
      <c r="D372" s="546">
        <v>44561.0</v>
      </c>
      <c r="J372" s="405"/>
      <c r="N372" s="83"/>
      <c r="O372" s="544"/>
      <c r="R372" s="83"/>
    </row>
    <row r="373">
      <c r="A373" s="523" t="str">
        <f t="shared" si="24"/>
        <v/>
      </c>
      <c r="B373" s="524" t="str">
        <f t="shared" si="25"/>
        <v/>
      </c>
      <c r="C373" s="632"/>
      <c r="D373" s="546">
        <v>44561.0</v>
      </c>
      <c r="J373" s="405"/>
      <c r="N373" s="83"/>
      <c r="O373" s="544"/>
      <c r="R373" s="83"/>
    </row>
    <row r="374">
      <c r="A374" s="523" t="str">
        <f t="shared" si="24"/>
        <v/>
      </c>
      <c r="B374" s="524" t="str">
        <f t="shared" si="25"/>
        <v/>
      </c>
      <c r="C374" s="632"/>
      <c r="D374" s="546">
        <v>44561.0</v>
      </c>
      <c r="J374" s="405"/>
      <c r="N374" s="83"/>
      <c r="O374" s="544"/>
      <c r="R374" s="83"/>
    </row>
    <row r="375">
      <c r="A375" s="523" t="str">
        <f t="shared" si="24"/>
        <v/>
      </c>
      <c r="B375" s="524" t="str">
        <f t="shared" si="25"/>
        <v/>
      </c>
      <c r="C375" s="632"/>
      <c r="D375" s="546">
        <v>44561.0</v>
      </c>
      <c r="J375" s="405"/>
      <c r="N375" s="83"/>
      <c r="O375" s="544"/>
      <c r="R375" s="83"/>
    </row>
    <row r="376">
      <c r="A376" s="523" t="str">
        <f t="shared" si="24"/>
        <v/>
      </c>
      <c r="B376" s="524" t="str">
        <f t="shared" si="25"/>
        <v/>
      </c>
      <c r="C376" s="632"/>
      <c r="D376" s="546">
        <v>44561.0</v>
      </c>
      <c r="J376" s="405"/>
      <c r="N376" s="83"/>
      <c r="O376" s="544"/>
      <c r="R376" s="83"/>
    </row>
    <row r="377">
      <c r="A377" s="523" t="str">
        <f t="shared" si="24"/>
        <v/>
      </c>
      <c r="B377" s="524" t="str">
        <f t="shared" si="25"/>
        <v/>
      </c>
      <c r="C377" s="632"/>
      <c r="D377" s="546">
        <v>44561.0</v>
      </c>
      <c r="J377" s="405"/>
      <c r="N377" s="83"/>
      <c r="O377" s="544"/>
      <c r="R377" s="83"/>
    </row>
    <row r="378">
      <c r="A378" s="523" t="str">
        <f t="shared" si="24"/>
        <v/>
      </c>
      <c r="B378" s="524" t="str">
        <f t="shared" si="25"/>
        <v/>
      </c>
      <c r="C378" s="632"/>
      <c r="D378" s="546">
        <v>44561.0</v>
      </c>
      <c r="J378" s="405"/>
      <c r="N378" s="83"/>
      <c r="O378" s="544"/>
      <c r="R378" s="83"/>
    </row>
    <row r="379">
      <c r="A379" s="523" t="str">
        <f t="shared" si="24"/>
        <v/>
      </c>
      <c r="B379" s="524" t="str">
        <f t="shared" si="25"/>
        <v/>
      </c>
      <c r="C379" s="632"/>
      <c r="D379" s="546">
        <v>44561.0</v>
      </c>
      <c r="J379" s="405"/>
      <c r="N379" s="83"/>
      <c r="O379" s="544"/>
      <c r="R379" s="83"/>
    </row>
    <row r="380">
      <c r="A380" s="523" t="str">
        <f t="shared" si="24"/>
        <v/>
      </c>
      <c r="B380" s="524" t="str">
        <f t="shared" si="25"/>
        <v/>
      </c>
      <c r="C380" s="632"/>
      <c r="D380" s="546">
        <v>44561.0</v>
      </c>
      <c r="J380" s="405"/>
      <c r="N380" s="83"/>
      <c r="O380" s="544"/>
      <c r="R380" s="83"/>
    </row>
    <row r="381">
      <c r="A381" s="523" t="str">
        <f t="shared" si="24"/>
        <v/>
      </c>
      <c r="B381" s="524" t="str">
        <f t="shared" si="25"/>
        <v/>
      </c>
      <c r="C381" s="632"/>
      <c r="D381" s="546">
        <v>44561.0</v>
      </c>
      <c r="J381" s="405"/>
      <c r="N381" s="83"/>
      <c r="O381" s="544"/>
      <c r="R381" s="83"/>
    </row>
    <row r="382">
      <c r="A382" s="523" t="str">
        <f t="shared" si="24"/>
        <v/>
      </c>
      <c r="B382" s="524" t="str">
        <f t="shared" si="25"/>
        <v/>
      </c>
      <c r="C382" s="632"/>
      <c r="D382" s="546">
        <v>44561.0</v>
      </c>
      <c r="J382" s="405"/>
      <c r="N382" s="83"/>
      <c r="O382" s="544"/>
      <c r="R382" s="83"/>
    </row>
    <row r="383">
      <c r="A383" s="523" t="str">
        <f t="shared" si="24"/>
        <v/>
      </c>
      <c r="B383" s="524" t="str">
        <f t="shared" si="25"/>
        <v/>
      </c>
      <c r="C383" s="632"/>
      <c r="D383" s="546">
        <v>44561.0</v>
      </c>
      <c r="J383" s="405"/>
      <c r="N383" s="83"/>
      <c r="O383" s="544"/>
      <c r="R383" s="83"/>
    </row>
    <row r="384">
      <c r="A384" s="523" t="str">
        <f t="shared" si="24"/>
        <v/>
      </c>
      <c r="B384" s="524" t="str">
        <f t="shared" si="25"/>
        <v/>
      </c>
      <c r="C384" s="632"/>
      <c r="D384" s="546">
        <v>44561.0</v>
      </c>
      <c r="J384" s="405"/>
      <c r="N384" s="83"/>
      <c r="O384" s="544"/>
      <c r="R384" s="83"/>
    </row>
    <row r="385">
      <c r="A385" s="523" t="str">
        <f t="shared" si="24"/>
        <v/>
      </c>
      <c r="B385" s="524" t="str">
        <f t="shared" si="25"/>
        <v/>
      </c>
      <c r="C385" s="632"/>
      <c r="D385" s="546">
        <v>44561.0</v>
      </c>
      <c r="J385" s="405"/>
      <c r="N385" s="83"/>
      <c r="O385" s="544"/>
      <c r="R385" s="83"/>
    </row>
    <row r="386">
      <c r="A386" s="523" t="str">
        <f t="shared" si="24"/>
        <v/>
      </c>
      <c r="B386" s="524" t="str">
        <f t="shared" si="25"/>
        <v/>
      </c>
      <c r="C386" s="632"/>
      <c r="D386" s="546">
        <v>44561.0</v>
      </c>
      <c r="J386" s="405"/>
      <c r="N386" s="83"/>
      <c r="O386" s="544"/>
      <c r="R386" s="83"/>
    </row>
    <row r="387">
      <c r="A387" s="523" t="str">
        <f t="shared" si="24"/>
        <v/>
      </c>
      <c r="B387" s="524" t="str">
        <f t="shared" si="25"/>
        <v/>
      </c>
      <c r="C387" s="632"/>
      <c r="D387" s="546">
        <v>44561.0</v>
      </c>
      <c r="J387" s="405"/>
      <c r="N387" s="83"/>
      <c r="O387" s="544"/>
      <c r="R387" s="83"/>
    </row>
    <row r="388">
      <c r="A388" s="523" t="str">
        <f t="shared" si="24"/>
        <v/>
      </c>
      <c r="B388" s="524" t="str">
        <f t="shared" si="25"/>
        <v/>
      </c>
      <c r="C388" s="632"/>
      <c r="D388" s="546">
        <v>44561.0</v>
      </c>
      <c r="J388" s="405"/>
      <c r="N388" s="83"/>
      <c r="O388" s="544"/>
      <c r="R388" s="83"/>
    </row>
    <row r="389">
      <c r="A389" s="523" t="str">
        <f t="shared" si="24"/>
        <v/>
      </c>
      <c r="B389" s="524" t="str">
        <f t="shared" si="25"/>
        <v/>
      </c>
      <c r="C389" s="632"/>
      <c r="D389" s="546">
        <v>44561.0</v>
      </c>
      <c r="J389" s="405"/>
      <c r="N389" s="83"/>
      <c r="O389" s="544"/>
      <c r="R389" s="83"/>
    </row>
    <row r="390">
      <c r="A390" s="523" t="str">
        <f t="shared" si="24"/>
        <v/>
      </c>
      <c r="B390" s="524" t="str">
        <f t="shared" si="25"/>
        <v/>
      </c>
      <c r="C390" s="632"/>
      <c r="D390" s="546">
        <v>44561.0</v>
      </c>
      <c r="J390" s="405"/>
      <c r="N390" s="83"/>
      <c r="O390" s="544"/>
      <c r="R390" s="83"/>
    </row>
    <row r="391">
      <c r="A391" s="523" t="str">
        <f t="shared" si="24"/>
        <v/>
      </c>
      <c r="B391" s="524" t="str">
        <f t="shared" si="25"/>
        <v/>
      </c>
      <c r="C391" s="632"/>
      <c r="D391" s="546">
        <v>44561.0</v>
      </c>
      <c r="J391" s="405"/>
      <c r="N391" s="83"/>
      <c r="O391" s="544"/>
      <c r="R391" s="83"/>
    </row>
    <row r="392">
      <c r="A392" s="523" t="str">
        <f t="shared" si="24"/>
        <v/>
      </c>
      <c r="B392" s="524" t="str">
        <f t="shared" si="25"/>
        <v/>
      </c>
      <c r="C392" s="632"/>
      <c r="D392" s="546">
        <v>44561.0</v>
      </c>
      <c r="J392" s="405"/>
      <c r="N392" s="83"/>
      <c r="O392" s="544"/>
      <c r="R392" s="83"/>
    </row>
    <row r="393">
      <c r="A393" s="523" t="str">
        <f t="shared" si="24"/>
        <v/>
      </c>
      <c r="B393" s="524" t="str">
        <f t="shared" si="25"/>
        <v/>
      </c>
      <c r="C393" s="632"/>
      <c r="D393" s="546">
        <v>44561.0</v>
      </c>
      <c r="J393" s="405"/>
      <c r="N393" s="83"/>
      <c r="O393" s="544"/>
      <c r="R393" s="83"/>
    </row>
    <row r="394">
      <c r="A394" s="523" t="str">
        <f t="shared" si="24"/>
        <v/>
      </c>
      <c r="B394" s="524" t="str">
        <f t="shared" si="25"/>
        <v/>
      </c>
      <c r="C394" s="632"/>
      <c r="D394" s="546">
        <v>44561.0</v>
      </c>
      <c r="J394" s="405"/>
      <c r="N394" s="83"/>
      <c r="O394" s="544"/>
      <c r="R394" s="83"/>
    </row>
    <row r="395">
      <c r="A395" s="523" t="str">
        <f t="shared" si="24"/>
        <v/>
      </c>
      <c r="B395" s="524" t="str">
        <f t="shared" si="25"/>
        <v/>
      </c>
      <c r="C395" s="632"/>
      <c r="D395" s="546">
        <v>44561.0</v>
      </c>
      <c r="J395" s="405"/>
      <c r="N395" s="83"/>
      <c r="O395" s="544"/>
      <c r="R395" s="83"/>
    </row>
    <row r="396">
      <c r="A396" s="523" t="str">
        <f t="shared" si="24"/>
        <v/>
      </c>
      <c r="B396" s="524" t="str">
        <f t="shared" si="25"/>
        <v/>
      </c>
      <c r="C396" s="632"/>
      <c r="D396" s="546">
        <v>44561.0</v>
      </c>
      <c r="J396" s="405"/>
      <c r="N396" s="83"/>
      <c r="O396" s="544"/>
      <c r="R396" s="83"/>
    </row>
    <row r="397">
      <c r="A397" s="523" t="str">
        <f t="shared" si="24"/>
        <v/>
      </c>
      <c r="B397" s="524" t="str">
        <f t="shared" si="25"/>
        <v/>
      </c>
      <c r="C397" s="632"/>
      <c r="D397" s="546">
        <v>44561.0</v>
      </c>
      <c r="J397" s="405"/>
      <c r="N397" s="83"/>
      <c r="O397" s="544"/>
      <c r="R397" s="83"/>
    </row>
    <row r="398">
      <c r="A398" s="523" t="str">
        <f t="shared" si="24"/>
        <v/>
      </c>
      <c r="B398" s="524" t="str">
        <f t="shared" si="25"/>
        <v/>
      </c>
      <c r="C398" s="632"/>
      <c r="D398" s="546">
        <v>44561.0</v>
      </c>
      <c r="J398" s="405"/>
      <c r="N398" s="83"/>
      <c r="O398" s="544"/>
      <c r="R398" s="83"/>
    </row>
    <row r="399">
      <c r="A399" s="523" t="str">
        <f t="shared" si="24"/>
        <v/>
      </c>
      <c r="B399" s="524" t="str">
        <f t="shared" si="25"/>
        <v/>
      </c>
      <c r="C399" s="632"/>
      <c r="D399" s="546">
        <v>44561.0</v>
      </c>
      <c r="J399" s="405"/>
      <c r="N399" s="83"/>
      <c r="O399" s="544"/>
      <c r="R399" s="83"/>
    </row>
    <row r="400">
      <c r="A400" s="523" t="str">
        <f t="shared" si="24"/>
        <v/>
      </c>
      <c r="B400" s="524" t="str">
        <f t="shared" si="25"/>
        <v/>
      </c>
      <c r="C400" s="632"/>
      <c r="D400" s="546">
        <v>44561.0</v>
      </c>
      <c r="J400" s="405"/>
      <c r="N400" s="83"/>
      <c r="O400" s="544"/>
      <c r="R400" s="83"/>
    </row>
    <row r="401">
      <c r="A401" s="523" t="str">
        <f t="shared" si="24"/>
        <v/>
      </c>
      <c r="B401" s="524" t="str">
        <f t="shared" si="25"/>
        <v/>
      </c>
      <c r="C401" s="632"/>
      <c r="D401" s="546">
        <v>44561.0</v>
      </c>
      <c r="J401" s="405"/>
      <c r="N401" s="83"/>
      <c r="O401" s="544"/>
      <c r="R401" s="83"/>
    </row>
    <row r="402">
      <c r="A402" s="523" t="str">
        <f t="shared" si="24"/>
        <v/>
      </c>
      <c r="B402" s="524" t="str">
        <f t="shared" si="25"/>
        <v/>
      </c>
      <c r="C402" s="632"/>
      <c r="D402" s="546">
        <v>44561.0</v>
      </c>
      <c r="J402" s="405"/>
      <c r="N402" s="83"/>
      <c r="O402" s="544"/>
      <c r="R402" s="83"/>
    </row>
    <row r="403">
      <c r="A403" s="523" t="str">
        <f t="shared" si="24"/>
        <v/>
      </c>
      <c r="B403" s="524" t="str">
        <f t="shared" si="25"/>
        <v/>
      </c>
      <c r="C403" s="632"/>
      <c r="D403" s="546">
        <v>44561.0</v>
      </c>
      <c r="J403" s="405"/>
      <c r="N403" s="83"/>
      <c r="O403" s="544"/>
      <c r="R403" s="83"/>
    </row>
    <row r="404">
      <c r="A404" s="523" t="str">
        <f t="shared" si="24"/>
        <v/>
      </c>
      <c r="B404" s="524" t="str">
        <f t="shared" si="25"/>
        <v/>
      </c>
      <c r="C404" s="632"/>
      <c r="D404" s="546">
        <v>44561.0</v>
      </c>
      <c r="J404" s="405"/>
      <c r="N404" s="83"/>
      <c r="O404" s="544"/>
      <c r="R404" s="83"/>
    </row>
    <row r="405">
      <c r="A405" s="523" t="str">
        <f t="shared" si="24"/>
        <v/>
      </c>
      <c r="B405" s="524" t="str">
        <f t="shared" si="25"/>
        <v/>
      </c>
      <c r="C405" s="632"/>
      <c r="D405" s="546">
        <v>44561.0</v>
      </c>
      <c r="J405" s="405"/>
      <c r="N405" s="83"/>
      <c r="O405" s="544"/>
      <c r="R405" s="83"/>
    </row>
    <row r="406">
      <c r="A406" s="523" t="str">
        <f t="shared" si="24"/>
        <v/>
      </c>
      <c r="B406" s="524" t="str">
        <f t="shared" si="25"/>
        <v/>
      </c>
      <c r="C406" s="632"/>
      <c r="D406" s="546">
        <v>44561.0</v>
      </c>
      <c r="J406" s="405"/>
      <c r="N406" s="83"/>
      <c r="O406" s="544"/>
      <c r="R406" s="83"/>
    </row>
    <row r="407">
      <c r="A407" s="523" t="str">
        <f t="shared" si="24"/>
        <v/>
      </c>
      <c r="B407" s="524" t="str">
        <f t="shared" si="25"/>
        <v/>
      </c>
      <c r="C407" s="632"/>
      <c r="D407" s="546">
        <v>44561.0</v>
      </c>
      <c r="J407" s="405"/>
      <c r="N407" s="83"/>
      <c r="O407" s="544"/>
      <c r="R407" s="83"/>
    </row>
    <row r="408">
      <c r="A408" s="523" t="str">
        <f t="shared" si="24"/>
        <v/>
      </c>
      <c r="B408" s="524" t="str">
        <f t="shared" si="25"/>
        <v/>
      </c>
      <c r="C408" s="632"/>
      <c r="D408" s="546">
        <v>44561.0</v>
      </c>
      <c r="J408" s="405"/>
      <c r="N408" s="83"/>
      <c r="O408" s="544"/>
      <c r="R408" s="83"/>
    </row>
    <row r="409">
      <c r="A409" s="523" t="str">
        <f t="shared" si="24"/>
        <v/>
      </c>
      <c r="B409" s="524" t="str">
        <f t="shared" si="25"/>
        <v/>
      </c>
      <c r="C409" s="632"/>
      <c r="D409" s="546">
        <v>44561.0</v>
      </c>
      <c r="J409" s="405"/>
      <c r="N409" s="83"/>
      <c r="O409" s="544"/>
      <c r="R409" s="83"/>
    </row>
    <row r="410">
      <c r="A410" s="523" t="str">
        <f t="shared" si="24"/>
        <v/>
      </c>
      <c r="B410" s="524" t="str">
        <f t="shared" si="25"/>
        <v/>
      </c>
      <c r="C410" s="632"/>
      <c r="D410" s="546">
        <v>44561.0</v>
      </c>
      <c r="J410" s="405"/>
      <c r="N410" s="83"/>
      <c r="O410" s="544"/>
      <c r="R410" s="83"/>
    </row>
    <row r="411">
      <c r="A411" s="523" t="str">
        <f t="shared" si="24"/>
        <v/>
      </c>
      <c r="B411" s="524" t="str">
        <f t="shared" si="25"/>
        <v/>
      </c>
      <c r="C411" s="632"/>
      <c r="D411" s="546">
        <v>44561.0</v>
      </c>
      <c r="J411" s="405"/>
      <c r="N411" s="83"/>
      <c r="O411" s="544"/>
      <c r="R411" s="83"/>
    </row>
    <row r="412">
      <c r="A412" s="523" t="str">
        <f t="shared" si="24"/>
        <v/>
      </c>
      <c r="B412" s="524" t="str">
        <f t="shared" si="25"/>
        <v/>
      </c>
      <c r="C412" s="632"/>
      <c r="D412" s="546">
        <v>44561.0</v>
      </c>
      <c r="J412" s="405"/>
      <c r="N412" s="83"/>
      <c r="O412" s="544"/>
      <c r="R412" s="83"/>
    </row>
    <row r="413">
      <c r="A413" s="523" t="str">
        <f t="shared" si="24"/>
        <v/>
      </c>
      <c r="B413" s="524" t="str">
        <f t="shared" si="25"/>
        <v/>
      </c>
      <c r="C413" s="632"/>
      <c r="D413" s="546">
        <v>44561.0</v>
      </c>
      <c r="J413" s="405"/>
      <c r="N413" s="83"/>
      <c r="O413" s="544"/>
      <c r="R413" s="83"/>
    </row>
    <row r="414">
      <c r="A414" s="523" t="str">
        <f t="shared" si="24"/>
        <v/>
      </c>
      <c r="B414" s="524" t="str">
        <f t="shared" si="25"/>
        <v/>
      </c>
      <c r="C414" s="632"/>
      <c r="D414" s="546">
        <v>44561.0</v>
      </c>
      <c r="J414" s="405"/>
      <c r="N414" s="83"/>
      <c r="O414" s="544"/>
      <c r="R414" s="83"/>
    </row>
    <row r="415">
      <c r="A415" s="523" t="str">
        <f t="shared" si="24"/>
        <v/>
      </c>
      <c r="B415" s="524" t="str">
        <f t="shared" si="25"/>
        <v/>
      </c>
      <c r="C415" s="632"/>
      <c r="D415" s="546">
        <v>44561.0</v>
      </c>
      <c r="J415" s="405"/>
      <c r="N415" s="83"/>
      <c r="O415" s="544"/>
      <c r="R415" s="83"/>
    </row>
    <row r="416">
      <c r="A416" s="523" t="str">
        <f t="shared" si="24"/>
        <v/>
      </c>
      <c r="B416" s="524" t="str">
        <f t="shared" si="25"/>
        <v/>
      </c>
      <c r="C416" s="632"/>
      <c r="D416" s="546">
        <v>44561.0</v>
      </c>
      <c r="J416" s="405"/>
      <c r="N416" s="83"/>
      <c r="O416" s="544"/>
      <c r="R416" s="83"/>
    </row>
    <row r="417">
      <c r="A417" s="523" t="str">
        <f t="shared" si="24"/>
        <v/>
      </c>
      <c r="B417" s="524" t="str">
        <f t="shared" si="25"/>
        <v/>
      </c>
      <c r="C417" s="632"/>
      <c r="D417" s="546">
        <v>44561.0</v>
      </c>
      <c r="J417" s="405"/>
      <c r="N417" s="83"/>
      <c r="O417" s="544"/>
      <c r="R417" s="83"/>
    </row>
    <row r="418">
      <c r="A418" s="523" t="str">
        <f t="shared" si="24"/>
        <v/>
      </c>
      <c r="B418" s="524" t="str">
        <f t="shared" si="25"/>
        <v/>
      </c>
      <c r="C418" s="632"/>
      <c r="D418" s="546">
        <v>44561.0</v>
      </c>
      <c r="J418" s="405"/>
      <c r="N418" s="83"/>
      <c r="O418" s="544"/>
      <c r="R418" s="83"/>
    </row>
    <row r="419">
      <c r="A419" s="523" t="str">
        <f t="shared" si="24"/>
        <v/>
      </c>
      <c r="B419" s="524" t="str">
        <f t="shared" si="25"/>
        <v/>
      </c>
      <c r="C419" s="632"/>
      <c r="D419" s="546">
        <v>44561.0</v>
      </c>
      <c r="J419" s="405"/>
      <c r="N419" s="83"/>
      <c r="O419" s="544"/>
      <c r="R419" s="83"/>
    </row>
    <row r="420">
      <c r="A420" s="523" t="str">
        <f t="shared" si="24"/>
        <v/>
      </c>
      <c r="B420" s="524" t="str">
        <f t="shared" si="25"/>
        <v/>
      </c>
      <c r="C420" s="632"/>
      <c r="D420" s="546">
        <v>44561.0</v>
      </c>
      <c r="J420" s="405"/>
      <c r="N420" s="83"/>
      <c r="O420" s="544"/>
      <c r="R420" s="83"/>
    </row>
    <row r="421">
      <c r="A421" s="523" t="str">
        <f t="shared" si="24"/>
        <v/>
      </c>
      <c r="B421" s="524" t="str">
        <f t="shared" si="25"/>
        <v/>
      </c>
      <c r="C421" s="632"/>
      <c r="D421" s="546">
        <v>44561.0</v>
      </c>
      <c r="J421" s="405"/>
      <c r="N421" s="83"/>
      <c r="O421" s="544"/>
      <c r="R421" s="83"/>
    </row>
    <row r="422">
      <c r="A422" s="523" t="str">
        <f t="shared" si="24"/>
        <v/>
      </c>
      <c r="B422" s="524" t="str">
        <f t="shared" si="25"/>
        <v/>
      </c>
      <c r="C422" s="632"/>
      <c r="D422" s="546">
        <v>44561.0</v>
      </c>
      <c r="J422" s="405"/>
      <c r="N422" s="83"/>
      <c r="O422" s="544"/>
      <c r="R422" s="83"/>
    </row>
    <row r="423">
      <c r="A423" s="523" t="str">
        <f t="shared" si="24"/>
        <v/>
      </c>
      <c r="B423" s="524" t="str">
        <f t="shared" si="25"/>
        <v/>
      </c>
      <c r="C423" s="632"/>
      <c r="D423" s="546">
        <v>44561.0</v>
      </c>
      <c r="J423" s="405"/>
      <c r="N423" s="83"/>
      <c r="O423" s="544"/>
      <c r="R423" s="83"/>
    </row>
    <row r="424">
      <c r="A424" s="523" t="str">
        <f t="shared" si="24"/>
        <v/>
      </c>
      <c r="B424" s="524" t="str">
        <f t="shared" si="25"/>
        <v/>
      </c>
      <c r="C424" s="632"/>
      <c r="D424" s="546">
        <v>44561.0</v>
      </c>
      <c r="J424" s="405"/>
      <c r="N424" s="83"/>
      <c r="O424" s="544"/>
      <c r="R424" s="83"/>
    </row>
    <row r="425">
      <c r="A425" s="523" t="str">
        <f t="shared" si="24"/>
        <v/>
      </c>
      <c r="B425" s="524" t="str">
        <f t="shared" si="25"/>
        <v/>
      </c>
      <c r="C425" s="632"/>
      <c r="D425" s="546">
        <v>44561.0</v>
      </c>
      <c r="J425" s="405"/>
      <c r="N425" s="83"/>
      <c r="O425" s="544"/>
      <c r="R425" s="83"/>
    </row>
    <row r="426">
      <c r="A426" s="523" t="str">
        <f t="shared" si="24"/>
        <v/>
      </c>
      <c r="B426" s="524" t="str">
        <f t="shared" si="25"/>
        <v/>
      </c>
      <c r="C426" s="632"/>
      <c r="D426" s="546">
        <v>44561.0</v>
      </c>
      <c r="J426" s="405"/>
      <c r="N426" s="83"/>
      <c r="O426" s="544"/>
      <c r="R426" s="83"/>
    </row>
    <row r="427">
      <c r="A427" s="523" t="str">
        <f t="shared" si="24"/>
        <v/>
      </c>
      <c r="B427" s="524" t="str">
        <f t="shared" si="25"/>
        <v/>
      </c>
      <c r="C427" s="632"/>
      <c r="D427" s="546">
        <v>44561.0</v>
      </c>
      <c r="J427" s="405"/>
      <c r="N427" s="83"/>
      <c r="O427" s="544"/>
      <c r="R427" s="83"/>
    </row>
    <row r="428">
      <c r="A428" s="523" t="str">
        <f t="shared" si="24"/>
        <v/>
      </c>
      <c r="B428" s="524" t="str">
        <f t="shared" si="25"/>
        <v/>
      </c>
      <c r="C428" s="632"/>
      <c r="D428" s="546">
        <v>44561.0</v>
      </c>
      <c r="J428" s="405"/>
      <c r="N428" s="83"/>
      <c r="O428" s="544"/>
      <c r="R428" s="83"/>
    </row>
    <row r="429">
      <c r="A429" s="523" t="str">
        <f t="shared" si="24"/>
        <v/>
      </c>
      <c r="B429" s="524" t="str">
        <f t="shared" si="25"/>
        <v/>
      </c>
      <c r="C429" s="632"/>
      <c r="D429" s="546">
        <v>44561.0</v>
      </c>
      <c r="J429" s="405"/>
      <c r="N429" s="83"/>
      <c r="O429" s="544"/>
      <c r="R429" s="83"/>
    </row>
    <row r="430">
      <c r="A430" s="523" t="str">
        <f t="shared" si="24"/>
        <v/>
      </c>
      <c r="B430" s="524" t="str">
        <f t="shared" si="25"/>
        <v/>
      </c>
      <c r="C430" s="632"/>
      <c r="D430" s="546">
        <v>44561.0</v>
      </c>
      <c r="J430" s="405"/>
      <c r="N430" s="83"/>
      <c r="O430" s="544"/>
      <c r="R430" s="83"/>
    </row>
    <row r="431">
      <c r="A431" s="523" t="str">
        <f t="shared" si="24"/>
        <v/>
      </c>
      <c r="B431" s="524" t="str">
        <f t="shared" si="25"/>
        <v/>
      </c>
      <c r="C431" s="632"/>
      <c r="D431" s="546">
        <v>44561.0</v>
      </c>
      <c r="J431" s="405"/>
      <c r="N431" s="83"/>
      <c r="O431" s="544"/>
      <c r="R431" s="83"/>
    </row>
    <row r="432">
      <c r="A432" s="523" t="str">
        <f t="shared" si="24"/>
        <v/>
      </c>
      <c r="B432" s="524" t="str">
        <f t="shared" si="25"/>
        <v/>
      </c>
      <c r="C432" s="632"/>
      <c r="D432" s="546">
        <v>44561.0</v>
      </c>
      <c r="J432" s="405"/>
      <c r="N432" s="83"/>
      <c r="O432" s="544"/>
      <c r="R432" s="83"/>
    </row>
    <row r="433">
      <c r="A433" s="523" t="str">
        <f t="shared" si="24"/>
        <v/>
      </c>
      <c r="B433" s="524" t="str">
        <f t="shared" si="25"/>
        <v/>
      </c>
      <c r="C433" s="632"/>
      <c r="D433" s="546">
        <v>44561.0</v>
      </c>
      <c r="J433" s="405"/>
      <c r="N433" s="83"/>
      <c r="O433" s="544"/>
      <c r="R433" s="83"/>
    </row>
    <row r="434">
      <c r="A434" s="523" t="str">
        <f t="shared" si="24"/>
        <v/>
      </c>
      <c r="B434" s="524" t="str">
        <f t="shared" si="25"/>
        <v/>
      </c>
      <c r="C434" s="632"/>
      <c r="D434" s="546">
        <v>44561.0</v>
      </c>
      <c r="J434" s="405"/>
      <c r="N434" s="83"/>
      <c r="O434" s="544"/>
      <c r="R434" s="83"/>
    </row>
    <row r="435">
      <c r="A435" s="523" t="str">
        <f t="shared" si="24"/>
        <v/>
      </c>
      <c r="B435" s="524" t="str">
        <f t="shared" si="25"/>
        <v/>
      </c>
      <c r="C435" s="632"/>
      <c r="D435" s="546">
        <v>44561.0</v>
      </c>
      <c r="J435" s="405"/>
      <c r="N435" s="83"/>
      <c r="O435" s="544"/>
      <c r="R435" s="83"/>
    </row>
    <row r="436">
      <c r="A436" s="523" t="str">
        <f t="shared" si="24"/>
        <v/>
      </c>
      <c r="B436" s="524" t="str">
        <f t="shared" si="25"/>
        <v/>
      </c>
      <c r="C436" s="632"/>
      <c r="D436" s="546">
        <v>44561.0</v>
      </c>
      <c r="J436" s="405"/>
      <c r="N436" s="83"/>
      <c r="O436" s="544"/>
      <c r="R436" s="83"/>
    </row>
    <row r="437">
      <c r="A437" s="523" t="str">
        <f t="shared" si="24"/>
        <v/>
      </c>
      <c r="B437" s="524" t="str">
        <f t="shared" si="25"/>
        <v/>
      </c>
      <c r="C437" s="632"/>
      <c r="D437" s="546">
        <v>44561.0</v>
      </c>
      <c r="J437" s="405"/>
      <c r="N437" s="83"/>
      <c r="O437" s="544"/>
      <c r="R437" s="83"/>
    </row>
    <row r="438">
      <c r="A438" s="523" t="str">
        <f t="shared" si="24"/>
        <v/>
      </c>
      <c r="B438" s="524" t="str">
        <f t="shared" si="25"/>
        <v/>
      </c>
      <c r="C438" s="632"/>
      <c r="D438" s="546">
        <v>44561.0</v>
      </c>
      <c r="J438" s="405"/>
      <c r="N438" s="83"/>
      <c r="O438" s="544"/>
      <c r="R438" s="83"/>
    </row>
    <row r="439">
      <c r="A439" s="523" t="str">
        <f t="shared" si="24"/>
        <v/>
      </c>
      <c r="B439" s="524" t="str">
        <f t="shared" si="25"/>
        <v/>
      </c>
      <c r="C439" s="632"/>
      <c r="D439" s="546">
        <v>44561.0</v>
      </c>
      <c r="J439" s="405"/>
      <c r="N439" s="83"/>
      <c r="O439" s="544"/>
      <c r="R439" s="83"/>
    </row>
    <row r="440">
      <c r="A440" s="523" t="str">
        <f t="shared" si="24"/>
        <v/>
      </c>
      <c r="B440" s="524" t="str">
        <f t="shared" si="25"/>
        <v/>
      </c>
      <c r="C440" s="632"/>
      <c r="D440" s="546">
        <v>44561.0</v>
      </c>
      <c r="J440" s="405"/>
      <c r="N440" s="83"/>
      <c r="O440" s="544"/>
      <c r="R440" s="83"/>
    </row>
    <row r="441">
      <c r="A441" s="523" t="str">
        <f t="shared" si="24"/>
        <v/>
      </c>
      <c r="B441" s="524" t="str">
        <f t="shared" si="25"/>
        <v/>
      </c>
      <c r="C441" s="632"/>
      <c r="D441" s="546">
        <v>44561.0</v>
      </c>
      <c r="J441" s="405"/>
      <c r="N441" s="83"/>
      <c r="O441" s="544"/>
      <c r="R441" s="83"/>
    </row>
    <row r="442">
      <c r="A442" s="523" t="str">
        <f t="shared" si="24"/>
        <v/>
      </c>
      <c r="B442" s="524" t="str">
        <f t="shared" si="25"/>
        <v/>
      </c>
      <c r="C442" s="632"/>
      <c r="D442" s="546">
        <v>44561.0</v>
      </c>
      <c r="J442" s="405"/>
      <c r="N442" s="83"/>
      <c r="O442" s="544"/>
      <c r="R442" s="83"/>
    </row>
    <row r="443">
      <c r="A443" s="523" t="str">
        <f t="shared" si="24"/>
        <v/>
      </c>
      <c r="B443" s="524" t="str">
        <f t="shared" si="25"/>
        <v/>
      </c>
      <c r="C443" s="632"/>
      <c r="D443" s="546">
        <v>44561.0</v>
      </c>
      <c r="J443" s="405"/>
      <c r="N443" s="83"/>
      <c r="O443" s="544"/>
      <c r="R443" s="83"/>
    </row>
    <row r="444">
      <c r="A444" s="523" t="str">
        <f t="shared" si="24"/>
        <v/>
      </c>
      <c r="B444" s="524" t="str">
        <f t="shared" si="25"/>
        <v/>
      </c>
      <c r="C444" s="632"/>
      <c r="D444" s="546">
        <v>44561.0</v>
      </c>
      <c r="J444" s="405"/>
      <c r="N444" s="83"/>
      <c r="O444" s="544"/>
      <c r="R444" s="83"/>
    </row>
    <row r="445">
      <c r="A445" s="523" t="str">
        <f t="shared" si="24"/>
        <v/>
      </c>
      <c r="B445" s="524" t="str">
        <f t="shared" si="25"/>
        <v/>
      </c>
      <c r="C445" s="632"/>
      <c r="D445" s="546">
        <v>44561.0</v>
      </c>
      <c r="J445" s="405"/>
      <c r="N445" s="83"/>
      <c r="O445" s="544"/>
      <c r="R445" s="83"/>
    </row>
    <row r="446">
      <c r="A446" s="523" t="str">
        <f t="shared" si="24"/>
        <v/>
      </c>
      <c r="B446" s="524" t="str">
        <f t="shared" si="25"/>
        <v/>
      </c>
      <c r="C446" s="632"/>
      <c r="D446" s="546">
        <v>44561.0</v>
      </c>
      <c r="J446" s="405"/>
      <c r="N446" s="83"/>
      <c r="O446" s="544"/>
      <c r="R446" s="83"/>
    </row>
    <row r="447">
      <c r="A447" s="523" t="str">
        <f t="shared" si="24"/>
        <v/>
      </c>
      <c r="B447" s="524" t="str">
        <f t="shared" si="25"/>
        <v/>
      </c>
      <c r="C447" s="632"/>
      <c r="D447" s="546">
        <v>44561.0</v>
      </c>
      <c r="J447" s="405"/>
      <c r="N447" s="83"/>
      <c r="O447" s="544"/>
      <c r="R447" s="83"/>
    </row>
    <row r="448">
      <c r="A448" s="523" t="str">
        <f t="shared" si="24"/>
        <v/>
      </c>
      <c r="B448" s="524" t="str">
        <f t="shared" si="25"/>
        <v/>
      </c>
      <c r="C448" s="632"/>
      <c r="D448" s="546">
        <v>44561.0</v>
      </c>
      <c r="J448" s="405"/>
      <c r="N448" s="83"/>
      <c r="O448" s="544"/>
      <c r="R448" s="83"/>
    </row>
    <row r="449">
      <c r="A449" s="523" t="str">
        <f t="shared" si="24"/>
        <v/>
      </c>
      <c r="B449" s="524" t="str">
        <f t="shared" si="25"/>
        <v/>
      </c>
      <c r="C449" s="632"/>
      <c r="D449" s="546">
        <v>44561.0</v>
      </c>
      <c r="J449" s="405"/>
      <c r="N449" s="83"/>
      <c r="O449" s="544"/>
      <c r="R449" s="83"/>
    </row>
    <row r="450">
      <c r="A450" s="523" t="str">
        <f t="shared" si="24"/>
        <v/>
      </c>
      <c r="B450" s="524" t="str">
        <f t="shared" si="25"/>
        <v/>
      </c>
      <c r="C450" s="632"/>
      <c r="D450" s="546">
        <v>44561.0</v>
      </c>
      <c r="J450" s="405"/>
      <c r="N450" s="83"/>
      <c r="O450" s="544"/>
      <c r="R450" s="83"/>
    </row>
    <row r="451">
      <c r="A451" s="523" t="str">
        <f t="shared" si="24"/>
        <v/>
      </c>
      <c r="B451" s="524" t="str">
        <f t="shared" si="25"/>
        <v/>
      </c>
      <c r="C451" s="632"/>
      <c r="D451" s="546">
        <v>44561.0</v>
      </c>
      <c r="J451" s="405"/>
      <c r="N451" s="83"/>
      <c r="O451" s="544"/>
      <c r="R451" s="83"/>
    </row>
    <row r="452">
      <c r="A452" s="523" t="str">
        <f t="shared" si="24"/>
        <v/>
      </c>
      <c r="B452" s="524" t="str">
        <f t="shared" si="25"/>
        <v/>
      </c>
      <c r="C452" s="632"/>
      <c r="D452" s="546">
        <v>44561.0</v>
      </c>
      <c r="J452" s="405"/>
      <c r="N452" s="83"/>
      <c r="O452" s="544"/>
      <c r="R452" s="83"/>
    </row>
    <row r="453">
      <c r="A453" s="523" t="str">
        <f t="shared" si="24"/>
        <v/>
      </c>
      <c r="B453" s="524" t="str">
        <f t="shared" si="25"/>
        <v/>
      </c>
      <c r="C453" s="632"/>
      <c r="D453" s="546">
        <v>44561.0</v>
      </c>
      <c r="J453" s="405"/>
      <c r="N453" s="83"/>
      <c r="O453" s="544"/>
      <c r="R453" s="83"/>
    </row>
    <row r="454">
      <c r="A454" s="523" t="str">
        <f t="shared" si="24"/>
        <v/>
      </c>
      <c r="B454" s="524" t="str">
        <f t="shared" si="25"/>
        <v/>
      </c>
      <c r="C454" s="632"/>
      <c r="D454" s="546">
        <v>44561.0</v>
      </c>
      <c r="J454" s="405"/>
      <c r="N454" s="83"/>
      <c r="O454" s="544"/>
      <c r="R454" s="83"/>
    </row>
    <row r="455">
      <c r="A455" s="523" t="str">
        <f t="shared" si="24"/>
        <v/>
      </c>
      <c r="B455" s="524" t="str">
        <f t="shared" si="25"/>
        <v/>
      </c>
      <c r="C455" s="632"/>
      <c r="D455" s="546">
        <v>44561.0</v>
      </c>
      <c r="J455" s="405"/>
      <c r="N455" s="83"/>
      <c r="O455" s="544"/>
      <c r="R455" s="83"/>
    </row>
    <row r="456">
      <c r="A456" s="523" t="str">
        <f t="shared" si="24"/>
        <v/>
      </c>
      <c r="B456" s="524" t="str">
        <f t="shared" si="25"/>
        <v/>
      </c>
      <c r="C456" s="632"/>
      <c r="D456" s="546">
        <v>44561.0</v>
      </c>
      <c r="J456" s="405"/>
      <c r="N456" s="83"/>
      <c r="O456" s="544"/>
      <c r="R456" s="83"/>
    </row>
    <row r="457">
      <c r="A457" s="523" t="str">
        <f t="shared" si="24"/>
        <v/>
      </c>
      <c r="B457" s="524" t="str">
        <f t="shared" si="25"/>
        <v/>
      </c>
      <c r="C457" s="632"/>
      <c r="D457" s="546">
        <v>44561.0</v>
      </c>
      <c r="J457" s="405"/>
      <c r="N457" s="83"/>
      <c r="O457" s="544"/>
      <c r="R457" s="83"/>
    </row>
    <row r="458">
      <c r="A458" s="523" t="str">
        <f t="shared" si="24"/>
        <v/>
      </c>
      <c r="B458" s="524" t="str">
        <f t="shared" si="25"/>
        <v/>
      </c>
      <c r="C458" s="632"/>
      <c r="D458" s="546">
        <v>44561.0</v>
      </c>
      <c r="J458" s="405"/>
      <c r="N458" s="83"/>
      <c r="O458" s="544"/>
      <c r="R458" s="83"/>
    </row>
    <row r="459">
      <c r="A459" s="523" t="str">
        <f t="shared" si="24"/>
        <v/>
      </c>
      <c r="B459" s="524" t="str">
        <f t="shared" si="25"/>
        <v/>
      </c>
      <c r="C459" s="632"/>
      <c r="D459" s="546">
        <v>44561.0</v>
      </c>
      <c r="J459" s="405"/>
      <c r="N459" s="83"/>
      <c r="O459" s="544"/>
      <c r="R459" s="83"/>
    </row>
    <row r="460">
      <c r="A460" s="523" t="str">
        <f t="shared" si="24"/>
        <v/>
      </c>
      <c r="B460" s="524" t="str">
        <f t="shared" si="25"/>
        <v/>
      </c>
      <c r="C460" s="632"/>
      <c r="D460" s="546">
        <v>44561.0</v>
      </c>
      <c r="J460" s="405"/>
      <c r="N460" s="83"/>
      <c r="O460" s="544"/>
      <c r="R460" s="83"/>
    </row>
    <row r="461">
      <c r="A461" s="523" t="str">
        <f t="shared" si="24"/>
        <v/>
      </c>
      <c r="B461" s="524" t="str">
        <f t="shared" si="25"/>
        <v/>
      </c>
      <c r="C461" s="632"/>
      <c r="D461" s="546">
        <v>44561.0</v>
      </c>
      <c r="J461" s="405"/>
      <c r="N461" s="83"/>
      <c r="O461" s="544"/>
      <c r="R461" s="83"/>
    </row>
    <row r="462">
      <c r="A462" s="523" t="str">
        <f t="shared" si="24"/>
        <v/>
      </c>
      <c r="B462" s="524" t="str">
        <f t="shared" si="25"/>
        <v/>
      </c>
      <c r="C462" s="632"/>
      <c r="D462" s="546">
        <v>44561.0</v>
      </c>
      <c r="J462" s="405"/>
      <c r="N462" s="83"/>
      <c r="O462" s="544"/>
      <c r="R462" s="83"/>
    </row>
    <row r="463">
      <c r="A463" s="523" t="str">
        <f t="shared" si="24"/>
        <v/>
      </c>
      <c r="B463" s="524" t="str">
        <f t="shared" si="25"/>
        <v/>
      </c>
      <c r="C463" s="632"/>
      <c r="D463" s="546">
        <v>44561.0</v>
      </c>
      <c r="J463" s="405"/>
      <c r="N463" s="83"/>
      <c r="O463" s="544"/>
      <c r="R463" s="83"/>
    </row>
    <row r="464">
      <c r="A464" s="523" t="str">
        <f t="shared" si="24"/>
        <v/>
      </c>
      <c r="B464" s="524" t="str">
        <f t="shared" si="25"/>
        <v/>
      </c>
      <c r="C464" s="632"/>
      <c r="D464" s="546">
        <v>44561.0</v>
      </c>
      <c r="J464" s="405"/>
      <c r="N464" s="83"/>
      <c r="O464" s="544"/>
      <c r="R464" s="83"/>
    </row>
    <row r="465">
      <c r="A465" s="523" t="str">
        <f t="shared" si="24"/>
        <v/>
      </c>
      <c r="B465" s="524" t="str">
        <f t="shared" si="25"/>
        <v/>
      </c>
      <c r="C465" s="632"/>
      <c r="D465" s="546">
        <v>44561.0</v>
      </c>
      <c r="J465" s="405"/>
      <c r="N465" s="83"/>
      <c r="O465" s="544"/>
      <c r="R465" s="83"/>
    </row>
    <row r="466">
      <c r="A466" s="523" t="str">
        <f t="shared" si="24"/>
        <v/>
      </c>
      <c r="B466" s="524" t="str">
        <f t="shared" si="25"/>
        <v/>
      </c>
      <c r="C466" s="632"/>
      <c r="D466" s="546">
        <v>44561.0</v>
      </c>
      <c r="J466" s="405"/>
      <c r="N466" s="83"/>
      <c r="O466" s="544"/>
      <c r="R466" s="83"/>
    </row>
    <row r="467">
      <c r="A467" s="523" t="str">
        <f t="shared" si="24"/>
        <v/>
      </c>
      <c r="B467" s="524" t="str">
        <f t="shared" si="25"/>
        <v/>
      </c>
      <c r="C467" s="632"/>
      <c r="D467" s="546">
        <v>44561.0</v>
      </c>
      <c r="J467" s="405"/>
      <c r="N467" s="83"/>
      <c r="O467" s="544"/>
      <c r="R467" s="83"/>
    </row>
    <row r="468">
      <c r="A468" s="523" t="str">
        <f t="shared" si="24"/>
        <v/>
      </c>
      <c r="B468" s="524" t="str">
        <f t="shared" si="25"/>
        <v/>
      </c>
      <c r="C468" s="632"/>
      <c r="D468" s="546">
        <v>44561.0</v>
      </c>
      <c r="J468" s="405"/>
      <c r="N468" s="83"/>
      <c r="O468" s="544"/>
      <c r="R468" s="83"/>
    </row>
    <row r="469">
      <c r="A469" s="523" t="str">
        <f t="shared" si="24"/>
        <v/>
      </c>
      <c r="B469" s="524" t="str">
        <f t="shared" si="25"/>
        <v/>
      </c>
      <c r="C469" s="632"/>
      <c r="D469" s="546">
        <v>44561.0</v>
      </c>
      <c r="J469" s="405"/>
      <c r="N469" s="83"/>
      <c r="O469" s="544"/>
      <c r="R469" s="83"/>
    </row>
    <row r="470">
      <c r="A470" s="523" t="str">
        <f t="shared" si="24"/>
        <v/>
      </c>
      <c r="B470" s="524" t="str">
        <f t="shared" si="25"/>
        <v/>
      </c>
      <c r="C470" s="632"/>
      <c r="D470" s="546">
        <v>44561.0</v>
      </c>
      <c r="J470" s="405"/>
      <c r="N470" s="83"/>
      <c r="O470" s="544"/>
      <c r="R470" s="83"/>
    </row>
    <row r="471">
      <c r="A471" s="523" t="str">
        <f t="shared" si="24"/>
        <v/>
      </c>
      <c r="B471" s="524" t="str">
        <f t="shared" si="25"/>
        <v/>
      </c>
      <c r="C471" s="632"/>
      <c r="D471" s="546">
        <v>44561.0</v>
      </c>
      <c r="J471" s="405"/>
      <c r="N471" s="83"/>
      <c r="O471" s="544"/>
      <c r="R471" s="83"/>
    </row>
    <row r="472">
      <c r="A472" s="523" t="str">
        <f t="shared" si="24"/>
        <v/>
      </c>
      <c r="B472" s="524" t="str">
        <f t="shared" si="25"/>
        <v/>
      </c>
      <c r="C472" s="632"/>
      <c r="D472" s="546">
        <v>44561.0</v>
      </c>
      <c r="J472" s="405"/>
      <c r="N472" s="83"/>
      <c r="O472" s="544"/>
      <c r="R472" s="83"/>
    </row>
    <row r="473">
      <c r="A473" s="523" t="str">
        <f t="shared" si="24"/>
        <v/>
      </c>
      <c r="B473" s="524" t="str">
        <f t="shared" si="25"/>
        <v/>
      </c>
      <c r="C473" s="632"/>
      <c r="D473" s="546">
        <v>44561.0</v>
      </c>
      <c r="J473" s="405"/>
      <c r="N473" s="83"/>
      <c r="O473" s="544"/>
      <c r="R473" s="83"/>
    </row>
    <row r="474">
      <c r="A474" s="523" t="str">
        <f t="shared" si="24"/>
        <v/>
      </c>
      <c r="B474" s="524" t="str">
        <f t="shared" si="25"/>
        <v/>
      </c>
      <c r="C474" s="632"/>
      <c r="D474" s="546">
        <v>44561.0</v>
      </c>
      <c r="J474" s="405"/>
      <c r="N474" s="83"/>
      <c r="O474" s="544"/>
      <c r="R474" s="83"/>
    </row>
    <row r="475">
      <c r="A475" s="523" t="str">
        <f t="shared" si="24"/>
        <v/>
      </c>
      <c r="B475" s="524" t="str">
        <f t="shared" si="25"/>
        <v/>
      </c>
      <c r="C475" s="632"/>
      <c r="D475" s="546">
        <v>44561.0</v>
      </c>
      <c r="J475" s="405"/>
      <c r="N475" s="83"/>
      <c r="O475" s="544"/>
      <c r="R475" s="83"/>
    </row>
    <row r="476">
      <c r="A476" s="523" t="str">
        <f t="shared" si="24"/>
        <v/>
      </c>
      <c r="B476" s="524" t="str">
        <f t="shared" si="25"/>
        <v/>
      </c>
      <c r="C476" s="632"/>
      <c r="D476" s="546">
        <v>44561.0</v>
      </c>
      <c r="J476" s="405"/>
      <c r="N476" s="83"/>
      <c r="O476" s="544"/>
      <c r="R476" s="83"/>
    </row>
    <row r="477">
      <c r="A477" s="523" t="str">
        <f t="shared" si="24"/>
        <v/>
      </c>
      <c r="B477" s="524" t="str">
        <f t="shared" si="25"/>
        <v/>
      </c>
      <c r="C477" s="632"/>
      <c r="D477" s="546">
        <v>44561.0</v>
      </c>
      <c r="J477" s="405"/>
      <c r="N477" s="83"/>
      <c r="O477" s="544"/>
      <c r="R477" s="83"/>
    </row>
    <row r="478">
      <c r="A478" s="523" t="str">
        <f t="shared" si="24"/>
        <v/>
      </c>
      <c r="B478" s="524" t="str">
        <f t="shared" si="25"/>
        <v/>
      </c>
      <c r="C478" s="632"/>
      <c r="D478" s="546">
        <v>44561.0</v>
      </c>
      <c r="J478" s="405"/>
      <c r="N478" s="83"/>
      <c r="O478" s="544"/>
      <c r="R478" s="83"/>
    </row>
    <row r="479">
      <c r="A479" s="523" t="str">
        <f t="shared" si="24"/>
        <v/>
      </c>
      <c r="B479" s="524" t="str">
        <f t="shared" si="25"/>
        <v/>
      </c>
      <c r="C479" s="632"/>
      <c r="D479" s="546">
        <v>44561.0</v>
      </c>
      <c r="J479" s="405"/>
      <c r="N479" s="83"/>
      <c r="O479" s="544"/>
      <c r="R479" s="83"/>
    </row>
    <row r="480">
      <c r="A480" s="523" t="str">
        <f t="shared" si="24"/>
        <v/>
      </c>
      <c r="B480" s="524" t="str">
        <f t="shared" si="25"/>
        <v/>
      </c>
      <c r="C480" s="632"/>
      <c r="D480" s="546">
        <v>44561.0</v>
      </c>
      <c r="J480" s="405"/>
      <c r="N480" s="83"/>
      <c r="O480" s="544"/>
      <c r="R480" s="83"/>
    </row>
    <row r="481">
      <c r="A481" s="523" t="str">
        <f t="shared" si="24"/>
        <v/>
      </c>
      <c r="B481" s="524" t="str">
        <f t="shared" si="25"/>
        <v/>
      </c>
      <c r="C481" s="632"/>
      <c r="D481" s="546">
        <v>44561.0</v>
      </c>
      <c r="J481" s="405"/>
      <c r="N481" s="83"/>
      <c r="O481" s="544"/>
      <c r="R481" s="83"/>
    </row>
    <row r="482">
      <c r="A482" s="523" t="str">
        <f t="shared" si="24"/>
        <v/>
      </c>
      <c r="B482" s="524" t="str">
        <f t="shared" si="25"/>
        <v/>
      </c>
      <c r="C482" s="632"/>
      <c r="D482" s="546">
        <v>44561.0</v>
      </c>
      <c r="J482" s="405"/>
      <c r="N482" s="83"/>
      <c r="O482" s="544"/>
      <c r="R482" s="83"/>
    </row>
    <row r="483">
      <c r="A483" s="523" t="str">
        <f t="shared" si="24"/>
        <v/>
      </c>
      <c r="B483" s="524" t="str">
        <f t="shared" si="25"/>
        <v/>
      </c>
      <c r="C483" s="632"/>
      <c r="D483" s="546">
        <v>44561.0</v>
      </c>
      <c r="J483" s="405"/>
      <c r="N483" s="83"/>
      <c r="O483" s="544"/>
      <c r="R483" s="83"/>
    </row>
    <row r="484">
      <c r="A484" s="523" t="str">
        <f t="shared" si="24"/>
        <v/>
      </c>
      <c r="B484" s="524" t="str">
        <f t="shared" si="25"/>
        <v/>
      </c>
      <c r="C484" s="632"/>
      <c r="D484" s="546">
        <v>44561.0</v>
      </c>
      <c r="J484" s="405"/>
      <c r="N484" s="83"/>
      <c r="O484" s="544"/>
      <c r="R484" s="83"/>
    </row>
    <row r="485">
      <c r="A485" s="523" t="str">
        <f t="shared" si="24"/>
        <v/>
      </c>
      <c r="B485" s="524" t="str">
        <f t="shared" si="25"/>
        <v/>
      </c>
      <c r="C485" s="632"/>
      <c r="D485" s="546">
        <v>44561.0</v>
      </c>
      <c r="J485" s="405"/>
      <c r="N485" s="83"/>
      <c r="O485" s="544"/>
      <c r="R485" s="83"/>
    </row>
    <row r="486">
      <c r="A486" s="523" t="str">
        <f t="shared" si="24"/>
        <v/>
      </c>
      <c r="B486" s="524" t="str">
        <f t="shared" si="25"/>
        <v/>
      </c>
      <c r="C486" s="632"/>
      <c r="D486" s="546">
        <v>44561.0</v>
      </c>
      <c r="J486" s="405"/>
      <c r="N486" s="83"/>
      <c r="O486" s="544"/>
      <c r="R486" s="83"/>
    </row>
    <row r="487">
      <c r="A487" s="523" t="str">
        <f t="shared" si="24"/>
        <v/>
      </c>
      <c r="B487" s="524" t="str">
        <f t="shared" si="25"/>
        <v/>
      </c>
      <c r="C487" s="632"/>
      <c r="D487" s="546">
        <v>44561.0</v>
      </c>
      <c r="J487" s="405"/>
      <c r="N487" s="83"/>
      <c r="O487" s="544"/>
      <c r="R487" s="83"/>
    </row>
    <row r="488">
      <c r="A488" s="523" t="str">
        <f t="shared" si="24"/>
        <v/>
      </c>
      <c r="B488" s="524" t="str">
        <f t="shared" si="25"/>
        <v/>
      </c>
      <c r="C488" s="632"/>
      <c r="D488" s="546">
        <v>44561.0</v>
      </c>
      <c r="J488" s="405"/>
      <c r="N488" s="83"/>
      <c r="O488" s="544"/>
      <c r="R488" s="83"/>
    </row>
    <row r="489">
      <c r="A489" s="523" t="str">
        <f t="shared" si="24"/>
        <v/>
      </c>
      <c r="B489" s="524" t="str">
        <f t="shared" si="25"/>
        <v/>
      </c>
      <c r="C489" s="632"/>
      <c r="D489" s="546">
        <v>44561.0</v>
      </c>
      <c r="J489" s="405"/>
      <c r="N489" s="83"/>
      <c r="O489" s="544"/>
      <c r="R489" s="83"/>
    </row>
    <row r="490">
      <c r="A490" s="523" t="str">
        <f t="shared" si="24"/>
        <v/>
      </c>
      <c r="B490" s="524" t="str">
        <f t="shared" si="25"/>
        <v/>
      </c>
      <c r="C490" s="632"/>
      <c r="D490" s="546">
        <v>44561.0</v>
      </c>
      <c r="J490" s="405"/>
      <c r="N490" s="83"/>
      <c r="O490" s="544"/>
      <c r="R490" s="83"/>
    </row>
    <row r="491">
      <c r="A491" s="523" t="str">
        <f t="shared" si="24"/>
        <v/>
      </c>
      <c r="B491" s="524" t="str">
        <f t="shared" si="25"/>
        <v/>
      </c>
      <c r="C491" s="632"/>
      <c r="D491" s="546">
        <v>44561.0</v>
      </c>
      <c r="J491" s="405"/>
      <c r="N491" s="83"/>
      <c r="O491" s="544"/>
      <c r="R491" s="83"/>
    </row>
    <row r="492">
      <c r="A492" s="523" t="str">
        <f t="shared" si="24"/>
        <v/>
      </c>
      <c r="B492" s="524" t="str">
        <f t="shared" si="25"/>
        <v/>
      </c>
      <c r="C492" s="632"/>
      <c r="D492" s="546">
        <v>44561.0</v>
      </c>
      <c r="J492" s="405"/>
      <c r="N492" s="83"/>
      <c r="O492" s="544"/>
      <c r="R492" s="83"/>
    </row>
    <row r="493">
      <c r="A493" s="523" t="str">
        <f t="shared" si="24"/>
        <v/>
      </c>
      <c r="B493" s="524" t="str">
        <f t="shared" si="25"/>
        <v/>
      </c>
      <c r="C493" s="632"/>
      <c r="D493" s="546">
        <v>44561.0</v>
      </c>
      <c r="J493" s="405"/>
      <c r="N493" s="83"/>
      <c r="O493" s="544"/>
      <c r="R493" s="83"/>
    </row>
    <row r="494">
      <c r="A494" s="523" t="str">
        <f t="shared" si="24"/>
        <v/>
      </c>
      <c r="B494" s="524" t="str">
        <f t="shared" si="25"/>
        <v/>
      </c>
      <c r="C494" s="632"/>
      <c r="D494" s="546">
        <v>44561.0</v>
      </c>
      <c r="J494" s="405"/>
      <c r="N494" s="83"/>
      <c r="O494" s="544"/>
      <c r="R494" s="83"/>
    </row>
    <row r="495">
      <c r="A495" s="523" t="str">
        <f t="shared" si="24"/>
        <v/>
      </c>
      <c r="B495" s="524" t="str">
        <f t="shared" si="25"/>
        <v/>
      </c>
      <c r="C495" s="632"/>
      <c r="D495" s="546">
        <v>44561.0</v>
      </c>
      <c r="J495" s="405"/>
      <c r="N495" s="83"/>
      <c r="O495" s="544"/>
      <c r="R495" s="83"/>
    </row>
    <row r="496">
      <c r="A496" s="523" t="str">
        <f t="shared" si="24"/>
        <v/>
      </c>
      <c r="B496" s="524" t="str">
        <f t="shared" si="25"/>
        <v/>
      </c>
      <c r="C496" s="632"/>
      <c r="D496" s="546">
        <v>44561.0</v>
      </c>
      <c r="J496" s="405"/>
      <c r="N496" s="83"/>
      <c r="O496" s="544"/>
      <c r="R496" s="83"/>
    </row>
    <row r="497">
      <c r="A497" s="523" t="str">
        <f t="shared" si="24"/>
        <v/>
      </c>
      <c r="B497" s="524" t="str">
        <f t="shared" si="25"/>
        <v/>
      </c>
      <c r="C497" s="632"/>
      <c r="D497" s="546">
        <v>44561.0</v>
      </c>
      <c r="J497" s="405"/>
      <c r="N497" s="83"/>
      <c r="O497" s="544"/>
      <c r="R497" s="83"/>
    </row>
    <row r="498">
      <c r="A498" s="523" t="str">
        <f t="shared" si="24"/>
        <v/>
      </c>
      <c r="B498" s="524" t="str">
        <f t="shared" si="25"/>
        <v/>
      </c>
      <c r="C498" s="632"/>
      <c r="D498" s="546">
        <v>44561.0</v>
      </c>
      <c r="J498" s="405"/>
      <c r="N498" s="83"/>
      <c r="O498" s="544"/>
      <c r="R498" s="83"/>
    </row>
    <row r="499">
      <c r="A499" s="523" t="str">
        <f t="shared" si="24"/>
        <v/>
      </c>
      <c r="B499" s="524" t="str">
        <f t="shared" si="25"/>
        <v/>
      </c>
      <c r="C499" s="632"/>
      <c r="D499" s="546">
        <v>44561.0</v>
      </c>
      <c r="J499" s="405"/>
      <c r="N499" s="83"/>
      <c r="O499" s="544"/>
      <c r="R499" s="83"/>
    </row>
    <row r="500">
      <c r="A500" s="523" t="str">
        <f t="shared" si="24"/>
        <v/>
      </c>
      <c r="B500" s="524" t="str">
        <f t="shared" si="25"/>
        <v/>
      </c>
      <c r="C500" s="632"/>
      <c r="D500" s="546">
        <v>44561.0</v>
      </c>
      <c r="J500" s="405"/>
      <c r="N500" s="83"/>
      <c r="O500" s="544"/>
      <c r="R500" s="83"/>
    </row>
    <row r="501">
      <c r="A501" s="523" t="str">
        <f t="shared" si="24"/>
        <v/>
      </c>
      <c r="B501" s="524" t="str">
        <f t="shared" si="25"/>
        <v/>
      </c>
      <c r="C501" s="632"/>
      <c r="D501" s="546">
        <v>44561.0</v>
      </c>
      <c r="J501" s="405"/>
      <c r="N501" s="83"/>
      <c r="O501" s="544"/>
      <c r="R501" s="83"/>
    </row>
    <row r="502">
      <c r="A502" s="523" t="str">
        <f t="shared" si="24"/>
        <v/>
      </c>
      <c r="B502" s="524" t="str">
        <f t="shared" si="25"/>
        <v/>
      </c>
      <c r="C502" s="632"/>
      <c r="D502" s="546">
        <v>44561.0</v>
      </c>
      <c r="J502" s="405"/>
      <c r="N502" s="83"/>
      <c r="O502" s="544"/>
      <c r="R502" s="83"/>
    </row>
    <row r="503">
      <c r="A503" s="523" t="str">
        <f t="shared" si="24"/>
        <v/>
      </c>
      <c r="B503" s="524" t="str">
        <f t="shared" si="25"/>
        <v/>
      </c>
      <c r="C503" s="632"/>
      <c r="D503" s="546">
        <v>44561.0</v>
      </c>
      <c r="J503" s="405"/>
      <c r="N503" s="83"/>
      <c r="O503" s="544"/>
      <c r="R503" s="83"/>
    </row>
    <row r="504">
      <c r="A504" s="523" t="str">
        <f t="shared" si="24"/>
        <v/>
      </c>
      <c r="B504" s="524" t="str">
        <f t="shared" si="25"/>
        <v/>
      </c>
      <c r="C504" s="632"/>
      <c r="D504" s="546">
        <v>44561.0</v>
      </c>
      <c r="J504" s="405"/>
      <c r="N504" s="83"/>
      <c r="O504" s="544"/>
      <c r="R504" s="83"/>
    </row>
    <row r="505">
      <c r="A505" s="523" t="str">
        <f t="shared" si="24"/>
        <v/>
      </c>
      <c r="B505" s="524" t="str">
        <f t="shared" si="25"/>
        <v/>
      </c>
      <c r="C505" s="632"/>
      <c r="D505" s="546">
        <v>44561.0</v>
      </c>
      <c r="J505" s="405"/>
      <c r="N505" s="83"/>
      <c r="O505" s="544"/>
      <c r="R505" s="83"/>
    </row>
    <row r="506">
      <c r="A506" s="523" t="str">
        <f t="shared" si="24"/>
        <v/>
      </c>
      <c r="B506" s="524" t="str">
        <f t="shared" si="25"/>
        <v/>
      </c>
      <c r="C506" s="632"/>
      <c r="D506" s="546">
        <v>44561.0</v>
      </c>
      <c r="J506" s="405"/>
      <c r="N506" s="83"/>
      <c r="O506" s="544"/>
      <c r="R506" s="83"/>
    </row>
    <row r="507">
      <c r="A507" s="523" t="str">
        <f t="shared" si="24"/>
        <v/>
      </c>
      <c r="B507" s="524" t="str">
        <f t="shared" si="25"/>
        <v/>
      </c>
      <c r="C507" s="632"/>
      <c r="D507" s="546">
        <v>44561.0</v>
      </c>
      <c r="J507" s="405"/>
      <c r="N507" s="83"/>
      <c r="O507" s="544"/>
      <c r="R507" s="83"/>
    </row>
    <row r="508">
      <c r="A508" s="523" t="str">
        <f t="shared" si="24"/>
        <v/>
      </c>
      <c r="B508" s="524" t="str">
        <f t="shared" si="25"/>
        <v/>
      </c>
      <c r="C508" s="632"/>
      <c r="D508" s="546">
        <v>44561.0</v>
      </c>
      <c r="J508" s="405"/>
      <c r="N508" s="83"/>
      <c r="O508" s="544"/>
      <c r="R508" s="83"/>
    </row>
    <row r="509">
      <c r="A509" s="523" t="str">
        <f t="shared" si="24"/>
        <v/>
      </c>
      <c r="B509" s="524" t="str">
        <f t="shared" si="25"/>
        <v/>
      </c>
      <c r="C509" s="632"/>
      <c r="D509" s="546">
        <v>44561.0</v>
      </c>
      <c r="J509" s="405"/>
      <c r="N509" s="83"/>
      <c r="O509" s="544"/>
      <c r="R509" s="83"/>
    </row>
    <row r="510">
      <c r="A510" s="523" t="str">
        <f t="shared" si="24"/>
        <v/>
      </c>
      <c r="B510" s="524" t="str">
        <f t="shared" si="25"/>
        <v/>
      </c>
      <c r="C510" s="632"/>
      <c r="D510" s="546">
        <v>44561.0</v>
      </c>
      <c r="J510" s="405"/>
      <c r="N510" s="83"/>
      <c r="O510" s="544"/>
      <c r="R510" s="83"/>
    </row>
    <row r="511">
      <c r="A511" s="523" t="str">
        <f t="shared" si="24"/>
        <v/>
      </c>
      <c r="B511" s="524" t="str">
        <f t="shared" si="25"/>
        <v/>
      </c>
      <c r="C511" s="632"/>
      <c r="D511" s="546">
        <v>44561.0</v>
      </c>
      <c r="J511" s="405"/>
      <c r="N511" s="83"/>
      <c r="O511" s="544"/>
      <c r="R511" s="83"/>
    </row>
    <row r="512">
      <c r="A512" s="523" t="str">
        <f t="shared" si="24"/>
        <v/>
      </c>
      <c r="B512" s="524" t="str">
        <f t="shared" si="25"/>
        <v/>
      </c>
      <c r="C512" s="632"/>
      <c r="D512" s="546">
        <v>44561.0</v>
      </c>
      <c r="J512" s="405"/>
      <c r="N512" s="83"/>
      <c r="O512" s="544"/>
      <c r="R512" s="83"/>
    </row>
    <row r="513">
      <c r="A513" s="523" t="str">
        <f t="shared" si="24"/>
        <v/>
      </c>
      <c r="B513" s="524" t="str">
        <f t="shared" si="25"/>
        <v/>
      </c>
      <c r="C513" s="632"/>
      <c r="D513" s="546">
        <v>44561.0</v>
      </c>
      <c r="J513" s="405"/>
      <c r="N513" s="83"/>
      <c r="O513" s="544"/>
      <c r="R513" s="83"/>
    </row>
    <row r="514">
      <c r="A514" s="523" t="str">
        <f t="shared" si="24"/>
        <v/>
      </c>
      <c r="B514" s="524" t="str">
        <f t="shared" si="25"/>
        <v/>
      </c>
      <c r="C514" s="632"/>
      <c r="D514" s="546">
        <v>44561.0</v>
      </c>
      <c r="J514" s="405"/>
      <c r="N514" s="83"/>
      <c r="O514" s="544"/>
      <c r="R514" s="83"/>
    </row>
    <row r="515">
      <c r="A515" s="523" t="str">
        <f t="shared" si="24"/>
        <v/>
      </c>
      <c r="B515" s="524" t="str">
        <f t="shared" si="25"/>
        <v/>
      </c>
      <c r="C515" s="632"/>
      <c r="D515" s="546">
        <v>44561.0</v>
      </c>
      <c r="J515" s="405"/>
      <c r="N515" s="83"/>
      <c r="O515" s="544"/>
      <c r="R515" s="83"/>
    </row>
    <row r="516">
      <c r="A516" s="523" t="str">
        <f t="shared" si="24"/>
        <v/>
      </c>
      <c r="B516" s="524" t="str">
        <f t="shared" si="25"/>
        <v/>
      </c>
      <c r="C516" s="632"/>
      <c r="D516" s="546">
        <v>44561.0</v>
      </c>
      <c r="J516" s="405"/>
      <c r="N516" s="83"/>
      <c r="O516" s="544"/>
      <c r="R516" s="83"/>
    </row>
    <row r="517">
      <c r="A517" s="523" t="str">
        <f t="shared" si="24"/>
        <v/>
      </c>
      <c r="B517" s="524" t="str">
        <f t="shared" si="25"/>
        <v/>
      </c>
      <c r="C517" s="632"/>
      <c r="D517" s="546">
        <v>44561.0</v>
      </c>
      <c r="J517" s="405"/>
      <c r="N517" s="83"/>
      <c r="O517" s="544"/>
      <c r="R517" s="83"/>
    </row>
    <row r="518">
      <c r="A518" s="523" t="str">
        <f t="shared" si="24"/>
        <v/>
      </c>
      <c r="B518" s="524" t="str">
        <f t="shared" si="25"/>
        <v/>
      </c>
      <c r="C518" s="632"/>
      <c r="D518" s="546">
        <v>44561.0</v>
      </c>
      <c r="J518" s="405"/>
      <c r="N518" s="83"/>
      <c r="O518" s="544"/>
      <c r="R518" s="83"/>
    </row>
    <row r="519">
      <c r="A519" s="523" t="str">
        <f t="shared" si="24"/>
        <v/>
      </c>
      <c r="B519" s="524" t="str">
        <f t="shared" si="25"/>
        <v/>
      </c>
      <c r="C519" s="632"/>
      <c r="D519" s="546">
        <v>44561.0</v>
      </c>
      <c r="J519" s="405"/>
      <c r="N519" s="83"/>
      <c r="O519" s="544"/>
      <c r="R519" s="83"/>
    </row>
    <row r="520">
      <c r="A520" s="523" t="str">
        <f t="shared" si="24"/>
        <v/>
      </c>
      <c r="B520" s="524" t="str">
        <f t="shared" si="25"/>
        <v/>
      </c>
      <c r="C520" s="632"/>
      <c r="D520" s="546">
        <v>44561.0</v>
      </c>
      <c r="J520" s="405"/>
      <c r="N520" s="83"/>
      <c r="O520" s="544"/>
      <c r="R520" s="83"/>
    </row>
    <row r="521">
      <c r="A521" s="523" t="str">
        <f t="shared" si="24"/>
        <v/>
      </c>
      <c r="B521" s="524" t="str">
        <f t="shared" si="25"/>
        <v/>
      </c>
      <c r="C521" s="632"/>
      <c r="D521" s="546">
        <v>44561.0</v>
      </c>
      <c r="J521" s="405"/>
      <c r="N521" s="83"/>
      <c r="O521" s="544"/>
      <c r="R521" s="83"/>
    </row>
    <row r="522">
      <c r="A522" s="523" t="str">
        <f t="shared" si="24"/>
        <v/>
      </c>
      <c r="B522" s="524" t="str">
        <f t="shared" si="25"/>
        <v/>
      </c>
      <c r="C522" s="632"/>
      <c r="D522" s="546">
        <v>44561.0</v>
      </c>
      <c r="J522" s="405"/>
      <c r="N522" s="83"/>
      <c r="O522" s="544"/>
      <c r="R522" s="83"/>
    </row>
    <row r="523">
      <c r="A523" s="523" t="str">
        <f t="shared" si="24"/>
        <v/>
      </c>
      <c r="B523" s="524" t="str">
        <f t="shared" si="25"/>
        <v/>
      </c>
      <c r="C523" s="632"/>
      <c r="D523" s="546">
        <v>44561.0</v>
      </c>
      <c r="J523" s="405"/>
      <c r="N523" s="83"/>
      <c r="O523" s="544"/>
      <c r="R523" s="83"/>
    </row>
    <row r="524">
      <c r="A524" s="523" t="str">
        <f t="shared" si="24"/>
        <v/>
      </c>
      <c r="B524" s="524" t="str">
        <f t="shared" si="25"/>
        <v/>
      </c>
      <c r="C524" s="632"/>
      <c r="D524" s="546">
        <v>44561.0</v>
      </c>
      <c r="J524" s="405"/>
      <c r="N524" s="83"/>
      <c r="O524" s="544"/>
      <c r="R524" s="83"/>
    </row>
    <row r="525">
      <c r="A525" s="523" t="str">
        <f t="shared" si="24"/>
        <v/>
      </c>
      <c r="B525" s="524" t="str">
        <f t="shared" si="25"/>
        <v/>
      </c>
      <c r="C525" s="632"/>
      <c r="D525" s="546">
        <v>44561.0</v>
      </c>
      <c r="J525" s="405"/>
      <c r="N525" s="83"/>
      <c r="O525" s="544"/>
      <c r="R525" s="83"/>
    </row>
    <row r="526">
      <c r="A526" s="523" t="str">
        <f t="shared" si="24"/>
        <v/>
      </c>
      <c r="B526" s="524" t="str">
        <f t="shared" si="25"/>
        <v/>
      </c>
      <c r="C526" s="632"/>
      <c r="D526" s="546">
        <v>44561.0</v>
      </c>
      <c r="J526" s="405"/>
      <c r="N526" s="83"/>
      <c r="O526" s="544"/>
      <c r="R526" s="83"/>
    </row>
    <row r="527">
      <c r="A527" s="523" t="str">
        <f t="shared" si="24"/>
        <v/>
      </c>
      <c r="B527" s="524" t="str">
        <f t="shared" si="25"/>
        <v/>
      </c>
      <c r="C527" s="632"/>
      <c r="D527" s="546">
        <v>44561.0</v>
      </c>
      <c r="J527" s="405"/>
      <c r="N527" s="83"/>
      <c r="O527" s="544"/>
      <c r="R527" s="83"/>
    </row>
    <row r="528">
      <c r="A528" s="523" t="str">
        <f t="shared" si="24"/>
        <v/>
      </c>
      <c r="B528" s="524" t="str">
        <f t="shared" si="25"/>
        <v/>
      </c>
      <c r="C528" s="632"/>
      <c r="D528" s="546">
        <v>44561.0</v>
      </c>
      <c r="J528" s="405"/>
      <c r="N528" s="83"/>
      <c r="O528" s="544"/>
      <c r="R528" s="83"/>
    </row>
    <row r="529">
      <c r="A529" s="523" t="str">
        <f t="shared" si="24"/>
        <v/>
      </c>
      <c r="B529" s="524" t="str">
        <f t="shared" si="25"/>
        <v/>
      </c>
      <c r="C529" s="632"/>
      <c r="D529" s="546">
        <v>44561.0</v>
      </c>
      <c r="J529" s="405"/>
      <c r="N529" s="83"/>
      <c r="O529" s="544"/>
      <c r="R529" s="83"/>
    </row>
    <row r="530">
      <c r="A530" s="523" t="str">
        <f t="shared" si="24"/>
        <v/>
      </c>
      <c r="B530" s="524" t="str">
        <f t="shared" si="25"/>
        <v/>
      </c>
      <c r="C530" s="632"/>
      <c r="D530" s="546">
        <v>44561.0</v>
      </c>
      <c r="J530" s="405"/>
      <c r="N530" s="83"/>
      <c r="O530" s="544"/>
      <c r="R530" s="83"/>
    </row>
    <row r="531">
      <c r="A531" s="523" t="str">
        <f t="shared" si="24"/>
        <v/>
      </c>
      <c r="B531" s="524" t="str">
        <f t="shared" si="25"/>
        <v/>
      </c>
      <c r="C531" s="632"/>
      <c r="D531" s="546">
        <v>44561.0</v>
      </c>
      <c r="J531" s="405"/>
      <c r="N531" s="83"/>
      <c r="O531" s="544"/>
      <c r="R531" s="83"/>
    </row>
    <row r="532">
      <c r="A532" s="523" t="str">
        <f t="shared" si="24"/>
        <v/>
      </c>
      <c r="B532" s="524" t="str">
        <f t="shared" si="25"/>
        <v/>
      </c>
      <c r="C532" s="632"/>
      <c r="D532" s="546">
        <v>44561.0</v>
      </c>
      <c r="J532" s="405"/>
      <c r="N532" s="83"/>
      <c r="O532" s="544"/>
      <c r="R532" s="83"/>
    </row>
    <row r="533">
      <c r="A533" s="523" t="str">
        <f t="shared" si="24"/>
        <v/>
      </c>
      <c r="B533" s="524" t="str">
        <f t="shared" si="25"/>
        <v/>
      </c>
      <c r="C533" s="632"/>
      <c r="D533" s="546">
        <v>44561.0</v>
      </c>
      <c r="J533" s="405"/>
      <c r="N533" s="83"/>
      <c r="O533" s="544"/>
      <c r="R533" s="83"/>
    </row>
    <row r="534">
      <c r="A534" s="523" t="str">
        <f t="shared" si="24"/>
        <v/>
      </c>
      <c r="B534" s="524" t="str">
        <f t="shared" si="25"/>
        <v/>
      </c>
      <c r="C534" s="632"/>
      <c r="D534" s="546">
        <v>44561.0</v>
      </c>
      <c r="J534" s="405"/>
      <c r="N534" s="83"/>
      <c r="O534" s="544"/>
      <c r="R534" s="83"/>
    </row>
    <row r="535">
      <c r="A535" s="523" t="str">
        <f t="shared" si="24"/>
        <v/>
      </c>
      <c r="B535" s="524" t="str">
        <f t="shared" si="25"/>
        <v/>
      </c>
      <c r="C535" s="632"/>
      <c r="D535" s="546">
        <v>44561.0</v>
      </c>
      <c r="J535" s="405"/>
      <c r="N535" s="83"/>
      <c r="O535" s="544"/>
      <c r="R535" s="83"/>
    </row>
    <row r="536">
      <c r="A536" s="523" t="str">
        <f t="shared" si="24"/>
        <v/>
      </c>
      <c r="B536" s="524" t="str">
        <f t="shared" si="25"/>
        <v/>
      </c>
      <c r="C536" s="632"/>
      <c r="D536" s="546">
        <v>44561.0</v>
      </c>
      <c r="J536" s="405"/>
      <c r="N536" s="83"/>
      <c r="O536" s="544"/>
      <c r="R536" s="83"/>
    </row>
    <row r="537">
      <c r="A537" s="523" t="str">
        <f t="shared" si="24"/>
        <v/>
      </c>
      <c r="B537" s="524" t="str">
        <f t="shared" si="25"/>
        <v/>
      </c>
      <c r="C537" s="632"/>
      <c r="D537" s="546">
        <v>44561.0</v>
      </c>
      <c r="J537" s="405"/>
      <c r="N537" s="83"/>
      <c r="O537" s="544"/>
      <c r="R537" s="83"/>
    </row>
    <row r="538">
      <c r="A538" s="523" t="str">
        <f t="shared" si="24"/>
        <v/>
      </c>
      <c r="B538" s="524" t="str">
        <f t="shared" si="25"/>
        <v/>
      </c>
      <c r="C538" s="632"/>
      <c r="D538" s="546">
        <v>44561.0</v>
      </c>
      <c r="J538" s="405"/>
      <c r="N538" s="83"/>
      <c r="O538" s="544"/>
      <c r="R538" s="83"/>
    </row>
    <row r="539">
      <c r="A539" s="523" t="str">
        <f t="shared" si="24"/>
        <v/>
      </c>
      <c r="B539" s="524" t="str">
        <f t="shared" si="25"/>
        <v/>
      </c>
      <c r="C539" s="632"/>
      <c r="D539" s="546">
        <v>44561.0</v>
      </c>
      <c r="J539" s="405"/>
      <c r="N539" s="83"/>
      <c r="O539" s="544"/>
      <c r="R539" s="83"/>
    </row>
    <row r="540">
      <c r="A540" s="523" t="str">
        <f t="shared" si="24"/>
        <v/>
      </c>
      <c r="B540" s="524" t="str">
        <f t="shared" si="25"/>
        <v/>
      </c>
      <c r="C540" s="632"/>
      <c r="D540" s="546">
        <v>44561.0</v>
      </c>
      <c r="J540" s="405"/>
      <c r="N540" s="83"/>
      <c r="O540" s="544"/>
      <c r="R540" s="83"/>
    </row>
    <row r="541">
      <c r="A541" s="523" t="str">
        <f t="shared" si="24"/>
        <v/>
      </c>
      <c r="B541" s="524" t="str">
        <f t="shared" si="25"/>
        <v/>
      </c>
      <c r="C541" s="632"/>
      <c r="D541" s="546">
        <v>44561.0</v>
      </c>
      <c r="J541" s="405"/>
      <c r="N541" s="83"/>
      <c r="O541" s="544"/>
      <c r="R541" s="83"/>
    </row>
    <row r="542">
      <c r="A542" s="523" t="str">
        <f t="shared" si="24"/>
        <v/>
      </c>
      <c r="B542" s="524" t="str">
        <f t="shared" si="25"/>
        <v/>
      </c>
      <c r="C542" s="632"/>
      <c r="D542" s="546">
        <v>44561.0</v>
      </c>
      <c r="J542" s="405"/>
      <c r="N542" s="83"/>
      <c r="O542" s="544"/>
      <c r="R542" s="83"/>
    </row>
    <row r="543">
      <c r="A543" s="523" t="str">
        <f t="shared" si="24"/>
        <v/>
      </c>
      <c r="B543" s="524" t="str">
        <f t="shared" si="25"/>
        <v/>
      </c>
      <c r="C543" s="632"/>
      <c r="D543" s="546">
        <v>44561.0</v>
      </c>
      <c r="J543" s="405"/>
      <c r="N543" s="83"/>
      <c r="O543" s="544"/>
      <c r="R543" s="83"/>
    </row>
    <row r="544">
      <c r="A544" s="523" t="str">
        <f t="shared" si="24"/>
        <v/>
      </c>
      <c r="B544" s="524" t="str">
        <f t="shared" si="25"/>
        <v/>
      </c>
      <c r="C544" s="632"/>
      <c r="D544" s="546">
        <v>44561.0</v>
      </c>
      <c r="J544" s="405"/>
      <c r="N544" s="83"/>
      <c r="O544" s="544"/>
      <c r="R544" s="83"/>
    </row>
    <row r="545">
      <c r="A545" s="523" t="str">
        <f t="shared" si="24"/>
        <v/>
      </c>
      <c r="B545" s="524" t="str">
        <f t="shared" si="25"/>
        <v/>
      </c>
      <c r="C545" s="632"/>
      <c r="D545" s="546">
        <v>44561.0</v>
      </c>
      <c r="J545" s="405"/>
      <c r="N545" s="83"/>
      <c r="O545" s="544"/>
      <c r="R545" s="83"/>
    </row>
    <row r="546">
      <c r="A546" s="523" t="str">
        <f t="shared" si="24"/>
        <v/>
      </c>
      <c r="B546" s="524" t="str">
        <f t="shared" si="25"/>
        <v/>
      </c>
      <c r="C546" s="632"/>
      <c r="D546" s="546">
        <v>44561.0</v>
      </c>
      <c r="J546" s="405"/>
      <c r="N546" s="83"/>
      <c r="O546" s="544"/>
      <c r="R546" s="83"/>
    </row>
    <row r="547">
      <c r="A547" s="523" t="str">
        <f t="shared" si="24"/>
        <v/>
      </c>
      <c r="B547" s="524" t="str">
        <f t="shared" si="25"/>
        <v/>
      </c>
      <c r="C547" s="632"/>
      <c r="D547" s="546">
        <v>44561.0</v>
      </c>
      <c r="J547" s="405"/>
      <c r="N547" s="83"/>
      <c r="O547" s="544"/>
      <c r="R547" s="83"/>
    </row>
    <row r="548">
      <c r="A548" s="523" t="str">
        <f t="shared" si="24"/>
        <v/>
      </c>
      <c r="B548" s="524" t="str">
        <f t="shared" si="25"/>
        <v/>
      </c>
      <c r="C548" s="632"/>
      <c r="D548" s="546">
        <v>44561.0</v>
      </c>
      <c r="J548" s="405"/>
      <c r="N548" s="83"/>
      <c r="O548" s="544"/>
      <c r="R548" s="83"/>
    </row>
    <row r="549">
      <c r="D549" s="529"/>
      <c r="J549" s="405"/>
      <c r="K549" s="58" t="s">
        <v>645</v>
      </c>
      <c r="N549" s="83"/>
      <c r="O549" s="405"/>
      <c r="R549" s="83"/>
    </row>
    <row r="550">
      <c r="C550" s="632"/>
      <c r="D550" s="546"/>
      <c r="J550" s="405"/>
      <c r="N550" s="83"/>
      <c r="O550" s="544"/>
      <c r="R550" s="83"/>
    </row>
    <row r="551">
      <c r="C551" s="632"/>
      <c r="D551" s="546"/>
      <c r="J551" s="405"/>
      <c r="N551" s="83"/>
      <c r="O551" s="544"/>
      <c r="R551" s="83"/>
    </row>
    <row r="552">
      <c r="C552" s="632"/>
      <c r="D552" s="546"/>
      <c r="J552" s="405"/>
      <c r="N552" s="83"/>
      <c r="O552" s="544"/>
      <c r="R552" s="83"/>
    </row>
    <row r="553">
      <c r="C553" s="632"/>
      <c r="D553" s="546"/>
      <c r="J553" s="405"/>
      <c r="N553" s="83"/>
      <c r="O553" s="544"/>
      <c r="R553" s="83"/>
    </row>
    <row r="554">
      <c r="C554" s="632"/>
      <c r="D554" s="546"/>
      <c r="J554" s="405"/>
      <c r="N554" s="83"/>
      <c r="O554" s="544"/>
      <c r="R554" s="83"/>
    </row>
    <row r="555">
      <c r="C555" s="632"/>
      <c r="D555" s="546"/>
      <c r="J555" s="405"/>
      <c r="N555" s="83"/>
      <c r="O555" s="544"/>
      <c r="R555" s="83"/>
    </row>
    <row r="556">
      <c r="C556" s="632"/>
      <c r="D556" s="546"/>
      <c r="J556" s="405"/>
      <c r="N556" s="83"/>
      <c r="O556" s="544"/>
      <c r="R556" s="83"/>
    </row>
    <row r="557">
      <c r="C557" s="632"/>
      <c r="D557" s="546"/>
      <c r="J557" s="405"/>
      <c r="N557" s="83"/>
      <c r="O557" s="544"/>
      <c r="R557" s="83"/>
    </row>
    <row r="558">
      <c r="C558" s="632"/>
      <c r="D558" s="546"/>
      <c r="J558" s="405"/>
      <c r="N558" s="83"/>
      <c r="O558" s="544"/>
      <c r="R558" s="83"/>
    </row>
    <row r="559">
      <c r="C559" s="632"/>
      <c r="D559" s="546"/>
      <c r="J559" s="405"/>
      <c r="N559" s="83"/>
      <c r="O559" s="544"/>
      <c r="R559" s="83"/>
    </row>
    <row r="560">
      <c r="C560" s="632"/>
      <c r="D560" s="546"/>
      <c r="J560" s="405"/>
      <c r="N560" s="83"/>
      <c r="O560" s="544"/>
      <c r="R560" s="83"/>
    </row>
    <row r="561">
      <c r="C561" s="632"/>
      <c r="D561" s="546"/>
      <c r="J561" s="405"/>
      <c r="N561" s="83"/>
      <c r="O561" s="544"/>
      <c r="R561" s="83"/>
    </row>
    <row r="562">
      <c r="C562" s="632"/>
      <c r="D562" s="546"/>
      <c r="J562" s="405"/>
      <c r="N562" s="83"/>
      <c r="O562" s="544"/>
      <c r="R562" s="83"/>
    </row>
    <row r="563">
      <c r="C563" s="632"/>
      <c r="D563" s="546"/>
      <c r="J563" s="405"/>
      <c r="N563" s="83"/>
      <c r="O563" s="544"/>
      <c r="R563" s="83"/>
    </row>
    <row r="564">
      <c r="C564" s="632"/>
      <c r="D564" s="546"/>
      <c r="J564" s="405"/>
      <c r="N564" s="83"/>
      <c r="O564" s="544"/>
      <c r="R564" s="83"/>
    </row>
    <row r="565">
      <c r="C565" s="632"/>
      <c r="D565" s="546"/>
      <c r="J565" s="405"/>
      <c r="N565" s="83"/>
      <c r="O565" s="544"/>
      <c r="R565" s="83"/>
    </row>
    <row r="566">
      <c r="C566" s="632"/>
      <c r="D566" s="546"/>
      <c r="J566" s="405"/>
      <c r="N566" s="83"/>
      <c r="O566" s="544"/>
      <c r="R566" s="83"/>
    </row>
    <row r="567">
      <c r="C567" s="632"/>
      <c r="D567" s="546"/>
      <c r="J567" s="405"/>
      <c r="N567" s="83"/>
      <c r="O567" s="544"/>
      <c r="R567" s="83"/>
    </row>
    <row r="568">
      <c r="C568" s="632"/>
      <c r="D568" s="546"/>
      <c r="J568" s="405"/>
      <c r="N568" s="83"/>
      <c r="O568" s="544"/>
      <c r="R568" s="83"/>
    </row>
    <row r="569">
      <c r="C569" s="632"/>
      <c r="D569" s="632"/>
      <c r="J569" s="405"/>
      <c r="N569" s="83"/>
      <c r="O569" s="544"/>
      <c r="R569" s="83"/>
    </row>
    <row r="570">
      <c r="C570" s="632"/>
      <c r="D570" s="632"/>
      <c r="J570" s="405"/>
      <c r="N570" s="83"/>
      <c r="O570" s="544"/>
      <c r="R570" s="83"/>
    </row>
    <row r="571">
      <c r="C571" s="632"/>
      <c r="D571" s="632"/>
      <c r="J571" s="405"/>
      <c r="N571" s="83"/>
      <c r="O571" s="544"/>
      <c r="R571" s="83"/>
    </row>
    <row r="572">
      <c r="C572" s="632"/>
      <c r="D572" s="632"/>
      <c r="J572" s="405"/>
      <c r="N572" s="83"/>
      <c r="O572" s="544"/>
      <c r="R572" s="83"/>
    </row>
    <row r="573">
      <c r="C573" s="632"/>
      <c r="D573" s="632"/>
      <c r="J573" s="405"/>
      <c r="N573" s="83"/>
      <c r="O573" s="544"/>
      <c r="R573" s="83"/>
    </row>
    <row r="574">
      <c r="C574" s="632"/>
      <c r="D574" s="632"/>
      <c r="J574" s="405"/>
      <c r="N574" s="83"/>
      <c r="O574" s="544"/>
      <c r="R574" s="83"/>
    </row>
    <row r="575">
      <c r="C575" s="632"/>
      <c r="D575" s="632"/>
      <c r="J575" s="405"/>
      <c r="N575" s="83"/>
      <c r="O575" s="544"/>
      <c r="R575" s="83"/>
    </row>
    <row r="576">
      <c r="C576" s="632"/>
      <c r="D576" s="632"/>
      <c r="J576" s="405"/>
      <c r="N576" s="83"/>
      <c r="O576" s="544"/>
      <c r="R576" s="83"/>
    </row>
    <row r="577">
      <c r="C577" s="632"/>
      <c r="D577" s="632"/>
      <c r="J577" s="405"/>
      <c r="N577" s="83"/>
      <c r="O577" s="544"/>
      <c r="R577" s="83"/>
    </row>
    <row r="578">
      <c r="C578" s="632"/>
      <c r="D578" s="632"/>
      <c r="J578" s="405"/>
      <c r="N578" s="83"/>
      <c r="O578" s="544"/>
      <c r="R578" s="83"/>
    </row>
    <row r="579">
      <c r="C579" s="632"/>
      <c r="D579" s="632"/>
      <c r="J579" s="405"/>
      <c r="N579" s="83"/>
      <c r="O579" s="544"/>
      <c r="R579" s="83"/>
    </row>
    <row r="580">
      <c r="C580" s="632"/>
      <c r="D580" s="632"/>
      <c r="J580" s="405"/>
      <c r="N580" s="83"/>
      <c r="O580" s="544"/>
      <c r="R580" s="83"/>
    </row>
    <row r="581">
      <c r="C581" s="632"/>
      <c r="D581" s="632"/>
      <c r="J581" s="405"/>
      <c r="N581" s="83"/>
      <c r="O581" s="544"/>
      <c r="R581" s="83"/>
    </row>
    <row r="582">
      <c r="C582" s="632"/>
      <c r="D582" s="632"/>
      <c r="J582" s="405"/>
      <c r="N582" s="83"/>
      <c r="O582" s="544"/>
      <c r="R582" s="83"/>
    </row>
    <row r="583">
      <c r="C583" s="632"/>
      <c r="D583" s="632"/>
      <c r="J583" s="405"/>
      <c r="N583" s="83"/>
      <c r="O583" s="544"/>
      <c r="R583" s="83"/>
    </row>
    <row r="584">
      <c r="C584" s="632"/>
      <c r="D584" s="632"/>
      <c r="J584" s="405"/>
      <c r="N584" s="83"/>
      <c r="O584" s="544"/>
      <c r="R584" s="83"/>
    </row>
    <row r="585">
      <c r="C585" s="632"/>
      <c r="D585" s="632"/>
      <c r="J585" s="405"/>
      <c r="N585" s="83"/>
      <c r="O585" s="544"/>
      <c r="R585" s="83"/>
    </row>
    <row r="586">
      <c r="C586" s="632"/>
      <c r="D586" s="632"/>
      <c r="J586" s="405"/>
      <c r="N586" s="83"/>
      <c r="O586" s="544"/>
      <c r="R586" s="83"/>
    </row>
    <row r="587">
      <c r="C587" s="632"/>
      <c r="D587" s="632"/>
      <c r="J587" s="405"/>
      <c r="N587" s="83"/>
      <c r="O587" s="544"/>
      <c r="R587" s="83"/>
    </row>
    <row r="588">
      <c r="C588" s="632"/>
      <c r="D588" s="632"/>
      <c r="J588" s="405"/>
      <c r="N588" s="83"/>
      <c r="O588" s="544"/>
      <c r="R588" s="83"/>
    </row>
    <row r="589">
      <c r="C589" s="632"/>
      <c r="D589" s="632"/>
      <c r="J589" s="405"/>
      <c r="N589" s="83"/>
      <c r="O589" s="544"/>
      <c r="R589" s="83"/>
    </row>
    <row r="590">
      <c r="C590" s="632"/>
      <c r="D590" s="632"/>
      <c r="J590" s="405"/>
      <c r="N590" s="83"/>
      <c r="O590" s="544"/>
      <c r="R590" s="83"/>
    </row>
    <row r="591">
      <c r="C591" s="632"/>
      <c r="D591" s="632"/>
      <c r="J591" s="405"/>
      <c r="N591" s="83"/>
      <c r="O591" s="544"/>
      <c r="R591" s="83"/>
    </row>
    <row r="592">
      <c r="C592" s="632"/>
      <c r="D592" s="632"/>
      <c r="J592" s="405"/>
      <c r="N592" s="83"/>
      <c r="O592" s="544"/>
      <c r="R592" s="83"/>
    </row>
    <row r="593">
      <c r="C593" s="632"/>
      <c r="D593" s="632"/>
      <c r="J593" s="405"/>
      <c r="N593" s="83"/>
      <c r="O593" s="544"/>
      <c r="R593" s="83"/>
    </row>
    <row r="594">
      <c r="C594" s="632"/>
      <c r="D594" s="632"/>
      <c r="J594" s="405"/>
      <c r="N594" s="83"/>
      <c r="O594" s="544"/>
      <c r="R594" s="83"/>
    </row>
    <row r="595">
      <c r="C595" s="632"/>
      <c r="D595" s="632"/>
      <c r="J595" s="405"/>
      <c r="N595" s="83"/>
      <c r="O595" s="544"/>
      <c r="R595" s="83"/>
    </row>
    <row r="596">
      <c r="C596" s="632"/>
      <c r="D596" s="632"/>
      <c r="J596" s="405"/>
      <c r="N596" s="83"/>
      <c r="O596" s="544"/>
      <c r="R596" s="83"/>
    </row>
    <row r="597">
      <c r="C597" s="632"/>
      <c r="D597" s="632"/>
      <c r="J597" s="405"/>
      <c r="N597" s="83"/>
      <c r="O597" s="544"/>
      <c r="R597" s="83"/>
    </row>
    <row r="598">
      <c r="C598" s="632"/>
      <c r="D598" s="632"/>
      <c r="J598" s="405"/>
      <c r="N598" s="83"/>
      <c r="O598" s="544"/>
      <c r="R598" s="83"/>
    </row>
    <row r="599">
      <c r="C599" s="546"/>
      <c r="D599" s="546"/>
      <c r="J599" s="405"/>
      <c r="O599" s="607"/>
      <c r="R599" s="83"/>
    </row>
    <row r="600">
      <c r="C600" s="632"/>
      <c r="D600" s="632"/>
      <c r="J600" s="405"/>
      <c r="O600" s="607"/>
      <c r="R600" s="83"/>
    </row>
    <row r="601">
      <c r="C601" s="632"/>
      <c r="D601" s="632"/>
      <c r="J601" s="405"/>
      <c r="O601" s="607"/>
      <c r="R601" s="83"/>
    </row>
    <row r="602">
      <c r="C602" s="632"/>
      <c r="D602" s="632"/>
      <c r="J602" s="405"/>
      <c r="O602" s="607"/>
      <c r="R602" s="83"/>
    </row>
    <row r="603">
      <c r="C603" s="632"/>
      <c r="D603" s="632"/>
      <c r="J603" s="405"/>
      <c r="O603" s="607"/>
      <c r="R603" s="83"/>
    </row>
    <row r="604">
      <c r="C604" s="632"/>
      <c r="D604" s="632"/>
      <c r="J604" s="405"/>
      <c r="O604" s="607"/>
      <c r="R604" s="83"/>
    </row>
    <row r="605">
      <c r="C605" s="632"/>
      <c r="D605" s="632"/>
      <c r="J605" s="405"/>
      <c r="O605" s="607"/>
      <c r="R605" s="83"/>
    </row>
    <row r="606">
      <c r="C606" s="632"/>
      <c r="D606" s="632"/>
      <c r="J606" s="405"/>
      <c r="O606" s="607"/>
      <c r="R606" s="83"/>
    </row>
    <row r="607">
      <c r="C607" s="632"/>
      <c r="D607" s="632"/>
      <c r="J607" s="405"/>
      <c r="O607" s="607"/>
      <c r="R607" s="83"/>
    </row>
    <row r="608">
      <c r="C608" s="632"/>
      <c r="D608" s="632"/>
      <c r="J608" s="405"/>
      <c r="O608" s="607"/>
      <c r="R608" s="83"/>
    </row>
    <row r="609">
      <c r="C609" s="632"/>
      <c r="D609" s="632"/>
      <c r="J609" s="405"/>
      <c r="O609" s="607"/>
      <c r="R609" s="83"/>
    </row>
    <row r="610">
      <c r="C610" s="632"/>
      <c r="D610" s="632"/>
      <c r="J610" s="405"/>
      <c r="O610" s="607"/>
      <c r="R610" s="83"/>
    </row>
    <row r="611">
      <c r="C611" s="632"/>
      <c r="D611" s="632"/>
      <c r="J611" s="405"/>
      <c r="O611" s="607"/>
      <c r="R611" s="83"/>
    </row>
    <row r="612">
      <c r="C612" s="632"/>
      <c r="D612" s="632"/>
      <c r="J612" s="405"/>
      <c r="O612" s="607"/>
      <c r="R612" s="83"/>
    </row>
    <row r="613">
      <c r="C613" s="632"/>
      <c r="D613" s="632"/>
      <c r="J613" s="405"/>
      <c r="O613" s="607"/>
      <c r="R613" s="83"/>
    </row>
    <row r="614">
      <c r="C614" s="632"/>
      <c r="D614" s="632"/>
      <c r="J614" s="405"/>
      <c r="O614" s="607"/>
      <c r="R614" s="83"/>
    </row>
    <row r="615">
      <c r="C615" s="632"/>
      <c r="D615" s="632"/>
      <c r="J615" s="405"/>
      <c r="O615" s="607"/>
      <c r="R615" s="83"/>
    </row>
    <row r="616">
      <c r="C616" s="632"/>
      <c r="D616" s="632"/>
      <c r="J616" s="405"/>
      <c r="O616" s="607"/>
      <c r="R616" s="83"/>
    </row>
    <row r="617">
      <c r="C617" s="632"/>
      <c r="D617" s="632"/>
      <c r="J617" s="405"/>
      <c r="O617" s="607"/>
      <c r="R617" s="83"/>
    </row>
    <row r="618">
      <c r="C618" s="632"/>
      <c r="D618" s="632"/>
      <c r="J618" s="405"/>
      <c r="O618" s="607"/>
      <c r="R618" s="83"/>
    </row>
    <row r="619">
      <c r="C619" s="632"/>
      <c r="D619" s="632"/>
      <c r="J619" s="405"/>
      <c r="O619" s="607"/>
      <c r="R619" s="83"/>
    </row>
    <row r="620">
      <c r="C620" s="632"/>
      <c r="D620" s="632"/>
      <c r="J620" s="405"/>
      <c r="O620" s="607"/>
      <c r="R620" s="83"/>
    </row>
    <row r="621">
      <c r="C621" s="632"/>
      <c r="D621" s="632"/>
      <c r="J621" s="405"/>
      <c r="O621" s="607"/>
      <c r="R621" s="83"/>
    </row>
    <row r="622">
      <c r="C622" s="632"/>
      <c r="D622" s="632"/>
      <c r="J622" s="405"/>
      <c r="O622" s="607"/>
      <c r="R622" s="83"/>
    </row>
    <row r="623">
      <c r="C623" s="632"/>
      <c r="D623" s="632"/>
      <c r="J623" s="405"/>
      <c r="O623" s="607"/>
      <c r="R623" s="83"/>
    </row>
    <row r="624">
      <c r="C624" s="632"/>
      <c r="D624" s="632"/>
      <c r="J624" s="405"/>
      <c r="O624" s="607"/>
      <c r="R624" s="83"/>
    </row>
    <row r="625">
      <c r="C625" s="632"/>
      <c r="D625" s="632"/>
      <c r="J625" s="405"/>
      <c r="O625" s="607"/>
      <c r="R625" s="83"/>
    </row>
    <row r="626">
      <c r="C626" s="632"/>
      <c r="D626" s="632"/>
      <c r="J626" s="405"/>
      <c r="O626" s="607"/>
      <c r="R626" s="83"/>
    </row>
    <row r="627">
      <c r="C627" s="632"/>
      <c r="D627" s="632"/>
      <c r="J627" s="405"/>
      <c r="O627" s="607"/>
      <c r="R627" s="83"/>
    </row>
    <row r="628">
      <c r="C628" s="632"/>
      <c r="D628" s="632"/>
      <c r="J628" s="405"/>
      <c r="O628" s="607"/>
      <c r="R628" s="83"/>
    </row>
    <row r="629">
      <c r="C629" s="632"/>
      <c r="D629" s="632"/>
      <c r="J629" s="405"/>
      <c r="O629" s="607"/>
      <c r="R629" s="83"/>
    </row>
    <row r="630">
      <c r="C630" s="632"/>
      <c r="D630" s="632"/>
      <c r="J630" s="405"/>
      <c r="O630" s="607"/>
      <c r="R630" s="83"/>
    </row>
    <row r="631">
      <c r="C631" s="632"/>
      <c r="D631" s="632"/>
      <c r="J631" s="405"/>
      <c r="O631" s="607"/>
      <c r="R631" s="83"/>
    </row>
    <row r="632">
      <c r="C632" s="632"/>
      <c r="D632" s="632"/>
      <c r="J632" s="405"/>
      <c r="O632" s="607"/>
      <c r="R632" s="83"/>
    </row>
    <row r="633">
      <c r="C633" s="632"/>
      <c r="D633" s="632"/>
      <c r="J633" s="405"/>
      <c r="O633" s="607"/>
      <c r="R633" s="83"/>
    </row>
    <row r="634">
      <c r="C634" s="632"/>
      <c r="D634" s="632"/>
      <c r="J634" s="405"/>
      <c r="O634" s="607"/>
      <c r="R634" s="83"/>
    </row>
    <row r="635">
      <c r="C635" s="632"/>
      <c r="D635" s="632"/>
      <c r="J635" s="405"/>
      <c r="O635" s="607"/>
      <c r="R635" s="83"/>
    </row>
    <row r="636">
      <c r="C636" s="632"/>
      <c r="D636" s="632"/>
      <c r="J636" s="405"/>
      <c r="O636" s="607"/>
      <c r="R636" s="83"/>
    </row>
    <row r="637">
      <c r="C637" s="632"/>
      <c r="D637" s="632"/>
      <c r="J637" s="405"/>
      <c r="O637" s="607"/>
      <c r="R637" s="83"/>
    </row>
    <row r="638">
      <c r="C638" s="632"/>
      <c r="D638" s="632"/>
      <c r="J638" s="405"/>
      <c r="O638" s="607"/>
      <c r="R638" s="83"/>
    </row>
    <row r="639">
      <c r="C639" s="632"/>
      <c r="D639" s="632"/>
      <c r="J639" s="405"/>
      <c r="O639" s="607"/>
      <c r="R639" s="83"/>
    </row>
    <row r="640">
      <c r="C640" s="632"/>
      <c r="D640" s="632"/>
      <c r="J640" s="405"/>
      <c r="O640" s="607"/>
      <c r="R640" s="83"/>
    </row>
    <row r="641">
      <c r="C641" s="632"/>
      <c r="D641" s="632"/>
      <c r="J641" s="405"/>
      <c r="O641" s="607"/>
      <c r="R641" s="83"/>
    </row>
    <row r="642">
      <c r="C642" s="632"/>
      <c r="D642" s="632"/>
      <c r="J642" s="405"/>
      <c r="O642" s="607"/>
      <c r="R642" s="83"/>
    </row>
    <row r="643">
      <c r="C643" s="632"/>
      <c r="D643" s="632"/>
      <c r="J643" s="405"/>
      <c r="O643" s="607"/>
      <c r="R643" s="83"/>
    </row>
    <row r="644">
      <c r="C644" s="632"/>
      <c r="D644" s="632"/>
      <c r="J644" s="405"/>
      <c r="O644" s="607"/>
      <c r="R644" s="83"/>
    </row>
    <row r="645">
      <c r="C645" s="632"/>
      <c r="D645" s="632"/>
      <c r="J645" s="405"/>
      <c r="O645" s="607"/>
      <c r="R645" s="83"/>
    </row>
    <row r="646">
      <c r="C646" s="632"/>
      <c r="D646" s="632"/>
      <c r="J646" s="405"/>
      <c r="O646" s="607"/>
      <c r="R646" s="83"/>
    </row>
    <row r="647">
      <c r="C647" s="632"/>
      <c r="D647" s="632"/>
      <c r="J647" s="405"/>
      <c r="O647" s="607"/>
      <c r="R647" s="83"/>
    </row>
    <row r="648">
      <c r="C648" s="632"/>
      <c r="D648" s="632"/>
      <c r="J648" s="405"/>
      <c r="O648" s="607"/>
      <c r="R648" s="83"/>
    </row>
    <row r="649">
      <c r="C649" s="632"/>
      <c r="D649" s="632"/>
      <c r="J649" s="405"/>
      <c r="O649" s="607"/>
      <c r="R649" s="83"/>
    </row>
    <row r="650">
      <c r="C650" s="632"/>
      <c r="D650" s="632"/>
      <c r="J650" s="405"/>
      <c r="O650" s="607"/>
      <c r="R650" s="83"/>
    </row>
    <row r="651">
      <c r="C651" s="632"/>
      <c r="D651" s="632"/>
      <c r="J651" s="405"/>
      <c r="O651" s="607"/>
      <c r="R651" s="83"/>
    </row>
    <row r="652">
      <c r="C652" s="632"/>
      <c r="D652" s="632"/>
      <c r="J652" s="405"/>
      <c r="O652" s="607"/>
      <c r="R652" s="83"/>
    </row>
    <row r="653">
      <c r="C653" s="632"/>
      <c r="D653" s="632"/>
      <c r="J653" s="405"/>
      <c r="O653" s="607"/>
      <c r="R653" s="83"/>
    </row>
    <row r="654">
      <c r="C654" s="632"/>
      <c r="D654" s="632"/>
      <c r="J654" s="405"/>
      <c r="O654" s="607"/>
      <c r="R654" s="83"/>
    </row>
    <row r="655">
      <c r="C655" s="632"/>
      <c r="D655" s="632"/>
      <c r="J655" s="405"/>
      <c r="O655" s="607"/>
      <c r="R655" s="83"/>
    </row>
    <row r="656">
      <c r="C656" s="632"/>
      <c r="D656" s="632"/>
      <c r="J656" s="405"/>
      <c r="O656" s="607"/>
      <c r="R656" s="83"/>
    </row>
    <row r="657">
      <c r="C657" s="632"/>
      <c r="D657" s="632"/>
      <c r="J657" s="405"/>
      <c r="O657" s="607"/>
      <c r="R657" s="83"/>
    </row>
    <row r="658">
      <c r="C658" s="632"/>
      <c r="D658" s="632"/>
      <c r="J658" s="405"/>
      <c r="O658" s="607"/>
      <c r="R658" s="83"/>
    </row>
    <row r="659">
      <c r="C659" s="632"/>
      <c r="D659" s="632"/>
      <c r="J659" s="405"/>
      <c r="O659" s="607"/>
      <c r="R659" s="83"/>
    </row>
    <row r="660">
      <c r="C660" s="632"/>
      <c r="D660" s="632"/>
      <c r="J660" s="405"/>
      <c r="O660" s="607"/>
      <c r="R660" s="83"/>
    </row>
    <row r="661">
      <c r="C661" s="632"/>
      <c r="D661" s="632"/>
      <c r="J661" s="405"/>
      <c r="O661" s="607"/>
      <c r="R661" s="83"/>
    </row>
    <row r="662">
      <c r="C662" s="632"/>
      <c r="D662" s="632"/>
      <c r="J662" s="405"/>
      <c r="O662" s="607"/>
      <c r="R662" s="83"/>
    </row>
    <row r="663">
      <c r="C663" s="632"/>
      <c r="D663" s="632"/>
      <c r="J663" s="405"/>
      <c r="O663" s="607"/>
      <c r="R663" s="83"/>
    </row>
    <row r="664">
      <c r="C664" s="632"/>
      <c r="D664" s="632"/>
      <c r="J664" s="405"/>
      <c r="O664" s="607"/>
      <c r="R664" s="83"/>
    </row>
    <row r="665">
      <c r="C665" s="632"/>
      <c r="D665" s="632"/>
      <c r="J665" s="405"/>
      <c r="O665" s="607"/>
      <c r="R665" s="83"/>
    </row>
    <row r="666">
      <c r="C666" s="632"/>
      <c r="D666" s="632"/>
      <c r="J666" s="405"/>
      <c r="O666" s="607"/>
      <c r="R666" s="83"/>
    </row>
    <row r="667">
      <c r="C667" s="632"/>
      <c r="D667" s="632"/>
      <c r="J667" s="405"/>
      <c r="O667" s="607"/>
      <c r="R667" s="83"/>
    </row>
    <row r="668">
      <c r="C668" s="632"/>
      <c r="D668" s="632"/>
      <c r="J668" s="405"/>
      <c r="O668" s="607"/>
      <c r="R668" s="83"/>
    </row>
    <row r="669">
      <c r="C669" s="632"/>
      <c r="D669" s="632"/>
      <c r="J669" s="405"/>
      <c r="O669" s="607"/>
      <c r="R669" s="83"/>
    </row>
    <row r="670">
      <c r="C670" s="632"/>
      <c r="D670" s="632"/>
      <c r="J670" s="405"/>
      <c r="O670" s="607"/>
      <c r="R670" s="83"/>
    </row>
    <row r="671">
      <c r="C671" s="632"/>
      <c r="D671" s="632"/>
      <c r="J671" s="405"/>
      <c r="O671" s="607"/>
      <c r="R671" s="83"/>
    </row>
    <row r="672">
      <c r="C672" s="632"/>
      <c r="D672" s="632"/>
      <c r="J672" s="405"/>
      <c r="O672" s="607"/>
      <c r="R672" s="83"/>
    </row>
    <row r="673">
      <c r="C673" s="632"/>
      <c r="D673" s="632"/>
      <c r="J673" s="405"/>
      <c r="O673" s="607"/>
      <c r="R673" s="83"/>
    </row>
    <row r="674">
      <c r="C674" s="632"/>
      <c r="D674" s="632"/>
      <c r="J674" s="405"/>
      <c r="O674" s="607"/>
      <c r="R674" s="83"/>
    </row>
    <row r="675">
      <c r="C675" s="632"/>
      <c r="D675" s="632"/>
      <c r="J675" s="405"/>
      <c r="O675" s="607"/>
      <c r="R675" s="83"/>
    </row>
    <row r="676">
      <c r="C676" s="632"/>
      <c r="D676" s="632"/>
      <c r="J676" s="405"/>
      <c r="O676" s="607"/>
      <c r="R676" s="83"/>
    </row>
    <row r="677">
      <c r="C677" s="632"/>
      <c r="D677" s="632"/>
      <c r="J677" s="405"/>
      <c r="O677" s="607"/>
      <c r="R677" s="83"/>
    </row>
    <row r="678">
      <c r="C678" s="632"/>
      <c r="D678" s="632"/>
      <c r="J678" s="405"/>
      <c r="O678" s="607"/>
      <c r="R678" s="83"/>
    </row>
    <row r="679">
      <c r="C679" s="632"/>
      <c r="D679" s="632"/>
      <c r="J679" s="405"/>
      <c r="O679" s="607"/>
      <c r="R679" s="83"/>
    </row>
    <row r="680">
      <c r="C680" s="632"/>
      <c r="D680" s="632"/>
      <c r="J680" s="405"/>
      <c r="O680" s="607"/>
      <c r="R680" s="83"/>
    </row>
    <row r="681">
      <c r="C681" s="632"/>
      <c r="D681" s="632"/>
      <c r="J681" s="405"/>
      <c r="O681" s="607"/>
      <c r="R681" s="83"/>
    </row>
    <row r="682">
      <c r="C682" s="632"/>
      <c r="D682" s="632"/>
      <c r="J682" s="405"/>
      <c r="O682" s="607"/>
      <c r="R682" s="83"/>
    </row>
    <row r="683">
      <c r="C683" s="632"/>
      <c r="D683" s="632"/>
      <c r="J683" s="405"/>
      <c r="O683" s="607"/>
      <c r="R683" s="83"/>
    </row>
    <row r="684">
      <c r="C684" s="632"/>
      <c r="D684" s="632"/>
      <c r="J684" s="405"/>
      <c r="O684" s="607"/>
      <c r="R684" s="83"/>
    </row>
    <row r="685">
      <c r="C685" s="632"/>
      <c r="D685" s="632"/>
      <c r="J685" s="405"/>
      <c r="O685" s="607"/>
      <c r="R685" s="83"/>
    </row>
    <row r="686">
      <c r="C686" s="632"/>
      <c r="D686" s="632"/>
      <c r="J686" s="405"/>
      <c r="O686" s="607"/>
      <c r="R686" s="83"/>
    </row>
    <row r="687">
      <c r="C687" s="632"/>
      <c r="D687" s="632"/>
      <c r="J687" s="405"/>
      <c r="O687" s="607"/>
      <c r="R687" s="83"/>
    </row>
    <row r="688">
      <c r="C688" s="632"/>
      <c r="D688" s="632"/>
      <c r="J688" s="405"/>
      <c r="O688" s="607"/>
      <c r="R688" s="83"/>
    </row>
    <row r="689">
      <c r="C689" s="632"/>
      <c r="D689" s="632"/>
      <c r="J689" s="405"/>
      <c r="O689" s="607"/>
      <c r="R689" s="83"/>
    </row>
    <row r="690">
      <c r="C690" s="632"/>
      <c r="D690" s="632"/>
      <c r="J690" s="405"/>
      <c r="O690" s="607"/>
      <c r="R690" s="83"/>
    </row>
    <row r="691">
      <c r="C691" s="632"/>
      <c r="D691" s="632"/>
      <c r="J691" s="405"/>
      <c r="O691" s="607"/>
      <c r="R691" s="83"/>
    </row>
    <row r="692">
      <c r="C692" s="632"/>
      <c r="D692" s="632"/>
      <c r="J692" s="405"/>
      <c r="O692" s="607"/>
      <c r="R692" s="83"/>
    </row>
    <row r="693">
      <c r="C693" s="632"/>
      <c r="D693" s="632"/>
      <c r="J693" s="405"/>
      <c r="O693" s="607"/>
      <c r="R693" s="83"/>
    </row>
    <row r="694">
      <c r="C694" s="632"/>
      <c r="D694" s="632"/>
      <c r="J694" s="405"/>
      <c r="O694" s="607"/>
      <c r="R694" s="83"/>
    </row>
    <row r="695">
      <c r="C695" s="632"/>
      <c r="D695" s="632"/>
      <c r="J695" s="405"/>
      <c r="O695" s="607"/>
      <c r="R695" s="83"/>
    </row>
    <row r="696">
      <c r="C696" s="632"/>
      <c r="D696" s="632"/>
      <c r="J696" s="405"/>
      <c r="O696" s="607"/>
      <c r="R696" s="83"/>
    </row>
    <row r="697">
      <c r="C697" s="632"/>
      <c r="D697" s="632"/>
      <c r="J697" s="405"/>
      <c r="O697" s="607"/>
      <c r="R697" s="83"/>
    </row>
    <row r="698">
      <c r="C698" s="632"/>
      <c r="D698" s="632"/>
      <c r="J698" s="405"/>
      <c r="O698" s="607"/>
      <c r="R698" s="83"/>
    </row>
    <row r="699">
      <c r="C699" s="632"/>
      <c r="D699" s="632"/>
      <c r="J699" s="405"/>
      <c r="O699" s="607"/>
      <c r="R699" s="83"/>
    </row>
    <row r="700">
      <c r="C700" s="632"/>
      <c r="D700" s="632"/>
      <c r="J700" s="405"/>
      <c r="O700" s="607"/>
      <c r="R700" s="83"/>
    </row>
    <row r="701">
      <c r="C701" s="632"/>
      <c r="D701" s="632"/>
      <c r="J701" s="405"/>
      <c r="O701" s="607"/>
      <c r="R701" s="83"/>
    </row>
    <row r="702">
      <c r="C702" s="632"/>
      <c r="D702" s="632"/>
      <c r="J702" s="405"/>
      <c r="O702" s="607"/>
      <c r="R702" s="83"/>
    </row>
    <row r="703">
      <c r="C703" s="632"/>
      <c r="D703" s="632"/>
      <c r="J703" s="405"/>
      <c r="O703" s="607"/>
      <c r="R703" s="83"/>
    </row>
    <row r="704">
      <c r="C704" s="632"/>
      <c r="D704" s="632"/>
      <c r="J704" s="405"/>
      <c r="O704" s="607"/>
      <c r="R704" s="83"/>
    </row>
    <row r="705">
      <c r="C705" s="632"/>
      <c r="D705" s="632"/>
      <c r="J705" s="405"/>
      <c r="O705" s="607"/>
      <c r="R705" s="83"/>
    </row>
    <row r="706">
      <c r="C706" s="632"/>
      <c r="D706" s="632"/>
      <c r="J706" s="405"/>
      <c r="O706" s="607"/>
      <c r="R706" s="83"/>
    </row>
    <row r="707">
      <c r="C707" s="632"/>
      <c r="D707" s="632"/>
      <c r="J707" s="405"/>
      <c r="O707" s="607"/>
      <c r="R707" s="83"/>
    </row>
    <row r="708">
      <c r="C708" s="632"/>
      <c r="D708" s="632"/>
      <c r="J708" s="405"/>
      <c r="O708" s="607"/>
      <c r="R708" s="83"/>
    </row>
    <row r="709">
      <c r="C709" s="632"/>
      <c r="D709" s="632"/>
      <c r="J709" s="405"/>
      <c r="O709" s="607"/>
      <c r="R709" s="83"/>
    </row>
    <row r="710">
      <c r="C710" s="632"/>
      <c r="D710" s="632"/>
      <c r="J710" s="405"/>
      <c r="O710" s="607"/>
      <c r="R710" s="83"/>
    </row>
    <row r="711">
      <c r="C711" s="632"/>
      <c r="D711" s="632"/>
      <c r="J711" s="405"/>
      <c r="O711" s="607"/>
      <c r="R711" s="83"/>
    </row>
    <row r="712">
      <c r="C712" s="632"/>
      <c r="D712" s="632"/>
      <c r="J712" s="405"/>
      <c r="O712" s="607"/>
      <c r="R712" s="83"/>
    </row>
    <row r="713">
      <c r="C713" s="632"/>
      <c r="D713" s="632"/>
      <c r="J713" s="405"/>
      <c r="O713" s="607"/>
      <c r="R713" s="83"/>
    </row>
    <row r="714">
      <c r="C714" s="632"/>
      <c r="D714" s="632"/>
      <c r="J714" s="405"/>
      <c r="O714" s="607"/>
      <c r="R714" s="83"/>
    </row>
    <row r="715">
      <c r="C715" s="632"/>
      <c r="D715" s="632"/>
      <c r="J715" s="405"/>
      <c r="O715" s="607"/>
      <c r="R715" s="83"/>
    </row>
    <row r="716">
      <c r="C716" s="632"/>
      <c r="D716" s="632"/>
      <c r="J716" s="405"/>
      <c r="O716" s="607"/>
      <c r="R716" s="83"/>
    </row>
    <row r="717">
      <c r="C717" s="632"/>
      <c r="D717" s="632"/>
      <c r="J717" s="405"/>
      <c r="O717" s="607"/>
      <c r="R717" s="83"/>
    </row>
    <row r="718">
      <c r="C718" s="632"/>
      <c r="D718" s="632"/>
      <c r="J718" s="405"/>
      <c r="O718" s="607"/>
      <c r="R718" s="83"/>
    </row>
    <row r="719">
      <c r="C719" s="632"/>
      <c r="D719" s="632"/>
      <c r="J719" s="405"/>
      <c r="O719" s="607"/>
      <c r="R719" s="83"/>
    </row>
    <row r="720">
      <c r="C720" s="632"/>
      <c r="D720" s="632"/>
      <c r="J720" s="405"/>
      <c r="O720" s="607"/>
      <c r="R720" s="83"/>
    </row>
    <row r="721">
      <c r="C721" s="632"/>
      <c r="D721" s="632"/>
      <c r="J721" s="405"/>
      <c r="O721" s="607"/>
      <c r="R721" s="83"/>
    </row>
    <row r="722">
      <c r="C722" s="632"/>
      <c r="D722" s="632"/>
      <c r="J722" s="405"/>
      <c r="O722" s="607"/>
      <c r="R722" s="83"/>
    </row>
    <row r="723">
      <c r="C723" s="632"/>
      <c r="D723" s="632"/>
      <c r="J723" s="405"/>
      <c r="O723" s="607"/>
      <c r="R723" s="83"/>
    </row>
    <row r="724">
      <c r="C724" s="632"/>
      <c r="D724" s="632"/>
      <c r="J724" s="405"/>
      <c r="O724" s="607"/>
      <c r="R724" s="83"/>
    </row>
    <row r="725">
      <c r="C725" s="632"/>
      <c r="D725" s="632"/>
      <c r="J725" s="405"/>
      <c r="O725" s="607"/>
      <c r="R725" s="83"/>
    </row>
    <row r="726">
      <c r="C726" s="632"/>
      <c r="D726" s="632"/>
      <c r="J726" s="405"/>
      <c r="O726" s="607"/>
      <c r="R726" s="83"/>
    </row>
    <row r="727">
      <c r="C727" s="632"/>
      <c r="D727" s="632"/>
      <c r="J727" s="405"/>
      <c r="O727" s="607"/>
      <c r="R727" s="83"/>
    </row>
    <row r="728">
      <c r="C728" s="632"/>
      <c r="D728" s="632"/>
      <c r="J728" s="405"/>
      <c r="O728" s="607"/>
      <c r="R728" s="83"/>
    </row>
    <row r="729">
      <c r="C729" s="632"/>
      <c r="D729" s="632"/>
      <c r="J729" s="405"/>
      <c r="O729" s="607"/>
      <c r="R729" s="83"/>
    </row>
    <row r="730">
      <c r="C730" s="632"/>
      <c r="D730" s="632"/>
      <c r="J730" s="405"/>
      <c r="O730" s="607"/>
      <c r="R730" s="83"/>
    </row>
    <row r="731">
      <c r="C731" s="632"/>
      <c r="D731" s="632"/>
      <c r="J731" s="405"/>
      <c r="O731" s="607"/>
      <c r="R731" s="83"/>
    </row>
    <row r="732">
      <c r="C732" s="632"/>
      <c r="D732" s="632"/>
      <c r="J732" s="405"/>
      <c r="O732" s="607"/>
      <c r="R732" s="83"/>
    </row>
    <row r="733">
      <c r="C733" s="632"/>
      <c r="D733" s="632"/>
      <c r="J733" s="405"/>
      <c r="O733" s="607"/>
      <c r="R733" s="83"/>
    </row>
    <row r="734">
      <c r="C734" s="632"/>
      <c r="D734" s="632"/>
      <c r="J734" s="405"/>
      <c r="O734" s="607"/>
      <c r="R734" s="83"/>
    </row>
    <row r="735">
      <c r="C735" s="632"/>
      <c r="D735" s="632"/>
      <c r="J735" s="405"/>
      <c r="O735" s="607"/>
      <c r="R735" s="83"/>
    </row>
    <row r="736">
      <c r="C736" s="632"/>
      <c r="D736" s="632"/>
      <c r="J736" s="405"/>
      <c r="O736" s="607"/>
      <c r="R736" s="83"/>
    </row>
    <row r="737">
      <c r="C737" s="632"/>
      <c r="D737" s="632"/>
      <c r="J737" s="405"/>
      <c r="O737" s="607"/>
      <c r="R737" s="83"/>
    </row>
    <row r="738">
      <c r="C738" s="632"/>
      <c r="D738" s="632"/>
      <c r="J738" s="405"/>
      <c r="O738" s="607"/>
      <c r="R738" s="83"/>
    </row>
    <row r="739">
      <c r="C739" s="632"/>
      <c r="D739" s="632"/>
      <c r="J739" s="405"/>
      <c r="O739" s="607"/>
      <c r="R739" s="83"/>
    </row>
    <row r="740">
      <c r="C740" s="632"/>
      <c r="D740" s="632"/>
      <c r="J740" s="405"/>
      <c r="O740" s="607"/>
      <c r="R740" s="83"/>
    </row>
    <row r="741">
      <c r="C741" s="632"/>
      <c r="D741" s="632"/>
      <c r="J741" s="405"/>
      <c r="O741" s="607"/>
      <c r="R741" s="83"/>
    </row>
    <row r="742">
      <c r="C742" s="632"/>
      <c r="D742" s="632"/>
      <c r="J742" s="405"/>
      <c r="O742" s="607"/>
      <c r="R742" s="83"/>
    </row>
    <row r="743">
      <c r="C743" s="632"/>
      <c r="D743" s="632"/>
      <c r="J743" s="405"/>
      <c r="O743" s="607"/>
      <c r="R743" s="83"/>
    </row>
    <row r="744">
      <c r="C744" s="632"/>
      <c r="D744" s="632"/>
      <c r="J744" s="405"/>
      <c r="O744" s="607"/>
      <c r="R744" s="83"/>
    </row>
    <row r="745">
      <c r="C745" s="632"/>
      <c r="D745" s="632"/>
      <c r="J745" s="405"/>
      <c r="O745" s="607"/>
      <c r="R745" s="83"/>
    </row>
    <row r="746">
      <c r="C746" s="632"/>
      <c r="D746" s="632"/>
      <c r="J746" s="405"/>
      <c r="O746" s="607"/>
      <c r="R746" s="83"/>
    </row>
    <row r="747">
      <c r="C747" s="632"/>
      <c r="D747" s="632"/>
      <c r="J747" s="405"/>
      <c r="O747" s="607"/>
      <c r="R747" s="83"/>
    </row>
    <row r="748">
      <c r="C748" s="632"/>
      <c r="D748" s="632"/>
      <c r="J748" s="405"/>
      <c r="O748" s="607"/>
      <c r="R748" s="83"/>
    </row>
    <row r="749">
      <c r="C749" s="632"/>
      <c r="D749" s="632"/>
      <c r="J749" s="405"/>
      <c r="O749" s="607"/>
      <c r="R749" s="83"/>
    </row>
    <row r="750">
      <c r="C750" s="632"/>
      <c r="D750" s="632"/>
      <c r="J750" s="405"/>
      <c r="O750" s="607"/>
      <c r="R750" s="83"/>
    </row>
    <row r="751">
      <c r="C751" s="632"/>
      <c r="D751" s="632"/>
      <c r="J751" s="405"/>
      <c r="O751" s="607"/>
      <c r="R751" s="83"/>
    </row>
    <row r="752">
      <c r="C752" s="632"/>
      <c r="D752" s="632"/>
      <c r="J752" s="405"/>
      <c r="O752" s="607"/>
      <c r="R752" s="83"/>
    </row>
    <row r="753">
      <c r="C753" s="632"/>
      <c r="D753" s="632"/>
      <c r="J753" s="405"/>
      <c r="O753" s="607"/>
      <c r="R753" s="83"/>
    </row>
    <row r="754">
      <c r="C754" s="632"/>
      <c r="D754" s="632"/>
      <c r="J754" s="405"/>
      <c r="O754" s="607"/>
      <c r="R754" s="83"/>
    </row>
    <row r="755">
      <c r="C755" s="632"/>
      <c r="D755" s="632"/>
      <c r="J755" s="405"/>
      <c r="O755" s="607"/>
      <c r="R755" s="83"/>
    </row>
    <row r="756">
      <c r="C756" s="632"/>
      <c r="D756" s="632"/>
      <c r="J756" s="405"/>
      <c r="O756" s="607"/>
      <c r="R756" s="83"/>
    </row>
    <row r="757">
      <c r="C757" s="632"/>
      <c r="D757" s="632"/>
      <c r="J757" s="405"/>
      <c r="O757" s="607"/>
      <c r="R757" s="83"/>
    </row>
    <row r="758">
      <c r="C758" s="632"/>
      <c r="D758" s="632"/>
      <c r="J758" s="405"/>
      <c r="O758" s="607"/>
      <c r="R758" s="83"/>
    </row>
    <row r="759">
      <c r="C759" s="632"/>
      <c r="D759" s="632"/>
      <c r="J759" s="405"/>
      <c r="O759" s="607"/>
      <c r="R759" s="83"/>
    </row>
    <row r="760">
      <c r="C760" s="632"/>
      <c r="D760" s="632"/>
      <c r="J760" s="405"/>
      <c r="O760" s="607"/>
      <c r="R760" s="83"/>
    </row>
    <row r="761">
      <c r="C761" s="632"/>
      <c r="D761" s="632"/>
      <c r="J761" s="405"/>
      <c r="O761" s="607"/>
      <c r="R761" s="83"/>
    </row>
    <row r="762">
      <c r="C762" s="632"/>
      <c r="D762" s="632"/>
      <c r="J762" s="405"/>
      <c r="O762" s="607"/>
      <c r="R762" s="83"/>
    </row>
    <row r="763">
      <c r="C763" s="632"/>
      <c r="D763" s="632"/>
      <c r="J763" s="405"/>
      <c r="O763" s="607"/>
      <c r="R763" s="83"/>
    </row>
    <row r="764">
      <c r="C764" s="632"/>
      <c r="D764" s="632"/>
      <c r="J764" s="405"/>
      <c r="O764" s="607"/>
      <c r="R764" s="83"/>
    </row>
    <row r="765">
      <c r="C765" s="632"/>
      <c r="D765" s="632"/>
      <c r="J765" s="405"/>
      <c r="O765" s="607"/>
      <c r="R765" s="83"/>
    </row>
    <row r="766">
      <c r="C766" s="632"/>
      <c r="D766" s="632"/>
      <c r="J766" s="405"/>
      <c r="O766" s="607"/>
      <c r="R766" s="83"/>
    </row>
    <row r="767">
      <c r="C767" s="632"/>
      <c r="D767" s="632"/>
      <c r="J767" s="405"/>
      <c r="O767" s="607"/>
      <c r="R767" s="83"/>
    </row>
    <row r="768">
      <c r="C768" s="632"/>
      <c r="D768" s="632"/>
      <c r="J768" s="405"/>
      <c r="O768" s="607"/>
      <c r="R768" s="83"/>
    </row>
    <row r="769">
      <c r="C769" s="632"/>
      <c r="D769" s="632"/>
      <c r="J769" s="405"/>
      <c r="O769" s="607"/>
      <c r="R769" s="83"/>
    </row>
    <row r="770">
      <c r="C770" s="632"/>
      <c r="D770" s="632"/>
      <c r="J770" s="405"/>
      <c r="O770" s="607"/>
      <c r="R770" s="83"/>
    </row>
    <row r="771">
      <c r="C771" s="632"/>
      <c r="D771" s="632"/>
      <c r="J771" s="405"/>
      <c r="O771" s="607"/>
      <c r="R771" s="83"/>
    </row>
    <row r="772">
      <c r="C772" s="632"/>
      <c r="D772" s="632"/>
      <c r="J772" s="405"/>
      <c r="O772" s="607"/>
      <c r="R772" s="83"/>
    </row>
    <row r="773">
      <c r="C773" s="632"/>
      <c r="D773" s="632"/>
      <c r="J773" s="405"/>
      <c r="O773" s="607"/>
      <c r="R773" s="83"/>
    </row>
    <row r="774">
      <c r="C774" s="632"/>
      <c r="D774" s="632"/>
      <c r="J774" s="405"/>
      <c r="O774" s="607"/>
      <c r="R774" s="83"/>
    </row>
    <row r="775">
      <c r="C775" s="632"/>
      <c r="D775" s="632"/>
      <c r="J775" s="405"/>
      <c r="O775" s="607"/>
      <c r="R775" s="83"/>
    </row>
    <row r="776">
      <c r="C776" s="632"/>
      <c r="D776" s="632"/>
      <c r="J776" s="405"/>
      <c r="O776" s="607"/>
      <c r="R776" s="83"/>
    </row>
    <row r="777">
      <c r="C777" s="632"/>
      <c r="D777" s="632"/>
      <c r="J777" s="405"/>
      <c r="O777" s="607"/>
      <c r="R777" s="83"/>
    </row>
    <row r="778">
      <c r="C778" s="632"/>
      <c r="D778" s="632"/>
      <c r="J778" s="405"/>
      <c r="O778" s="607"/>
      <c r="R778" s="83"/>
    </row>
    <row r="779">
      <c r="C779" s="632"/>
      <c r="D779" s="632"/>
      <c r="J779" s="405"/>
      <c r="O779" s="607"/>
      <c r="R779" s="83"/>
    </row>
    <row r="780">
      <c r="C780" s="632"/>
      <c r="D780" s="632"/>
      <c r="J780" s="405"/>
      <c r="O780" s="607"/>
      <c r="R780" s="83"/>
    </row>
    <row r="781">
      <c r="C781" s="632"/>
      <c r="D781" s="632"/>
      <c r="J781" s="405"/>
      <c r="O781" s="607"/>
      <c r="R781" s="83"/>
    </row>
    <row r="782">
      <c r="C782" s="632"/>
      <c r="D782" s="632"/>
      <c r="J782" s="405"/>
      <c r="O782" s="607"/>
      <c r="R782" s="83"/>
    </row>
    <row r="783">
      <c r="C783" s="632"/>
      <c r="D783" s="632"/>
      <c r="J783" s="405"/>
      <c r="O783" s="607"/>
      <c r="R783" s="83"/>
    </row>
    <row r="784">
      <c r="C784" s="632"/>
      <c r="D784" s="632"/>
      <c r="J784" s="405"/>
      <c r="O784" s="607"/>
      <c r="R784" s="83"/>
    </row>
    <row r="785">
      <c r="C785" s="632"/>
      <c r="D785" s="632"/>
      <c r="J785" s="405"/>
      <c r="O785" s="607"/>
      <c r="R785" s="83"/>
    </row>
    <row r="786">
      <c r="C786" s="632"/>
      <c r="D786" s="632"/>
      <c r="J786" s="405"/>
      <c r="O786" s="607"/>
      <c r="R786" s="83"/>
    </row>
    <row r="787">
      <c r="C787" s="632"/>
      <c r="D787" s="632"/>
      <c r="J787" s="405"/>
      <c r="O787" s="607"/>
      <c r="R787" s="83"/>
    </row>
    <row r="788">
      <c r="C788" s="632"/>
      <c r="D788" s="632"/>
      <c r="J788" s="405"/>
      <c r="O788" s="607"/>
      <c r="R788" s="83"/>
    </row>
    <row r="789">
      <c r="C789" s="632"/>
      <c r="D789" s="632"/>
      <c r="J789" s="405"/>
      <c r="O789" s="607"/>
      <c r="R789" s="83"/>
    </row>
    <row r="790">
      <c r="C790" s="632"/>
      <c r="D790" s="632"/>
      <c r="J790" s="405"/>
      <c r="O790" s="607"/>
      <c r="R790" s="83"/>
    </row>
    <row r="791">
      <c r="C791" s="632"/>
      <c r="D791" s="632"/>
      <c r="J791" s="405"/>
      <c r="O791" s="607"/>
      <c r="R791" s="83"/>
    </row>
    <row r="792">
      <c r="C792" s="632"/>
      <c r="D792" s="632"/>
      <c r="J792" s="405"/>
      <c r="O792" s="607"/>
      <c r="R792" s="83"/>
    </row>
    <row r="793">
      <c r="C793" s="632"/>
      <c r="D793" s="632"/>
      <c r="J793" s="405"/>
      <c r="O793" s="607"/>
      <c r="R793" s="83"/>
    </row>
    <row r="794">
      <c r="C794" s="632"/>
      <c r="D794" s="632"/>
      <c r="J794" s="405"/>
      <c r="O794" s="607"/>
      <c r="R794" s="83"/>
    </row>
    <row r="795">
      <c r="C795" s="632"/>
      <c r="D795" s="632"/>
      <c r="J795" s="405"/>
      <c r="O795" s="607"/>
      <c r="R795" s="83"/>
    </row>
    <row r="796">
      <c r="C796" s="632"/>
      <c r="D796" s="632"/>
      <c r="J796" s="405"/>
      <c r="O796" s="607"/>
      <c r="R796" s="83"/>
    </row>
    <row r="797">
      <c r="C797" s="632"/>
      <c r="D797" s="632"/>
      <c r="J797" s="405"/>
      <c r="O797" s="607"/>
      <c r="R797" s="83"/>
    </row>
    <row r="798">
      <c r="C798" s="632"/>
      <c r="D798" s="632"/>
      <c r="J798" s="405"/>
      <c r="O798" s="607"/>
      <c r="R798" s="83"/>
    </row>
    <row r="799">
      <c r="C799" s="632"/>
      <c r="D799" s="632"/>
      <c r="J799" s="405"/>
      <c r="O799" s="607"/>
      <c r="R799" s="83"/>
    </row>
    <row r="800">
      <c r="C800" s="632"/>
      <c r="D800" s="632"/>
      <c r="J800" s="405"/>
      <c r="O800" s="607"/>
      <c r="R800" s="83"/>
    </row>
    <row r="801">
      <c r="C801" s="632"/>
      <c r="D801" s="632"/>
      <c r="J801" s="405"/>
      <c r="O801" s="607"/>
      <c r="R801" s="83"/>
    </row>
    <row r="802">
      <c r="C802" s="632"/>
      <c r="D802" s="632"/>
      <c r="J802" s="405"/>
      <c r="O802" s="607"/>
      <c r="R802" s="83"/>
    </row>
    <row r="803">
      <c r="C803" s="632"/>
      <c r="D803" s="632"/>
      <c r="J803" s="405"/>
      <c r="O803" s="607"/>
      <c r="R803" s="83"/>
    </row>
    <row r="804">
      <c r="C804" s="632"/>
      <c r="D804" s="632"/>
      <c r="J804" s="405"/>
      <c r="O804" s="607"/>
      <c r="R804" s="83"/>
    </row>
    <row r="805">
      <c r="C805" s="632"/>
      <c r="D805" s="632"/>
      <c r="J805" s="405"/>
      <c r="O805" s="607"/>
      <c r="R805" s="83"/>
    </row>
    <row r="806">
      <c r="C806" s="632"/>
      <c r="D806" s="632"/>
      <c r="J806" s="405"/>
      <c r="O806" s="607"/>
      <c r="R806" s="83"/>
    </row>
    <row r="807">
      <c r="C807" s="632"/>
      <c r="D807" s="632"/>
      <c r="J807" s="405"/>
      <c r="O807" s="607"/>
      <c r="R807" s="83"/>
    </row>
    <row r="808">
      <c r="C808" s="632"/>
      <c r="D808" s="632"/>
      <c r="J808" s="405"/>
      <c r="O808" s="607"/>
      <c r="R808" s="83"/>
    </row>
    <row r="809">
      <c r="C809" s="632"/>
      <c r="D809" s="632"/>
      <c r="J809" s="405"/>
      <c r="O809" s="607"/>
      <c r="R809" s="83"/>
    </row>
    <row r="810">
      <c r="C810" s="632"/>
      <c r="D810" s="632"/>
      <c r="J810" s="405"/>
      <c r="O810" s="607"/>
      <c r="R810" s="83"/>
    </row>
    <row r="811">
      <c r="C811" s="632"/>
      <c r="D811" s="632"/>
      <c r="J811" s="405"/>
      <c r="O811" s="607"/>
      <c r="R811" s="83"/>
    </row>
    <row r="812">
      <c r="C812" s="632"/>
      <c r="D812" s="632"/>
      <c r="J812" s="405"/>
      <c r="O812" s="607"/>
      <c r="R812" s="83"/>
    </row>
    <row r="813">
      <c r="C813" s="632"/>
      <c r="D813" s="632"/>
      <c r="J813" s="405"/>
      <c r="O813" s="607"/>
      <c r="R813" s="83"/>
    </row>
    <row r="814">
      <c r="C814" s="632"/>
      <c r="D814" s="632"/>
      <c r="J814" s="405"/>
      <c r="O814" s="607"/>
      <c r="R814" s="83"/>
    </row>
    <row r="815">
      <c r="C815" s="632"/>
      <c r="D815" s="632"/>
      <c r="J815" s="405"/>
      <c r="O815" s="607"/>
      <c r="R815" s="83"/>
    </row>
    <row r="816">
      <c r="C816" s="632"/>
      <c r="D816" s="632"/>
      <c r="J816" s="405"/>
      <c r="O816" s="607"/>
      <c r="R816" s="83"/>
    </row>
    <row r="817">
      <c r="C817" s="632"/>
      <c r="D817" s="632"/>
      <c r="J817" s="405"/>
      <c r="O817" s="607"/>
      <c r="R817" s="83"/>
    </row>
    <row r="818">
      <c r="C818" s="632"/>
      <c r="D818" s="632"/>
      <c r="J818" s="405"/>
      <c r="O818" s="607"/>
      <c r="R818" s="83"/>
    </row>
    <row r="819">
      <c r="C819" s="632"/>
      <c r="D819" s="632"/>
      <c r="J819" s="405"/>
      <c r="O819" s="607"/>
      <c r="R819" s="83"/>
    </row>
    <row r="820">
      <c r="C820" s="632"/>
      <c r="D820" s="632"/>
      <c r="J820" s="405"/>
      <c r="O820" s="607"/>
      <c r="R820" s="83"/>
    </row>
    <row r="821">
      <c r="C821" s="632"/>
      <c r="D821" s="632"/>
      <c r="J821" s="405"/>
      <c r="O821" s="607"/>
      <c r="R821" s="83"/>
    </row>
    <row r="822">
      <c r="C822" s="632"/>
      <c r="D822" s="632"/>
      <c r="J822" s="405"/>
      <c r="O822" s="607"/>
      <c r="R822" s="83"/>
    </row>
    <row r="823">
      <c r="C823" s="632"/>
      <c r="D823" s="632"/>
      <c r="J823" s="405"/>
      <c r="O823" s="607"/>
      <c r="R823" s="83"/>
    </row>
    <row r="824">
      <c r="C824" s="632"/>
      <c r="D824" s="632"/>
      <c r="J824" s="405"/>
      <c r="O824" s="607"/>
      <c r="R824" s="83"/>
    </row>
    <row r="825">
      <c r="C825" s="632"/>
      <c r="D825" s="632"/>
      <c r="J825" s="405"/>
      <c r="O825" s="607"/>
      <c r="R825" s="83"/>
    </row>
    <row r="826">
      <c r="C826" s="632"/>
      <c r="D826" s="632"/>
      <c r="J826" s="405"/>
      <c r="O826" s="607"/>
      <c r="R826" s="83"/>
    </row>
    <row r="827">
      <c r="C827" s="632"/>
      <c r="D827" s="632"/>
      <c r="J827" s="405"/>
      <c r="O827" s="607"/>
      <c r="R827" s="83"/>
    </row>
    <row r="828">
      <c r="C828" s="632"/>
      <c r="D828" s="632"/>
      <c r="J828" s="405"/>
      <c r="O828" s="607"/>
      <c r="R828" s="83"/>
    </row>
    <row r="829">
      <c r="C829" s="632"/>
      <c r="D829" s="632"/>
      <c r="J829" s="405"/>
      <c r="O829" s="607"/>
      <c r="R829" s="83"/>
    </row>
    <row r="830">
      <c r="C830" s="632"/>
      <c r="D830" s="632"/>
      <c r="J830" s="405"/>
      <c r="O830" s="607"/>
      <c r="R830" s="83"/>
    </row>
    <row r="831">
      <c r="C831" s="632"/>
      <c r="D831" s="632"/>
      <c r="J831" s="405"/>
      <c r="O831" s="607"/>
      <c r="R831" s="83"/>
    </row>
    <row r="832">
      <c r="C832" s="632"/>
      <c r="D832" s="632"/>
      <c r="J832" s="405"/>
      <c r="O832" s="607"/>
      <c r="R832" s="83"/>
    </row>
    <row r="833">
      <c r="C833" s="632"/>
      <c r="D833" s="632"/>
      <c r="J833" s="405"/>
      <c r="O833" s="607"/>
      <c r="R833" s="83"/>
    </row>
    <row r="834">
      <c r="C834" s="632"/>
      <c r="D834" s="632"/>
      <c r="J834" s="405"/>
      <c r="O834" s="607"/>
      <c r="R834" s="83"/>
    </row>
    <row r="835">
      <c r="C835" s="632"/>
      <c r="D835" s="632"/>
      <c r="J835" s="405"/>
      <c r="O835" s="607"/>
      <c r="R835" s="83"/>
    </row>
    <row r="836">
      <c r="C836" s="632"/>
      <c r="D836" s="632"/>
      <c r="J836" s="405"/>
      <c r="O836" s="607"/>
      <c r="R836" s="83"/>
    </row>
    <row r="837">
      <c r="C837" s="632"/>
      <c r="D837" s="632"/>
      <c r="J837" s="405"/>
      <c r="O837" s="607"/>
      <c r="R837" s="83"/>
    </row>
    <row r="838">
      <c r="C838" s="632"/>
      <c r="D838" s="632"/>
      <c r="J838" s="405"/>
      <c r="O838" s="607"/>
      <c r="R838" s="83"/>
    </row>
    <row r="839">
      <c r="C839" s="632"/>
      <c r="D839" s="632"/>
      <c r="J839" s="405"/>
      <c r="O839" s="607"/>
      <c r="R839" s="83"/>
    </row>
    <row r="840">
      <c r="C840" s="632"/>
      <c r="D840" s="632"/>
      <c r="J840" s="405"/>
      <c r="O840" s="607"/>
      <c r="R840" s="83"/>
    </row>
    <row r="841">
      <c r="C841" s="632"/>
      <c r="D841" s="632"/>
      <c r="J841" s="405"/>
      <c r="O841" s="607"/>
      <c r="R841" s="83"/>
    </row>
    <row r="842">
      <c r="C842" s="632"/>
      <c r="D842" s="632"/>
      <c r="J842" s="405"/>
      <c r="O842" s="607"/>
      <c r="R842" s="83"/>
    </row>
    <row r="843">
      <c r="C843" s="632"/>
      <c r="D843" s="632"/>
      <c r="J843" s="405"/>
      <c r="O843" s="607"/>
      <c r="R843" s="83"/>
    </row>
    <row r="844">
      <c r="C844" s="632"/>
      <c r="D844" s="632"/>
      <c r="J844" s="405"/>
      <c r="O844" s="607"/>
      <c r="R844" s="83"/>
    </row>
    <row r="845">
      <c r="C845" s="632"/>
      <c r="D845" s="632"/>
      <c r="J845" s="405"/>
      <c r="O845" s="607"/>
      <c r="R845" s="83"/>
    </row>
    <row r="846">
      <c r="C846" s="632"/>
      <c r="D846" s="632"/>
      <c r="J846" s="405"/>
      <c r="O846" s="607"/>
      <c r="R846" s="83"/>
    </row>
    <row r="847">
      <c r="C847" s="632"/>
      <c r="D847" s="632"/>
      <c r="J847" s="405"/>
      <c r="O847" s="607"/>
      <c r="R847" s="83"/>
    </row>
    <row r="848">
      <c r="C848" s="632"/>
      <c r="D848" s="632"/>
      <c r="J848" s="405"/>
      <c r="O848" s="607"/>
      <c r="R848" s="83"/>
    </row>
    <row r="849">
      <c r="C849" s="632"/>
      <c r="D849" s="632"/>
      <c r="J849" s="405"/>
      <c r="O849" s="607"/>
      <c r="R849" s="83"/>
    </row>
    <row r="850">
      <c r="C850" s="632"/>
      <c r="D850" s="632"/>
      <c r="J850" s="405"/>
      <c r="O850" s="607"/>
      <c r="R850" s="83"/>
    </row>
    <row r="851">
      <c r="C851" s="632"/>
      <c r="D851" s="632"/>
      <c r="J851" s="405"/>
      <c r="O851" s="607"/>
      <c r="R851" s="83"/>
    </row>
    <row r="852">
      <c r="C852" s="632"/>
      <c r="D852" s="632"/>
      <c r="J852" s="405"/>
      <c r="O852" s="607"/>
      <c r="R852" s="83"/>
    </row>
    <row r="853">
      <c r="C853" s="632"/>
      <c r="D853" s="632"/>
      <c r="J853" s="405"/>
      <c r="O853" s="607"/>
      <c r="R853" s="83"/>
    </row>
    <row r="854">
      <c r="C854" s="632"/>
      <c r="D854" s="632"/>
      <c r="J854" s="405"/>
      <c r="O854" s="607"/>
      <c r="R854" s="83"/>
    </row>
    <row r="855">
      <c r="C855" s="632"/>
      <c r="D855" s="632"/>
      <c r="J855" s="405"/>
      <c r="O855" s="607"/>
      <c r="R855" s="83"/>
    </row>
    <row r="856">
      <c r="C856" s="632"/>
      <c r="D856" s="632"/>
      <c r="J856" s="405"/>
      <c r="O856" s="607"/>
      <c r="R856" s="83"/>
    </row>
    <row r="857">
      <c r="C857" s="632"/>
      <c r="D857" s="632"/>
      <c r="J857" s="405"/>
      <c r="O857" s="607"/>
      <c r="R857" s="83"/>
    </row>
    <row r="858">
      <c r="C858" s="632"/>
      <c r="D858" s="632"/>
      <c r="J858" s="405"/>
      <c r="O858" s="607"/>
      <c r="R858" s="83"/>
    </row>
    <row r="859">
      <c r="C859" s="632"/>
      <c r="D859" s="632"/>
      <c r="J859" s="405"/>
      <c r="O859" s="607"/>
      <c r="R859" s="83"/>
    </row>
    <row r="860">
      <c r="C860" s="632"/>
      <c r="D860" s="632"/>
      <c r="J860" s="405"/>
      <c r="O860" s="607"/>
      <c r="R860" s="83"/>
    </row>
    <row r="861">
      <c r="C861" s="632"/>
      <c r="D861" s="632"/>
      <c r="J861" s="405"/>
      <c r="O861" s="607"/>
      <c r="R861" s="83"/>
    </row>
    <row r="862">
      <c r="C862" s="632"/>
      <c r="D862" s="632"/>
      <c r="J862" s="405"/>
      <c r="O862" s="607"/>
      <c r="R862" s="83"/>
    </row>
    <row r="863">
      <c r="C863" s="632"/>
      <c r="D863" s="632"/>
      <c r="J863" s="405"/>
      <c r="O863" s="607"/>
      <c r="R863" s="83"/>
    </row>
    <row r="864">
      <c r="C864" s="632"/>
      <c r="D864" s="632"/>
      <c r="J864" s="405"/>
      <c r="O864" s="607"/>
      <c r="R864" s="83"/>
    </row>
    <row r="865">
      <c r="C865" s="632"/>
      <c r="D865" s="632"/>
      <c r="J865" s="405"/>
      <c r="O865" s="607"/>
      <c r="R865" s="83"/>
    </row>
    <row r="866">
      <c r="C866" s="632"/>
      <c r="D866" s="632"/>
      <c r="J866" s="405"/>
      <c r="O866" s="607"/>
      <c r="R866" s="83"/>
    </row>
    <row r="867">
      <c r="C867" s="632"/>
      <c r="D867" s="632"/>
      <c r="J867" s="405"/>
      <c r="O867" s="607"/>
      <c r="R867" s="83"/>
    </row>
    <row r="868">
      <c r="C868" s="632"/>
      <c r="D868" s="632"/>
      <c r="J868" s="405"/>
      <c r="O868" s="607"/>
      <c r="R868" s="83"/>
    </row>
    <row r="869">
      <c r="C869" s="632"/>
      <c r="D869" s="632"/>
      <c r="J869" s="405"/>
      <c r="O869" s="607"/>
      <c r="R869" s="83"/>
    </row>
    <row r="870">
      <c r="C870" s="632"/>
      <c r="D870" s="632"/>
      <c r="J870" s="405"/>
      <c r="O870" s="607"/>
      <c r="R870" s="83"/>
    </row>
    <row r="871">
      <c r="C871" s="632"/>
      <c r="D871" s="632"/>
      <c r="J871" s="405"/>
      <c r="O871" s="607"/>
      <c r="R871" s="83"/>
    </row>
    <row r="872">
      <c r="C872" s="632"/>
      <c r="D872" s="632"/>
      <c r="J872" s="405"/>
      <c r="O872" s="607"/>
      <c r="R872" s="83"/>
    </row>
    <row r="873">
      <c r="C873" s="632"/>
      <c r="D873" s="632"/>
      <c r="J873" s="405"/>
      <c r="O873" s="607"/>
      <c r="R873" s="83"/>
    </row>
    <row r="874">
      <c r="C874" s="632"/>
      <c r="D874" s="632"/>
      <c r="J874" s="405"/>
      <c r="O874" s="607"/>
      <c r="R874" s="83"/>
    </row>
    <row r="875">
      <c r="C875" s="632"/>
      <c r="D875" s="632"/>
      <c r="J875" s="405"/>
      <c r="O875" s="607"/>
      <c r="R875" s="83"/>
    </row>
    <row r="876">
      <c r="C876" s="632"/>
      <c r="D876" s="632"/>
      <c r="J876" s="405"/>
      <c r="O876" s="607"/>
      <c r="R876" s="83"/>
    </row>
    <row r="877">
      <c r="C877" s="632"/>
      <c r="D877" s="632"/>
      <c r="J877" s="405"/>
      <c r="O877" s="607"/>
      <c r="R877" s="83"/>
    </row>
    <row r="878">
      <c r="C878" s="632"/>
      <c r="D878" s="632"/>
      <c r="J878" s="405"/>
      <c r="O878" s="607"/>
      <c r="R878" s="83"/>
    </row>
    <row r="879">
      <c r="C879" s="632"/>
      <c r="D879" s="632"/>
      <c r="J879" s="405"/>
      <c r="O879" s="607"/>
      <c r="R879" s="83"/>
    </row>
    <row r="880">
      <c r="C880" s="632"/>
      <c r="D880" s="632"/>
      <c r="J880" s="405"/>
      <c r="O880" s="607"/>
      <c r="R880" s="83"/>
    </row>
    <row r="881">
      <c r="C881" s="632"/>
      <c r="D881" s="632"/>
      <c r="J881" s="405"/>
      <c r="O881" s="607"/>
      <c r="R881" s="83"/>
    </row>
    <row r="882">
      <c r="C882" s="632"/>
      <c r="D882" s="632"/>
      <c r="J882" s="405"/>
      <c r="O882" s="607"/>
      <c r="R882" s="83"/>
    </row>
    <row r="883">
      <c r="C883" s="632"/>
      <c r="D883" s="632"/>
      <c r="J883" s="405"/>
      <c r="O883" s="607"/>
      <c r="R883" s="83"/>
    </row>
    <row r="884">
      <c r="C884" s="632"/>
      <c r="D884" s="632"/>
      <c r="J884" s="405"/>
      <c r="O884" s="607"/>
      <c r="R884" s="83"/>
    </row>
    <row r="885">
      <c r="C885" s="632"/>
      <c r="D885" s="632"/>
      <c r="J885" s="405"/>
      <c r="O885" s="607"/>
      <c r="R885" s="83"/>
    </row>
    <row r="886">
      <c r="C886" s="632"/>
      <c r="D886" s="632"/>
      <c r="J886" s="405"/>
      <c r="O886" s="607"/>
      <c r="R886" s="83"/>
    </row>
    <row r="887">
      <c r="C887" s="632"/>
      <c r="D887" s="632"/>
      <c r="J887" s="405"/>
      <c r="O887" s="607"/>
      <c r="R887" s="83"/>
    </row>
    <row r="888">
      <c r="C888" s="632"/>
      <c r="D888" s="632"/>
      <c r="J888" s="405"/>
      <c r="O888" s="607"/>
      <c r="R888" s="83"/>
    </row>
    <row r="889">
      <c r="C889" s="632"/>
      <c r="D889" s="632"/>
      <c r="J889" s="405"/>
      <c r="O889" s="607"/>
      <c r="R889" s="83"/>
    </row>
    <row r="890">
      <c r="C890" s="632"/>
      <c r="D890" s="632"/>
      <c r="J890" s="405"/>
      <c r="O890" s="607"/>
      <c r="R890" s="83"/>
    </row>
    <row r="891">
      <c r="C891" s="632"/>
      <c r="D891" s="632"/>
      <c r="J891" s="405"/>
      <c r="O891" s="607"/>
      <c r="R891" s="83"/>
    </row>
    <row r="892">
      <c r="C892" s="632"/>
      <c r="D892" s="632"/>
      <c r="J892" s="405"/>
      <c r="O892" s="607"/>
      <c r="R892" s="83"/>
    </row>
    <row r="893">
      <c r="C893" s="632"/>
      <c r="D893" s="632"/>
      <c r="J893" s="405"/>
      <c r="O893" s="607"/>
      <c r="R893" s="83"/>
    </row>
    <row r="894">
      <c r="C894" s="632"/>
      <c r="D894" s="632"/>
      <c r="J894" s="405"/>
      <c r="O894" s="607"/>
      <c r="R894" s="83"/>
    </row>
    <row r="895">
      <c r="C895" s="632"/>
      <c r="D895" s="632"/>
      <c r="J895" s="405"/>
      <c r="O895" s="607"/>
      <c r="R895" s="83"/>
    </row>
    <row r="896">
      <c r="C896" s="632"/>
      <c r="D896" s="632"/>
      <c r="J896" s="405"/>
      <c r="O896" s="607"/>
      <c r="R896" s="83"/>
    </row>
    <row r="897">
      <c r="C897" s="632"/>
      <c r="D897" s="632"/>
      <c r="J897" s="405"/>
      <c r="O897" s="607"/>
      <c r="R897" s="83"/>
    </row>
    <row r="898">
      <c r="C898" s="632"/>
      <c r="D898" s="632"/>
      <c r="J898" s="405"/>
      <c r="O898" s="607"/>
      <c r="R898" s="83"/>
    </row>
    <row r="899">
      <c r="C899" s="632"/>
      <c r="D899" s="632"/>
      <c r="J899" s="405"/>
      <c r="O899" s="607"/>
      <c r="R899" s="83"/>
    </row>
    <row r="900">
      <c r="C900" s="632"/>
      <c r="D900" s="632"/>
      <c r="J900" s="405"/>
      <c r="O900" s="607"/>
      <c r="R900" s="83"/>
    </row>
    <row r="901">
      <c r="C901" s="632"/>
      <c r="D901" s="632"/>
      <c r="J901" s="405"/>
      <c r="O901" s="607"/>
      <c r="R901" s="83"/>
    </row>
    <row r="902">
      <c r="C902" s="632"/>
      <c r="D902" s="632"/>
      <c r="J902" s="405"/>
      <c r="O902" s="607"/>
      <c r="R902" s="83"/>
    </row>
    <row r="903">
      <c r="C903" s="632"/>
      <c r="D903" s="632"/>
      <c r="J903" s="405"/>
      <c r="O903" s="607"/>
      <c r="R903" s="83"/>
    </row>
    <row r="904">
      <c r="C904" s="632"/>
      <c r="D904" s="632"/>
      <c r="J904" s="405"/>
      <c r="O904" s="607"/>
      <c r="R904" s="83"/>
    </row>
    <row r="905">
      <c r="C905" s="632"/>
      <c r="D905" s="632"/>
      <c r="J905" s="405"/>
      <c r="O905" s="607"/>
      <c r="R905" s="83"/>
    </row>
    <row r="906">
      <c r="C906" s="632"/>
      <c r="D906" s="632"/>
      <c r="J906" s="405"/>
      <c r="O906" s="607"/>
      <c r="R906" s="83"/>
    </row>
    <row r="907">
      <c r="C907" s="632"/>
      <c r="D907" s="632"/>
      <c r="J907" s="405"/>
      <c r="O907" s="607"/>
      <c r="R907" s="83"/>
    </row>
    <row r="908">
      <c r="C908" s="632"/>
      <c r="D908" s="632"/>
      <c r="J908" s="405"/>
      <c r="O908" s="607"/>
      <c r="R908" s="83"/>
    </row>
    <row r="909">
      <c r="C909" s="632"/>
      <c r="D909" s="632"/>
      <c r="J909" s="405"/>
      <c r="O909" s="607"/>
      <c r="R909" s="83"/>
    </row>
    <row r="910">
      <c r="C910" s="632"/>
      <c r="D910" s="632"/>
      <c r="J910" s="405"/>
      <c r="O910" s="607"/>
      <c r="R910" s="83"/>
    </row>
    <row r="911">
      <c r="C911" s="632"/>
      <c r="D911" s="632"/>
      <c r="J911" s="405"/>
      <c r="O911" s="607"/>
      <c r="R911" s="83"/>
    </row>
    <row r="912">
      <c r="C912" s="632"/>
      <c r="D912" s="632"/>
      <c r="J912" s="405"/>
      <c r="O912" s="607"/>
      <c r="R912" s="83"/>
    </row>
    <row r="913">
      <c r="C913" s="632"/>
      <c r="D913" s="632"/>
      <c r="J913" s="405"/>
      <c r="O913" s="607"/>
      <c r="R913" s="83"/>
    </row>
    <row r="914">
      <c r="C914" s="632"/>
      <c r="D914" s="632"/>
      <c r="J914" s="405"/>
      <c r="O914" s="607"/>
      <c r="R914" s="83"/>
    </row>
    <row r="915">
      <c r="C915" s="632"/>
      <c r="D915" s="632"/>
      <c r="J915" s="405"/>
      <c r="O915" s="607"/>
      <c r="R915" s="83"/>
    </row>
    <row r="916">
      <c r="C916" s="632"/>
      <c r="D916" s="632"/>
      <c r="J916" s="405"/>
      <c r="O916" s="607"/>
      <c r="R916" s="83"/>
    </row>
    <row r="917">
      <c r="C917" s="632"/>
      <c r="D917" s="632"/>
      <c r="J917" s="405"/>
      <c r="O917" s="607"/>
      <c r="R917" s="83"/>
    </row>
    <row r="918">
      <c r="C918" s="632"/>
      <c r="D918" s="632"/>
      <c r="J918" s="405"/>
      <c r="O918" s="607"/>
      <c r="R918" s="83"/>
    </row>
    <row r="919">
      <c r="C919" s="632"/>
      <c r="D919" s="632"/>
      <c r="J919" s="405"/>
      <c r="O919" s="607"/>
      <c r="R919" s="83"/>
    </row>
    <row r="920">
      <c r="C920" s="632"/>
      <c r="D920" s="632"/>
      <c r="J920" s="405"/>
      <c r="O920" s="607"/>
      <c r="R920" s="83"/>
    </row>
    <row r="921">
      <c r="C921" s="632"/>
      <c r="D921" s="632"/>
      <c r="J921" s="405"/>
      <c r="O921" s="607"/>
      <c r="R921" s="83"/>
    </row>
    <row r="922">
      <c r="C922" s="632"/>
      <c r="D922" s="632"/>
      <c r="J922" s="405"/>
      <c r="O922" s="607"/>
      <c r="R922" s="83"/>
    </row>
    <row r="923">
      <c r="C923" s="632"/>
      <c r="D923" s="632"/>
      <c r="J923" s="405"/>
      <c r="O923" s="607"/>
      <c r="R923" s="83"/>
    </row>
    <row r="924">
      <c r="C924" s="632"/>
      <c r="D924" s="632"/>
      <c r="J924" s="405"/>
      <c r="O924" s="607"/>
      <c r="R924" s="83"/>
    </row>
    <row r="925">
      <c r="C925" s="632"/>
      <c r="D925" s="632"/>
      <c r="J925" s="405"/>
      <c r="O925" s="607"/>
      <c r="R925" s="83"/>
    </row>
    <row r="926">
      <c r="C926" s="632"/>
      <c r="D926" s="632"/>
      <c r="J926" s="405"/>
      <c r="O926" s="607"/>
      <c r="R926" s="83"/>
    </row>
    <row r="927">
      <c r="C927" s="632"/>
      <c r="D927" s="632"/>
      <c r="J927" s="405"/>
      <c r="O927" s="607"/>
      <c r="R927" s="83"/>
    </row>
    <row r="928">
      <c r="C928" s="632"/>
      <c r="D928" s="632"/>
      <c r="J928" s="405"/>
      <c r="O928" s="607"/>
      <c r="R928" s="83"/>
    </row>
    <row r="929">
      <c r="C929" s="632"/>
      <c r="D929" s="632"/>
      <c r="J929" s="405"/>
      <c r="O929" s="607"/>
      <c r="R929" s="83"/>
    </row>
    <row r="930">
      <c r="C930" s="632"/>
      <c r="D930" s="632"/>
      <c r="J930" s="405"/>
      <c r="O930" s="607"/>
      <c r="R930" s="83"/>
    </row>
    <row r="931">
      <c r="C931" s="632"/>
      <c r="D931" s="632"/>
      <c r="J931" s="405"/>
      <c r="O931" s="607"/>
      <c r="R931" s="83"/>
    </row>
    <row r="932">
      <c r="C932" s="632"/>
      <c r="D932" s="632"/>
      <c r="J932" s="405"/>
      <c r="O932" s="607"/>
      <c r="R932" s="83"/>
    </row>
    <row r="933">
      <c r="C933" s="632"/>
      <c r="D933" s="632"/>
      <c r="J933" s="405"/>
      <c r="O933" s="607"/>
      <c r="R933" s="83"/>
    </row>
    <row r="934">
      <c r="C934" s="632"/>
      <c r="D934" s="632"/>
      <c r="J934" s="405"/>
      <c r="O934" s="607"/>
      <c r="R934" s="83"/>
    </row>
    <row r="935">
      <c r="C935" s="632"/>
      <c r="D935" s="632"/>
      <c r="J935" s="405"/>
      <c r="O935" s="607"/>
      <c r="R935" s="83"/>
    </row>
    <row r="936">
      <c r="C936" s="632"/>
      <c r="D936" s="632"/>
      <c r="J936" s="405"/>
      <c r="O936" s="607"/>
      <c r="R936" s="83"/>
    </row>
    <row r="937">
      <c r="C937" s="632"/>
      <c r="D937" s="632"/>
      <c r="J937" s="405"/>
      <c r="O937" s="607"/>
      <c r="R937" s="83"/>
    </row>
    <row r="938">
      <c r="C938" s="632"/>
      <c r="D938" s="632"/>
      <c r="J938" s="405"/>
      <c r="O938" s="607"/>
      <c r="R938" s="83"/>
    </row>
    <row r="939">
      <c r="C939" s="632"/>
      <c r="D939" s="632"/>
      <c r="J939" s="405"/>
      <c r="O939" s="607"/>
      <c r="R939" s="83"/>
    </row>
    <row r="940">
      <c r="C940" s="632"/>
      <c r="D940" s="632"/>
      <c r="J940" s="405"/>
      <c r="O940" s="607"/>
      <c r="R940" s="83"/>
    </row>
    <row r="941">
      <c r="C941" s="632"/>
      <c r="D941" s="632"/>
      <c r="J941" s="405"/>
      <c r="O941" s="607"/>
      <c r="R941" s="83"/>
    </row>
    <row r="942">
      <c r="C942" s="632"/>
      <c r="D942" s="632"/>
      <c r="J942" s="405"/>
      <c r="O942" s="607"/>
      <c r="R942" s="83"/>
    </row>
    <row r="943">
      <c r="C943" s="632"/>
      <c r="D943" s="632"/>
      <c r="J943" s="405"/>
      <c r="O943" s="607"/>
      <c r="R943" s="83"/>
    </row>
    <row r="944">
      <c r="C944" s="632"/>
      <c r="D944" s="632"/>
      <c r="J944" s="405"/>
      <c r="O944" s="607"/>
      <c r="R944" s="83"/>
    </row>
    <row r="945">
      <c r="C945" s="632"/>
      <c r="D945" s="632"/>
      <c r="J945" s="405"/>
      <c r="O945" s="607"/>
      <c r="R945" s="83"/>
    </row>
    <row r="946">
      <c r="C946" s="632"/>
      <c r="D946" s="632"/>
      <c r="J946" s="405"/>
      <c r="O946" s="607"/>
      <c r="R946" s="83"/>
    </row>
    <row r="947">
      <c r="C947" s="632"/>
      <c r="D947" s="632"/>
      <c r="J947" s="405"/>
      <c r="O947" s="607"/>
      <c r="R947" s="83"/>
    </row>
    <row r="948">
      <c r="C948" s="632"/>
      <c r="D948" s="632"/>
      <c r="J948" s="405"/>
      <c r="O948" s="607"/>
      <c r="R948" s="83"/>
    </row>
    <row r="949">
      <c r="C949" s="632"/>
      <c r="D949" s="632"/>
      <c r="J949" s="405"/>
      <c r="O949" s="607"/>
      <c r="R949" s="83"/>
    </row>
    <row r="950">
      <c r="C950" s="632"/>
      <c r="D950" s="632"/>
      <c r="J950" s="405"/>
      <c r="O950" s="607"/>
      <c r="R950" s="83"/>
    </row>
    <row r="951">
      <c r="C951" s="632"/>
      <c r="D951" s="632"/>
      <c r="J951" s="405"/>
      <c r="O951" s="607"/>
      <c r="R951" s="83"/>
    </row>
    <row r="952">
      <c r="C952" s="632"/>
      <c r="D952" s="632"/>
      <c r="J952" s="405"/>
      <c r="O952" s="607"/>
      <c r="R952" s="83"/>
    </row>
    <row r="953">
      <c r="C953" s="632"/>
      <c r="D953" s="632"/>
      <c r="J953" s="405"/>
      <c r="O953" s="607"/>
      <c r="R953" s="83"/>
    </row>
    <row r="954">
      <c r="C954" s="632"/>
      <c r="D954" s="632"/>
      <c r="J954" s="405"/>
      <c r="O954" s="607"/>
      <c r="R954" s="83"/>
    </row>
    <row r="955">
      <c r="C955" s="632"/>
      <c r="D955" s="632"/>
      <c r="J955" s="405"/>
      <c r="O955" s="607"/>
      <c r="R955" s="83"/>
    </row>
    <row r="956">
      <c r="C956" s="632"/>
      <c r="D956" s="632"/>
      <c r="J956" s="405"/>
      <c r="O956" s="607"/>
      <c r="R956" s="83"/>
    </row>
    <row r="957">
      <c r="C957" s="632"/>
      <c r="D957" s="632"/>
      <c r="J957" s="405"/>
      <c r="O957" s="607"/>
      <c r="R957" s="83"/>
    </row>
    <row r="958">
      <c r="C958" s="632"/>
      <c r="D958" s="632"/>
      <c r="J958" s="405"/>
      <c r="O958" s="607"/>
      <c r="R958" s="83"/>
    </row>
    <row r="959">
      <c r="C959" s="632"/>
      <c r="D959" s="632"/>
      <c r="J959" s="405"/>
      <c r="O959" s="607"/>
      <c r="R959" s="83"/>
    </row>
    <row r="960">
      <c r="C960" s="632"/>
      <c r="D960" s="632"/>
      <c r="J960" s="405"/>
      <c r="O960" s="607"/>
      <c r="R960" s="83"/>
    </row>
    <row r="961">
      <c r="C961" s="632"/>
      <c r="D961" s="632"/>
      <c r="J961" s="405"/>
      <c r="O961" s="607"/>
      <c r="R961" s="83"/>
    </row>
    <row r="962">
      <c r="C962" s="632"/>
      <c r="D962" s="632"/>
      <c r="J962" s="405"/>
      <c r="O962" s="607"/>
      <c r="R962" s="83"/>
    </row>
    <row r="963">
      <c r="C963" s="632"/>
      <c r="D963" s="632"/>
      <c r="J963" s="405"/>
      <c r="O963" s="607"/>
      <c r="R963" s="83"/>
    </row>
    <row r="964">
      <c r="C964" s="632"/>
      <c r="D964" s="632"/>
      <c r="J964" s="405"/>
      <c r="O964" s="607"/>
      <c r="R964" s="83"/>
    </row>
    <row r="965">
      <c r="C965" s="632"/>
      <c r="D965" s="632"/>
      <c r="J965" s="405"/>
      <c r="O965" s="607"/>
      <c r="R965" s="83"/>
    </row>
    <row r="966">
      <c r="C966" s="632"/>
      <c r="D966" s="632"/>
      <c r="J966" s="405"/>
      <c r="O966" s="607"/>
      <c r="R966" s="83"/>
    </row>
    <row r="967">
      <c r="C967" s="632"/>
      <c r="D967" s="632"/>
      <c r="J967" s="405"/>
      <c r="O967" s="607"/>
      <c r="R967" s="83"/>
    </row>
    <row r="968">
      <c r="C968" s="632"/>
      <c r="D968" s="632"/>
      <c r="J968" s="405"/>
      <c r="O968" s="607"/>
      <c r="R968" s="83"/>
    </row>
    <row r="969">
      <c r="C969" s="632"/>
      <c r="D969" s="632"/>
      <c r="J969" s="405"/>
      <c r="O969" s="607"/>
      <c r="R969" s="83"/>
    </row>
    <row r="970">
      <c r="C970" s="632"/>
      <c r="D970" s="632"/>
      <c r="J970" s="405"/>
      <c r="O970" s="607"/>
      <c r="R970" s="83"/>
    </row>
    <row r="971">
      <c r="C971" s="632"/>
      <c r="D971" s="632"/>
      <c r="J971" s="405"/>
      <c r="O971" s="607"/>
      <c r="R971" s="83"/>
    </row>
    <row r="972">
      <c r="C972" s="632"/>
      <c r="D972" s="632"/>
      <c r="J972" s="405"/>
      <c r="O972" s="607"/>
      <c r="R972" s="83"/>
    </row>
    <row r="973">
      <c r="C973" s="632"/>
      <c r="D973" s="632"/>
      <c r="J973" s="405"/>
      <c r="O973" s="607"/>
      <c r="R973" s="83"/>
    </row>
    <row r="974">
      <c r="C974" s="632"/>
      <c r="D974" s="632"/>
      <c r="J974" s="405"/>
      <c r="O974" s="607"/>
      <c r="R974" s="83"/>
    </row>
    <row r="975">
      <c r="C975" s="632"/>
      <c r="D975" s="632"/>
      <c r="J975" s="405"/>
      <c r="O975" s="607"/>
      <c r="R975" s="83"/>
    </row>
    <row r="976">
      <c r="C976" s="632"/>
      <c r="D976" s="632"/>
      <c r="J976" s="405"/>
      <c r="O976" s="607"/>
      <c r="R976" s="83"/>
    </row>
    <row r="977">
      <c r="C977" s="632"/>
      <c r="D977" s="632"/>
      <c r="J977" s="405"/>
      <c r="O977" s="607"/>
      <c r="R977" s="83"/>
    </row>
    <row r="978">
      <c r="C978" s="632"/>
      <c r="D978" s="632"/>
      <c r="J978" s="405"/>
      <c r="O978" s="607"/>
      <c r="R978" s="83"/>
    </row>
    <row r="979">
      <c r="C979" s="632"/>
      <c r="D979" s="632"/>
      <c r="J979" s="405"/>
      <c r="O979" s="607"/>
      <c r="R979" s="83"/>
    </row>
    <row r="980">
      <c r="C980" s="632"/>
      <c r="D980" s="632"/>
      <c r="J980" s="405"/>
      <c r="O980" s="607"/>
      <c r="R980" s="83"/>
    </row>
    <row r="981">
      <c r="C981" s="632"/>
      <c r="D981" s="632"/>
      <c r="J981" s="405"/>
      <c r="O981" s="607"/>
      <c r="R981" s="83"/>
    </row>
    <row r="982">
      <c r="C982" s="632"/>
      <c r="D982" s="632"/>
      <c r="J982" s="405"/>
      <c r="O982" s="607"/>
      <c r="R982" s="83"/>
    </row>
    <row r="983">
      <c r="C983" s="632"/>
      <c r="D983" s="632"/>
      <c r="J983" s="405"/>
      <c r="O983" s="607"/>
      <c r="R983" s="83"/>
    </row>
    <row r="984">
      <c r="C984" s="632"/>
      <c r="D984" s="632"/>
      <c r="J984" s="405"/>
      <c r="O984" s="607"/>
      <c r="R984" s="83"/>
    </row>
    <row r="985">
      <c r="C985" s="632"/>
      <c r="D985" s="632"/>
      <c r="J985" s="405"/>
      <c r="O985" s="607"/>
      <c r="R985" s="83"/>
    </row>
    <row r="986">
      <c r="C986" s="632"/>
      <c r="D986" s="632"/>
      <c r="J986" s="405"/>
      <c r="O986" s="607"/>
      <c r="R986" s="83"/>
    </row>
    <row r="987">
      <c r="C987" s="632"/>
      <c r="D987" s="632"/>
      <c r="J987" s="405"/>
      <c r="O987" s="607"/>
      <c r="R987" s="83"/>
    </row>
    <row r="988">
      <c r="C988" s="632"/>
      <c r="D988" s="632"/>
      <c r="J988" s="405"/>
      <c r="O988" s="607"/>
      <c r="R988" s="83"/>
    </row>
    <row r="989">
      <c r="C989" s="632"/>
      <c r="D989" s="632"/>
      <c r="J989" s="405"/>
      <c r="O989" s="607"/>
      <c r="R989" s="83"/>
    </row>
    <row r="990">
      <c r="C990" s="632"/>
      <c r="D990" s="632"/>
      <c r="J990" s="405"/>
      <c r="O990" s="607"/>
      <c r="R990" s="83"/>
    </row>
    <row r="991">
      <c r="C991" s="632"/>
      <c r="D991" s="632"/>
      <c r="J991" s="405"/>
      <c r="O991" s="607"/>
      <c r="R991" s="83"/>
    </row>
    <row r="992">
      <c r="C992" s="632"/>
      <c r="D992" s="632"/>
      <c r="J992" s="405"/>
      <c r="O992" s="607"/>
      <c r="R992" s="83"/>
    </row>
    <row r="993">
      <c r="C993" s="632"/>
      <c r="D993" s="632"/>
      <c r="J993" s="405"/>
      <c r="O993" s="607"/>
      <c r="R993" s="83"/>
    </row>
    <row r="994">
      <c r="C994" s="632"/>
      <c r="D994" s="632"/>
      <c r="J994" s="405"/>
      <c r="O994" s="607"/>
      <c r="R994" s="83"/>
    </row>
    <row r="995">
      <c r="C995" s="632"/>
      <c r="D995" s="632"/>
      <c r="J995" s="405"/>
      <c r="O995" s="607"/>
      <c r="R995" s="83"/>
    </row>
    <row r="996">
      <c r="C996" s="632"/>
      <c r="D996" s="632"/>
      <c r="J996" s="405"/>
      <c r="O996" s="607"/>
      <c r="R996" s="83"/>
    </row>
    <row r="997">
      <c r="C997" s="632"/>
      <c r="D997" s="632"/>
      <c r="J997" s="405"/>
      <c r="O997" s="607"/>
      <c r="R997" s="83"/>
    </row>
    <row r="998">
      <c r="C998" s="632"/>
      <c r="D998" s="632"/>
      <c r="J998" s="405"/>
      <c r="O998" s="607"/>
      <c r="R998" s="83"/>
    </row>
    <row r="999">
      <c r="C999" s="632"/>
      <c r="D999" s="632"/>
      <c r="J999" s="405"/>
      <c r="O999" s="607"/>
      <c r="R999" s="83"/>
    </row>
    <row r="1000">
      <c r="C1000" s="632"/>
      <c r="D1000" s="632"/>
      <c r="J1000" s="405"/>
      <c r="O1000" s="607"/>
      <c r="R1000" s="83"/>
    </row>
    <row r="1001">
      <c r="C1001" s="632"/>
      <c r="D1001" s="632"/>
      <c r="J1001" s="405"/>
      <c r="O1001" s="607"/>
      <c r="R1001" s="83"/>
    </row>
    <row r="1002">
      <c r="C1002" s="632"/>
      <c r="D1002" s="632"/>
      <c r="J1002" s="405"/>
      <c r="O1002" s="607"/>
      <c r="R1002" s="83"/>
    </row>
    <row r="1003">
      <c r="C1003" s="632"/>
      <c r="D1003" s="632"/>
      <c r="J1003" s="405"/>
      <c r="O1003" s="607"/>
      <c r="R1003" s="83"/>
    </row>
    <row r="1004">
      <c r="C1004" s="632"/>
      <c r="D1004" s="632"/>
      <c r="J1004" s="405"/>
      <c r="O1004" s="607"/>
      <c r="R1004" s="83"/>
    </row>
    <row r="1005">
      <c r="C1005" s="632"/>
      <c r="D1005" s="632"/>
      <c r="J1005" s="405"/>
      <c r="O1005" s="607"/>
      <c r="R1005" s="83"/>
    </row>
    <row r="1006">
      <c r="C1006" s="632"/>
      <c r="D1006" s="632"/>
      <c r="J1006" s="405"/>
      <c r="O1006" s="607"/>
      <c r="R1006" s="83"/>
    </row>
    <row r="1007">
      <c r="C1007" s="632"/>
      <c r="D1007" s="632"/>
      <c r="J1007" s="405"/>
      <c r="O1007" s="607"/>
      <c r="R1007" s="83"/>
    </row>
    <row r="1008">
      <c r="C1008" s="632"/>
      <c r="D1008" s="632"/>
      <c r="J1008" s="405"/>
      <c r="O1008" s="607"/>
      <c r="R1008" s="83"/>
    </row>
    <row r="1009">
      <c r="C1009" s="632"/>
      <c r="D1009" s="632"/>
      <c r="J1009" s="405"/>
      <c r="O1009" s="607"/>
      <c r="R1009" s="83"/>
    </row>
    <row r="1010">
      <c r="C1010" s="632"/>
      <c r="D1010" s="632"/>
      <c r="J1010" s="405"/>
      <c r="O1010" s="607"/>
      <c r="R1010" s="83"/>
    </row>
    <row r="1011">
      <c r="C1011" s="632"/>
      <c r="D1011" s="632"/>
      <c r="J1011" s="405"/>
      <c r="O1011" s="607"/>
      <c r="R1011" s="83"/>
    </row>
    <row r="1012">
      <c r="C1012" s="632"/>
      <c r="D1012" s="632"/>
      <c r="J1012" s="405"/>
      <c r="O1012" s="607"/>
      <c r="R1012" s="83"/>
    </row>
    <row r="1013">
      <c r="C1013" s="632"/>
      <c r="D1013" s="632"/>
      <c r="J1013" s="405"/>
      <c r="O1013" s="607"/>
      <c r="R1013" s="83"/>
    </row>
    <row r="1014">
      <c r="C1014" s="632"/>
      <c r="D1014" s="632"/>
      <c r="J1014" s="405"/>
      <c r="O1014" s="607"/>
      <c r="R1014" s="83"/>
    </row>
    <row r="1015">
      <c r="C1015" s="632"/>
      <c r="D1015" s="632"/>
      <c r="J1015" s="405"/>
      <c r="O1015" s="607"/>
      <c r="R1015" s="83"/>
    </row>
    <row r="1016">
      <c r="C1016" s="632"/>
      <c r="D1016" s="632"/>
      <c r="J1016" s="405"/>
      <c r="O1016" s="607"/>
      <c r="R1016" s="83"/>
    </row>
    <row r="1017">
      <c r="C1017" s="632"/>
      <c r="D1017" s="632"/>
      <c r="J1017" s="405"/>
      <c r="O1017" s="607"/>
      <c r="R1017" s="83"/>
    </row>
    <row r="1018">
      <c r="C1018" s="632"/>
      <c r="D1018" s="632"/>
      <c r="J1018" s="405"/>
      <c r="O1018" s="607"/>
      <c r="R1018" s="83"/>
    </row>
    <row r="1019">
      <c r="C1019" s="632"/>
      <c r="D1019" s="632"/>
      <c r="J1019" s="405"/>
      <c r="O1019" s="607"/>
      <c r="R1019" s="83"/>
    </row>
    <row r="1020">
      <c r="C1020" s="632"/>
      <c r="D1020" s="632"/>
      <c r="J1020" s="405"/>
      <c r="O1020" s="607"/>
      <c r="R1020" s="83"/>
    </row>
    <row r="1021">
      <c r="C1021" s="632"/>
      <c r="D1021" s="632"/>
      <c r="J1021" s="405"/>
      <c r="O1021" s="607"/>
      <c r="R1021" s="83"/>
    </row>
    <row r="1022">
      <c r="C1022" s="632"/>
      <c r="D1022" s="632"/>
      <c r="J1022" s="405"/>
      <c r="O1022" s="607"/>
      <c r="R1022" s="83"/>
    </row>
    <row r="1023">
      <c r="C1023" s="632"/>
      <c r="D1023" s="632"/>
      <c r="J1023" s="405"/>
      <c r="O1023" s="607"/>
      <c r="R1023" s="83"/>
    </row>
    <row r="1024">
      <c r="C1024" s="632"/>
      <c r="D1024" s="632"/>
      <c r="J1024" s="405"/>
      <c r="O1024" s="607"/>
      <c r="R1024" s="83"/>
    </row>
    <row r="1025">
      <c r="C1025" s="632"/>
      <c r="D1025" s="632"/>
      <c r="J1025" s="405"/>
      <c r="O1025" s="607"/>
      <c r="R1025" s="83"/>
    </row>
    <row r="1026">
      <c r="C1026" s="632"/>
      <c r="D1026" s="632"/>
      <c r="J1026" s="405"/>
      <c r="O1026" s="607"/>
      <c r="R1026" s="83"/>
    </row>
    <row r="1027">
      <c r="C1027" s="632"/>
      <c r="D1027" s="632"/>
      <c r="J1027" s="405"/>
      <c r="O1027" s="607"/>
      <c r="R1027" s="83"/>
    </row>
    <row r="1028">
      <c r="C1028" s="632"/>
      <c r="D1028" s="632"/>
      <c r="J1028" s="405"/>
      <c r="O1028" s="607"/>
      <c r="R1028" s="83"/>
    </row>
    <row r="1029">
      <c r="C1029" s="632"/>
      <c r="D1029" s="632"/>
      <c r="J1029" s="405"/>
      <c r="O1029" s="607"/>
      <c r="R1029" s="83"/>
    </row>
    <row r="1030">
      <c r="C1030" s="632"/>
      <c r="D1030" s="632"/>
      <c r="J1030" s="405"/>
      <c r="O1030" s="607"/>
      <c r="R1030" s="83"/>
    </row>
    <row r="1031">
      <c r="C1031" s="632"/>
      <c r="D1031" s="632"/>
      <c r="J1031" s="405"/>
      <c r="O1031" s="607"/>
      <c r="R1031" s="83"/>
    </row>
    <row r="1032">
      <c r="C1032" s="632"/>
      <c r="D1032" s="632"/>
      <c r="J1032" s="405"/>
      <c r="O1032" s="607"/>
      <c r="R1032" s="83"/>
    </row>
    <row r="1033">
      <c r="C1033" s="632"/>
      <c r="D1033" s="632"/>
      <c r="J1033" s="405"/>
      <c r="O1033" s="607"/>
      <c r="R1033" s="83"/>
    </row>
    <row r="1034">
      <c r="C1034" s="632"/>
      <c r="D1034" s="632"/>
      <c r="J1034" s="405"/>
      <c r="O1034" s="607"/>
      <c r="R1034" s="83"/>
    </row>
    <row r="1035">
      <c r="C1035" s="632"/>
      <c r="D1035" s="632"/>
      <c r="J1035" s="405"/>
      <c r="O1035" s="607"/>
      <c r="R1035" s="83"/>
    </row>
    <row r="1036">
      <c r="C1036" s="632"/>
      <c r="D1036" s="632"/>
      <c r="J1036" s="405"/>
      <c r="O1036" s="607"/>
      <c r="R1036" s="83"/>
    </row>
    <row r="1037">
      <c r="C1037" s="632"/>
      <c r="D1037" s="632"/>
      <c r="J1037" s="405"/>
      <c r="O1037" s="607"/>
      <c r="R1037" s="83"/>
    </row>
    <row r="1038">
      <c r="C1038" s="632"/>
      <c r="D1038" s="632"/>
      <c r="J1038" s="405"/>
      <c r="O1038" s="607"/>
      <c r="R1038" s="83"/>
    </row>
    <row r="1039">
      <c r="C1039" s="632"/>
      <c r="D1039" s="632"/>
      <c r="J1039" s="405"/>
      <c r="O1039" s="607"/>
      <c r="R1039" s="83"/>
    </row>
    <row r="1040">
      <c r="C1040" s="632"/>
      <c r="D1040" s="632"/>
      <c r="J1040" s="405"/>
      <c r="O1040" s="607"/>
      <c r="R1040" s="83"/>
    </row>
    <row r="1041">
      <c r="C1041" s="632"/>
      <c r="D1041" s="632"/>
      <c r="J1041" s="405"/>
      <c r="O1041" s="607"/>
      <c r="R1041" s="83"/>
    </row>
    <row r="1042">
      <c r="C1042" s="632"/>
      <c r="D1042" s="632"/>
      <c r="J1042" s="405"/>
      <c r="O1042" s="607"/>
      <c r="R1042" s="83"/>
    </row>
    <row r="1043">
      <c r="C1043" s="632"/>
      <c r="D1043" s="632"/>
      <c r="J1043" s="405"/>
      <c r="O1043" s="607"/>
      <c r="R1043" s="83"/>
    </row>
    <row r="1044">
      <c r="C1044" s="632"/>
      <c r="D1044" s="632"/>
      <c r="J1044" s="405"/>
      <c r="O1044" s="607"/>
      <c r="R1044" s="83"/>
    </row>
    <row r="1045">
      <c r="C1045" s="632"/>
      <c r="D1045" s="632"/>
      <c r="J1045" s="405"/>
      <c r="O1045" s="607"/>
      <c r="R1045" s="83"/>
    </row>
    <row r="1046">
      <c r="C1046" s="632"/>
      <c r="D1046" s="632"/>
      <c r="J1046" s="405"/>
      <c r="O1046" s="607"/>
      <c r="R1046" s="83"/>
    </row>
    <row r="1047">
      <c r="C1047" s="632"/>
      <c r="D1047" s="632"/>
      <c r="J1047" s="405"/>
      <c r="O1047" s="607"/>
      <c r="R1047" s="83"/>
    </row>
    <row r="1048">
      <c r="C1048" s="632"/>
      <c r="D1048" s="632"/>
      <c r="J1048" s="405"/>
      <c r="O1048" s="607"/>
      <c r="R1048" s="83"/>
    </row>
    <row r="1049">
      <c r="C1049" s="632"/>
      <c r="D1049" s="632"/>
      <c r="J1049" s="405"/>
      <c r="O1049" s="607"/>
      <c r="R1049" s="83"/>
    </row>
    <row r="1050">
      <c r="C1050" s="632"/>
      <c r="D1050" s="632"/>
      <c r="J1050" s="405"/>
      <c r="O1050" s="607"/>
      <c r="R1050" s="83"/>
    </row>
    <row r="1051">
      <c r="C1051" s="632"/>
      <c r="D1051" s="632"/>
      <c r="J1051" s="405"/>
      <c r="O1051" s="607"/>
      <c r="R1051" s="83"/>
    </row>
    <row r="1052">
      <c r="C1052" s="632"/>
      <c r="D1052" s="632"/>
      <c r="J1052" s="405"/>
      <c r="O1052" s="607"/>
      <c r="R1052" s="83"/>
    </row>
    <row r="1053">
      <c r="C1053" s="632"/>
      <c r="D1053" s="632"/>
      <c r="J1053" s="405"/>
      <c r="O1053" s="607"/>
      <c r="R1053" s="83"/>
    </row>
    <row r="1054">
      <c r="C1054" s="632"/>
      <c r="D1054" s="632"/>
      <c r="J1054" s="405"/>
      <c r="O1054" s="607"/>
      <c r="R1054" s="83"/>
    </row>
    <row r="1055">
      <c r="C1055" s="632"/>
      <c r="D1055" s="632"/>
      <c r="J1055" s="405"/>
      <c r="O1055" s="607"/>
      <c r="R1055" s="83"/>
    </row>
    <row r="1056">
      <c r="C1056" s="632"/>
      <c r="D1056" s="632"/>
      <c r="J1056" s="405"/>
      <c r="O1056" s="607"/>
      <c r="R1056" s="83"/>
    </row>
    <row r="1057">
      <c r="C1057" s="632"/>
      <c r="D1057" s="632"/>
      <c r="J1057" s="405"/>
      <c r="O1057" s="607"/>
      <c r="R1057" s="83"/>
    </row>
    <row r="1058">
      <c r="C1058" s="632"/>
      <c r="D1058" s="632"/>
      <c r="J1058" s="405"/>
      <c r="O1058" s="607"/>
      <c r="R1058" s="83"/>
    </row>
    <row r="1059">
      <c r="C1059" s="632"/>
      <c r="D1059" s="632"/>
      <c r="J1059" s="405"/>
      <c r="O1059" s="607"/>
      <c r="R1059" s="83"/>
    </row>
    <row r="1060">
      <c r="C1060" s="632"/>
      <c r="D1060" s="632"/>
      <c r="J1060" s="405"/>
      <c r="O1060" s="607"/>
      <c r="R1060" s="83"/>
    </row>
    <row r="1061">
      <c r="C1061" s="632"/>
      <c r="D1061" s="632"/>
      <c r="J1061" s="405"/>
      <c r="O1061" s="607"/>
      <c r="R1061" s="83"/>
    </row>
    <row r="1062">
      <c r="C1062" s="632"/>
      <c r="D1062" s="632"/>
      <c r="J1062" s="405"/>
      <c r="O1062" s="607"/>
      <c r="R1062" s="83"/>
    </row>
    <row r="1063">
      <c r="C1063" s="632"/>
      <c r="D1063" s="632"/>
      <c r="J1063" s="405"/>
      <c r="O1063" s="607"/>
      <c r="R1063" s="83"/>
    </row>
    <row r="1064">
      <c r="C1064" s="632"/>
      <c r="D1064" s="632"/>
      <c r="J1064" s="405"/>
      <c r="O1064" s="607"/>
      <c r="R1064" s="83"/>
    </row>
    <row r="1065">
      <c r="C1065" s="632"/>
      <c r="D1065" s="632"/>
      <c r="J1065" s="405"/>
      <c r="O1065" s="607"/>
      <c r="R1065" s="83"/>
    </row>
    <row r="1066">
      <c r="C1066" s="632"/>
      <c r="D1066" s="632"/>
      <c r="J1066" s="405"/>
      <c r="O1066" s="607"/>
      <c r="R1066" s="83"/>
    </row>
    <row r="1067">
      <c r="C1067" s="632"/>
      <c r="D1067" s="632"/>
      <c r="J1067" s="405"/>
      <c r="O1067" s="607"/>
      <c r="R1067" s="83"/>
    </row>
    <row r="1068">
      <c r="C1068" s="632"/>
      <c r="D1068" s="632"/>
      <c r="J1068" s="405"/>
      <c r="O1068" s="607"/>
      <c r="R1068" s="83"/>
    </row>
    <row r="1069">
      <c r="C1069" s="632"/>
      <c r="D1069" s="632"/>
      <c r="J1069" s="405"/>
      <c r="O1069" s="607"/>
      <c r="R1069" s="83"/>
    </row>
    <row r="1070">
      <c r="C1070" s="632"/>
      <c r="D1070" s="632"/>
      <c r="J1070" s="405"/>
      <c r="O1070" s="607"/>
      <c r="R1070" s="83"/>
    </row>
    <row r="1071">
      <c r="C1071" s="632"/>
      <c r="D1071" s="632"/>
      <c r="J1071" s="405"/>
      <c r="O1071" s="607"/>
      <c r="R1071" s="83"/>
    </row>
    <row r="1072">
      <c r="C1072" s="632"/>
      <c r="D1072" s="632"/>
      <c r="J1072" s="405"/>
      <c r="O1072" s="607"/>
      <c r="R1072" s="83"/>
    </row>
    <row r="1073">
      <c r="C1073" s="632"/>
      <c r="D1073" s="632"/>
      <c r="J1073" s="405"/>
      <c r="O1073" s="607"/>
      <c r="R1073" s="83"/>
    </row>
    <row r="1074">
      <c r="C1074" s="632"/>
      <c r="D1074" s="632"/>
      <c r="J1074" s="405"/>
      <c r="O1074" s="607"/>
      <c r="R1074" s="83"/>
    </row>
    <row r="1075">
      <c r="C1075" s="632"/>
      <c r="D1075" s="632"/>
      <c r="J1075" s="405"/>
      <c r="O1075" s="607"/>
      <c r="R1075" s="83"/>
    </row>
    <row r="1076">
      <c r="C1076" s="632"/>
      <c r="D1076" s="632"/>
      <c r="J1076" s="405"/>
      <c r="O1076" s="607"/>
      <c r="R1076" s="83"/>
    </row>
    <row r="1077">
      <c r="C1077" s="632"/>
      <c r="D1077" s="632"/>
      <c r="J1077" s="405"/>
      <c r="O1077" s="607"/>
      <c r="R1077" s="83"/>
    </row>
    <row r="1078">
      <c r="C1078" s="632"/>
      <c r="D1078" s="632"/>
      <c r="J1078" s="405"/>
      <c r="O1078" s="607"/>
      <c r="R1078" s="83"/>
    </row>
    <row r="1079">
      <c r="C1079" s="632"/>
      <c r="D1079" s="632"/>
      <c r="J1079" s="405"/>
      <c r="O1079" s="607"/>
      <c r="R1079" s="83"/>
    </row>
    <row r="1080">
      <c r="C1080" s="632"/>
      <c r="D1080" s="632"/>
      <c r="J1080" s="405"/>
      <c r="O1080" s="607"/>
      <c r="R1080" s="83"/>
    </row>
    <row r="1081">
      <c r="C1081" s="632"/>
      <c r="D1081" s="632"/>
      <c r="J1081" s="405"/>
      <c r="O1081" s="607"/>
      <c r="R1081" s="83"/>
    </row>
    <row r="1082">
      <c r="C1082" s="632"/>
      <c r="D1082" s="632"/>
      <c r="J1082" s="405"/>
      <c r="O1082" s="607"/>
      <c r="R1082" s="83"/>
    </row>
    <row r="1083">
      <c r="C1083" s="632"/>
      <c r="D1083" s="632"/>
      <c r="J1083" s="405"/>
      <c r="O1083" s="607"/>
      <c r="R1083" s="83"/>
    </row>
    <row r="1084">
      <c r="C1084" s="632"/>
      <c r="D1084" s="632"/>
      <c r="J1084" s="405"/>
      <c r="O1084" s="607"/>
      <c r="R1084" s="83"/>
    </row>
    <row r="1085">
      <c r="C1085" s="632"/>
      <c r="D1085" s="632"/>
      <c r="J1085" s="405"/>
      <c r="O1085" s="607"/>
      <c r="R1085" s="83"/>
    </row>
    <row r="1086">
      <c r="C1086" s="632"/>
      <c r="D1086" s="632"/>
      <c r="J1086" s="405"/>
      <c r="O1086" s="607"/>
      <c r="R1086" s="83"/>
    </row>
    <row r="1087">
      <c r="C1087" s="632"/>
      <c r="D1087" s="632"/>
      <c r="J1087" s="405"/>
      <c r="O1087" s="607"/>
      <c r="R1087" s="83"/>
    </row>
    <row r="1088">
      <c r="C1088" s="632"/>
      <c r="D1088" s="632"/>
      <c r="J1088" s="405"/>
      <c r="O1088" s="607"/>
      <c r="R1088" s="83"/>
    </row>
    <row r="1089">
      <c r="C1089" s="632"/>
      <c r="D1089" s="632"/>
      <c r="J1089" s="405"/>
      <c r="O1089" s="607"/>
      <c r="R1089" s="83"/>
    </row>
    <row r="1090">
      <c r="C1090" s="632"/>
      <c r="D1090" s="632"/>
      <c r="J1090" s="405"/>
      <c r="O1090" s="607"/>
      <c r="R1090" s="83"/>
    </row>
    <row r="1091">
      <c r="C1091" s="632"/>
      <c r="D1091" s="632"/>
      <c r="J1091" s="405"/>
      <c r="O1091" s="607"/>
      <c r="R1091" s="83"/>
    </row>
    <row r="1092">
      <c r="C1092" s="632"/>
      <c r="D1092" s="632"/>
      <c r="J1092" s="405"/>
      <c r="O1092" s="607"/>
      <c r="R1092" s="83"/>
    </row>
    <row r="1093">
      <c r="C1093" s="632"/>
      <c r="D1093" s="632"/>
      <c r="J1093" s="405"/>
      <c r="O1093" s="607"/>
      <c r="R1093" s="83"/>
    </row>
    <row r="1094">
      <c r="C1094" s="632"/>
      <c r="D1094" s="632"/>
      <c r="J1094" s="405"/>
      <c r="O1094" s="607"/>
      <c r="R1094" s="83"/>
    </row>
    <row r="1095">
      <c r="C1095" s="632"/>
      <c r="D1095" s="632"/>
      <c r="J1095" s="405"/>
      <c r="O1095" s="607"/>
      <c r="R1095" s="83"/>
    </row>
    <row r="1096">
      <c r="C1096" s="632"/>
      <c r="D1096" s="632"/>
      <c r="J1096" s="405"/>
      <c r="O1096" s="607"/>
      <c r="R1096" s="83"/>
    </row>
    <row r="1097">
      <c r="C1097" s="632"/>
      <c r="D1097" s="632"/>
      <c r="J1097" s="405"/>
      <c r="O1097" s="607"/>
      <c r="R1097" s="83"/>
    </row>
    <row r="1098">
      <c r="C1098" s="632"/>
      <c r="D1098" s="632"/>
      <c r="J1098" s="405"/>
      <c r="O1098" s="607"/>
      <c r="R1098" s="83"/>
    </row>
    <row r="1099">
      <c r="C1099" s="632"/>
      <c r="D1099" s="632"/>
      <c r="J1099" s="405"/>
      <c r="O1099" s="607"/>
      <c r="R1099" s="83"/>
    </row>
    <row r="1100">
      <c r="C1100" s="632"/>
      <c r="D1100" s="632"/>
      <c r="J1100" s="405"/>
      <c r="O1100" s="607"/>
      <c r="R1100" s="83"/>
    </row>
    <row r="1101">
      <c r="C1101" s="632"/>
      <c r="D1101" s="632"/>
      <c r="J1101" s="405"/>
      <c r="O1101" s="607"/>
      <c r="R1101" s="83"/>
    </row>
    <row r="1102">
      <c r="C1102" s="632"/>
      <c r="D1102" s="632"/>
      <c r="J1102" s="405"/>
      <c r="O1102" s="607"/>
      <c r="R1102" s="83"/>
    </row>
    <row r="1103">
      <c r="C1103" s="632"/>
      <c r="D1103" s="632"/>
      <c r="J1103" s="405"/>
      <c r="O1103" s="607"/>
      <c r="R1103" s="83"/>
    </row>
    <row r="1104">
      <c r="C1104" s="632"/>
      <c r="D1104" s="632"/>
      <c r="J1104" s="405"/>
      <c r="O1104" s="607"/>
      <c r="R1104" s="83"/>
    </row>
    <row r="1105">
      <c r="C1105" s="632"/>
      <c r="D1105" s="632"/>
      <c r="J1105" s="405"/>
      <c r="O1105" s="607"/>
      <c r="R1105" s="83"/>
    </row>
    <row r="1106">
      <c r="C1106" s="632"/>
      <c r="D1106" s="632"/>
      <c r="J1106" s="405"/>
      <c r="O1106" s="607"/>
      <c r="R1106" s="83"/>
    </row>
    <row r="1107">
      <c r="C1107" s="632"/>
      <c r="D1107" s="632"/>
      <c r="J1107" s="405"/>
      <c r="O1107" s="607"/>
      <c r="R1107" s="83"/>
    </row>
    <row r="1108">
      <c r="C1108" s="632"/>
      <c r="D1108" s="632"/>
      <c r="J1108" s="405"/>
      <c r="O1108" s="607"/>
      <c r="R1108" s="83"/>
    </row>
    <row r="1109">
      <c r="C1109" s="632"/>
      <c r="D1109" s="632"/>
      <c r="J1109" s="405"/>
      <c r="O1109" s="607"/>
      <c r="R1109" s="83"/>
    </row>
    <row r="1110">
      <c r="C1110" s="632"/>
      <c r="D1110" s="632"/>
      <c r="J1110" s="405"/>
      <c r="O1110" s="607"/>
      <c r="R1110" s="83"/>
    </row>
    <row r="1111">
      <c r="C1111" s="632"/>
      <c r="D1111" s="632"/>
      <c r="J1111" s="405"/>
      <c r="O1111" s="607"/>
      <c r="R1111" s="83"/>
    </row>
    <row r="1112">
      <c r="C1112" s="632"/>
      <c r="D1112" s="632"/>
      <c r="J1112" s="405"/>
      <c r="O1112" s="607"/>
      <c r="R1112" s="83"/>
    </row>
    <row r="1113">
      <c r="C1113" s="632"/>
      <c r="D1113" s="632"/>
      <c r="J1113" s="405"/>
      <c r="O1113" s="607"/>
      <c r="R1113" s="83"/>
    </row>
    <row r="1114">
      <c r="C1114" s="632"/>
      <c r="D1114" s="632"/>
      <c r="J1114" s="405"/>
      <c r="O1114" s="607"/>
      <c r="R1114" s="83"/>
    </row>
    <row r="1115">
      <c r="C1115" s="632"/>
      <c r="D1115" s="632"/>
      <c r="J1115" s="405"/>
      <c r="O1115" s="607"/>
      <c r="R1115" s="83"/>
    </row>
    <row r="1116">
      <c r="C1116" s="632"/>
      <c r="D1116" s="632"/>
      <c r="J1116" s="405"/>
      <c r="O1116" s="607"/>
      <c r="R1116" s="83"/>
    </row>
    <row r="1117">
      <c r="C1117" s="632"/>
      <c r="D1117" s="632"/>
      <c r="J1117" s="405"/>
      <c r="O1117" s="607"/>
      <c r="R1117" s="83"/>
    </row>
    <row r="1118">
      <c r="C1118" s="632"/>
      <c r="D1118" s="632"/>
      <c r="J1118" s="405"/>
      <c r="O1118" s="607"/>
      <c r="R1118" s="83"/>
    </row>
    <row r="1119">
      <c r="C1119" s="632"/>
      <c r="D1119" s="632"/>
      <c r="J1119" s="405"/>
      <c r="O1119" s="607"/>
      <c r="R1119" s="83"/>
    </row>
    <row r="1120">
      <c r="C1120" s="632"/>
      <c r="D1120" s="632"/>
      <c r="J1120" s="405"/>
      <c r="O1120" s="607"/>
      <c r="R1120" s="83"/>
    </row>
    <row r="1121">
      <c r="C1121" s="632"/>
      <c r="D1121" s="632"/>
      <c r="J1121" s="405"/>
      <c r="O1121" s="607"/>
      <c r="R1121" s="83"/>
    </row>
    <row r="1122">
      <c r="C1122" s="632"/>
      <c r="D1122" s="632"/>
      <c r="J1122" s="405"/>
      <c r="O1122" s="607"/>
      <c r="R1122" s="83"/>
    </row>
    <row r="1123">
      <c r="C1123" s="632"/>
      <c r="D1123" s="632"/>
      <c r="J1123" s="405"/>
      <c r="O1123" s="607"/>
      <c r="R1123" s="83"/>
    </row>
    <row r="1124">
      <c r="C1124" s="632"/>
      <c r="D1124" s="632"/>
      <c r="J1124" s="405"/>
      <c r="O1124" s="607"/>
      <c r="R1124" s="83"/>
    </row>
    <row r="1125">
      <c r="C1125" s="632"/>
      <c r="D1125" s="632"/>
      <c r="J1125" s="405"/>
      <c r="O1125" s="607"/>
      <c r="R1125" s="83"/>
    </row>
    <row r="1126">
      <c r="C1126" s="632"/>
      <c r="D1126" s="632"/>
      <c r="J1126" s="405"/>
      <c r="O1126" s="607"/>
      <c r="R1126" s="83"/>
    </row>
    <row r="1127">
      <c r="C1127" s="632"/>
      <c r="D1127" s="632"/>
      <c r="J1127" s="405"/>
      <c r="O1127" s="607"/>
      <c r="R1127" s="83"/>
    </row>
    <row r="1128">
      <c r="C1128" s="632"/>
      <c r="D1128" s="632"/>
      <c r="J1128" s="405"/>
      <c r="O1128" s="607"/>
      <c r="R1128" s="83"/>
    </row>
    <row r="1129">
      <c r="C1129" s="632"/>
      <c r="D1129" s="632"/>
      <c r="J1129" s="405"/>
      <c r="O1129" s="607"/>
      <c r="R1129" s="83"/>
    </row>
    <row r="1130">
      <c r="C1130" s="632"/>
      <c r="D1130" s="632"/>
      <c r="J1130" s="405"/>
      <c r="O1130" s="607"/>
      <c r="R1130" s="83"/>
    </row>
    <row r="1131">
      <c r="C1131" s="632"/>
      <c r="D1131" s="632"/>
      <c r="J1131" s="405"/>
      <c r="O1131" s="607"/>
      <c r="R1131" s="83"/>
    </row>
    <row r="1132">
      <c r="C1132" s="632"/>
      <c r="D1132" s="632"/>
      <c r="J1132" s="405"/>
      <c r="O1132" s="607"/>
      <c r="R1132" s="83"/>
    </row>
    <row r="1133">
      <c r="C1133" s="632"/>
      <c r="D1133" s="632"/>
      <c r="J1133" s="405"/>
      <c r="O1133" s="607"/>
      <c r="R1133" s="83"/>
    </row>
    <row r="1134">
      <c r="C1134" s="632"/>
      <c r="D1134" s="632"/>
      <c r="J1134" s="405"/>
      <c r="O1134" s="607"/>
      <c r="R1134" s="83"/>
    </row>
    <row r="1135">
      <c r="C1135" s="632"/>
      <c r="D1135" s="632"/>
      <c r="J1135" s="405"/>
      <c r="O1135" s="607"/>
      <c r="R1135" s="83"/>
    </row>
    <row r="1136">
      <c r="C1136" s="632"/>
      <c r="D1136" s="632"/>
      <c r="J1136" s="405"/>
      <c r="O1136" s="607"/>
      <c r="R1136" s="83"/>
    </row>
    <row r="1137">
      <c r="C1137" s="632"/>
      <c r="D1137" s="632"/>
      <c r="J1137" s="405"/>
      <c r="O1137" s="607"/>
      <c r="R1137" s="83"/>
    </row>
    <row r="1138">
      <c r="C1138" s="632"/>
      <c r="D1138" s="632"/>
      <c r="J1138" s="405"/>
      <c r="O1138" s="607"/>
      <c r="R1138" s="83"/>
    </row>
    <row r="1139">
      <c r="C1139" s="632"/>
      <c r="D1139" s="632"/>
      <c r="J1139" s="405"/>
      <c r="O1139" s="607"/>
      <c r="R1139" s="83"/>
    </row>
    <row r="1140">
      <c r="C1140" s="632"/>
      <c r="D1140" s="632"/>
      <c r="J1140" s="405"/>
      <c r="O1140" s="607"/>
      <c r="R1140" s="83"/>
    </row>
    <row r="1141">
      <c r="C1141" s="632"/>
      <c r="D1141" s="632"/>
      <c r="J1141" s="405"/>
      <c r="O1141" s="607"/>
      <c r="R1141" s="83"/>
    </row>
    <row r="1142">
      <c r="C1142" s="632"/>
      <c r="D1142" s="632"/>
      <c r="J1142" s="405"/>
      <c r="O1142" s="607"/>
      <c r="R1142" s="83"/>
    </row>
    <row r="1143">
      <c r="C1143" s="632"/>
      <c r="D1143" s="632"/>
      <c r="J1143" s="405"/>
      <c r="O1143" s="607"/>
      <c r="R1143" s="83"/>
    </row>
    <row r="1144">
      <c r="C1144" s="632"/>
      <c r="D1144" s="632"/>
      <c r="J1144" s="405"/>
      <c r="O1144" s="607"/>
      <c r="R1144" s="83"/>
    </row>
    <row r="1145">
      <c r="C1145" s="632"/>
      <c r="D1145" s="632"/>
      <c r="J1145" s="405"/>
      <c r="O1145" s="607"/>
      <c r="R1145" s="83"/>
    </row>
    <row r="1146">
      <c r="C1146" s="632"/>
      <c r="D1146" s="632"/>
      <c r="J1146" s="405"/>
      <c r="O1146" s="607"/>
      <c r="R1146" s="83"/>
    </row>
    <row r="1147">
      <c r="C1147" s="632"/>
      <c r="D1147" s="632"/>
      <c r="J1147" s="405"/>
      <c r="O1147" s="607"/>
      <c r="R1147" s="83"/>
    </row>
    <row r="1148">
      <c r="C1148" s="632"/>
      <c r="D1148" s="632"/>
      <c r="J1148" s="405"/>
      <c r="O1148" s="607"/>
      <c r="R1148" s="83"/>
    </row>
    <row r="1149">
      <c r="C1149" s="632"/>
      <c r="D1149" s="632"/>
      <c r="J1149" s="405"/>
      <c r="O1149" s="607"/>
      <c r="R1149" s="83"/>
    </row>
    <row r="1150">
      <c r="C1150" s="632"/>
      <c r="D1150" s="632"/>
      <c r="J1150" s="405"/>
      <c r="O1150" s="607"/>
      <c r="R1150" s="83"/>
    </row>
    <row r="1151">
      <c r="C1151" s="632"/>
      <c r="D1151" s="632"/>
      <c r="J1151" s="405"/>
      <c r="O1151" s="607"/>
      <c r="R1151" s="83"/>
    </row>
    <row r="1152">
      <c r="C1152" s="632"/>
      <c r="D1152" s="632"/>
      <c r="J1152" s="405"/>
      <c r="O1152" s="607"/>
      <c r="R1152" s="83"/>
    </row>
    <row r="1153">
      <c r="C1153" s="632"/>
      <c r="D1153" s="632"/>
      <c r="J1153" s="405"/>
      <c r="O1153" s="607"/>
      <c r="R1153" s="83"/>
    </row>
    <row r="1154">
      <c r="C1154" s="632"/>
      <c r="D1154" s="632"/>
      <c r="J1154" s="405"/>
      <c r="O1154" s="607"/>
      <c r="R1154" s="83"/>
    </row>
    <row r="1155">
      <c r="C1155" s="632"/>
      <c r="D1155" s="632"/>
      <c r="J1155" s="405"/>
      <c r="O1155" s="607"/>
      <c r="R1155" s="83"/>
    </row>
    <row r="1156">
      <c r="C1156" s="632"/>
      <c r="D1156" s="632"/>
      <c r="J1156" s="405"/>
      <c r="O1156" s="607"/>
      <c r="R1156" s="83"/>
    </row>
    <row r="1157">
      <c r="C1157" s="632"/>
      <c r="D1157" s="632"/>
      <c r="J1157" s="405"/>
      <c r="O1157" s="607"/>
      <c r="R1157" s="83"/>
    </row>
    <row r="1158">
      <c r="C1158" s="632"/>
      <c r="D1158" s="632"/>
      <c r="J1158" s="405"/>
      <c r="O1158" s="607"/>
      <c r="R1158" s="83"/>
    </row>
    <row r="1159">
      <c r="C1159" s="632"/>
      <c r="D1159" s="632"/>
      <c r="J1159" s="405"/>
      <c r="O1159" s="607"/>
      <c r="R1159" s="83"/>
    </row>
    <row r="1160">
      <c r="C1160" s="632"/>
      <c r="D1160" s="632"/>
      <c r="J1160" s="405"/>
      <c r="O1160" s="607"/>
      <c r="R1160" s="83"/>
    </row>
    <row r="1161">
      <c r="C1161" s="632"/>
      <c r="D1161" s="632"/>
      <c r="J1161" s="405"/>
      <c r="O1161" s="607"/>
      <c r="R1161" s="83"/>
    </row>
    <row r="1162">
      <c r="C1162" s="632"/>
      <c r="D1162" s="632"/>
      <c r="J1162" s="405"/>
      <c r="O1162" s="607"/>
      <c r="R1162" s="83"/>
    </row>
    <row r="1163">
      <c r="C1163" s="632"/>
      <c r="D1163" s="632"/>
      <c r="J1163" s="405"/>
      <c r="O1163" s="607"/>
      <c r="R1163" s="83"/>
    </row>
    <row r="1164">
      <c r="C1164" s="632"/>
      <c r="D1164" s="632"/>
      <c r="J1164" s="405"/>
      <c r="O1164" s="607"/>
      <c r="R1164" s="83"/>
    </row>
    <row r="1165">
      <c r="C1165" s="632"/>
      <c r="D1165" s="632"/>
      <c r="J1165" s="405"/>
      <c r="O1165" s="607"/>
      <c r="R1165" s="83"/>
    </row>
    <row r="1166">
      <c r="C1166" s="632"/>
      <c r="D1166" s="632"/>
      <c r="J1166" s="405"/>
      <c r="O1166" s="607"/>
      <c r="R1166" s="83"/>
    </row>
    <row r="1167">
      <c r="C1167" s="632"/>
      <c r="D1167" s="632"/>
      <c r="J1167" s="405"/>
      <c r="O1167" s="607"/>
      <c r="R1167" s="83"/>
    </row>
    <row r="1168">
      <c r="C1168" s="632"/>
      <c r="D1168" s="632"/>
      <c r="J1168" s="405"/>
      <c r="O1168" s="607"/>
      <c r="R1168" s="83"/>
    </row>
    <row r="1169">
      <c r="C1169" s="632"/>
      <c r="D1169" s="632"/>
      <c r="J1169" s="405"/>
      <c r="O1169" s="607"/>
      <c r="R1169" s="83"/>
    </row>
    <row r="1170">
      <c r="C1170" s="632"/>
      <c r="D1170" s="632"/>
      <c r="J1170" s="405"/>
      <c r="O1170" s="607"/>
      <c r="R1170" s="83"/>
    </row>
    <row r="1171">
      <c r="C1171" s="632"/>
      <c r="D1171" s="632"/>
      <c r="J1171" s="405"/>
      <c r="O1171" s="607"/>
      <c r="R1171" s="83"/>
    </row>
    <row r="1172">
      <c r="C1172" s="632"/>
      <c r="D1172" s="632"/>
      <c r="J1172" s="405"/>
      <c r="O1172" s="607"/>
      <c r="R1172" s="83"/>
    </row>
    <row r="1173">
      <c r="C1173" s="632"/>
      <c r="D1173" s="632"/>
      <c r="J1173" s="405"/>
      <c r="O1173" s="607"/>
      <c r="R1173" s="83"/>
    </row>
    <row r="1174">
      <c r="C1174" s="632"/>
      <c r="D1174" s="632"/>
      <c r="J1174" s="405"/>
      <c r="O1174" s="607"/>
      <c r="R1174" s="83"/>
    </row>
    <row r="1175">
      <c r="C1175" s="632"/>
      <c r="D1175" s="632"/>
      <c r="J1175" s="405"/>
      <c r="O1175" s="607"/>
      <c r="R1175" s="83"/>
    </row>
    <row r="1176">
      <c r="C1176" s="632"/>
      <c r="D1176" s="632"/>
      <c r="J1176" s="405"/>
      <c r="O1176" s="607"/>
      <c r="R1176" s="83"/>
    </row>
    <row r="1177">
      <c r="C1177" s="632"/>
      <c r="D1177" s="632"/>
      <c r="J1177" s="405"/>
      <c r="O1177" s="607"/>
      <c r="R1177" s="83"/>
    </row>
    <row r="1178">
      <c r="C1178" s="632"/>
      <c r="D1178" s="632"/>
      <c r="J1178" s="405"/>
      <c r="O1178" s="607"/>
      <c r="R1178" s="83"/>
    </row>
    <row r="1179">
      <c r="C1179" s="632"/>
      <c r="D1179" s="632"/>
      <c r="J1179" s="405"/>
      <c r="O1179" s="607"/>
      <c r="R1179" s="83"/>
    </row>
    <row r="1180">
      <c r="C1180" s="632"/>
      <c r="D1180" s="632"/>
      <c r="J1180" s="405"/>
      <c r="O1180" s="607"/>
      <c r="R1180" s="83"/>
    </row>
    <row r="1181">
      <c r="C1181" s="632"/>
      <c r="D1181" s="632"/>
      <c r="J1181" s="405"/>
      <c r="O1181" s="607"/>
      <c r="R1181" s="83"/>
    </row>
    <row r="1182">
      <c r="C1182" s="632"/>
      <c r="D1182" s="632"/>
      <c r="J1182" s="405"/>
      <c r="O1182" s="607"/>
      <c r="R1182" s="83"/>
    </row>
    <row r="1183">
      <c r="C1183" s="632"/>
      <c r="D1183" s="632"/>
      <c r="J1183" s="405"/>
      <c r="O1183" s="607"/>
      <c r="R1183" s="83"/>
    </row>
    <row r="1184">
      <c r="C1184" s="632"/>
      <c r="D1184" s="632"/>
      <c r="J1184" s="405"/>
      <c r="O1184" s="607"/>
      <c r="R1184" s="83"/>
    </row>
    <row r="1185">
      <c r="C1185" s="632"/>
      <c r="D1185" s="632"/>
      <c r="J1185" s="405"/>
      <c r="O1185" s="607"/>
      <c r="R1185" s="83"/>
    </row>
    <row r="1186">
      <c r="C1186" s="632"/>
      <c r="D1186" s="632"/>
      <c r="J1186" s="405"/>
      <c r="O1186" s="607"/>
      <c r="R1186" s="83"/>
    </row>
    <row r="1187">
      <c r="C1187" s="632"/>
      <c r="D1187" s="632"/>
      <c r="J1187" s="405"/>
      <c r="O1187" s="607"/>
      <c r="R1187" s="83"/>
    </row>
    <row r="1188">
      <c r="C1188" s="632"/>
      <c r="D1188" s="632"/>
      <c r="J1188" s="405"/>
      <c r="O1188" s="607"/>
      <c r="R1188" s="83"/>
    </row>
    <row r="1189">
      <c r="C1189" s="632"/>
      <c r="D1189" s="632"/>
      <c r="J1189" s="405"/>
      <c r="O1189" s="607"/>
      <c r="R1189" s="83"/>
    </row>
    <row r="1190">
      <c r="C1190" s="632"/>
      <c r="D1190" s="632"/>
      <c r="J1190" s="405"/>
      <c r="O1190" s="607"/>
      <c r="R1190" s="83"/>
    </row>
    <row r="1191">
      <c r="C1191" s="632"/>
      <c r="D1191" s="632"/>
      <c r="J1191" s="405"/>
      <c r="O1191" s="607"/>
      <c r="R1191" s="83"/>
    </row>
    <row r="1192">
      <c r="C1192" s="632"/>
      <c r="D1192" s="632"/>
      <c r="J1192" s="405"/>
      <c r="O1192" s="607"/>
      <c r="R1192" s="83"/>
    </row>
    <row r="1193">
      <c r="C1193" s="632"/>
      <c r="D1193" s="632"/>
      <c r="J1193" s="405"/>
      <c r="O1193" s="607"/>
      <c r="R1193" s="83"/>
    </row>
    <row r="1194">
      <c r="C1194" s="632"/>
      <c r="D1194" s="632"/>
      <c r="J1194" s="405"/>
      <c r="O1194" s="607"/>
      <c r="R1194" s="83"/>
    </row>
    <row r="1195">
      <c r="C1195" s="632"/>
      <c r="D1195" s="632"/>
      <c r="J1195" s="405"/>
      <c r="O1195" s="607"/>
      <c r="R1195" s="83"/>
    </row>
    <row r="1196">
      <c r="C1196" s="632"/>
      <c r="D1196" s="632"/>
      <c r="J1196" s="405"/>
      <c r="O1196" s="607"/>
      <c r="R1196" s="83"/>
    </row>
    <row r="1197">
      <c r="C1197" s="632"/>
      <c r="D1197" s="632"/>
      <c r="J1197" s="405"/>
      <c r="O1197" s="607"/>
      <c r="R1197" s="83"/>
    </row>
    <row r="1198">
      <c r="C1198" s="632"/>
      <c r="D1198" s="632"/>
      <c r="J1198" s="405"/>
      <c r="O1198" s="607"/>
      <c r="R1198" s="83"/>
    </row>
    <row r="1199">
      <c r="C1199" s="632"/>
      <c r="D1199" s="632"/>
      <c r="J1199" s="405"/>
      <c r="O1199" s="607"/>
      <c r="R1199" s="83"/>
    </row>
    <row r="1200">
      <c r="C1200" s="632"/>
      <c r="D1200" s="632"/>
      <c r="J1200" s="405"/>
      <c r="O1200" s="607"/>
      <c r="R1200" s="83"/>
    </row>
    <row r="1201">
      <c r="C1201" s="632"/>
      <c r="D1201" s="632"/>
      <c r="J1201" s="405"/>
      <c r="O1201" s="607"/>
      <c r="R1201" s="83"/>
    </row>
    <row r="1202">
      <c r="C1202" s="632"/>
      <c r="D1202" s="632"/>
      <c r="J1202" s="405"/>
      <c r="O1202" s="607"/>
      <c r="R1202" s="83"/>
    </row>
    <row r="1203">
      <c r="C1203" s="632"/>
      <c r="D1203" s="632"/>
      <c r="J1203" s="405"/>
      <c r="O1203" s="607"/>
      <c r="R1203" s="83"/>
    </row>
    <row r="1204">
      <c r="C1204" s="632"/>
      <c r="D1204" s="632"/>
      <c r="J1204" s="405"/>
      <c r="O1204" s="607"/>
      <c r="R1204" s="83"/>
    </row>
    <row r="1205">
      <c r="C1205" s="632"/>
      <c r="D1205" s="632"/>
      <c r="J1205" s="405"/>
      <c r="O1205" s="607"/>
      <c r="R1205" s="83"/>
    </row>
    <row r="1206">
      <c r="C1206" s="632"/>
      <c r="D1206" s="632"/>
      <c r="J1206" s="405"/>
      <c r="O1206" s="607"/>
      <c r="R1206" s="83"/>
    </row>
    <row r="1207">
      <c r="C1207" s="632"/>
      <c r="D1207" s="632"/>
      <c r="J1207" s="405"/>
      <c r="O1207" s="607"/>
      <c r="R1207" s="83"/>
    </row>
    <row r="1208">
      <c r="C1208" s="632"/>
      <c r="D1208" s="632"/>
      <c r="J1208" s="405"/>
      <c r="O1208" s="607"/>
      <c r="R1208" s="83"/>
    </row>
    <row r="1209">
      <c r="C1209" s="632"/>
      <c r="D1209" s="632"/>
      <c r="J1209" s="405"/>
      <c r="O1209" s="607"/>
      <c r="R1209" s="83"/>
    </row>
    <row r="1210">
      <c r="C1210" s="632"/>
      <c r="D1210" s="632"/>
      <c r="J1210" s="405"/>
      <c r="O1210" s="607"/>
      <c r="R1210" s="83"/>
    </row>
    <row r="1211">
      <c r="C1211" s="632"/>
      <c r="D1211" s="632"/>
      <c r="J1211" s="405"/>
      <c r="O1211" s="607"/>
      <c r="R1211" s="83"/>
    </row>
    <row r="1212">
      <c r="C1212" s="632"/>
      <c r="D1212" s="632"/>
      <c r="J1212" s="405"/>
      <c r="O1212" s="607"/>
      <c r="R1212" s="83"/>
    </row>
    <row r="1213">
      <c r="C1213" s="632"/>
      <c r="D1213" s="632"/>
      <c r="J1213" s="405"/>
      <c r="O1213" s="607"/>
      <c r="R1213" s="83"/>
    </row>
    <row r="1214">
      <c r="C1214" s="632"/>
      <c r="D1214" s="632"/>
      <c r="J1214" s="405"/>
      <c r="O1214" s="607"/>
      <c r="R1214" s="83"/>
    </row>
    <row r="1215">
      <c r="C1215" s="632"/>
      <c r="D1215" s="632"/>
      <c r="J1215" s="405"/>
      <c r="O1215" s="607"/>
      <c r="R1215" s="83"/>
    </row>
    <row r="1216">
      <c r="C1216" s="632"/>
      <c r="D1216" s="632"/>
      <c r="J1216" s="405"/>
      <c r="O1216" s="607"/>
      <c r="R1216" s="83"/>
    </row>
    <row r="1217">
      <c r="C1217" s="632"/>
      <c r="D1217" s="632"/>
      <c r="J1217" s="405"/>
      <c r="O1217" s="607"/>
      <c r="R1217" s="83"/>
    </row>
    <row r="1218">
      <c r="C1218" s="632"/>
      <c r="D1218" s="632"/>
      <c r="J1218" s="405"/>
      <c r="O1218" s="607"/>
      <c r="R1218" s="83"/>
    </row>
    <row r="1219">
      <c r="C1219" s="632"/>
      <c r="D1219" s="632"/>
      <c r="J1219" s="405"/>
      <c r="O1219" s="607"/>
      <c r="R1219" s="83"/>
    </row>
    <row r="1220">
      <c r="C1220" s="632"/>
      <c r="D1220" s="632"/>
      <c r="J1220" s="405"/>
      <c r="O1220" s="607"/>
      <c r="R1220" s="83"/>
    </row>
    <row r="1221">
      <c r="C1221" s="632"/>
      <c r="D1221" s="632"/>
      <c r="J1221" s="405"/>
      <c r="O1221" s="607"/>
      <c r="R1221" s="83"/>
    </row>
    <row r="1222">
      <c r="C1222" s="632"/>
      <c r="D1222" s="632"/>
      <c r="J1222" s="405"/>
      <c r="O1222" s="607"/>
      <c r="R1222" s="83"/>
    </row>
    <row r="1223">
      <c r="C1223" s="632"/>
      <c r="D1223" s="632"/>
      <c r="J1223" s="405"/>
      <c r="O1223" s="607"/>
      <c r="R1223" s="83"/>
    </row>
    <row r="1224">
      <c r="C1224" s="632"/>
      <c r="D1224" s="632"/>
      <c r="J1224" s="405"/>
      <c r="O1224" s="607"/>
      <c r="R1224" s="83"/>
    </row>
    <row r="1225">
      <c r="C1225" s="632"/>
      <c r="D1225" s="632"/>
      <c r="J1225" s="405"/>
      <c r="O1225" s="607"/>
      <c r="R1225" s="83"/>
    </row>
    <row r="1226">
      <c r="C1226" s="632"/>
      <c r="D1226" s="632"/>
      <c r="J1226" s="405"/>
      <c r="O1226" s="607"/>
      <c r="R1226" s="83"/>
    </row>
    <row r="1227">
      <c r="C1227" s="632"/>
      <c r="D1227" s="632"/>
      <c r="J1227" s="405"/>
      <c r="O1227" s="607"/>
      <c r="R1227" s="83"/>
    </row>
    <row r="1228">
      <c r="C1228" s="632"/>
      <c r="D1228" s="632"/>
      <c r="J1228" s="405"/>
      <c r="O1228" s="607"/>
      <c r="R1228" s="83"/>
    </row>
    <row r="1229">
      <c r="C1229" s="632"/>
      <c r="D1229" s="632"/>
      <c r="J1229" s="405"/>
      <c r="O1229" s="607"/>
      <c r="R1229" s="83"/>
    </row>
    <row r="1230">
      <c r="C1230" s="632"/>
      <c r="D1230" s="632"/>
      <c r="J1230" s="405"/>
      <c r="O1230" s="607"/>
      <c r="R1230" s="83"/>
    </row>
    <row r="1231">
      <c r="C1231" s="632"/>
      <c r="D1231" s="632"/>
      <c r="J1231" s="405"/>
      <c r="O1231" s="607"/>
      <c r="R1231" s="83"/>
    </row>
    <row r="1232">
      <c r="C1232" s="632"/>
      <c r="D1232" s="632"/>
      <c r="J1232" s="405"/>
      <c r="O1232" s="607"/>
      <c r="R1232" s="83"/>
    </row>
    <row r="1233">
      <c r="C1233" s="632"/>
      <c r="D1233" s="632"/>
      <c r="J1233" s="405"/>
      <c r="O1233" s="607"/>
      <c r="R1233" s="83"/>
    </row>
    <row r="1234">
      <c r="C1234" s="632"/>
      <c r="D1234" s="632"/>
      <c r="J1234" s="405"/>
      <c r="O1234" s="607"/>
      <c r="R1234" s="83"/>
    </row>
    <row r="1235">
      <c r="C1235" s="632"/>
      <c r="D1235" s="632"/>
      <c r="J1235" s="405"/>
      <c r="O1235" s="607"/>
      <c r="R1235" s="83"/>
    </row>
    <row r="1236">
      <c r="C1236" s="632"/>
      <c r="D1236" s="632"/>
      <c r="J1236" s="405"/>
      <c r="O1236" s="607"/>
      <c r="R1236" s="83"/>
    </row>
    <row r="1237">
      <c r="C1237" s="632"/>
      <c r="D1237" s="632"/>
      <c r="J1237" s="405"/>
      <c r="O1237" s="607"/>
      <c r="R1237" s="83"/>
    </row>
    <row r="1238">
      <c r="C1238" s="632"/>
      <c r="D1238" s="632"/>
      <c r="J1238" s="405"/>
      <c r="O1238" s="607"/>
      <c r="R1238" s="83"/>
    </row>
    <row r="1239">
      <c r="C1239" s="632"/>
      <c r="D1239" s="632"/>
      <c r="J1239" s="405"/>
      <c r="O1239" s="607"/>
      <c r="R1239" s="83"/>
    </row>
    <row r="1240">
      <c r="C1240" s="632"/>
      <c r="D1240" s="632"/>
      <c r="J1240" s="405"/>
      <c r="O1240" s="607"/>
      <c r="R1240" s="83"/>
    </row>
    <row r="1241">
      <c r="C1241" s="632"/>
      <c r="D1241" s="632"/>
      <c r="J1241" s="405"/>
      <c r="O1241" s="607"/>
      <c r="R1241" s="83"/>
    </row>
    <row r="1242">
      <c r="C1242" s="632"/>
      <c r="D1242" s="632"/>
      <c r="J1242" s="405"/>
      <c r="O1242" s="607"/>
      <c r="R1242" s="83"/>
    </row>
    <row r="1243">
      <c r="C1243" s="632"/>
      <c r="D1243" s="632"/>
      <c r="J1243" s="405"/>
      <c r="O1243" s="607"/>
      <c r="R1243" s="83"/>
    </row>
    <row r="1244">
      <c r="C1244" s="632"/>
      <c r="D1244" s="632"/>
      <c r="J1244" s="405"/>
      <c r="O1244" s="607"/>
      <c r="R1244" s="83"/>
    </row>
    <row r="1245">
      <c r="C1245" s="632"/>
      <c r="D1245" s="632"/>
      <c r="J1245" s="405"/>
      <c r="O1245" s="607"/>
      <c r="R1245" s="83"/>
    </row>
    <row r="1246">
      <c r="C1246" s="632"/>
      <c r="D1246" s="632"/>
      <c r="J1246" s="405"/>
      <c r="O1246" s="607"/>
      <c r="R1246" s="83"/>
    </row>
    <row r="1247">
      <c r="C1247" s="632"/>
      <c r="D1247" s="632"/>
      <c r="J1247" s="405"/>
      <c r="O1247" s="607"/>
      <c r="R1247" s="83"/>
    </row>
    <row r="1248">
      <c r="C1248" s="632"/>
      <c r="D1248" s="632"/>
      <c r="J1248" s="405"/>
      <c r="O1248" s="607"/>
      <c r="R1248" s="83"/>
    </row>
    <row r="1249">
      <c r="C1249" s="632"/>
      <c r="D1249" s="632"/>
      <c r="J1249" s="405"/>
      <c r="O1249" s="607"/>
      <c r="R1249" s="83"/>
    </row>
    <row r="1250">
      <c r="C1250" s="632"/>
      <c r="D1250" s="632"/>
      <c r="J1250" s="405"/>
      <c r="O1250" s="607"/>
      <c r="R1250" s="83"/>
    </row>
    <row r="1251">
      <c r="C1251" s="632"/>
      <c r="D1251" s="632"/>
      <c r="J1251" s="405"/>
      <c r="O1251" s="607"/>
      <c r="R1251" s="83"/>
    </row>
    <row r="1252">
      <c r="C1252" s="632"/>
      <c r="D1252" s="632"/>
      <c r="J1252" s="405"/>
      <c r="O1252" s="607"/>
      <c r="R1252" s="83"/>
    </row>
    <row r="1253">
      <c r="C1253" s="632"/>
      <c r="D1253" s="632"/>
      <c r="J1253" s="405"/>
      <c r="O1253" s="607"/>
      <c r="R1253" s="83"/>
    </row>
    <row r="1254">
      <c r="C1254" s="632"/>
      <c r="D1254" s="632"/>
      <c r="J1254" s="405"/>
      <c r="O1254" s="607"/>
      <c r="R1254" s="83"/>
    </row>
    <row r="1255">
      <c r="C1255" s="632"/>
      <c r="D1255" s="632"/>
      <c r="J1255" s="405"/>
      <c r="O1255" s="607"/>
      <c r="R1255" s="83"/>
    </row>
    <row r="1256">
      <c r="C1256" s="632"/>
      <c r="D1256" s="632"/>
      <c r="J1256" s="405"/>
      <c r="O1256" s="607"/>
      <c r="R1256" s="83"/>
    </row>
    <row r="1257">
      <c r="C1257" s="632"/>
      <c r="D1257" s="632"/>
      <c r="J1257" s="405"/>
      <c r="O1257" s="607"/>
      <c r="R1257" s="83"/>
    </row>
    <row r="1258">
      <c r="C1258" s="632"/>
      <c r="D1258" s="632"/>
      <c r="J1258" s="405"/>
      <c r="O1258" s="607"/>
      <c r="R1258" s="83"/>
    </row>
    <row r="1259">
      <c r="C1259" s="632"/>
      <c r="D1259" s="632"/>
      <c r="J1259" s="405"/>
      <c r="O1259" s="607"/>
      <c r="R1259" s="83"/>
    </row>
    <row r="1260">
      <c r="C1260" s="632"/>
      <c r="D1260" s="632"/>
      <c r="J1260" s="405"/>
      <c r="O1260" s="607"/>
      <c r="R1260" s="83"/>
    </row>
    <row r="1261">
      <c r="C1261" s="632"/>
      <c r="D1261" s="632"/>
      <c r="J1261" s="405"/>
      <c r="O1261" s="607"/>
      <c r="R1261" s="83"/>
    </row>
    <row r="1262">
      <c r="C1262" s="632"/>
      <c r="D1262" s="632"/>
      <c r="J1262" s="405"/>
      <c r="O1262" s="607"/>
      <c r="R1262" s="83"/>
    </row>
    <row r="1263">
      <c r="C1263" s="632"/>
      <c r="D1263" s="632"/>
      <c r="J1263" s="405"/>
      <c r="O1263" s="607"/>
      <c r="R1263" s="83"/>
    </row>
    <row r="1264">
      <c r="C1264" s="632"/>
      <c r="D1264" s="632"/>
      <c r="J1264" s="405"/>
      <c r="O1264" s="607"/>
      <c r="R1264" s="83"/>
    </row>
    <row r="1265">
      <c r="C1265" s="632"/>
      <c r="D1265" s="632"/>
      <c r="J1265" s="405"/>
      <c r="O1265" s="607"/>
      <c r="R1265" s="83"/>
    </row>
    <row r="1266">
      <c r="C1266" s="632"/>
      <c r="D1266" s="632"/>
      <c r="J1266" s="405"/>
      <c r="O1266" s="607"/>
      <c r="R1266" s="83"/>
    </row>
    <row r="1267">
      <c r="C1267" s="632"/>
      <c r="D1267" s="632"/>
      <c r="J1267" s="405"/>
      <c r="O1267" s="607"/>
      <c r="R1267" s="83"/>
    </row>
    <row r="1268">
      <c r="C1268" s="632"/>
      <c r="D1268" s="632"/>
      <c r="J1268" s="405"/>
      <c r="O1268" s="607"/>
      <c r="R1268" s="83"/>
    </row>
    <row r="1269">
      <c r="C1269" s="632"/>
      <c r="D1269" s="632"/>
      <c r="J1269" s="405"/>
      <c r="O1269" s="607"/>
      <c r="R1269" s="83"/>
    </row>
    <row r="1270">
      <c r="C1270" s="632"/>
      <c r="D1270" s="632"/>
      <c r="J1270" s="405"/>
      <c r="O1270" s="607"/>
      <c r="R1270" s="83"/>
    </row>
    <row r="1271">
      <c r="C1271" s="632"/>
      <c r="D1271" s="632"/>
      <c r="J1271" s="405"/>
      <c r="O1271" s="607"/>
      <c r="R1271" s="83"/>
    </row>
    <row r="1272">
      <c r="C1272" s="632"/>
      <c r="D1272" s="632"/>
      <c r="J1272" s="405"/>
      <c r="O1272" s="607"/>
      <c r="R1272" s="83"/>
    </row>
    <row r="1273">
      <c r="C1273" s="632"/>
      <c r="D1273" s="632"/>
      <c r="J1273" s="405"/>
      <c r="O1273" s="607"/>
      <c r="R1273" s="83"/>
    </row>
    <row r="1274">
      <c r="C1274" s="632"/>
      <c r="D1274" s="632"/>
      <c r="J1274" s="405"/>
      <c r="O1274" s="607"/>
      <c r="R1274" s="83"/>
    </row>
    <row r="1275">
      <c r="C1275" s="632"/>
      <c r="D1275" s="632"/>
      <c r="J1275" s="405"/>
      <c r="O1275" s="607"/>
      <c r="R1275" s="83"/>
    </row>
    <row r="1276">
      <c r="C1276" s="632"/>
      <c r="D1276" s="632"/>
      <c r="J1276" s="405"/>
      <c r="O1276" s="607"/>
      <c r="R1276" s="83"/>
    </row>
    <row r="1277">
      <c r="C1277" s="632"/>
      <c r="D1277" s="632"/>
      <c r="J1277" s="405"/>
      <c r="O1277" s="607"/>
      <c r="R1277" s="83"/>
    </row>
    <row r="1278">
      <c r="C1278" s="632"/>
      <c r="D1278" s="632"/>
      <c r="J1278" s="405"/>
      <c r="O1278" s="607"/>
      <c r="R1278" s="83"/>
    </row>
    <row r="1279">
      <c r="C1279" s="632"/>
      <c r="D1279" s="632"/>
      <c r="J1279" s="405"/>
      <c r="O1279" s="607"/>
      <c r="R1279" s="83"/>
    </row>
    <row r="1280">
      <c r="C1280" s="632"/>
      <c r="D1280" s="632"/>
      <c r="J1280" s="405"/>
      <c r="O1280" s="607"/>
      <c r="R1280" s="83"/>
    </row>
    <row r="1281">
      <c r="C1281" s="632"/>
      <c r="D1281" s="632"/>
      <c r="J1281" s="405"/>
      <c r="O1281" s="607"/>
      <c r="R1281" s="83"/>
    </row>
    <row r="1282">
      <c r="C1282" s="632"/>
      <c r="D1282" s="632"/>
      <c r="J1282" s="405"/>
      <c r="O1282" s="607"/>
      <c r="R1282" s="83"/>
    </row>
    <row r="1283">
      <c r="C1283" s="632"/>
      <c r="D1283" s="632"/>
      <c r="J1283" s="405"/>
      <c r="O1283" s="607"/>
      <c r="R1283" s="83"/>
    </row>
    <row r="1284">
      <c r="C1284" s="632"/>
      <c r="D1284" s="632"/>
      <c r="J1284" s="405"/>
      <c r="O1284" s="607"/>
      <c r="R1284" s="83"/>
    </row>
    <row r="1285">
      <c r="C1285" s="632"/>
      <c r="D1285" s="632"/>
      <c r="J1285" s="405"/>
      <c r="O1285" s="607"/>
      <c r="R1285" s="83"/>
    </row>
    <row r="1286">
      <c r="C1286" s="632"/>
      <c r="D1286" s="632"/>
      <c r="J1286" s="405"/>
      <c r="O1286" s="607"/>
      <c r="R1286" s="83"/>
    </row>
    <row r="1287">
      <c r="C1287" s="632"/>
      <c r="D1287" s="632"/>
      <c r="J1287" s="405"/>
      <c r="O1287" s="607"/>
      <c r="R1287" s="83"/>
    </row>
    <row r="1288">
      <c r="C1288" s="632"/>
      <c r="D1288" s="632"/>
      <c r="J1288" s="405"/>
      <c r="O1288" s="607"/>
      <c r="R1288" s="83"/>
    </row>
    <row r="1289">
      <c r="C1289" s="632"/>
      <c r="D1289" s="632"/>
      <c r="J1289" s="405"/>
      <c r="O1289" s="607"/>
      <c r="R1289" s="83"/>
    </row>
    <row r="1290">
      <c r="C1290" s="632"/>
      <c r="D1290" s="632"/>
      <c r="J1290" s="405"/>
      <c r="O1290" s="607"/>
      <c r="R1290" s="83"/>
    </row>
    <row r="1291">
      <c r="C1291" s="632"/>
      <c r="D1291" s="632"/>
      <c r="J1291" s="405"/>
      <c r="O1291" s="607"/>
      <c r="R1291" s="83"/>
    </row>
    <row r="1292">
      <c r="C1292" s="632"/>
      <c r="D1292" s="632"/>
      <c r="J1292" s="405"/>
      <c r="O1292" s="607"/>
      <c r="R1292" s="83"/>
    </row>
    <row r="1293">
      <c r="C1293" s="632"/>
      <c r="D1293" s="632"/>
      <c r="J1293" s="405"/>
      <c r="O1293" s="607"/>
      <c r="R1293" s="83"/>
    </row>
    <row r="1294">
      <c r="C1294" s="632"/>
      <c r="D1294" s="632"/>
      <c r="J1294" s="405"/>
      <c r="O1294" s="607"/>
      <c r="R1294" s="83"/>
    </row>
    <row r="1295">
      <c r="C1295" s="632"/>
      <c r="D1295" s="632"/>
      <c r="J1295" s="405"/>
      <c r="O1295" s="607"/>
      <c r="R1295" s="83"/>
    </row>
    <row r="1296">
      <c r="C1296" s="632"/>
      <c r="D1296" s="632"/>
      <c r="J1296" s="405"/>
      <c r="O1296" s="607"/>
      <c r="R1296" s="83"/>
    </row>
    <row r="1297">
      <c r="C1297" s="632"/>
      <c r="D1297" s="632"/>
      <c r="J1297" s="405"/>
      <c r="O1297" s="607"/>
      <c r="R1297" s="83"/>
    </row>
    <row r="1298">
      <c r="C1298" s="632"/>
      <c r="D1298" s="632"/>
      <c r="J1298" s="405"/>
      <c r="O1298" s="607"/>
      <c r="R1298" s="83"/>
    </row>
    <row r="1299">
      <c r="C1299" s="632"/>
      <c r="D1299" s="632"/>
      <c r="J1299" s="405"/>
      <c r="O1299" s="607"/>
      <c r="R1299" s="83"/>
    </row>
    <row r="1300">
      <c r="C1300" s="632"/>
      <c r="D1300" s="632"/>
      <c r="J1300" s="405"/>
      <c r="O1300" s="607"/>
      <c r="R1300" s="83"/>
    </row>
    <row r="1301">
      <c r="C1301" s="632"/>
      <c r="D1301" s="632"/>
      <c r="J1301" s="405"/>
      <c r="O1301" s="607"/>
      <c r="R1301" s="83"/>
    </row>
    <row r="1302">
      <c r="C1302" s="632"/>
      <c r="D1302" s="632"/>
      <c r="J1302" s="405"/>
      <c r="O1302" s="607"/>
      <c r="R1302" s="83"/>
    </row>
    <row r="1303">
      <c r="C1303" s="632"/>
      <c r="D1303" s="632"/>
      <c r="J1303" s="405"/>
      <c r="O1303" s="607"/>
      <c r="R1303" s="83"/>
    </row>
    <row r="1304">
      <c r="C1304" s="632"/>
      <c r="D1304" s="632"/>
      <c r="J1304" s="405"/>
      <c r="O1304" s="607"/>
      <c r="R1304" s="83"/>
    </row>
    <row r="1305">
      <c r="C1305" s="632"/>
      <c r="D1305" s="632"/>
      <c r="J1305" s="405"/>
      <c r="O1305" s="607"/>
      <c r="R1305" s="83"/>
    </row>
    <row r="1306">
      <c r="C1306" s="632"/>
      <c r="D1306" s="632"/>
      <c r="J1306" s="405"/>
      <c r="O1306" s="607"/>
      <c r="R1306" s="83"/>
    </row>
    <row r="1307">
      <c r="C1307" s="632"/>
      <c r="D1307" s="632"/>
      <c r="J1307" s="405"/>
      <c r="O1307" s="607"/>
      <c r="R1307" s="83"/>
    </row>
    <row r="1308">
      <c r="C1308" s="632"/>
      <c r="D1308" s="632"/>
      <c r="J1308" s="405"/>
      <c r="O1308" s="607"/>
      <c r="R1308" s="83"/>
    </row>
    <row r="1309">
      <c r="C1309" s="632"/>
      <c r="D1309" s="632"/>
      <c r="J1309" s="405"/>
      <c r="O1309" s="607"/>
      <c r="R1309" s="83"/>
    </row>
    <row r="1310">
      <c r="C1310" s="632"/>
      <c r="D1310" s="632"/>
      <c r="J1310" s="405"/>
      <c r="O1310" s="607"/>
      <c r="R1310" s="83"/>
    </row>
    <row r="1311">
      <c r="C1311" s="632"/>
      <c r="D1311" s="632"/>
      <c r="J1311" s="405"/>
      <c r="O1311" s="607"/>
      <c r="R1311" s="83"/>
    </row>
    <row r="1312">
      <c r="C1312" s="632"/>
      <c r="D1312" s="632"/>
      <c r="J1312" s="405"/>
      <c r="O1312" s="607"/>
      <c r="R1312" s="83"/>
    </row>
    <row r="1313">
      <c r="C1313" s="632"/>
      <c r="D1313" s="632"/>
      <c r="J1313" s="405"/>
      <c r="O1313" s="607"/>
      <c r="R1313" s="83"/>
    </row>
    <row r="1314">
      <c r="C1314" s="632"/>
      <c r="D1314" s="632"/>
      <c r="J1314" s="405"/>
      <c r="O1314" s="607"/>
      <c r="R1314" s="83"/>
    </row>
    <row r="1315">
      <c r="C1315" s="632"/>
      <c r="D1315" s="632"/>
      <c r="J1315" s="405"/>
      <c r="O1315" s="607"/>
      <c r="R1315" s="83"/>
    </row>
    <row r="1316">
      <c r="C1316" s="632"/>
      <c r="D1316" s="632"/>
      <c r="J1316" s="405"/>
      <c r="O1316" s="607"/>
      <c r="R1316" s="83"/>
    </row>
    <row r="1317">
      <c r="C1317" s="632"/>
      <c r="D1317" s="632"/>
      <c r="J1317" s="405"/>
      <c r="O1317" s="607"/>
      <c r="R1317" s="83"/>
    </row>
    <row r="1318">
      <c r="C1318" s="632"/>
      <c r="D1318" s="632"/>
      <c r="J1318" s="405"/>
      <c r="O1318" s="607"/>
      <c r="R1318" s="83"/>
    </row>
    <row r="1319">
      <c r="C1319" s="632"/>
      <c r="D1319" s="632"/>
      <c r="J1319" s="405"/>
      <c r="O1319" s="607"/>
      <c r="R1319" s="83"/>
    </row>
    <row r="1320">
      <c r="C1320" s="632"/>
      <c r="D1320" s="632"/>
      <c r="J1320" s="405"/>
      <c r="O1320" s="607"/>
      <c r="R1320" s="83"/>
    </row>
    <row r="1321">
      <c r="C1321" s="632"/>
      <c r="D1321" s="632"/>
      <c r="J1321" s="405"/>
      <c r="O1321" s="607"/>
      <c r="R1321" s="83"/>
    </row>
    <row r="1322">
      <c r="C1322" s="632"/>
      <c r="D1322" s="632"/>
      <c r="J1322" s="405"/>
      <c r="O1322" s="607"/>
      <c r="R1322" s="83"/>
    </row>
    <row r="1323">
      <c r="C1323" s="632"/>
      <c r="D1323" s="632"/>
      <c r="J1323" s="405"/>
      <c r="O1323" s="607"/>
      <c r="R1323" s="83"/>
    </row>
    <row r="1324">
      <c r="C1324" s="632"/>
      <c r="D1324" s="632"/>
      <c r="J1324" s="405"/>
      <c r="O1324" s="607"/>
      <c r="R1324" s="83"/>
    </row>
    <row r="1325">
      <c r="C1325" s="632"/>
      <c r="D1325" s="632"/>
      <c r="J1325" s="405"/>
      <c r="O1325" s="607"/>
      <c r="R1325" s="83"/>
    </row>
    <row r="1326">
      <c r="C1326" s="632"/>
      <c r="D1326" s="632"/>
      <c r="J1326" s="405"/>
      <c r="O1326" s="607"/>
      <c r="R1326" s="83"/>
    </row>
    <row r="1327">
      <c r="C1327" s="632"/>
      <c r="D1327" s="632"/>
      <c r="J1327" s="405"/>
      <c r="O1327" s="607"/>
      <c r="R1327" s="83"/>
    </row>
    <row r="1328">
      <c r="C1328" s="632"/>
      <c r="D1328" s="632"/>
      <c r="J1328" s="405"/>
      <c r="O1328" s="607"/>
      <c r="R1328" s="83"/>
    </row>
    <row r="1329">
      <c r="C1329" s="632"/>
      <c r="D1329" s="632"/>
      <c r="J1329" s="405"/>
      <c r="O1329" s="607"/>
      <c r="R1329" s="83"/>
    </row>
    <row r="1330">
      <c r="C1330" s="632"/>
      <c r="D1330" s="632"/>
      <c r="J1330" s="405"/>
      <c r="O1330" s="607"/>
      <c r="R1330" s="83"/>
    </row>
    <row r="1331">
      <c r="C1331" s="632"/>
      <c r="D1331" s="632"/>
      <c r="J1331" s="405"/>
      <c r="O1331" s="607"/>
      <c r="R1331" s="83"/>
    </row>
    <row r="1332">
      <c r="C1332" s="632"/>
      <c r="D1332" s="632"/>
      <c r="J1332" s="405"/>
      <c r="O1332" s="607"/>
      <c r="R1332" s="83"/>
    </row>
    <row r="1333">
      <c r="C1333" s="632"/>
      <c r="D1333" s="632"/>
      <c r="J1333" s="405"/>
      <c r="O1333" s="607"/>
      <c r="R1333" s="83"/>
    </row>
    <row r="1334">
      <c r="C1334" s="632"/>
      <c r="D1334" s="632"/>
      <c r="J1334" s="405"/>
      <c r="O1334" s="607"/>
      <c r="R1334" s="83"/>
    </row>
    <row r="1335">
      <c r="C1335" s="632"/>
      <c r="D1335" s="632"/>
      <c r="J1335" s="405"/>
      <c r="O1335" s="607"/>
      <c r="R1335" s="83"/>
    </row>
    <row r="1336">
      <c r="C1336" s="632"/>
      <c r="D1336" s="632"/>
      <c r="J1336" s="405"/>
      <c r="O1336" s="607"/>
      <c r="R1336" s="83"/>
    </row>
    <row r="1337">
      <c r="C1337" s="632"/>
      <c r="D1337" s="632"/>
      <c r="J1337" s="405"/>
      <c r="O1337" s="607"/>
      <c r="R1337" s="83"/>
    </row>
    <row r="1338">
      <c r="C1338" s="632"/>
      <c r="D1338" s="632"/>
      <c r="J1338" s="405"/>
      <c r="O1338" s="607"/>
      <c r="R1338" s="83"/>
    </row>
    <row r="1339">
      <c r="C1339" s="632"/>
      <c r="D1339" s="632"/>
      <c r="J1339" s="405"/>
      <c r="O1339" s="607"/>
      <c r="R1339" s="83"/>
    </row>
    <row r="1340">
      <c r="C1340" s="632"/>
      <c r="D1340" s="632"/>
      <c r="J1340" s="405"/>
      <c r="O1340" s="607"/>
      <c r="R1340" s="83"/>
    </row>
    <row r="1341">
      <c r="C1341" s="632"/>
      <c r="D1341" s="632"/>
      <c r="J1341" s="405"/>
      <c r="O1341" s="607"/>
      <c r="R1341" s="83"/>
    </row>
    <row r="1342">
      <c r="C1342" s="632"/>
      <c r="D1342" s="632"/>
      <c r="J1342" s="405"/>
      <c r="O1342" s="607"/>
      <c r="R1342" s="83"/>
    </row>
    <row r="1343">
      <c r="C1343" s="632"/>
      <c r="D1343" s="632"/>
      <c r="J1343" s="405"/>
      <c r="O1343" s="607"/>
      <c r="R1343" s="83"/>
    </row>
    <row r="1344">
      <c r="C1344" s="632"/>
      <c r="D1344" s="632"/>
      <c r="J1344" s="405"/>
      <c r="O1344" s="607"/>
      <c r="R1344" s="83"/>
    </row>
    <row r="1345">
      <c r="C1345" s="632"/>
      <c r="D1345" s="632"/>
      <c r="J1345" s="405"/>
      <c r="O1345" s="607"/>
      <c r="R1345" s="83"/>
    </row>
    <row r="1346">
      <c r="C1346" s="632"/>
      <c r="D1346" s="632"/>
      <c r="J1346" s="405"/>
      <c r="O1346" s="607"/>
      <c r="R1346" s="83"/>
    </row>
    <row r="1347">
      <c r="C1347" s="632"/>
      <c r="D1347" s="632"/>
      <c r="J1347" s="405"/>
      <c r="O1347" s="607"/>
      <c r="R1347" s="83"/>
    </row>
    <row r="1348">
      <c r="C1348" s="632"/>
      <c r="D1348" s="632"/>
      <c r="J1348" s="405"/>
      <c r="O1348" s="607"/>
      <c r="R1348" s="83"/>
    </row>
    <row r="1349">
      <c r="C1349" s="632"/>
      <c r="D1349" s="632"/>
      <c r="J1349" s="405"/>
      <c r="O1349" s="607"/>
      <c r="R1349" s="83"/>
    </row>
    <row r="1350">
      <c r="C1350" s="632"/>
      <c r="D1350" s="632"/>
      <c r="J1350" s="405"/>
      <c r="O1350" s="607"/>
      <c r="R1350" s="83"/>
    </row>
    <row r="1351">
      <c r="C1351" s="632"/>
      <c r="D1351" s="632"/>
      <c r="J1351" s="405"/>
      <c r="O1351" s="607"/>
      <c r="R1351" s="83"/>
    </row>
    <row r="1352">
      <c r="C1352" s="632"/>
      <c r="D1352" s="632"/>
      <c r="J1352" s="405"/>
      <c r="O1352" s="607"/>
      <c r="R1352" s="83"/>
    </row>
    <row r="1353">
      <c r="C1353" s="632"/>
      <c r="D1353" s="632"/>
      <c r="J1353" s="405"/>
      <c r="O1353" s="607"/>
      <c r="R1353" s="83"/>
    </row>
    <row r="1354">
      <c r="C1354" s="632"/>
      <c r="D1354" s="632"/>
      <c r="J1354" s="405"/>
      <c r="O1354" s="607"/>
      <c r="R1354" s="83"/>
    </row>
    <row r="1355">
      <c r="C1355" s="632"/>
      <c r="D1355" s="632"/>
      <c r="J1355" s="405"/>
      <c r="O1355" s="607"/>
      <c r="R1355" s="83"/>
    </row>
    <row r="1356">
      <c r="C1356" s="632"/>
      <c r="D1356" s="632"/>
      <c r="J1356" s="405"/>
      <c r="O1356" s="607"/>
      <c r="R1356" s="83"/>
    </row>
    <row r="1357">
      <c r="C1357" s="632"/>
      <c r="D1357" s="632"/>
      <c r="J1357" s="405"/>
      <c r="O1357" s="607"/>
      <c r="R1357" s="83"/>
    </row>
    <row r="1358">
      <c r="C1358" s="632"/>
      <c r="D1358" s="632"/>
      <c r="J1358" s="405"/>
      <c r="O1358" s="607"/>
      <c r="R1358" s="83"/>
    </row>
    <row r="1359">
      <c r="C1359" s="632"/>
      <c r="D1359" s="632"/>
      <c r="J1359" s="405"/>
      <c r="O1359" s="607"/>
      <c r="R1359" s="83"/>
    </row>
    <row r="1360">
      <c r="C1360" s="632"/>
      <c r="D1360" s="632"/>
      <c r="J1360" s="405"/>
      <c r="O1360" s="607"/>
      <c r="R1360" s="83"/>
    </row>
    <row r="1361">
      <c r="C1361" s="632"/>
      <c r="D1361" s="632"/>
      <c r="J1361" s="405"/>
      <c r="O1361" s="607"/>
      <c r="R1361" s="83"/>
    </row>
    <row r="1362">
      <c r="C1362" s="632"/>
      <c r="D1362" s="632"/>
      <c r="J1362" s="405"/>
      <c r="O1362" s="607"/>
      <c r="R1362" s="83"/>
    </row>
    <row r="1363">
      <c r="C1363" s="632"/>
      <c r="D1363" s="632"/>
      <c r="J1363" s="405"/>
      <c r="O1363" s="607"/>
      <c r="R1363" s="83"/>
    </row>
    <row r="1364">
      <c r="C1364" s="632"/>
      <c r="D1364" s="632"/>
      <c r="J1364" s="405"/>
      <c r="O1364" s="607"/>
      <c r="R1364" s="83"/>
    </row>
    <row r="1365">
      <c r="C1365" s="632"/>
      <c r="D1365" s="632"/>
      <c r="J1365" s="405"/>
      <c r="O1365" s="607"/>
      <c r="R1365" s="83"/>
    </row>
    <row r="1366">
      <c r="C1366" s="632"/>
      <c r="D1366" s="632"/>
      <c r="J1366" s="405"/>
      <c r="O1366" s="607"/>
      <c r="R1366" s="83"/>
    </row>
    <row r="1367">
      <c r="C1367" s="632"/>
      <c r="D1367" s="632"/>
      <c r="J1367" s="405"/>
      <c r="O1367" s="607"/>
      <c r="R1367" s="83"/>
    </row>
    <row r="1368">
      <c r="C1368" s="632"/>
      <c r="D1368" s="632"/>
      <c r="J1368" s="405"/>
      <c r="O1368" s="607"/>
      <c r="R1368" s="83"/>
    </row>
    <row r="1369">
      <c r="C1369" s="632"/>
      <c r="D1369" s="632"/>
      <c r="J1369" s="405"/>
      <c r="O1369" s="607"/>
      <c r="R1369" s="83"/>
    </row>
    <row r="1370">
      <c r="C1370" s="632"/>
      <c r="D1370" s="632"/>
      <c r="J1370" s="405"/>
      <c r="O1370" s="607"/>
      <c r="R1370" s="83"/>
    </row>
    <row r="1371">
      <c r="C1371" s="632"/>
      <c r="D1371" s="632"/>
      <c r="J1371" s="405"/>
      <c r="O1371" s="607"/>
      <c r="R1371" s="83"/>
    </row>
    <row r="1372">
      <c r="C1372" s="632"/>
      <c r="D1372" s="632"/>
      <c r="J1372" s="405"/>
      <c r="O1372" s="607"/>
      <c r="R1372" s="83"/>
    </row>
    <row r="1373">
      <c r="C1373" s="632"/>
      <c r="D1373" s="632"/>
      <c r="J1373" s="405"/>
      <c r="O1373" s="607"/>
      <c r="R1373" s="83"/>
    </row>
    <row r="1374">
      <c r="C1374" s="632"/>
      <c r="D1374" s="632"/>
      <c r="J1374" s="405"/>
      <c r="O1374" s="607"/>
      <c r="R1374" s="83"/>
    </row>
    <row r="1375">
      <c r="C1375" s="632"/>
      <c r="D1375" s="632"/>
      <c r="J1375" s="405"/>
      <c r="O1375" s="607"/>
      <c r="R1375" s="83"/>
    </row>
    <row r="1376">
      <c r="C1376" s="632"/>
      <c r="D1376" s="632"/>
      <c r="J1376" s="405"/>
      <c r="O1376" s="607"/>
      <c r="R1376" s="83"/>
    </row>
    <row r="1377">
      <c r="C1377" s="632"/>
      <c r="D1377" s="632"/>
      <c r="J1377" s="405"/>
      <c r="O1377" s="607"/>
      <c r="R1377" s="83"/>
    </row>
    <row r="1378">
      <c r="C1378" s="632"/>
      <c r="D1378" s="632"/>
      <c r="J1378" s="405"/>
      <c r="O1378" s="607"/>
      <c r="R1378" s="83"/>
    </row>
    <row r="1379">
      <c r="C1379" s="632"/>
      <c r="D1379" s="632"/>
      <c r="J1379" s="405"/>
      <c r="O1379" s="607"/>
      <c r="R1379" s="83"/>
    </row>
    <row r="1380">
      <c r="C1380" s="632"/>
      <c r="D1380" s="632"/>
      <c r="J1380" s="405"/>
      <c r="O1380" s="607"/>
      <c r="R1380" s="83"/>
    </row>
    <row r="1381">
      <c r="C1381" s="632"/>
      <c r="D1381" s="632"/>
      <c r="J1381" s="405"/>
      <c r="O1381" s="607"/>
      <c r="R1381" s="83"/>
    </row>
    <row r="1382">
      <c r="C1382" s="632"/>
      <c r="D1382" s="632"/>
      <c r="J1382" s="405"/>
      <c r="O1382" s="607"/>
      <c r="R1382" s="83"/>
    </row>
    <row r="1383">
      <c r="C1383" s="632"/>
      <c r="D1383" s="632"/>
      <c r="J1383" s="405"/>
      <c r="O1383" s="607"/>
      <c r="R1383" s="83"/>
    </row>
    <row r="1384">
      <c r="C1384" s="632"/>
      <c r="D1384" s="632"/>
      <c r="J1384" s="405"/>
      <c r="O1384" s="607"/>
      <c r="R1384" s="83"/>
    </row>
    <row r="1385">
      <c r="C1385" s="632"/>
      <c r="D1385" s="632"/>
      <c r="J1385" s="405"/>
      <c r="O1385" s="607"/>
      <c r="R1385" s="83"/>
    </row>
    <row r="1386">
      <c r="C1386" s="632"/>
      <c r="D1386" s="632"/>
      <c r="J1386" s="405"/>
      <c r="O1386" s="607"/>
      <c r="R1386" s="83"/>
    </row>
    <row r="1387">
      <c r="C1387" s="632"/>
      <c r="D1387" s="632"/>
      <c r="J1387" s="405"/>
      <c r="O1387" s="607"/>
      <c r="R1387" s="83"/>
    </row>
    <row r="1388">
      <c r="C1388" s="632"/>
      <c r="D1388" s="632"/>
      <c r="J1388" s="405"/>
      <c r="O1388" s="607"/>
      <c r="R1388" s="83"/>
    </row>
    <row r="1389">
      <c r="C1389" s="632"/>
      <c r="D1389" s="632"/>
      <c r="J1389" s="405"/>
      <c r="O1389" s="607"/>
      <c r="R1389" s="83"/>
    </row>
    <row r="1390">
      <c r="C1390" s="632"/>
      <c r="D1390" s="632"/>
      <c r="J1390" s="405"/>
      <c r="O1390" s="607"/>
      <c r="R1390" s="83"/>
    </row>
    <row r="1391">
      <c r="C1391" s="632"/>
      <c r="D1391" s="632"/>
      <c r="J1391" s="405"/>
      <c r="O1391" s="607"/>
      <c r="R1391" s="83"/>
    </row>
    <row r="1392">
      <c r="C1392" s="632"/>
      <c r="D1392" s="632"/>
      <c r="J1392" s="405"/>
      <c r="O1392" s="607"/>
      <c r="R1392" s="83"/>
    </row>
    <row r="1393">
      <c r="C1393" s="632"/>
      <c r="D1393" s="632"/>
      <c r="J1393" s="405"/>
      <c r="O1393" s="607"/>
      <c r="R1393" s="83"/>
    </row>
    <row r="1394">
      <c r="C1394" s="632"/>
      <c r="D1394" s="632"/>
      <c r="J1394" s="405"/>
      <c r="O1394" s="607"/>
      <c r="R1394" s="83"/>
    </row>
    <row r="1395">
      <c r="C1395" s="632"/>
      <c r="D1395" s="632"/>
      <c r="J1395" s="405"/>
      <c r="O1395" s="607"/>
      <c r="R1395" s="83"/>
    </row>
    <row r="1396">
      <c r="C1396" s="632"/>
      <c r="D1396" s="632"/>
      <c r="J1396" s="405"/>
      <c r="O1396" s="607"/>
      <c r="R1396" s="83"/>
    </row>
    <row r="1397">
      <c r="C1397" s="632"/>
      <c r="D1397" s="632"/>
      <c r="J1397" s="405"/>
      <c r="O1397" s="607"/>
      <c r="R1397" s="83"/>
    </row>
    <row r="1398">
      <c r="C1398" s="632"/>
      <c r="D1398" s="632"/>
      <c r="J1398" s="405"/>
      <c r="O1398" s="607"/>
      <c r="R1398" s="83"/>
    </row>
    <row r="1399">
      <c r="C1399" s="632"/>
      <c r="D1399" s="632"/>
      <c r="J1399" s="405"/>
      <c r="O1399" s="607"/>
      <c r="R1399" s="83"/>
    </row>
    <row r="1400">
      <c r="C1400" s="632"/>
      <c r="D1400" s="632"/>
      <c r="J1400" s="405"/>
      <c r="O1400" s="607"/>
      <c r="R1400" s="83"/>
    </row>
    <row r="1401">
      <c r="C1401" s="632"/>
      <c r="D1401" s="632"/>
      <c r="J1401" s="405"/>
      <c r="O1401" s="607"/>
      <c r="R1401" s="83"/>
    </row>
    <row r="1402">
      <c r="C1402" s="632"/>
      <c r="D1402" s="632"/>
      <c r="J1402" s="405"/>
      <c r="O1402" s="607"/>
      <c r="R1402" s="83"/>
    </row>
    <row r="1403">
      <c r="C1403" s="632"/>
      <c r="D1403" s="632"/>
      <c r="J1403" s="405"/>
      <c r="O1403" s="607"/>
      <c r="R1403" s="83"/>
    </row>
    <row r="1404">
      <c r="C1404" s="632"/>
      <c r="D1404" s="632"/>
      <c r="J1404" s="405"/>
      <c r="O1404" s="607"/>
      <c r="R1404" s="83"/>
    </row>
    <row r="1405">
      <c r="C1405" s="632"/>
      <c r="D1405" s="632"/>
      <c r="J1405" s="405"/>
      <c r="O1405" s="607"/>
      <c r="R1405" s="83"/>
    </row>
    <row r="1406">
      <c r="C1406" s="632"/>
      <c r="D1406" s="632"/>
      <c r="J1406" s="405"/>
      <c r="O1406" s="607"/>
      <c r="R1406" s="83"/>
    </row>
    <row r="1407">
      <c r="C1407" s="632"/>
      <c r="D1407" s="632"/>
      <c r="J1407" s="405"/>
      <c r="O1407" s="607"/>
      <c r="R1407" s="83"/>
    </row>
    <row r="1408">
      <c r="C1408" s="632"/>
      <c r="D1408" s="632"/>
      <c r="J1408" s="405"/>
      <c r="O1408" s="607"/>
      <c r="R1408" s="83"/>
    </row>
    <row r="1409">
      <c r="C1409" s="632"/>
      <c r="D1409" s="632"/>
      <c r="J1409" s="405"/>
      <c r="O1409" s="607"/>
      <c r="R1409" s="83"/>
    </row>
    <row r="1410">
      <c r="C1410" s="632"/>
      <c r="D1410" s="632"/>
      <c r="J1410" s="405"/>
      <c r="O1410" s="607"/>
      <c r="R1410" s="83"/>
    </row>
    <row r="1411">
      <c r="C1411" s="632"/>
      <c r="D1411" s="632"/>
      <c r="J1411" s="405"/>
      <c r="O1411" s="607"/>
      <c r="R1411" s="83"/>
    </row>
    <row r="1412">
      <c r="C1412" s="632"/>
      <c r="D1412" s="632"/>
      <c r="J1412" s="405"/>
      <c r="O1412" s="607"/>
      <c r="R1412" s="83"/>
    </row>
    <row r="1413">
      <c r="C1413" s="632"/>
      <c r="D1413" s="632"/>
      <c r="J1413" s="405"/>
      <c r="O1413" s="607"/>
      <c r="R1413" s="83"/>
    </row>
    <row r="1414">
      <c r="C1414" s="632"/>
      <c r="D1414" s="632"/>
      <c r="J1414" s="405"/>
      <c r="O1414" s="607"/>
      <c r="R1414" s="83"/>
    </row>
    <row r="1415">
      <c r="C1415" s="632"/>
      <c r="D1415" s="632"/>
      <c r="J1415" s="405"/>
      <c r="O1415" s="607"/>
      <c r="R1415" s="83"/>
    </row>
    <row r="1416">
      <c r="C1416" s="632"/>
      <c r="D1416" s="632"/>
      <c r="J1416" s="405"/>
      <c r="O1416" s="607"/>
      <c r="R1416" s="83"/>
    </row>
    <row r="1417">
      <c r="C1417" s="632"/>
      <c r="D1417" s="632"/>
      <c r="J1417" s="405"/>
      <c r="O1417" s="607"/>
      <c r="R1417" s="83"/>
    </row>
    <row r="1418">
      <c r="C1418" s="632"/>
      <c r="D1418" s="632"/>
      <c r="J1418" s="405"/>
      <c r="O1418" s="607"/>
      <c r="R1418" s="83"/>
    </row>
    <row r="1419">
      <c r="C1419" s="632"/>
      <c r="D1419" s="632"/>
      <c r="J1419" s="405"/>
      <c r="O1419" s="607"/>
      <c r="R1419" s="83"/>
    </row>
    <row r="1420">
      <c r="C1420" s="632"/>
      <c r="D1420" s="632"/>
      <c r="J1420" s="405"/>
      <c r="O1420" s="607"/>
      <c r="R1420" s="83"/>
    </row>
    <row r="1421">
      <c r="C1421" s="632"/>
      <c r="D1421" s="632"/>
      <c r="J1421" s="405"/>
      <c r="O1421" s="607"/>
      <c r="R1421" s="83"/>
    </row>
    <row r="1422">
      <c r="C1422" s="632"/>
      <c r="D1422" s="632"/>
      <c r="J1422" s="405"/>
      <c r="O1422" s="607"/>
      <c r="R1422" s="83"/>
    </row>
    <row r="1423">
      <c r="C1423" s="632"/>
      <c r="D1423" s="632"/>
      <c r="J1423" s="405"/>
      <c r="O1423" s="607"/>
      <c r="R1423" s="83"/>
    </row>
    <row r="1424">
      <c r="C1424" s="632"/>
      <c r="D1424" s="632"/>
      <c r="J1424" s="405"/>
      <c r="O1424" s="607"/>
      <c r="R1424" s="83"/>
    </row>
    <row r="1425">
      <c r="C1425" s="632"/>
      <c r="D1425" s="632"/>
      <c r="J1425" s="405"/>
      <c r="O1425" s="607"/>
      <c r="R1425" s="83"/>
    </row>
    <row r="1426">
      <c r="C1426" s="632"/>
      <c r="D1426" s="632"/>
      <c r="J1426" s="405"/>
      <c r="O1426" s="607"/>
      <c r="R1426" s="83"/>
    </row>
    <row r="1427">
      <c r="C1427" s="632"/>
      <c r="D1427" s="632"/>
      <c r="J1427" s="405"/>
      <c r="O1427" s="607"/>
      <c r="R1427" s="83"/>
    </row>
    <row r="1428">
      <c r="C1428" s="632"/>
      <c r="D1428" s="632"/>
      <c r="J1428" s="405"/>
      <c r="O1428" s="607"/>
      <c r="R1428" s="83"/>
    </row>
    <row r="1429">
      <c r="C1429" s="632"/>
      <c r="D1429" s="632"/>
      <c r="J1429" s="405"/>
      <c r="O1429" s="607"/>
      <c r="R1429" s="83"/>
    </row>
    <row r="1430">
      <c r="C1430" s="632"/>
      <c r="D1430" s="632"/>
      <c r="J1430" s="405"/>
      <c r="O1430" s="607"/>
      <c r="R1430" s="83"/>
    </row>
    <row r="1431">
      <c r="C1431" s="632"/>
      <c r="D1431" s="632"/>
      <c r="J1431" s="405"/>
      <c r="O1431" s="607"/>
      <c r="R1431" s="83"/>
    </row>
    <row r="1432">
      <c r="C1432" s="632"/>
      <c r="D1432" s="632"/>
      <c r="J1432" s="405"/>
      <c r="O1432" s="607"/>
      <c r="R1432" s="83"/>
    </row>
    <row r="1433">
      <c r="C1433" s="632"/>
      <c r="D1433" s="632"/>
      <c r="J1433" s="405"/>
      <c r="O1433" s="607"/>
      <c r="R1433" s="83"/>
    </row>
    <row r="1434">
      <c r="C1434" s="632"/>
      <c r="D1434" s="632"/>
      <c r="J1434" s="405"/>
      <c r="O1434" s="607"/>
      <c r="R1434" s="83"/>
    </row>
    <row r="1435">
      <c r="C1435" s="632"/>
      <c r="D1435" s="632"/>
      <c r="J1435" s="405"/>
      <c r="O1435" s="607"/>
      <c r="R1435" s="83"/>
    </row>
    <row r="1436">
      <c r="C1436" s="632"/>
      <c r="D1436" s="632"/>
      <c r="J1436" s="405"/>
      <c r="O1436" s="607"/>
      <c r="R1436" s="83"/>
    </row>
    <row r="1437">
      <c r="C1437" s="632"/>
      <c r="D1437" s="632"/>
      <c r="J1437" s="405"/>
      <c r="O1437" s="607"/>
      <c r="R1437" s="83"/>
    </row>
    <row r="1438">
      <c r="C1438" s="632"/>
      <c r="D1438" s="632"/>
      <c r="J1438" s="405"/>
      <c r="O1438" s="607"/>
      <c r="R1438" s="83"/>
    </row>
    <row r="1439">
      <c r="C1439" s="632"/>
      <c r="D1439" s="632"/>
      <c r="J1439" s="405"/>
      <c r="O1439" s="607"/>
      <c r="R1439" s="83"/>
    </row>
    <row r="1440">
      <c r="C1440" s="632"/>
      <c r="D1440" s="632"/>
      <c r="J1440" s="405"/>
      <c r="O1440" s="607"/>
      <c r="R1440" s="83"/>
    </row>
    <row r="1441">
      <c r="C1441" s="632"/>
      <c r="D1441" s="632"/>
      <c r="J1441" s="405"/>
      <c r="O1441" s="607"/>
      <c r="R1441" s="83"/>
    </row>
    <row r="1442">
      <c r="C1442" s="632"/>
      <c r="D1442" s="632"/>
      <c r="J1442" s="405"/>
      <c r="O1442" s="607"/>
      <c r="R1442" s="83"/>
    </row>
    <row r="1443">
      <c r="C1443" s="632"/>
      <c r="D1443" s="632"/>
      <c r="J1443" s="405"/>
      <c r="O1443" s="607"/>
      <c r="R1443" s="83"/>
    </row>
    <row r="1444">
      <c r="C1444" s="632"/>
      <c r="D1444" s="632"/>
      <c r="J1444" s="405"/>
      <c r="O1444" s="607"/>
      <c r="R1444" s="83"/>
    </row>
    <row r="1445">
      <c r="C1445" s="632"/>
      <c r="D1445" s="632"/>
      <c r="J1445" s="405"/>
      <c r="O1445" s="607"/>
      <c r="R1445" s="83"/>
    </row>
    <row r="1446">
      <c r="C1446" s="632"/>
      <c r="D1446" s="632"/>
      <c r="J1446" s="405"/>
      <c r="O1446" s="607"/>
      <c r="R1446" s="83"/>
    </row>
    <row r="1447">
      <c r="C1447" s="632"/>
      <c r="D1447" s="632"/>
      <c r="J1447" s="405"/>
      <c r="O1447" s="607"/>
      <c r="R1447" s="83"/>
    </row>
    <row r="1448">
      <c r="C1448" s="632"/>
      <c r="D1448" s="632"/>
      <c r="J1448" s="405"/>
      <c r="O1448" s="607"/>
      <c r="R1448" s="83"/>
    </row>
    <row r="1449">
      <c r="C1449" s="632"/>
      <c r="D1449" s="632"/>
      <c r="J1449" s="405"/>
      <c r="O1449" s="607"/>
      <c r="R1449" s="83"/>
    </row>
    <row r="1450">
      <c r="C1450" s="632"/>
      <c r="D1450" s="632"/>
      <c r="J1450" s="405"/>
      <c r="O1450" s="607"/>
      <c r="R1450" s="83"/>
    </row>
    <row r="1451">
      <c r="C1451" s="632"/>
      <c r="D1451" s="632"/>
      <c r="J1451" s="405"/>
      <c r="O1451" s="607"/>
      <c r="R1451" s="83"/>
    </row>
    <row r="1452">
      <c r="C1452" s="632"/>
      <c r="D1452" s="632"/>
      <c r="J1452" s="405"/>
      <c r="O1452" s="607"/>
      <c r="R1452" s="83"/>
    </row>
    <row r="1453">
      <c r="C1453" s="632"/>
      <c r="D1453" s="632"/>
      <c r="J1453" s="405"/>
      <c r="O1453" s="607"/>
      <c r="R1453" s="83"/>
    </row>
    <row r="1454">
      <c r="C1454" s="632"/>
      <c r="D1454" s="632"/>
      <c r="J1454" s="405"/>
      <c r="O1454" s="607"/>
      <c r="R1454" s="83"/>
    </row>
    <row r="1455">
      <c r="C1455" s="632"/>
      <c r="D1455" s="632"/>
      <c r="J1455" s="405"/>
      <c r="O1455" s="607"/>
      <c r="R1455" s="83"/>
    </row>
    <row r="1456">
      <c r="C1456" s="632"/>
      <c r="D1456" s="632"/>
      <c r="J1456" s="405"/>
      <c r="O1456" s="607"/>
      <c r="R1456" s="83"/>
    </row>
    <row r="1457">
      <c r="C1457" s="632"/>
      <c r="D1457" s="632"/>
      <c r="J1457" s="405"/>
      <c r="O1457" s="607"/>
      <c r="R1457" s="83"/>
    </row>
    <row r="1458">
      <c r="C1458" s="632"/>
      <c r="D1458" s="632"/>
      <c r="J1458" s="405"/>
      <c r="O1458" s="607"/>
      <c r="R1458" s="83"/>
    </row>
    <row r="1459">
      <c r="C1459" s="632"/>
      <c r="D1459" s="632"/>
      <c r="J1459" s="405"/>
      <c r="O1459" s="607"/>
      <c r="R1459" s="83"/>
    </row>
    <row r="1460">
      <c r="C1460" s="632"/>
      <c r="D1460" s="632"/>
      <c r="J1460" s="405"/>
      <c r="O1460" s="607"/>
      <c r="R1460" s="83"/>
    </row>
    <row r="1461">
      <c r="C1461" s="632"/>
      <c r="D1461" s="632"/>
      <c r="J1461" s="405"/>
      <c r="O1461" s="607"/>
      <c r="R1461" s="83"/>
    </row>
    <row r="1462">
      <c r="C1462" s="632"/>
      <c r="D1462" s="632"/>
      <c r="J1462" s="405"/>
      <c r="O1462" s="607"/>
      <c r="R1462" s="83"/>
    </row>
    <row r="1463">
      <c r="C1463" s="632"/>
      <c r="D1463" s="632"/>
      <c r="J1463" s="405"/>
      <c r="O1463" s="607"/>
      <c r="R1463" s="83"/>
    </row>
    <row r="1464">
      <c r="C1464" s="632"/>
      <c r="D1464" s="632"/>
      <c r="J1464" s="405"/>
      <c r="O1464" s="607"/>
      <c r="R1464" s="83"/>
    </row>
    <row r="1465">
      <c r="C1465" s="632"/>
      <c r="D1465" s="632"/>
      <c r="J1465" s="405"/>
      <c r="O1465" s="607"/>
      <c r="R1465" s="83"/>
    </row>
    <row r="1466">
      <c r="C1466" s="632"/>
      <c r="D1466" s="632"/>
      <c r="J1466" s="405"/>
      <c r="O1466" s="607"/>
      <c r="R1466" s="83"/>
    </row>
    <row r="1467">
      <c r="C1467" s="632"/>
      <c r="D1467" s="632"/>
      <c r="J1467" s="405"/>
      <c r="O1467" s="607"/>
      <c r="R1467" s="83"/>
    </row>
    <row r="1468">
      <c r="C1468" s="632"/>
      <c r="D1468" s="632"/>
      <c r="J1468" s="405"/>
      <c r="O1468" s="607"/>
      <c r="R1468" s="83"/>
    </row>
    <row r="1469">
      <c r="C1469" s="632"/>
      <c r="D1469" s="632"/>
      <c r="J1469" s="405"/>
      <c r="O1469" s="607"/>
      <c r="R1469" s="83"/>
    </row>
    <row r="1470">
      <c r="C1470" s="632"/>
      <c r="D1470" s="632"/>
      <c r="J1470" s="405"/>
      <c r="O1470" s="607"/>
      <c r="R1470" s="83"/>
    </row>
    <row r="1471">
      <c r="C1471" s="632"/>
      <c r="D1471" s="632"/>
      <c r="J1471" s="405"/>
      <c r="O1471" s="607"/>
      <c r="R1471" s="83"/>
    </row>
    <row r="1472">
      <c r="C1472" s="632"/>
      <c r="D1472" s="632"/>
      <c r="J1472" s="405"/>
      <c r="O1472" s="607"/>
      <c r="R1472" s="83"/>
    </row>
    <row r="1473">
      <c r="C1473" s="632"/>
      <c r="D1473" s="632"/>
      <c r="J1473" s="405"/>
      <c r="O1473" s="607"/>
      <c r="R1473" s="83"/>
    </row>
    <row r="1474">
      <c r="C1474" s="632"/>
      <c r="D1474" s="632"/>
      <c r="J1474" s="405"/>
      <c r="O1474" s="607"/>
      <c r="R1474" s="83"/>
    </row>
    <row r="1475">
      <c r="C1475" s="632"/>
      <c r="D1475" s="632"/>
      <c r="J1475" s="405"/>
      <c r="O1475" s="607"/>
      <c r="R1475" s="83"/>
    </row>
    <row r="1476">
      <c r="C1476" s="632"/>
      <c r="D1476" s="632"/>
      <c r="J1476" s="405"/>
      <c r="O1476" s="607"/>
      <c r="R1476" s="83"/>
    </row>
    <row r="1477">
      <c r="C1477" s="632"/>
      <c r="D1477" s="632"/>
      <c r="J1477" s="405"/>
      <c r="O1477" s="607"/>
      <c r="R1477" s="83"/>
    </row>
    <row r="1478">
      <c r="C1478" s="632"/>
      <c r="D1478" s="632"/>
      <c r="J1478" s="405"/>
      <c r="O1478" s="607"/>
      <c r="R1478" s="83"/>
    </row>
    <row r="1479">
      <c r="C1479" s="632"/>
      <c r="D1479" s="632"/>
      <c r="J1479" s="405"/>
      <c r="O1479" s="607"/>
      <c r="R1479" s="83"/>
    </row>
    <row r="1480">
      <c r="C1480" s="632"/>
      <c r="D1480" s="632"/>
      <c r="J1480" s="405"/>
      <c r="O1480" s="607"/>
      <c r="R1480" s="83"/>
    </row>
    <row r="1481">
      <c r="C1481" s="632"/>
      <c r="D1481" s="632"/>
      <c r="J1481" s="405"/>
      <c r="O1481" s="607"/>
      <c r="R1481" s="83"/>
    </row>
    <row r="1482">
      <c r="C1482" s="632"/>
      <c r="D1482" s="632"/>
      <c r="J1482" s="405"/>
      <c r="O1482" s="607"/>
      <c r="R1482" s="83"/>
    </row>
    <row r="1483">
      <c r="C1483" s="632"/>
      <c r="D1483" s="632"/>
      <c r="J1483" s="405"/>
      <c r="O1483" s="607"/>
      <c r="R1483" s="83"/>
    </row>
    <row r="1484">
      <c r="C1484" s="632"/>
      <c r="D1484" s="632"/>
      <c r="J1484" s="405"/>
      <c r="O1484" s="607"/>
      <c r="R1484" s="83"/>
    </row>
    <row r="1485">
      <c r="C1485" s="632"/>
      <c r="D1485" s="632"/>
      <c r="J1485" s="405"/>
      <c r="O1485" s="607"/>
      <c r="R1485" s="83"/>
    </row>
    <row r="1486">
      <c r="C1486" s="632"/>
      <c r="D1486" s="632"/>
      <c r="J1486" s="405"/>
      <c r="O1486" s="607"/>
      <c r="R1486" s="83"/>
    </row>
    <row r="1487">
      <c r="C1487" s="632"/>
      <c r="D1487" s="632"/>
      <c r="J1487" s="405"/>
      <c r="O1487" s="607"/>
      <c r="R1487" s="83"/>
    </row>
    <row r="1488">
      <c r="C1488" s="632"/>
      <c r="D1488" s="632"/>
      <c r="J1488" s="405"/>
      <c r="O1488" s="607"/>
      <c r="R1488" s="83"/>
    </row>
    <row r="1489">
      <c r="C1489" s="632"/>
      <c r="D1489" s="632"/>
      <c r="J1489" s="405"/>
      <c r="O1489" s="607"/>
      <c r="R1489" s="83"/>
    </row>
    <row r="1490">
      <c r="C1490" s="632"/>
      <c r="D1490" s="632"/>
      <c r="J1490" s="405"/>
      <c r="O1490" s="607"/>
      <c r="R1490" s="83"/>
    </row>
    <row r="1491">
      <c r="C1491" s="632"/>
      <c r="D1491" s="632"/>
      <c r="J1491" s="405"/>
      <c r="O1491" s="607"/>
      <c r="R1491" s="83"/>
    </row>
    <row r="1492">
      <c r="C1492" s="632"/>
      <c r="D1492" s="632"/>
      <c r="J1492" s="405"/>
      <c r="O1492" s="607"/>
      <c r="R1492" s="83"/>
    </row>
    <row r="1493">
      <c r="C1493" s="632"/>
      <c r="D1493" s="632"/>
      <c r="J1493" s="405"/>
      <c r="O1493" s="607"/>
      <c r="R1493" s="83"/>
    </row>
    <row r="1494">
      <c r="C1494" s="632"/>
      <c r="D1494" s="632"/>
      <c r="J1494" s="405"/>
      <c r="O1494" s="607"/>
      <c r="R1494" s="83"/>
    </row>
    <row r="1495">
      <c r="C1495" s="632"/>
      <c r="D1495" s="632"/>
      <c r="J1495" s="405"/>
      <c r="O1495" s="607"/>
      <c r="R1495" s="83"/>
    </row>
    <row r="1496">
      <c r="C1496" s="632"/>
      <c r="D1496" s="632"/>
      <c r="J1496" s="405"/>
      <c r="O1496" s="607"/>
      <c r="R1496" s="83"/>
    </row>
    <row r="1497">
      <c r="C1497" s="632"/>
      <c r="D1497" s="632"/>
      <c r="J1497" s="405"/>
      <c r="O1497" s="607"/>
      <c r="R1497" s="83"/>
    </row>
    <row r="1498">
      <c r="C1498" s="632"/>
      <c r="D1498" s="632"/>
      <c r="J1498" s="405"/>
      <c r="O1498" s="607"/>
      <c r="R1498" s="83"/>
    </row>
    <row r="1499">
      <c r="C1499" s="632"/>
      <c r="D1499" s="632"/>
      <c r="J1499" s="405"/>
      <c r="O1499" s="607"/>
      <c r="R1499" s="83"/>
    </row>
    <row r="1500">
      <c r="C1500" s="632"/>
      <c r="D1500" s="632"/>
      <c r="J1500" s="405"/>
      <c r="O1500" s="607"/>
      <c r="R1500" s="83"/>
    </row>
    <row r="1501">
      <c r="C1501" s="632"/>
      <c r="D1501" s="632"/>
      <c r="J1501" s="405"/>
      <c r="O1501" s="607"/>
      <c r="R1501" s="83"/>
    </row>
    <row r="1502">
      <c r="C1502" s="632"/>
      <c r="D1502" s="632"/>
      <c r="J1502" s="405"/>
      <c r="O1502" s="607"/>
      <c r="R1502" s="83"/>
    </row>
    <row r="1503">
      <c r="C1503" s="632"/>
      <c r="D1503" s="632"/>
      <c r="J1503" s="405"/>
      <c r="O1503" s="607"/>
      <c r="R1503" s="83"/>
    </row>
    <row r="1504">
      <c r="C1504" s="632"/>
      <c r="D1504" s="632"/>
      <c r="J1504" s="405"/>
      <c r="O1504" s="607"/>
      <c r="R1504" s="83"/>
    </row>
    <row r="1505">
      <c r="C1505" s="632"/>
      <c r="D1505" s="632"/>
      <c r="J1505" s="405"/>
      <c r="O1505" s="607"/>
      <c r="R1505" s="83"/>
    </row>
    <row r="1506">
      <c r="C1506" s="632"/>
      <c r="D1506" s="632"/>
      <c r="J1506" s="405"/>
      <c r="O1506" s="607"/>
      <c r="R1506" s="83"/>
    </row>
    <row r="1507">
      <c r="C1507" s="632"/>
      <c r="D1507" s="632"/>
      <c r="J1507" s="405"/>
      <c r="O1507" s="607"/>
      <c r="R1507" s="83"/>
    </row>
    <row r="1508">
      <c r="C1508" s="632"/>
      <c r="D1508" s="632"/>
      <c r="J1508" s="405"/>
      <c r="O1508" s="607"/>
      <c r="R1508" s="83"/>
    </row>
    <row r="1509">
      <c r="C1509" s="632"/>
      <c r="D1509" s="632"/>
      <c r="J1509" s="405"/>
      <c r="O1509" s="607"/>
      <c r="R1509" s="83"/>
    </row>
    <row r="1510">
      <c r="C1510" s="632"/>
      <c r="D1510" s="632"/>
      <c r="J1510" s="405"/>
      <c r="O1510" s="607"/>
      <c r="R1510" s="83"/>
    </row>
    <row r="1511">
      <c r="C1511" s="632"/>
      <c r="D1511" s="632"/>
      <c r="J1511" s="405"/>
      <c r="O1511" s="607"/>
      <c r="R1511" s="83"/>
    </row>
    <row r="1512">
      <c r="C1512" s="632"/>
      <c r="D1512" s="632"/>
      <c r="J1512" s="405"/>
      <c r="O1512" s="607"/>
      <c r="R1512" s="83"/>
    </row>
    <row r="1513">
      <c r="C1513" s="632"/>
      <c r="D1513" s="632"/>
      <c r="J1513" s="405"/>
      <c r="O1513" s="607"/>
      <c r="R1513" s="83"/>
    </row>
    <row r="1514">
      <c r="C1514" s="632"/>
      <c r="D1514" s="632"/>
      <c r="J1514" s="405"/>
      <c r="O1514" s="607"/>
      <c r="R1514" s="83"/>
    </row>
    <row r="1515">
      <c r="C1515" s="632"/>
      <c r="D1515" s="632"/>
      <c r="J1515" s="405"/>
      <c r="O1515" s="607"/>
      <c r="R1515" s="83"/>
    </row>
    <row r="1516">
      <c r="C1516" s="632"/>
      <c r="D1516" s="632"/>
      <c r="J1516" s="405"/>
      <c r="O1516" s="607"/>
      <c r="R1516" s="83"/>
    </row>
    <row r="1517">
      <c r="C1517" s="632"/>
      <c r="D1517" s="632"/>
      <c r="J1517" s="405"/>
      <c r="O1517" s="607"/>
      <c r="R1517" s="83"/>
    </row>
    <row r="1518">
      <c r="C1518" s="632"/>
      <c r="D1518" s="632"/>
      <c r="J1518" s="405"/>
      <c r="O1518" s="607"/>
      <c r="R1518" s="83"/>
    </row>
    <row r="1519">
      <c r="C1519" s="632"/>
      <c r="D1519" s="632"/>
      <c r="J1519" s="405"/>
      <c r="O1519" s="607"/>
      <c r="R1519" s="83"/>
    </row>
    <row r="1520">
      <c r="C1520" s="632"/>
      <c r="D1520" s="632"/>
      <c r="J1520" s="405"/>
      <c r="O1520" s="607"/>
      <c r="R1520" s="83"/>
    </row>
    <row r="1521">
      <c r="C1521" s="632"/>
      <c r="D1521" s="632"/>
      <c r="J1521" s="405"/>
      <c r="O1521" s="607"/>
      <c r="R1521" s="83"/>
    </row>
    <row r="1522">
      <c r="C1522" s="632"/>
      <c r="D1522" s="632"/>
      <c r="J1522" s="405"/>
      <c r="O1522" s="607"/>
      <c r="R1522" s="83"/>
    </row>
    <row r="1523">
      <c r="C1523" s="632"/>
      <c r="D1523" s="632"/>
      <c r="J1523" s="405"/>
      <c r="O1523" s="607"/>
      <c r="R1523" s="83"/>
    </row>
    <row r="1524">
      <c r="C1524" s="632"/>
      <c r="D1524" s="632"/>
      <c r="J1524" s="405"/>
      <c r="O1524" s="607"/>
      <c r="R1524" s="83"/>
    </row>
    <row r="1525">
      <c r="C1525" s="632"/>
      <c r="D1525" s="632"/>
      <c r="J1525" s="405"/>
      <c r="O1525" s="607"/>
      <c r="R1525" s="83"/>
    </row>
    <row r="1526">
      <c r="C1526" s="632"/>
      <c r="D1526" s="632"/>
      <c r="J1526" s="405"/>
      <c r="O1526" s="607"/>
      <c r="R1526" s="83"/>
    </row>
    <row r="1527">
      <c r="C1527" s="632"/>
      <c r="D1527" s="632"/>
      <c r="J1527" s="405"/>
      <c r="O1527" s="607"/>
      <c r="R1527" s="83"/>
    </row>
    <row r="1528">
      <c r="C1528" s="632"/>
      <c r="D1528" s="632"/>
      <c r="J1528" s="405"/>
      <c r="O1528" s="607"/>
      <c r="R1528" s="83"/>
    </row>
    <row r="1529">
      <c r="C1529" s="632"/>
      <c r="D1529" s="632"/>
      <c r="J1529" s="405"/>
      <c r="O1529" s="607"/>
      <c r="R1529" s="83"/>
    </row>
    <row r="1530">
      <c r="C1530" s="632"/>
      <c r="D1530" s="632"/>
      <c r="J1530" s="405"/>
      <c r="O1530" s="607"/>
      <c r="R1530" s="83"/>
    </row>
    <row r="1531">
      <c r="C1531" s="632"/>
      <c r="D1531" s="632"/>
      <c r="J1531" s="405"/>
      <c r="O1531" s="607"/>
      <c r="R1531" s="83"/>
    </row>
    <row r="1532">
      <c r="C1532" s="632"/>
      <c r="D1532" s="632"/>
      <c r="J1532" s="405"/>
      <c r="O1532" s="607"/>
      <c r="R1532" s="83"/>
    </row>
    <row r="1533">
      <c r="C1533" s="632"/>
      <c r="D1533" s="632"/>
      <c r="J1533" s="405"/>
      <c r="O1533" s="607"/>
      <c r="R1533" s="83"/>
    </row>
    <row r="1534">
      <c r="C1534" s="632"/>
      <c r="D1534" s="632"/>
      <c r="J1534" s="405"/>
      <c r="O1534" s="607"/>
      <c r="R1534" s="83"/>
    </row>
    <row r="1535">
      <c r="C1535" s="632"/>
      <c r="D1535" s="632"/>
      <c r="J1535" s="405"/>
      <c r="O1535" s="607"/>
      <c r="R1535" s="83"/>
    </row>
    <row r="1536">
      <c r="C1536" s="632"/>
      <c r="D1536" s="632"/>
      <c r="J1536" s="405"/>
      <c r="O1536" s="607"/>
      <c r="R1536" s="83"/>
    </row>
    <row r="1537">
      <c r="C1537" s="632"/>
      <c r="D1537" s="632"/>
      <c r="J1537" s="405"/>
      <c r="O1537" s="607"/>
      <c r="R1537" s="83"/>
    </row>
    <row r="1538">
      <c r="C1538" s="632"/>
      <c r="D1538" s="632"/>
      <c r="J1538" s="405"/>
      <c r="O1538" s="607"/>
      <c r="R1538" s="83"/>
    </row>
    <row r="1539">
      <c r="C1539" s="632"/>
      <c r="D1539" s="632"/>
      <c r="J1539" s="405"/>
      <c r="O1539" s="607"/>
      <c r="R1539" s="83"/>
    </row>
    <row r="1540">
      <c r="C1540" s="632"/>
      <c r="D1540" s="632"/>
      <c r="J1540" s="405"/>
      <c r="O1540" s="607"/>
      <c r="R1540" s="83"/>
    </row>
    <row r="1541">
      <c r="C1541" s="632"/>
      <c r="D1541" s="632"/>
      <c r="J1541" s="405"/>
      <c r="O1541" s="607"/>
      <c r="R1541" s="83"/>
    </row>
    <row r="1542">
      <c r="C1542" s="632"/>
      <c r="D1542" s="632"/>
      <c r="J1542" s="405"/>
      <c r="O1542" s="607"/>
      <c r="R1542" s="83"/>
    </row>
    <row r="1543">
      <c r="C1543" s="632"/>
      <c r="D1543" s="632"/>
      <c r="J1543" s="405"/>
      <c r="O1543" s="607"/>
      <c r="R1543" s="83"/>
    </row>
    <row r="1544">
      <c r="C1544" s="632"/>
      <c r="D1544" s="632"/>
      <c r="J1544" s="405"/>
      <c r="O1544" s="607"/>
      <c r="R1544" s="83"/>
    </row>
    <row r="1545">
      <c r="C1545" s="632"/>
      <c r="D1545" s="632"/>
      <c r="J1545" s="405"/>
      <c r="O1545" s="607"/>
      <c r="R1545" s="83"/>
    </row>
    <row r="1546">
      <c r="C1546" s="632"/>
      <c r="D1546" s="632"/>
      <c r="J1546" s="405"/>
      <c r="O1546" s="607"/>
      <c r="R1546" s="83"/>
    </row>
    <row r="1547">
      <c r="C1547" s="632"/>
      <c r="D1547" s="632"/>
      <c r="J1547" s="405"/>
      <c r="O1547" s="607"/>
      <c r="R1547" s="83"/>
    </row>
    <row r="1548">
      <c r="C1548" s="632"/>
      <c r="D1548" s="632"/>
      <c r="J1548" s="405"/>
      <c r="O1548" s="607"/>
      <c r="R1548" s="83"/>
    </row>
    <row r="1549">
      <c r="C1549" s="632"/>
      <c r="D1549" s="632"/>
      <c r="J1549" s="405"/>
      <c r="O1549" s="607"/>
      <c r="R1549" s="83"/>
    </row>
    <row r="1550">
      <c r="C1550" s="632"/>
      <c r="D1550" s="632"/>
      <c r="J1550" s="405"/>
      <c r="O1550" s="607"/>
      <c r="R1550" s="83"/>
    </row>
    <row r="1551">
      <c r="C1551" s="632"/>
      <c r="D1551" s="632"/>
      <c r="J1551" s="405"/>
      <c r="O1551" s="607"/>
      <c r="R1551" s="83"/>
    </row>
    <row r="1552">
      <c r="C1552" s="632"/>
      <c r="D1552" s="632"/>
      <c r="J1552" s="405"/>
      <c r="O1552" s="607"/>
      <c r="R1552" s="83"/>
    </row>
    <row r="1553">
      <c r="C1553" s="632"/>
      <c r="D1553" s="632"/>
      <c r="J1553" s="405"/>
      <c r="O1553" s="607"/>
      <c r="R1553" s="83"/>
    </row>
    <row r="1554">
      <c r="C1554" s="632"/>
      <c r="D1554" s="632"/>
      <c r="J1554" s="405"/>
      <c r="O1554" s="607"/>
      <c r="R1554" s="83"/>
    </row>
    <row r="1555">
      <c r="C1555" s="632"/>
      <c r="D1555" s="632"/>
      <c r="J1555" s="405"/>
      <c r="O1555" s="607"/>
      <c r="R1555" s="83"/>
    </row>
    <row r="1556">
      <c r="C1556" s="632"/>
      <c r="D1556" s="632"/>
      <c r="J1556" s="405"/>
      <c r="O1556" s="607"/>
      <c r="R1556" s="83"/>
    </row>
    <row r="1557">
      <c r="C1557" s="632"/>
      <c r="D1557" s="632"/>
      <c r="J1557" s="405"/>
      <c r="O1557" s="607"/>
      <c r="R1557" s="83"/>
    </row>
    <row r="1558">
      <c r="C1558" s="632"/>
      <c r="D1558" s="632"/>
      <c r="J1558" s="405"/>
      <c r="O1558" s="607"/>
      <c r="R1558" s="83"/>
    </row>
    <row r="1559">
      <c r="C1559" s="632"/>
      <c r="D1559" s="632"/>
      <c r="J1559" s="405"/>
      <c r="O1559" s="607"/>
      <c r="R1559" s="83"/>
    </row>
    <row r="1560">
      <c r="C1560" s="632"/>
      <c r="D1560" s="632"/>
      <c r="J1560" s="405"/>
      <c r="O1560" s="607"/>
      <c r="R1560" s="83"/>
    </row>
    <row r="1561">
      <c r="C1561" s="632"/>
      <c r="D1561" s="632"/>
      <c r="J1561" s="405"/>
      <c r="O1561" s="607"/>
      <c r="R1561" s="83"/>
    </row>
    <row r="1562">
      <c r="C1562" s="632"/>
      <c r="D1562" s="632"/>
      <c r="J1562" s="405"/>
      <c r="O1562" s="607"/>
      <c r="R1562" s="83"/>
    </row>
    <row r="1563">
      <c r="C1563" s="632"/>
      <c r="D1563" s="632"/>
      <c r="J1563" s="405"/>
      <c r="O1563" s="607"/>
      <c r="R1563" s="83"/>
    </row>
    <row r="1564">
      <c r="C1564" s="632"/>
      <c r="D1564" s="632"/>
      <c r="J1564" s="405"/>
      <c r="O1564" s="607"/>
      <c r="R1564" s="83"/>
    </row>
    <row r="1565">
      <c r="C1565" s="632"/>
      <c r="D1565" s="632"/>
      <c r="J1565" s="405"/>
      <c r="O1565" s="607"/>
      <c r="R1565" s="83"/>
    </row>
    <row r="1566">
      <c r="C1566" s="632"/>
      <c r="D1566" s="632"/>
      <c r="J1566" s="405"/>
      <c r="O1566" s="607"/>
      <c r="R1566" s="83"/>
    </row>
    <row r="1567">
      <c r="C1567" s="632"/>
      <c r="D1567" s="632"/>
      <c r="J1567" s="405"/>
      <c r="O1567" s="607"/>
      <c r="R1567" s="83"/>
    </row>
    <row r="1568">
      <c r="C1568" s="632"/>
      <c r="D1568" s="632"/>
      <c r="J1568" s="405"/>
      <c r="O1568" s="607"/>
      <c r="R1568" s="83"/>
    </row>
    <row r="1569">
      <c r="C1569" s="632"/>
      <c r="D1569" s="632"/>
      <c r="J1569" s="405"/>
      <c r="O1569" s="607"/>
      <c r="R1569" s="83"/>
    </row>
    <row r="1570">
      <c r="C1570" s="632"/>
      <c r="D1570" s="632"/>
      <c r="J1570" s="405"/>
      <c r="O1570" s="607"/>
      <c r="R1570" s="83"/>
    </row>
    <row r="1571">
      <c r="C1571" s="632"/>
      <c r="D1571" s="632"/>
      <c r="J1571" s="405"/>
      <c r="O1571" s="607"/>
      <c r="R1571" s="83"/>
    </row>
    <row r="1572">
      <c r="C1572" s="632"/>
      <c r="D1572" s="632"/>
      <c r="J1572" s="405"/>
      <c r="O1572" s="607"/>
      <c r="R1572" s="83"/>
    </row>
    <row r="1573">
      <c r="C1573" s="632"/>
      <c r="D1573" s="632"/>
      <c r="J1573" s="405"/>
      <c r="O1573" s="607"/>
      <c r="R1573" s="83"/>
    </row>
    <row r="1574">
      <c r="C1574" s="632"/>
      <c r="D1574" s="632"/>
      <c r="J1574" s="405"/>
      <c r="O1574" s="607"/>
      <c r="R1574" s="83"/>
    </row>
    <row r="1575">
      <c r="C1575" s="632"/>
      <c r="D1575" s="632"/>
      <c r="J1575" s="405"/>
      <c r="O1575" s="607"/>
      <c r="R1575" s="83"/>
    </row>
    <row r="1576">
      <c r="C1576" s="632"/>
      <c r="D1576" s="632"/>
      <c r="J1576" s="405"/>
      <c r="O1576" s="607"/>
      <c r="R1576" s="83"/>
    </row>
    <row r="1577">
      <c r="C1577" s="632"/>
      <c r="D1577" s="632"/>
      <c r="J1577" s="405"/>
      <c r="O1577" s="607"/>
      <c r="R1577" s="83"/>
    </row>
    <row r="1578">
      <c r="C1578" s="632"/>
      <c r="D1578" s="632"/>
      <c r="J1578" s="405"/>
      <c r="O1578" s="607"/>
      <c r="R1578" s="83"/>
    </row>
    <row r="1579">
      <c r="C1579" s="632"/>
      <c r="D1579" s="632"/>
      <c r="J1579" s="405"/>
      <c r="O1579" s="607"/>
      <c r="R1579" s="83"/>
    </row>
    <row r="1580">
      <c r="C1580" s="632"/>
      <c r="D1580" s="632"/>
      <c r="J1580" s="405"/>
      <c r="O1580" s="607"/>
      <c r="R1580" s="83"/>
    </row>
    <row r="1581">
      <c r="C1581" s="632"/>
      <c r="D1581" s="632"/>
      <c r="J1581" s="405"/>
      <c r="O1581" s="607"/>
      <c r="R1581" s="83"/>
    </row>
    <row r="1582">
      <c r="C1582" s="632"/>
      <c r="D1582" s="632"/>
      <c r="J1582" s="405"/>
      <c r="O1582" s="607"/>
      <c r="R1582" s="83"/>
    </row>
    <row r="1583">
      <c r="C1583" s="632"/>
      <c r="D1583" s="632"/>
      <c r="J1583" s="405"/>
      <c r="O1583" s="607"/>
      <c r="R1583" s="83"/>
    </row>
    <row r="1584">
      <c r="C1584" s="632"/>
      <c r="D1584" s="632"/>
      <c r="J1584" s="405"/>
      <c r="O1584" s="607"/>
      <c r="R1584" s="83"/>
    </row>
    <row r="1585">
      <c r="C1585" s="632"/>
      <c r="D1585" s="632"/>
      <c r="J1585" s="405"/>
      <c r="O1585" s="607"/>
      <c r="R1585" s="83"/>
    </row>
    <row r="1586">
      <c r="C1586" s="632"/>
      <c r="D1586" s="632"/>
      <c r="J1586" s="405"/>
      <c r="O1586" s="607"/>
      <c r="R1586" s="83"/>
    </row>
    <row r="1587">
      <c r="C1587" s="632"/>
      <c r="D1587" s="632"/>
      <c r="J1587" s="405"/>
      <c r="O1587" s="607"/>
      <c r="R1587" s="83"/>
    </row>
    <row r="1588">
      <c r="C1588" s="632"/>
      <c r="D1588" s="632"/>
      <c r="J1588" s="405"/>
      <c r="O1588" s="607"/>
      <c r="R1588" s="83"/>
    </row>
    <row r="1589">
      <c r="C1589" s="632"/>
      <c r="D1589" s="632"/>
      <c r="J1589" s="405"/>
      <c r="O1589" s="607"/>
      <c r="R1589" s="83"/>
    </row>
    <row r="1590">
      <c r="C1590" s="632"/>
      <c r="D1590" s="632"/>
      <c r="J1590" s="405"/>
      <c r="O1590" s="607"/>
      <c r="R1590" s="83"/>
    </row>
    <row r="1591">
      <c r="C1591" s="632"/>
      <c r="D1591" s="632"/>
      <c r="J1591" s="405"/>
      <c r="O1591" s="607"/>
      <c r="R1591" s="83"/>
    </row>
    <row r="1592">
      <c r="C1592" s="632"/>
      <c r="D1592" s="632"/>
      <c r="J1592" s="405"/>
      <c r="O1592" s="607"/>
      <c r="R1592" s="83"/>
    </row>
    <row r="1593">
      <c r="C1593" s="632"/>
      <c r="D1593" s="632"/>
      <c r="J1593" s="405"/>
      <c r="O1593" s="607"/>
      <c r="R1593" s="83"/>
    </row>
    <row r="1594">
      <c r="C1594" s="632"/>
      <c r="D1594" s="632"/>
      <c r="J1594" s="405"/>
      <c r="O1594" s="607"/>
      <c r="R1594" s="83"/>
    </row>
    <row r="1595">
      <c r="C1595" s="632"/>
      <c r="D1595" s="632"/>
      <c r="J1595" s="405"/>
      <c r="O1595" s="607"/>
      <c r="R1595" s="83"/>
    </row>
    <row r="1596">
      <c r="C1596" s="632"/>
      <c r="D1596" s="632"/>
      <c r="J1596" s="405"/>
      <c r="O1596" s="607"/>
      <c r="R1596" s="83"/>
    </row>
    <row r="1597">
      <c r="C1597" s="632"/>
      <c r="D1597" s="632"/>
      <c r="J1597" s="405"/>
      <c r="O1597" s="607"/>
      <c r="R1597" s="83"/>
    </row>
    <row r="1598">
      <c r="C1598" s="632"/>
      <c r="D1598" s="632"/>
      <c r="J1598" s="405"/>
      <c r="O1598" s="607"/>
      <c r="R1598" s="83"/>
    </row>
    <row r="1599">
      <c r="C1599" s="632"/>
      <c r="D1599" s="632"/>
      <c r="O1599" s="607"/>
    </row>
    <row r="1600">
      <c r="C1600" s="632"/>
      <c r="D1600" s="632"/>
      <c r="O1600" s="607"/>
    </row>
    <row r="1601">
      <c r="C1601" s="632"/>
      <c r="D1601" s="632"/>
      <c r="O1601" s="607"/>
    </row>
    <row r="1602">
      <c r="C1602" s="632"/>
      <c r="D1602" s="632"/>
      <c r="O1602" s="607"/>
    </row>
    <row r="1603">
      <c r="C1603" s="632"/>
      <c r="D1603" s="632"/>
      <c r="O1603" s="607"/>
    </row>
    <row r="1604">
      <c r="C1604" s="632"/>
      <c r="D1604" s="632"/>
      <c r="O1604" s="607"/>
    </row>
    <row r="1605">
      <c r="C1605" s="632"/>
      <c r="D1605" s="632"/>
      <c r="O1605" s="607"/>
    </row>
    <row r="1606">
      <c r="C1606" s="632"/>
      <c r="D1606" s="632"/>
      <c r="O1606" s="607"/>
    </row>
    <row r="1607">
      <c r="C1607" s="632"/>
      <c r="D1607" s="632"/>
      <c r="O1607" s="607"/>
    </row>
    <row r="1608">
      <c r="C1608" s="632"/>
      <c r="D1608" s="632"/>
      <c r="O1608" s="607"/>
    </row>
    <row r="1609">
      <c r="C1609" s="632"/>
      <c r="D1609" s="632"/>
      <c r="O1609" s="607"/>
    </row>
    <row r="1610">
      <c r="C1610" s="632"/>
      <c r="D1610" s="632"/>
      <c r="O1610" s="607"/>
    </row>
    <row r="1611">
      <c r="C1611" s="632"/>
      <c r="D1611" s="632"/>
      <c r="O1611" s="607"/>
    </row>
    <row r="1612">
      <c r="C1612" s="632"/>
      <c r="D1612" s="632"/>
      <c r="O1612" s="607"/>
    </row>
    <row r="1613">
      <c r="C1613" s="632"/>
      <c r="D1613" s="632"/>
      <c r="O1613" s="607"/>
    </row>
    <row r="1614">
      <c r="C1614" s="632"/>
      <c r="D1614" s="632"/>
      <c r="O1614" s="607"/>
    </row>
    <row r="1615">
      <c r="C1615" s="632"/>
      <c r="D1615" s="632"/>
      <c r="O1615" s="607"/>
    </row>
    <row r="1616">
      <c r="C1616" s="632"/>
      <c r="D1616" s="632"/>
      <c r="O1616" s="607"/>
    </row>
    <row r="1617">
      <c r="C1617" s="632"/>
      <c r="D1617" s="632"/>
      <c r="O1617" s="607"/>
    </row>
    <row r="1618">
      <c r="C1618" s="632"/>
      <c r="D1618" s="632"/>
      <c r="O1618" s="607"/>
    </row>
    <row r="1619">
      <c r="C1619" s="632"/>
      <c r="D1619" s="632"/>
      <c r="O1619" s="607"/>
    </row>
    <row r="1620">
      <c r="C1620" s="632"/>
      <c r="D1620" s="632"/>
      <c r="O1620" s="607"/>
    </row>
    <row r="1621">
      <c r="C1621" s="632"/>
      <c r="D1621" s="632"/>
      <c r="O1621" s="607"/>
    </row>
    <row r="1622">
      <c r="C1622" s="632"/>
      <c r="D1622" s="632"/>
      <c r="O1622" s="607"/>
    </row>
    <row r="1623">
      <c r="C1623" s="632"/>
      <c r="D1623" s="632"/>
      <c r="O1623" s="607"/>
    </row>
    <row r="1624">
      <c r="C1624" s="632"/>
      <c r="D1624" s="632"/>
      <c r="O1624" s="607"/>
    </row>
    <row r="1625">
      <c r="C1625" s="632"/>
      <c r="D1625" s="632"/>
      <c r="O1625" s="607"/>
    </row>
    <row r="1626">
      <c r="C1626" s="632"/>
      <c r="D1626" s="632"/>
      <c r="O1626" s="607"/>
    </row>
    <row r="1627">
      <c r="C1627" s="632"/>
      <c r="D1627" s="632"/>
      <c r="O1627" s="607"/>
    </row>
    <row r="1628">
      <c r="C1628" s="632"/>
      <c r="D1628" s="632"/>
      <c r="O1628" s="607"/>
    </row>
    <row r="1629">
      <c r="C1629" s="632"/>
      <c r="D1629" s="632"/>
      <c r="O1629" s="607"/>
    </row>
    <row r="1630">
      <c r="C1630" s="632"/>
      <c r="D1630" s="632"/>
      <c r="O1630" s="607"/>
    </row>
    <row r="1631">
      <c r="C1631" s="632"/>
      <c r="D1631" s="632"/>
      <c r="O1631" s="607"/>
    </row>
    <row r="1632">
      <c r="C1632" s="632"/>
      <c r="D1632" s="632"/>
      <c r="O1632" s="607"/>
    </row>
    <row r="1633">
      <c r="C1633" s="632"/>
      <c r="D1633" s="632"/>
      <c r="O1633" s="607"/>
    </row>
    <row r="1634">
      <c r="C1634" s="632"/>
      <c r="D1634" s="632"/>
      <c r="O1634" s="607"/>
    </row>
    <row r="1635">
      <c r="C1635" s="632"/>
      <c r="D1635" s="632"/>
      <c r="O1635" s="607"/>
    </row>
    <row r="1636">
      <c r="C1636" s="632"/>
      <c r="D1636" s="632"/>
      <c r="O1636" s="607"/>
    </row>
    <row r="1637">
      <c r="C1637" s="632"/>
      <c r="D1637" s="632"/>
      <c r="O1637" s="607"/>
    </row>
    <row r="1638">
      <c r="C1638" s="632"/>
      <c r="D1638" s="632"/>
      <c r="O1638" s="607"/>
    </row>
    <row r="1639">
      <c r="C1639" s="632"/>
      <c r="D1639" s="632"/>
      <c r="O1639" s="607"/>
    </row>
    <row r="1640">
      <c r="C1640" s="632"/>
      <c r="D1640" s="632"/>
      <c r="O1640" s="607"/>
    </row>
    <row r="1641">
      <c r="C1641" s="632"/>
      <c r="D1641" s="632"/>
      <c r="O1641" s="607"/>
    </row>
    <row r="1642">
      <c r="C1642" s="632"/>
      <c r="D1642" s="632"/>
      <c r="O1642" s="607"/>
    </row>
    <row r="1643">
      <c r="C1643" s="632"/>
      <c r="D1643" s="632"/>
      <c r="O1643" s="607"/>
    </row>
    <row r="1644">
      <c r="C1644" s="632"/>
      <c r="D1644" s="632"/>
      <c r="O1644" s="607"/>
    </row>
    <row r="1645">
      <c r="C1645" s="632"/>
      <c r="D1645" s="632"/>
      <c r="O1645" s="607"/>
    </row>
    <row r="1646">
      <c r="C1646" s="632"/>
      <c r="D1646" s="632"/>
      <c r="O1646" s="607"/>
    </row>
    <row r="1647">
      <c r="C1647" s="632"/>
      <c r="D1647" s="632"/>
      <c r="O1647" s="607"/>
    </row>
    <row r="1648">
      <c r="C1648" s="632"/>
      <c r="D1648" s="632"/>
      <c r="O1648" s="607"/>
    </row>
    <row r="1649">
      <c r="C1649" s="632"/>
      <c r="D1649" s="632"/>
      <c r="O1649" s="607"/>
    </row>
    <row r="1650">
      <c r="C1650" s="632"/>
      <c r="D1650" s="632"/>
      <c r="O1650" s="607"/>
    </row>
    <row r="1651">
      <c r="C1651" s="632"/>
      <c r="D1651" s="632"/>
      <c r="O1651" s="607"/>
    </row>
    <row r="1652">
      <c r="C1652" s="632"/>
      <c r="D1652" s="632"/>
      <c r="O1652" s="607"/>
    </row>
    <row r="1653">
      <c r="C1653" s="632"/>
      <c r="D1653" s="632"/>
      <c r="O1653" s="607"/>
    </row>
    <row r="1654">
      <c r="C1654" s="632"/>
      <c r="D1654" s="632"/>
      <c r="O1654" s="607"/>
    </row>
    <row r="1655">
      <c r="C1655" s="632"/>
      <c r="D1655" s="632"/>
      <c r="O1655" s="607"/>
    </row>
    <row r="1656">
      <c r="C1656" s="632"/>
      <c r="D1656" s="632"/>
      <c r="O1656" s="607"/>
    </row>
    <row r="1657">
      <c r="C1657" s="632"/>
      <c r="D1657" s="632"/>
      <c r="O1657" s="607"/>
    </row>
    <row r="1658">
      <c r="C1658" s="632"/>
      <c r="D1658" s="632"/>
      <c r="O1658" s="607"/>
    </row>
    <row r="1659">
      <c r="C1659" s="632"/>
      <c r="D1659" s="632"/>
      <c r="O1659" s="607"/>
    </row>
    <row r="1660">
      <c r="C1660" s="632"/>
      <c r="D1660" s="632"/>
      <c r="O1660" s="607"/>
    </row>
    <row r="1661">
      <c r="C1661" s="632"/>
      <c r="D1661" s="632"/>
      <c r="O1661" s="607"/>
    </row>
    <row r="1662">
      <c r="C1662" s="632"/>
      <c r="D1662" s="632"/>
      <c r="O1662" s="607"/>
    </row>
    <row r="1663">
      <c r="C1663" s="632"/>
      <c r="D1663" s="632"/>
      <c r="O1663" s="607"/>
    </row>
    <row r="1664">
      <c r="C1664" s="632"/>
      <c r="D1664" s="632"/>
      <c r="O1664" s="607"/>
    </row>
    <row r="1665">
      <c r="C1665" s="632"/>
      <c r="D1665" s="632"/>
      <c r="O1665" s="607"/>
    </row>
    <row r="1666">
      <c r="C1666" s="632"/>
      <c r="D1666" s="632"/>
      <c r="O1666" s="607"/>
    </row>
    <row r="1667">
      <c r="C1667" s="632"/>
      <c r="D1667" s="632"/>
      <c r="O1667" s="607"/>
    </row>
    <row r="1668">
      <c r="C1668" s="632"/>
      <c r="D1668" s="632"/>
      <c r="O1668" s="607"/>
    </row>
    <row r="1669">
      <c r="C1669" s="632"/>
      <c r="D1669" s="632"/>
      <c r="O1669" s="607"/>
    </row>
    <row r="1670">
      <c r="C1670" s="632"/>
      <c r="D1670" s="632"/>
      <c r="O1670" s="607"/>
    </row>
    <row r="1671">
      <c r="C1671" s="632"/>
      <c r="D1671" s="632"/>
      <c r="O1671" s="607"/>
    </row>
    <row r="1672">
      <c r="C1672" s="632"/>
      <c r="D1672" s="632"/>
      <c r="O1672" s="607"/>
    </row>
    <row r="1673">
      <c r="C1673" s="632"/>
      <c r="D1673" s="632"/>
      <c r="O1673" s="607"/>
    </row>
    <row r="1674">
      <c r="C1674" s="632"/>
      <c r="D1674" s="632"/>
      <c r="O1674" s="607"/>
    </row>
    <row r="1675">
      <c r="C1675" s="632"/>
      <c r="D1675" s="632"/>
      <c r="O1675" s="607"/>
    </row>
    <row r="1676">
      <c r="C1676" s="632"/>
      <c r="D1676" s="632"/>
      <c r="O1676" s="607"/>
    </row>
    <row r="1677">
      <c r="C1677" s="632"/>
      <c r="D1677" s="632"/>
      <c r="O1677" s="607"/>
    </row>
    <row r="1678">
      <c r="C1678" s="632"/>
      <c r="D1678" s="632"/>
      <c r="O1678" s="607"/>
    </row>
    <row r="1679">
      <c r="C1679" s="632"/>
      <c r="D1679" s="632"/>
      <c r="O1679" s="607"/>
    </row>
    <row r="1680">
      <c r="C1680" s="632"/>
      <c r="D1680" s="632"/>
      <c r="O1680" s="607"/>
    </row>
    <row r="1681">
      <c r="C1681" s="632"/>
      <c r="D1681" s="632"/>
      <c r="O1681" s="607"/>
    </row>
    <row r="1682">
      <c r="C1682" s="632"/>
      <c r="D1682" s="632"/>
      <c r="O1682" s="607"/>
    </row>
    <row r="1683">
      <c r="C1683" s="632"/>
      <c r="D1683" s="632"/>
      <c r="O1683" s="607"/>
    </row>
    <row r="1684">
      <c r="C1684" s="632"/>
      <c r="D1684" s="632"/>
      <c r="O1684" s="607"/>
    </row>
    <row r="1685">
      <c r="C1685" s="632"/>
      <c r="D1685" s="632"/>
      <c r="O1685" s="607"/>
    </row>
    <row r="1686">
      <c r="C1686" s="632"/>
      <c r="D1686" s="632"/>
      <c r="O1686" s="607"/>
    </row>
    <row r="1687">
      <c r="C1687" s="632"/>
      <c r="D1687" s="632"/>
      <c r="O1687" s="607"/>
    </row>
    <row r="1688">
      <c r="C1688" s="632"/>
      <c r="D1688" s="632"/>
      <c r="O1688" s="607"/>
    </row>
    <row r="1689">
      <c r="C1689" s="632"/>
      <c r="D1689" s="632"/>
      <c r="O1689" s="607"/>
    </row>
    <row r="1690">
      <c r="C1690" s="632"/>
      <c r="D1690" s="632"/>
      <c r="O1690" s="607"/>
    </row>
    <row r="1691">
      <c r="C1691" s="632"/>
      <c r="D1691" s="632"/>
      <c r="O1691" s="607"/>
    </row>
    <row r="1692">
      <c r="C1692" s="632"/>
      <c r="D1692" s="632"/>
      <c r="O1692" s="607"/>
    </row>
    <row r="1693">
      <c r="C1693" s="632"/>
      <c r="D1693" s="632"/>
      <c r="O1693" s="607"/>
    </row>
    <row r="1694">
      <c r="C1694" s="632"/>
      <c r="D1694" s="632"/>
      <c r="O1694" s="607"/>
    </row>
    <row r="1695">
      <c r="C1695" s="632"/>
      <c r="D1695" s="632"/>
      <c r="O1695" s="607"/>
    </row>
    <row r="1696">
      <c r="C1696" s="632"/>
      <c r="D1696" s="632"/>
      <c r="O1696" s="607"/>
    </row>
    <row r="1697">
      <c r="C1697" s="632"/>
      <c r="D1697" s="632"/>
      <c r="O1697" s="607"/>
    </row>
    <row r="1698">
      <c r="C1698" s="632"/>
      <c r="D1698" s="632"/>
      <c r="O1698" s="607"/>
    </row>
    <row r="1699">
      <c r="C1699" s="632"/>
      <c r="D1699" s="632"/>
      <c r="O1699" s="607"/>
    </row>
    <row r="1700">
      <c r="C1700" s="632"/>
      <c r="D1700" s="632"/>
      <c r="O1700" s="607"/>
    </row>
    <row r="1701">
      <c r="C1701" s="632"/>
      <c r="D1701" s="632"/>
      <c r="O1701" s="607"/>
    </row>
    <row r="1702">
      <c r="C1702" s="632"/>
      <c r="D1702" s="632"/>
      <c r="O1702" s="607"/>
    </row>
    <row r="1703">
      <c r="C1703" s="632"/>
      <c r="D1703" s="632"/>
      <c r="O1703" s="607"/>
    </row>
    <row r="1704">
      <c r="C1704" s="632"/>
      <c r="D1704" s="632"/>
      <c r="O1704" s="607"/>
    </row>
    <row r="1705">
      <c r="C1705" s="632"/>
      <c r="D1705" s="632"/>
      <c r="O1705" s="607"/>
    </row>
    <row r="1706">
      <c r="C1706" s="632"/>
      <c r="D1706" s="632"/>
      <c r="O1706" s="607"/>
    </row>
    <row r="1707">
      <c r="C1707" s="632"/>
      <c r="D1707" s="632"/>
      <c r="O1707" s="607"/>
    </row>
    <row r="1708">
      <c r="C1708" s="632"/>
      <c r="D1708" s="632"/>
      <c r="O1708" s="607"/>
    </row>
    <row r="1709">
      <c r="C1709" s="632"/>
      <c r="D1709" s="632"/>
      <c r="O1709" s="607"/>
    </row>
    <row r="1710">
      <c r="C1710" s="632"/>
      <c r="D1710" s="632"/>
      <c r="O1710" s="607"/>
    </row>
    <row r="1711">
      <c r="C1711" s="632"/>
      <c r="D1711" s="632"/>
      <c r="O1711" s="607"/>
    </row>
    <row r="1712">
      <c r="C1712" s="632"/>
      <c r="D1712" s="632"/>
      <c r="O1712" s="607"/>
    </row>
    <row r="1713">
      <c r="C1713" s="632"/>
      <c r="D1713" s="632"/>
      <c r="O1713" s="607"/>
    </row>
    <row r="1714">
      <c r="C1714" s="632"/>
      <c r="D1714" s="632"/>
      <c r="O1714" s="607"/>
    </row>
    <row r="1715">
      <c r="C1715" s="632"/>
      <c r="D1715" s="632"/>
      <c r="O1715" s="607"/>
    </row>
    <row r="1716">
      <c r="C1716" s="632"/>
      <c r="D1716" s="632"/>
      <c r="O1716" s="607"/>
    </row>
    <row r="1717">
      <c r="C1717" s="632"/>
      <c r="D1717" s="632"/>
      <c r="O1717" s="607"/>
    </row>
    <row r="1718">
      <c r="C1718" s="632"/>
      <c r="D1718" s="632"/>
      <c r="O1718" s="607"/>
    </row>
    <row r="1719">
      <c r="C1719" s="632"/>
      <c r="D1719" s="632"/>
      <c r="O1719" s="607"/>
    </row>
    <row r="1720">
      <c r="C1720" s="632"/>
      <c r="D1720" s="632"/>
      <c r="O1720" s="607"/>
    </row>
    <row r="1721">
      <c r="C1721" s="632"/>
      <c r="D1721" s="632"/>
      <c r="O1721" s="607"/>
    </row>
    <row r="1722">
      <c r="C1722" s="632"/>
      <c r="D1722" s="632"/>
      <c r="O1722" s="607"/>
    </row>
    <row r="1723">
      <c r="C1723" s="632"/>
      <c r="D1723" s="632"/>
      <c r="O1723" s="607"/>
    </row>
    <row r="1724">
      <c r="C1724" s="632"/>
      <c r="D1724" s="632"/>
      <c r="O1724" s="607"/>
    </row>
    <row r="1725">
      <c r="C1725" s="632"/>
      <c r="D1725" s="632"/>
      <c r="O1725" s="607"/>
    </row>
    <row r="1726">
      <c r="C1726" s="632"/>
      <c r="D1726" s="632"/>
      <c r="O1726" s="607"/>
    </row>
    <row r="1727">
      <c r="C1727" s="632"/>
      <c r="D1727" s="632"/>
      <c r="O1727" s="607"/>
    </row>
    <row r="1728">
      <c r="C1728" s="632"/>
      <c r="D1728" s="632"/>
      <c r="O1728" s="607"/>
    </row>
    <row r="1729">
      <c r="C1729" s="632"/>
      <c r="D1729" s="632"/>
      <c r="O1729" s="607"/>
    </row>
    <row r="1730">
      <c r="C1730" s="632"/>
      <c r="D1730" s="632"/>
      <c r="O1730" s="607"/>
    </row>
    <row r="1731">
      <c r="C1731" s="632"/>
      <c r="D1731" s="632"/>
      <c r="O1731" s="607"/>
    </row>
    <row r="1732">
      <c r="C1732" s="632"/>
      <c r="D1732" s="632"/>
      <c r="O1732" s="607"/>
    </row>
    <row r="1733">
      <c r="C1733" s="632"/>
      <c r="D1733" s="632"/>
      <c r="O1733" s="607"/>
    </row>
    <row r="1734">
      <c r="C1734" s="632"/>
      <c r="D1734" s="632"/>
      <c r="O1734" s="607"/>
    </row>
    <row r="1735">
      <c r="C1735" s="632"/>
      <c r="D1735" s="632"/>
      <c r="O1735" s="607"/>
    </row>
    <row r="1736">
      <c r="C1736" s="632"/>
      <c r="D1736" s="632"/>
      <c r="O1736" s="607"/>
    </row>
    <row r="1737">
      <c r="C1737" s="632"/>
      <c r="D1737" s="632"/>
      <c r="O1737" s="607"/>
    </row>
    <row r="1738">
      <c r="C1738" s="632"/>
      <c r="D1738" s="632"/>
      <c r="O1738" s="607"/>
    </row>
    <row r="1739">
      <c r="C1739" s="632"/>
      <c r="D1739" s="632"/>
      <c r="O1739" s="607"/>
    </row>
    <row r="1740">
      <c r="C1740" s="632"/>
      <c r="D1740" s="632"/>
      <c r="O1740" s="607"/>
    </row>
    <row r="1741">
      <c r="C1741" s="632"/>
      <c r="D1741" s="632"/>
      <c r="O1741" s="607"/>
    </row>
    <row r="1742">
      <c r="C1742" s="632"/>
      <c r="D1742" s="632"/>
      <c r="O1742" s="607"/>
    </row>
    <row r="1743">
      <c r="C1743" s="632"/>
      <c r="D1743" s="632"/>
      <c r="O1743" s="607"/>
    </row>
    <row r="1744">
      <c r="C1744" s="632"/>
      <c r="D1744" s="632"/>
      <c r="O1744" s="607"/>
    </row>
    <row r="1745">
      <c r="C1745" s="632"/>
      <c r="D1745" s="632"/>
      <c r="O1745" s="607"/>
    </row>
    <row r="1746">
      <c r="C1746" s="632"/>
      <c r="D1746" s="632"/>
      <c r="O1746" s="607"/>
    </row>
    <row r="1747">
      <c r="C1747" s="632"/>
      <c r="D1747" s="632"/>
      <c r="O1747" s="607"/>
    </row>
    <row r="1748">
      <c r="C1748" s="632"/>
      <c r="D1748" s="632"/>
      <c r="O1748" s="607"/>
    </row>
    <row r="1749">
      <c r="C1749" s="632"/>
      <c r="D1749" s="632"/>
      <c r="O1749" s="607"/>
    </row>
    <row r="1750">
      <c r="C1750" s="632"/>
      <c r="D1750" s="632"/>
      <c r="O1750" s="607"/>
    </row>
    <row r="1751">
      <c r="C1751" s="632"/>
      <c r="D1751" s="632"/>
      <c r="O1751" s="607"/>
    </row>
    <row r="1752">
      <c r="C1752" s="632"/>
      <c r="D1752" s="632"/>
      <c r="O1752" s="607"/>
    </row>
    <row r="1753">
      <c r="C1753" s="632"/>
      <c r="D1753" s="632"/>
      <c r="O1753" s="607"/>
    </row>
    <row r="1754">
      <c r="C1754" s="632"/>
      <c r="D1754" s="632"/>
      <c r="O1754" s="607"/>
    </row>
    <row r="1755">
      <c r="C1755" s="632"/>
      <c r="D1755" s="632"/>
      <c r="O1755" s="607"/>
    </row>
    <row r="1756">
      <c r="C1756" s="632"/>
      <c r="D1756" s="632"/>
      <c r="O1756" s="607"/>
    </row>
    <row r="1757">
      <c r="C1757" s="632"/>
      <c r="D1757" s="632"/>
      <c r="O1757" s="607"/>
    </row>
    <row r="1758">
      <c r="C1758" s="632"/>
      <c r="D1758" s="632"/>
      <c r="O1758" s="607"/>
    </row>
    <row r="1759">
      <c r="C1759" s="632"/>
      <c r="D1759" s="632"/>
      <c r="O1759" s="607"/>
    </row>
    <row r="1760">
      <c r="C1760" s="632"/>
      <c r="D1760" s="632"/>
      <c r="O1760" s="607"/>
    </row>
    <row r="1761">
      <c r="C1761" s="632"/>
      <c r="D1761" s="632"/>
      <c r="O1761" s="607"/>
    </row>
    <row r="1762">
      <c r="C1762" s="632"/>
      <c r="D1762" s="632"/>
      <c r="O1762" s="607"/>
    </row>
    <row r="1763">
      <c r="C1763" s="632"/>
      <c r="D1763" s="632"/>
      <c r="O1763" s="607"/>
    </row>
    <row r="1764">
      <c r="C1764" s="632"/>
      <c r="D1764" s="632"/>
      <c r="O1764" s="607"/>
    </row>
    <row r="1765">
      <c r="C1765" s="632"/>
      <c r="D1765" s="632"/>
      <c r="O1765" s="607"/>
    </row>
    <row r="1766">
      <c r="C1766" s="632"/>
      <c r="D1766" s="632"/>
      <c r="O1766" s="607"/>
    </row>
    <row r="1767">
      <c r="C1767" s="632"/>
      <c r="D1767" s="632"/>
      <c r="O1767" s="607"/>
    </row>
    <row r="1768">
      <c r="C1768" s="632"/>
      <c r="D1768" s="632"/>
      <c r="O1768" s="607"/>
    </row>
    <row r="1769">
      <c r="C1769" s="632"/>
      <c r="D1769" s="632"/>
      <c r="O1769" s="607"/>
    </row>
    <row r="1770">
      <c r="C1770" s="632"/>
      <c r="D1770" s="632"/>
      <c r="O1770" s="607"/>
    </row>
    <row r="1771">
      <c r="C1771" s="632"/>
      <c r="D1771" s="632"/>
      <c r="O1771" s="607"/>
    </row>
    <row r="1772">
      <c r="C1772" s="632"/>
      <c r="D1772" s="632"/>
      <c r="O1772" s="607"/>
    </row>
    <row r="1773">
      <c r="C1773" s="632"/>
      <c r="D1773" s="632"/>
      <c r="O1773" s="607"/>
    </row>
    <row r="1774">
      <c r="C1774" s="632"/>
      <c r="D1774" s="632"/>
      <c r="O1774" s="607"/>
    </row>
    <row r="1775">
      <c r="C1775" s="632"/>
      <c r="D1775" s="632"/>
      <c r="O1775" s="607"/>
    </row>
    <row r="1776">
      <c r="C1776" s="632"/>
      <c r="D1776" s="632"/>
      <c r="O1776" s="607"/>
    </row>
    <row r="1777">
      <c r="C1777" s="632"/>
      <c r="D1777" s="632"/>
      <c r="O1777" s="607"/>
    </row>
    <row r="1778">
      <c r="C1778" s="632"/>
      <c r="D1778" s="632"/>
      <c r="O1778" s="607"/>
    </row>
    <row r="1779">
      <c r="C1779" s="632"/>
      <c r="D1779" s="632"/>
      <c r="O1779" s="607"/>
    </row>
    <row r="1780">
      <c r="C1780" s="632"/>
      <c r="D1780" s="632"/>
      <c r="O1780" s="607"/>
    </row>
    <row r="1781">
      <c r="C1781" s="632"/>
      <c r="D1781" s="632"/>
      <c r="O1781" s="607"/>
    </row>
    <row r="1782">
      <c r="C1782" s="632"/>
      <c r="D1782" s="632"/>
      <c r="O1782" s="607"/>
    </row>
    <row r="1783">
      <c r="C1783" s="632"/>
      <c r="D1783" s="632"/>
      <c r="O1783" s="607"/>
    </row>
    <row r="1784">
      <c r="C1784" s="632"/>
      <c r="D1784" s="632"/>
      <c r="O1784" s="607"/>
    </row>
    <row r="1785">
      <c r="C1785" s="632"/>
      <c r="D1785" s="632"/>
      <c r="O1785" s="607"/>
    </row>
    <row r="1786">
      <c r="C1786" s="632"/>
      <c r="D1786" s="632"/>
      <c r="O1786" s="607"/>
    </row>
    <row r="1787">
      <c r="C1787" s="632"/>
      <c r="D1787" s="632"/>
      <c r="O1787" s="607"/>
    </row>
    <row r="1788">
      <c r="C1788" s="632"/>
      <c r="D1788" s="632"/>
      <c r="O1788" s="607"/>
    </row>
    <row r="1789">
      <c r="C1789" s="632"/>
      <c r="D1789" s="632"/>
      <c r="O1789" s="607"/>
    </row>
    <row r="1790">
      <c r="C1790" s="632"/>
      <c r="D1790" s="632"/>
      <c r="O1790" s="607"/>
    </row>
    <row r="1791">
      <c r="C1791" s="632"/>
      <c r="D1791" s="632"/>
      <c r="O1791" s="607"/>
    </row>
    <row r="1792">
      <c r="C1792" s="632"/>
      <c r="D1792" s="632"/>
      <c r="O1792" s="607"/>
    </row>
    <row r="1793">
      <c r="C1793" s="632"/>
      <c r="D1793" s="632"/>
      <c r="O1793" s="607"/>
    </row>
    <row r="1794">
      <c r="C1794" s="632"/>
      <c r="D1794" s="632"/>
      <c r="O1794" s="607"/>
    </row>
    <row r="1795">
      <c r="C1795" s="632"/>
      <c r="D1795" s="632"/>
      <c r="O1795" s="607"/>
    </row>
    <row r="1796">
      <c r="C1796" s="632"/>
      <c r="D1796" s="632"/>
      <c r="O1796" s="607"/>
    </row>
    <row r="1797">
      <c r="C1797" s="632"/>
      <c r="D1797" s="632"/>
      <c r="O1797" s="607"/>
    </row>
    <row r="1798">
      <c r="C1798" s="632"/>
      <c r="D1798" s="632"/>
      <c r="O1798" s="607"/>
    </row>
    <row r="1799">
      <c r="C1799" s="632"/>
      <c r="D1799" s="632"/>
      <c r="O1799" s="607"/>
    </row>
    <row r="1800">
      <c r="C1800" s="632"/>
      <c r="D1800" s="632"/>
      <c r="O1800" s="607"/>
    </row>
    <row r="1801">
      <c r="C1801" s="632"/>
      <c r="D1801" s="632"/>
      <c r="O1801" s="607"/>
    </row>
    <row r="1802">
      <c r="C1802" s="632"/>
      <c r="D1802" s="632"/>
      <c r="O1802" s="607"/>
    </row>
    <row r="1803">
      <c r="C1803" s="632"/>
      <c r="D1803" s="632"/>
      <c r="O1803" s="607"/>
    </row>
    <row r="1804">
      <c r="C1804" s="632"/>
      <c r="D1804" s="632"/>
      <c r="O1804" s="607"/>
    </row>
    <row r="1805">
      <c r="C1805" s="632"/>
      <c r="D1805" s="632"/>
      <c r="O1805" s="607"/>
    </row>
    <row r="1806">
      <c r="C1806" s="632"/>
      <c r="D1806" s="632"/>
      <c r="O1806" s="607"/>
    </row>
    <row r="1807">
      <c r="C1807" s="632"/>
      <c r="D1807" s="632"/>
      <c r="O1807" s="607"/>
    </row>
    <row r="1808">
      <c r="C1808" s="632"/>
      <c r="D1808" s="632"/>
      <c r="O1808" s="607"/>
    </row>
    <row r="1809">
      <c r="C1809" s="632"/>
      <c r="D1809" s="632"/>
      <c r="O1809" s="607"/>
    </row>
    <row r="1810">
      <c r="C1810" s="632"/>
      <c r="D1810" s="632"/>
      <c r="O1810" s="607"/>
    </row>
    <row r="1811">
      <c r="C1811" s="632"/>
      <c r="D1811" s="632"/>
      <c r="O1811" s="607"/>
    </row>
    <row r="1812">
      <c r="C1812" s="632"/>
      <c r="D1812" s="632"/>
      <c r="O1812" s="607"/>
    </row>
    <row r="1813">
      <c r="C1813" s="632"/>
      <c r="D1813" s="632"/>
      <c r="O1813" s="607"/>
    </row>
    <row r="1814">
      <c r="C1814" s="632"/>
      <c r="D1814" s="632"/>
      <c r="O1814" s="607"/>
    </row>
    <row r="1815">
      <c r="C1815" s="632"/>
      <c r="D1815" s="632"/>
      <c r="O1815" s="607"/>
    </row>
    <row r="1816">
      <c r="C1816" s="632"/>
      <c r="D1816" s="632"/>
      <c r="O1816" s="607"/>
    </row>
    <row r="1817">
      <c r="C1817" s="632"/>
      <c r="D1817" s="632"/>
      <c r="O1817" s="607"/>
    </row>
    <row r="1818">
      <c r="C1818" s="632"/>
      <c r="D1818" s="632"/>
      <c r="O1818" s="607"/>
    </row>
    <row r="1819">
      <c r="C1819" s="632"/>
      <c r="D1819" s="632"/>
      <c r="O1819" s="607"/>
    </row>
    <row r="1820">
      <c r="C1820" s="632"/>
      <c r="D1820" s="632"/>
      <c r="O1820" s="607"/>
    </row>
    <row r="1821">
      <c r="C1821" s="632"/>
      <c r="D1821" s="632"/>
      <c r="O1821" s="607"/>
    </row>
    <row r="1822">
      <c r="C1822" s="632"/>
      <c r="D1822" s="632"/>
      <c r="O1822" s="607"/>
    </row>
    <row r="1823">
      <c r="C1823" s="632"/>
      <c r="D1823" s="632"/>
      <c r="O1823" s="607"/>
    </row>
    <row r="1824">
      <c r="C1824" s="632"/>
      <c r="D1824" s="632"/>
      <c r="O1824" s="607"/>
    </row>
    <row r="1825">
      <c r="C1825" s="632"/>
      <c r="D1825" s="632"/>
      <c r="O1825" s="607"/>
    </row>
    <row r="1826">
      <c r="C1826" s="632"/>
      <c r="D1826" s="632"/>
      <c r="O1826" s="607"/>
    </row>
    <row r="1827">
      <c r="C1827" s="632"/>
      <c r="D1827" s="632"/>
      <c r="O1827" s="607"/>
    </row>
    <row r="1828">
      <c r="C1828" s="632"/>
      <c r="D1828" s="632"/>
      <c r="O1828" s="607"/>
    </row>
    <row r="1829">
      <c r="C1829" s="632"/>
      <c r="D1829" s="632"/>
      <c r="O1829" s="607"/>
    </row>
    <row r="1830">
      <c r="C1830" s="632"/>
      <c r="D1830" s="632"/>
      <c r="O1830" s="607"/>
    </row>
    <row r="1831">
      <c r="C1831" s="632"/>
      <c r="D1831" s="632"/>
      <c r="O1831" s="607"/>
    </row>
    <row r="1832">
      <c r="C1832" s="632"/>
      <c r="D1832" s="632"/>
      <c r="O1832" s="607"/>
    </row>
    <row r="1833">
      <c r="C1833" s="632"/>
      <c r="D1833" s="632"/>
      <c r="O1833" s="607"/>
    </row>
    <row r="1834">
      <c r="C1834" s="632"/>
      <c r="D1834" s="632"/>
      <c r="O1834" s="607"/>
    </row>
    <row r="1835">
      <c r="C1835" s="632"/>
      <c r="D1835" s="632"/>
      <c r="O1835" s="607"/>
    </row>
    <row r="1836">
      <c r="C1836" s="632"/>
      <c r="D1836" s="632"/>
      <c r="O1836" s="607"/>
    </row>
    <row r="1837">
      <c r="C1837" s="632"/>
      <c r="D1837" s="632"/>
      <c r="O1837" s="607"/>
    </row>
    <row r="1838">
      <c r="C1838" s="632"/>
      <c r="D1838" s="632"/>
      <c r="O1838" s="607"/>
    </row>
    <row r="1839">
      <c r="C1839" s="632"/>
      <c r="D1839" s="632"/>
      <c r="O1839" s="607"/>
    </row>
    <row r="1840">
      <c r="C1840" s="632"/>
      <c r="D1840" s="632"/>
      <c r="O1840" s="607"/>
    </row>
    <row r="1841">
      <c r="C1841" s="632"/>
      <c r="D1841" s="632"/>
      <c r="O1841" s="607"/>
    </row>
    <row r="1842">
      <c r="C1842" s="632"/>
      <c r="D1842" s="632"/>
      <c r="O1842" s="607"/>
    </row>
    <row r="1843">
      <c r="C1843" s="632"/>
      <c r="D1843" s="632"/>
      <c r="O1843" s="607"/>
    </row>
    <row r="1844">
      <c r="C1844" s="632"/>
      <c r="D1844" s="632"/>
      <c r="O1844" s="607"/>
    </row>
    <row r="1845">
      <c r="C1845" s="632"/>
      <c r="D1845" s="632"/>
      <c r="O1845" s="607"/>
    </row>
    <row r="1846">
      <c r="C1846" s="632"/>
      <c r="D1846" s="632"/>
      <c r="O1846" s="607"/>
    </row>
    <row r="1847">
      <c r="C1847" s="632"/>
      <c r="D1847" s="632"/>
      <c r="O1847" s="607"/>
    </row>
    <row r="1848">
      <c r="C1848" s="632"/>
      <c r="D1848" s="632"/>
      <c r="O1848" s="607"/>
    </row>
    <row r="1849">
      <c r="C1849" s="632"/>
      <c r="D1849" s="632"/>
      <c r="O1849" s="607"/>
    </row>
    <row r="1850">
      <c r="C1850" s="632"/>
      <c r="D1850" s="632"/>
      <c r="O1850" s="607"/>
    </row>
    <row r="1851">
      <c r="C1851" s="632"/>
      <c r="D1851" s="632"/>
      <c r="O1851" s="607"/>
    </row>
    <row r="1852">
      <c r="C1852" s="632"/>
      <c r="D1852" s="632"/>
      <c r="O1852" s="607"/>
    </row>
    <row r="1853">
      <c r="C1853" s="632"/>
      <c r="D1853" s="632"/>
      <c r="O1853" s="607"/>
    </row>
    <row r="1854">
      <c r="C1854" s="632"/>
      <c r="D1854" s="632"/>
      <c r="O1854" s="607"/>
    </row>
    <row r="1855">
      <c r="C1855" s="632"/>
      <c r="D1855" s="632"/>
      <c r="O1855" s="607"/>
    </row>
    <row r="1856">
      <c r="C1856" s="632"/>
      <c r="D1856" s="632"/>
      <c r="O1856" s="607"/>
    </row>
    <row r="1857">
      <c r="C1857" s="632"/>
      <c r="D1857" s="632"/>
      <c r="O1857" s="607"/>
    </row>
    <row r="1858">
      <c r="C1858" s="632"/>
      <c r="D1858" s="632"/>
      <c r="O1858" s="607"/>
    </row>
    <row r="1859">
      <c r="C1859" s="632"/>
      <c r="D1859" s="632"/>
      <c r="O1859" s="607"/>
    </row>
    <row r="1860">
      <c r="C1860" s="632"/>
      <c r="D1860" s="632"/>
      <c r="O1860" s="607"/>
    </row>
    <row r="1861">
      <c r="C1861" s="632"/>
      <c r="D1861" s="632"/>
      <c r="O1861" s="607"/>
    </row>
    <row r="1862">
      <c r="C1862" s="632"/>
      <c r="D1862" s="632"/>
      <c r="O1862" s="607"/>
    </row>
    <row r="1863">
      <c r="C1863" s="632"/>
      <c r="D1863" s="632"/>
      <c r="O1863" s="607"/>
    </row>
    <row r="1864">
      <c r="C1864" s="632"/>
      <c r="D1864" s="632"/>
      <c r="O1864" s="607"/>
    </row>
    <row r="1865">
      <c r="C1865" s="632"/>
      <c r="D1865" s="632"/>
      <c r="O1865" s="607"/>
    </row>
    <row r="1866">
      <c r="C1866" s="632"/>
      <c r="D1866" s="632"/>
      <c r="O1866" s="607"/>
    </row>
    <row r="1867">
      <c r="C1867" s="632"/>
      <c r="D1867" s="632"/>
      <c r="O1867" s="607"/>
    </row>
    <row r="1868">
      <c r="C1868" s="632"/>
      <c r="D1868" s="632"/>
      <c r="O1868" s="607"/>
    </row>
    <row r="1869">
      <c r="C1869" s="632"/>
      <c r="D1869" s="632"/>
      <c r="O1869" s="607"/>
    </row>
    <row r="1870">
      <c r="C1870" s="632"/>
      <c r="D1870" s="632"/>
      <c r="O1870" s="607"/>
    </row>
    <row r="1871">
      <c r="C1871" s="632"/>
      <c r="D1871" s="632"/>
      <c r="O1871" s="607"/>
    </row>
    <row r="1872">
      <c r="C1872" s="632"/>
      <c r="D1872" s="632"/>
      <c r="O1872" s="607"/>
    </row>
    <row r="1873">
      <c r="C1873" s="632"/>
      <c r="D1873" s="632"/>
      <c r="O1873" s="607"/>
    </row>
    <row r="1874">
      <c r="C1874" s="632"/>
      <c r="D1874" s="632"/>
      <c r="O1874" s="607"/>
    </row>
    <row r="1875">
      <c r="C1875" s="632"/>
      <c r="D1875" s="632"/>
      <c r="O1875" s="607"/>
    </row>
    <row r="1876">
      <c r="C1876" s="632"/>
      <c r="D1876" s="632"/>
      <c r="O1876" s="607"/>
    </row>
    <row r="1877">
      <c r="C1877" s="632"/>
      <c r="D1877" s="632"/>
      <c r="O1877" s="607"/>
    </row>
    <row r="1878">
      <c r="C1878" s="632"/>
      <c r="D1878" s="632"/>
      <c r="O1878" s="607"/>
    </row>
    <row r="1879">
      <c r="C1879" s="632"/>
      <c r="D1879" s="632"/>
      <c r="O1879" s="607"/>
    </row>
    <row r="1880">
      <c r="C1880" s="632"/>
      <c r="D1880" s="632"/>
      <c r="O1880" s="607"/>
    </row>
    <row r="1881">
      <c r="C1881" s="632"/>
      <c r="D1881" s="632"/>
      <c r="O1881" s="607"/>
    </row>
    <row r="1882">
      <c r="C1882" s="632"/>
      <c r="D1882" s="632"/>
      <c r="O1882" s="607"/>
    </row>
    <row r="1883">
      <c r="C1883" s="632"/>
      <c r="D1883" s="632"/>
      <c r="O1883" s="607"/>
    </row>
    <row r="1884">
      <c r="C1884" s="632"/>
      <c r="D1884" s="632"/>
      <c r="O1884" s="607"/>
    </row>
    <row r="1885">
      <c r="C1885" s="632"/>
      <c r="D1885" s="632"/>
      <c r="O1885" s="607"/>
    </row>
    <row r="1886">
      <c r="C1886" s="632"/>
      <c r="D1886" s="632"/>
      <c r="O1886" s="607"/>
    </row>
    <row r="1887">
      <c r="C1887" s="632"/>
      <c r="D1887" s="632"/>
      <c r="O1887" s="607"/>
    </row>
    <row r="1888">
      <c r="C1888" s="632"/>
      <c r="D1888" s="632"/>
      <c r="O1888" s="607"/>
    </row>
    <row r="1889">
      <c r="C1889" s="632"/>
      <c r="D1889" s="632"/>
      <c r="O1889" s="607"/>
    </row>
    <row r="1890">
      <c r="C1890" s="632"/>
      <c r="D1890" s="632"/>
      <c r="O1890" s="607"/>
    </row>
    <row r="1891">
      <c r="C1891" s="632"/>
      <c r="D1891" s="632"/>
      <c r="O1891" s="607"/>
    </row>
    <row r="1892">
      <c r="C1892" s="632"/>
      <c r="D1892" s="632"/>
      <c r="O1892" s="607"/>
    </row>
    <row r="1893">
      <c r="C1893" s="632"/>
      <c r="D1893" s="632"/>
      <c r="O1893" s="607"/>
    </row>
    <row r="1894">
      <c r="C1894" s="632"/>
      <c r="D1894" s="632"/>
      <c r="O1894" s="607"/>
    </row>
    <row r="1895">
      <c r="C1895" s="632"/>
      <c r="D1895" s="632"/>
      <c r="O1895" s="607"/>
    </row>
    <row r="1896">
      <c r="C1896" s="632"/>
      <c r="D1896" s="632"/>
      <c r="O1896" s="607"/>
    </row>
    <row r="1897">
      <c r="C1897" s="632"/>
      <c r="D1897" s="632"/>
      <c r="O1897" s="607"/>
    </row>
    <row r="1898">
      <c r="C1898" s="632"/>
      <c r="D1898" s="632"/>
      <c r="O1898" s="607"/>
    </row>
    <row r="1899">
      <c r="C1899" s="632"/>
      <c r="D1899" s="632"/>
      <c r="O1899" s="607"/>
    </row>
    <row r="1900">
      <c r="C1900" s="632"/>
      <c r="D1900" s="632"/>
      <c r="O1900" s="607"/>
    </row>
    <row r="1901">
      <c r="C1901" s="632"/>
      <c r="D1901" s="632"/>
      <c r="O1901" s="607"/>
    </row>
    <row r="1902">
      <c r="C1902" s="632"/>
      <c r="D1902" s="632"/>
      <c r="O1902" s="607"/>
    </row>
    <row r="1903">
      <c r="C1903" s="632"/>
      <c r="D1903" s="632"/>
      <c r="O1903" s="607"/>
    </row>
    <row r="1904">
      <c r="C1904" s="632"/>
      <c r="D1904" s="632"/>
      <c r="O1904" s="607"/>
    </row>
    <row r="1905">
      <c r="C1905" s="632"/>
      <c r="D1905" s="632"/>
      <c r="O1905" s="607"/>
    </row>
    <row r="1906">
      <c r="C1906" s="632"/>
      <c r="D1906" s="632"/>
      <c r="O1906" s="607"/>
    </row>
    <row r="1907">
      <c r="C1907" s="632"/>
      <c r="D1907" s="632"/>
      <c r="O1907" s="607"/>
    </row>
    <row r="1908">
      <c r="C1908" s="632"/>
      <c r="D1908" s="632"/>
      <c r="O1908" s="607"/>
    </row>
    <row r="1909">
      <c r="C1909" s="632"/>
      <c r="D1909" s="632"/>
      <c r="O1909" s="607"/>
    </row>
    <row r="1910">
      <c r="C1910" s="632"/>
      <c r="D1910" s="632"/>
      <c r="O1910" s="607"/>
    </row>
    <row r="1911">
      <c r="C1911" s="632"/>
      <c r="D1911" s="632"/>
      <c r="O1911" s="607"/>
    </row>
    <row r="1912">
      <c r="C1912" s="632"/>
      <c r="D1912" s="632"/>
      <c r="O1912" s="607"/>
    </row>
    <row r="1913">
      <c r="C1913" s="632"/>
      <c r="D1913" s="632"/>
      <c r="O1913" s="607"/>
    </row>
    <row r="1914">
      <c r="C1914" s="632"/>
      <c r="D1914" s="632"/>
      <c r="O1914" s="607"/>
    </row>
    <row r="1915">
      <c r="C1915" s="632"/>
      <c r="D1915" s="632"/>
      <c r="O1915" s="607"/>
    </row>
    <row r="1916">
      <c r="C1916" s="632"/>
      <c r="D1916" s="632"/>
      <c r="O1916" s="607"/>
    </row>
    <row r="1917">
      <c r="C1917" s="632"/>
      <c r="D1917" s="632"/>
      <c r="O1917" s="607"/>
    </row>
    <row r="1918">
      <c r="C1918" s="632"/>
      <c r="D1918" s="632"/>
      <c r="O1918" s="607"/>
    </row>
    <row r="1919">
      <c r="C1919" s="632"/>
      <c r="D1919" s="632"/>
      <c r="O1919" s="607"/>
    </row>
    <row r="1920">
      <c r="C1920" s="632"/>
      <c r="D1920" s="632"/>
      <c r="O1920" s="607"/>
    </row>
    <row r="1921">
      <c r="C1921" s="632"/>
      <c r="D1921" s="632"/>
      <c r="O1921" s="607"/>
    </row>
    <row r="1922">
      <c r="C1922" s="632"/>
      <c r="D1922" s="632"/>
      <c r="O1922" s="607"/>
    </row>
    <row r="1923">
      <c r="C1923" s="632"/>
      <c r="D1923" s="632"/>
      <c r="O1923" s="607"/>
    </row>
    <row r="1924">
      <c r="C1924" s="632"/>
      <c r="D1924" s="632"/>
      <c r="O1924" s="607"/>
    </row>
    <row r="1925">
      <c r="C1925" s="632"/>
      <c r="D1925" s="632"/>
      <c r="O1925" s="607"/>
    </row>
    <row r="1926">
      <c r="C1926" s="632"/>
      <c r="D1926" s="632"/>
      <c r="O1926" s="607"/>
    </row>
    <row r="1927">
      <c r="C1927" s="632"/>
      <c r="D1927" s="632"/>
      <c r="O1927" s="607"/>
    </row>
    <row r="1928">
      <c r="C1928" s="632"/>
      <c r="D1928" s="632"/>
      <c r="O1928" s="607"/>
    </row>
    <row r="1929">
      <c r="C1929" s="632"/>
      <c r="D1929" s="632"/>
      <c r="O1929" s="607"/>
    </row>
    <row r="1930">
      <c r="C1930" s="632"/>
      <c r="D1930" s="632"/>
      <c r="O1930" s="607"/>
    </row>
    <row r="1931">
      <c r="C1931" s="632"/>
      <c r="D1931" s="632"/>
      <c r="O1931" s="607"/>
    </row>
    <row r="1932">
      <c r="C1932" s="632"/>
      <c r="D1932" s="632"/>
      <c r="O1932" s="607"/>
    </row>
    <row r="1933">
      <c r="C1933" s="632"/>
      <c r="D1933" s="632"/>
      <c r="O1933" s="607"/>
    </row>
    <row r="1934">
      <c r="C1934" s="632"/>
      <c r="D1934" s="632"/>
      <c r="O1934" s="607"/>
    </row>
    <row r="1935">
      <c r="C1935" s="632"/>
      <c r="D1935" s="632"/>
      <c r="O1935" s="607"/>
    </row>
    <row r="1936">
      <c r="C1936" s="632"/>
      <c r="D1936" s="632"/>
      <c r="O1936" s="607"/>
    </row>
    <row r="1937">
      <c r="C1937" s="632"/>
      <c r="D1937" s="632"/>
      <c r="O1937" s="607"/>
    </row>
    <row r="1938">
      <c r="C1938" s="632"/>
      <c r="D1938" s="632"/>
      <c r="O1938" s="607"/>
    </row>
    <row r="1939">
      <c r="C1939" s="632"/>
      <c r="D1939" s="632"/>
      <c r="O1939" s="607"/>
    </row>
    <row r="1940">
      <c r="C1940" s="632"/>
      <c r="D1940" s="632"/>
      <c r="O1940" s="607"/>
    </row>
    <row r="1941">
      <c r="C1941" s="632"/>
      <c r="D1941" s="632"/>
      <c r="O1941" s="607"/>
    </row>
    <row r="1942">
      <c r="C1942" s="632"/>
      <c r="D1942" s="632"/>
      <c r="O1942" s="607"/>
    </row>
    <row r="1943">
      <c r="C1943" s="632"/>
      <c r="D1943" s="632"/>
      <c r="O1943" s="607"/>
    </row>
    <row r="1944">
      <c r="C1944" s="632"/>
      <c r="D1944" s="632"/>
      <c r="O1944" s="607"/>
    </row>
    <row r="1945">
      <c r="C1945" s="632"/>
      <c r="D1945" s="632"/>
      <c r="O1945" s="607"/>
    </row>
    <row r="1946">
      <c r="C1946" s="632"/>
      <c r="D1946" s="632"/>
      <c r="O1946" s="607"/>
    </row>
    <row r="1947">
      <c r="C1947" s="632"/>
      <c r="D1947" s="632"/>
      <c r="O1947" s="607"/>
    </row>
    <row r="1948">
      <c r="C1948" s="632"/>
      <c r="D1948" s="632"/>
      <c r="O1948" s="607"/>
    </row>
    <row r="1949">
      <c r="C1949" s="632"/>
      <c r="D1949" s="632"/>
      <c r="O1949" s="607"/>
    </row>
    <row r="1950">
      <c r="C1950" s="632"/>
      <c r="D1950" s="632"/>
      <c r="O1950" s="607"/>
    </row>
    <row r="1951">
      <c r="C1951" s="632"/>
      <c r="D1951" s="632"/>
      <c r="O1951" s="607"/>
    </row>
    <row r="1952">
      <c r="C1952" s="632"/>
      <c r="D1952" s="632"/>
      <c r="O1952" s="607"/>
    </row>
    <row r="1953">
      <c r="C1953" s="632"/>
      <c r="D1953" s="632"/>
      <c r="O1953" s="607"/>
    </row>
    <row r="1954">
      <c r="C1954" s="632"/>
      <c r="D1954" s="632"/>
      <c r="O1954" s="607"/>
    </row>
    <row r="1955">
      <c r="C1955" s="632"/>
      <c r="D1955" s="632"/>
      <c r="O1955" s="607"/>
    </row>
    <row r="1956">
      <c r="C1956" s="632"/>
      <c r="D1956" s="632"/>
      <c r="O1956" s="607"/>
    </row>
    <row r="1957">
      <c r="C1957" s="632"/>
      <c r="D1957" s="632"/>
      <c r="O1957" s="607"/>
    </row>
    <row r="1958">
      <c r="C1958" s="632"/>
      <c r="D1958" s="632"/>
      <c r="O1958" s="607"/>
    </row>
    <row r="1959">
      <c r="C1959" s="632"/>
      <c r="D1959" s="632"/>
      <c r="O1959" s="607"/>
    </row>
    <row r="1960">
      <c r="C1960" s="632"/>
      <c r="D1960" s="632"/>
      <c r="O1960" s="607"/>
    </row>
    <row r="1961">
      <c r="C1961" s="632"/>
      <c r="D1961" s="632"/>
      <c r="O1961" s="607"/>
    </row>
    <row r="1962">
      <c r="C1962" s="632"/>
      <c r="D1962" s="632"/>
      <c r="O1962" s="607"/>
    </row>
    <row r="1963">
      <c r="C1963" s="632"/>
      <c r="D1963" s="632"/>
      <c r="O1963" s="607"/>
    </row>
    <row r="1964">
      <c r="C1964" s="632"/>
      <c r="D1964" s="632"/>
      <c r="O1964" s="607"/>
    </row>
    <row r="1965">
      <c r="C1965" s="632"/>
      <c r="D1965" s="632"/>
      <c r="O1965" s="607"/>
    </row>
    <row r="1966">
      <c r="C1966" s="632"/>
      <c r="D1966" s="632"/>
      <c r="O1966" s="607"/>
    </row>
    <row r="1967">
      <c r="C1967" s="632"/>
      <c r="D1967" s="632"/>
      <c r="O1967" s="607"/>
    </row>
    <row r="1968">
      <c r="C1968" s="632"/>
      <c r="D1968" s="632"/>
      <c r="O1968" s="607"/>
    </row>
    <row r="1969">
      <c r="C1969" s="632"/>
      <c r="D1969" s="632"/>
      <c r="O1969" s="607"/>
    </row>
    <row r="1970">
      <c r="C1970" s="632"/>
      <c r="D1970" s="632"/>
      <c r="O1970" s="607"/>
    </row>
    <row r="1971">
      <c r="C1971" s="632"/>
      <c r="D1971" s="632"/>
      <c r="O1971" s="607"/>
    </row>
    <row r="1972">
      <c r="C1972" s="632"/>
      <c r="D1972" s="632"/>
      <c r="O1972" s="607"/>
    </row>
    <row r="1973">
      <c r="C1973" s="632"/>
      <c r="D1973" s="632"/>
      <c r="O1973" s="607"/>
    </row>
    <row r="1974">
      <c r="C1974" s="632"/>
      <c r="D1974" s="632"/>
      <c r="O1974" s="607"/>
    </row>
    <row r="1975">
      <c r="C1975" s="632"/>
      <c r="D1975" s="632"/>
      <c r="O1975" s="607"/>
    </row>
    <row r="1976">
      <c r="C1976" s="632"/>
      <c r="D1976" s="632"/>
      <c r="O1976" s="607"/>
    </row>
    <row r="1977">
      <c r="C1977" s="632"/>
      <c r="D1977" s="632"/>
      <c r="O1977" s="607"/>
    </row>
    <row r="1978">
      <c r="C1978" s="632"/>
      <c r="D1978" s="632"/>
      <c r="O1978" s="607"/>
    </row>
    <row r="1979">
      <c r="C1979" s="632"/>
      <c r="D1979" s="632"/>
      <c r="O1979" s="607"/>
    </row>
    <row r="1980">
      <c r="C1980" s="632"/>
      <c r="D1980" s="632"/>
      <c r="O1980" s="607"/>
    </row>
    <row r="1981">
      <c r="C1981" s="632"/>
      <c r="D1981" s="632"/>
      <c r="O1981" s="607"/>
    </row>
    <row r="1982">
      <c r="C1982" s="632"/>
      <c r="D1982" s="632"/>
      <c r="O1982" s="607"/>
    </row>
    <row r="1983">
      <c r="C1983" s="632"/>
      <c r="D1983" s="632"/>
      <c r="O1983" s="607"/>
    </row>
    <row r="1984">
      <c r="C1984" s="632"/>
      <c r="D1984" s="632"/>
      <c r="O1984" s="607"/>
    </row>
    <row r="1985">
      <c r="C1985" s="632"/>
      <c r="D1985" s="632"/>
      <c r="O1985" s="607"/>
    </row>
    <row r="1986">
      <c r="C1986" s="632"/>
      <c r="D1986" s="632"/>
      <c r="O1986" s="607"/>
    </row>
    <row r="1987">
      <c r="C1987" s="632"/>
      <c r="D1987" s="632"/>
      <c r="O1987" s="607"/>
    </row>
    <row r="1988">
      <c r="C1988" s="632"/>
      <c r="D1988" s="632"/>
      <c r="O1988" s="607"/>
    </row>
    <row r="1989">
      <c r="C1989" s="632"/>
      <c r="D1989" s="632"/>
      <c r="O1989" s="607"/>
    </row>
    <row r="1990">
      <c r="C1990" s="632"/>
      <c r="D1990" s="632"/>
      <c r="O1990" s="607"/>
    </row>
    <row r="1991">
      <c r="C1991" s="632"/>
      <c r="D1991" s="632"/>
      <c r="O1991" s="607"/>
    </row>
    <row r="1992">
      <c r="C1992" s="632"/>
      <c r="D1992" s="632"/>
      <c r="O1992" s="607"/>
    </row>
    <row r="1993">
      <c r="C1993" s="632"/>
      <c r="D1993" s="632"/>
      <c r="O1993" s="607"/>
    </row>
    <row r="1994">
      <c r="C1994" s="632"/>
      <c r="D1994" s="632"/>
      <c r="O1994" s="607"/>
    </row>
    <row r="1995">
      <c r="C1995" s="632"/>
      <c r="D1995" s="632"/>
      <c r="O1995" s="607"/>
    </row>
    <row r="1996">
      <c r="C1996" s="632"/>
      <c r="D1996" s="632"/>
      <c r="O1996" s="607"/>
    </row>
    <row r="1997">
      <c r="C1997" s="632"/>
      <c r="D1997" s="632"/>
      <c r="O1997" s="607"/>
    </row>
    <row r="1998">
      <c r="C1998" s="632"/>
      <c r="D1998" s="632"/>
      <c r="O1998" s="607"/>
    </row>
    <row r="1999">
      <c r="C1999" s="632"/>
      <c r="D1999" s="632"/>
      <c r="O1999" s="607"/>
    </row>
    <row r="2000">
      <c r="C2000" s="632"/>
      <c r="D2000" s="632"/>
      <c r="O2000" s="607"/>
    </row>
    <row r="2001">
      <c r="C2001" s="632"/>
      <c r="D2001" s="632"/>
      <c r="O2001" s="607"/>
    </row>
    <row r="2002">
      <c r="C2002" s="632"/>
      <c r="D2002" s="632"/>
      <c r="O2002" s="607"/>
    </row>
    <row r="2003">
      <c r="C2003" s="632"/>
      <c r="D2003" s="632"/>
      <c r="O2003" s="607"/>
    </row>
    <row r="2004">
      <c r="C2004" s="632"/>
      <c r="D2004" s="632"/>
      <c r="O2004" s="607"/>
    </row>
    <row r="2005">
      <c r="C2005" s="632"/>
      <c r="D2005" s="632"/>
      <c r="O2005" s="607"/>
    </row>
    <row r="2006">
      <c r="C2006" s="632"/>
      <c r="D2006" s="632"/>
      <c r="O2006" s="607"/>
    </row>
    <row r="2007">
      <c r="C2007" s="632"/>
      <c r="D2007" s="632"/>
      <c r="O2007" s="607"/>
    </row>
    <row r="2008">
      <c r="C2008" s="632"/>
      <c r="D2008" s="632"/>
      <c r="O2008" s="607"/>
    </row>
    <row r="2009">
      <c r="C2009" s="632"/>
      <c r="D2009" s="632"/>
      <c r="O2009" s="607"/>
    </row>
    <row r="2010">
      <c r="C2010" s="632"/>
      <c r="D2010" s="632"/>
      <c r="O2010" s="607"/>
    </row>
    <row r="2011">
      <c r="C2011" s="632"/>
      <c r="D2011" s="632"/>
      <c r="O2011" s="607"/>
    </row>
    <row r="2012">
      <c r="C2012" s="632"/>
      <c r="D2012" s="632"/>
      <c r="O2012" s="607"/>
    </row>
    <row r="2013">
      <c r="C2013" s="632"/>
      <c r="D2013" s="632"/>
      <c r="O2013" s="607"/>
    </row>
    <row r="2014">
      <c r="C2014" s="632"/>
      <c r="D2014" s="632"/>
      <c r="O2014" s="607"/>
    </row>
    <row r="2015">
      <c r="C2015" s="632"/>
      <c r="D2015" s="632"/>
      <c r="O2015" s="607"/>
    </row>
    <row r="2016">
      <c r="C2016" s="632"/>
      <c r="D2016" s="632"/>
      <c r="O2016" s="607"/>
    </row>
    <row r="2017">
      <c r="C2017" s="632"/>
      <c r="D2017" s="632"/>
      <c r="O2017" s="607"/>
    </row>
    <row r="2018">
      <c r="C2018" s="632"/>
      <c r="D2018" s="632"/>
      <c r="O2018" s="607"/>
    </row>
    <row r="2019">
      <c r="C2019" s="632"/>
      <c r="D2019" s="632"/>
      <c r="O2019" s="607"/>
    </row>
    <row r="2020">
      <c r="C2020" s="632"/>
      <c r="D2020" s="632"/>
      <c r="O2020" s="607"/>
    </row>
    <row r="2021">
      <c r="C2021" s="632"/>
      <c r="D2021" s="632"/>
      <c r="O2021" s="607"/>
    </row>
    <row r="2022">
      <c r="C2022" s="632"/>
      <c r="D2022" s="632"/>
      <c r="O2022" s="607"/>
    </row>
    <row r="2023">
      <c r="C2023" s="632"/>
      <c r="D2023" s="632"/>
      <c r="O2023" s="607"/>
    </row>
    <row r="2024">
      <c r="C2024" s="632"/>
      <c r="D2024" s="632"/>
      <c r="O2024" s="607"/>
    </row>
    <row r="2025">
      <c r="C2025" s="632"/>
      <c r="D2025" s="632"/>
      <c r="O2025" s="607"/>
    </row>
    <row r="2026">
      <c r="C2026" s="632"/>
      <c r="D2026" s="632"/>
      <c r="O2026" s="607"/>
    </row>
    <row r="2027">
      <c r="C2027" s="632"/>
      <c r="D2027" s="632"/>
      <c r="O2027" s="607"/>
    </row>
    <row r="2028">
      <c r="C2028" s="632"/>
      <c r="D2028" s="632"/>
      <c r="O2028" s="607"/>
    </row>
    <row r="2029">
      <c r="C2029" s="632"/>
      <c r="D2029" s="632"/>
      <c r="O2029" s="607"/>
    </row>
    <row r="2030">
      <c r="C2030" s="632"/>
      <c r="D2030" s="632"/>
      <c r="O2030" s="607"/>
    </row>
    <row r="2031">
      <c r="C2031" s="632"/>
      <c r="D2031" s="632"/>
      <c r="O2031" s="607"/>
    </row>
    <row r="2032">
      <c r="C2032" s="632"/>
      <c r="D2032" s="632"/>
      <c r="O2032" s="607"/>
    </row>
    <row r="2033">
      <c r="C2033" s="632"/>
      <c r="D2033" s="632"/>
      <c r="O2033" s="607"/>
    </row>
    <row r="2034">
      <c r="C2034" s="632"/>
      <c r="D2034" s="632"/>
      <c r="O2034" s="607"/>
    </row>
    <row r="2035">
      <c r="C2035" s="632"/>
      <c r="D2035" s="632"/>
      <c r="O2035" s="607"/>
    </row>
    <row r="2036">
      <c r="C2036" s="632"/>
      <c r="D2036" s="632"/>
      <c r="O2036" s="607"/>
    </row>
    <row r="2037">
      <c r="C2037" s="632"/>
      <c r="D2037" s="632"/>
      <c r="O2037" s="607"/>
    </row>
    <row r="2038">
      <c r="C2038" s="632"/>
      <c r="D2038" s="632"/>
      <c r="O2038" s="607"/>
    </row>
    <row r="2039">
      <c r="C2039" s="632"/>
      <c r="D2039" s="632"/>
      <c r="O2039" s="607"/>
    </row>
    <row r="2040">
      <c r="C2040" s="632"/>
      <c r="D2040" s="632"/>
      <c r="O2040" s="607"/>
    </row>
    <row r="2041">
      <c r="C2041" s="632"/>
      <c r="D2041" s="632"/>
      <c r="O2041" s="607"/>
    </row>
    <row r="2042">
      <c r="C2042" s="632"/>
      <c r="D2042" s="632"/>
      <c r="O2042" s="607"/>
    </row>
    <row r="2043">
      <c r="C2043" s="632"/>
      <c r="D2043" s="632"/>
      <c r="O2043" s="607"/>
    </row>
    <row r="2044">
      <c r="C2044" s="632"/>
      <c r="D2044" s="632"/>
      <c r="O2044" s="607"/>
    </row>
    <row r="2045">
      <c r="C2045" s="632"/>
      <c r="D2045" s="632"/>
      <c r="O2045" s="607"/>
    </row>
    <row r="2046">
      <c r="C2046" s="632"/>
      <c r="D2046" s="632"/>
      <c r="O2046" s="607"/>
    </row>
    <row r="2047">
      <c r="C2047" s="632"/>
      <c r="D2047" s="632"/>
      <c r="O2047" s="607"/>
    </row>
    <row r="2048">
      <c r="C2048" s="632"/>
      <c r="D2048" s="632"/>
      <c r="O2048" s="607"/>
    </row>
    <row r="2049">
      <c r="C2049" s="632"/>
      <c r="D2049" s="632"/>
      <c r="O2049" s="607"/>
    </row>
    <row r="2050">
      <c r="C2050" s="632"/>
      <c r="D2050" s="632"/>
      <c r="O2050" s="607"/>
    </row>
    <row r="2051">
      <c r="C2051" s="632"/>
      <c r="D2051" s="632"/>
      <c r="O2051" s="607"/>
    </row>
    <row r="2052">
      <c r="C2052" s="632"/>
      <c r="D2052" s="632"/>
      <c r="O2052" s="607"/>
    </row>
    <row r="2053">
      <c r="C2053" s="632"/>
      <c r="D2053" s="632"/>
      <c r="O2053" s="607"/>
    </row>
    <row r="2054">
      <c r="C2054" s="632"/>
      <c r="D2054" s="632"/>
      <c r="O2054" s="607"/>
    </row>
    <row r="2055">
      <c r="C2055" s="632"/>
      <c r="D2055" s="632"/>
      <c r="O2055" s="607"/>
    </row>
    <row r="2056">
      <c r="C2056" s="632"/>
      <c r="D2056" s="632"/>
      <c r="O2056" s="607"/>
    </row>
    <row r="2057">
      <c r="C2057" s="632"/>
      <c r="D2057" s="632"/>
      <c r="O2057" s="607"/>
    </row>
    <row r="2058">
      <c r="C2058" s="632"/>
      <c r="D2058" s="632"/>
      <c r="O2058" s="607"/>
    </row>
    <row r="2059">
      <c r="C2059" s="632"/>
      <c r="D2059" s="632"/>
      <c r="O2059" s="607"/>
    </row>
    <row r="2060">
      <c r="C2060" s="632"/>
      <c r="D2060" s="632"/>
      <c r="O2060" s="607"/>
    </row>
    <row r="2061">
      <c r="C2061" s="632"/>
      <c r="D2061" s="632"/>
      <c r="O2061" s="607"/>
    </row>
    <row r="2062">
      <c r="C2062" s="632"/>
      <c r="D2062" s="632"/>
      <c r="O2062" s="607"/>
    </row>
    <row r="2063">
      <c r="C2063" s="632"/>
      <c r="D2063" s="632"/>
      <c r="O2063" s="607"/>
    </row>
    <row r="2064">
      <c r="C2064" s="632"/>
      <c r="D2064" s="632"/>
      <c r="O2064" s="607"/>
    </row>
    <row r="2065">
      <c r="C2065" s="632"/>
      <c r="D2065" s="632"/>
      <c r="O2065" s="607"/>
    </row>
    <row r="2066">
      <c r="C2066" s="632"/>
      <c r="D2066" s="632"/>
      <c r="O2066" s="607"/>
    </row>
    <row r="2067">
      <c r="C2067" s="632"/>
      <c r="D2067" s="632"/>
      <c r="O2067" s="607"/>
    </row>
    <row r="2068">
      <c r="C2068" s="632"/>
      <c r="D2068" s="632"/>
      <c r="O2068" s="607"/>
    </row>
    <row r="2069">
      <c r="C2069" s="632"/>
      <c r="D2069" s="632"/>
      <c r="O2069" s="607"/>
    </row>
    <row r="2070">
      <c r="C2070" s="632"/>
      <c r="D2070" s="632"/>
      <c r="O2070" s="607"/>
    </row>
    <row r="2071">
      <c r="C2071" s="632"/>
      <c r="D2071" s="632"/>
      <c r="O2071" s="607"/>
    </row>
    <row r="2072">
      <c r="C2072" s="632"/>
      <c r="D2072" s="632"/>
      <c r="O2072" s="607"/>
    </row>
    <row r="2073">
      <c r="C2073" s="632"/>
      <c r="D2073" s="632"/>
      <c r="O2073" s="607"/>
    </row>
    <row r="2074">
      <c r="C2074" s="632"/>
      <c r="D2074" s="632"/>
      <c r="O2074" s="607"/>
    </row>
    <row r="2075">
      <c r="C2075" s="632"/>
      <c r="D2075" s="632"/>
      <c r="O2075" s="607"/>
    </row>
    <row r="2076">
      <c r="C2076" s="632"/>
      <c r="D2076" s="632"/>
      <c r="O2076" s="607"/>
    </row>
    <row r="2077">
      <c r="C2077" s="632"/>
      <c r="D2077" s="632"/>
      <c r="O2077" s="607"/>
    </row>
    <row r="2078">
      <c r="C2078" s="632"/>
      <c r="D2078" s="632"/>
      <c r="O2078" s="607"/>
    </row>
    <row r="2079">
      <c r="C2079" s="632"/>
      <c r="D2079" s="632"/>
      <c r="O2079" s="607"/>
    </row>
    <row r="2080">
      <c r="C2080" s="632"/>
      <c r="D2080" s="632"/>
      <c r="O2080" s="607"/>
    </row>
    <row r="2081">
      <c r="C2081" s="632"/>
      <c r="D2081" s="632"/>
      <c r="O2081" s="607"/>
    </row>
    <row r="2082">
      <c r="C2082" s="632"/>
      <c r="D2082" s="632"/>
      <c r="O2082" s="607"/>
    </row>
    <row r="2083">
      <c r="C2083" s="632"/>
      <c r="D2083" s="632"/>
      <c r="O2083" s="607"/>
    </row>
    <row r="2084">
      <c r="C2084" s="632"/>
      <c r="D2084" s="632"/>
      <c r="O2084" s="607"/>
    </row>
    <row r="2085">
      <c r="C2085" s="632"/>
      <c r="D2085" s="632"/>
      <c r="O2085" s="607"/>
    </row>
    <row r="2086">
      <c r="C2086" s="632"/>
      <c r="D2086" s="632"/>
      <c r="O2086" s="607"/>
    </row>
    <row r="2087">
      <c r="C2087" s="632"/>
      <c r="D2087" s="632"/>
      <c r="O2087" s="607"/>
    </row>
    <row r="2088">
      <c r="C2088" s="632"/>
      <c r="D2088" s="632"/>
      <c r="O2088" s="607"/>
    </row>
    <row r="2089">
      <c r="C2089" s="632"/>
      <c r="D2089" s="632"/>
      <c r="O2089" s="607"/>
    </row>
    <row r="2090">
      <c r="C2090" s="632"/>
      <c r="D2090" s="632"/>
      <c r="O2090" s="607"/>
    </row>
    <row r="2091">
      <c r="C2091" s="632"/>
      <c r="D2091" s="632"/>
      <c r="O2091" s="607"/>
    </row>
    <row r="2092">
      <c r="C2092" s="632"/>
      <c r="D2092" s="632"/>
      <c r="O2092" s="607"/>
    </row>
    <row r="2093">
      <c r="C2093" s="632"/>
      <c r="D2093" s="632"/>
      <c r="O2093" s="607"/>
    </row>
    <row r="2094">
      <c r="C2094" s="632"/>
      <c r="D2094" s="632"/>
      <c r="O2094" s="607"/>
    </row>
    <row r="2095">
      <c r="C2095" s="632"/>
      <c r="D2095" s="632"/>
      <c r="O2095" s="607"/>
    </row>
    <row r="2096">
      <c r="C2096" s="632"/>
      <c r="D2096" s="632"/>
      <c r="O2096" s="607"/>
    </row>
    <row r="2097">
      <c r="C2097" s="632"/>
      <c r="D2097" s="632"/>
      <c r="O2097" s="607"/>
    </row>
    <row r="2098">
      <c r="C2098" s="632"/>
      <c r="D2098" s="632"/>
      <c r="O2098" s="607"/>
    </row>
    <row r="2099">
      <c r="C2099" s="632"/>
      <c r="D2099" s="632"/>
      <c r="O2099" s="607"/>
    </row>
    <row r="2100">
      <c r="C2100" s="632"/>
      <c r="D2100" s="632"/>
      <c r="O2100" s="607"/>
    </row>
    <row r="2101">
      <c r="C2101" s="632"/>
      <c r="D2101" s="632"/>
      <c r="O2101" s="607"/>
    </row>
    <row r="2102">
      <c r="C2102" s="632"/>
      <c r="D2102" s="632"/>
      <c r="O2102" s="607"/>
    </row>
    <row r="2103">
      <c r="C2103" s="632"/>
      <c r="D2103" s="632"/>
      <c r="O2103" s="607"/>
    </row>
    <row r="2104">
      <c r="C2104" s="632"/>
      <c r="D2104" s="632"/>
      <c r="O2104" s="607"/>
    </row>
    <row r="2105">
      <c r="C2105" s="632"/>
      <c r="D2105" s="632"/>
      <c r="O2105" s="607"/>
    </row>
    <row r="2106">
      <c r="C2106" s="632"/>
      <c r="D2106" s="632"/>
      <c r="O2106" s="607"/>
    </row>
    <row r="2107">
      <c r="C2107" s="632"/>
      <c r="D2107" s="632"/>
      <c r="O2107" s="607"/>
    </row>
    <row r="2108">
      <c r="C2108" s="632"/>
      <c r="D2108" s="632"/>
      <c r="O2108" s="607"/>
    </row>
    <row r="2109">
      <c r="C2109" s="632"/>
      <c r="D2109" s="632"/>
      <c r="O2109" s="607"/>
    </row>
    <row r="2110">
      <c r="C2110" s="632"/>
      <c r="D2110" s="632"/>
      <c r="O2110" s="607"/>
    </row>
    <row r="2111">
      <c r="C2111" s="632"/>
      <c r="D2111" s="632"/>
      <c r="O2111" s="607"/>
    </row>
    <row r="2112">
      <c r="C2112" s="632"/>
      <c r="D2112" s="632"/>
      <c r="O2112" s="607"/>
    </row>
    <row r="2113">
      <c r="C2113" s="632"/>
      <c r="D2113" s="632"/>
      <c r="O2113" s="607"/>
    </row>
    <row r="2114">
      <c r="C2114" s="632"/>
      <c r="D2114" s="632"/>
      <c r="O2114" s="607"/>
    </row>
    <row r="2115">
      <c r="C2115" s="632"/>
      <c r="D2115" s="632"/>
      <c r="O2115" s="607"/>
    </row>
    <row r="2116">
      <c r="C2116" s="632"/>
      <c r="D2116" s="632"/>
      <c r="O2116" s="607"/>
    </row>
    <row r="2117">
      <c r="C2117" s="632"/>
      <c r="D2117" s="632"/>
      <c r="O2117" s="607"/>
    </row>
    <row r="2118">
      <c r="C2118" s="632"/>
      <c r="D2118" s="632"/>
      <c r="O2118" s="607"/>
    </row>
    <row r="2119">
      <c r="C2119" s="632"/>
      <c r="D2119" s="632"/>
      <c r="O2119" s="607"/>
    </row>
    <row r="2120">
      <c r="C2120" s="632"/>
      <c r="D2120" s="632"/>
      <c r="O2120" s="607"/>
    </row>
    <row r="2121">
      <c r="C2121" s="632"/>
      <c r="D2121" s="632"/>
      <c r="O2121" s="607"/>
    </row>
    <row r="2122">
      <c r="C2122" s="632"/>
      <c r="D2122" s="632"/>
      <c r="O2122" s="607"/>
    </row>
    <row r="2123">
      <c r="C2123" s="632"/>
      <c r="D2123" s="632"/>
      <c r="O2123" s="607"/>
    </row>
    <row r="2124">
      <c r="C2124" s="632"/>
      <c r="D2124" s="632"/>
      <c r="O2124" s="607"/>
    </row>
    <row r="2125">
      <c r="C2125" s="632"/>
      <c r="D2125" s="632"/>
      <c r="O2125" s="607"/>
    </row>
    <row r="2126">
      <c r="C2126" s="632"/>
      <c r="D2126" s="632"/>
      <c r="O2126" s="607"/>
    </row>
    <row r="2127">
      <c r="C2127" s="632"/>
      <c r="D2127" s="632"/>
      <c r="O2127" s="607"/>
    </row>
    <row r="2128">
      <c r="C2128" s="632"/>
      <c r="D2128" s="632"/>
      <c r="O2128" s="607"/>
    </row>
    <row r="2129">
      <c r="C2129" s="632"/>
      <c r="D2129" s="632"/>
      <c r="O2129" s="607"/>
    </row>
    <row r="2130">
      <c r="C2130" s="632"/>
      <c r="D2130" s="632"/>
      <c r="O2130" s="607"/>
    </row>
    <row r="2131">
      <c r="C2131" s="632"/>
      <c r="D2131" s="632"/>
      <c r="O2131" s="607"/>
    </row>
    <row r="2132">
      <c r="C2132" s="632"/>
      <c r="D2132" s="632"/>
      <c r="O2132" s="607"/>
    </row>
    <row r="2133">
      <c r="C2133" s="632"/>
      <c r="D2133" s="632"/>
      <c r="O2133" s="607"/>
    </row>
    <row r="2134">
      <c r="C2134" s="632"/>
      <c r="D2134" s="632"/>
      <c r="O2134" s="607"/>
    </row>
    <row r="2135">
      <c r="C2135" s="632"/>
      <c r="D2135" s="632"/>
      <c r="O2135" s="607"/>
    </row>
    <row r="2136">
      <c r="C2136" s="632"/>
      <c r="D2136" s="632"/>
      <c r="O2136" s="607"/>
    </row>
    <row r="2137">
      <c r="C2137" s="632"/>
      <c r="D2137" s="632"/>
      <c r="O2137" s="607"/>
    </row>
    <row r="2138">
      <c r="C2138" s="632"/>
      <c r="D2138" s="632"/>
      <c r="O2138" s="607"/>
    </row>
    <row r="2139">
      <c r="C2139" s="632"/>
      <c r="D2139" s="632"/>
      <c r="O2139" s="607"/>
    </row>
    <row r="2140">
      <c r="C2140" s="632"/>
      <c r="D2140" s="632"/>
      <c r="O2140" s="607"/>
    </row>
    <row r="2141">
      <c r="C2141" s="632"/>
      <c r="D2141" s="632"/>
      <c r="O2141" s="607"/>
    </row>
    <row r="2142">
      <c r="C2142" s="632"/>
      <c r="D2142" s="632"/>
      <c r="O2142" s="607"/>
    </row>
    <row r="2143">
      <c r="C2143" s="632"/>
      <c r="D2143" s="632"/>
      <c r="O2143" s="607"/>
    </row>
    <row r="2144">
      <c r="C2144" s="632"/>
      <c r="D2144" s="632"/>
      <c r="O2144" s="607"/>
    </row>
    <row r="2145">
      <c r="C2145" s="632"/>
      <c r="D2145" s="632"/>
      <c r="O2145" s="607"/>
    </row>
    <row r="2146">
      <c r="C2146" s="632"/>
      <c r="D2146" s="632"/>
      <c r="O2146" s="607"/>
    </row>
    <row r="2147">
      <c r="C2147" s="632"/>
      <c r="D2147" s="632"/>
      <c r="O2147" s="607"/>
    </row>
    <row r="2148">
      <c r="C2148" s="632"/>
      <c r="D2148" s="632"/>
      <c r="O2148" s="607"/>
    </row>
    <row r="2149">
      <c r="C2149" s="632"/>
      <c r="D2149" s="632"/>
      <c r="O2149" s="607"/>
    </row>
    <row r="2150">
      <c r="C2150" s="632"/>
      <c r="D2150" s="632"/>
      <c r="O2150" s="607"/>
    </row>
    <row r="2151">
      <c r="C2151" s="632"/>
      <c r="D2151" s="632"/>
      <c r="O2151" s="607"/>
    </row>
    <row r="2152">
      <c r="C2152" s="632"/>
      <c r="D2152" s="632"/>
      <c r="O2152" s="607"/>
    </row>
    <row r="2153">
      <c r="C2153" s="632"/>
      <c r="D2153" s="632"/>
      <c r="O2153" s="607"/>
    </row>
    <row r="2154">
      <c r="C2154" s="632"/>
      <c r="D2154" s="632"/>
      <c r="O2154" s="607"/>
    </row>
    <row r="2155">
      <c r="C2155" s="632"/>
      <c r="D2155" s="632"/>
      <c r="O2155" s="607"/>
    </row>
    <row r="2156">
      <c r="C2156" s="632"/>
      <c r="D2156" s="632"/>
      <c r="O2156" s="607"/>
    </row>
    <row r="2157">
      <c r="C2157" s="632"/>
      <c r="D2157" s="632"/>
      <c r="O2157" s="607"/>
    </row>
    <row r="2158">
      <c r="C2158" s="632"/>
      <c r="D2158" s="632"/>
      <c r="O2158" s="607"/>
    </row>
    <row r="2159">
      <c r="C2159" s="632"/>
      <c r="D2159" s="632"/>
      <c r="O2159" s="607"/>
    </row>
    <row r="2160">
      <c r="C2160" s="632"/>
      <c r="D2160" s="632"/>
      <c r="O2160" s="607"/>
    </row>
    <row r="2161">
      <c r="C2161" s="632"/>
      <c r="D2161" s="632"/>
      <c r="O2161" s="607"/>
    </row>
    <row r="2162">
      <c r="C2162" s="632"/>
      <c r="D2162" s="632"/>
      <c r="O2162" s="607"/>
    </row>
    <row r="2163">
      <c r="C2163" s="632"/>
      <c r="D2163" s="632"/>
      <c r="O2163" s="607"/>
    </row>
    <row r="2164">
      <c r="C2164" s="632"/>
      <c r="D2164" s="632"/>
      <c r="O2164" s="607"/>
    </row>
    <row r="2165">
      <c r="C2165" s="632"/>
      <c r="D2165" s="632"/>
      <c r="O2165" s="607"/>
    </row>
    <row r="2166">
      <c r="C2166" s="632"/>
      <c r="D2166" s="632"/>
      <c r="O2166" s="607"/>
    </row>
    <row r="2167">
      <c r="C2167" s="632"/>
      <c r="D2167" s="632"/>
      <c r="O2167" s="607"/>
    </row>
    <row r="2168">
      <c r="C2168" s="632"/>
      <c r="D2168" s="632"/>
      <c r="O2168" s="607"/>
    </row>
    <row r="2169">
      <c r="C2169" s="632"/>
      <c r="D2169" s="632"/>
      <c r="O2169" s="607"/>
    </row>
    <row r="2170">
      <c r="C2170" s="632"/>
      <c r="D2170" s="632"/>
      <c r="O2170" s="607"/>
    </row>
    <row r="2171">
      <c r="C2171" s="632"/>
      <c r="D2171" s="632"/>
      <c r="O2171" s="607"/>
    </row>
    <row r="2172">
      <c r="C2172" s="632"/>
      <c r="D2172" s="632"/>
      <c r="O2172" s="607"/>
    </row>
    <row r="2173">
      <c r="C2173" s="632"/>
      <c r="D2173" s="632"/>
      <c r="O2173" s="607"/>
    </row>
    <row r="2174">
      <c r="C2174" s="632"/>
      <c r="D2174" s="632"/>
      <c r="O2174" s="607"/>
    </row>
    <row r="2175">
      <c r="C2175" s="632"/>
      <c r="D2175" s="632"/>
      <c r="O2175" s="607"/>
    </row>
    <row r="2176">
      <c r="C2176" s="632"/>
      <c r="D2176" s="632"/>
      <c r="O2176" s="607"/>
    </row>
    <row r="2177">
      <c r="C2177" s="632"/>
      <c r="D2177" s="632"/>
      <c r="O2177" s="607"/>
    </row>
    <row r="2178">
      <c r="C2178" s="632"/>
      <c r="D2178" s="632"/>
      <c r="O2178" s="607"/>
    </row>
    <row r="2179">
      <c r="C2179" s="632"/>
      <c r="D2179" s="632"/>
      <c r="O2179" s="607"/>
    </row>
    <row r="2180">
      <c r="C2180" s="632"/>
      <c r="D2180" s="632"/>
      <c r="O2180" s="607"/>
    </row>
    <row r="2181">
      <c r="C2181" s="632"/>
      <c r="D2181" s="632"/>
      <c r="O2181" s="607"/>
    </row>
    <row r="2182">
      <c r="C2182" s="632"/>
      <c r="D2182" s="632"/>
      <c r="O2182" s="607"/>
    </row>
    <row r="2183">
      <c r="C2183" s="632"/>
      <c r="D2183" s="632"/>
      <c r="O2183" s="607"/>
    </row>
    <row r="2184">
      <c r="C2184" s="632"/>
      <c r="D2184" s="632"/>
      <c r="O2184" s="607"/>
    </row>
    <row r="2185">
      <c r="C2185" s="632"/>
      <c r="D2185" s="632"/>
      <c r="O2185" s="607"/>
    </row>
    <row r="2186">
      <c r="C2186" s="632"/>
      <c r="D2186" s="632"/>
      <c r="O2186" s="607"/>
    </row>
    <row r="2187">
      <c r="C2187" s="632"/>
      <c r="D2187" s="632"/>
      <c r="O2187" s="607"/>
    </row>
    <row r="2188">
      <c r="C2188" s="632"/>
      <c r="D2188" s="632"/>
      <c r="O2188" s="607"/>
    </row>
    <row r="2189">
      <c r="C2189" s="632"/>
      <c r="D2189" s="632"/>
      <c r="O2189" s="607"/>
    </row>
    <row r="2190">
      <c r="C2190" s="632"/>
      <c r="D2190" s="632"/>
      <c r="O2190" s="607"/>
    </row>
    <row r="2191">
      <c r="C2191" s="632"/>
      <c r="D2191" s="632"/>
      <c r="O2191" s="607"/>
    </row>
    <row r="2192">
      <c r="C2192" s="632"/>
      <c r="D2192" s="632"/>
      <c r="O2192" s="607"/>
    </row>
    <row r="2193">
      <c r="C2193" s="632"/>
      <c r="D2193" s="632"/>
      <c r="O2193" s="607"/>
    </row>
    <row r="2194">
      <c r="C2194" s="632"/>
      <c r="D2194" s="632"/>
      <c r="O2194" s="607"/>
    </row>
    <row r="2195">
      <c r="C2195" s="632"/>
      <c r="D2195" s="632"/>
      <c r="O2195" s="607"/>
    </row>
    <row r="2196">
      <c r="C2196" s="632"/>
      <c r="D2196" s="632"/>
      <c r="O2196" s="607"/>
    </row>
    <row r="2197">
      <c r="C2197" s="632"/>
      <c r="D2197" s="632"/>
      <c r="O2197" s="607"/>
    </row>
    <row r="2198">
      <c r="C2198" s="632"/>
      <c r="D2198" s="632"/>
      <c r="O2198" s="607"/>
    </row>
    <row r="2199">
      <c r="C2199" s="632"/>
      <c r="D2199" s="632"/>
      <c r="O2199" s="607"/>
    </row>
    <row r="2200">
      <c r="C2200" s="632"/>
      <c r="D2200" s="632"/>
      <c r="O2200" s="607"/>
    </row>
    <row r="2201">
      <c r="C2201" s="632"/>
      <c r="D2201" s="632"/>
      <c r="O2201" s="607"/>
    </row>
    <row r="2202">
      <c r="C2202" s="632"/>
      <c r="D2202" s="632"/>
      <c r="O2202" s="607"/>
    </row>
    <row r="2203">
      <c r="C2203" s="632"/>
      <c r="D2203" s="632"/>
      <c r="O2203" s="607"/>
    </row>
    <row r="2204">
      <c r="C2204" s="632"/>
      <c r="D2204" s="632"/>
      <c r="O2204" s="607"/>
    </row>
    <row r="2205">
      <c r="C2205" s="632"/>
      <c r="D2205" s="632"/>
      <c r="O2205" s="607"/>
    </row>
    <row r="2206">
      <c r="C2206" s="632"/>
      <c r="D2206" s="632"/>
      <c r="O2206" s="607"/>
    </row>
    <row r="2207">
      <c r="C2207" s="632"/>
      <c r="D2207" s="632"/>
      <c r="O2207" s="607"/>
    </row>
    <row r="2208">
      <c r="C2208" s="632"/>
      <c r="D2208" s="632"/>
      <c r="O2208" s="607"/>
    </row>
    <row r="2209">
      <c r="C2209" s="632"/>
      <c r="D2209" s="632"/>
      <c r="O2209" s="607"/>
    </row>
    <row r="2210">
      <c r="C2210" s="632"/>
      <c r="D2210" s="632"/>
      <c r="O2210" s="607"/>
    </row>
    <row r="2211">
      <c r="C2211" s="632"/>
      <c r="D2211" s="632"/>
      <c r="O2211" s="607"/>
    </row>
    <row r="2212">
      <c r="C2212" s="632"/>
      <c r="D2212" s="632"/>
      <c r="O2212" s="607"/>
    </row>
    <row r="2213">
      <c r="C2213" s="632"/>
      <c r="D2213" s="632"/>
      <c r="O2213" s="607"/>
    </row>
    <row r="2214">
      <c r="C2214" s="632"/>
      <c r="D2214" s="632"/>
      <c r="O2214" s="607"/>
    </row>
    <row r="2215">
      <c r="C2215" s="632"/>
      <c r="D2215" s="632"/>
      <c r="O2215" s="607"/>
    </row>
    <row r="2216">
      <c r="C2216" s="632"/>
      <c r="D2216" s="632"/>
      <c r="O2216" s="607"/>
    </row>
    <row r="2217">
      <c r="C2217" s="632"/>
      <c r="D2217" s="632"/>
      <c r="O2217" s="607"/>
    </row>
    <row r="2218">
      <c r="C2218" s="632"/>
      <c r="D2218" s="632"/>
      <c r="O2218" s="607"/>
    </row>
    <row r="2219">
      <c r="C2219" s="632"/>
      <c r="D2219" s="632"/>
      <c r="O2219" s="607"/>
    </row>
    <row r="2220">
      <c r="C2220" s="632"/>
      <c r="D2220" s="632"/>
      <c r="O2220" s="607"/>
    </row>
    <row r="2221">
      <c r="C2221" s="632"/>
      <c r="D2221" s="632"/>
      <c r="O2221" s="607"/>
    </row>
    <row r="2222">
      <c r="C2222" s="632"/>
      <c r="D2222" s="632"/>
      <c r="O2222" s="607"/>
    </row>
    <row r="2223">
      <c r="C2223" s="632"/>
      <c r="D2223" s="632"/>
      <c r="O2223" s="607"/>
    </row>
    <row r="2224">
      <c r="C2224" s="632"/>
      <c r="D2224" s="632"/>
      <c r="O2224" s="607"/>
    </row>
    <row r="2225">
      <c r="C2225" s="632"/>
      <c r="D2225" s="632"/>
      <c r="O2225" s="607"/>
    </row>
    <row r="2226">
      <c r="C2226" s="632"/>
      <c r="D2226" s="632"/>
      <c r="O2226" s="607"/>
    </row>
    <row r="2227">
      <c r="C2227" s="632"/>
      <c r="D2227" s="632"/>
      <c r="O2227" s="607"/>
    </row>
    <row r="2228">
      <c r="C2228" s="632"/>
      <c r="D2228" s="632"/>
      <c r="O2228" s="607"/>
    </row>
    <row r="2229">
      <c r="C2229" s="632"/>
      <c r="D2229" s="632"/>
      <c r="O2229" s="607"/>
    </row>
    <row r="2230">
      <c r="C2230" s="632"/>
      <c r="D2230" s="632"/>
      <c r="O2230" s="607"/>
    </row>
    <row r="2231">
      <c r="C2231" s="632"/>
      <c r="D2231" s="632"/>
      <c r="O2231" s="607"/>
    </row>
    <row r="2232">
      <c r="C2232" s="632"/>
      <c r="D2232" s="632"/>
      <c r="O2232" s="607"/>
    </row>
    <row r="2233">
      <c r="C2233" s="632"/>
      <c r="D2233" s="632"/>
      <c r="O2233" s="607"/>
    </row>
    <row r="2234">
      <c r="C2234" s="632"/>
      <c r="D2234" s="632"/>
      <c r="O2234" s="607"/>
    </row>
    <row r="2235">
      <c r="C2235" s="632"/>
      <c r="D2235" s="632"/>
      <c r="O2235" s="607"/>
    </row>
    <row r="2236">
      <c r="C2236" s="632"/>
      <c r="D2236" s="632"/>
      <c r="O2236" s="607"/>
    </row>
    <row r="2237">
      <c r="C2237" s="632"/>
      <c r="D2237" s="632"/>
      <c r="O2237" s="607"/>
    </row>
    <row r="2238">
      <c r="C2238" s="632"/>
      <c r="D2238" s="632"/>
      <c r="O2238" s="607"/>
    </row>
    <row r="2239">
      <c r="C2239" s="632"/>
      <c r="D2239" s="632"/>
      <c r="O2239" s="607"/>
    </row>
    <row r="2240">
      <c r="C2240" s="632"/>
      <c r="D2240" s="632"/>
      <c r="O2240" s="607"/>
    </row>
    <row r="2241">
      <c r="C2241" s="632"/>
      <c r="D2241" s="632"/>
      <c r="O2241" s="607"/>
    </row>
    <row r="2242">
      <c r="C2242" s="632"/>
      <c r="D2242" s="632"/>
      <c r="O2242" s="607"/>
    </row>
    <row r="2243">
      <c r="C2243" s="632"/>
      <c r="D2243" s="632"/>
      <c r="O2243" s="607"/>
    </row>
    <row r="2244">
      <c r="C2244" s="632"/>
      <c r="D2244" s="632"/>
      <c r="O2244" s="607"/>
    </row>
    <row r="2245">
      <c r="C2245" s="632"/>
      <c r="D2245" s="632"/>
      <c r="O2245" s="607"/>
    </row>
    <row r="2246">
      <c r="C2246" s="632"/>
      <c r="D2246" s="632"/>
      <c r="O2246" s="607"/>
    </row>
    <row r="2247">
      <c r="C2247" s="632"/>
      <c r="D2247" s="632"/>
      <c r="O2247" s="607"/>
    </row>
    <row r="2248">
      <c r="C2248" s="632"/>
      <c r="D2248" s="632"/>
      <c r="O2248" s="607"/>
    </row>
    <row r="2249">
      <c r="C2249" s="632"/>
      <c r="D2249" s="632"/>
      <c r="O2249" s="607"/>
    </row>
    <row r="2250">
      <c r="C2250" s="632"/>
      <c r="D2250" s="632"/>
      <c r="O2250" s="607"/>
    </row>
    <row r="2251">
      <c r="C2251" s="632"/>
      <c r="D2251" s="632"/>
      <c r="O2251" s="607"/>
    </row>
    <row r="2252">
      <c r="C2252" s="632"/>
      <c r="D2252" s="632"/>
      <c r="O2252" s="607"/>
    </row>
    <row r="2253">
      <c r="C2253" s="632"/>
      <c r="D2253" s="632"/>
      <c r="O2253" s="607"/>
    </row>
    <row r="2254">
      <c r="C2254" s="632"/>
      <c r="D2254" s="632"/>
      <c r="O2254" s="607"/>
    </row>
    <row r="2255">
      <c r="C2255" s="632"/>
      <c r="D2255" s="632"/>
      <c r="O2255" s="607"/>
    </row>
    <row r="2256">
      <c r="C2256" s="632"/>
      <c r="D2256" s="632"/>
      <c r="O2256" s="607"/>
    </row>
    <row r="2257">
      <c r="C2257" s="632"/>
      <c r="D2257" s="632"/>
      <c r="O2257" s="607"/>
    </row>
    <row r="2258">
      <c r="C2258" s="632"/>
      <c r="D2258" s="632"/>
      <c r="O2258" s="607"/>
    </row>
    <row r="2259">
      <c r="C2259" s="632"/>
      <c r="D2259" s="632"/>
      <c r="O2259" s="607"/>
    </row>
    <row r="2260">
      <c r="C2260" s="632"/>
      <c r="D2260" s="632"/>
      <c r="O2260" s="607"/>
    </row>
    <row r="2261">
      <c r="C2261" s="632"/>
      <c r="D2261" s="632"/>
      <c r="O2261" s="607"/>
    </row>
    <row r="2262">
      <c r="C2262" s="632"/>
      <c r="D2262" s="632"/>
      <c r="O2262" s="607"/>
    </row>
    <row r="2263">
      <c r="C2263" s="632"/>
      <c r="D2263" s="632"/>
      <c r="O2263" s="607"/>
    </row>
    <row r="2264">
      <c r="C2264" s="632"/>
      <c r="D2264" s="632"/>
      <c r="O2264" s="607"/>
    </row>
    <row r="2265">
      <c r="C2265" s="632"/>
      <c r="D2265" s="632"/>
      <c r="O2265" s="607"/>
    </row>
    <row r="2266">
      <c r="C2266" s="632"/>
      <c r="D2266" s="632"/>
      <c r="O2266" s="607"/>
    </row>
    <row r="2267">
      <c r="C2267" s="632"/>
      <c r="D2267" s="632"/>
      <c r="O2267" s="607"/>
    </row>
    <row r="2268">
      <c r="C2268" s="632"/>
      <c r="D2268" s="632"/>
      <c r="O2268" s="607"/>
    </row>
    <row r="2269">
      <c r="C2269" s="632"/>
      <c r="D2269" s="632"/>
      <c r="O2269" s="607"/>
    </row>
    <row r="2270">
      <c r="C2270" s="632"/>
      <c r="D2270" s="632"/>
      <c r="O2270" s="607"/>
    </row>
    <row r="2271">
      <c r="C2271" s="632"/>
      <c r="D2271" s="632"/>
      <c r="O2271" s="607"/>
    </row>
    <row r="2272">
      <c r="C2272" s="632"/>
      <c r="D2272" s="632"/>
      <c r="O2272" s="607"/>
    </row>
    <row r="2273">
      <c r="C2273" s="632"/>
      <c r="D2273" s="632"/>
      <c r="O2273" s="607"/>
    </row>
    <row r="2274">
      <c r="C2274" s="632"/>
      <c r="D2274" s="632"/>
      <c r="O2274" s="607"/>
    </row>
    <row r="2275">
      <c r="C2275" s="632"/>
      <c r="D2275" s="632"/>
      <c r="O2275" s="607"/>
    </row>
    <row r="2276">
      <c r="C2276" s="632"/>
      <c r="D2276" s="632"/>
      <c r="O2276" s="607"/>
    </row>
    <row r="2277">
      <c r="C2277" s="632"/>
      <c r="D2277" s="632"/>
      <c r="O2277" s="607"/>
    </row>
    <row r="2278">
      <c r="C2278" s="632"/>
      <c r="D2278" s="632"/>
      <c r="O2278" s="607"/>
    </row>
    <row r="2279">
      <c r="C2279" s="632"/>
      <c r="D2279" s="632"/>
      <c r="O2279" s="607"/>
    </row>
    <row r="2280">
      <c r="C2280" s="632"/>
      <c r="D2280" s="632"/>
      <c r="O2280" s="607"/>
    </row>
    <row r="2281">
      <c r="C2281" s="632"/>
      <c r="D2281" s="632"/>
      <c r="O2281" s="607"/>
    </row>
    <row r="2282">
      <c r="C2282" s="632"/>
      <c r="D2282" s="632"/>
      <c r="O2282" s="607"/>
    </row>
    <row r="2283">
      <c r="C2283" s="632"/>
      <c r="D2283" s="632"/>
      <c r="O2283" s="607"/>
    </row>
    <row r="2284">
      <c r="C2284" s="632"/>
      <c r="D2284" s="632"/>
      <c r="O2284" s="607"/>
    </row>
    <row r="2285">
      <c r="C2285" s="632"/>
      <c r="D2285" s="632"/>
      <c r="O2285" s="607"/>
    </row>
    <row r="2286">
      <c r="C2286" s="632"/>
      <c r="D2286" s="632"/>
      <c r="O2286" s="607"/>
    </row>
    <row r="2287">
      <c r="C2287" s="632"/>
      <c r="D2287" s="632"/>
      <c r="O2287" s="607"/>
    </row>
    <row r="2288">
      <c r="C2288" s="632"/>
      <c r="D2288" s="632"/>
      <c r="O2288" s="607"/>
    </row>
    <row r="2289">
      <c r="C2289" s="632"/>
      <c r="D2289" s="632"/>
      <c r="O2289" s="607"/>
    </row>
    <row r="2290">
      <c r="C2290" s="632"/>
      <c r="D2290" s="632"/>
      <c r="O2290" s="607"/>
    </row>
    <row r="2291">
      <c r="C2291" s="632"/>
      <c r="D2291" s="632"/>
      <c r="O2291" s="607"/>
    </row>
    <row r="2292">
      <c r="C2292" s="632"/>
      <c r="D2292" s="632"/>
      <c r="O2292" s="607"/>
    </row>
    <row r="2293">
      <c r="C2293" s="632"/>
      <c r="D2293" s="632"/>
      <c r="O2293" s="607"/>
    </row>
    <row r="2294">
      <c r="C2294" s="632"/>
      <c r="D2294" s="632"/>
      <c r="O2294" s="607"/>
    </row>
    <row r="2295">
      <c r="C2295" s="632"/>
      <c r="D2295" s="632"/>
      <c r="O2295" s="607"/>
    </row>
    <row r="2296">
      <c r="C2296" s="632"/>
      <c r="D2296" s="632"/>
      <c r="O2296" s="607"/>
    </row>
    <row r="2297">
      <c r="C2297" s="632"/>
      <c r="D2297" s="632"/>
      <c r="O2297" s="607"/>
    </row>
    <row r="2298">
      <c r="C2298" s="632"/>
      <c r="D2298" s="632"/>
      <c r="O2298" s="607"/>
    </row>
    <row r="2299">
      <c r="C2299" s="632"/>
      <c r="D2299" s="632"/>
      <c r="O2299" s="607"/>
    </row>
    <row r="2300">
      <c r="C2300" s="632"/>
      <c r="D2300" s="632"/>
      <c r="O2300" s="607"/>
    </row>
    <row r="2301">
      <c r="C2301" s="632"/>
      <c r="D2301" s="632"/>
      <c r="O2301" s="607"/>
    </row>
    <row r="2302">
      <c r="C2302" s="632"/>
      <c r="D2302" s="632"/>
      <c r="O2302" s="607"/>
    </row>
    <row r="2303">
      <c r="C2303" s="632"/>
      <c r="D2303" s="632"/>
      <c r="O2303" s="607"/>
    </row>
    <row r="2304">
      <c r="C2304" s="632"/>
      <c r="D2304" s="632"/>
      <c r="O2304" s="607"/>
    </row>
    <row r="2305">
      <c r="C2305" s="632"/>
      <c r="D2305" s="632"/>
      <c r="O2305" s="607"/>
    </row>
    <row r="2306">
      <c r="C2306" s="632"/>
      <c r="D2306" s="632"/>
      <c r="O2306" s="607"/>
    </row>
    <row r="2307">
      <c r="C2307" s="632"/>
      <c r="D2307" s="632"/>
      <c r="O2307" s="607"/>
    </row>
    <row r="2308">
      <c r="C2308" s="632"/>
      <c r="D2308" s="632"/>
      <c r="O2308" s="607"/>
    </row>
    <row r="2309">
      <c r="C2309" s="632"/>
      <c r="D2309" s="632"/>
      <c r="O2309" s="607"/>
    </row>
    <row r="2310">
      <c r="C2310" s="632"/>
      <c r="D2310" s="632"/>
      <c r="O2310" s="607"/>
    </row>
    <row r="2311">
      <c r="C2311" s="632"/>
      <c r="D2311" s="632"/>
      <c r="O2311" s="607"/>
    </row>
    <row r="2312">
      <c r="C2312" s="632"/>
      <c r="D2312" s="632"/>
      <c r="O2312" s="607"/>
    </row>
    <row r="2313">
      <c r="C2313" s="632"/>
      <c r="D2313" s="632"/>
      <c r="O2313" s="607"/>
    </row>
    <row r="2314">
      <c r="C2314" s="632"/>
      <c r="D2314" s="632"/>
      <c r="O2314" s="607"/>
    </row>
    <row r="2315">
      <c r="C2315" s="632"/>
      <c r="D2315" s="632"/>
      <c r="O2315" s="607"/>
    </row>
    <row r="2316">
      <c r="C2316" s="632"/>
      <c r="D2316" s="632"/>
      <c r="O2316" s="607"/>
    </row>
    <row r="2317">
      <c r="C2317" s="632"/>
      <c r="D2317" s="632"/>
      <c r="O2317" s="607"/>
    </row>
    <row r="2318">
      <c r="C2318" s="632"/>
      <c r="D2318" s="632"/>
      <c r="O2318" s="607"/>
    </row>
    <row r="2319">
      <c r="C2319" s="632"/>
      <c r="D2319" s="632"/>
      <c r="O2319" s="607"/>
    </row>
    <row r="2320">
      <c r="C2320" s="632"/>
      <c r="D2320" s="632"/>
      <c r="O2320" s="607"/>
    </row>
    <row r="2321">
      <c r="C2321" s="632"/>
      <c r="D2321" s="632"/>
      <c r="O2321" s="607"/>
    </row>
    <row r="2322">
      <c r="C2322" s="632"/>
      <c r="D2322" s="632"/>
      <c r="O2322" s="607"/>
    </row>
    <row r="2323">
      <c r="C2323" s="632"/>
      <c r="D2323" s="632"/>
      <c r="O2323" s="607"/>
    </row>
    <row r="2324">
      <c r="C2324" s="632"/>
      <c r="D2324" s="632"/>
      <c r="O2324" s="607"/>
    </row>
    <row r="2325">
      <c r="C2325" s="632"/>
      <c r="D2325" s="632"/>
      <c r="O2325" s="607"/>
    </row>
    <row r="2326">
      <c r="C2326" s="632"/>
      <c r="D2326" s="632"/>
      <c r="O2326" s="607"/>
    </row>
    <row r="2327">
      <c r="C2327" s="632"/>
      <c r="D2327" s="632"/>
      <c r="O2327" s="607"/>
    </row>
    <row r="2328">
      <c r="C2328" s="632"/>
      <c r="D2328" s="632"/>
      <c r="O2328" s="607"/>
    </row>
    <row r="2329">
      <c r="C2329" s="632"/>
      <c r="D2329" s="632"/>
      <c r="O2329" s="607"/>
    </row>
    <row r="2330">
      <c r="C2330" s="632"/>
      <c r="D2330" s="632"/>
      <c r="O2330" s="607"/>
    </row>
    <row r="2331">
      <c r="C2331" s="632"/>
      <c r="D2331" s="632"/>
      <c r="O2331" s="607"/>
    </row>
    <row r="2332">
      <c r="C2332" s="632"/>
      <c r="D2332" s="632"/>
      <c r="O2332" s="607"/>
    </row>
    <row r="2333">
      <c r="C2333" s="632"/>
      <c r="D2333" s="632"/>
      <c r="O2333" s="607"/>
    </row>
    <row r="2334">
      <c r="C2334" s="632"/>
      <c r="D2334" s="632"/>
      <c r="O2334" s="607"/>
    </row>
    <row r="2335">
      <c r="C2335" s="632"/>
      <c r="D2335" s="632"/>
      <c r="O2335" s="607"/>
    </row>
    <row r="2336">
      <c r="C2336" s="632"/>
      <c r="D2336" s="632"/>
      <c r="O2336" s="607"/>
    </row>
    <row r="2337">
      <c r="C2337" s="632"/>
      <c r="D2337" s="632"/>
      <c r="O2337" s="607"/>
    </row>
    <row r="2338">
      <c r="C2338" s="632"/>
      <c r="D2338" s="632"/>
      <c r="O2338" s="607"/>
    </row>
    <row r="2339">
      <c r="C2339" s="632"/>
      <c r="D2339" s="632"/>
      <c r="O2339" s="607"/>
    </row>
    <row r="2340">
      <c r="C2340" s="632"/>
      <c r="D2340" s="632"/>
      <c r="O2340" s="607"/>
    </row>
    <row r="2341">
      <c r="C2341" s="632"/>
      <c r="D2341" s="632"/>
      <c r="O2341" s="607"/>
    </row>
    <row r="2342">
      <c r="C2342" s="632"/>
      <c r="D2342" s="632"/>
      <c r="O2342" s="607"/>
    </row>
    <row r="2343">
      <c r="C2343" s="632"/>
      <c r="D2343" s="632"/>
      <c r="O2343" s="607"/>
    </row>
    <row r="2344">
      <c r="C2344" s="632"/>
      <c r="D2344" s="632"/>
      <c r="O2344" s="607"/>
    </row>
    <row r="2345">
      <c r="C2345" s="632"/>
      <c r="D2345" s="632"/>
      <c r="O2345" s="607"/>
    </row>
    <row r="2346">
      <c r="C2346" s="632"/>
      <c r="D2346" s="632"/>
      <c r="O2346" s="607"/>
    </row>
    <row r="2347">
      <c r="C2347" s="632"/>
      <c r="D2347" s="632"/>
      <c r="O2347" s="607"/>
    </row>
    <row r="2348">
      <c r="C2348" s="632"/>
      <c r="D2348" s="632"/>
      <c r="O2348" s="607"/>
    </row>
    <row r="2349">
      <c r="C2349" s="632"/>
      <c r="D2349" s="632"/>
      <c r="O2349" s="607"/>
    </row>
    <row r="2350">
      <c r="C2350" s="632"/>
      <c r="D2350" s="632"/>
      <c r="O2350" s="607"/>
    </row>
    <row r="2351">
      <c r="C2351" s="632"/>
      <c r="D2351" s="632"/>
      <c r="O2351" s="607"/>
    </row>
    <row r="2352">
      <c r="C2352" s="632"/>
      <c r="D2352" s="632"/>
      <c r="O2352" s="607"/>
    </row>
    <row r="2353">
      <c r="C2353" s="632"/>
      <c r="D2353" s="632"/>
      <c r="O2353" s="607"/>
    </row>
    <row r="2354">
      <c r="C2354" s="632"/>
      <c r="D2354" s="632"/>
      <c r="O2354" s="607"/>
    </row>
    <row r="2355">
      <c r="C2355" s="632"/>
      <c r="D2355" s="632"/>
      <c r="O2355" s="607"/>
    </row>
    <row r="2356">
      <c r="C2356" s="632"/>
      <c r="D2356" s="632"/>
      <c r="O2356" s="607"/>
    </row>
    <row r="2357">
      <c r="C2357" s="632"/>
      <c r="D2357" s="632"/>
      <c r="O2357" s="607"/>
    </row>
    <row r="2358">
      <c r="C2358" s="632"/>
      <c r="D2358" s="632"/>
      <c r="O2358" s="607"/>
    </row>
    <row r="2359">
      <c r="C2359" s="632"/>
      <c r="D2359" s="632"/>
      <c r="O2359" s="607"/>
    </row>
    <row r="2360">
      <c r="C2360" s="632"/>
      <c r="D2360" s="632"/>
      <c r="O2360" s="607"/>
    </row>
    <row r="2361">
      <c r="C2361" s="632"/>
      <c r="D2361" s="632"/>
      <c r="O2361" s="607"/>
    </row>
    <row r="2362">
      <c r="C2362" s="632"/>
      <c r="D2362" s="632"/>
      <c r="O2362" s="607"/>
    </row>
    <row r="2363">
      <c r="C2363" s="632"/>
      <c r="D2363" s="632"/>
      <c r="O2363" s="607"/>
    </row>
    <row r="2364">
      <c r="C2364" s="632"/>
      <c r="D2364" s="632"/>
      <c r="O2364" s="607"/>
    </row>
    <row r="2365">
      <c r="C2365" s="632"/>
      <c r="D2365" s="632"/>
      <c r="O2365" s="607"/>
    </row>
    <row r="2366">
      <c r="C2366" s="632"/>
      <c r="D2366" s="632"/>
      <c r="O2366" s="607"/>
    </row>
    <row r="2367">
      <c r="C2367" s="632"/>
      <c r="D2367" s="632"/>
      <c r="O2367" s="607"/>
    </row>
    <row r="2368">
      <c r="C2368" s="632"/>
      <c r="D2368" s="632"/>
      <c r="O2368" s="607"/>
    </row>
    <row r="2369">
      <c r="C2369" s="632"/>
      <c r="D2369" s="632"/>
      <c r="O2369" s="607"/>
    </row>
    <row r="2370">
      <c r="C2370" s="632"/>
      <c r="D2370" s="632"/>
      <c r="O2370" s="607"/>
    </row>
    <row r="2371">
      <c r="C2371" s="632"/>
      <c r="D2371" s="632"/>
      <c r="O2371" s="607"/>
    </row>
    <row r="2372">
      <c r="C2372" s="632"/>
      <c r="D2372" s="632"/>
      <c r="O2372" s="607"/>
    </row>
    <row r="2373">
      <c r="C2373" s="632"/>
      <c r="D2373" s="632"/>
      <c r="O2373" s="607"/>
    </row>
    <row r="2374">
      <c r="C2374" s="632"/>
      <c r="D2374" s="632"/>
      <c r="O2374" s="607"/>
    </row>
    <row r="2375">
      <c r="C2375" s="632"/>
      <c r="D2375" s="632"/>
      <c r="O2375" s="607"/>
    </row>
    <row r="2376">
      <c r="C2376" s="632"/>
      <c r="D2376" s="632"/>
      <c r="O2376" s="607"/>
    </row>
    <row r="2377">
      <c r="C2377" s="632"/>
      <c r="D2377" s="632"/>
      <c r="O2377" s="607"/>
    </row>
    <row r="2378">
      <c r="C2378" s="632"/>
      <c r="D2378" s="632"/>
      <c r="O2378" s="607"/>
    </row>
    <row r="2379">
      <c r="C2379" s="632"/>
      <c r="D2379" s="632"/>
      <c r="O2379" s="607"/>
    </row>
    <row r="2380">
      <c r="C2380" s="632"/>
      <c r="D2380" s="632"/>
      <c r="O2380" s="607"/>
    </row>
    <row r="2381">
      <c r="C2381" s="632"/>
      <c r="D2381" s="632"/>
      <c r="O2381" s="607"/>
    </row>
    <row r="2382">
      <c r="C2382" s="632"/>
      <c r="D2382" s="632"/>
      <c r="O2382" s="607"/>
    </row>
    <row r="2383">
      <c r="C2383" s="632"/>
      <c r="D2383" s="632"/>
      <c r="O2383" s="607"/>
    </row>
    <row r="2384">
      <c r="C2384" s="632"/>
      <c r="D2384" s="632"/>
      <c r="O2384" s="607"/>
    </row>
    <row r="2385">
      <c r="C2385" s="632"/>
      <c r="D2385" s="632"/>
      <c r="O2385" s="607"/>
    </row>
    <row r="2386">
      <c r="C2386" s="632"/>
      <c r="D2386" s="632"/>
      <c r="O2386" s="607"/>
    </row>
    <row r="2387">
      <c r="C2387" s="632"/>
      <c r="D2387" s="632"/>
      <c r="O2387" s="607"/>
    </row>
    <row r="2388">
      <c r="C2388" s="632"/>
      <c r="D2388" s="632"/>
      <c r="O2388" s="607"/>
    </row>
    <row r="2389">
      <c r="C2389" s="632"/>
      <c r="D2389" s="632"/>
      <c r="O2389" s="607"/>
    </row>
    <row r="2390">
      <c r="C2390" s="632"/>
      <c r="D2390" s="632"/>
      <c r="O2390" s="607"/>
    </row>
    <row r="2391">
      <c r="C2391" s="632"/>
      <c r="D2391" s="632"/>
      <c r="O2391" s="607"/>
    </row>
    <row r="2392">
      <c r="C2392" s="632"/>
      <c r="D2392" s="632"/>
      <c r="O2392" s="607"/>
    </row>
    <row r="2393">
      <c r="C2393" s="632"/>
      <c r="D2393" s="632"/>
      <c r="O2393" s="607"/>
    </row>
    <row r="2394">
      <c r="C2394" s="632"/>
      <c r="D2394" s="632"/>
      <c r="O2394" s="607"/>
    </row>
    <row r="2395">
      <c r="C2395" s="632"/>
      <c r="D2395" s="632"/>
      <c r="O2395" s="607"/>
    </row>
    <row r="2396">
      <c r="C2396" s="632"/>
      <c r="D2396" s="632"/>
      <c r="O2396" s="607"/>
    </row>
    <row r="2397">
      <c r="C2397" s="632"/>
      <c r="D2397" s="632"/>
      <c r="O2397" s="607"/>
    </row>
    <row r="2398">
      <c r="C2398" s="632"/>
      <c r="D2398" s="632"/>
      <c r="O2398" s="607"/>
    </row>
    <row r="2399">
      <c r="C2399" s="632"/>
      <c r="D2399" s="632"/>
      <c r="O2399" s="607"/>
    </row>
    <row r="2400">
      <c r="C2400" s="632"/>
      <c r="D2400" s="632"/>
      <c r="O2400" s="607"/>
    </row>
    <row r="2401">
      <c r="C2401" s="632"/>
      <c r="D2401" s="632"/>
      <c r="O2401" s="607"/>
    </row>
    <row r="2402">
      <c r="C2402" s="632"/>
      <c r="D2402" s="632"/>
      <c r="O2402" s="607"/>
    </row>
    <row r="2403">
      <c r="C2403" s="632"/>
      <c r="D2403" s="632"/>
      <c r="O2403" s="607"/>
    </row>
    <row r="2404">
      <c r="C2404" s="632"/>
      <c r="D2404" s="632"/>
      <c r="O2404" s="607"/>
    </row>
    <row r="2405">
      <c r="C2405" s="632"/>
      <c r="D2405" s="632"/>
      <c r="O2405" s="607"/>
    </row>
    <row r="2406">
      <c r="C2406" s="632"/>
      <c r="D2406" s="632"/>
      <c r="O2406" s="607"/>
    </row>
    <row r="2407">
      <c r="C2407" s="632"/>
      <c r="D2407" s="632"/>
      <c r="O2407" s="607"/>
    </row>
    <row r="2408">
      <c r="C2408" s="632"/>
      <c r="D2408" s="632"/>
      <c r="O2408" s="607"/>
    </row>
    <row r="2409">
      <c r="C2409" s="632"/>
      <c r="D2409" s="632"/>
      <c r="O2409" s="607"/>
    </row>
    <row r="2410">
      <c r="C2410" s="632"/>
      <c r="D2410" s="632"/>
      <c r="O2410" s="607"/>
    </row>
    <row r="2411">
      <c r="C2411" s="632"/>
      <c r="D2411" s="632"/>
      <c r="O2411" s="607"/>
    </row>
    <row r="2412">
      <c r="C2412" s="632"/>
      <c r="D2412" s="632"/>
      <c r="O2412" s="607"/>
    </row>
    <row r="2413">
      <c r="C2413" s="632"/>
      <c r="D2413" s="632"/>
      <c r="O2413" s="607"/>
    </row>
    <row r="2414">
      <c r="C2414" s="632"/>
      <c r="D2414" s="632"/>
      <c r="O2414" s="607"/>
    </row>
    <row r="2415">
      <c r="C2415" s="632"/>
      <c r="D2415" s="632"/>
      <c r="O2415" s="607"/>
    </row>
    <row r="2416">
      <c r="C2416" s="632"/>
      <c r="D2416" s="632"/>
      <c r="O2416" s="607"/>
    </row>
    <row r="2417">
      <c r="C2417" s="632"/>
      <c r="D2417" s="632"/>
      <c r="O2417" s="607"/>
    </row>
    <row r="2418">
      <c r="C2418" s="632"/>
      <c r="D2418" s="632"/>
      <c r="O2418" s="607"/>
    </row>
    <row r="2419">
      <c r="C2419" s="632"/>
      <c r="D2419" s="632"/>
      <c r="O2419" s="607"/>
    </row>
    <row r="2420">
      <c r="C2420" s="632"/>
      <c r="D2420" s="632"/>
      <c r="O2420" s="607"/>
    </row>
    <row r="2421">
      <c r="C2421" s="632"/>
      <c r="D2421" s="632"/>
      <c r="O2421" s="607"/>
    </row>
    <row r="2422">
      <c r="C2422" s="632"/>
      <c r="D2422" s="632"/>
      <c r="O2422" s="607"/>
    </row>
    <row r="2423">
      <c r="C2423" s="632"/>
      <c r="D2423" s="632"/>
      <c r="O2423" s="607"/>
    </row>
    <row r="2424">
      <c r="C2424" s="632"/>
      <c r="D2424" s="632"/>
      <c r="O2424" s="607"/>
    </row>
    <row r="2425">
      <c r="C2425" s="632"/>
      <c r="D2425" s="632"/>
      <c r="O2425" s="607"/>
    </row>
    <row r="2426">
      <c r="C2426" s="632"/>
      <c r="D2426" s="632"/>
      <c r="O2426" s="607"/>
    </row>
    <row r="2427">
      <c r="C2427" s="632"/>
      <c r="D2427" s="632"/>
      <c r="O2427" s="607"/>
    </row>
    <row r="2428">
      <c r="C2428" s="632"/>
      <c r="D2428" s="632"/>
      <c r="O2428" s="607"/>
    </row>
    <row r="2429">
      <c r="C2429" s="632"/>
      <c r="D2429" s="632"/>
      <c r="O2429" s="607"/>
    </row>
    <row r="2430">
      <c r="C2430" s="632"/>
      <c r="D2430" s="632"/>
      <c r="O2430" s="607"/>
    </row>
    <row r="2431">
      <c r="C2431" s="632"/>
      <c r="D2431" s="632"/>
      <c r="O2431" s="607"/>
    </row>
    <row r="2432">
      <c r="C2432" s="632"/>
      <c r="D2432" s="632"/>
      <c r="O2432" s="607"/>
    </row>
    <row r="2433">
      <c r="C2433" s="632"/>
      <c r="D2433" s="632"/>
      <c r="O2433" s="607"/>
    </row>
    <row r="2434">
      <c r="C2434" s="632"/>
      <c r="D2434" s="632"/>
      <c r="O2434" s="607"/>
    </row>
    <row r="2435">
      <c r="C2435" s="632"/>
      <c r="D2435" s="632"/>
      <c r="O2435" s="607"/>
    </row>
    <row r="2436">
      <c r="C2436" s="632"/>
      <c r="D2436" s="632"/>
      <c r="O2436" s="607"/>
    </row>
    <row r="2437">
      <c r="C2437" s="632"/>
      <c r="D2437" s="632"/>
      <c r="O2437" s="607"/>
    </row>
    <row r="2438">
      <c r="C2438" s="632"/>
      <c r="D2438" s="632"/>
      <c r="O2438" s="607"/>
    </row>
    <row r="2439">
      <c r="C2439" s="632"/>
      <c r="D2439" s="632"/>
      <c r="O2439" s="607"/>
    </row>
    <row r="2440">
      <c r="C2440" s="632"/>
      <c r="D2440" s="632"/>
      <c r="O2440" s="607"/>
    </row>
    <row r="2441">
      <c r="C2441" s="632"/>
      <c r="D2441" s="632"/>
      <c r="O2441" s="607"/>
    </row>
    <row r="2442">
      <c r="C2442" s="632"/>
      <c r="D2442" s="632"/>
      <c r="O2442" s="607"/>
    </row>
    <row r="2443">
      <c r="C2443" s="632"/>
      <c r="D2443" s="632"/>
      <c r="O2443" s="607"/>
    </row>
    <row r="2444">
      <c r="C2444" s="632"/>
      <c r="D2444" s="632"/>
      <c r="O2444" s="607"/>
    </row>
    <row r="2445">
      <c r="C2445" s="632"/>
      <c r="D2445" s="632"/>
      <c r="O2445" s="607"/>
    </row>
    <row r="2446">
      <c r="C2446" s="632"/>
      <c r="D2446" s="632"/>
      <c r="O2446" s="607"/>
    </row>
    <row r="2447">
      <c r="C2447" s="632"/>
      <c r="D2447" s="632"/>
      <c r="O2447" s="607"/>
    </row>
    <row r="2448">
      <c r="C2448" s="632"/>
      <c r="D2448" s="632"/>
      <c r="O2448" s="607"/>
    </row>
    <row r="2449">
      <c r="C2449" s="632"/>
      <c r="D2449" s="632"/>
      <c r="O2449" s="607"/>
    </row>
    <row r="2450">
      <c r="C2450" s="632"/>
      <c r="D2450" s="632"/>
      <c r="O2450" s="607"/>
    </row>
    <row r="2451">
      <c r="C2451" s="632"/>
      <c r="D2451" s="632"/>
      <c r="O2451" s="607"/>
    </row>
    <row r="2452">
      <c r="C2452" s="632"/>
      <c r="D2452" s="632"/>
      <c r="O2452" s="607"/>
    </row>
    <row r="2453">
      <c r="C2453" s="632"/>
      <c r="D2453" s="632"/>
      <c r="O2453" s="607"/>
    </row>
    <row r="2454">
      <c r="C2454" s="632"/>
      <c r="D2454" s="632"/>
      <c r="O2454" s="607"/>
    </row>
    <row r="2455">
      <c r="C2455" s="632"/>
      <c r="D2455" s="632"/>
      <c r="O2455" s="607"/>
    </row>
    <row r="2456">
      <c r="C2456" s="632"/>
      <c r="D2456" s="632"/>
      <c r="O2456" s="607"/>
    </row>
    <row r="2457">
      <c r="C2457" s="632"/>
      <c r="D2457" s="632"/>
      <c r="O2457" s="607"/>
    </row>
    <row r="2458">
      <c r="C2458" s="632"/>
      <c r="D2458" s="632"/>
      <c r="O2458" s="607"/>
    </row>
    <row r="2459">
      <c r="C2459" s="632"/>
      <c r="D2459" s="632"/>
      <c r="O2459" s="607"/>
    </row>
    <row r="2460">
      <c r="C2460" s="632"/>
      <c r="D2460" s="632"/>
      <c r="O2460" s="607"/>
    </row>
    <row r="2461">
      <c r="C2461" s="632"/>
      <c r="D2461" s="632"/>
      <c r="O2461" s="607"/>
    </row>
    <row r="2462">
      <c r="C2462" s="632"/>
      <c r="D2462" s="632"/>
      <c r="O2462" s="607"/>
    </row>
    <row r="2463">
      <c r="C2463" s="632"/>
      <c r="D2463" s="632"/>
      <c r="O2463" s="607"/>
    </row>
    <row r="2464">
      <c r="C2464" s="632"/>
      <c r="D2464" s="632"/>
      <c r="O2464" s="607"/>
    </row>
    <row r="2465">
      <c r="C2465" s="632"/>
      <c r="D2465" s="632"/>
      <c r="O2465" s="607"/>
    </row>
    <row r="2466">
      <c r="C2466" s="632"/>
      <c r="D2466" s="632"/>
      <c r="O2466" s="607"/>
    </row>
    <row r="2467">
      <c r="C2467" s="632"/>
      <c r="D2467" s="632"/>
      <c r="O2467" s="607"/>
    </row>
    <row r="2468">
      <c r="C2468" s="632"/>
      <c r="D2468" s="632"/>
      <c r="O2468" s="607"/>
    </row>
    <row r="2469">
      <c r="C2469" s="632"/>
      <c r="D2469" s="632"/>
      <c r="O2469" s="607"/>
    </row>
    <row r="2470">
      <c r="C2470" s="632"/>
      <c r="D2470" s="632"/>
      <c r="O2470" s="607"/>
    </row>
    <row r="2471">
      <c r="C2471" s="632"/>
      <c r="D2471" s="632"/>
      <c r="O2471" s="607"/>
    </row>
    <row r="2472">
      <c r="C2472" s="632"/>
      <c r="D2472" s="632"/>
      <c r="O2472" s="607"/>
    </row>
    <row r="2473">
      <c r="C2473" s="632"/>
      <c r="D2473" s="632"/>
      <c r="O2473" s="607"/>
    </row>
    <row r="2474">
      <c r="C2474" s="632"/>
      <c r="D2474" s="632"/>
      <c r="O2474" s="607"/>
    </row>
    <row r="2475">
      <c r="C2475" s="632"/>
      <c r="D2475" s="632"/>
      <c r="O2475" s="607"/>
    </row>
    <row r="2476">
      <c r="C2476" s="632"/>
      <c r="D2476" s="632"/>
      <c r="O2476" s="607"/>
    </row>
    <row r="2477">
      <c r="C2477" s="632"/>
      <c r="D2477" s="632"/>
      <c r="O2477" s="607"/>
    </row>
    <row r="2478">
      <c r="C2478" s="632"/>
      <c r="D2478" s="632"/>
      <c r="O2478" s="607"/>
    </row>
    <row r="2479">
      <c r="C2479" s="632"/>
      <c r="D2479" s="632"/>
      <c r="O2479" s="607"/>
    </row>
    <row r="2480">
      <c r="C2480" s="632"/>
      <c r="D2480" s="632"/>
      <c r="O2480" s="607"/>
    </row>
    <row r="2481">
      <c r="C2481" s="632"/>
      <c r="D2481" s="632"/>
      <c r="O2481" s="607"/>
    </row>
    <row r="2482">
      <c r="C2482" s="632"/>
      <c r="D2482" s="632"/>
      <c r="O2482" s="607"/>
    </row>
    <row r="2483">
      <c r="C2483" s="632"/>
      <c r="D2483" s="632"/>
      <c r="O2483" s="607"/>
    </row>
    <row r="2484">
      <c r="C2484" s="632"/>
      <c r="D2484" s="632"/>
      <c r="O2484" s="607"/>
    </row>
    <row r="2485">
      <c r="C2485" s="632"/>
      <c r="D2485" s="632"/>
      <c r="O2485" s="607"/>
    </row>
    <row r="2486">
      <c r="C2486" s="632"/>
      <c r="D2486" s="632"/>
      <c r="O2486" s="607"/>
    </row>
    <row r="2487">
      <c r="C2487" s="632"/>
      <c r="D2487" s="632"/>
      <c r="O2487" s="607"/>
    </row>
    <row r="2488">
      <c r="C2488" s="632"/>
      <c r="D2488" s="632"/>
      <c r="O2488" s="607"/>
    </row>
    <row r="2489">
      <c r="C2489" s="632"/>
      <c r="D2489" s="632"/>
      <c r="O2489" s="607"/>
    </row>
    <row r="2490">
      <c r="C2490" s="632"/>
      <c r="D2490" s="632"/>
      <c r="O2490" s="607"/>
    </row>
    <row r="2491">
      <c r="C2491" s="632"/>
      <c r="D2491" s="632"/>
      <c r="O2491" s="607"/>
    </row>
    <row r="2492">
      <c r="C2492" s="632"/>
      <c r="D2492" s="632"/>
      <c r="O2492" s="607"/>
    </row>
    <row r="2493">
      <c r="C2493" s="632"/>
      <c r="D2493" s="632"/>
      <c r="O2493" s="607"/>
    </row>
    <row r="2494">
      <c r="C2494" s="632"/>
      <c r="D2494" s="632"/>
      <c r="O2494" s="607"/>
    </row>
    <row r="2495">
      <c r="C2495" s="632"/>
      <c r="D2495" s="632"/>
      <c r="O2495" s="607"/>
    </row>
    <row r="2496">
      <c r="C2496" s="632"/>
      <c r="D2496" s="632"/>
      <c r="O2496" s="607"/>
    </row>
    <row r="2497">
      <c r="C2497" s="632"/>
      <c r="D2497" s="632"/>
      <c r="O2497" s="607"/>
    </row>
    <row r="2498">
      <c r="C2498" s="632"/>
      <c r="D2498" s="632"/>
      <c r="O2498" s="607"/>
    </row>
    <row r="2499">
      <c r="C2499" s="632"/>
      <c r="D2499" s="632"/>
      <c r="O2499" s="607"/>
    </row>
    <row r="2500">
      <c r="C2500" s="632"/>
      <c r="D2500" s="632"/>
      <c r="O2500" s="607"/>
    </row>
    <row r="2501">
      <c r="C2501" s="632"/>
      <c r="D2501" s="632"/>
      <c r="O2501" s="607"/>
    </row>
    <row r="2502">
      <c r="C2502" s="632"/>
      <c r="D2502" s="632"/>
      <c r="O2502" s="607"/>
    </row>
    <row r="2503">
      <c r="C2503" s="632"/>
      <c r="D2503" s="632"/>
      <c r="O2503" s="607"/>
    </row>
    <row r="2504">
      <c r="C2504" s="632"/>
      <c r="D2504" s="632"/>
      <c r="O2504" s="607"/>
    </row>
    <row r="2505">
      <c r="C2505" s="632"/>
      <c r="D2505" s="632"/>
      <c r="O2505" s="607"/>
    </row>
    <row r="2506">
      <c r="C2506" s="632"/>
      <c r="D2506" s="632"/>
      <c r="O2506" s="607"/>
    </row>
    <row r="2507">
      <c r="C2507" s="632"/>
      <c r="D2507" s="632"/>
      <c r="O2507" s="607"/>
    </row>
    <row r="2508">
      <c r="C2508" s="632"/>
      <c r="D2508" s="632"/>
      <c r="O2508" s="607"/>
    </row>
    <row r="2509">
      <c r="C2509" s="632"/>
      <c r="D2509" s="632"/>
      <c r="O2509" s="607"/>
    </row>
    <row r="2510">
      <c r="C2510" s="632"/>
      <c r="D2510" s="632"/>
      <c r="O2510" s="607"/>
    </row>
    <row r="2511">
      <c r="C2511" s="632"/>
      <c r="D2511" s="632"/>
      <c r="O2511" s="607"/>
    </row>
    <row r="2512">
      <c r="C2512" s="632"/>
      <c r="D2512" s="632"/>
      <c r="O2512" s="607"/>
    </row>
    <row r="2513">
      <c r="C2513" s="632"/>
      <c r="D2513" s="632"/>
      <c r="O2513" s="607"/>
    </row>
    <row r="2514">
      <c r="C2514" s="632"/>
      <c r="D2514" s="632"/>
      <c r="O2514" s="607"/>
    </row>
    <row r="2515">
      <c r="C2515" s="632"/>
      <c r="D2515" s="632"/>
      <c r="O2515" s="607"/>
    </row>
    <row r="2516">
      <c r="C2516" s="632"/>
      <c r="D2516" s="632"/>
      <c r="O2516" s="607"/>
    </row>
    <row r="2517">
      <c r="C2517" s="632"/>
      <c r="D2517" s="632"/>
      <c r="O2517" s="607"/>
    </row>
    <row r="2518">
      <c r="C2518" s="632"/>
      <c r="D2518" s="632"/>
      <c r="O2518" s="607"/>
    </row>
    <row r="2519">
      <c r="C2519" s="632"/>
      <c r="D2519" s="632"/>
      <c r="O2519" s="607"/>
    </row>
    <row r="2520">
      <c r="C2520" s="632"/>
      <c r="D2520" s="632"/>
      <c r="O2520" s="607"/>
    </row>
    <row r="2521">
      <c r="C2521" s="632"/>
      <c r="D2521" s="632"/>
      <c r="O2521" s="607"/>
    </row>
    <row r="2522">
      <c r="C2522" s="632"/>
      <c r="D2522" s="632"/>
      <c r="O2522" s="607"/>
    </row>
    <row r="2523">
      <c r="C2523" s="632"/>
      <c r="D2523" s="632"/>
      <c r="O2523" s="607"/>
    </row>
    <row r="2524">
      <c r="C2524" s="632"/>
      <c r="D2524" s="632"/>
      <c r="O2524" s="607"/>
    </row>
    <row r="2525">
      <c r="C2525" s="632"/>
      <c r="D2525" s="632"/>
      <c r="O2525" s="607"/>
    </row>
    <row r="2526">
      <c r="C2526" s="632"/>
      <c r="D2526" s="632"/>
      <c r="O2526" s="607"/>
    </row>
    <row r="2527">
      <c r="C2527" s="632"/>
      <c r="D2527" s="632"/>
      <c r="O2527" s="607"/>
    </row>
    <row r="2528">
      <c r="C2528" s="632"/>
      <c r="D2528" s="632"/>
      <c r="O2528" s="607"/>
    </row>
    <row r="2529">
      <c r="C2529" s="632"/>
      <c r="D2529" s="632"/>
      <c r="O2529" s="607"/>
    </row>
    <row r="2530">
      <c r="C2530" s="632"/>
      <c r="D2530" s="632"/>
      <c r="O2530" s="607"/>
    </row>
    <row r="2531">
      <c r="C2531" s="632"/>
      <c r="D2531" s="632"/>
      <c r="O2531" s="607"/>
    </row>
    <row r="2532">
      <c r="C2532" s="632"/>
      <c r="D2532" s="632"/>
      <c r="O2532" s="607"/>
    </row>
    <row r="2533">
      <c r="C2533" s="632"/>
      <c r="D2533" s="632"/>
      <c r="O2533" s="607"/>
    </row>
    <row r="2534">
      <c r="C2534" s="632"/>
      <c r="D2534" s="632"/>
      <c r="O2534" s="607"/>
    </row>
    <row r="2535">
      <c r="C2535" s="632"/>
      <c r="D2535" s="632"/>
      <c r="O2535" s="607"/>
    </row>
    <row r="2536">
      <c r="C2536" s="632"/>
      <c r="D2536" s="632"/>
      <c r="O2536" s="607"/>
    </row>
    <row r="2537">
      <c r="C2537" s="632"/>
      <c r="D2537" s="632"/>
      <c r="O2537" s="607"/>
    </row>
    <row r="2538">
      <c r="C2538" s="632"/>
      <c r="D2538" s="632"/>
      <c r="O2538" s="607"/>
    </row>
    <row r="2539">
      <c r="C2539" s="632"/>
      <c r="D2539" s="632"/>
      <c r="O2539" s="607"/>
    </row>
    <row r="2540">
      <c r="C2540" s="632"/>
      <c r="D2540" s="632"/>
      <c r="O2540" s="607"/>
    </row>
    <row r="2541">
      <c r="C2541" s="632"/>
      <c r="D2541" s="632"/>
      <c r="O2541" s="607"/>
    </row>
    <row r="2542">
      <c r="C2542" s="632"/>
      <c r="D2542" s="632"/>
      <c r="O2542" s="607"/>
    </row>
    <row r="2543">
      <c r="C2543" s="632"/>
      <c r="D2543" s="632"/>
      <c r="O2543" s="607"/>
    </row>
    <row r="2544">
      <c r="C2544" s="632"/>
      <c r="D2544" s="632"/>
      <c r="O2544" s="607"/>
    </row>
    <row r="2545">
      <c r="C2545" s="632"/>
      <c r="D2545" s="632"/>
      <c r="O2545" s="607"/>
    </row>
    <row r="2546">
      <c r="C2546" s="632"/>
      <c r="D2546" s="632"/>
      <c r="O2546" s="607"/>
    </row>
    <row r="2547">
      <c r="C2547" s="632"/>
      <c r="D2547" s="632"/>
      <c r="O2547" s="607"/>
    </row>
    <row r="2548">
      <c r="C2548" s="632"/>
      <c r="D2548" s="632"/>
      <c r="O2548" s="607"/>
    </row>
    <row r="2549">
      <c r="C2549" s="632"/>
      <c r="D2549" s="632"/>
      <c r="O2549" s="607"/>
    </row>
    <row r="2550">
      <c r="C2550" s="632"/>
      <c r="D2550" s="632"/>
      <c r="O2550" s="607"/>
    </row>
    <row r="2551">
      <c r="C2551" s="632"/>
      <c r="D2551" s="632"/>
      <c r="O2551" s="607"/>
    </row>
    <row r="2552">
      <c r="C2552" s="632"/>
      <c r="D2552" s="632"/>
      <c r="O2552" s="607"/>
    </row>
    <row r="2553">
      <c r="C2553" s="632"/>
      <c r="D2553" s="632"/>
      <c r="O2553" s="607"/>
    </row>
    <row r="2554">
      <c r="C2554" s="632"/>
      <c r="D2554" s="632"/>
      <c r="O2554" s="607"/>
    </row>
    <row r="2555">
      <c r="C2555" s="632"/>
      <c r="D2555" s="632"/>
      <c r="O2555" s="607"/>
    </row>
    <row r="2556">
      <c r="C2556" s="632"/>
      <c r="D2556" s="632"/>
      <c r="O2556" s="607"/>
    </row>
    <row r="2557">
      <c r="C2557" s="632"/>
      <c r="D2557" s="632"/>
      <c r="O2557" s="607"/>
    </row>
    <row r="2558">
      <c r="C2558" s="632"/>
      <c r="D2558" s="632"/>
      <c r="O2558" s="607"/>
    </row>
    <row r="2559">
      <c r="C2559" s="632"/>
      <c r="D2559" s="632"/>
      <c r="O2559" s="607"/>
    </row>
    <row r="2560">
      <c r="C2560" s="632"/>
      <c r="D2560" s="632"/>
      <c r="O2560" s="607"/>
    </row>
    <row r="2561">
      <c r="C2561" s="632"/>
      <c r="D2561" s="632"/>
      <c r="O2561" s="607"/>
    </row>
    <row r="2562">
      <c r="C2562" s="632"/>
      <c r="D2562" s="632"/>
      <c r="O2562" s="607"/>
    </row>
    <row r="2563">
      <c r="C2563" s="632"/>
      <c r="D2563" s="632"/>
      <c r="O2563" s="607"/>
    </row>
    <row r="2564">
      <c r="C2564" s="632"/>
      <c r="D2564" s="632"/>
      <c r="O2564" s="607"/>
    </row>
    <row r="2565">
      <c r="C2565" s="632"/>
      <c r="D2565" s="632"/>
      <c r="O2565" s="607"/>
    </row>
    <row r="2566">
      <c r="C2566" s="632"/>
      <c r="D2566" s="632"/>
      <c r="O2566" s="607"/>
    </row>
    <row r="2567">
      <c r="C2567" s="632"/>
      <c r="D2567" s="632"/>
      <c r="O2567" s="607"/>
    </row>
    <row r="2568">
      <c r="C2568" s="632"/>
      <c r="D2568" s="632"/>
      <c r="O2568" s="607"/>
    </row>
    <row r="2569">
      <c r="C2569" s="632"/>
      <c r="D2569" s="632"/>
      <c r="O2569" s="607"/>
    </row>
    <row r="2570">
      <c r="C2570" s="632"/>
      <c r="D2570" s="632"/>
      <c r="O2570" s="607"/>
    </row>
    <row r="2571">
      <c r="C2571" s="632"/>
      <c r="D2571" s="632"/>
      <c r="O2571" s="607"/>
    </row>
    <row r="2572">
      <c r="C2572" s="632"/>
      <c r="D2572" s="632"/>
      <c r="O2572" s="607"/>
    </row>
    <row r="2573">
      <c r="C2573" s="632"/>
      <c r="D2573" s="632"/>
      <c r="O2573" s="607"/>
    </row>
    <row r="2574">
      <c r="C2574" s="632"/>
      <c r="D2574" s="632"/>
      <c r="O2574" s="607"/>
    </row>
    <row r="2575">
      <c r="C2575" s="632"/>
      <c r="D2575" s="632"/>
      <c r="O2575" s="607"/>
    </row>
    <row r="2576">
      <c r="C2576" s="632"/>
      <c r="D2576" s="632"/>
      <c r="O2576" s="607"/>
    </row>
    <row r="2577">
      <c r="C2577" s="632"/>
      <c r="D2577" s="632"/>
      <c r="O2577" s="607"/>
    </row>
    <row r="2578">
      <c r="C2578" s="632"/>
      <c r="D2578" s="632"/>
      <c r="O2578" s="607"/>
    </row>
    <row r="2579">
      <c r="C2579" s="632"/>
      <c r="D2579" s="632"/>
      <c r="O2579" s="607"/>
    </row>
    <row r="2580">
      <c r="C2580" s="632"/>
      <c r="D2580" s="632"/>
      <c r="O2580" s="607"/>
    </row>
    <row r="2581">
      <c r="C2581" s="632"/>
      <c r="D2581" s="632"/>
      <c r="O2581" s="607"/>
    </row>
    <row r="2582">
      <c r="C2582" s="632"/>
      <c r="D2582" s="632"/>
      <c r="O2582" s="607"/>
    </row>
    <row r="2583">
      <c r="C2583" s="632"/>
      <c r="D2583" s="632"/>
      <c r="O2583" s="607"/>
    </row>
    <row r="2584">
      <c r="C2584" s="632"/>
      <c r="D2584" s="632"/>
      <c r="O2584" s="607"/>
    </row>
    <row r="2585">
      <c r="C2585" s="632"/>
      <c r="D2585" s="632"/>
      <c r="O2585" s="607"/>
    </row>
    <row r="2586">
      <c r="C2586" s="632"/>
      <c r="D2586" s="632"/>
      <c r="O2586" s="607"/>
    </row>
    <row r="2587">
      <c r="C2587" s="632"/>
      <c r="D2587" s="632"/>
      <c r="O2587" s="607"/>
    </row>
    <row r="2588">
      <c r="C2588" s="632"/>
      <c r="D2588" s="632"/>
      <c r="O2588" s="607"/>
    </row>
    <row r="2589">
      <c r="C2589" s="632"/>
      <c r="D2589" s="632"/>
      <c r="O2589" s="607"/>
    </row>
    <row r="2590">
      <c r="C2590" s="632"/>
      <c r="D2590" s="632"/>
      <c r="O2590" s="607"/>
    </row>
    <row r="2591">
      <c r="C2591" s="632"/>
      <c r="D2591" s="632"/>
      <c r="O2591" s="607"/>
    </row>
    <row r="2592">
      <c r="C2592" s="632"/>
      <c r="D2592" s="632"/>
      <c r="O2592" s="607"/>
    </row>
    <row r="2593">
      <c r="C2593" s="632"/>
      <c r="D2593" s="632"/>
      <c r="O2593" s="607"/>
    </row>
    <row r="2594">
      <c r="C2594" s="632"/>
      <c r="D2594" s="632"/>
      <c r="O2594" s="607"/>
    </row>
    <row r="2595">
      <c r="C2595" s="632"/>
      <c r="D2595" s="632"/>
      <c r="O2595" s="607"/>
    </row>
    <row r="2596">
      <c r="C2596" s="632"/>
      <c r="D2596" s="632"/>
      <c r="O2596" s="607"/>
    </row>
    <row r="2597">
      <c r="C2597" s="632"/>
      <c r="D2597" s="632"/>
      <c r="O2597" s="607"/>
    </row>
    <row r="2598">
      <c r="C2598" s="632"/>
      <c r="D2598" s="632"/>
      <c r="O2598" s="607"/>
    </row>
  </sheetData>
  <autoFilter ref="$A$1:$R$548">
    <filterColumn colId="3">
      <filters>
        <filter val="23-6-2019"/>
        <filter val="30-6-2019"/>
        <filter val="16-6-2019"/>
        <filter val="5-5-2019"/>
        <filter val="6-5-2019"/>
        <filter val="21-4-2019"/>
        <filter val="28-4-2019"/>
        <filter val="29-4-2019"/>
        <filter val="9-6-2019"/>
        <filter val="18-4-2019"/>
        <filter val="12-5-2019"/>
        <filter val="1-7-2019"/>
        <filter val="30-4-2019"/>
        <filter val="26-5-2019"/>
        <filter val="2-6-2019"/>
        <filter val="19-5-2019"/>
        <filter val="31-5-2019"/>
        <filter val="31-12-2021"/>
      </filters>
    </filterColumn>
  </autoFilter>
  <conditionalFormatting sqref="I2:I2598">
    <cfRule type="containsBlanks" dxfId="2" priority="1">
      <formula>LEN(TRIM(I2))=0</formula>
    </cfRule>
  </conditionalFormatting>
  <conditionalFormatting sqref="O2:O2598 P54">
    <cfRule type="containsBlanks" dxfId="2" priority="2">
      <formula>LEN(TRIM(O2))=0</formula>
    </cfRule>
  </conditionalFormatting>
  <conditionalFormatting sqref="P1:P64 Q1 Q3:Q14 Q26 Q57 Q64:Q65 P66:P2598 Q79:Q80">
    <cfRule type="containsBlanks" dxfId="2" priority="3">
      <formula>LEN(TRIM(P1))=0</formula>
    </cfRule>
  </conditionalFormatting>
  <conditionalFormatting sqref="E1:E2598">
    <cfRule type="containsBlanks" dxfId="2" priority="4">
      <formula>LEN(TRIM(E1))=0</formula>
    </cfRule>
  </conditionalFormatting>
  <conditionalFormatting sqref="Q1:Q24 R1:R15 R17:R2598 Q26:Q64 P29 Q66:Q2598">
    <cfRule type="containsBlanks" dxfId="2" priority="5">
      <formula>LEN(TRIM(Q1))=0</formula>
    </cfRule>
  </conditionalFormatting>
  <conditionalFormatting sqref="F2:H2598">
    <cfRule type="containsBlanks" dxfId="2" priority="6">
      <formula>LEN(TRIM(F2))=0</formula>
    </cfRule>
  </conditionalFormatting>
  <conditionalFormatting sqref="D2:D2598 C6:C16 C23:C25 C27:C28">
    <cfRule type="containsBlanks" dxfId="2" priority="7">
      <formula>LEN(TRIM(D2))=0</formula>
    </cfRule>
  </conditionalFormatting>
  <conditionalFormatting sqref="C2:C2598 D6:D7 D10:D16 D22:D25 D27:D28 D31 D50:D568">
    <cfRule type="containsBlanks" dxfId="2" priority="8">
      <formula>LEN(TRIM(C2))=0</formula>
    </cfRule>
  </conditionalFormatting>
  <conditionalFormatting sqref="D1:D2598">
    <cfRule type="expression" dxfId="3" priority="9">
      <formula>AND(ISNUMBER(D1),TRUNC(D1)&lt;TODAY())</formula>
    </cfRule>
  </conditionalFormatting>
  <conditionalFormatting sqref="K1:L2598">
    <cfRule type="containsText" dxfId="4" priority="10" operator="containsText" text="exclusief">
      <formula>NOT(ISERROR(SEARCH(("exclusief"),(K1))))</formula>
    </cfRule>
  </conditionalFormatting>
  <conditionalFormatting sqref="J2">
    <cfRule type="colorScale" priority="11">
      <colorScale>
        <cfvo type="min"/>
        <cfvo type="max"/>
        <color rgb="FF57BB8A"/>
        <color rgb="FFFFFFFF"/>
      </colorScale>
    </cfRule>
  </conditionalFormatting>
  <conditionalFormatting sqref="D52:D548">
    <cfRule type="expression" dxfId="5" priority="12">
      <formula>D52=44561.0</formula>
    </cfRule>
  </conditionalFormatting>
  <conditionalFormatting sqref="J17:N2598">
    <cfRule type="containsBlanks" dxfId="2" priority="13">
      <formula>LEN(TRIM(J17))=0</formula>
    </cfRule>
  </conditionalFormatting>
  <dataValidations>
    <dataValidation type="list" allowBlank="1" sqref="K17 K23:K25 K28 K30:K548 K550:K2598">
      <formula1>"Beide,Brand,Cadeau,Nee"</formula1>
    </dataValidation>
    <dataValidation type="list" allowBlank="1" sqref="F2:F548">
      <formula1>"NL,BE,NL+BE,B2B"</formula1>
    </dataValidation>
    <dataValidation type="list" allowBlank="1" sqref="M2:M548">
      <formula1>"Ja FB,Ja Insta,Ja beide,Nee"</formula1>
    </dataValidation>
    <dataValidation type="list" allowBlank="1" sqref="J2:J548 N2:N548">
      <formula1>"Ja,Nee"</formula1>
    </dataValidation>
    <dataValidation type="list" allowBlank="1" sqref="E2:E548">
      <formula1>"Kaarten,Bloemen,Ballonnen,Chocolade,Dranken,Taart &amp; gebak,Baby &amp; kids,Boeken,Uitnodigingen,Beauty,Mokken,Kaartenhuis,Multi cat"</formula1>
    </dataValidation>
    <dataValidation type="list" allowBlank="1" sqref="K1 K2:L16 L17 K18:L22 L23:L25 K26:L27 L28 K29:L29 L30:L548">
      <formula1>"Ja,Nee,Ja exclusief"</formula1>
    </dataValidation>
    <dataValidation type="list" allowBlank="1" sqref="I2:I548">
      <formula1>"In-store afprijzing,In-store voucher,Home panel,Paid only voucher"</formula1>
    </dataValidation>
  </dataValidations>
  <hyperlinks>
    <hyperlink r:id="rId2" ref="P2"/>
    <hyperlink r:id="rId3" ref="Q2"/>
    <hyperlink r:id="rId4" ref="P3"/>
    <hyperlink r:id="rId5" ref="Q3"/>
    <hyperlink r:id="rId6" ref="P4"/>
    <hyperlink r:id="rId7" ref="Q4"/>
    <hyperlink r:id="rId8" ref="P5"/>
    <hyperlink r:id="rId9" ref="Q5"/>
    <hyperlink r:id="rId10" ref="P6"/>
    <hyperlink r:id="rId11" ref="Q6"/>
    <hyperlink r:id="rId12" ref="P7"/>
    <hyperlink r:id="rId13" ref="P8"/>
    <hyperlink r:id="rId14" ref="Q8"/>
    <hyperlink r:id="rId15" ref="P9"/>
    <hyperlink r:id="rId16" ref="Q9"/>
    <hyperlink r:id="rId17" ref="P10"/>
    <hyperlink r:id="rId18" ref="Q10"/>
    <hyperlink r:id="rId19" ref="P12"/>
    <hyperlink r:id="rId20" ref="P14"/>
    <hyperlink r:id="rId21" ref="P15"/>
    <hyperlink r:id="rId22" ref="Q15"/>
    <hyperlink r:id="rId23" ref="P16"/>
    <hyperlink r:id="rId24" ref="Q16"/>
    <hyperlink r:id="rId25" ref="P17"/>
    <hyperlink r:id="rId26" ref="P18"/>
    <hyperlink r:id="rId27" ref="Q18"/>
    <hyperlink r:id="rId28" ref="P19"/>
    <hyperlink r:id="rId29" ref="Q19"/>
    <hyperlink r:id="rId30" ref="P20"/>
    <hyperlink r:id="rId31" ref="P21"/>
    <hyperlink r:id="rId32" ref="Q21"/>
    <hyperlink r:id="rId33" ref="P22"/>
    <hyperlink r:id="rId34" ref="Q22"/>
    <hyperlink r:id="rId35" ref="P23"/>
    <hyperlink r:id="rId36" ref="Q23"/>
    <hyperlink r:id="rId37" ref="P24"/>
    <hyperlink r:id="rId38" ref="P26"/>
    <hyperlink r:id="rId39" ref="Q26"/>
    <hyperlink r:id="rId40" ref="P28"/>
    <hyperlink r:id="rId41" ref="Q28"/>
    <hyperlink r:id="rId42" ref="P29"/>
    <hyperlink r:id="rId43" ref="Q29"/>
    <hyperlink r:id="rId44" ref="P30"/>
    <hyperlink r:id="rId45" ref="Q30"/>
    <hyperlink r:id="rId46" ref="P31"/>
    <hyperlink r:id="rId47" ref="Q31"/>
    <hyperlink r:id="rId48" ref="P32"/>
    <hyperlink r:id="rId49" ref="P33"/>
    <hyperlink r:id="rId50" ref="Q34"/>
    <hyperlink r:id="rId51" ref="P35"/>
    <hyperlink r:id="rId52" ref="Q35"/>
    <hyperlink r:id="rId53" ref="P36"/>
    <hyperlink r:id="rId54" ref="Q36"/>
    <hyperlink r:id="rId55" ref="P37"/>
    <hyperlink r:id="rId56" ref="P38"/>
    <hyperlink r:id="rId57" ref="Q38"/>
    <hyperlink r:id="rId58" ref="P39"/>
    <hyperlink r:id="rId59" ref="Q39"/>
    <hyperlink r:id="rId60" ref="P41"/>
    <hyperlink r:id="rId61" ref="Q41"/>
    <hyperlink r:id="rId62" ref="P42"/>
    <hyperlink r:id="rId63" ref="P43"/>
    <hyperlink r:id="rId64" ref="P44"/>
    <hyperlink r:id="rId65" ref="P45"/>
    <hyperlink r:id="rId66" ref="Q45"/>
    <hyperlink r:id="rId67" ref="P46"/>
    <hyperlink r:id="rId68" ref="P47"/>
    <hyperlink r:id="rId69" ref="Q47"/>
    <hyperlink r:id="rId70" ref="P48"/>
    <hyperlink r:id="rId71" ref="P49"/>
    <hyperlink r:id="rId72" ref="Q50"/>
    <hyperlink r:id="rId73" ref="P51"/>
    <hyperlink r:id="rId74" ref="Q51"/>
    <hyperlink r:id="rId75" ref="P52"/>
    <hyperlink r:id="rId76" ref="P53"/>
    <hyperlink r:id="rId77" ref="P54"/>
    <hyperlink r:id="rId78" ref="Q54"/>
    <hyperlink r:id="rId79" ref="P55"/>
    <hyperlink r:id="rId80" ref="P57"/>
    <hyperlink r:id="rId81" ref="Q57"/>
    <hyperlink r:id="rId82" ref="P58"/>
    <hyperlink r:id="rId83" ref="Q58"/>
    <hyperlink r:id="rId84" ref="P59"/>
    <hyperlink r:id="rId85" ref="P62"/>
    <hyperlink r:id="rId86" ref="Q62"/>
    <hyperlink r:id="rId87" ref="P65"/>
    <hyperlink r:id="rId88" ref="Q65"/>
    <hyperlink r:id="rId89" ref="P66"/>
    <hyperlink r:id="rId90" ref="Q66"/>
    <hyperlink r:id="rId91" ref="P67"/>
    <hyperlink r:id="rId92" ref="Q68"/>
    <hyperlink r:id="rId93" ref="P69"/>
    <hyperlink r:id="rId94" ref="Q69"/>
    <hyperlink r:id="rId95" ref="P70"/>
    <hyperlink r:id="rId96" ref="Q70"/>
    <hyperlink r:id="rId97" ref="P73"/>
    <hyperlink r:id="rId98" ref="Q73"/>
    <hyperlink r:id="rId99" ref="P75"/>
    <hyperlink r:id="rId100" ref="Q75"/>
    <hyperlink r:id="rId101" ref="P76"/>
    <hyperlink r:id="rId102" ref="P77"/>
    <hyperlink r:id="rId103" ref="P79"/>
    <hyperlink r:id="rId104" ref="Q79"/>
  </hyperlinks>
  <drawing r:id="rId105"/>
  <legacyDrawing r:id="rId10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5.0"/>
    <col customWidth="1" min="2" max="63" width="4.57"/>
    <col customWidth="1" min="64" max="64" width="13.43"/>
    <col customWidth="1" min="65" max="70" width="4.57"/>
    <col customWidth="1" min="71" max="71" width="19.0"/>
    <col customWidth="1" min="72" max="85" width="4.57"/>
  </cols>
  <sheetData>
    <row r="1">
      <c r="B1" s="551"/>
      <c r="C1" s="10"/>
      <c r="D1" s="10"/>
      <c r="E1" s="10"/>
      <c r="F1" s="10"/>
      <c r="G1" s="10"/>
      <c r="H1" s="121"/>
      <c r="I1" s="551"/>
      <c r="J1" s="10"/>
      <c r="K1" s="10"/>
      <c r="L1" s="10"/>
      <c r="M1" s="10"/>
      <c r="N1" s="10"/>
      <c r="O1" s="121"/>
      <c r="P1" s="551"/>
      <c r="Q1" s="10"/>
      <c r="R1" s="10"/>
      <c r="S1" s="10"/>
      <c r="T1" s="10"/>
      <c r="U1" s="10"/>
      <c r="V1" s="121"/>
      <c r="W1" s="551"/>
      <c r="X1" s="10"/>
      <c r="Y1" s="10"/>
      <c r="Z1" s="10"/>
      <c r="AA1" s="10"/>
      <c r="AB1" s="10"/>
      <c r="AC1" s="121"/>
      <c r="AD1" s="551"/>
      <c r="AE1" s="10"/>
      <c r="AF1" s="10"/>
      <c r="AG1" s="10"/>
      <c r="AH1" s="10"/>
      <c r="AI1" s="10"/>
      <c r="AJ1" s="121"/>
      <c r="AK1" s="551"/>
      <c r="AL1" s="10"/>
      <c r="AM1" s="10"/>
      <c r="AN1" s="10"/>
      <c r="AO1" s="10"/>
      <c r="AP1" s="10"/>
      <c r="AQ1" s="83"/>
      <c r="AR1" s="10"/>
      <c r="AS1" s="10"/>
      <c r="AT1" s="10"/>
      <c r="AU1" s="10"/>
      <c r="AV1" s="10"/>
      <c r="AW1" s="10"/>
      <c r="AX1" s="83"/>
      <c r="AY1" s="10"/>
      <c r="AZ1" s="10"/>
      <c r="BA1" s="10"/>
      <c r="BB1" s="10"/>
      <c r="BC1" s="10"/>
      <c r="BD1" s="10"/>
      <c r="BE1" s="121"/>
      <c r="BF1" s="551"/>
      <c r="BG1" s="10"/>
      <c r="BH1" s="10"/>
      <c r="BI1" s="10"/>
      <c r="BJ1" s="10"/>
      <c r="BK1" s="10"/>
      <c r="BL1" s="121"/>
      <c r="BM1" s="551"/>
      <c r="BN1" s="10"/>
      <c r="BO1" s="10"/>
      <c r="BP1" s="10"/>
      <c r="BQ1" s="10"/>
      <c r="BR1" s="10"/>
      <c r="BS1" s="121"/>
      <c r="BT1" s="551"/>
      <c r="BU1" s="10"/>
      <c r="BV1" s="10"/>
      <c r="BW1" s="10"/>
      <c r="BX1" s="10"/>
      <c r="BY1" s="10"/>
      <c r="BZ1" s="121"/>
      <c r="CA1" s="551"/>
      <c r="CB1" s="10"/>
      <c r="CC1" s="10"/>
      <c r="CD1" s="10"/>
      <c r="CE1" s="10"/>
      <c r="CF1" s="10"/>
      <c r="CG1" s="121"/>
    </row>
    <row r="2">
      <c r="A2" s="552"/>
      <c r="B2" s="553"/>
      <c r="C2" s="552"/>
      <c r="D2" s="552"/>
      <c r="E2" s="552"/>
      <c r="F2" s="552"/>
      <c r="G2" s="552"/>
      <c r="H2" s="554"/>
      <c r="I2" s="553"/>
      <c r="J2" s="552"/>
      <c r="K2" s="552"/>
      <c r="L2" s="552"/>
      <c r="M2" s="552"/>
      <c r="N2" s="552"/>
      <c r="O2" s="554"/>
      <c r="P2" s="553"/>
      <c r="Q2" s="552"/>
      <c r="R2" s="552"/>
      <c r="S2" s="552"/>
      <c r="T2" s="552"/>
      <c r="U2" s="552"/>
      <c r="V2" s="555" t="s">
        <v>2378</v>
      </c>
      <c r="AY2" s="83"/>
      <c r="AZ2" s="555" t="s">
        <v>2383</v>
      </c>
      <c r="CE2" s="552"/>
      <c r="CF2" s="552"/>
      <c r="CG2" s="554"/>
      <c r="CH2" s="552"/>
      <c r="CI2" s="552"/>
      <c r="CJ2" s="552"/>
      <c r="CK2" s="552"/>
      <c r="CL2" s="552"/>
      <c r="CM2" s="552"/>
      <c r="CN2" s="552"/>
    </row>
    <row r="3">
      <c r="A3" s="556"/>
      <c r="B3" s="557" t="s">
        <v>89</v>
      </c>
      <c r="C3" s="556"/>
      <c r="D3" s="556"/>
      <c r="E3" s="556"/>
      <c r="F3" s="556"/>
      <c r="G3" s="556"/>
      <c r="H3" s="558"/>
      <c r="I3" s="557" t="s">
        <v>90</v>
      </c>
      <c r="J3" s="556"/>
      <c r="K3" s="556"/>
      <c r="L3" s="556"/>
      <c r="M3" s="556"/>
      <c r="N3" s="556"/>
      <c r="O3" s="558"/>
      <c r="P3" s="557" t="s">
        <v>91</v>
      </c>
      <c r="Q3" s="556"/>
      <c r="R3" s="556"/>
      <c r="S3" s="556"/>
      <c r="T3" s="556"/>
      <c r="U3" s="556"/>
      <c r="V3" s="558"/>
      <c r="W3" s="557" t="s">
        <v>92</v>
      </c>
      <c r="X3" s="556"/>
      <c r="Y3" s="556"/>
      <c r="Z3" s="556"/>
      <c r="AA3" s="556"/>
      <c r="AB3" s="556"/>
      <c r="AC3" s="558"/>
      <c r="AD3" s="557" t="s">
        <v>93</v>
      </c>
      <c r="AE3" s="556"/>
      <c r="AF3" s="556"/>
      <c r="AG3" s="556"/>
      <c r="AH3" s="556"/>
      <c r="AI3" s="556"/>
      <c r="AJ3" s="558"/>
      <c r="AK3" s="557" t="s">
        <v>94</v>
      </c>
      <c r="AL3" s="556"/>
      <c r="AM3" s="556"/>
      <c r="AN3" s="556"/>
      <c r="AO3" s="556"/>
      <c r="AP3" s="556"/>
      <c r="AQ3" s="558"/>
      <c r="AR3" s="559" t="s">
        <v>95</v>
      </c>
      <c r="AS3" s="556"/>
      <c r="AT3" s="556"/>
      <c r="AU3" s="556"/>
      <c r="AV3" s="556"/>
      <c r="AW3" s="556"/>
      <c r="AX3" s="558"/>
      <c r="AY3" s="559" t="s">
        <v>97</v>
      </c>
      <c r="AZ3" s="556"/>
      <c r="BA3" s="556"/>
      <c r="BB3" s="556"/>
      <c r="BC3" s="556"/>
      <c r="BD3" s="556"/>
      <c r="BE3" s="558"/>
      <c r="BF3" s="557" t="s">
        <v>98</v>
      </c>
      <c r="BG3" s="556"/>
      <c r="BH3" s="556"/>
      <c r="BI3" s="556"/>
      <c r="BJ3" s="556"/>
      <c r="BK3" s="556"/>
      <c r="BL3" s="558"/>
      <c r="BM3" s="557" t="s">
        <v>99</v>
      </c>
      <c r="BN3" s="556"/>
      <c r="BO3" s="556"/>
      <c r="BP3" s="556"/>
      <c r="BQ3" s="556"/>
      <c r="BR3" s="556"/>
      <c r="BS3" s="558"/>
      <c r="BT3" s="557" t="s">
        <v>101</v>
      </c>
      <c r="BU3" s="556"/>
      <c r="BV3" s="556"/>
      <c r="BW3" s="556"/>
      <c r="BX3" s="556"/>
      <c r="BY3" s="556"/>
      <c r="BZ3" s="558"/>
      <c r="CA3" s="557" t="s">
        <v>2386</v>
      </c>
      <c r="CB3" s="556"/>
      <c r="CC3" s="556"/>
      <c r="CD3" s="556"/>
      <c r="CE3" s="556"/>
      <c r="CF3" s="556"/>
      <c r="CG3" s="558"/>
      <c r="CH3" s="559" t="s">
        <v>43</v>
      </c>
      <c r="CI3" s="556"/>
      <c r="CJ3" s="556"/>
      <c r="CK3" s="556"/>
      <c r="CL3" s="556"/>
      <c r="CM3" s="556"/>
      <c r="CN3" s="556"/>
    </row>
    <row r="4">
      <c r="B4" s="94" t="s">
        <v>108</v>
      </c>
      <c r="C4" s="58" t="s">
        <v>109</v>
      </c>
      <c r="D4" s="58" t="s">
        <v>110</v>
      </c>
      <c r="E4" s="58" t="s">
        <v>111</v>
      </c>
      <c r="F4" s="58" t="s">
        <v>112</v>
      </c>
      <c r="G4" s="58" t="s">
        <v>113</v>
      </c>
      <c r="H4" s="92" t="s">
        <v>114</v>
      </c>
      <c r="I4" s="94" t="s">
        <v>108</v>
      </c>
      <c r="J4" s="58" t="s">
        <v>109</v>
      </c>
      <c r="K4" s="58" t="s">
        <v>110</v>
      </c>
      <c r="L4" s="58" t="s">
        <v>111</v>
      </c>
      <c r="M4" s="58" t="s">
        <v>112</v>
      </c>
      <c r="N4" s="58" t="s">
        <v>113</v>
      </c>
      <c r="O4" s="92" t="s">
        <v>114</v>
      </c>
      <c r="P4" s="94" t="s">
        <v>108</v>
      </c>
      <c r="Q4" s="58" t="s">
        <v>109</v>
      </c>
      <c r="R4" s="58" t="s">
        <v>110</v>
      </c>
      <c r="S4" s="58" t="s">
        <v>111</v>
      </c>
      <c r="T4" s="58" t="s">
        <v>112</v>
      </c>
      <c r="U4" s="58" t="s">
        <v>113</v>
      </c>
      <c r="V4" s="92" t="s">
        <v>114</v>
      </c>
      <c r="W4" s="94" t="s">
        <v>108</v>
      </c>
      <c r="X4" s="58" t="s">
        <v>109</v>
      </c>
      <c r="Y4" s="58" t="s">
        <v>110</v>
      </c>
      <c r="Z4" s="58" t="s">
        <v>111</v>
      </c>
      <c r="AA4" s="58" t="s">
        <v>112</v>
      </c>
      <c r="AB4" s="58" t="s">
        <v>113</v>
      </c>
      <c r="AC4" s="92" t="s">
        <v>114</v>
      </c>
      <c r="AD4" s="94" t="s">
        <v>108</v>
      </c>
      <c r="AE4" s="58" t="s">
        <v>109</v>
      </c>
      <c r="AF4" s="58" t="s">
        <v>110</v>
      </c>
      <c r="AG4" s="58" t="s">
        <v>111</v>
      </c>
      <c r="AH4" s="58" t="s">
        <v>112</v>
      </c>
      <c r="AI4" s="58" t="s">
        <v>113</v>
      </c>
      <c r="AJ4" s="92" t="s">
        <v>114</v>
      </c>
      <c r="AK4" s="94" t="s">
        <v>108</v>
      </c>
      <c r="AL4" s="58" t="s">
        <v>109</v>
      </c>
      <c r="AM4" s="58" t="s">
        <v>110</v>
      </c>
      <c r="AN4" s="58" t="s">
        <v>111</v>
      </c>
      <c r="AO4" s="58" t="s">
        <v>112</v>
      </c>
      <c r="AP4" s="58" t="s">
        <v>113</v>
      </c>
      <c r="AQ4" s="92" t="s">
        <v>114</v>
      </c>
      <c r="AR4" s="58" t="s">
        <v>108</v>
      </c>
      <c r="AS4" s="58" t="s">
        <v>109</v>
      </c>
      <c r="AT4" s="58" t="s">
        <v>110</v>
      </c>
      <c r="AU4" s="58" t="s">
        <v>111</v>
      </c>
      <c r="AV4" s="58" t="s">
        <v>112</v>
      </c>
      <c r="AW4" s="58" t="s">
        <v>113</v>
      </c>
      <c r="AX4" s="92" t="s">
        <v>114</v>
      </c>
      <c r="AY4" s="58" t="s">
        <v>108</v>
      </c>
      <c r="AZ4" s="58" t="s">
        <v>109</v>
      </c>
      <c r="BA4" s="58" t="s">
        <v>110</v>
      </c>
      <c r="BB4" s="58" t="s">
        <v>111</v>
      </c>
      <c r="BC4" s="58" t="s">
        <v>112</v>
      </c>
      <c r="BD4" s="58" t="s">
        <v>113</v>
      </c>
      <c r="BE4" s="92" t="s">
        <v>114</v>
      </c>
      <c r="BF4" s="94" t="s">
        <v>108</v>
      </c>
      <c r="BG4" s="58" t="s">
        <v>109</v>
      </c>
      <c r="BH4" s="58" t="s">
        <v>110</v>
      </c>
      <c r="BI4" s="58" t="s">
        <v>111</v>
      </c>
      <c r="BJ4" s="58" t="s">
        <v>112</v>
      </c>
      <c r="BK4" s="58" t="s">
        <v>113</v>
      </c>
      <c r="BL4" s="92" t="s">
        <v>114</v>
      </c>
      <c r="BM4" s="94" t="s">
        <v>108</v>
      </c>
      <c r="BN4" s="58" t="s">
        <v>109</v>
      </c>
      <c r="BO4" s="58" t="s">
        <v>110</v>
      </c>
      <c r="BP4" s="58" t="s">
        <v>111</v>
      </c>
      <c r="BQ4" s="58" t="s">
        <v>112</v>
      </c>
      <c r="BR4" s="58" t="s">
        <v>113</v>
      </c>
      <c r="BS4" s="92" t="s">
        <v>114</v>
      </c>
      <c r="BT4" s="94" t="s">
        <v>108</v>
      </c>
      <c r="BU4" s="58" t="s">
        <v>109</v>
      </c>
      <c r="BV4" s="58" t="s">
        <v>110</v>
      </c>
      <c r="BW4" s="58" t="s">
        <v>111</v>
      </c>
      <c r="BX4" s="58" t="s">
        <v>112</v>
      </c>
      <c r="BY4" s="58" t="s">
        <v>113</v>
      </c>
      <c r="BZ4" s="92" t="s">
        <v>114</v>
      </c>
      <c r="CA4" s="94" t="s">
        <v>108</v>
      </c>
      <c r="CB4" s="58" t="s">
        <v>109</v>
      </c>
      <c r="CC4" s="58" t="s">
        <v>110</v>
      </c>
      <c r="CD4" s="58" t="s">
        <v>111</v>
      </c>
      <c r="CE4" s="58" t="s">
        <v>112</v>
      </c>
      <c r="CF4" s="58" t="s">
        <v>113</v>
      </c>
      <c r="CG4" s="92" t="s">
        <v>114</v>
      </c>
      <c r="CH4" s="58" t="s">
        <v>108</v>
      </c>
      <c r="CI4" s="58" t="s">
        <v>109</v>
      </c>
      <c r="CJ4" s="58" t="s">
        <v>110</v>
      </c>
      <c r="CK4" s="58" t="s">
        <v>111</v>
      </c>
      <c r="CL4" s="58" t="s">
        <v>112</v>
      </c>
      <c r="CM4" s="58" t="s">
        <v>113</v>
      </c>
      <c r="CN4" s="58" t="s">
        <v>114</v>
      </c>
    </row>
    <row r="5">
      <c r="B5" s="94">
        <v>12.0</v>
      </c>
      <c r="C5" s="58">
        <v>13.0</v>
      </c>
      <c r="D5" s="58">
        <v>14.0</v>
      </c>
      <c r="E5" s="58">
        <v>15.0</v>
      </c>
      <c r="F5" s="58">
        <v>16.0</v>
      </c>
      <c r="G5" s="58">
        <v>17.0</v>
      </c>
      <c r="H5" s="92">
        <v>18.0</v>
      </c>
      <c r="I5" s="94">
        <v>19.0</v>
      </c>
      <c r="J5" s="58">
        <v>20.0</v>
      </c>
      <c r="K5" s="58">
        <v>21.0</v>
      </c>
      <c r="L5" s="58">
        <v>22.0</v>
      </c>
      <c r="M5" s="58">
        <v>23.0</v>
      </c>
      <c r="N5" s="58">
        <v>24.0</v>
      </c>
      <c r="O5" s="92">
        <v>25.0</v>
      </c>
      <c r="P5" s="94">
        <v>26.0</v>
      </c>
      <c r="Q5" s="58">
        <v>27.0</v>
      </c>
      <c r="R5" s="58">
        <v>28.0</v>
      </c>
      <c r="S5" s="58">
        <v>29.0</v>
      </c>
      <c r="T5" s="58">
        <v>30.0</v>
      </c>
      <c r="U5" s="58">
        <v>31.0</v>
      </c>
      <c r="V5" s="92">
        <v>1.0</v>
      </c>
      <c r="W5" s="94">
        <v>2.0</v>
      </c>
      <c r="X5" s="58">
        <v>3.0</v>
      </c>
      <c r="Y5" s="58">
        <v>4.0</v>
      </c>
      <c r="Z5" s="58">
        <v>5.0</v>
      </c>
      <c r="AA5" s="58">
        <v>6.0</v>
      </c>
      <c r="AB5" s="58">
        <v>7.0</v>
      </c>
      <c r="AC5" s="92">
        <v>8.0</v>
      </c>
      <c r="AD5" s="94">
        <v>9.0</v>
      </c>
      <c r="AE5" s="58">
        <v>10.0</v>
      </c>
      <c r="AF5" s="58">
        <v>11.0</v>
      </c>
      <c r="AG5" s="58">
        <v>12.0</v>
      </c>
      <c r="AH5" s="58">
        <v>13.0</v>
      </c>
      <c r="AI5" s="58">
        <v>14.0</v>
      </c>
      <c r="AJ5" s="92">
        <v>15.0</v>
      </c>
      <c r="AK5" s="94">
        <v>16.0</v>
      </c>
      <c r="AL5" s="58">
        <v>17.0</v>
      </c>
      <c r="AM5" s="58">
        <v>18.0</v>
      </c>
      <c r="AN5" s="58">
        <v>19.0</v>
      </c>
      <c r="AO5" s="58">
        <v>20.0</v>
      </c>
      <c r="AP5" s="58">
        <v>21.0</v>
      </c>
      <c r="AQ5" s="92">
        <v>22.0</v>
      </c>
      <c r="AR5" s="58">
        <v>23.0</v>
      </c>
      <c r="AS5" s="58">
        <v>24.0</v>
      </c>
      <c r="AT5" s="58">
        <v>25.0</v>
      </c>
      <c r="AU5" s="58">
        <v>26.0</v>
      </c>
      <c r="AV5" s="58">
        <v>27.0</v>
      </c>
      <c r="AW5" s="58">
        <v>28.0</v>
      </c>
      <c r="AX5" s="92">
        <v>29.0</v>
      </c>
      <c r="AY5" s="58">
        <v>30.0</v>
      </c>
      <c r="AZ5" s="58">
        <v>1.0</v>
      </c>
      <c r="BA5" s="58">
        <v>2.0</v>
      </c>
      <c r="BB5" s="58">
        <v>3.0</v>
      </c>
      <c r="BC5" s="58">
        <v>4.0</v>
      </c>
      <c r="BD5" s="58">
        <v>5.0</v>
      </c>
      <c r="BE5" s="92">
        <v>6.0</v>
      </c>
      <c r="BF5" s="94">
        <v>7.0</v>
      </c>
      <c r="BG5" s="58">
        <v>8.0</v>
      </c>
      <c r="BH5" s="58">
        <v>9.0</v>
      </c>
      <c r="BI5" s="58">
        <v>10.0</v>
      </c>
      <c r="BJ5" s="58">
        <v>11.0</v>
      </c>
      <c r="BK5" s="58">
        <v>12.0</v>
      </c>
      <c r="BL5" s="92">
        <v>13.0</v>
      </c>
      <c r="BM5" s="94">
        <v>14.0</v>
      </c>
      <c r="BN5" s="58">
        <v>15.0</v>
      </c>
      <c r="BO5" s="58">
        <v>16.0</v>
      </c>
      <c r="BP5" s="58">
        <v>17.0</v>
      </c>
      <c r="BQ5" s="58">
        <v>18.0</v>
      </c>
      <c r="BR5" s="58">
        <v>19.0</v>
      </c>
      <c r="BS5" s="92">
        <v>20.0</v>
      </c>
      <c r="BT5" s="94">
        <v>21.0</v>
      </c>
      <c r="BU5" s="58">
        <v>22.0</v>
      </c>
      <c r="BV5" s="58">
        <v>23.0</v>
      </c>
      <c r="BW5" s="58">
        <v>24.0</v>
      </c>
      <c r="BX5" s="58">
        <v>25.0</v>
      </c>
      <c r="BY5" s="58">
        <v>26.0</v>
      </c>
      <c r="BZ5" s="92">
        <v>27.0</v>
      </c>
      <c r="CA5" s="94">
        <v>28.0</v>
      </c>
      <c r="CB5" s="58">
        <v>29.0</v>
      </c>
      <c r="CC5" s="58">
        <v>30.0</v>
      </c>
      <c r="CD5" s="58">
        <v>31.0</v>
      </c>
      <c r="CE5" s="58">
        <v>1.0</v>
      </c>
      <c r="CF5" s="58">
        <v>2.0</v>
      </c>
      <c r="CG5" s="92">
        <v>3.0</v>
      </c>
      <c r="CH5" s="58">
        <v>4.0</v>
      </c>
      <c r="CI5" s="58">
        <v>5.0</v>
      </c>
      <c r="CJ5" s="58">
        <v>6.0</v>
      </c>
      <c r="CK5" s="58">
        <v>7.0</v>
      </c>
      <c r="CL5" s="58">
        <v>8.0</v>
      </c>
      <c r="CM5" s="58">
        <v>9.0</v>
      </c>
      <c r="CN5" s="58">
        <v>10.0</v>
      </c>
    </row>
    <row r="6">
      <c r="A6" s="560" t="s">
        <v>2392</v>
      </c>
      <c r="B6" s="561"/>
      <c r="C6" s="562"/>
      <c r="D6" s="562"/>
      <c r="E6" s="562"/>
      <c r="F6" s="562"/>
      <c r="G6" s="562"/>
      <c r="H6" s="563"/>
      <c r="I6" s="561"/>
      <c r="J6" s="562"/>
      <c r="K6" s="562"/>
      <c r="L6" s="562"/>
      <c r="M6" s="562"/>
      <c r="N6" s="562"/>
      <c r="O6" s="563"/>
      <c r="P6" s="561"/>
      <c r="Q6" s="562"/>
      <c r="R6" s="562"/>
      <c r="S6" s="562"/>
      <c r="T6" s="562"/>
      <c r="U6" s="562"/>
      <c r="V6" s="564" t="s">
        <v>2393</v>
      </c>
      <c r="W6" s="561"/>
      <c r="X6" s="562"/>
      <c r="Y6" s="562"/>
      <c r="Z6" s="562"/>
      <c r="AA6" s="562"/>
      <c r="AB6" s="562"/>
      <c r="AC6" s="563"/>
      <c r="AD6" s="561"/>
      <c r="AE6" s="562"/>
      <c r="AF6" s="562"/>
      <c r="AG6" s="562"/>
      <c r="AH6" s="562"/>
      <c r="AI6" s="562"/>
      <c r="AJ6" s="563"/>
      <c r="AK6" s="561"/>
      <c r="AL6" s="562"/>
      <c r="AM6" s="562"/>
      <c r="AN6" s="562"/>
      <c r="AO6" s="562"/>
      <c r="AP6" s="562"/>
      <c r="AQ6" s="563"/>
      <c r="AR6" s="562"/>
      <c r="AS6" s="562"/>
      <c r="AT6" s="562"/>
      <c r="AU6" s="562"/>
      <c r="AV6" s="562"/>
      <c r="AW6" s="562"/>
      <c r="AX6" s="563"/>
      <c r="AY6" s="562"/>
      <c r="AZ6" s="562"/>
      <c r="BA6" s="562"/>
      <c r="BB6" s="560" t="s">
        <v>2396</v>
      </c>
      <c r="BC6" s="562"/>
      <c r="BD6" s="562"/>
      <c r="BE6" s="563"/>
      <c r="BF6" s="561"/>
      <c r="BG6" s="562"/>
      <c r="BH6" s="562"/>
      <c r="BI6" s="562"/>
      <c r="BJ6" s="562"/>
      <c r="BK6" s="562"/>
      <c r="BL6" s="563"/>
      <c r="BM6" s="561"/>
      <c r="BN6" s="562"/>
      <c r="BO6" s="562"/>
      <c r="BP6" s="562"/>
      <c r="BQ6" s="562"/>
      <c r="BR6" s="562"/>
      <c r="BS6" s="563"/>
      <c r="BT6" s="561"/>
      <c r="BU6" s="562"/>
      <c r="BV6" s="562"/>
      <c r="BW6" s="562"/>
      <c r="BX6" s="562"/>
      <c r="BY6" s="562"/>
      <c r="BZ6" s="563"/>
      <c r="CA6" s="561"/>
      <c r="CB6" s="562"/>
      <c r="CC6" s="562"/>
      <c r="CD6" s="562"/>
      <c r="CE6" s="562"/>
      <c r="CF6" s="562"/>
      <c r="CG6" s="563"/>
      <c r="CH6" s="562"/>
      <c r="CI6" s="562"/>
      <c r="CJ6" s="562"/>
      <c r="CK6" s="562"/>
      <c r="CL6" s="562"/>
      <c r="CM6" s="562"/>
      <c r="CN6" s="562"/>
    </row>
    <row r="7">
      <c r="A7" s="58" t="s">
        <v>2397</v>
      </c>
      <c r="B7" s="405"/>
      <c r="H7" s="83"/>
      <c r="I7" s="405"/>
      <c r="O7" s="83"/>
      <c r="P7" s="405"/>
      <c r="V7" s="83"/>
      <c r="W7" s="405"/>
      <c r="AC7" s="83"/>
      <c r="AD7" s="405"/>
      <c r="AJ7" s="83"/>
      <c r="AK7" s="405"/>
      <c r="AQ7" s="83"/>
      <c r="AX7" s="83"/>
      <c r="BE7" s="83"/>
      <c r="BF7" s="405"/>
      <c r="BL7" s="83"/>
      <c r="BM7" s="405"/>
      <c r="BS7" s="83"/>
      <c r="BT7" s="405"/>
      <c r="BZ7" s="83"/>
      <c r="CA7" s="405"/>
      <c r="CG7" s="83"/>
    </row>
    <row r="8">
      <c r="A8" s="58" t="s">
        <v>2399</v>
      </c>
      <c r="B8" s="405"/>
      <c r="H8" s="83"/>
      <c r="I8" s="405"/>
      <c r="O8" s="83"/>
      <c r="P8" s="405"/>
      <c r="V8" s="83"/>
      <c r="W8" s="405"/>
      <c r="AC8" s="83"/>
      <c r="AD8" s="405"/>
      <c r="AJ8" s="83"/>
      <c r="AK8" s="405"/>
      <c r="AQ8" s="83"/>
      <c r="AX8" s="83"/>
      <c r="BE8" s="83"/>
      <c r="BF8" s="405"/>
      <c r="BL8" s="83"/>
      <c r="BM8" s="405"/>
      <c r="BS8" s="83"/>
      <c r="BT8" s="405"/>
      <c r="BX8" s="58" t="s">
        <v>323</v>
      </c>
      <c r="BZ8" s="83"/>
      <c r="CA8" s="405"/>
      <c r="CG8" s="83"/>
    </row>
    <row r="9">
      <c r="A9" s="58" t="s">
        <v>2400</v>
      </c>
      <c r="B9" s="405"/>
      <c r="H9" s="83"/>
      <c r="I9" s="405"/>
      <c r="O9" s="83"/>
      <c r="P9" s="405"/>
      <c r="V9" s="83"/>
      <c r="W9" s="405"/>
      <c r="AC9" s="83"/>
      <c r="AD9" s="405"/>
      <c r="AJ9" s="83"/>
      <c r="AK9" s="405"/>
      <c r="AQ9" s="83"/>
      <c r="AX9" s="83"/>
      <c r="BE9" s="83"/>
      <c r="BF9" s="405"/>
      <c r="BL9" s="83"/>
      <c r="BM9" s="405"/>
      <c r="BS9" s="83"/>
      <c r="BT9" s="405"/>
      <c r="BZ9" s="83"/>
      <c r="CA9" s="405"/>
      <c r="CG9" s="83"/>
    </row>
    <row r="10">
      <c r="A10" s="58" t="s">
        <v>2402</v>
      </c>
      <c r="B10" s="405"/>
      <c r="H10" s="83"/>
      <c r="I10" s="405"/>
      <c r="O10" s="83"/>
      <c r="P10" s="405"/>
      <c r="U10" s="58" t="s">
        <v>2403</v>
      </c>
      <c r="V10" s="565"/>
      <c r="W10" s="405"/>
      <c r="AC10" s="83"/>
      <c r="AD10" s="405"/>
      <c r="AF10" s="566" t="s">
        <v>2404</v>
      </c>
      <c r="AJ10" s="83"/>
      <c r="AK10" s="405"/>
      <c r="AQ10" s="83"/>
      <c r="AX10" s="83"/>
      <c r="BD10" s="566" t="s">
        <v>2405</v>
      </c>
      <c r="BE10" s="83"/>
      <c r="BF10" s="567" t="s">
        <v>2406</v>
      </c>
      <c r="BL10" s="83"/>
      <c r="BM10" s="405"/>
      <c r="BS10" s="83"/>
      <c r="BT10" s="405"/>
      <c r="BZ10" s="83"/>
      <c r="CA10" s="405"/>
      <c r="CG10" s="83"/>
    </row>
    <row r="11">
      <c r="A11" s="58" t="s">
        <v>207</v>
      </c>
      <c r="B11" s="405"/>
      <c r="J11" s="568"/>
      <c r="K11" s="568"/>
      <c r="L11" s="568"/>
      <c r="M11" s="568"/>
      <c r="N11" s="281" t="s">
        <v>2408</v>
      </c>
      <c r="O11" s="568"/>
      <c r="P11" s="568"/>
      <c r="Q11" s="568"/>
      <c r="R11" s="568"/>
      <c r="S11" s="568"/>
      <c r="T11" s="568"/>
      <c r="U11" s="568"/>
      <c r="V11" s="568"/>
      <c r="W11" s="405"/>
      <c r="AC11" s="83"/>
      <c r="AD11" s="405"/>
      <c r="AJ11" s="83"/>
      <c r="AK11" s="405"/>
      <c r="AQ11" s="83"/>
      <c r="AX11" s="83"/>
      <c r="BE11" s="83"/>
      <c r="BF11" s="405"/>
      <c r="BL11" s="83"/>
      <c r="BM11" s="405"/>
      <c r="BR11" s="58" t="s">
        <v>2409</v>
      </c>
      <c r="BS11" s="83"/>
      <c r="BT11" s="405"/>
      <c r="BZ11" s="83"/>
      <c r="CA11" s="405"/>
      <c r="CG11" s="83"/>
    </row>
    <row r="12">
      <c r="A12" s="58" t="s">
        <v>2410</v>
      </c>
      <c r="B12" s="405"/>
      <c r="H12" s="83"/>
      <c r="I12" s="405"/>
      <c r="O12" s="83"/>
      <c r="P12" s="405"/>
      <c r="V12" s="92"/>
      <c r="W12" s="405"/>
      <c r="AC12" s="83"/>
      <c r="AD12" s="405"/>
      <c r="AJ12" s="83"/>
      <c r="AK12" s="405"/>
      <c r="AQ12" s="83"/>
      <c r="AX12" s="83"/>
      <c r="AZ12" s="58"/>
      <c r="BE12" s="83"/>
      <c r="BF12" s="405"/>
      <c r="BL12" s="83"/>
      <c r="BM12" s="405"/>
      <c r="BS12" s="83"/>
      <c r="BT12" s="94" t="s">
        <v>2412</v>
      </c>
      <c r="BZ12" s="83"/>
      <c r="CA12" s="405"/>
      <c r="CG12" s="83"/>
    </row>
    <row r="13">
      <c r="A13" s="560" t="s">
        <v>2413</v>
      </c>
      <c r="B13" s="561"/>
      <c r="C13" s="562"/>
      <c r="D13" s="562"/>
      <c r="E13" s="562"/>
      <c r="F13" s="562"/>
      <c r="G13" s="562"/>
      <c r="H13" s="563"/>
      <c r="I13" s="561"/>
      <c r="J13" s="562"/>
      <c r="K13" s="562"/>
      <c r="L13" s="562"/>
      <c r="M13" s="562"/>
      <c r="N13" s="562"/>
      <c r="O13" s="563"/>
      <c r="P13" s="561"/>
      <c r="Q13" s="562"/>
      <c r="R13" s="562"/>
      <c r="S13" s="562"/>
      <c r="T13" s="562"/>
      <c r="U13" s="562"/>
      <c r="V13" s="563"/>
      <c r="W13" s="561"/>
      <c r="X13" s="562"/>
      <c r="Y13" s="562"/>
      <c r="Z13" s="562"/>
      <c r="AA13" s="562"/>
      <c r="AB13" s="562"/>
      <c r="AC13" s="563"/>
      <c r="AD13" s="561"/>
      <c r="AE13" s="562"/>
      <c r="AF13" s="562"/>
      <c r="AG13" s="562"/>
      <c r="AH13" s="562"/>
      <c r="AI13" s="562"/>
      <c r="AJ13" s="563"/>
      <c r="AK13" s="561"/>
      <c r="AL13" s="562"/>
      <c r="AM13" s="562"/>
      <c r="AN13" s="562"/>
      <c r="AO13" s="562"/>
      <c r="AP13" s="562"/>
      <c r="AQ13" s="563"/>
      <c r="AR13" s="562"/>
      <c r="AS13" s="562"/>
      <c r="AT13" s="562"/>
      <c r="AU13" s="562"/>
      <c r="AV13" s="562"/>
      <c r="AW13" s="562"/>
      <c r="AX13" s="563"/>
      <c r="AY13" s="562"/>
      <c r="AZ13" s="562"/>
      <c r="BA13" s="562"/>
      <c r="BB13" s="562"/>
      <c r="BC13" s="562"/>
      <c r="BD13" s="562"/>
      <c r="BE13" s="563"/>
      <c r="BF13" s="561"/>
      <c r="BG13" s="562"/>
      <c r="BH13" s="562"/>
      <c r="BI13" s="562"/>
      <c r="BJ13" s="562"/>
      <c r="BK13" s="562"/>
      <c r="BL13" s="563"/>
      <c r="BM13" s="561"/>
      <c r="BN13" s="562"/>
      <c r="BO13" s="562"/>
      <c r="BP13" s="562"/>
      <c r="BQ13" s="562"/>
      <c r="BR13" s="562"/>
      <c r="BS13" s="563"/>
      <c r="BT13" s="561"/>
      <c r="BU13" s="562"/>
      <c r="BV13" s="562"/>
      <c r="BW13" s="562"/>
      <c r="BX13" s="562"/>
      <c r="BY13" s="562"/>
      <c r="BZ13" s="563"/>
      <c r="CA13" s="561"/>
      <c r="CB13" s="562"/>
      <c r="CC13" s="562"/>
      <c r="CD13" s="562"/>
      <c r="CE13" s="562"/>
      <c r="CF13" s="562"/>
      <c r="CG13" s="563"/>
      <c r="CH13" s="562"/>
      <c r="CI13" s="562"/>
      <c r="CJ13" s="562"/>
      <c r="CK13" s="562"/>
      <c r="CL13" s="562"/>
      <c r="CM13" s="562"/>
      <c r="CN13" s="562"/>
    </row>
    <row r="14">
      <c r="B14" s="405"/>
      <c r="H14" s="83"/>
      <c r="I14" s="405"/>
      <c r="O14" s="83"/>
      <c r="P14" s="405"/>
      <c r="V14" s="83"/>
      <c r="W14" s="405"/>
      <c r="AC14" s="83"/>
      <c r="AD14" s="405"/>
      <c r="AJ14" s="83"/>
      <c r="AK14" s="405"/>
      <c r="AQ14" s="83"/>
      <c r="AX14" s="83"/>
      <c r="AZ14" s="58" t="s">
        <v>2416</v>
      </c>
      <c r="BE14" s="83"/>
      <c r="BF14" s="405"/>
      <c r="BL14" s="83"/>
      <c r="BM14" s="405"/>
      <c r="BS14" s="83"/>
      <c r="BT14" s="405"/>
      <c r="BZ14" s="83"/>
      <c r="CA14" s="405"/>
      <c r="CG14" s="83"/>
    </row>
    <row r="15">
      <c r="B15" s="405"/>
      <c r="H15" s="83"/>
      <c r="I15" s="405"/>
      <c r="O15" s="83"/>
      <c r="P15" s="405"/>
      <c r="V15" s="83"/>
      <c r="W15" s="405"/>
      <c r="AC15" s="83"/>
      <c r="AD15" s="405"/>
      <c r="AJ15" s="83"/>
      <c r="AK15" s="405"/>
      <c r="AQ15" s="83"/>
      <c r="AX15" s="83"/>
      <c r="BE15" s="83"/>
      <c r="BF15" s="405"/>
      <c r="BL15" s="83"/>
      <c r="BM15" s="405"/>
      <c r="BS15" s="83"/>
      <c r="BT15" s="405"/>
      <c r="BZ15" s="83"/>
      <c r="CA15" s="405"/>
      <c r="CG15" s="83"/>
    </row>
    <row r="16">
      <c r="A16" s="560" t="s">
        <v>2417</v>
      </c>
      <c r="B16" s="561"/>
      <c r="C16" s="562"/>
      <c r="D16" s="562"/>
      <c r="E16" s="562"/>
      <c r="F16" s="562"/>
      <c r="G16" s="562"/>
      <c r="H16" s="563"/>
      <c r="I16" s="561"/>
      <c r="J16" s="562"/>
      <c r="K16" s="562"/>
      <c r="L16" s="562"/>
      <c r="M16" s="562"/>
      <c r="N16" s="562"/>
      <c r="O16" s="563"/>
      <c r="P16" s="561"/>
      <c r="Q16" s="562"/>
      <c r="R16" s="562"/>
      <c r="S16" s="562"/>
      <c r="T16" s="562"/>
      <c r="U16" s="562"/>
      <c r="V16" s="563"/>
      <c r="W16" s="561"/>
      <c r="X16" s="562"/>
      <c r="Y16" s="562"/>
      <c r="Z16" s="562"/>
      <c r="AA16" s="562"/>
      <c r="AB16" s="562"/>
      <c r="AC16" s="563"/>
      <c r="AD16" s="561"/>
      <c r="AE16" s="562"/>
      <c r="AF16" s="562"/>
      <c r="AG16" s="562"/>
      <c r="AH16" s="562"/>
      <c r="AI16" s="562"/>
      <c r="AJ16" s="563"/>
      <c r="AK16" s="561"/>
      <c r="AL16" s="562"/>
      <c r="AM16" s="562"/>
      <c r="AN16" s="562"/>
      <c r="AO16" s="562"/>
      <c r="AP16" s="562"/>
      <c r="AQ16" s="563"/>
      <c r="AR16" s="562"/>
      <c r="AS16" s="562"/>
      <c r="AT16" s="562"/>
      <c r="AU16" s="562"/>
      <c r="AV16" s="562"/>
      <c r="AW16" s="562"/>
      <c r="AX16" s="563"/>
      <c r="AY16" s="562"/>
      <c r="AZ16" s="562"/>
      <c r="BA16" s="562"/>
      <c r="BB16" s="562"/>
      <c r="BC16" s="562"/>
      <c r="BD16" s="562"/>
      <c r="BE16" s="563"/>
      <c r="BF16" s="561"/>
      <c r="BG16" s="562"/>
      <c r="BH16" s="562"/>
      <c r="BI16" s="562"/>
      <c r="BJ16" s="562"/>
      <c r="BK16" s="562"/>
      <c r="BL16" s="563"/>
      <c r="BM16" s="561"/>
      <c r="BN16" s="562"/>
      <c r="BO16" s="562"/>
      <c r="BP16" s="562"/>
      <c r="BQ16" s="562"/>
      <c r="BR16" s="562"/>
      <c r="BS16" s="563"/>
      <c r="BT16" s="561"/>
      <c r="BU16" s="562"/>
      <c r="BV16" s="562"/>
      <c r="BW16" s="562"/>
      <c r="BX16" s="562"/>
      <c r="BY16" s="562"/>
      <c r="BZ16" s="563"/>
      <c r="CA16" s="561"/>
      <c r="CB16" s="562"/>
      <c r="CC16" s="562"/>
      <c r="CD16" s="562"/>
      <c r="CE16" s="562"/>
      <c r="CF16" s="562"/>
      <c r="CG16" s="563"/>
      <c r="CH16" s="562"/>
      <c r="CI16" s="562"/>
      <c r="CJ16" s="562"/>
      <c r="CK16" s="562"/>
      <c r="CL16" s="562"/>
      <c r="CM16" s="562"/>
      <c r="CN16" s="562"/>
    </row>
    <row r="17">
      <c r="B17" s="405"/>
      <c r="H17" s="83"/>
      <c r="I17" s="405"/>
      <c r="O17" s="83"/>
      <c r="P17" s="405"/>
      <c r="V17" s="83"/>
      <c r="W17" s="237" t="s">
        <v>2419</v>
      </c>
      <c r="X17" s="16"/>
      <c r="Y17" s="16"/>
      <c r="Z17" s="16"/>
      <c r="AA17" s="16"/>
      <c r="AB17" s="16"/>
      <c r="AC17" s="25"/>
      <c r="AD17" s="262"/>
      <c r="AE17" s="237" t="s">
        <v>2419</v>
      </c>
      <c r="AF17" s="16"/>
      <c r="AG17" s="16"/>
      <c r="AH17" s="16"/>
      <c r="AI17" s="16"/>
      <c r="AJ17" s="25"/>
      <c r="AK17" s="274"/>
      <c r="AQ17" s="83"/>
      <c r="AX17" s="83"/>
      <c r="BE17" s="83"/>
      <c r="BF17" s="405"/>
      <c r="BH17" s="58" t="s">
        <v>2420</v>
      </c>
      <c r="BL17" s="83"/>
      <c r="BM17" s="405"/>
      <c r="BS17" s="83"/>
      <c r="BT17" s="405"/>
      <c r="BZ17" s="83"/>
      <c r="CA17" s="405"/>
      <c r="CG17" s="83"/>
    </row>
    <row r="18">
      <c r="B18" s="405"/>
      <c r="H18" s="83"/>
      <c r="I18" s="405"/>
      <c r="O18" s="83"/>
      <c r="P18" s="405"/>
      <c r="V18" s="83"/>
      <c r="W18" s="405"/>
      <c r="AC18" s="83"/>
      <c r="AD18" s="405"/>
      <c r="AJ18" s="83"/>
      <c r="AK18" s="405"/>
      <c r="AQ18" s="83"/>
      <c r="AX18" s="83"/>
      <c r="BE18" s="83"/>
      <c r="BF18" s="405"/>
      <c r="BH18" s="58" t="s">
        <v>2421</v>
      </c>
      <c r="BL18" s="83"/>
      <c r="BM18" s="405"/>
      <c r="BS18" s="83"/>
      <c r="BT18" s="405"/>
      <c r="BZ18" s="83"/>
      <c r="CA18" s="405"/>
      <c r="CG18" s="83"/>
    </row>
    <row r="19">
      <c r="B19" s="405"/>
      <c r="H19" s="83"/>
      <c r="I19" s="405"/>
      <c r="O19" s="83"/>
      <c r="P19" s="405"/>
      <c r="V19" s="83"/>
      <c r="W19" s="405"/>
      <c r="AC19" s="83"/>
      <c r="AD19" s="405"/>
      <c r="AJ19" s="83"/>
      <c r="AK19" s="405"/>
      <c r="AQ19" s="83"/>
      <c r="AX19" s="83"/>
      <c r="BE19" s="83"/>
      <c r="BF19" s="405"/>
      <c r="BH19" s="58" t="s">
        <v>2422</v>
      </c>
      <c r="BL19" s="83"/>
      <c r="BM19" s="405"/>
      <c r="BS19" s="83"/>
      <c r="BT19" s="405"/>
      <c r="BZ19" s="83"/>
      <c r="CA19" s="405"/>
      <c r="CG19" s="83"/>
    </row>
    <row r="20">
      <c r="A20" s="560" t="s">
        <v>2423</v>
      </c>
      <c r="B20" s="561"/>
      <c r="C20" s="562"/>
      <c r="D20" s="562"/>
      <c r="E20" s="562"/>
      <c r="F20" s="562"/>
      <c r="G20" s="562"/>
      <c r="H20" s="563"/>
      <c r="I20" s="561"/>
      <c r="J20" s="562"/>
      <c r="K20" s="562"/>
      <c r="L20" s="562"/>
      <c r="M20" s="562"/>
      <c r="N20" s="562"/>
      <c r="O20" s="563"/>
      <c r="P20" s="561"/>
      <c r="Q20" s="562"/>
      <c r="R20" s="562"/>
      <c r="S20" s="562"/>
      <c r="T20" s="562"/>
      <c r="U20" s="562"/>
      <c r="V20" s="563"/>
      <c r="W20" s="561"/>
      <c r="X20" s="562"/>
      <c r="Y20" s="562"/>
      <c r="Z20" s="562"/>
      <c r="AA20" s="562"/>
      <c r="AB20" s="562"/>
      <c r="AC20" s="563"/>
      <c r="AD20" s="561"/>
      <c r="AE20" s="562"/>
      <c r="AF20" s="562"/>
      <c r="AG20" s="562"/>
      <c r="AH20" s="562"/>
      <c r="AI20" s="562"/>
      <c r="AJ20" s="563"/>
      <c r="AK20" s="561"/>
      <c r="AL20" s="562"/>
      <c r="AM20" s="562"/>
      <c r="AN20" s="562"/>
      <c r="AO20" s="562"/>
      <c r="AP20" s="562"/>
      <c r="AQ20" s="563"/>
      <c r="AR20" s="562"/>
      <c r="AS20" s="562"/>
      <c r="AT20" s="562"/>
      <c r="AU20" s="562"/>
      <c r="AV20" s="562"/>
      <c r="AW20" s="562"/>
      <c r="AX20" s="563"/>
      <c r="AY20" s="562"/>
      <c r="AZ20" s="562"/>
      <c r="BA20" s="562"/>
      <c r="BB20" s="562"/>
      <c r="BC20" s="562"/>
      <c r="BD20" s="562"/>
      <c r="BE20" s="563"/>
      <c r="BF20" s="561"/>
      <c r="BG20" s="562"/>
      <c r="BH20" s="562"/>
      <c r="BI20" s="562"/>
      <c r="BJ20" s="562"/>
      <c r="BK20" s="562"/>
      <c r="BL20" s="563"/>
      <c r="BM20" s="561"/>
      <c r="BN20" s="562"/>
      <c r="BO20" s="562"/>
      <c r="BP20" s="562"/>
      <c r="BQ20" s="562"/>
      <c r="BR20" s="562"/>
      <c r="BS20" s="563"/>
      <c r="BT20" s="561"/>
      <c r="BU20" s="562"/>
      <c r="BV20" s="562"/>
      <c r="BW20" s="562"/>
      <c r="BX20" s="562"/>
      <c r="BY20" s="562"/>
      <c r="BZ20" s="563"/>
      <c r="CA20" s="561"/>
      <c r="CB20" s="562"/>
      <c r="CC20" s="562"/>
      <c r="CD20" s="562"/>
      <c r="CE20" s="562"/>
      <c r="CF20" s="562"/>
      <c r="CG20" s="563"/>
      <c r="CH20" s="562"/>
      <c r="CI20" s="562"/>
      <c r="CJ20" s="562"/>
      <c r="CK20" s="562"/>
      <c r="CL20" s="562"/>
      <c r="CM20" s="562"/>
      <c r="CN20" s="562"/>
    </row>
    <row r="21">
      <c r="A21" s="58" t="s">
        <v>2425</v>
      </c>
      <c r="B21" s="94" t="s">
        <v>422</v>
      </c>
      <c r="H21" s="83"/>
      <c r="I21" s="94" t="s">
        <v>422</v>
      </c>
      <c r="J21" s="58"/>
      <c r="O21" s="83"/>
      <c r="P21" s="94" t="s">
        <v>422</v>
      </c>
      <c r="V21" s="92"/>
      <c r="W21" s="94" t="s">
        <v>422</v>
      </c>
      <c r="AC21" s="83"/>
      <c r="AD21" s="94" t="s">
        <v>422</v>
      </c>
      <c r="AJ21" s="83"/>
      <c r="AK21" s="94" t="s">
        <v>422</v>
      </c>
      <c r="AQ21" s="83"/>
      <c r="AX21" s="83"/>
      <c r="AZ21" s="58"/>
      <c r="BE21" s="83"/>
      <c r="BF21" s="405"/>
      <c r="BL21" s="83"/>
      <c r="BM21" s="405"/>
      <c r="BS21" s="83"/>
      <c r="BT21" s="405"/>
      <c r="BY21" s="58"/>
      <c r="BZ21" s="83"/>
      <c r="CA21" s="405"/>
      <c r="CG21" s="83"/>
    </row>
    <row r="22">
      <c r="A22" s="58">
        <v>1.0</v>
      </c>
      <c r="B22" s="405"/>
      <c r="H22" s="83"/>
      <c r="I22" s="569"/>
      <c r="J22" s="570" t="s">
        <v>2426</v>
      </c>
      <c r="K22" s="571"/>
      <c r="L22" s="571"/>
      <c r="M22" s="571"/>
      <c r="N22" s="571"/>
      <c r="O22" s="572"/>
      <c r="P22" s="569"/>
      <c r="Q22" s="571"/>
      <c r="R22" s="571"/>
      <c r="S22" s="571"/>
      <c r="T22" s="571"/>
      <c r="U22" s="571"/>
      <c r="V22" s="572"/>
      <c r="W22" s="573"/>
      <c r="X22" s="574"/>
      <c r="Y22" s="574"/>
      <c r="Z22" s="575" t="s">
        <v>2430</v>
      </c>
      <c r="AA22" s="574"/>
      <c r="AB22" s="574"/>
      <c r="AC22" s="576"/>
      <c r="AD22" s="573"/>
      <c r="AE22" s="574"/>
      <c r="AF22" s="574"/>
      <c r="AG22" s="574"/>
      <c r="AH22" s="574"/>
      <c r="AI22" s="574"/>
      <c r="AJ22" s="576"/>
      <c r="AK22" s="576"/>
      <c r="AL22" s="577"/>
      <c r="AM22" s="578"/>
      <c r="AN22" s="578"/>
      <c r="AO22" s="578"/>
      <c r="AP22" s="578"/>
      <c r="AQ22" s="579"/>
      <c r="AX22" s="83"/>
      <c r="AZ22" s="580" t="s">
        <v>2433</v>
      </c>
      <c r="BA22" s="581"/>
      <c r="BB22" s="581"/>
      <c r="BC22" s="581"/>
      <c r="BD22" s="581"/>
      <c r="BE22" s="582"/>
      <c r="BF22" s="583"/>
      <c r="BG22" s="581"/>
      <c r="BH22" s="581"/>
      <c r="BI22" s="581"/>
      <c r="BJ22" s="581"/>
      <c r="BK22" s="581"/>
      <c r="BL22" s="582"/>
      <c r="BM22" s="583"/>
      <c r="BN22" s="581"/>
      <c r="BO22" s="581"/>
      <c r="BP22" s="581"/>
      <c r="BQ22" s="581"/>
      <c r="BR22" s="581"/>
      <c r="BS22" s="582"/>
      <c r="BT22" s="583"/>
      <c r="BU22" s="581"/>
      <c r="BV22" s="581"/>
      <c r="BW22" s="581"/>
      <c r="BX22" s="581"/>
      <c r="BY22" s="584" t="s">
        <v>2435</v>
      </c>
      <c r="BZ22" s="585"/>
      <c r="CA22" s="586"/>
      <c r="CB22" s="587"/>
      <c r="CC22" s="587"/>
      <c r="CD22" s="587"/>
      <c r="CG22" s="83"/>
    </row>
    <row r="23">
      <c r="A23" s="58">
        <v>2.0</v>
      </c>
      <c r="B23" s="405"/>
      <c r="H23" s="83"/>
      <c r="I23" s="405"/>
      <c r="O23" s="83"/>
      <c r="P23" s="405"/>
      <c r="V23" s="83"/>
      <c r="W23" s="588" t="s">
        <v>429</v>
      </c>
      <c r="X23" s="589"/>
      <c r="Y23" s="589"/>
      <c r="Z23" s="589"/>
      <c r="AA23" s="589"/>
      <c r="AB23" s="589"/>
      <c r="AC23" s="590"/>
      <c r="AD23" s="405"/>
      <c r="AJ23" s="83"/>
      <c r="AK23" s="405"/>
      <c r="AQ23" s="83"/>
      <c r="AR23" s="580" t="s">
        <v>2436</v>
      </c>
      <c r="AS23" s="581"/>
      <c r="AT23" s="581"/>
      <c r="AU23" s="581"/>
      <c r="AV23" s="581"/>
      <c r="AW23" s="581"/>
      <c r="AX23" s="582"/>
      <c r="AY23" s="591"/>
      <c r="BC23" s="58" t="s">
        <v>765</v>
      </c>
      <c r="BE23" s="83"/>
      <c r="BF23" s="405"/>
      <c r="BL23" s="83"/>
      <c r="BM23" s="405"/>
      <c r="BS23" s="83"/>
      <c r="BT23" s="405"/>
      <c r="BZ23" s="83"/>
      <c r="CA23" s="405"/>
      <c r="CG23" s="83"/>
    </row>
    <row r="24">
      <c r="B24" s="405"/>
      <c r="H24" s="83"/>
      <c r="I24" s="405"/>
      <c r="O24" s="83"/>
      <c r="P24" s="405"/>
      <c r="V24" s="83"/>
      <c r="W24" s="405"/>
      <c r="AC24" s="83"/>
      <c r="AD24" s="405"/>
      <c r="AJ24" s="83"/>
      <c r="AK24" s="405"/>
      <c r="AQ24" s="83"/>
      <c r="AX24" s="83"/>
      <c r="BE24" s="83"/>
      <c r="BF24" s="405"/>
      <c r="BL24" s="83"/>
      <c r="BM24" s="405"/>
      <c r="BS24" s="83"/>
      <c r="BT24" s="405"/>
      <c r="BZ24" s="83"/>
      <c r="CA24" s="405"/>
      <c r="CG24" s="83"/>
    </row>
    <row r="25">
      <c r="A25" s="560" t="s">
        <v>2439</v>
      </c>
      <c r="B25" s="561"/>
      <c r="C25" s="562"/>
      <c r="D25" s="562"/>
      <c r="E25" s="562"/>
      <c r="F25" s="562"/>
      <c r="G25" s="562"/>
      <c r="H25" s="563"/>
      <c r="I25" s="561"/>
      <c r="J25" s="562"/>
      <c r="K25" s="562"/>
      <c r="L25" s="562"/>
      <c r="M25" s="562"/>
      <c r="N25" s="562"/>
      <c r="O25" s="563"/>
      <c r="P25" s="561"/>
      <c r="Q25" s="562"/>
      <c r="R25" s="562"/>
      <c r="S25" s="562"/>
      <c r="T25" s="562"/>
      <c r="U25" s="562"/>
      <c r="V25" s="563"/>
      <c r="W25" s="561"/>
      <c r="X25" s="562"/>
      <c r="Y25" s="562"/>
      <c r="Z25" s="562"/>
      <c r="AA25" s="562"/>
      <c r="AB25" s="562"/>
      <c r="AC25" s="563"/>
      <c r="AD25" s="561"/>
      <c r="AE25" s="562"/>
      <c r="AF25" s="562"/>
      <c r="AG25" s="562"/>
      <c r="AH25" s="562"/>
      <c r="AI25" s="562"/>
      <c r="AJ25" s="563"/>
      <c r="AK25" s="561"/>
      <c r="AL25" s="562"/>
      <c r="AM25" s="562"/>
      <c r="AN25" s="562"/>
      <c r="AO25" s="562"/>
      <c r="AP25" s="562"/>
      <c r="AQ25" s="563"/>
      <c r="AR25" s="562"/>
      <c r="AS25" s="562"/>
      <c r="AT25" s="562"/>
      <c r="AU25" s="562"/>
      <c r="AV25" s="562"/>
      <c r="AW25" s="562"/>
      <c r="AX25" s="563"/>
      <c r="AY25" s="562"/>
      <c r="AZ25" s="562"/>
      <c r="BA25" s="562"/>
      <c r="BB25" s="562"/>
      <c r="BC25" s="562"/>
      <c r="BD25" s="562"/>
      <c r="BE25" s="563"/>
      <c r="BF25" s="561"/>
      <c r="BG25" s="562"/>
      <c r="BH25" s="562"/>
      <c r="BI25" s="562"/>
      <c r="BJ25" s="562"/>
      <c r="BK25" s="562"/>
      <c r="BL25" s="563"/>
      <c r="BM25" s="561"/>
      <c r="BN25" s="562"/>
      <c r="BO25" s="562"/>
      <c r="BP25" s="562"/>
      <c r="BQ25" s="562"/>
      <c r="BR25" s="562"/>
      <c r="BS25" s="563"/>
      <c r="BT25" s="561"/>
      <c r="BU25" s="562"/>
      <c r="BV25" s="562"/>
      <c r="BW25" s="562"/>
      <c r="BX25" s="562"/>
      <c r="BY25" s="562"/>
      <c r="BZ25" s="563"/>
      <c r="CA25" s="561"/>
      <c r="CB25" s="562"/>
      <c r="CC25" s="562"/>
      <c r="CD25" s="562"/>
      <c r="CE25" s="562"/>
      <c r="CF25" s="562"/>
      <c r="CG25" s="563"/>
      <c r="CH25" s="562"/>
      <c r="CI25" s="562"/>
      <c r="CJ25" s="562"/>
      <c r="CK25" s="562"/>
      <c r="CL25" s="562"/>
      <c r="CM25" s="562"/>
      <c r="CN25" s="562"/>
    </row>
    <row r="26">
      <c r="A26" s="58" t="s">
        <v>2440</v>
      </c>
      <c r="B26" s="405"/>
      <c r="I26" s="94" t="s">
        <v>335</v>
      </c>
      <c r="O26" s="83"/>
      <c r="P26" s="58" t="s">
        <v>335</v>
      </c>
      <c r="V26" s="83"/>
      <c r="W26" s="94" t="s">
        <v>335</v>
      </c>
      <c r="AC26" s="83"/>
      <c r="AD26" s="405"/>
      <c r="AJ26" s="83"/>
      <c r="AK26" s="94" t="s">
        <v>329</v>
      </c>
      <c r="AQ26" s="83"/>
      <c r="AR26" s="58" t="s">
        <v>343</v>
      </c>
      <c r="AX26" s="83"/>
      <c r="AY26" s="58" t="s">
        <v>329</v>
      </c>
      <c r="BE26" s="83"/>
      <c r="BF26" s="405"/>
      <c r="BL26" s="83"/>
      <c r="BM26" s="405"/>
      <c r="BS26" s="83"/>
      <c r="BT26" s="405"/>
      <c r="BY26" s="58" t="s">
        <v>1311</v>
      </c>
      <c r="BZ26" s="83"/>
      <c r="CA26" s="405"/>
      <c r="CG26" s="83"/>
    </row>
    <row r="27">
      <c r="A27" s="58" t="s">
        <v>2442</v>
      </c>
      <c r="B27" s="405"/>
      <c r="I27" s="94" t="s">
        <v>2443</v>
      </c>
      <c r="O27" s="83"/>
      <c r="P27" s="58" t="s">
        <v>329</v>
      </c>
      <c r="V27" s="83"/>
      <c r="W27" s="94" t="s">
        <v>1460</v>
      </c>
      <c r="AC27" s="83"/>
      <c r="AD27" s="94" t="s">
        <v>329</v>
      </c>
      <c r="AJ27" s="83"/>
      <c r="AK27" s="94" t="s">
        <v>2444</v>
      </c>
      <c r="AQ27" s="83"/>
      <c r="AX27" s="83"/>
      <c r="AY27" s="58" t="s">
        <v>338</v>
      </c>
      <c r="BE27" s="83"/>
      <c r="BF27" s="94" t="s">
        <v>335</v>
      </c>
      <c r="BL27" s="83"/>
      <c r="BM27" s="405"/>
      <c r="BS27" s="83"/>
      <c r="BT27" s="405"/>
      <c r="BY27" s="58" t="s">
        <v>329</v>
      </c>
      <c r="BZ27" s="83"/>
      <c r="CA27" s="405"/>
      <c r="CG27" s="83"/>
    </row>
    <row r="28">
      <c r="B28" s="405"/>
      <c r="H28" s="83"/>
      <c r="I28" s="405"/>
      <c r="O28" s="83"/>
      <c r="P28" s="405"/>
      <c r="V28" s="83"/>
      <c r="W28" s="405"/>
      <c r="AC28" s="83"/>
      <c r="AD28" s="405"/>
      <c r="AJ28" s="83"/>
      <c r="AK28" s="405"/>
      <c r="AQ28" s="83"/>
      <c r="AX28" s="83"/>
      <c r="BE28" s="83"/>
      <c r="BF28" s="405"/>
      <c r="BL28" s="83"/>
      <c r="BM28" s="405"/>
      <c r="BS28" s="83"/>
      <c r="BT28" s="405"/>
      <c r="BZ28" s="83"/>
      <c r="CA28" s="405"/>
      <c r="CG28" s="83"/>
    </row>
    <row r="29">
      <c r="A29" s="560" t="s">
        <v>2446</v>
      </c>
      <c r="B29" s="561"/>
      <c r="C29" s="562"/>
      <c r="D29" s="562"/>
      <c r="E29" s="562"/>
      <c r="F29" s="562"/>
      <c r="G29" s="562"/>
      <c r="H29" s="563"/>
      <c r="I29" s="561"/>
      <c r="J29" s="562"/>
      <c r="K29" s="562"/>
      <c r="L29" s="562"/>
      <c r="M29" s="562"/>
      <c r="N29" s="562"/>
      <c r="O29" s="563"/>
      <c r="P29" s="561"/>
      <c r="Q29" s="562"/>
      <c r="R29" s="562"/>
      <c r="S29" s="562"/>
      <c r="T29" s="562"/>
      <c r="U29" s="562"/>
      <c r="V29" s="563"/>
      <c r="W29" s="592" t="s">
        <v>2447</v>
      </c>
      <c r="X29" s="562"/>
      <c r="Y29" s="562"/>
      <c r="Z29" s="562"/>
      <c r="AA29" s="562"/>
      <c r="AB29" s="562"/>
      <c r="AC29" s="563"/>
      <c r="AD29" s="561"/>
      <c r="AE29" s="562"/>
      <c r="AF29" s="562"/>
      <c r="AG29" s="562"/>
      <c r="AH29" s="562"/>
      <c r="AI29" s="562"/>
      <c r="AJ29" s="563"/>
      <c r="AK29" s="561"/>
      <c r="AL29" s="562"/>
      <c r="AM29" s="562"/>
      <c r="AN29" s="562"/>
      <c r="AO29" s="562"/>
      <c r="AP29" s="562"/>
      <c r="AQ29" s="563"/>
      <c r="AR29" s="562"/>
      <c r="AS29" s="562"/>
      <c r="AT29" s="562"/>
      <c r="AU29" s="562"/>
      <c r="AV29" s="562"/>
      <c r="AW29" s="562"/>
      <c r="AX29" s="563"/>
      <c r="AY29" s="562"/>
      <c r="AZ29" s="562"/>
      <c r="BA29" s="562"/>
      <c r="BB29" s="562"/>
      <c r="BC29" s="562"/>
      <c r="BD29" s="562"/>
      <c r="BE29" s="563"/>
      <c r="BF29" s="561"/>
      <c r="BG29" s="562"/>
      <c r="BH29" s="562"/>
      <c r="BI29" s="562"/>
      <c r="BJ29" s="562"/>
      <c r="BK29" s="562"/>
      <c r="BL29" s="563"/>
      <c r="BM29" s="593" t="s">
        <v>382</v>
      </c>
      <c r="BN29" s="562"/>
      <c r="BO29" s="562"/>
      <c r="BP29" s="562"/>
      <c r="BQ29" s="562"/>
      <c r="BR29" s="562"/>
      <c r="BS29" s="563"/>
      <c r="BT29" s="561"/>
      <c r="BU29" s="562"/>
      <c r="BV29" s="562"/>
      <c r="BW29" s="562"/>
      <c r="BX29" s="562"/>
      <c r="BY29" s="562"/>
      <c r="BZ29" s="563"/>
      <c r="CA29" s="561"/>
      <c r="CB29" s="562"/>
      <c r="CC29" s="562"/>
      <c r="CD29" s="562"/>
      <c r="CE29" s="562"/>
      <c r="CF29" s="562"/>
      <c r="CG29" s="563"/>
      <c r="CH29" s="562"/>
      <c r="CI29" s="562"/>
      <c r="CJ29" s="562"/>
      <c r="CK29" s="562"/>
      <c r="CL29" s="562"/>
      <c r="CM29" s="562"/>
      <c r="CN29" s="562"/>
    </row>
    <row r="30" ht="15.0" customHeight="1">
      <c r="A30" s="58" t="s">
        <v>2449</v>
      </c>
      <c r="B30" s="94" t="s">
        <v>2450</v>
      </c>
      <c r="H30" s="83"/>
      <c r="I30" s="405"/>
      <c r="O30" s="83"/>
      <c r="P30" s="405"/>
      <c r="V30" s="83"/>
      <c r="W30" s="94"/>
      <c r="AC30" s="83"/>
      <c r="AD30" s="405"/>
      <c r="AJ30" s="83"/>
      <c r="AK30" s="405"/>
      <c r="AQ30" s="83"/>
      <c r="AX30" s="83"/>
      <c r="AY30" s="496" t="s">
        <v>2451</v>
      </c>
      <c r="BE30" s="83"/>
      <c r="BF30" s="94"/>
      <c r="BL30" s="83"/>
      <c r="BM30" s="94" t="s">
        <v>2452</v>
      </c>
      <c r="BS30" s="83"/>
      <c r="BT30" s="94" t="s">
        <v>2452</v>
      </c>
      <c r="BZ30" s="83"/>
      <c r="CA30" s="405"/>
      <c r="CG30" s="83"/>
    </row>
    <row r="31">
      <c r="A31" s="58" t="s">
        <v>2453</v>
      </c>
      <c r="B31" s="237" t="s">
        <v>2454</v>
      </c>
      <c r="C31" s="16"/>
      <c r="D31" s="16"/>
      <c r="E31" s="16"/>
      <c r="F31" s="16"/>
      <c r="G31" s="16"/>
      <c r="H31" s="25"/>
      <c r="I31" s="274"/>
      <c r="J31" s="580" t="s">
        <v>2455</v>
      </c>
      <c r="K31" s="581"/>
      <c r="L31" s="581"/>
      <c r="M31" s="581"/>
      <c r="N31" s="581"/>
      <c r="O31" s="582"/>
      <c r="P31" s="580" t="s">
        <v>2456</v>
      </c>
      <c r="Q31" s="581"/>
      <c r="R31" s="581"/>
      <c r="S31" s="581"/>
      <c r="T31" s="581"/>
      <c r="U31" s="581"/>
      <c r="V31" s="582"/>
      <c r="W31" s="594" t="s">
        <v>2457</v>
      </c>
      <c r="X31" s="587"/>
      <c r="Y31" s="587"/>
      <c r="Z31" s="587"/>
      <c r="AA31" s="587"/>
      <c r="AB31" s="587"/>
      <c r="AC31" s="585"/>
      <c r="AD31" s="595" t="s">
        <v>2458</v>
      </c>
      <c r="AE31" s="574"/>
      <c r="AF31" s="574"/>
      <c r="AG31" s="574"/>
      <c r="AH31" s="574"/>
      <c r="AI31" s="574"/>
      <c r="AJ31" s="576"/>
      <c r="AK31" s="575" t="s">
        <v>382</v>
      </c>
      <c r="AL31" s="58" t="s">
        <v>2459</v>
      </c>
      <c r="AQ31" s="83"/>
      <c r="AR31" s="580" t="s">
        <v>2460</v>
      </c>
      <c r="AS31" s="581"/>
      <c r="AT31" s="581"/>
      <c r="AU31" s="581"/>
      <c r="AV31" s="581"/>
      <c r="AW31" s="581"/>
      <c r="AX31" s="582"/>
      <c r="AY31" s="580" t="s">
        <v>2460</v>
      </c>
      <c r="AZ31" s="581"/>
      <c r="BA31" s="581"/>
      <c r="BB31" s="581"/>
      <c r="BC31" s="581"/>
      <c r="BD31" s="581"/>
      <c r="BE31" s="582"/>
      <c r="BF31" s="596" t="s">
        <v>2462</v>
      </c>
      <c r="BG31" s="581"/>
      <c r="BH31" s="581"/>
      <c r="BI31" s="581"/>
      <c r="BJ31" s="581"/>
      <c r="BK31" s="581"/>
      <c r="BL31" s="582"/>
      <c r="BM31" s="596" t="s">
        <v>2463</v>
      </c>
      <c r="BN31" s="581"/>
      <c r="BO31" s="581"/>
      <c r="BP31" s="581"/>
      <c r="BQ31" s="581"/>
      <c r="BR31" s="581"/>
      <c r="BS31" s="582"/>
      <c r="BT31" s="582"/>
      <c r="BU31" s="596" t="s">
        <v>2464</v>
      </c>
      <c r="BV31" s="581"/>
      <c r="BW31" s="597" t="s">
        <v>2465</v>
      </c>
    </row>
    <row r="32">
      <c r="A32" s="58" t="s">
        <v>2467</v>
      </c>
      <c r="B32" s="237" t="s">
        <v>2468</v>
      </c>
      <c r="C32" s="16"/>
      <c r="D32" s="16"/>
      <c r="E32" s="16"/>
      <c r="F32" s="16"/>
      <c r="G32" s="16"/>
      <c r="H32" s="25"/>
      <c r="I32" s="274"/>
      <c r="J32" s="580" t="s">
        <v>2456</v>
      </c>
      <c r="K32" s="581"/>
      <c r="L32" s="581"/>
      <c r="M32" s="581"/>
      <c r="N32" s="581"/>
      <c r="O32" s="582"/>
      <c r="P32" s="580" t="s">
        <v>2455</v>
      </c>
      <c r="Q32" s="581"/>
      <c r="R32" s="581"/>
      <c r="S32" s="581"/>
      <c r="T32" s="581"/>
      <c r="U32" s="581"/>
      <c r="V32" s="582"/>
      <c r="W32" s="567" t="s">
        <v>2469</v>
      </c>
      <c r="X32" s="598"/>
      <c r="Y32" s="598"/>
      <c r="Z32" s="598"/>
      <c r="AA32" s="598"/>
      <c r="AB32" s="598"/>
      <c r="AC32" s="565"/>
      <c r="AD32" s="94"/>
      <c r="AJ32" s="83"/>
      <c r="AK32" s="94" t="s">
        <v>2471</v>
      </c>
      <c r="AQ32" s="83"/>
      <c r="AR32" s="545" t="s">
        <v>2472</v>
      </c>
      <c r="AS32" s="599"/>
      <c r="AT32" s="599"/>
      <c r="AU32" s="599"/>
      <c r="AV32" s="599"/>
      <c r="AW32" s="599"/>
      <c r="AX32" s="600"/>
      <c r="AY32" s="58" t="s">
        <v>2473</v>
      </c>
      <c r="BE32" s="83"/>
      <c r="BF32" s="601" t="s">
        <v>2474</v>
      </c>
      <c r="BL32" s="83"/>
      <c r="BM32" s="94" t="s">
        <v>2475</v>
      </c>
      <c r="BS32" s="83"/>
      <c r="BT32" s="94" t="s">
        <v>1186</v>
      </c>
      <c r="BU32" s="599"/>
      <c r="BV32" s="599"/>
      <c r="BW32" s="599"/>
      <c r="BX32" s="599"/>
      <c r="BY32" s="599"/>
      <c r="BZ32" s="600"/>
      <c r="CA32" s="602" t="s">
        <v>1186</v>
      </c>
      <c r="CB32" s="58"/>
      <c r="CC32" s="58"/>
      <c r="CD32" s="58"/>
      <c r="CE32" s="58"/>
      <c r="CF32" s="58"/>
      <c r="CG32" s="58"/>
    </row>
    <row r="33">
      <c r="A33" s="58" t="s">
        <v>2477</v>
      </c>
      <c r="B33" s="94" t="s">
        <v>2478</v>
      </c>
      <c r="H33" s="83"/>
      <c r="I33" s="94" t="s">
        <v>831</v>
      </c>
      <c r="O33" s="83"/>
      <c r="P33" s="94" t="s">
        <v>831</v>
      </c>
      <c r="V33" s="83"/>
      <c r="W33" s="94" t="s">
        <v>831</v>
      </c>
      <c r="AC33" s="83"/>
      <c r="AD33" s="94" t="s">
        <v>329</v>
      </c>
      <c r="AJ33" s="83"/>
      <c r="AK33" s="58" t="s">
        <v>831</v>
      </c>
      <c r="AQ33" s="83"/>
      <c r="AR33" s="58" t="s">
        <v>831</v>
      </c>
      <c r="AX33" s="83"/>
      <c r="AY33" s="58" t="s">
        <v>831</v>
      </c>
      <c r="BE33" s="83"/>
      <c r="BF33" s="94" t="s">
        <v>2479</v>
      </c>
      <c r="BL33" s="83"/>
      <c r="BM33" s="94" t="s">
        <v>2480</v>
      </c>
      <c r="BS33" s="83"/>
      <c r="BT33" s="94" t="s">
        <v>2481</v>
      </c>
      <c r="BZ33" s="83"/>
      <c r="CA33" s="602" t="s">
        <v>2482</v>
      </c>
      <c r="CB33" s="58"/>
      <c r="CC33" s="58"/>
      <c r="CD33" s="58"/>
      <c r="CE33" s="58"/>
      <c r="CF33" s="58"/>
      <c r="CG33" s="58"/>
    </row>
    <row r="34">
      <c r="A34" s="58" t="s">
        <v>2483</v>
      </c>
      <c r="B34" s="94" t="s">
        <v>2484</v>
      </c>
      <c r="H34" s="83"/>
      <c r="I34" s="94" t="s">
        <v>2485</v>
      </c>
      <c r="O34" s="83"/>
      <c r="P34" s="94" t="s">
        <v>2485</v>
      </c>
      <c r="V34" s="83"/>
      <c r="W34" s="94" t="s">
        <v>2486</v>
      </c>
      <c r="AC34" s="83"/>
      <c r="AD34" s="601" t="s">
        <v>2487</v>
      </c>
      <c r="AJ34" s="83"/>
      <c r="AK34" s="58" t="s">
        <v>2488</v>
      </c>
      <c r="AQ34" s="83"/>
      <c r="AR34" s="58" t="s">
        <v>2488</v>
      </c>
      <c r="AX34" s="83"/>
      <c r="AY34" s="58" t="s">
        <v>2480</v>
      </c>
      <c r="BE34" s="83"/>
      <c r="BF34" s="94" t="s">
        <v>2480</v>
      </c>
      <c r="BL34" s="83"/>
      <c r="BM34" s="94" t="s">
        <v>831</v>
      </c>
      <c r="BS34" s="83"/>
      <c r="BT34" s="94" t="s">
        <v>831</v>
      </c>
      <c r="BZ34" s="83"/>
      <c r="CA34" s="602" t="s">
        <v>831</v>
      </c>
      <c r="CB34" s="58"/>
      <c r="CC34" s="58"/>
      <c r="CD34" s="58"/>
      <c r="CE34" s="58"/>
      <c r="CF34" s="58"/>
      <c r="CG34" s="58"/>
    </row>
    <row r="35">
      <c r="A35" s="58" t="s">
        <v>2489</v>
      </c>
      <c r="B35" s="94" t="s">
        <v>335</v>
      </c>
      <c r="H35" s="83"/>
      <c r="I35" s="94" t="s">
        <v>335</v>
      </c>
      <c r="O35" s="83"/>
      <c r="P35" s="94" t="s">
        <v>335</v>
      </c>
      <c r="V35" s="83"/>
      <c r="W35" s="94" t="s">
        <v>2491</v>
      </c>
      <c r="AC35" s="83"/>
      <c r="AD35" s="94" t="s">
        <v>2491</v>
      </c>
      <c r="AJ35" s="83"/>
      <c r="AK35" s="94" t="s">
        <v>1074</v>
      </c>
      <c r="AQ35" s="83"/>
      <c r="AR35" s="58" t="s">
        <v>2492</v>
      </c>
      <c r="AX35" s="83"/>
      <c r="AY35" s="58" t="s">
        <v>2493</v>
      </c>
      <c r="BE35" s="83"/>
      <c r="BF35" s="94" t="s">
        <v>2495</v>
      </c>
      <c r="BL35" s="83"/>
      <c r="BM35" s="94" t="s">
        <v>2481</v>
      </c>
      <c r="BS35" s="83"/>
      <c r="BT35" s="94" t="s">
        <v>2480</v>
      </c>
      <c r="BZ35" s="83"/>
      <c r="CA35" s="603" t="s">
        <v>2496</v>
      </c>
      <c r="CB35" s="58"/>
      <c r="CC35" s="58"/>
      <c r="CD35" s="58"/>
      <c r="CE35" s="58"/>
      <c r="CF35" s="58"/>
      <c r="CG35" s="58"/>
    </row>
    <row r="36">
      <c r="A36" s="58" t="s">
        <v>2498</v>
      </c>
      <c r="B36" s="94" t="s">
        <v>2499</v>
      </c>
      <c r="H36" s="83"/>
      <c r="I36" s="94" t="s">
        <v>2500</v>
      </c>
      <c r="O36" s="83"/>
      <c r="P36" s="94" t="s">
        <v>2500</v>
      </c>
      <c r="V36" s="83"/>
      <c r="W36" s="58" t="s">
        <v>2488</v>
      </c>
      <c r="AC36" s="83"/>
      <c r="AD36" s="58" t="s">
        <v>2488</v>
      </c>
      <c r="AJ36" s="83"/>
      <c r="AK36" s="94" t="s">
        <v>2472</v>
      </c>
      <c r="AQ36" s="83"/>
      <c r="AR36" s="58" t="s">
        <v>761</v>
      </c>
      <c r="AX36" s="83"/>
      <c r="AY36" s="58" t="s">
        <v>2501</v>
      </c>
      <c r="BE36" s="83"/>
      <c r="BF36" s="94" t="s">
        <v>2502</v>
      </c>
      <c r="BL36" s="83"/>
      <c r="BM36" s="94" t="s">
        <v>2503</v>
      </c>
      <c r="BS36" s="83"/>
      <c r="BT36" s="94" t="s">
        <v>2504</v>
      </c>
      <c r="BZ36" s="83"/>
      <c r="CA36" s="58" t="s">
        <v>2505</v>
      </c>
      <c r="CB36" s="58"/>
      <c r="CC36" s="58"/>
      <c r="CD36" s="58"/>
      <c r="CE36" s="58"/>
      <c r="CF36" s="58"/>
      <c r="CG36" s="58"/>
    </row>
    <row r="37">
      <c r="A37" s="58"/>
      <c r="B37" s="94" t="s">
        <v>2506</v>
      </c>
      <c r="H37" s="83"/>
      <c r="I37" s="94" t="s">
        <v>2507</v>
      </c>
      <c r="O37" s="83"/>
      <c r="P37" s="94" t="s">
        <v>2507</v>
      </c>
      <c r="AC37" s="83"/>
      <c r="AD37" s="94"/>
      <c r="AJ37" s="83"/>
      <c r="AK37" s="405"/>
      <c r="AQ37" s="83"/>
      <c r="AX37" s="83"/>
      <c r="BE37" s="83"/>
      <c r="BF37" s="94"/>
      <c r="BL37" s="83"/>
      <c r="BM37" s="405"/>
      <c r="BS37" s="83"/>
      <c r="BT37" s="405"/>
      <c r="BZ37" s="83"/>
      <c r="CA37" s="405"/>
      <c r="CG37" s="83"/>
    </row>
    <row r="38">
      <c r="A38" s="58" t="s">
        <v>1359</v>
      </c>
      <c r="B38" s="405"/>
      <c r="H38" s="83"/>
      <c r="I38" s="405"/>
      <c r="P38" s="405"/>
      <c r="V38" s="83"/>
      <c r="W38" s="405"/>
      <c r="AC38" s="83"/>
      <c r="AD38" s="94" t="s">
        <v>2508</v>
      </c>
      <c r="AJ38" s="83"/>
      <c r="AK38" s="405"/>
      <c r="AP38" s="58" t="s">
        <v>2509</v>
      </c>
      <c r="AQ38" s="83"/>
      <c r="AX38" s="83"/>
      <c r="BE38" s="83"/>
      <c r="BF38" s="405"/>
      <c r="BL38" s="83"/>
      <c r="BM38" s="405"/>
      <c r="BS38" s="83"/>
      <c r="BT38" s="405"/>
      <c r="BW38" s="92" t="s">
        <v>2510</v>
      </c>
      <c r="BZ38" s="92"/>
      <c r="CA38" s="405"/>
      <c r="CG38" s="83"/>
    </row>
    <row r="39">
      <c r="B39" s="405"/>
      <c r="H39" s="83"/>
      <c r="I39" s="405"/>
      <c r="O39" s="83"/>
      <c r="P39" s="405"/>
      <c r="V39" s="83"/>
      <c r="W39" s="405"/>
      <c r="AC39" s="83"/>
      <c r="AD39" s="405"/>
      <c r="AJ39" s="83"/>
      <c r="AK39" s="405"/>
      <c r="AQ39" s="83"/>
      <c r="AX39" s="83"/>
      <c r="BE39" s="83"/>
      <c r="BF39" s="405"/>
      <c r="BL39" s="83"/>
      <c r="BM39" s="405"/>
      <c r="BS39" s="83"/>
      <c r="BT39" s="405"/>
      <c r="BZ39" s="83"/>
      <c r="CA39" s="405"/>
      <c r="CG39" s="83"/>
    </row>
    <row r="40">
      <c r="A40" s="560" t="s">
        <v>2511</v>
      </c>
      <c r="B40" s="561"/>
      <c r="C40" s="562"/>
      <c r="D40" s="562"/>
      <c r="E40" s="560" t="s">
        <v>2512</v>
      </c>
      <c r="F40" s="562"/>
      <c r="G40" s="562"/>
      <c r="H40" s="563"/>
      <c r="I40" s="561"/>
      <c r="J40" s="562"/>
      <c r="K40" s="562"/>
      <c r="L40" s="562"/>
      <c r="M40" s="562"/>
      <c r="N40" s="562"/>
      <c r="O40" s="563"/>
      <c r="P40" s="561"/>
      <c r="Q40" s="562"/>
      <c r="R40" s="562"/>
      <c r="S40" s="560" t="s">
        <v>2513</v>
      </c>
      <c r="T40" s="562"/>
      <c r="U40" s="562"/>
      <c r="V40" s="563"/>
      <c r="W40" s="561"/>
      <c r="X40" s="562"/>
      <c r="Y40" s="562"/>
      <c r="Z40" s="562"/>
      <c r="AA40" s="562"/>
      <c r="AB40" s="562"/>
      <c r="AC40" s="563"/>
      <c r="AD40" s="561"/>
      <c r="AE40" s="562"/>
      <c r="AF40" s="562"/>
      <c r="AG40" s="562"/>
      <c r="AH40" s="562"/>
      <c r="AI40" s="562"/>
      <c r="AJ40" s="563"/>
      <c r="AK40" s="604" t="s">
        <v>382</v>
      </c>
      <c r="AL40" s="562"/>
      <c r="AM40" s="562"/>
      <c r="AN40" s="604" t="s">
        <v>382</v>
      </c>
      <c r="AO40" s="562"/>
      <c r="AP40" s="562"/>
      <c r="AQ40" s="563"/>
      <c r="AR40" s="562"/>
      <c r="AS40" s="562"/>
      <c r="AT40" s="562"/>
      <c r="AU40" s="562"/>
      <c r="AV40" s="562"/>
      <c r="AW40" s="562"/>
      <c r="AX40" s="563"/>
      <c r="AY40" s="605" t="s">
        <v>382</v>
      </c>
      <c r="AZ40" s="562"/>
      <c r="BA40" s="562"/>
      <c r="BB40" s="605" t="s">
        <v>382</v>
      </c>
      <c r="BC40" s="562"/>
      <c r="BD40" s="562"/>
      <c r="BE40" s="563"/>
      <c r="BF40" s="561"/>
      <c r="BG40" s="562"/>
      <c r="BH40" s="562"/>
      <c r="BI40" s="562"/>
      <c r="BJ40" s="562"/>
      <c r="BK40" s="562"/>
      <c r="BL40" s="563"/>
      <c r="BM40" s="561"/>
      <c r="BN40" s="562"/>
      <c r="BO40" s="562"/>
      <c r="BP40" s="562"/>
      <c r="BQ40" s="562"/>
      <c r="BR40" s="562"/>
      <c r="BS40" s="563"/>
      <c r="BT40" s="561"/>
      <c r="BU40" s="562"/>
      <c r="BV40" s="562"/>
      <c r="BW40" s="562"/>
      <c r="BX40" s="562"/>
      <c r="BY40" s="562"/>
      <c r="BZ40" s="563"/>
      <c r="CA40" s="561"/>
      <c r="CB40" s="562"/>
      <c r="CC40" s="562"/>
      <c r="CD40" s="562"/>
      <c r="CE40" s="562"/>
      <c r="CF40" s="562"/>
      <c r="CG40" s="563"/>
      <c r="CH40" s="562"/>
      <c r="CI40" s="562"/>
      <c r="CJ40" s="562"/>
      <c r="CK40" s="562"/>
      <c r="CL40" s="562"/>
      <c r="CM40" s="562"/>
      <c r="CN40" s="562"/>
    </row>
    <row r="41">
      <c r="A41" s="58" t="s">
        <v>2516</v>
      </c>
      <c r="B41" s="94" t="s">
        <v>2517</v>
      </c>
      <c r="H41" s="83"/>
      <c r="I41" s="94" t="s">
        <v>379</v>
      </c>
      <c r="O41" s="83"/>
      <c r="P41" s="94" t="s">
        <v>2518</v>
      </c>
      <c r="V41" s="83"/>
      <c r="W41" s="94" t="s">
        <v>2517</v>
      </c>
      <c r="AC41" s="83"/>
      <c r="AD41" s="94" t="s">
        <v>2517</v>
      </c>
      <c r="AJ41" s="83"/>
      <c r="AK41" s="94" t="s">
        <v>2520</v>
      </c>
      <c r="AQ41" s="83"/>
      <c r="AR41" s="58" t="s">
        <v>2517</v>
      </c>
      <c r="AX41" s="83"/>
      <c r="AY41" s="58" t="s">
        <v>2517</v>
      </c>
      <c r="BE41" s="83"/>
      <c r="BF41" s="94" t="s">
        <v>2517</v>
      </c>
      <c r="BL41" s="83"/>
      <c r="BM41" s="94" t="s">
        <v>2521</v>
      </c>
      <c r="BS41" s="83"/>
      <c r="BT41" s="94" t="s">
        <v>2521</v>
      </c>
      <c r="BZ41" s="83"/>
      <c r="CA41" s="94" t="s">
        <v>2521</v>
      </c>
      <c r="CG41" s="83"/>
      <c r="CH41" s="58" t="s">
        <v>379</v>
      </c>
    </row>
    <row r="42" ht="36.75" customHeight="1">
      <c r="A42" s="58" t="s">
        <v>2522</v>
      </c>
      <c r="B42" s="94" t="s">
        <v>2523</v>
      </c>
      <c r="H42" s="83"/>
      <c r="I42" s="94" t="s">
        <v>2524</v>
      </c>
      <c r="O42" s="83"/>
      <c r="P42" s="94" t="s">
        <v>2525</v>
      </c>
      <c r="V42" s="83"/>
      <c r="W42" s="94" t="s">
        <v>2526</v>
      </c>
      <c r="AC42" s="83"/>
      <c r="AD42" s="94" t="s">
        <v>2527</v>
      </c>
      <c r="AJ42" s="83"/>
      <c r="AK42" s="94" t="s">
        <v>2528</v>
      </c>
      <c r="AQ42" s="83"/>
      <c r="AR42" s="164" t="s">
        <v>2529</v>
      </c>
      <c r="AY42" s="164" t="s">
        <v>2530</v>
      </c>
      <c r="BF42" s="213" t="s">
        <v>2531</v>
      </c>
      <c r="BM42" s="213" t="s">
        <v>2532</v>
      </c>
      <c r="BT42" s="213" t="s">
        <v>2533</v>
      </c>
      <c r="CA42" s="94" t="s">
        <v>2534</v>
      </c>
      <c r="CG42" s="83"/>
    </row>
    <row r="43">
      <c r="A43" s="58" t="s">
        <v>2535</v>
      </c>
      <c r="B43" s="94" t="s">
        <v>2536</v>
      </c>
      <c r="H43" s="83"/>
      <c r="I43" s="405"/>
      <c r="O43" s="83"/>
      <c r="P43" s="94" t="s">
        <v>2537</v>
      </c>
      <c r="V43" s="83"/>
      <c r="W43" s="94" t="s">
        <v>2538</v>
      </c>
      <c r="AC43" s="83"/>
      <c r="AD43" s="94" t="s">
        <v>2539</v>
      </c>
      <c r="AJ43" s="83"/>
      <c r="AK43" s="94" t="s">
        <v>2444</v>
      </c>
      <c r="AQ43" s="83"/>
      <c r="AR43" s="58" t="s">
        <v>2540</v>
      </c>
      <c r="AX43" s="83"/>
      <c r="AY43" s="58" t="s">
        <v>2541</v>
      </c>
      <c r="BE43" s="83"/>
      <c r="BF43" s="94" t="s">
        <v>2542</v>
      </c>
      <c r="BL43" s="83"/>
      <c r="BM43" s="94" t="s">
        <v>2542</v>
      </c>
      <c r="BS43" s="83"/>
      <c r="BT43" s="94" t="s">
        <v>2542</v>
      </c>
      <c r="BZ43" s="83"/>
      <c r="CA43" s="94" t="s">
        <v>2543</v>
      </c>
      <c r="CG43" s="83"/>
    </row>
    <row r="44">
      <c r="A44" s="58" t="s">
        <v>2544</v>
      </c>
      <c r="B44" s="405"/>
      <c r="H44" s="83"/>
      <c r="I44" s="405"/>
      <c r="O44" s="83"/>
      <c r="P44" s="405"/>
      <c r="V44" s="83"/>
      <c r="W44" s="405"/>
      <c r="AC44" s="83"/>
      <c r="AD44" s="94" t="s">
        <v>2545</v>
      </c>
      <c r="AJ44" s="83"/>
      <c r="AK44" s="405"/>
      <c r="AQ44" s="83"/>
      <c r="AX44" s="83"/>
      <c r="AY44" s="58" t="s">
        <v>2546</v>
      </c>
      <c r="BE44" s="83"/>
      <c r="BF44" s="405"/>
      <c r="BL44" s="83"/>
      <c r="BM44" s="405"/>
      <c r="BS44" s="83"/>
      <c r="BT44" s="405"/>
      <c r="BZ44" s="83"/>
      <c r="CA44" s="405"/>
      <c r="CG44" s="83"/>
    </row>
    <row r="45">
      <c r="A45" s="58" t="s">
        <v>2547</v>
      </c>
      <c r="B45" s="405"/>
      <c r="H45" s="83"/>
      <c r="I45" s="94" t="s">
        <v>2549</v>
      </c>
      <c r="O45" s="83"/>
      <c r="P45" s="405"/>
      <c r="V45" s="83"/>
      <c r="W45" s="94" t="s">
        <v>2550</v>
      </c>
      <c r="AC45" s="83"/>
      <c r="AD45" s="405"/>
      <c r="AJ45" s="83"/>
      <c r="AK45" s="94" t="s">
        <v>2551</v>
      </c>
      <c r="AQ45" s="83"/>
      <c r="AX45" s="83"/>
      <c r="BE45" s="83"/>
      <c r="BF45" s="94" t="s">
        <v>2552</v>
      </c>
      <c r="BL45" s="83"/>
      <c r="BM45" s="94" t="s">
        <v>2553</v>
      </c>
      <c r="BS45" s="83"/>
      <c r="BT45" s="405"/>
      <c r="BZ45" s="83"/>
      <c r="CA45" s="405"/>
      <c r="CG45" s="83"/>
    </row>
    <row r="46">
      <c r="A46" s="58" t="s">
        <v>2554</v>
      </c>
      <c r="B46" s="94" t="s">
        <v>2555</v>
      </c>
      <c r="H46" s="83"/>
      <c r="I46" s="94" t="s">
        <v>2555</v>
      </c>
      <c r="O46" s="83"/>
      <c r="P46" s="94" t="s">
        <v>2555</v>
      </c>
      <c r="V46" s="83"/>
      <c r="W46" s="94" t="s">
        <v>2555</v>
      </c>
      <c r="AC46" s="83"/>
      <c r="AD46" s="94" t="s">
        <v>2555</v>
      </c>
      <c r="AJ46" s="83"/>
      <c r="AK46" s="94" t="s">
        <v>2556</v>
      </c>
      <c r="AQ46" s="83"/>
      <c r="AR46" s="58" t="s">
        <v>2557</v>
      </c>
      <c r="AX46" s="83"/>
      <c r="AY46" s="58" t="s">
        <v>2555</v>
      </c>
      <c r="BE46" s="83"/>
      <c r="BF46" s="94" t="s">
        <v>2555</v>
      </c>
      <c r="BL46" s="83"/>
      <c r="BM46" s="94" t="s">
        <v>2555</v>
      </c>
      <c r="BS46" s="83"/>
      <c r="BT46" s="94" t="s">
        <v>2555</v>
      </c>
      <c r="BZ46" s="83"/>
      <c r="CA46" s="94" t="s">
        <v>2555</v>
      </c>
      <c r="CG46" s="83"/>
    </row>
    <row r="47">
      <c r="A47" s="58" t="s">
        <v>1365</v>
      </c>
      <c r="B47" s="94" t="s">
        <v>2558</v>
      </c>
      <c r="H47" s="83"/>
      <c r="I47" s="405"/>
      <c r="O47" s="83"/>
      <c r="P47" s="94" t="s">
        <v>2559</v>
      </c>
      <c r="V47" s="83"/>
      <c r="W47" s="94" t="s">
        <v>2560</v>
      </c>
      <c r="AC47" s="83"/>
      <c r="AD47" s="405"/>
      <c r="AJ47" s="83"/>
      <c r="AK47" s="405"/>
      <c r="AQ47" s="83"/>
      <c r="AX47" s="83"/>
      <c r="BE47" s="83"/>
      <c r="BF47" s="405"/>
      <c r="BL47" s="83"/>
      <c r="BM47" s="405"/>
      <c r="BS47" s="83"/>
      <c r="BT47" s="405"/>
      <c r="BZ47" s="83"/>
      <c r="CA47" s="405"/>
      <c r="CG47" s="83"/>
    </row>
    <row r="48">
      <c r="A48" s="58" t="s">
        <v>2561</v>
      </c>
      <c r="B48" s="405"/>
      <c r="H48" s="83"/>
      <c r="I48" s="544"/>
      <c r="J48" s="607"/>
      <c r="K48" s="608" t="s">
        <v>2562</v>
      </c>
      <c r="V48" s="607"/>
      <c r="W48" s="280" t="s">
        <v>2563</v>
      </c>
      <c r="AK48" s="280" t="s">
        <v>2564</v>
      </c>
      <c r="AY48" s="281" t="s">
        <v>2565</v>
      </c>
      <c r="AZ48" s="16"/>
      <c r="BA48" s="16"/>
      <c r="BB48" s="16"/>
      <c r="BC48" s="16"/>
      <c r="BD48" s="16"/>
      <c r="BE48" s="16"/>
      <c r="BF48" s="16"/>
      <c r="BG48" s="16"/>
      <c r="BH48" s="16"/>
      <c r="BI48" s="16"/>
      <c r="BJ48" s="16"/>
      <c r="BK48" s="16"/>
      <c r="BL48" s="16"/>
      <c r="BM48" s="16"/>
      <c r="BN48" s="16"/>
      <c r="BO48" s="16"/>
      <c r="BP48" s="16"/>
      <c r="BQ48" s="16"/>
      <c r="BR48" s="16"/>
      <c r="BS48" s="25"/>
      <c r="BT48" s="405"/>
      <c r="BZ48" s="83"/>
      <c r="CA48" s="405"/>
      <c r="CG48" s="83"/>
    </row>
    <row r="49">
      <c r="B49" s="405"/>
      <c r="H49" s="83"/>
      <c r="I49" s="405"/>
      <c r="O49" s="83"/>
      <c r="P49" s="405"/>
      <c r="V49" s="83"/>
      <c r="W49" s="405"/>
      <c r="AC49" s="83"/>
      <c r="AD49" s="405"/>
      <c r="AJ49" s="83"/>
      <c r="AK49" s="405"/>
      <c r="AQ49" s="83"/>
      <c r="AX49" s="83"/>
      <c r="BE49" s="83"/>
      <c r="BF49" s="405"/>
      <c r="BL49" s="83"/>
      <c r="BM49" s="405"/>
      <c r="BS49" s="83"/>
      <c r="BT49" s="405"/>
      <c r="BZ49" s="83"/>
      <c r="CA49" s="405"/>
      <c r="CG49" s="83"/>
    </row>
    <row r="50">
      <c r="A50" s="560" t="s">
        <v>793</v>
      </c>
      <c r="B50" s="561"/>
      <c r="C50" s="562"/>
      <c r="D50" s="562"/>
      <c r="E50" s="562"/>
      <c r="F50" s="562"/>
      <c r="G50" s="562"/>
      <c r="H50" s="563"/>
      <c r="I50" s="561"/>
      <c r="J50" s="562"/>
      <c r="K50" s="562"/>
      <c r="L50" s="562"/>
      <c r="M50" s="562"/>
      <c r="N50" s="562"/>
      <c r="O50" s="563"/>
      <c r="P50" s="561"/>
      <c r="Q50" s="562"/>
      <c r="R50" s="562"/>
      <c r="S50" s="562"/>
      <c r="T50" s="562"/>
      <c r="U50" s="562"/>
      <c r="V50" s="563"/>
      <c r="W50" s="561"/>
      <c r="X50" s="562"/>
      <c r="Y50" s="562"/>
      <c r="Z50" s="562"/>
      <c r="AA50" s="562"/>
      <c r="AB50" s="562"/>
      <c r="AC50" s="563"/>
      <c r="AD50" s="561"/>
      <c r="AE50" s="562"/>
      <c r="AF50" s="562"/>
      <c r="AG50" s="562"/>
      <c r="AH50" s="562"/>
      <c r="AI50" s="562"/>
      <c r="AJ50" s="563"/>
      <c r="AK50" s="561"/>
      <c r="AL50" s="562"/>
      <c r="AM50" s="562"/>
      <c r="AN50" s="562"/>
      <c r="AO50" s="562"/>
      <c r="AP50" s="562"/>
      <c r="AQ50" s="563"/>
      <c r="AR50" s="562"/>
      <c r="AS50" s="562"/>
      <c r="AT50" s="562"/>
      <c r="AU50" s="562"/>
      <c r="AV50" s="562"/>
      <c r="AW50" s="562"/>
      <c r="AX50" s="563"/>
      <c r="AY50" s="562"/>
      <c r="AZ50" s="562"/>
      <c r="BA50" s="562"/>
      <c r="BB50" s="562"/>
      <c r="BC50" s="562"/>
      <c r="BD50" s="562"/>
      <c r="BE50" s="563"/>
      <c r="BF50" s="561"/>
      <c r="BG50" s="562"/>
      <c r="BH50" s="562"/>
      <c r="BI50" s="562"/>
      <c r="BJ50" s="562"/>
      <c r="BK50" s="562"/>
      <c r="BL50" s="563"/>
      <c r="BM50" s="561"/>
      <c r="BN50" s="562"/>
      <c r="BO50" s="562"/>
      <c r="BP50" s="562"/>
      <c r="BQ50" s="562"/>
      <c r="BR50" s="562"/>
      <c r="BS50" s="563"/>
      <c r="BT50" s="561"/>
      <c r="BU50" s="562"/>
      <c r="BV50" s="562"/>
      <c r="BW50" s="562"/>
      <c r="BX50" s="562"/>
      <c r="BY50" s="562"/>
      <c r="BZ50" s="563"/>
      <c r="CA50" s="561"/>
      <c r="CB50" s="562"/>
      <c r="CC50" s="562"/>
      <c r="CD50" s="562"/>
      <c r="CE50" s="562"/>
      <c r="CF50" s="562"/>
      <c r="CG50" s="563"/>
      <c r="CH50" s="562"/>
      <c r="CI50" s="562"/>
      <c r="CJ50" s="562"/>
      <c r="CK50" s="562"/>
      <c r="CL50" s="562"/>
      <c r="CM50" s="562"/>
      <c r="CN50" s="562"/>
    </row>
    <row r="51" ht="14.25" customHeight="1">
      <c r="A51" s="58" t="s">
        <v>2566</v>
      </c>
      <c r="B51" s="405"/>
      <c r="H51" s="83"/>
      <c r="I51" s="405"/>
      <c r="O51" s="83"/>
      <c r="P51" s="405"/>
      <c r="V51" s="83"/>
      <c r="W51" s="405"/>
      <c r="AC51" s="83"/>
      <c r="AD51" s="405"/>
      <c r="AJ51" s="83"/>
      <c r="AK51" s="405"/>
      <c r="AQ51" s="83"/>
      <c r="AX51" s="83"/>
      <c r="BE51" s="83"/>
      <c r="BF51" s="405"/>
      <c r="BL51" s="83"/>
      <c r="BM51" s="405"/>
      <c r="BS51" s="83"/>
      <c r="BT51" s="405"/>
      <c r="BZ51" s="83"/>
      <c r="CA51" s="405"/>
      <c r="CG51" s="83"/>
    </row>
    <row r="52" ht="12.75" customHeight="1">
      <c r="A52" s="58" t="s">
        <v>2567</v>
      </c>
      <c r="B52" s="609" t="s">
        <v>2568</v>
      </c>
      <c r="C52" s="16"/>
      <c r="D52" s="16"/>
      <c r="E52" s="16"/>
      <c r="F52" s="16"/>
      <c r="G52" s="16"/>
      <c r="H52" s="25"/>
      <c r="I52" s="405"/>
      <c r="O52" s="83"/>
      <c r="P52" s="610" t="s">
        <v>2569</v>
      </c>
      <c r="W52" s="94"/>
      <c r="AC52" s="83"/>
      <c r="AD52" s="611" t="s">
        <v>2570</v>
      </c>
      <c r="AE52" s="16"/>
      <c r="AF52" s="16"/>
      <c r="AG52" s="16"/>
      <c r="AH52" s="16"/>
      <c r="AI52" s="16"/>
      <c r="AJ52" s="25"/>
      <c r="AK52" s="281" t="s">
        <v>2573</v>
      </c>
      <c r="AL52" s="16"/>
      <c r="AM52" s="16"/>
      <c r="AN52" s="16"/>
      <c r="AO52" s="16"/>
      <c r="AP52" s="16"/>
      <c r="AQ52" s="16"/>
      <c r="AR52" s="16"/>
      <c r="AS52" s="16"/>
      <c r="AT52" s="16"/>
      <c r="AU52" s="16"/>
      <c r="AV52" s="16"/>
      <c r="AW52" s="16"/>
      <c r="AX52" s="25"/>
      <c r="AY52" s="612" t="s">
        <v>2575</v>
      </c>
      <c r="AZ52" s="16"/>
      <c r="BA52" s="16"/>
      <c r="BB52" s="16"/>
      <c r="BC52" s="16"/>
      <c r="BD52" s="16"/>
      <c r="BE52" s="25"/>
      <c r="BF52" s="613" t="s">
        <v>2576</v>
      </c>
      <c r="BG52" s="16"/>
      <c r="BH52" s="16"/>
      <c r="BI52" s="16"/>
      <c r="BJ52" s="16"/>
      <c r="BK52" s="16"/>
      <c r="BL52" s="16"/>
      <c r="BM52" s="25"/>
      <c r="BN52" s="614"/>
      <c r="BO52" s="614"/>
      <c r="BP52" s="614"/>
      <c r="BQ52" s="614"/>
      <c r="BR52" s="614"/>
      <c r="BS52" s="615"/>
      <c r="BT52" s="616"/>
      <c r="BZ52" s="83"/>
      <c r="CA52" s="405"/>
      <c r="CG52" s="83"/>
    </row>
    <row r="53" ht="17.25" customHeight="1">
      <c r="A53" s="58" t="s">
        <v>2579</v>
      </c>
      <c r="B53" s="405"/>
      <c r="H53" s="83"/>
      <c r="I53" s="405"/>
      <c r="O53" s="83"/>
      <c r="P53" s="405"/>
      <c r="V53" s="83"/>
      <c r="W53" s="405"/>
      <c r="AC53" s="83"/>
      <c r="AD53" s="405"/>
      <c r="AJ53" s="83"/>
      <c r="AK53" s="612" t="s">
        <v>2580</v>
      </c>
      <c r="AL53" s="16"/>
      <c r="AM53" s="16"/>
      <c r="AN53" s="16"/>
      <c r="AO53" s="16"/>
      <c r="AP53" s="16"/>
      <c r="AQ53" s="16"/>
      <c r="AR53" s="16"/>
      <c r="AS53" s="16"/>
      <c r="AT53" s="16"/>
      <c r="AU53" s="16"/>
      <c r="AV53" s="16"/>
      <c r="AW53" s="16"/>
      <c r="AX53" s="25"/>
      <c r="AY53" s="617" t="s">
        <v>2582</v>
      </c>
      <c r="AZ53" s="16"/>
      <c r="BA53" s="16"/>
      <c r="BB53" s="16"/>
      <c r="BC53" s="16"/>
      <c r="BD53" s="16"/>
      <c r="BE53" s="25"/>
      <c r="BF53" s="612" t="s">
        <v>2584</v>
      </c>
      <c r="BG53" s="16"/>
      <c r="BH53" s="16"/>
      <c r="BI53" s="16"/>
      <c r="BJ53" s="16"/>
      <c r="BK53" s="16"/>
      <c r="BL53" s="16"/>
      <c r="BM53" s="16"/>
      <c r="BN53" s="16"/>
      <c r="BO53" s="16"/>
      <c r="BP53" s="16"/>
      <c r="BQ53" s="16"/>
      <c r="BR53" s="16"/>
      <c r="BS53" s="25"/>
      <c r="BT53" s="618" t="s">
        <v>2586</v>
      </c>
      <c r="BU53" s="25"/>
      <c r="BZ53" s="83"/>
      <c r="CA53" s="405"/>
      <c r="CG53" s="83"/>
    </row>
    <row r="54">
      <c r="A54" s="58"/>
      <c r="B54" s="405"/>
      <c r="H54" s="83"/>
      <c r="I54" s="405"/>
      <c r="O54" s="83"/>
      <c r="P54" s="405"/>
      <c r="V54" s="83"/>
      <c r="W54" s="405"/>
      <c r="AC54" s="83"/>
      <c r="AD54" s="405"/>
      <c r="AJ54" s="83"/>
      <c r="AK54" s="405"/>
      <c r="AQ54" s="83"/>
      <c r="AR54" s="58" t="s">
        <v>2587</v>
      </c>
      <c r="AX54" s="83"/>
      <c r="BE54" s="83"/>
      <c r="BF54" s="405"/>
      <c r="BL54" s="83"/>
      <c r="BM54" s="405"/>
      <c r="BS54" s="83"/>
      <c r="BT54" s="405"/>
      <c r="BZ54" s="83"/>
      <c r="CA54" s="405"/>
      <c r="CG54" s="83"/>
    </row>
    <row r="55">
      <c r="A55" s="58" t="s">
        <v>2240</v>
      </c>
      <c r="B55" s="405"/>
      <c r="H55" s="83"/>
      <c r="I55" s="405"/>
      <c r="O55" s="83"/>
      <c r="P55" s="405"/>
      <c r="V55" s="83"/>
      <c r="W55" s="405"/>
      <c r="AC55" s="83"/>
      <c r="AD55" s="405"/>
      <c r="AJ55" s="83"/>
      <c r="AK55" s="405"/>
      <c r="AQ55" s="83"/>
      <c r="AX55" s="83"/>
      <c r="BE55" s="83"/>
      <c r="BF55" s="405"/>
      <c r="BL55" s="83"/>
      <c r="BM55" s="405"/>
      <c r="BS55" s="83"/>
      <c r="BT55" s="405"/>
      <c r="BZ55" s="83"/>
      <c r="CA55" s="405"/>
      <c r="CG55" s="83"/>
    </row>
    <row r="56">
      <c r="A56" s="58" t="s">
        <v>335</v>
      </c>
      <c r="B56" s="405"/>
      <c r="H56" s="83"/>
      <c r="I56" s="94" t="s">
        <v>2588</v>
      </c>
      <c r="O56" s="83"/>
      <c r="P56" s="405"/>
      <c r="V56" s="83"/>
      <c r="W56" s="237" t="s">
        <v>2589</v>
      </c>
      <c r="X56" s="16"/>
      <c r="Y56" s="16"/>
      <c r="Z56" s="16"/>
      <c r="AA56" s="16"/>
      <c r="AB56" s="16"/>
      <c r="AC56" s="16"/>
      <c r="AD56" s="16"/>
      <c r="AE56" s="16"/>
      <c r="AF56" s="16"/>
      <c r="AG56" s="16"/>
      <c r="AH56" s="16"/>
      <c r="AI56" s="16"/>
      <c r="AJ56" s="25"/>
      <c r="AK56" s="621" t="s">
        <v>2590</v>
      </c>
      <c r="AL56" s="16"/>
      <c r="AM56" s="16"/>
      <c r="AN56" s="16"/>
      <c r="AO56" s="16"/>
      <c r="AP56" s="16"/>
      <c r="AQ56" s="16"/>
      <c r="AR56" s="16"/>
      <c r="AS56" s="16"/>
      <c r="AT56" s="16"/>
      <c r="AU56" s="16"/>
      <c r="AV56" s="16"/>
      <c r="AW56" s="16"/>
      <c r="AX56" s="25"/>
      <c r="AY56" s="237" t="s">
        <v>2592</v>
      </c>
      <c r="AZ56" s="16"/>
      <c r="BA56" s="16"/>
      <c r="BB56" s="16"/>
      <c r="BC56" s="16"/>
      <c r="BD56" s="16"/>
      <c r="BE56" s="16"/>
      <c r="BF56" s="16"/>
      <c r="BG56" s="16"/>
      <c r="BH56" s="16"/>
      <c r="BI56" s="16"/>
      <c r="BJ56" s="16"/>
      <c r="BK56" s="16"/>
      <c r="BL56" s="16"/>
      <c r="BM56" s="16"/>
      <c r="BN56" s="16"/>
      <c r="BO56" s="16"/>
      <c r="BP56" s="16"/>
      <c r="BQ56" s="16"/>
      <c r="BR56" s="16"/>
      <c r="BS56" s="25"/>
      <c r="BT56" s="626" t="s">
        <v>2593</v>
      </c>
      <c r="BU56" s="274"/>
      <c r="BV56" s="274"/>
      <c r="BW56" s="274"/>
      <c r="BX56" s="274"/>
      <c r="BY56" s="274"/>
      <c r="BZ56" s="274"/>
      <c r="CA56" s="274"/>
      <c r="CB56" s="274"/>
      <c r="CC56" s="274"/>
      <c r="CD56" s="274"/>
      <c r="CE56" s="274"/>
      <c r="CF56" s="274"/>
      <c r="CG56" s="83"/>
    </row>
    <row r="57">
      <c r="A57" s="58" t="s">
        <v>343</v>
      </c>
      <c r="B57" s="281" t="s">
        <v>1700</v>
      </c>
      <c r="C57" s="16"/>
      <c r="D57" s="16"/>
      <c r="E57" s="16"/>
      <c r="F57" s="16"/>
      <c r="G57" s="16"/>
      <c r="H57" s="25"/>
      <c r="I57" s="281" t="s">
        <v>2595</v>
      </c>
      <c r="J57" s="16"/>
      <c r="K57" s="16"/>
      <c r="L57" s="16"/>
      <c r="M57" s="16"/>
      <c r="N57" s="16"/>
      <c r="O57" s="16"/>
      <c r="P57" s="16"/>
      <c r="Q57" s="16"/>
      <c r="R57" s="16"/>
      <c r="S57" s="16"/>
      <c r="T57" s="16"/>
      <c r="U57" s="16"/>
      <c r="V57" s="25"/>
      <c r="W57" s="281" t="s">
        <v>1700</v>
      </c>
      <c r="X57" s="16"/>
      <c r="Y57" s="16"/>
      <c r="Z57" s="16"/>
      <c r="AA57" s="16"/>
      <c r="AB57" s="16"/>
      <c r="AC57" s="16"/>
      <c r="AD57" s="16"/>
      <c r="AE57" s="16"/>
      <c r="AF57" s="16"/>
      <c r="AG57" s="16"/>
      <c r="AH57" s="16"/>
      <c r="AI57" s="16"/>
      <c r="AJ57" s="25"/>
      <c r="AK57" s="281" t="s">
        <v>2596</v>
      </c>
      <c r="AL57" s="16"/>
      <c r="AM57" s="16"/>
      <c r="AN57" s="16"/>
      <c r="AO57" s="16"/>
      <c r="AP57" s="16"/>
      <c r="AQ57" s="16"/>
      <c r="AR57" s="16"/>
      <c r="AS57" s="16"/>
      <c r="AT57" s="16"/>
      <c r="AU57" s="16"/>
      <c r="AV57" s="16"/>
      <c r="AW57" s="16"/>
      <c r="AX57" s="16"/>
      <c r="AY57" s="16"/>
      <c r="AZ57" s="281" t="s">
        <v>2597</v>
      </c>
      <c r="BA57" s="16"/>
      <c r="BB57" s="16"/>
      <c r="BC57" s="16"/>
      <c r="BD57" s="281" t="s">
        <v>2598</v>
      </c>
      <c r="BE57" s="16"/>
      <c r="BF57" s="16"/>
      <c r="BG57" s="16"/>
      <c r="BH57" s="16"/>
      <c r="BI57" s="16"/>
      <c r="BJ57" s="16"/>
      <c r="BK57" s="16"/>
      <c r="BL57" s="16"/>
      <c r="BM57" s="16"/>
      <c r="BN57" s="16"/>
      <c r="BO57" s="16"/>
      <c r="BP57" s="16"/>
      <c r="BQ57" s="16"/>
      <c r="BR57" s="16"/>
      <c r="BS57" s="16"/>
      <c r="BT57" s="16"/>
      <c r="BU57" s="16"/>
      <c r="BV57" s="25"/>
      <c r="BW57" s="281" t="s">
        <v>2599</v>
      </c>
      <c r="BX57" s="16"/>
      <c r="BY57" s="16"/>
      <c r="BZ57" s="16"/>
      <c r="CA57" s="16"/>
      <c r="CB57" s="16"/>
      <c r="CC57" s="16"/>
      <c r="CD57" s="16"/>
      <c r="CE57" s="16"/>
      <c r="CF57" s="16"/>
      <c r="CG57" s="25"/>
    </row>
    <row r="58">
      <c r="A58" s="58" t="s">
        <v>1369</v>
      </c>
      <c r="B58" s="544"/>
      <c r="I58" s="281" t="s">
        <v>2600</v>
      </c>
      <c r="J58" s="16"/>
      <c r="K58" s="16"/>
      <c r="L58" s="16"/>
      <c r="M58" s="16"/>
      <c r="N58" s="16"/>
      <c r="O58" s="16"/>
      <c r="P58" s="16"/>
      <c r="Q58" s="16"/>
      <c r="R58" s="16"/>
      <c r="S58" s="16"/>
      <c r="T58" s="16"/>
      <c r="U58" s="16"/>
      <c r="V58" s="16"/>
      <c r="W58" s="16"/>
      <c r="X58" s="16"/>
      <c r="Y58" s="16"/>
      <c r="Z58" s="16"/>
      <c r="AA58" s="16"/>
      <c r="AB58" s="16"/>
      <c r="AC58" s="25"/>
      <c r="AD58" s="281" t="s">
        <v>2602</v>
      </c>
      <c r="AE58" s="16"/>
      <c r="AF58" s="16"/>
      <c r="AG58" s="16"/>
      <c r="AH58" s="16"/>
      <c r="AI58" s="16"/>
      <c r="AJ58" s="16"/>
      <c r="AK58" s="16"/>
      <c r="AL58" s="16"/>
      <c r="AM58" s="16"/>
      <c r="AN58" s="16"/>
      <c r="AO58" s="16"/>
      <c r="AP58" s="16"/>
      <c r="AQ58" s="16"/>
      <c r="AR58" s="16"/>
      <c r="AS58" s="16"/>
      <c r="AT58" s="16"/>
      <c r="AU58" s="16"/>
      <c r="AV58" s="16"/>
      <c r="AW58" s="16"/>
      <c r="AX58" s="281" t="s">
        <v>2603</v>
      </c>
      <c r="AY58" s="16"/>
      <c r="AZ58" s="16"/>
      <c r="BA58" s="16"/>
      <c r="BB58" s="16"/>
      <c r="BC58" s="16"/>
      <c r="BD58" s="16"/>
      <c r="BE58" s="16"/>
      <c r="BF58" s="281" t="s">
        <v>2604</v>
      </c>
      <c r="BG58" s="16"/>
      <c r="BH58" s="16"/>
      <c r="BI58" s="16"/>
      <c r="BJ58" s="16"/>
      <c r="BK58" s="16"/>
      <c r="BL58" s="16"/>
      <c r="BM58" s="16"/>
      <c r="BN58" s="16"/>
      <c r="BO58" s="16"/>
      <c r="BP58" s="16"/>
      <c r="BQ58" s="16"/>
      <c r="BR58" s="16"/>
      <c r="BS58" s="16"/>
      <c r="BT58" s="281" t="s">
        <v>2605</v>
      </c>
      <c r="BU58" s="16"/>
      <c r="BV58" s="16"/>
      <c r="BW58" s="16"/>
      <c r="BX58" s="16"/>
      <c r="BY58" s="16"/>
      <c r="BZ58" s="16"/>
      <c r="CA58" s="16"/>
      <c r="CB58" s="16"/>
      <c r="CC58" s="16"/>
      <c r="CD58" s="16"/>
      <c r="CE58" s="16"/>
      <c r="CF58" s="16"/>
      <c r="CG58" s="25"/>
    </row>
    <row r="59">
      <c r="A59" s="58" t="s">
        <v>338</v>
      </c>
      <c r="B59" s="281" t="s">
        <v>2568</v>
      </c>
      <c r="C59" s="16"/>
      <c r="D59" s="16"/>
      <c r="E59" s="16"/>
      <c r="F59" s="16"/>
      <c r="G59" s="16"/>
      <c r="H59" s="25"/>
      <c r="I59" s="281" t="s">
        <v>2606</v>
      </c>
      <c r="J59" s="16"/>
      <c r="K59" s="16"/>
      <c r="L59" s="16"/>
      <c r="M59" s="16"/>
      <c r="N59" s="16"/>
      <c r="O59" s="16"/>
      <c r="P59" s="16"/>
      <c r="Q59" s="16"/>
      <c r="R59" s="16"/>
      <c r="S59" s="16"/>
      <c r="T59" s="16"/>
      <c r="U59" s="16"/>
      <c r="V59" s="16"/>
      <c r="W59" s="16"/>
      <c r="X59" s="16"/>
      <c r="Y59" s="16"/>
      <c r="Z59" s="16"/>
      <c r="AA59" s="16"/>
      <c r="AB59" s="16"/>
      <c r="AC59" s="25"/>
      <c r="AD59" s="281" t="s">
        <v>2608</v>
      </c>
      <c r="AE59" s="16"/>
      <c r="AF59" s="16"/>
      <c r="AG59" s="16"/>
      <c r="AH59" s="16"/>
      <c r="AI59" s="16"/>
      <c r="AJ59" s="16"/>
      <c r="AK59" s="16"/>
      <c r="AL59" s="16"/>
      <c r="AM59" s="16"/>
      <c r="AN59" s="16"/>
      <c r="AO59" s="16"/>
      <c r="AP59" s="16"/>
      <c r="AQ59" s="25"/>
      <c r="AR59" s="281" t="s">
        <v>2610</v>
      </c>
      <c r="AS59" s="16"/>
      <c r="AT59" s="16"/>
      <c r="AU59" s="16"/>
      <c r="AV59" s="16"/>
      <c r="AW59" s="16"/>
      <c r="AX59" s="16"/>
      <c r="AY59" s="16"/>
      <c r="AZ59" s="16"/>
      <c r="BA59" s="16"/>
      <c r="BB59" s="16"/>
      <c r="BC59" s="16"/>
      <c r="BD59" s="16"/>
      <c r="BE59" s="25"/>
      <c r="BF59" s="627" t="s">
        <v>2612</v>
      </c>
      <c r="BW59" s="628" t="s">
        <v>2613</v>
      </c>
      <c r="BX59" s="16"/>
      <c r="BY59" s="16"/>
      <c r="BZ59" s="16"/>
      <c r="CA59" s="16"/>
      <c r="CB59" s="16"/>
      <c r="CC59" s="16"/>
      <c r="CD59" s="16"/>
      <c r="CE59" s="16"/>
      <c r="CF59" s="16"/>
      <c r="CG59" s="25"/>
    </row>
    <row r="60">
      <c r="A60" s="58" t="s">
        <v>2615</v>
      </c>
      <c r="B60" s="281" t="s">
        <v>2568</v>
      </c>
      <c r="C60" s="16"/>
      <c r="D60" s="16"/>
      <c r="E60" s="16"/>
      <c r="F60" s="16"/>
      <c r="G60" s="16"/>
      <c r="H60" s="25"/>
      <c r="I60" s="629" t="s">
        <v>2617</v>
      </c>
      <c r="J60" s="23"/>
      <c r="K60" s="23"/>
      <c r="L60" s="23"/>
      <c r="M60" s="23"/>
      <c r="N60" s="23"/>
      <c r="O60" s="23"/>
      <c r="P60" s="23"/>
      <c r="Q60" s="23"/>
      <c r="R60" s="23"/>
      <c r="S60" s="23"/>
      <c r="T60" s="23"/>
      <c r="U60" s="23"/>
      <c r="V60" s="23"/>
      <c r="W60" s="281" t="s">
        <v>2618</v>
      </c>
      <c r="X60" s="16"/>
      <c r="Y60" s="16"/>
      <c r="Z60" s="16"/>
      <c r="AA60" s="16"/>
      <c r="AB60" s="16"/>
      <c r="AC60" s="16"/>
      <c r="AD60" s="16"/>
      <c r="AE60" s="16"/>
      <c r="AF60" s="16"/>
      <c r="AG60" s="16"/>
      <c r="AH60" s="16"/>
      <c r="AI60" s="16"/>
      <c r="AJ60" s="25"/>
      <c r="AK60" s="281" t="s">
        <v>2596</v>
      </c>
      <c r="AL60" s="16"/>
      <c r="AM60" s="16"/>
      <c r="AN60" s="16"/>
      <c r="AO60" s="16"/>
      <c r="AP60" s="16"/>
      <c r="AQ60" s="16"/>
      <c r="AR60" s="16"/>
      <c r="AS60" s="16"/>
      <c r="AT60" s="16"/>
      <c r="AU60" s="16"/>
      <c r="AV60" s="16"/>
      <c r="AW60" s="16"/>
      <c r="AX60" s="16"/>
      <c r="AY60" s="16"/>
      <c r="AZ60" s="281" t="s">
        <v>2597</v>
      </c>
      <c r="BA60" s="16"/>
      <c r="BB60" s="16"/>
      <c r="BC60" s="16"/>
      <c r="BD60" s="281" t="s">
        <v>2620</v>
      </c>
      <c r="BE60" s="16"/>
      <c r="BF60" s="16"/>
      <c r="BG60" s="16"/>
      <c r="BH60" s="16"/>
      <c r="BI60" s="16"/>
      <c r="BJ60" s="16"/>
      <c r="BK60" s="16"/>
      <c r="BL60" s="16"/>
      <c r="BM60" s="16"/>
      <c r="BN60" s="16"/>
      <c r="BO60" s="16"/>
      <c r="BP60" s="16"/>
      <c r="BQ60" s="16"/>
      <c r="BR60" s="16"/>
      <c r="BS60" s="16"/>
      <c r="BT60" s="16"/>
      <c r="BU60" s="16"/>
      <c r="BV60" s="16"/>
      <c r="BW60" s="281" t="s">
        <v>2621</v>
      </c>
      <c r="BX60" s="16"/>
      <c r="BY60" s="16"/>
      <c r="BZ60" s="16"/>
      <c r="CA60" s="16"/>
      <c r="CB60" s="16"/>
      <c r="CC60" s="16"/>
      <c r="CD60" s="16"/>
      <c r="CE60" s="16"/>
      <c r="CF60" s="16"/>
      <c r="CG60" s="25"/>
    </row>
    <row r="61">
      <c r="A61" s="58" t="s">
        <v>2622</v>
      </c>
      <c r="B61" s="281" t="s">
        <v>2568</v>
      </c>
      <c r="C61" s="16"/>
      <c r="D61" s="16"/>
      <c r="E61" s="16"/>
      <c r="F61" s="16"/>
      <c r="G61" s="16"/>
      <c r="H61" s="25"/>
      <c r="I61" s="629" t="s">
        <v>2617</v>
      </c>
      <c r="J61" s="23"/>
      <c r="K61" s="23"/>
      <c r="L61" s="23"/>
      <c r="M61" s="23"/>
      <c r="N61" s="23"/>
      <c r="O61" s="23"/>
      <c r="P61" s="23"/>
      <c r="Q61" s="23"/>
      <c r="R61" s="23"/>
      <c r="S61" s="23"/>
      <c r="T61" s="23"/>
      <c r="U61" s="23"/>
      <c r="V61" s="23"/>
      <c r="W61" s="281" t="s">
        <v>2618</v>
      </c>
      <c r="X61" s="16"/>
      <c r="Y61" s="16"/>
      <c r="Z61" s="16"/>
      <c r="AA61" s="16"/>
      <c r="AB61" s="16"/>
      <c r="AC61" s="16"/>
      <c r="AD61" s="16"/>
      <c r="AE61" s="16"/>
      <c r="AF61" s="16"/>
      <c r="AG61" s="16"/>
      <c r="AH61" s="16"/>
      <c r="AI61" s="16"/>
      <c r="AJ61" s="16"/>
      <c r="AK61" s="16"/>
      <c r="AL61" s="16"/>
      <c r="AM61" s="16"/>
      <c r="AN61" s="16"/>
      <c r="AO61" s="16"/>
      <c r="AP61" s="16"/>
      <c r="AQ61" s="25"/>
      <c r="AR61" s="281" t="s">
        <v>322</v>
      </c>
      <c r="AS61" s="16"/>
      <c r="AT61" s="16"/>
      <c r="AU61" s="16"/>
      <c r="AV61" s="16"/>
      <c r="AW61" s="16"/>
      <c r="AX61" s="16"/>
      <c r="AY61" s="16"/>
      <c r="AZ61" s="16"/>
      <c r="BA61" s="16"/>
      <c r="BB61" s="16"/>
      <c r="BC61" s="25"/>
      <c r="BD61" s="281" t="s">
        <v>2623</v>
      </c>
      <c r="BE61" s="16"/>
      <c r="BF61" s="16"/>
      <c r="BG61" s="16"/>
      <c r="BH61" s="16"/>
      <c r="BI61" s="16"/>
      <c r="BJ61" s="16"/>
      <c r="BK61" s="16"/>
      <c r="BL61" s="25"/>
      <c r="BM61" s="281" t="s">
        <v>2624</v>
      </c>
      <c r="BN61" s="16"/>
      <c r="BO61" s="16"/>
      <c r="BP61" s="16"/>
      <c r="BQ61" s="16"/>
      <c r="BR61" s="16"/>
      <c r="BS61" s="16"/>
      <c r="BT61" s="16"/>
      <c r="BU61" s="16"/>
      <c r="BV61" s="25"/>
      <c r="BW61" s="281" t="s">
        <v>2605</v>
      </c>
      <c r="BX61" s="16"/>
      <c r="BY61" s="16"/>
      <c r="BZ61" s="16"/>
      <c r="CA61" s="16"/>
      <c r="CB61" s="16"/>
      <c r="CC61" s="16"/>
      <c r="CD61" s="16"/>
      <c r="CE61" s="16"/>
      <c r="CF61" s="16"/>
      <c r="CG61" s="25"/>
    </row>
    <row r="62">
      <c r="B62" s="405"/>
      <c r="H62" s="83"/>
      <c r="I62" s="405"/>
      <c r="O62" s="83"/>
      <c r="P62" s="405"/>
      <c r="V62" s="83"/>
      <c r="W62" s="405"/>
      <c r="AC62" s="83"/>
      <c r="AD62" s="405"/>
      <c r="AJ62" s="83"/>
      <c r="AK62" s="405"/>
      <c r="AQ62" s="83"/>
      <c r="AX62" s="83"/>
      <c r="BE62" s="83"/>
      <c r="BF62" s="405"/>
      <c r="BL62" s="83"/>
      <c r="BM62" s="405"/>
      <c r="BS62" s="83"/>
      <c r="BT62" s="405"/>
      <c r="BZ62" s="83"/>
      <c r="CA62" s="405"/>
      <c r="CG62" s="83"/>
    </row>
    <row r="63">
      <c r="A63" s="58" t="s">
        <v>2625</v>
      </c>
      <c r="B63" s="405"/>
      <c r="H63" s="83"/>
      <c r="I63" s="405"/>
      <c r="O63" s="83"/>
      <c r="P63" s="405"/>
      <c r="V63" s="83"/>
      <c r="W63" s="405"/>
      <c r="AC63" s="83"/>
      <c r="AD63" s="405"/>
      <c r="AJ63" s="83"/>
      <c r="AK63" s="405"/>
      <c r="AQ63" s="83"/>
      <c r="AX63" s="83"/>
      <c r="BE63" s="83"/>
      <c r="BF63" s="405"/>
      <c r="BL63" s="83"/>
      <c r="BM63" s="405"/>
      <c r="BS63" s="83"/>
      <c r="BT63" s="405"/>
      <c r="BZ63" s="83"/>
      <c r="CA63" s="405"/>
      <c r="CG63" s="83"/>
    </row>
    <row r="64">
      <c r="B64" s="405"/>
      <c r="H64" s="83"/>
      <c r="I64" s="405"/>
      <c r="O64" s="83"/>
      <c r="P64" s="405"/>
      <c r="V64" s="83"/>
      <c r="W64" s="405"/>
      <c r="AC64" s="83"/>
      <c r="AD64" s="405"/>
      <c r="AJ64" s="83"/>
      <c r="AK64" s="405"/>
      <c r="AQ64" s="83"/>
      <c r="AX64" s="83"/>
      <c r="BE64" s="83"/>
      <c r="BF64" s="405"/>
      <c r="BL64" s="83"/>
      <c r="BM64" s="405"/>
      <c r="BS64" s="83"/>
      <c r="BT64" s="405"/>
      <c r="BZ64" s="83"/>
      <c r="CA64" s="405"/>
      <c r="CG64" s="83"/>
    </row>
    <row r="65">
      <c r="A65" s="560" t="s">
        <v>1756</v>
      </c>
      <c r="B65" s="561"/>
      <c r="C65" s="562"/>
      <c r="D65" s="562"/>
      <c r="E65" s="562"/>
      <c r="F65" s="562"/>
      <c r="G65" s="562"/>
      <c r="H65" s="563"/>
      <c r="I65" s="561"/>
      <c r="J65" s="562"/>
      <c r="K65" s="562"/>
      <c r="L65" s="562"/>
      <c r="M65" s="562"/>
      <c r="N65" s="562"/>
      <c r="O65" s="563"/>
      <c r="P65" s="561"/>
      <c r="Q65" s="562"/>
      <c r="R65" s="562"/>
      <c r="S65" s="562"/>
      <c r="T65" s="562"/>
      <c r="U65" s="562"/>
      <c r="V65" s="563"/>
      <c r="W65" s="561"/>
      <c r="X65" s="562"/>
      <c r="Y65" s="562"/>
      <c r="Z65" s="562"/>
      <c r="AA65" s="562"/>
      <c r="AB65" s="562"/>
      <c r="AC65" s="563"/>
      <c r="AD65" s="561"/>
      <c r="AE65" s="562"/>
      <c r="AF65" s="562"/>
      <c r="AG65" s="562"/>
      <c r="AH65" s="562"/>
      <c r="AI65" s="562"/>
      <c r="AJ65" s="563"/>
      <c r="AK65" s="561"/>
      <c r="AL65" s="562"/>
      <c r="AM65" s="562"/>
      <c r="AN65" s="562"/>
      <c r="AO65" s="562"/>
      <c r="AP65" s="562"/>
      <c r="AQ65" s="563"/>
      <c r="AR65" s="562"/>
      <c r="AS65" s="562"/>
      <c r="AT65" s="562"/>
      <c r="AU65" s="562"/>
      <c r="AV65" s="562"/>
      <c r="AW65" s="562"/>
      <c r="AX65" s="563"/>
      <c r="AY65" s="562"/>
      <c r="AZ65" s="562"/>
      <c r="BA65" s="562"/>
      <c r="BB65" s="562"/>
      <c r="BC65" s="562"/>
      <c r="BD65" s="562"/>
      <c r="BE65" s="563"/>
      <c r="BF65" s="561"/>
      <c r="BG65" s="562"/>
      <c r="BH65" s="562"/>
      <c r="BI65" s="562"/>
      <c r="BJ65" s="562"/>
      <c r="BK65" s="562"/>
      <c r="BL65" s="563"/>
      <c r="BM65" s="561"/>
      <c r="BN65" s="562"/>
      <c r="BO65" s="562"/>
      <c r="BP65" s="562"/>
      <c r="BQ65" s="562"/>
      <c r="BR65" s="562"/>
      <c r="BS65" s="563"/>
      <c r="BT65" s="561"/>
      <c r="BU65" s="562"/>
      <c r="BV65" s="562"/>
      <c r="BW65" s="562"/>
      <c r="BX65" s="562"/>
      <c r="BY65" s="562"/>
      <c r="BZ65" s="563"/>
      <c r="CA65" s="561"/>
      <c r="CB65" s="562"/>
      <c r="CC65" s="562"/>
      <c r="CD65" s="562"/>
      <c r="CE65" s="562"/>
      <c r="CF65" s="562"/>
      <c r="CG65" s="563"/>
      <c r="CH65" s="562"/>
      <c r="CI65" s="562"/>
      <c r="CJ65" s="562"/>
      <c r="CK65" s="562"/>
      <c r="CL65" s="562"/>
      <c r="CM65" s="562"/>
      <c r="CN65" s="562"/>
    </row>
    <row r="66">
      <c r="A66" s="58" t="s">
        <v>2627</v>
      </c>
      <c r="B66" s="405"/>
      <c r="H66" s="83"/>
      <c r="I66" s="94" t="s">
        <v>2628</v>
      </c>
      <c r="O66" s="83"/>
      <c r="P66" s="405"/>
      <c r="V66" s="83"/>
      <c r="W66" s="405"/>
      <c r="AC66" s="83"/>
      <c r="AD66" s="405"/>
      <c r="AJ66" s="83"/>
      <c r="AK66" s="405"/>
      <c r="AQ66" s="83"/>
      <c r="AX66" s="83"/>
      <c r="AY66" s="58" t="s">
        <v>2629</v>
      </c>
      <c r="BE66" s="83"/>
      <c r="BF66" s="405"/>
      <c r="BG66" s="58" t="s">
        <v>2630</v>
      </c>
      <c r="BL66" s="83"/>
      <c r="BM66" s="405"/>
      <c r="BS66" s="83"/>
      <c r="BT66" s="405"/>
      <c r="BZ66" s="83"/>
      <c r="CA66" s="405"/>
      <c r="CG66" s="83"/>
    </row>
    <row r="67">
      <c r="A67" s="58" t="s">
        <v>2631</v>
      </c>
      <c r="B67" s="405"/>
      <c r="H67" s="83"/>
      <c r="I67" s="405"/>
      <c r="L67" s="58" t="s">
        <v>2632</v>
      </c>
      <c r="O67" s="83"/>
      <c r="P67" s="405"/>
      <c r="S67" s="58" t="s">
        <v>2633</v>
      </c>
      <c r="V67" s="83"/>
      <c r="W67" s="405"/>
      <c r="AC67" s="83"/>
      <c r="AD67" s="405"/>
      <c r="AG67" s="58" t="s">
        <v>2634</v>
      </c>
      <c r="AJ67" s="83"/>
      <c r="AK67" s="405"/>
      <c r="AQ67" s="83"/>
      <c r="AX67" s="83"/>
      <c r="BA67" s="58" t="s">
        <v>2635</v>
      </c>
      <c r="BE67" s="83"/>
      <c r="BF67" s="405"/>
      <c r="BL67" s="83"/>
      <c r="BM67" s="405"/>
      <c r="BS67" s="83"/>
      <c r="BT67" s="405"/>
      <c r="BZ67" s="83"/>
      <c r="CA67" s="405"/>
      <c r="CG67" s="83"/>
    </row>
    <row r="68">
      <c r="A68" s="58" t="s">
        <v>2636</v>
      </c>
      <c r="B68" s="405"/>
      <c r="H68" s="83"/>
      <c r="I68" s="405"/>
      <c r="O68" s="83"/>
      <c r="P68" s="405"/>
      <c r="V68" s="83"/>
      <c r="W68" s="405"/>
      <c r="AC68" s="83"/>
      <c r="AD68" s="405"/>
      <c r="AJ68" s="83"/>
      <c r="AK68" s="281" t="s">
        <v>2637</v>
      </c>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25"/>
    </row>
    <row r="69">
      <c r="A69" s="58" t="s">
        <v>2636</v>
      </c>
      <c r="B69" s="405"/>
      <c r="H69" s="83"/>
      <c r="I69" s="405"/>
      <c r="O69" s="83"/>
      <c r="P69" s="405"/>
      <c r="V69" s="83"/>
      <c r="W69" s="405"/>
      <c r="AC69" s="83"/>
      <c r="AD69" s="405"/>
      <c r="AJ69" s="83"/>
      <c r="AK69" s="281" t="s">
        <v>2639</v>
      </c>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25"/>
    </row>
    <row r="70">
      <c r="B70" s="405"/>
      <c r="H70" s="83"/>
      <c r="I70" s="405"/>
      <c r="O70" s="83"/>
      <c r="P70" s="405"/>
      <c r="V70" s="83"/>
      <c r="W70" s="405"/>
      <c r="AC70" s="83"/>
      <c r="AD70" s="405"/>
      <c r="AJ70" s="83"/>
      <c r="AK70" s="405"/>
      <c r="AQ70" s="83"/>
      <c r="AX70" s="83"/>
      <c r="BE70" s="83"/>
      <c r="BF70" s="405"/>
      <c r="BL70" s="83"/>
      <c r="BM70" s="405"/>
      <c r="BS70" s="83"/>
      <c r="BT70" s="405"/>
      <c r="BZ70" s="83"/>
      <c r="CA70" s="405"/>
      <c r="CG70" s="83"/>
    </row>
    <row r="71">
      <c r="A71" s="560" t="s">
        <v>2198</v>
      </c>
      <c r="B71" s="561"/>
      <c r="C71" s="562"/>
      <c r="D71" s="562"/>
      <c r="E71" s="562"/>
      <c r="F71" s="562"/>
      <c r="G71" s="562"/>
      <c r="H71" s="563"/>
      <c r="I71" s="561"/>
      <c r="J71" s="562"/>
      <c r="K71" s="562"/>
      <c r="L71" s="562"/>
      <c r="M71" s="562"/>
      <c r="N71" s="562"/>
      <c r="O71" s="563"/>
      <c r="P71" s="561"/>
      <c r="Q71" s="562"/>
      <c r="R71" s="562"/>
      <c r="S71" s="562"/>
      <c r="T71" s="562"/>
      <c r="U71" s="562"/>
      <c r="V71" s="563"/>
      <c r="W71" s="561"/>
      <c r="X71" s="562"/>
      <c r="Y71" s="562"/>
      <c r="Z71" s="562"/>
      <c r="AA71" s="562"/>
      <c r="AB71" s="562"/>
      <c r="AC71" s="563"/>
      <c r="AD71" s="561"/>
      <c r="AE71" s="562"/>
      <c r="AF71" s="562"/>
      <c r="AG71" s="562"/>
      <c r="AH71" s="562"/>
      <c r="AI71" s="562"/>
      <c r="AJ71" s="563"/>
      <c r="AK71" s="561"/>
      <c r="AL71" s="562"/>
      <c r="AM71" s="562"/>
      <c r="AN71" s="562"/>
      <c r="AO71" s="562"/>
      <c r="AP71" s="562"/>
      <c r="AQ71" s="563"/>
      <c r="AR71" s="562"/>
      <c r="AS71" s="562"/>
      <c r="AT71" s="562"/>
      <c r="AU71" s="562"/>
      <c r="AV71" s="562"/>
      <c r="AW71" s="562"/>
      <c r="AX71" s="563"/>
      <c r="AY71" s="562"/>
      <c r="AZ71" s="562"/>
      <c r="BA71" s="562"/>
      <c r="BB71" s="562"/>
      <c r="BC71" s="562"/>
      <c r="BD71" s="562"/>
      <c r="BE71" s="563"/>
      <c r="BF71" s="561"/>
      <c r="BG71" s="562"/>
      <c r="BH71" s="562"/>
      <c r="BI71" s="562"/>
      <c r="BJ71" s="562"/>
      <c r="BK71" s="562"/>
      <c r="BL71" s="563"/>
      <c r="BM71" s="561"/>
      <c r="BN71" s="562"/>
      <c r="BO71" s="562"/>
      <c r="BP71" s="562"/>
      <c r="BQ71" s="562"/>
      <c r="BR71" s="562"/>
      <c r="BS71" s="563"/>
      <c r="BT71" s="561"/>
      <c r="BU71" s="562"/>
      <c r="BV71" s="562"/>
      <c r="BW71" s="562"/>
      <c r="BX71" s="562"/>
      <c r="BY71" s="562"/>
      <c r="BZ71" s="563"/>
      <c r="CA71" s="561"/>
      <c r="CB71" s="562"/>
      <c r="CC71" s="562"/>
      <c r="CD71" s="562"/>
      <c r="CE71" s="562"/>
      <c r="CF71" s="562"/>
      <c r="CG71" s="563"/>
      <c r="CH71" s="562"/>
      <c r="CI71" s="562"/>
      <c r="CJ71" s="562"/>
      <c r="CK71" s="562"/>
      <c r="CL71" s="562"/>
      <c r="CM71" s="562"/>
      <c r="CN71" s="562"/>
    </row>
    <row r="72">
      <c r="A72" s="58" t="s">
        <v>2643</v>
      </c>
      <c r="B72" s="405"/>
      <c r="H72" s="83"/>
      <c r="I72" s="405"/>
      <c r="O72" s="83"/>
      <c r="P72" s="405"/>
      <c r="V72" s="83"/>
      <c r="W72" s="405"/>
      <c r="AC72" s="83"/>
      <c r="AD72" s="405"/>
      <c r="AJ72" s="83"/>
      <c r="AK72" s="405"/>
      <c r="AQ72" s="83"/>
      <c r="AX72" s="83"/>
      <c r="BE72" s="83"/>
      <c r="BF72" s="405"/>
      <c r="BL72" s="83"/>
      <c r="BM72" s="405"/>
      <c r="BS72" s="83"/>
      <c r="BT72" s="405"/>
      <c r="BZ72" s="83"/>
      <c r="CA72" s="405"/>
      <c r="CG72" s="83"/>
    </row>
    <row r="73">
      <c r="A73" s="58" t="s">
        <v>2645</v>
      </c>
      <c r="B73" s="405"/>
      <c r="H73" s="83"/>
      <c r="I73" s="405"/>
      <c r="O73" s="83"/>
      <c r="P73" s="405"/>
      <c r="V73" s="83"/>
      <c r="W73" s="405"/>
      <c r="AC73" s="83"/>
      <c r="AD73" s="405"/>
      <c r="AJ73" s="83"/>
      <c r="AK73" s="405"/>
      <c r="AQ73" s="83"/>
      <c r="AX73" s="83"/>
      <c r="BE73" s="83"/>
      <c r="BF73" s="405"/>
      <c r="BL73" s="83"/>
      <c r="BM73" s="405"/>
      <c r="BS73" s="83"/>
      <c r="BT73" s="405"/>
      <c r="BZ73" s="83"/>
      <c r="CA73" s="405"/>
      <c r="CG73" s="83"/>
    </row>
    <row r="74">
      <c r="B74" s="405"/>
      <c r="H74" s="83"/>
      <c r="I74" s="405"/>
      <c r="O74" s="83"/>
      <c r="P74" s="405"/>
      <c r="V74" s="83"/>
      <c r="W74" s="405"/>
      <c r="AC74" s="83"/>
      <c r="AD74" s="405"/>
      <c r="AJ74" s="83"/>
      <c r="AK74" s="405"/>
      <c r="AQ74" s="83"/>
      <c r="AX74" s="83"/>
      <c r="BE74" s="83"/>
      <c r="BF74" s="405"/>
      <c r="BL74" s="83"/>
      <c r="BM74" s="405"/>
      <c r="BS74" s="83"/>
      <c r="BT74" s="405"/>
      <c r="BZ74" s="83"/>
      <c r="CA74" s="405"/>
      <c r="CG74" s="83"/>
    </row>
    <row r="75">
      <c r="A75" s="560" t="s">
        <v>2646</v>
      </c>
      <c r="B75" s="561"/>
      <c r="C75" s="562"/>
      <c r="D75" s="562"/>
      <c r="E75" s="562"/>
      <c r="F75" s="562"/>
      <c r="G75" s="562"/>
      <c r="H75" s="563"/>
      <c r="I75" s="561"/>
      <c r="J75" s="562"/>
      <c r="K75" s="562"/>
      <c r="L75" s="562"/>
      <c r="M75" s="562"/>
      <c r="N75" s="562"/>
      <c r="O75" s="563"/>
      <c r="P75" s="561"/>
      <c r="Q75" s="562"/>
      <c r="R75" s="562"/>
      <c r="S75" s="562"/>
      <c r="T75" s="562"/>
      <c r="U75" s="562"/>
      <c r="V75" s="563"/>
      <c r="W75" s="561"/>
      <c r="X75" s="562"/>
      <c r="Y75" s="562"/>
      <c r="Z75" s="562"/>
      <c r="AA75" s="562"/>
      <c r="AB75" s="562"/>
      <c r="AC75" s="563"/>
      <c r="AD75" s="561"/>
      <c r="AE75" s="562"/>
      <c r="AF75" s="562"/>
      <c r="AG75" s="562"/>
      <c r="AH75" s="562"/>
      <c r="AI75" s="562"/>
      <c r="AJ75" s="563"/>
      <c r="AK75" s="561"/>
      <c r="AL75" s="562"/>
      <c r="AM75" s="562"/>
      <c r="AN75" s="562"/>
      <c r="AO75" s="562"/>
      <c r="AP75" s="562"/>
      <c r="AQ75" s="563"/>
      <c r="AR75" s="562"/>
      <c r="AS75" s="562"/>
      <c r="AT75" s="562"/>
      <c r="AU75" s="562"/>
      <c r="AV75" s="562"/>
      <c r="AW75" s="562"/>
      <c r="AX75" s="563"/>
      <c r="AY75" s="562"/>
      <c r="AZ75" s="562"/>
      <c r="BA75" s="562"/>
      <c r="BB75" s="562"/>
      <c r="BC75" s="562"/>
      <c r="BD75" s="562"/>
      <c r="BE75" s="563"/>
      <c r="BF75" s="561"/>
      <c r="BG75" s="562"/>
      <c r="BH75" s="562"/>
      <c r="BI75" s="562"/>
      <c r="BJ75" s="562"/>
      <c r="BK75" s="562"/>
      <c r="BL75" s="563"/>
      <c r="BM75" s="561"/>
      <c r="BN75" s="562"/>
      <c r="BO75" s="562"/>
      <c r="BP75" s="562"/>
      <c r="BQ75" s="562"/>
      <c r="BR75" s="562"/>
      <c r="BS75" s="563"/>
      <c r="BT75" s="561"/>
      <c r="BU75" s="562"/>
      <c r="BV75" s="562"/>
      <c r="BW75" s="562"/>
      <c r="BX75" s="562"/>
      <c r="BY75" s="562"/>
      <c r="BZ75" s="563"/>
      <c r="CA75" s="561"/>
      <c r="CB75" s="562"/>
      <c r="CC75" s="562"/>
      <c r="CD75" s="562"/>
      <c r="CE75" s="562"/>
      <c r="CF75" s="562"/>
      <c r="CG75" s="563"/>
      <c r="CH75" s="562"/>
      <c r="CI75" s="562"/>
      <c r="CJ75" s="562"/>
      <c r="CK75" s="562"/>
      <c r="CL75" s="562"/>
      <c r="CM75" s="562"/>
      <c r="CN75" s="562"/>
    </row>
    <row r="76">
      <c r="A76" s="58" t="s">
        <v>2648</v>
      </c>
      <c r="B76" s="405"/>
      <c r="H76" s="83"/>
      <c r="I76" s="405"/>
      <c r="O76" s="83"/>
      <c r="P76" s="405"/>
      <c r="V76" s="83"/>
      <c r="W76" s="405"/>
      <c r="AC76" s="83"/>
      <c r="AD76" s="405"/>
      <c r="AJ76" s="83"/>
      <c r="AK76" s="405"/>
      <c r="AQ76" s="83"/>
      <c r="AX76" s="83"/>
      <c r="AY76" s="281" t="s">
        <v>2650</v>
      </c>
      <c r="AZ76" s="16"/>
      <c r="BA76" s="16"/>
      <c r="BB76" s="16"/>
      <c r="BC76" s="16"/>
      <c r="BD76" s="16"/>
      <c r="BE76" s="25"/>
      <c r="BF76" s="612" t="s">
        <v>2584</v>
      </c>
      <c r="BG76" s="16"/>
      <c r="BH76" s="16"/>
      <c r="BI76" s="16"/>
      <c r="BJ76" s="16"/>
      <c r="BK76" s="16"/>
      <c r="BL76" s="16"/>
      <c r="BM76" s="16"/>
      <c r="BN76" s="16"/>
      <c r="BO76" s="16"/>
      <c r="BP76" s="16"/>
      <c r="BQ76" s="16"/>
      <c r="BR76" s="16"/>
      <c r="BS76" s="25"/>
      <c r="BT76" s="405"/>
      <c r="BZ76" s="83"/>
      <c r="CA76" s="405"/>
      <c r="CG76" s="83"/>
    </row>
    <row r="77">
      <c r="A77" s="58" t="s">
        <v>2653</v>
      </c>
      <c r="B77" s="405"/>
      <c r="H77" s="83"/>
      <c r="I77" s="405"/>
      <c r="O77" s="83"/>
      <c r="P77" s="405"/>
      <c r="V77" s="83"/>
      <c r="W77" s="280"/>
      <c r="X77" s="608"/>
      <c r="Y77" s="608"/>
      <c r="Z77" s="608"/>
      <c r="AA77" s="608"/>
      <c r="AB77" s="608"/>
      <c r="AC77" s="630"/>
      <c r="AD77" s="280"/>
      <c r="AE77" s="608"/>
      <c r="AF77" s="608"/>
      <c r="AG77" s="608"/>
      <c r="AH77" s="608"/>
      <c r="AI77" s="608"/>
      <c r="AJ77" s="630"/>
      <c r="AK77" s="280"/>
      <c r="AL77" s="608"/>
      <c r="AM77" s="608"/>
      <c r="AN77" s="608"/>
      <c r="AO77" s="608"/>
      <c r="AP77" s="608"/>
      <c r="AQ77" s="630"/>
      <c r="AR77" s="608"/>
      <c r="AS77" s="608"/>
      <c r="AT77" s="608"/>
      <c r="AU77" s="608"/>
      <c r="AV77" s="608"/>
      <c r="AW77" s="608"/>
      <c r="AX77" s="630"/>
      <c r="AY77" s="612" t="s">
        <v>2575</v>
      </c>
      <c r="AZ77" s="16"/>
      <c r="BA77" s="16"/>
      <c r="BB77" s="16"/>
      <c r="BC77" s="16"/>
      <c r="BD77" s="16"/>
      <c r="BE77" s="25"/>
      <c r="BF77" s="631" t="s">
        <v>2474</v>
      </c>
      <c r="BG77" s="16"/>
      <c r="BH77" s="16"/>
      <c r="BI77" s="16"/>
      <c r="BJ77" s="16"/>
      <c r="BK77" s="16"/>
      <c r="BL77" s="16"/>
      <c r="BM77" s="25"/>
      <c r="BN77" s="608"/>
      <c r="BO77" s="608"/>
      <c r="BP77" s="608"/>
      <c r="BQ77" s="608"/>
      <c r="BR77" s="608"/>
      <c r="BS77" s="630"/>
      <c r="BT77" s="280"/>
      <c r="BU77" s="608"/>
      <c r="BV77" s="608"/>
      <c r="BW77" s="608"/>
      <c r="BX77" s="608"/>
      <c r="BY77" s="608"/>
      <c r="BZ77" s="630"/>
      <c r="CA77" s="280"/>
      <c r="CB77" s="608"/>
      <c r="CC77" s="608"/>
      <c r="CD77" s="608"/>
      <c r="CG77" s="83"/>
    </row>
    <row r="78">
      <c r="A78" s="58" t="s">
        <v>2655</v>
      </c>
      <c r="B78" s="405"/>
      <c r="H78" s="83"/>
      <c r="I78" s="405"/>
      <c r="O78" s="83"/>
      <c r="P78" s="405"/>
      <c r="V78" s="83"/>
      <c r="W78" s="281" t="s">
        <v>2488</v>
      </c>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25"/>
      <c r="AZ78" s="281" t="s">
        <v>2488</v>
      </c>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25"/>
      <c r="CG78" s="83"/>
    </row>
    <row r="79">
      <c r="A79" s="58" t="s">
        <v>2656</v>
      </c>
      <c r="B79" s="405"/>
      <c r="H79" s="83"/>
      <c r="I79" s="405"/>
      <c r="O79" s="83"/>
      <c r="P79" s="405"/>
      <c r="V79" s="83"/>
      <c r="W79" s="405"/>
      <c r="AC79" s="83"/>
      <c r="AD79" s="405"/>
      <c r="AJ79" s="83"/>
      <c r="AK79" s="405"/>
      <c r="AQ79" s="83"/>
      <c r="AX79" s="83"/>
      <c r="AY79" s="281" t="s">
        <v>2592</v>
      </c>
      <c r="AZ79" s="16"/>
      <c r="BA79" s="16"/>
      <c r="BB79" s="16"/>
      <c r="BC79" s="16"/>
      <c r="BD79" s="16"/>
      <c r="BE79" s="16"/>
      <c r="BF79" s="16"/>
      <c r="BG79" s="16"/>
      <c r="BH79" s="16"/>
      <c r="BI79" s="16"/>
      <c r="BJ79" s="16"/>
      <c r="BK79" s="16"/>
      <c r="BL79" s="16"/>
      <c r="BM79" s="16"/>
      <c r="BN79" s="16"/>
      <c r="BO79" s="16"/>
      <c r="BP79" s="16"/>
      <c r="BQ79" s="16"/>
      <c r="BR79" s="16"/>
      <c r="BS79" s="25"/>
      <c r="BT79" s="405"/>
      <c r="BZ79" s="83"/>
      <c r="CA79" s="405"/>
      <c r="CG79" s="83"/>
    </row>
    <row r="80">
      <c r="A80" s="58" t="s">
        <v>2657</v>
      </c>
      <c r="B80" s="405"/>
      <c r="H80" s="83"/>
      <c r="I80" s="405"/>
      <c r="O80" s="83"/>
      <c r="P80" s="405"/>
      <c r="V80" s="83"/>
      <c r="W80" s="405"/>
      <c r="AC80" s="83"/>
      <c r="AD80" s="405"/>
      <c r="AJ80" s="83"/>
      <c r="AK80" s="405"/>
      <c r="AQ80" s="83"/>
      <c r="AX80" s="83"/>
      <c r="BE80" s="83"/>
      <c r="BF80" s="405"/>
      <c r="BL80" s="83"/>
      <c r="BM80" s="405"/>
      <c r="BS80" s="83"/>
      <c r="BT80" s="405"/>
      <c r="BZ80" s="83"/>
      <c r="CA80" s="405"/>
      <c r="CG80" s="83"/>
    </row>
    <row r="81">
      <c r="A81" s="58" t="s">
        <v>2658</v>
      </c>
      <c r="B81" s="405"/>
      <c r="H81" s="83"/>
      <c r="I81" s="405"/>
      <c r="O81" s="83"/>
      <c r="P81" s="405"/>
      <c r="V81" s="83"/>
      <c r="W81" s="405"/>
      <c r="AC81" s="83"/>
      <c r="AD81" s="405"/>
      <c r="AJ81" s="83"/>
      <c r="AK81" s="405"/>
      <c r="AN81" s="281" t="s">
        <v>2659</v>
      </c>
      <c r="AO81" s="16"/>
      <c r="AP81" s="16"/>
      <c r="AQ81" s="16"/>
      <c r="AR81" s="16"/>
      <c r="AS81" s="16"/>
      <c r="AT81" s="16"/>
      <c r="AU81" s="16"/>
      <c r="AV81" s="16"/>
      <c r="AW81" s="16"/>
      <c r="AX81" s="25"/>
      <c r="BE81" s="83"/>
      <c r="BF81" s="405"/>
      <c r="BL81" s="83"/>
      <c r="BM81" s="405"/>
      <c r="BS81" s="83"/>
      <c r="BT81" s="405"/>
      <c r="BZ81" s="83"/>
      <c r="CA81" s="405"/>
      <c r="CG81" s="83"/>
    </row>
    <row r="82">
      <c r="A82" s="58" t="s">
        <v>2660</v>
      </c>
      <c r="B82" s="405"/>
      <c r="H82" s="83"/>
      <c r="I82" s="405"/>
      <c r="O82" s="83"/>
      <c r="P82" s="405"/>
      <c r="V82" s="83"/>
      <c r="W82" s="405"/>
      <c r="AC82" s="83"/>
      <c r="AD82" s="405"/>
      <c r="AJ82" s="83"/>
      <c r="AK82" s="281" t="s">
        <v>2661</v>
      </c>
      <c r="AL82" s="16"/>
      <c r="AM82" s="16"/>
      <c r="AN82" s="16"/>
      <c r="AO82" s="16"/>
      <c r="AP82" s="16"/>
      <c r="AQ82" s="25"/>
      <c r="AX82" s="83"/>
      <c r="BE82" s="83"/>
      <c r="BF82" s="405"/>
      <c r="BL82" s="83"/>
      <c r="BM82" s="405"/>
      <c r="BS82" s="83"/>
      <c r="BT82" s="405"/>
      <c r="BZ82" s="83"/>
      <c r="CA82" s="405"/>
      <c r="CG82" s="83"/>
    </row>
    <row r="83">
      <c r="A83" s="58" t="s">
        <v>2662</v>
      </c>
      <c r="B83" s="405"/>
      <c r="H83" s="83"/>
      <c r="I83" s="405"/>
      <c r="O83" s="83"/>
      <c r="P83" s="405"/>
      <c r="V83" s="83"/>
      <c r="AK83" s="281" t="s">
        <v>2663</v>
      </c>
      <c r="AL83" s="16"/>
      <c r="AM83" s="16"/>
      <c r="AN83" s="16"/>
      <c r="AO83" s="16"/>
      <c r="AP83" s="16"/>
      <c r="AQ83" s="25"/>
      <c r="BE83" s="83"/>
      <c r="BF83" s="405"/>
      <c r="BL83" s="83"/>
      <c r="BM83" s="405"/>
      <c r="BS83" s="83"/>
      <c r="BT83" s="405"/>
      <c r="BZ83" s="83"/>
      <c r="CA83" s="405"/>
      <c r="CG83" s="83"/>
    </row>
    <row r="84">
      <c r="A84" s="58" t="s">
        <v>2664</v>
      </c>
      <c r="B84" s="405"/>
      <c r="H84" s="83"/>
      <c r="I84" s="405"/>
      <c r="O84" s="83"/>
      <c r="P84" s="405"/>
      <c r="V84" s="83"/>
      <c r="BE84" s="83"/>
      <c r="BF84" s="405"/>
      <c r="BL84" s="83"/>
      <c r="BM84" s="405"/>
      <c r="BS84" s="83"/>
      <c r="BT84" s="281" t="s">
        <v>2605</v>
      </c>
      <c r="BU84" s="16"/>
      <c r="BV84" s="16"/>
      <c r="BW84" s="16"/>
      <c r="BX84" s="16"/>
      <c r="BY84" s="16"/>
      <c r="BZ84" s="16"/>
      <c r="CA84" s="16"/>
      <c r="CB84" s="16"/>
      <c r="CC84" s="16"/>
      <c r="CD84" s="16"/>
      <c r="CE84" s="16"/>
      <c r="CF84" s="16"/>
      <c r="CG84" s="25"/>
    </row>
    <row r="85">
      <c r="A85" s="58" t="s">
        <v>2665</v>
      </c>
      <c r="B85" s="405"/>
      <c r="H85" s="83"/>
      <c r="I85" s="405"/>
      <c r="O85" s="83"/>
      <c r="P85" s="405"/>
      <c r="V85" s="83"/>
      <c r="W85" s="405"/>
      <c r="AC85" s="83"/>
      <c r="AD85" s="405"/>
      <c r="AJ85" s="83"/>
      <c r="AX85" s="83"/>
      <c r="BE85" s="83"/>
      <c r="BF85" s="405"/>
      <c r="BL85" s="83"/>
      <c r="BM85" s="405"/>
      <c r="BS85" s="83"/>
      <c r="BT85" s="405"/>
      <c r="BZ85" s="83"/>
      <c r="CA85" s="405"/>
      <c r="CG85" s="83"/>
    </row>
    <row r="86">
      <c r="A86" s="545"/>
      <c r="B86" s="633"/>
      <c r="C86" s="599"/>
      <c r="D86" s="599"/>
      <c r="E86" s="599"/>
      <c r="F86" s="599"/>
      <c r="G86" s="599"/>
      <c r="H86" s="600"/>
      <c r="I86" s="633"/>
      <c r="J86" s="599"/>
      <c r="K86" s="599"/>
      <c r="L86" s="599"/>
      <c r="M86" s="599"/>
      <c r="N86" s="599"/>
      <c r="O86" s="600"/>
      <c r="P86" s="633"/>
      <c r="Q86" s="599"/>
      <c r="R86" s="599"/>
      <c r="S86" s="599"/>
      <c r="T86" s="599"/>
      <c r="U86" s="599"/>
      <c r="V86" s="600"/>
      <c r="W86" s="633"/>
      <c r="X86" s="599"/>
      <c r="Y86" s="599"/>
      <c r="Z86" s="599"/>
      <c r="AA86" s="599"/>
      <c r="AB86" s="599"/>
      <c r="AC86" s="600"/>
      <c r="AD86" s="633"/>
      <c r="AE86" s="599"/>
      <c r="AF86" s="599"/>
      <c r="AG86" s="599"/>
      <c r="AH86" s="599"/>
      <c r="AI86" s="599"/>
      <c r="AJ86" s="600"/>
      <c r="AK86" s="633"/>
      <c r="AL86" s="599"/>
      <c r="AM86" s="599"/>
      <c r="AN86" s="599"/>
      <c r="AO86" s="599"/>
      <c r="AP86" s="599"/>
      <c r="AQ86" s="600"/>
      <c r="AR86" s="599"/>
      <c r="AS86" s="599"/>
      <c r="AT86" s="599"/>
      <c r="AU86" s="599"/>
      <c r="AV86" s="599"/>
      <c r="AW86" s="599"/>
      <c r="AX86" s="600"/>
      <c r="AY86" s="599"/>
      <c r="AZ86" s="599"/>
      <c r="BA86" s="599"/>
      <c r="BB86" s="599"/>
      <c r="BC86" s="599"/>
      <c r="BD86" s="599"/>
      <c r="BE86" s="600"/>
      <c r="BF86" s="633"/>
      <c r="BG86" s="599"/>
      <c r="BH86" s="599"/>
      <c r="BI86" s="599"/>
      <c r="BJ86" s="599"/>
      <c r="BK86" s="599"/>
      <c r="BL86" s="600"/>
      <c r="BM86" s="633"/>
      <c r="BN86" s="599"/>
      <c r="BO86" s="599"/>
      <c r="BP86" s="599"/>
      <c r="BQ86" s="599"/>
      <c r="BR86" s="599"/>
      <c r="BS86" s="600"/>
      <c r="BT86" s="633"/>
      <c r="BU86" s="599"/>
      <c r="BV86" s="599"/>
      <c r="BW86" s="599"/>
      <c r="BX86" s="599"/>
      <c r="BY86" s="599"/>
      <c r="BZ86" s="600"/>
      <c r="CA86" s="633"/>
      <c r="CB86" s="599"/>
      <c r="CC86" s="599"/>
      <c r="CD86" s="599"/>
      <c r="CE86" s="599"/>
      <c r="CF86" s="599"/>
      <c r="CG86" s="600"/>
      <c r="CH86" s="599"/>
      <c r="CI86" s="599"/>
      <c r="CJ86" s="599"/>
      <c r="CK86" s="599"/>
      <c r="CL86" s="599"/>
      <c r="CM86" s="599"/>
      <c r="CN86" s="599"/>
    </row>
    <row r="87">
      <c r="A87" s="560" t="s">
        <v>2645</v>
      </c>
      <c r="B87" s="561"/>
      <c r="C87" s="562"/>
      <c r="D87" s="562"/>
      <c r="E87" s="562"/>
      <c r="F87" s="562"/>
      <c r="G87" s="562"/>
      <c r="H87" s="563"/>
      <c r="I87" s="561"/>
      <c r="J87" s="562"/>
      <c r="K87" s="562"/>
      <c r="L87" s="562"/>
      <c r="M87" s="562"/>
      <c r="N87" s="562"/>
      <c r="O87" s="563"/>
      <c r="P87" s="561"/>
      <c r="Q87" s="562"/>
      <c r="R87" s="562"/>
      <c r="S87" s="562"/>
      <c r="T87" s="562"/>
      <c r="U87" s="562"/>
      <c r="V87" s="563"/>
      <c r="W87" s="561"/>
      <c r="X87" s="562"/>
      <c r="Y87" s="562"/>
      <c r="Z87" s="562"/>
      <c r="AA87" s="562"/>
      <c r="AB87" s="562"/>
      <c r="AC87" s="563"/>
      <c r="AD87" s="561"/>
      <c r="AE87" s="562"/>
      <c r="AF87" s="562"/>
      <c r="AG87" s="562"/>
      <c r="AH87" s="562"/>
      <c r="AI87" s="562"/>
      <c r="AJ87" s="563"/>
      <c r="AK87" s="561"/>
      <c r="AL87" s="562"/>
      <c r="AM87" s="562"/>
      <c r="AN87" s="562"/>
      <c r="AO87" s="562"/>
      <c r="AP87" s="562"/>
      <c r="AQ87" s="563"/>
      <c r="AR87" s="562"/>
      <c r="AS87" s="562"/>
      <c r="AT87" s="562"/>
      <c r="AU87" s="562"/>
      <c r="AV87" s="562"/>
      <c r="AW87" s="562"/>
      <c r="AX87" s="563"/>
      <c r="AY87" s="562"/>
      <c r="AZ87" s="562"/>
      <c r="BA87" s="562"/>
      <c r="BB87" s="562"/>
      <c r="BC87" s="562"/>
      <c r="BD87" s="562"/>
      <c r="BE87" s="563"/>
      <c r="BF87" s="561"/>
      <c r="BG87" s="562"/>
      <c r="BH87" s="562"/>
      <c r="BI87" s="562"/>
      <c r="BJ87" s="562"/>
      <c r="BK87" s="562"/>
      <c r="BL87" s="563"/>
      <c r="BM87" s="561"/>
      <c r="BN87" s="562"/>
      <c r="BO87" s="562"/>
      <c r="BP87" s="562"/>
      <c r="BQ87" s="562"/>
      <c r="BR87" s="562"/>
      <c r="BS87" s="563"/>
      <c r="BT87" s="561"/>
      <c r="BU87" s="562"/>
      <c r="BV87" s="562"/>
      <c r="BW87" s="562"/>
      <c r="BX87" s="562"/>
      <c r="BY87" s="562"/>
      <c r="BZ87" s="563"/>
      <c r="CA87" s="561"/>
      <c r="CB87" s="562"/>
      <c r="CC87" s="562"/>
      <c r="CD87" s="562"/>
      <c r="CE87" s="562"/>
      <c r="CF87" s="562"/>
      <c r="CG87" s="563"/>
      <c r="CH87" s="562"/>
      <c r="CI87" s="562"/>
      <c r="CJ87" s="562"/>
      <c r="CK87" s="562"/>
      <c r="CL87" s="562"/>
      <c r="CM87" s="562"/>
      <c r="CN87" s="562"/>
    </row>
    <row r="88">
      <c r="A88" s="58" t="s">
        <v>2666</v>
      </c>
      <c r="B88" s="405"/>
      <c r="H88" s="83"/>
      <c r="I88" s="405"/>
      <c r="O88" s="83"/>
      <c r="P88" s="405"/>
      <c r="V88" s="83"/>
      <c r="W88" s="405"/>
      <c r="AC88" s="83"/>
      <c r="AD88" s="405"/>
      <c r="AJ88" s="83"/>
      <c r="AK88" s="405"/>
      <c r="AL88" s="281" t="s">
        <v>2667</v>
      </c>
      <c r="AM88" s="16"/>
      <c r="AN88" s="16"/>
      <c r="AO88" s="16"/>
      <c r="AP88" s="16"/>
      <c r="AQ88" s="16"/>
      <c r="AR88" s="16"/>
      <c r="AS88" s="16"/>
      <c r="AT88" s="16"/>
      <c r="AU88" s="16"/>
      <c r="AV88" s="16"/>
      <c r="AW88" s="16"/>
      <c r="AX88" s="25"/>
      <c r="BE88" s="83"/>
      <c r="BF88" s="405"/>
      <c r="BL88" s="83"/>
      <c r="BM88" s="405"/>
      <c r="BS88" s="83"/>
      <c r="BT88" s="405"/>
      <c r="BZ88" s="83"/>
      <c r="CA88" s="405"/>
      <c r="CG88" s="83"/>
    </row>
    <row r="89">
      <c r="B89" s="405"/>
      <c r="H89" s="83"/>
      <c r="I89" s="405"/>
      <c r="O89" s="83"/>
      <c r="P89" s="405"/>
      <c r="V89" s="83"/>
      <c r="W89" s="405"/>
      <c r="AC89" s="83"/>
      <c r="AD89" s="405"/>
      <c r="AJ89" s="83"/>
      <c r="AK89" s="405"/>
      <c r="AQ89" s="83"/>
      <c r="AX89" s="83"/>
      <c r="BE89" s="83"/>
      <c r="BF89" s="405"/>
      <c r="BL89" s="83"/>
      <c r="BM89" s="405"/>
      <c r="BS89" s="83"/>
      <c r="BT89" s="405"/>
      <c r="BZ89" s="83"/>
      <c r="CA89" s="405"/>
      <c r="CG89" s="83"/>
    </row>
    <row r="90">
      <c r="A90" s="560" t="s">
        <v>1388</v>
      </c>
      <c r="B90" s="561"/>
      <c r="C90" s="562"/>
      <c r="D90" s="562"/>
      <c r="E90" s="562"/>
      <c r="F90" s="562"/>
      <c r="G90" s="562"/>
      <c r="H90" s="563"/>
      <c r="I90" s="561"/>
      <c r="J90" s="562"/>
      <c r="K90" s="562"/>
      <c r="L90" s="562"/>
      <c r="M90" s="562"/>
      <c r="N90" s="562"/>
      <c r="O90" s="563"/>
      <c r="P90" s="561"/>
      <c r="Q90" s="562"/>
      <c r="R90" s="562"/>
      <c r="S90" s="562"/>
      <c r="T90" s="562"/>
      <c r="U90" s="562"/>
      <c r="V90" s="563"/>
      <c r="W90" s="561"/>
      <c r="X90" s="562"/>
      <c r="Y90" s="562"/>
      <c r="Z90" s="562"/>
      <c r="AA90" s="562"/>
      <c r="AB90" s="562"/>
      <c r="AC90" s="563"/>
      <c r="AD90" s="561"/>
      <c r="AE90" s="562"/>
      <c r="AF90" s="562"/>
      <c r="AG90" s="562"/>
      <c r="AH90" s="562"/>
      <c r="AI90" s="562"/>
      <c r="AJ90" s="563"/>
      <c r="AK90" s="561"/>
      <c r="AL90" s="562"/>
      <c r="AM90" s="562"/>
      <c r="AN90" s="562"/>
      <c r="AO90" s="562"/>
      <c r="AP90" s="562"/>
      <c r="AQ90" s="563"/>
      <c r="AR90" s="562"/>
      <c r="AS90" s="562"/>
      <c r="AT90" s="562"/>
      <c r="AU90" s="562"/>
      <c r="AV90" s="562"/>
      <c r="AW90" s="562"/>
      <c r="AX90" s="563"/>
      <c r="AY90" s="562"/>
      <c r="AZ90" s="562"/>
      <c r="BA90" s="562"/>
      <c r="BB90" s="562"/>
      <c r="BC90" s="562"/>
      <c r="BD90" s="562"/>
      <c r="BE90" s="563"/>
      <c r="BF90" s="561"/>
      <c r="BG90" s="562"/>
      <c r="BH90" s="562"/>
      <c r="BI90" s="562"/>
      <c r="BJ90" s="562"/>
      <c r="BK90" s="562"/>
      <c r="BL90" s="563"/>
      <c r="BM90" s="561"/>
      <c r="BN90" s="562"/>
      <c r="BO90" s="562"/>
      <c r="BP90" s="562"/>
      <c r="BQ90" s="562"/>
      <c r="BR90" s="562"/>
      <c r="BS90" s="563"/>
      <c r="BT90" s="561"/>
      <c r="BU90" s="562"/>
      <c r="BV90" s="562"/>
      <c r="BW90" s="562"/>
      <c r="BX90" s="562"/>
      <c r="BY90" s="562"/>
      <c r="BZ90" s="563"/>
      <c r="CA90" s="561"/>
      <c r="CB90" s="562"/>
      <c r="CC90" s="562"/>
      <c r="CD90" s="562"/>
      <c r="CE90" s="562"/>
      <c r="CF90" s="562"/>
      <c r="CG90" s="563"/>
      <c r="CH90" s="562"/>
      <c r="CI90" s="562"/>
      <c r="CJ90" s="562"/>
      <c r="CK90" s="562"/>
      <c r="CL90" s="562"/>
      <c r="CM90" s="562"/>
      <c r="CN90" s="562"/>
    </row>
    <row r="91">
      <c r="A91" s="58" t="s">
        <v>2668</v>
      </c>
      <c r="B91" s="405"/>
      <c r="H91" s="83"/>
      <c r="I91" s="405"/>
      <c r="O91" s="83"/>
      <c r="P91" s="405"/>
      <c r="V91" s="83"/>
      <c r="W91" s="634" t="s">
        <v>2669</v>
      </c>
      <c r="X91" s="635"/>
      <c r="Y91" s="635"/>
      <c r="Z91" s="635"/>
      <c r="AA91" s="635"/>
      <c r="AB91" s="635"/>
      <c r="AC91" s="636"/>
      <c r="AD91" s="637"/>
      <c r="AE91" s="635"/>
      <c r="AF91" s="635"/>
      <c r="AG91" s="635"/>
      <c r="AH91" s="635"/>
      <c r="AI91" s="635"/>
      <c r="AJ91" s="636"/>
      <c r="AK91" s="637"/>
      <c r="AL91" s="635"/>
      <c r="AM91" s="635"/>
      <c r="AN91" s="635"/>
      <c r="AO91" s="635"/>
      <c r="AP91" s="635"/>
      <c r="AQ91" s="636"/>
      <c r="AX91" s="83"/>
      <c r="BE91" s="83"/>
      <c r="BF91" s="405"/>
      <c r="BL91" s="83"/>
      <c r="BM91" s="405"/>
      <c r="BS91" s="83"/>
      <c r="BT91" s="405"/>
      <c r="BZ91" s="83"/>
      <c r="CA91" s="405"/>
      <c r="CG91" s="83"/>
    </row>
    <row r="92">
      <c r="A92" s="58" t="s">
        <v>2670</v>
      </c>
      <c r="B92" s="405"/>
      <c r="H92" s="83"/>
      <c r="I92" s="405"/>
      <c r="O92" s="83"/>
      <c r="P92" s="405"/>
      <c r="V92" s="83"/>
      <c r="W92" s="405"/>
      <c r="AC92" s="83"/>
      <c r="AD92" s="405"/>
      <c r="AJ92" s="83"/>
      <c r="AK92" s="405"/>
      <c r="AQ92" s="83"/>
      <c r="AX92" s="83"/>
      <c r="BE92" s="83"/>
      <c r="BF92" s="405"/>
      <c r="BL92" s="83"/>
      <c r="BM92" s="405"/>
      <c r="BS92" s="83"/>
      <c r="BT92" s="405"/>
      <c r="BZ92" s="83"/>
      <c r="CA92" s="405"/>
      <c r="CG92" s="83"/>
    </row>
    <row r="93">
      <c r="B93" s="405"/>
      <c r="H93" s="83"/>
      <c r="I93" s="405"/>
      <c r="O93" s="83"/>
      <c r="P93" s="405"/>
      <c r="V93" s="83"/>
      <c r="W93" s="405"/>
      <c r="AC93" s="83"/>
      <c r="AD93" s="405"/>
      <c r="AJ93" s="83"/>
      <c r="AK93" s="405"/>
      <c r="AQ93" s="83"/>
      <c r="AX93" s="83"/>
      <c r="BE93" s="83"/>
      <c r="BF93" s="405"/>
      <c r="BL93" s="83"/>
      <c r="BM93" s="405"/>
      <c r="BS93" s="83"/>
      <c r="BT93" s="405"/>
      <c r="BZ93" s="83"/>
      <c r="CA93" s="405"/>
      <c r="CG93" s="83"/>
    </row>
    <row r="94">
      <c r="B94" s="405"/>
      <c r="H94" s="83"/>
      <c r="I94" s="405"/>
      <c r="O94" s="83"/>
      <c r="P94" s="405"/>
      <c r="V94" s="83"/>
      <c r="W94" s="405"/>
      <c r="AC94" s="83"/>
      <c r="AD94" s="405"/>
      <c r="AJ94" s="83"/>
      <c r="AK94" s="405"/>
      <c r="AQ94" s="83"/>
      <c r="AX94" s="83"/>
      <c r="BE94" s="83"/>
      <c r="BF94" s="405"/>
      <c r="BL94" s="83"/>
      <c r="BM94" s="405"/>
      <c r="BS94" s="83"/>
      <c r="BT94" s="405"/>
      <c r="BZ94" s="83"/>
      <c r="CA94" s="405"/>
      <c r="CG94" s="83"/>
    </row>
    <row r="95">
      <c r="B95" s="405"/>
      <c r="H95" s="83"/>
      <c r="I95" s="405"/>
      <c r="O95" s="83"/>
      <c r="P95" s="405"/>
      <c r="V95" s="83"/>
      <c r="W95" s="405"/>
      <c r="AC95" s="83"/>
      <c r="AD95" s="405"/>
      <c r="AJ95" s="83"/>
      <c r="AK95" s="405"/>
      <c r="AQ95" s="83"/>
      <c r="AX95" s="83"/>
      <c r="BE95" s="83"/>
      <c r="BF95" s="405"/>
      <c r="BL95" s="83"/>
      <c r="BM95" s="405"/>
      <c r="BS95" s="83"/>
      <c r="BT95" s="405"/>
      <c r="BZ95" s="83"/>
      <c r="CA95" s="405"/>
      <c r="CG95" s="83"/>
    </row>
    <row r="96">
      <c r="B96" s="405"/>
      <c r="H96" s="83"/>
      <c r="I96" s="405"/>
      <c r="O96" s="83"/>
      <c r="P96" s="405"/>
      <c r="V96" s="83"/>
      <c r="W96" s="405"/>
      <c r="AC96" s="83"/>
      <c r="AD96" s="405"/>
      <c r="AJ96" s="83"/>
      <c r="AK96" s="405"/>
      <c r="AQ96" s="83"/>
      <c r="AX96" s="83"/>
      <c r="BE96" s="83"/>
      <c r="BF96" s="405"/>
      <c r="BL96" s="83"/>
      <c r="BM96" s="405"/>
      <c r="BS96" s="83"/>
      <c r="BT96" s="405"/>
      <c r="BZ96" s="83"/>
      <c r="CA96" s="405"/>
      <c r="CG96" s="83"/>
    </row>
    <row r="97">
      <c r="B97" s="405"/>
      <c r="H97" s="83"/>
      <c r="I97" s="405"/>
      <c r="O97" s="83"/>
      <c r="P97" s="405"/>
      <c r="V97" s="83"/>
      <c r="W97" s="405"/>
      <c r="AC97" s="83"/>
      <c r="AD97" s="405"/>
      <c r="AJ97" s="83"/>
      <c r="AK97" s="405"/>
      <c r="AQ97" s="83"/>
      <c r="AX97" s="83"/>
      <c r="BE97" s="83"/>
      <c r="BF97" s="405"/>
      <c r="BL97" s="83"/>
      <c r="BM97" s="405"/>
      <c r="BS97" s="83"/>
      <c r="BT97" s="405"/>
      <c r="BZ97" s="83"/>
      <c r="CA97" s="405"/>
      <c r="CG97" s="83"/>
    </row>
    <row r="98">
      <c r="B98" s="405"/>
      <c r="H98" s="83"/>
      <c r="I98" s="405"/>
      <c r="O98" s="83"/>
      <c r="P98" s="405"/>
      <c r="V98" s="83"/>
      <c r="W98" s="405"/>
      <c r="AC98" s="83"/>
      <c r="AD98" s="405"/>
      <c r="AJ98" s="83"/>
      <c r="AK98" s="405"/>
      <c r="AQ98" s="83"/>
      <c r="AX98" s="83"/>
      <c r="BE98" s="83"/>
      <c r="BF98" s="405"/>
      <c r="BL98" s="83"/>
      <c r="BM98" s="405"/>
      <c r="BS98" s="83"/>
      <c r="BT98" s="405"/>
      <c r="BZ98" s="83"/>
      <c r="CA98" s="405"/>
      <c r="CG98" s="83"/>
    </row>
    <row r="99">
      <c r="B99" s="405"/>
      <c r="H99" s="83"/>
      <c r="I99" s="405"/>
      <c r="O99" s="83"/>
      <c r="P99" s="405"/>
      <c r="V99" s="83"/>
      <c r="W99" s="405"/>
      <c r="AC99" s="83"/>
      <c r="AD99" s="405"/>
      <c r="AJ99" s="83"/>
      <c r="AK99" s="405"/>
      <c r="AQ99" s="83"/>
      <c r="AX99" s="83"/>
      <c r="BE99" s="83"/>
      <c r="BF99" s="405"/>
      <c r="BL99" s="83"/>
      <c r="BM99" s="405"/>
      <c r="BS99" s="83"/>
      <c r="BT99" s="405"/>
      <c r="BZ99" s="83"/>
      <c r="CA99" s="405"/>
      <c r="CG99" s="83"/>
    </row>
    <row r="100">
      <c r="B100" s="405"/>
      <c r="H100" s="83"/>
      <c r="I100" s="405"/>
      <c r="O100" s="83"/>
      <c r="P100" s="405"/>
      <c r="V100" s="83"/>
      <c r="W100" s="405"/>
      <c r="AC100" s="83"/>
      <c r="AD100" s="405"/>
      <c r="AJ100" s="83"/>
      <c r="AK100" s="405"/>
      <c r="AQ100" s="83"/>
      <c r="AX100" s="83"/>
      <c r="BE100" s="83"/>
      <c r="BF100" s="405"/>
      <c r="BL100" s="83"/>
      <c r="BM100" s="405"/>
      <c r="BS100" s="83"/>
      <c r="BT100" s="405"/>
      <c r="BZ100" s="83"/>
      <c r="CA100" s="405"/>
      <c r="CG100" s="83"/>
    </row>
    <row r="101">
      <c r="B101" s="405"/>
      <c r="H101" s="83"/>
      <c r="I101" s="405"/>
      <c r="O101" s="83"/>
      <c r="P101" s="405"/>
      <c r="V101" s="83"/>
      <c r="W101" s="405"/>
      <c r="AC101" s="83"/>
      <c r="AD101" s="405"/>
      <c r="AJ101" s="83"/>
      <c r="AK101" s="405"/>
      <c r="AQ101" s="83"/>
      <c r="AX101" s="83"/>
      <c r="BE101" s="83"/>
      <c r="BF101" s="405"/>
      <c r="BL101" s="83"/>
      <c r="BM101" s="405"/>
      <c r="BS101" s="83"/>
      <c r="BT101" s="405"/>
      <c r="BZ101" s="83"/>
      <c r="CA101" s="405"/>
      <c r="CG101" s="83"/>
    </row>
    <row r="102">
      <c r="B102" s="405"/>
      <c r="H102" s="83"/>
      <c r="I102" s="405"/>
      <c r="O102" s="83"/>
      <c r="P102" s="405"/>
      <c r="V102" s="83"/>
      <c r="W102" s="405"/>
      <c r="AC102" s="83"/>
      <c r="AD102" s="405"/>
      <c r="AJ102" s="83"/>
      <c r="AK102" s="405"/>
      <c r="AQ102" s="83"/>
      <c r="AX102" s="83"/>
      <c r="BE102" s="83"/>
      <c r="BF102" s="405"/>
      <c r="BL102" s="83"/>
      <c r="BM102" s="405"/>
      <c r="BS102" s="83"/>
      <c r="BT102" s="405"/>
      <c r="BZ102" s="83"/>
      <c r="CA102" s="405"/>
      <c r="CG102" s="83"/>
    </row>
    <row r="103">
      <c r="B103" s="405"/>
      <c r="H103" s="83"/>
      <c r="I103" s="405"/>
      <c r="O103" s="83"/>
      <c r="P103" s="405"/>
      <c r="V103" s="83"/>
      <c r="W103" s="405"/>
      <c r="AC103" s="83"/>
      <c r="AD103" s="405"/>
      <c r="AJ103" s="83"/>
      <c r="AK103" s="405"/>
      <c r="AQ103" s="83"/>
      <c r="AX103" s="83"/>
      <c r="BE103" s="83"/>
      <c r="BF103" s="405"/>
      <c r="BL103" s="83"/>
      <c r="BM103" s="405"/>
      <c r="BS103" s="83"/>
      <c r="BT103" s="405"/>
      <c r="BZ103" s="83"/>
      <c r="CA103" s="405"/>
      <c r="CG103" s="83"/>
    </row>
    <row r="104">
      <c r="B104" s="405"/>
      <c r="H104" s="83"/>
      <c r="I104" s="405"/>
      <c r="O104" s="83"/>
      <c r="P104" s="405"/>
      <c r="V104" s="83"/>
      <c r="W104" s="405"/>
      <c r="AC104" s="83"/>
      <c r="AD104" s="405"/>
      <c r="AJ104" s="83"/>
      <c r="AK104" s="405"/>
      <c r="AQ104" s="83"/>
      <c r="AX104" s="83"/>
      <c r="BE104" s="83"/>
      <c r="BF104" s="405"/>
      <c r="BL104" s="83"/>
      <c r="BM104" s="405"/>
      <c r="BS104" s="83"/>
      <c r="BT104" s="405"/>
      <c r="BZ104" s="83"/>
      <c r="CA104" s="405"/>
      <c r="CG104" s="83"/>
    </row>
    <row r="105">
      <c r="B105" s="405"/>
      <c r="H105" s="83"/>
      <c r="I105" s="405"/>
      <c r="O105" s="83"/>
      <c r="P105" s="405"/>
      <c r="V105" s="83"/>
      <c r="W105" s="405"/>
      <c r="AC105" s="83"/>
      <c r="AD105" s="405"/>
      <c r="AJ105" s="83"/>
      <c r="AK105" s="405"/>
      <c r="AQ105" s="83"/>
      <c r="AX105" s="83"/>
      <c r="BE105" s="83"/>
      <c r="BF105" s="405"/>
      <c r="BL105" s="83"/>
      <c r="BM105" s="405"/>
      <c r="BS105" s="83"/>
      <c r="BT105" s="405"/>
      <c r="BZ105" s="83"/>
      <c r="CA105" s="405"/>
      <c r="CG105" s="83"/>
    </row>
    <row r="106">
      <c r="B106" s="405"/>
      <c r="H106" s="83"/>
      <c r="I106" s="405"/>
      <c r="O106" s="83"/>
      <c r="P106" s="405"/>
      <c r="V106" s="83"/>
      <c r="W106" s="405"/>
      <c r="AC106" s="83"/>
      <c r="AD106" s="405"/>
      <c r="AJ106" s="83"/>
      <c r="AK106" s="405"/>
      <c r="AQ106" s="83"/>
      <c r="AX106" s="83"/>
      <c r="BE106" s="83"/>
      <c r="BF106" s="405"/>
      <c r="BL106" s="83"/>
      <c r="BM106" s="405"/>
      <c r="BS106" s="83"/>
      <c r="BT106" s="405"/>
      <c r="BZ106" s="83"/>
      <c r="CA106" s="405"/>
      <c r="CG106" s="83"/>
    </row>
    <row r="107">
      <c r="B107" s="405"/>
      <c r="H107" s="83"/>
      <c r="I107" s="405"/>
      <c r="O107" s="83"/>
      <c r="P107" s="405"/>
      <c r="V107" s="83"/>
      <c r="W107" s="405"/>
      <c r="AC107" s="83"/>
      <c r="AD107" s="405"/>
      <c r="AJ107" s="83"/>
      <c r="AK107" s="405"/>
      <c r="AQ107" s="83"/>
      <c r="AX107" s="83"/>
      <c r="BE107" s="83"/>
      <c r="BF107" s="405"/>
      <c r="BL107" s="83"/>
      <c r="BM107" s="405"/>
      <c r="BS107" s="83"/>
      <c r="BT107" s="405"/>
      <c r="BZ107" s="83"/>
      <c r="CA107" s="405"/>
      <c r="CG107" s="83"/>
    </row>
    <row r="108">
      <c r="B108" s="405"/>
      <c r="H108" s="83"/>
      <c r="I108" s="405"/>
      <c r="O108" s="83"/>
      <c r="P108" s="405"/>
      <c r="V108" s="83"/>
      <c r="W108" s="405"/>
      <c r="AC108" s="83"/>
      <c r="AD108" s="405"/>
      <c r="AJ108" s="83"/>
      <c r="AK108" s="405"/>
      <c r="AQ108" s="83"/>
      <c r="AX108" s="83"/>
      <c r="BE108" s="83"/>
      <c r="BF108" s="405"/>
      <c r="BL108" s="83"/>
      <c r="BM108" s="405"/>
      <c r="BS108" s="83"/>
      <c r="BT108" s="405"/>
      <c r="BZ108" s="83"/>
      <c r="CA108" s="405"/>
      <c r="CG108" s="83"/>
    </row>
    <row r="109">
      <c r="B109" s="405"/>
      <c r="H109" s="83"/>
      <c r="I109" s="405"/>
      <c r="O109" s="83"/>
      <c r="P109" s="405"/>
      <c r="V109" s="83"/>
      <c r="W109" s="405"/>
      <c r="AC109" s="83"/>
      <c r="AD109" s="405"/>
      <c r="AJ109" s="83"/>
      <c r="AK109" s="405"/>
      <c r="AQ109" s="83"/>
      <c r="AX109" s="83"/>
      <c r="BE109" s="83"/>
      <c r="BF109" s="405"/>
      <c r="BL109" s="83"/>
      <c r="BM109" s="405"/>
      <c r="BS109" s="83"/>
      <c r="BT109" s="405"/>
      <c r="BZ109" s="83"/>
      <c r="CA109" s="405"/>
      <c r="CG109" s="83"/>
    </row>
    <row r="110">
      <c r="B110" s="405"/>
      <c r="H110" s="83"/>
      <c r="I110" s="405"/>
      <c r="O110" s="83"/>
      <c r="P110" s="405"/>
      <c r="V110" s="83"/>
      <c r="W110" s="405"/>
      <c r="AC110" s="83"/>
      <c r="AD110" s="405"/>
      <c r="AJ110" s="83"/>
      <c r="AK110" s="405"/>
      <c r="AQ110" s="83"/>
      <c r="AX110" s="83"/>
      <c r="BE110" s="83"/>
      <c r="BF110" s="405"/>
      <c r="BL110" s="83"/>
      <c r="BM110" s="405"/>
      <c r="BS110" s="83"/>
      <c r="BT110" s="405"/>
      <c r="BZ110" s="83"/>
      <c r="CA110" s="405"/>
      <c r="CG110" s="83"/>
    </row>
    <row r="111">
      <c r="B111" s="405"/>
      <c r="H111" s="83"/>
      <c r="I111" s="405"/>
      <c r="O111" s="83"/>
      <c r="P111" s="405"/>
      <c r="V111" s="83"/>
      <c r="W111" s="405"/>
      <c r="AC111" s="83"/>
      <c r="AD111" s="405"/>
      <c r="AJ111" s="83"/>
      <c r="AK111" s="405"/>
      <c r="AQ111" s="83"/>
      <c r="AX111" s="83"/>
      <c r="BE111" s="83"/>
      <c r="BF111" s="405"/>
      <c r="BL111" s="83"/>
      <c r="BM111" s="405"/>
      <c r="BS111" s="83"/>
      <c r="BT111" s="405"/>
      <c r="BZ111" s="83"/>
      <c r="CA111" s="405"/>
      <c r="CG111" s="83"/>
    </row>
    <row r="112">
      <c r="B112" s="405"/>
      <c r="H112" s="83"/>
      <c r="I112" s="405"/>
      <c r="O112" s="83"/>
      <c r="P112" s="405"/>
      <c r="V112" s="83"/>
      <c r="W112" s="405"/>
      <c r="AC112" s="83"/>
      <c r="AD112" s="405"/>
      <c r="AJ112" s="83"/>
      <c r="AK112" s="405"/>
      <c r="AQ112" s="83"/>
      <c r="AX112" s="83"/>
      <c r="BE112" s="83"/>
      <c r="BF112" s="405"/>
      <c r="BL112" s="83"/>
      <c r="BM112" s="405"/>
      <c r="BS112" s="83"/>
      <c r="BT112" s="405"/>
      <c r="BZ112" s="83"/>
      <c r="CA112" s="405"/>
      <c r="CG112" s="83"/>
    </row>
    <row r="113">
      <c r="B113" s="405"/>
      <c r="H113" s="83"/>
      <c r="I113" s="405"/>
      <c r="O113" s="83"/>
      <c r="P113" s="405"/>
      <c r="V113" s="83"/>
      <c r="W113" s="405"/>
      <c r="AC113" s="83"/>
      <c r="AD113" s="405"/>
      <c r="AJ113" s="83"/>
      <c r="AK113" s="405"/>
      <c r="AQ113" s="83"/>
      <c r="AX113" s="83"/>
      <c r="BE113" s="83"/>
      <c r="BF113" s="405"/>
      <c r="BL113" s="83"/>
      <c r="BM113" s="405"/>
      <c r="BS113" s="83"/>
      <c r="BT113" s="405"/>
      <c r="BZ113" s="83"/>
      <c r="CA113" s="405"/>
      <c r="CG113" s="83"/>
    </row>
    <row r="114">
      <c r="B114" s="405"/>
      <c r="H114" s="83"/>
      <c r="I114" s="405"/>
      <c r="O114" s="83"/>
      <c r="P114" s="405"/>
      <c r="V114" s="83"/>
      <c r="W114" s="405"/>
      <c r="AC114" s="83"/>
      <c r="AD114" s="405"/>
      <c r="AJ114" s="83"/>
      <c r="AK114" s="405"/>
      <c r="AQ114" s="83"/>
      <c r="AX114" s="83"/>
      <c r="BE114" s="83"/>
      <c r="BF114" s="405"/>
      <c r="BL114" s="83"/>
      <c r="BM114" s="405"/>
      <c r="BS114" s="83"/>
      <c r="BT114" s="405"/>
      <c r="BZ114" s="83"/>
      <c r="CA114" s="405"/>
      <c r="CG114" s="83"/>
    </row>
    <row r="115">
      <c r="B115" s="405"/>
      <c r="H115" s="83"/>
      <c r="I115" s="405"/>
      <c r="O115" s="83"/>
      <c r="P115" s="405"/>
      <c r="V115" s="83"/>
      <c r="W115" s="405"/>
      <c r="AC115" s="83"/>
      <c r="AD115" s="405"/>
      <c r="AJ115" s="83"/>
      <c r="AK115" s="405"/>
      <c r="AQ115" s="83"/>
      <c r="AX115" s="83"/>
      <c r="BE115" s="83"/>
      <c r="BF115" s="405"/>
      <c r="BL115" s="83"/>
      <c r="BM115" s="405"/>
      <c r="BS115" s="83"/>
      <c r="BT115" s="405"/>
      <c r="BZ115" s="83"/>
      <c r="CA115" s="405"/>
      <c r="CG115" s="83"/>
    </row>
    <row r="116">
      <c r="B116" s="405"/>
      <c r="H116" s="83"/>
      <c r="I116" s="405"/>
      <c r="O116" s="83"/>
      <c r="P116" s="405"/>
      <c r="V116" s="83"/>
      <c r="W116" s="405"/>
      <c r="AC116" s="83"/>
      <c r="AD116" s="405"/>
      <c r="AJ116" s="83"/>
      <c r="AK116" s="405"/>
      <c r="AQ116" s="83"/>
      <c r="AX116" s="83"/>
      <c r="BE116" s="83"/>
      <c r="BF116" s="405"/>
      <c r="BL116" s="83"/>
      <c r="BM116" s="405"/>
      <c r="BS116" s="83"/>
      <c r="BT116" s="405"/>
      <c r="BZ116" s="83"/>
      <c r="CA116" s="405"/>
      <c r="CG116" s="83"/>
    </row>
    <row r="117">
      <c r="B117" s="405"/>
      <c r="H117" s="83"/>
      <c r="I117" s="405"/>
      <c r="O117" s="83"/>
      <c r="P117" s="405"/>
      <c r="V117" s="83"/>
      <c r="W117" s="405"/>
      <c r="AC117" s="83"/>
      <c r="AD117" s="405"/>
      <c r="AJ117" s="83"/>
      <c r="AK117" s="405"/>
      <c r="AQ117" s="83"/>
      <c r="AX117" s="83"/>
      <c r="BE117" s="83"/>
      <c r="BF117" s="405"/>
      <c r="BL117" s="83"/>
      <c r="BM117" s="405"/>
      <c r="BS117" s="83"/>
      <c r="BT117" s="405"/>
      <c r="BZ117" s="83"/>
      <c r="CA117" s="405"/>
      <c r="CG117" s="83"/>
    </row>
    <row r="118">
      <c r="B118" s="405"/>
      <c r="H118" s="83"/>
      <c r="I118" s="405"/>
      <c r="O118" s="83"/>
      <c r="P118" s="405"/>
      <c r="V118" s="83"/>
      <c r="W118" s="405"/>
      <c r="AC118" s="83"/>
      <c r="AD118" s="405"/>
      <c r="AJ118" s="83"/>
      <c r="AK118" s="405"/>
      <c r="AQ118" s="83"/>
      <c r="AX118" s="83"/>
      <c r="BE118" s="83"/>
      <c r="BF118" s="405"/>
      <c r="BL118" s="83"/>
      <c r="BM118" s="405"/>
      <c r="BS118" s="83"/>
      <c r="BT118" s="405"/>
      <c r="BZ118" s="83"/>
      <c r="CA118" s="405"/>
      <c r="CG118" s="83"/>
    </row>
    <row r="119">
      <c r="B119" s="405"/>
      <c r="H119" s="83"/>
      <c r="I119" s="405"/>
      <c r="O119" s="83"/>
      <c r="P119" s="405"/>
      <c r="V119" s="83"/>
      <c r="W119" s="405"/>
      <c r="AC119" s="83"/>
      <c r="AD119" s="405"/>
      <c r="AJ119" s="83"/>
      <c r="AK119" s="405"/>
      <c r="AQ119" s="83"/>
      <c r="AX119" s="83"/>
      <c r="BE119" s="83"/>
      <c r="BF119" s="405"/>
      <c r="BL119" s="83"/>
      <c r="BM119" s="405"/>
      <c r="BS119" s="83"/>
      <c r="BT119" s="405"/>
      <c r="BZ119" s="83"/>
      <c r="CA119" s="405"/>
      <c r="CG119" s="83"/>
    </row>
    <row r="120">
      <c r="B120" s="405"/>
      <c r="H120" s="83"/>
      <c r="I120" s="405"/>
      <c r="O120" s="83"/>
      <c r="P120" s="405"/>
      <c r="V120" s="83"/>
      <c r="W120" s="405"/>
      <c r="AC120" s="83"/>
      <c r="AD120" s="405"/>
      <c r="AJ120" s="83"/>
      <c r="AK120" s="405"/>
      <c r="AQ120" s="83"/>
      <c r="AX120" s="83"/>
      <c r="BE120" s="83"/>
      <c r="BF120" s="405"/>
      <c r="BL120" s="83"/>
      <c r="BM120" s="405"/>
      <c r="BS120" s="83"/>
      <c r="BT120" s="405"/>
      <c r="BZ120" s="83"/>
      <c r="CA120" s="405"/>
      <c r="CG120" s="83"/>
    </row>
    <row r="121">
      <c r="B121" s="405"/>
      <c r="H121" s="83"/>
      <c r="I121" s="405"/>
      <c r="O121" s="83"/>
      <c r="P121" s="405"/>
      <c r="V121" s="83"/>
      <c r="W121" s="405"/>
      <c r="AC121" s="83"/>
      <c r="AD121" s="405"/>
      <c r="AJ121" s="83"/>
      <c r="AK121" s="405"/>
      <c r="AQ121" s="83"/>
      <c r="AX121" s="83"/>
      <c r="BE121" s="83"/>
      <c r="BF121" s="405"/>
      <c r="BL121" s="83"/>
      <c r="BM121" s="405"/>
      <c r="BS121" s="83"/>
      <c r="BT121" s="405"/>
      <c r="BZ121" s="83"/>
      <c r="CA121" s="405"/>
      <c r="CG121" s="83"/>
    </row>
    <row r="122">
      <c r="B122" s="405"/>
      <c r="H122" s="83"/>
      <c r="I122" s="405"/>
      <c r="O122" s="83"/>
      <c r="P122" s="405"/>
      <c r="V122" s="83"/>
      <c r="W122" s="405"/>
      <c r="AC122" s="83"/>
      <c r="AD122" s="405"/>
      <c r="AJ122" s="83"/>
      <c r="AK122" s="405"/>
      <c r="AQ122" s="83"/>
      <c r="AX122" s="83"/>
      <c r="BE122" s="83"/>
      <c r="BF122" s="405"/>
      <c r="BL122" s="83"/>
      <c r="BM122" s="405"/>
      <c r="BS122" s="83"/>
      <c r="BT122" s="405"/>
      <c r="BZ122" s="83"/>
      <c r="CA122" s="405"/>
      <c r="CG122" s="83"/>
    </row>
    <row r="123">
      <c r="B123" s="405"/>
      <c r="H123" s="83"/>
      <c r="I123" s="405"/>
      <c r="O123" s="83"/>
      <c r="P123" s="405"/>
      <c r="V123" s="83"/>
      <c r="W123" s="405"/>
      <c r="AC123" s="83"/>
      <c r="AD123" s="405"/>
      <c r="AJ123" s="83"/>
      <c r="AK123" s="405"/>
      <c r="AQ123" s="83"/>
      <c r="AX123" s="83"/>
      <c r="BE123" s="83"/>
      <c r="BF123" s="405"/>
      <c r="BL123" s="83"/>
      <c r="BM123" s="405"/>
      <c r="BS123" s="83"/>
      <c r="BT123" s="405"/>
      <c r="BZ123" s="83"/>
      <c r="CA123" s="405"/>
      <c r="CG123" s="83"/>
    </row>
    <row r="124">
      <c r="B124" s="405"/>
      <c r="H124" s="83"/>
      <c r="I124" s="405"/>
      <c r="O124" s="83"/>
      <c r="P124" s="405"/>
      <c r="V124" s="83"/>
      <c r="W124" s="405"/>
      <c r="AC124" s="83"/>
      <c r="AD124" s="405"/>
      <c r="AJ124" s="83"/>
      <c r="AK124" s="405"/>
      <c r="AQ124" s="83"/>
      <c r="AX124" s="83"/>
      <c r="BE124" s="83"/>
      <c r="BF124" s="405"/>
      <c r="BL124" s="83"/>
      <c r="BM124" s="405"/>
      <c r="BS124" s="83"/>
      <c r="BT124" s="405"/>
      <c r="BZ124" s="83"/>
      <c r="CA124" s="405"/>
      <c r="CG124" s="83"/>
    </row>
    <row r="125">
      <c r="B125" s="405"/>
      <c r="H125" s="83"/>
      <c r="I125" s="405"/>
      <c r="O125" s="83"/>
      <c r="P125" s="405"/>
      <c r="V125" s="83"/>
      <c r="W125" s="405"/>
      <c r="AC125" s="83"/>
      <c r="AD125" s="405"/>
      <c r="AJ125" s="83"/>
      <c r="AK125" s="405"/>
      <c r="AQ125" s="83"/>
      <c r="AX125" s="83"/>
      <c r="BE125" s="83"/>
      <c r="BF125" s="405"/>
      <c r="BL125" s="83"/>
      <c r="BM125" s="405"/>
      <c r="BS125" s="83"/>
      <c r="BT125" s="405"/>
      <c r="BZ125" s="83"/>
      <c r="CA125" s="405"/>
      <c r="CG125" s="83"/>
    </row>
    <row r="126">
      <c r="B126" s="405"/>
      <c r="H126" s="83"/>
      <c r="I126" s="405"/>
      <c r="O126" s="83"/>
      <c r="P126" s="405"/>
      <c r="V126" s="83"/>
      <c r="W126" s="405"/>
      <c r="AC126" s="83"/>
      <c r="AD126" s="405"/>
      <c r="AJ126" s="83"/>
      <c r="AK126" s="405"/>
      <c r="AQ126" s="83"/>
      <c r="AX126" s="83"/>
      <c r="BE126" s="83"/>
      <c r="BF126" s="405"/>
      <c r="BL126" s="83"/>
      <c r="BM126" s="405"/>
      <c r="BS126" s="83"/>
      <c r="BT126" s="405"/>
      <c r="BZ126" s="83"/>
      <c r="CA126" s="405"/>
      <c r="CG126" s="83"/>
    </row>
    <row r="127">
      <c r="B127" s="405"/>
      <c r="H127" s="83"/>
      <c r="I127" s="405"/>
      <c r="O127" s="83"/>
      <c r="P127" s="405"/>
      <c r="V127" s="83"/>
      <c r="W127" s="405"/>
      <c r="AC127" s="83"/>
      <c r="AD127" s="405"/>
      <c r="AJ127" s="83"/>
      <c r="AK127" s="405"/>
      <c r="AQ127" s="83"/>
      <c r="AX127" s="83"/>
      <c r="BE127" s="83"/>
      <c r="BF127" s="405"/>
      <c r="BL127" s="83"/>
      <c r="BM127" s="405"/>
      <c r="BS127" s="83"/>
      <c r="BT127" s="405"/>
      <c r="BZ127" s="83"/>
      <c r="CA127" s="405"/>
      <c r="CG127" s="83"/>
    </row>
    <row r="128">
      <c r="B128" s="405"/>
      <c r="H128" s="83"/>
      <c r="I128" s="405"/>
      <c r="O128" s="83"/>
      <c r="P128" s="405"/>
      <c r="V128" s="83"/>
      <c r="W128" s="405"/>
      <c r="AC128" s="83"/>
      <c r="AD128" s="405"/>
      <c r="AJ128" s="83"/>
      <c r="AK128" s="405"/>
      <c r="AQ128" s="83"/>
      <c r="AX128" s="83"/>
      <c r="BE128" s="83"/>
      <c r="BF128" s="405"/>
      <c r="BL128" s="83"/>
      <c r="BM128" s="405"/>
      <c r="BS128" s="83"/>
      <c r="BT128" s="405"/>
      <c r="BZ128" s="83"/>
      <c r="CA128" s="405"/>
      <c r="CG128" s="83"/>
    </row>
    <row r="129">
      <c r="B129" s="405"/>
      <c r="H129" s="83"/>
      <c r="I129" s="405"/>
      <c r="O129" s="83"/>
      <c r="P129" s="405"/>
      <c r="V129" s="83"/>
      <c r="W129" s="405"/>
      <c r="AC129" s="83"/>
      <c r="AD129" s="405"/>
      <c r="AJ129" s="83"/>
      <c r="AK129" s="405"/>
      <c r="AQ129" s="83"/>
      <c r="AX129" s="83"/>
      <c r="BE129" s="83"/>
      <c r="BF129" s="405"/>
      <c r="BL129" s="83"/>
      <c r="BM129" s="405"/>
      <c r="BS129" s="83"/>
      <c r="BT129" s="405"/>
      <c r="BZ129" s="83"/>
      <c r="CA129" s="405"/>
      <c r="CG129" s="83"/>
    </row>
    <row r="130">
      <c r="B130" s="405"/>
      <c r="H130" s="83"/>
      <c r="I130" s="405"/>
      <c r="O130" s="83"/>
      <c r="P130" s="405"/>
      <c r="V130" s="83"/>
      <c r="W130" s="405"/>
      <c r="AC130" s="83"/>
      <c r="AD130" s="405"/>
      <c r="AJ130" s="83"/>
      <c r="AK130" s="405"/>
      <c r="AQ130" s="83"/>
      <c r="AX130" s="83"/>
      <c r="BE130" s="83"/>
      <c r="BF130" s="405"/>
      <c r="BL130" s="83"/>
      <c r="BM130" s="405"/>
      <c r="BS130" s="83"/>
      <c r="BT130" s="405"/>
      <c r="BZ130" s="83"/>
      <c r="CA130" s="405"/>
      <c r="CG130" s="83"/>
    </row>
    <row r="131">
      <c r="B131" s="405"/>
      <c r="H131" s="83"/>
      <c r="I131" s="405"/>
      <c r="O131" s="83"/>
      <c r="P131" s="405"/>
      <c r="V131" s="83"/>
      <c r="W131" s="405"/>
      <c r="AC131" s="83"/>
      <c r="AD131" s="405"/>
      <c r="AJ131" s="83"/>
      <c r="AK131" s="405"/>
      <c r="AQ131" s="83"/>
      <c r="AX131" s="83"/>
      <c r="BE131" s="83"/>
      <c r="BF131" s="405"/>
      <c r="BL131" s="83"/>
      <c r="BM131" s="405"/>
      <c r="BS131" s="83"/>
      <c r="BT131" s="405"/>
      <c r="BZ131" s="83"/>
      <c r="CA131" s="405"/>
      <c r="CG131" s="83"/>
    </row>
    <row r="132">
      <c r="B132" s="405"/>
      <c r="H132" s="83"/>
      <c r="I132" s="405"/>
      <c r="O132" s="83"/>
      <c r="P132" s="405"/>
      <c r="V132" s="83"/>
      <c r="W132" s="405"/>
      <c r="AC132" s="83"/>
      <c r="AD132" s="405"/>
      <c r="AJ132" s="83"/>
      <c r="AK132" s="405"/>
      <c r="AQ132" s="83"/>
      <c r="AX132" s="83"/>
      <c r="BE132" s="83"/>
      <c r="BF132" s="405"/>
      <c r="BL132" s="83"/>
      <c r="BM132" s="405"/>
      <c r="BS132" s="83"/>
      <c r="BT132" s="405"/>
      <c r="BZ132" s="83"/>
      <c r="CA132" s="405"/>
      <c r="CG132" s="83"/>
    </row>
    <row r="133">
      <c r="B133" s="405"/>
      <c r="H133" s="83"/>
      <c r="I133" s="405"/>
      <c r="O133" s="83"/>
      <c r="P133" s="405"/>
      <c r="V133" s="83"/>
      <c r="W133" s="405"/>
      <c r="AC133" s="83"/>
      <c r="AD133" s="405"/>
      <c r="AJ133" s="83"/>
      <c r="AK133" s="405"/>
      <c r="AQ133" s="83"/>
      <c r="AX133" s="83"/>
      <c r="BE133" s="83"/>
      <c r="BF133" s="405"/>
      <c r="BL133" s="83"/>
      <c r="BM133" s="405"/>
      <c r="BS133" s="83"/>
      <c r="BT133" s="405"/>
      <c r="BZ133" s="83"/>
      <c r="CA133" s="405"/>
      <c r="CG133" s="83"/>
    </row>
    <row r="134">
      <c r="B134" s="405"/>
      <c r="H134" s="83"/>
      <c r="I134" s="405"/>
      <c r="O134" s="83"/>
      <c r="P134" s="405"/>
      <c r="V134" s="83"/>
      <c r="W134" s="405"/>
      <c r="AC134" s="83"/>
      <c r="AD134" s="405"/>
      <c r="AJ134" s="83"/>
      <c r="AK134" s="405"/>
      <c r="AQ134" s="83"/>
      <c r="AX134" s="83"/>
      <c r="BE134" s="83"/>
      <c r="BF134" s="405"/>
      <c r="BL134" s="83"/>
      <c r="BM134" s="405"/>
      <c r="BS134" s="83"/>
      <c r="BT134" s="405"/>
      <c r="BZ134" s="83"/>
      <c r="CA134" s="405"/>
      <c r="CG134" s="83"/>
    </row>
    <row r="135">
      <c r="B135" s="405"/>
      <c r="H135" s="83"/>
      <c r="I135" s="405"/>
      <c r="O135" s="83"/>
      <c r="P135" s="405"/>
      <c r="V135" s="83"/>
      <c r="W135" s="405"/>
      <c r="AC135" s="83"/>
      <c r="AD135" s="405"/>
      <c r="AJ135" s="83"/>
      <c r="AK135" s="405"/>
      <c r="AQ135" s="83"/>
      <c r="AX135" s="83"/>
      <c r="BE135" s="83"/>
      <c r="BF135" s="405"/>
      <c r="BL135" s="83"/>
      <c r="BM135" s="405"/>
      <c r="BS135" s="83"/>
      <c r="BT135" s="405"/>
      <c r="BZ135" s="83"/>
      <c r="CA135" s="405"/>
      <c r="CG135" s="83"/>
    </row>
    <row r="136">
      <c r="B136" s="405"/>
      <c r="H136" s="83"/>
      <c r="I136" s="405"/>
      <c r="O136" s="83"/>
      <c r="P136" s="405"/>
      <c r="V136" s="83"/>
      <c r="W136" s="405"/>
      <c r="AC136" s="83"/>
      <c r="AD136" s="405"/>
      <c r="AJ136" s="83"/>
      <c r="AK136" s="405"/>
      <c r="AQ136" s="83"/>
      <c r="AX136" s="83"/>
      <c r="BE136" s="83"/>
      <c r="BF136" s="405"/>
      <c r="BL136" s="83"/>
      <c r="BM136" s="405"/>
      <c r="BS136" s="83"/>
      <c r="BT136" s="405"/>
      <c r="BZ136" s="83"/>
      <c r="CA136" s="405"/>
      <c r="CG136" s="83"/>
    </row>
    <row r="137">
      <c r="B137" s="405"/>
      <c r="H137" s="83"/>
      <c r="I137" s="405"/>
      <c r="O137" s="83"/>
      <c r="P137" s="405"/>
      <c r="V137" s="83"/>
      <c r="W137" s="405"/>
      <c r="AC137" s="83"/>
      <c r="AD137" s="405"/>
      <c r="AJ137" s="83"/>
      <c r="AK137" s="405"/>
      <c r="AQ137" s="83"/>
      <c r="AX137" s="83"/>
      <c r="BE137" s="83"/>
      <c r="BF137" s="405"/>
      <c r="BL137" s="83"/>
      <c r="BM137" s="405"/>
      <c r="BS137" s="83"/>
      <c r="BT137" s="405"/>
      <c r="BZ137" s="83"/>
      <c r="CA137" s="405"/>
      <c r="CG137" s="83"/>
    </row>
    <row r="138">
      <c r="B138" s="405"/>
      <c r="H138" s="83"/>
      <c r="I138" s="405"/>
      <c r="O138" s="83"/>
      <c r="P138" s="405"/>
      <c r="V138" s="83"/>
      <c r="W138" s="405"/>
      <c r="AC138" s="83"/>
      <c r="AD138" s="405"/>
      <c r="AJ138" s="83"/>
      <c r="AK138" s="405"/>
      <c r="AQ138" s="83"/>
      <c r="AX138" s="83"/>
      <c r="BE138" s="83"/>
      <c r="BF138" s="405"/>
      <c r="BL138" s="83"/>
      <c r="BM138" s="405"/>
      <c r="BS138" s="83"/>
      <c r="BT138" s="405"/>
      <c r="BZ138" s="83"/>
      <c r="CA138" s="405"/>
      <c r="CG138" s="83"/>
    </row>
    <row r="139">
      <c r="B139" s="405"/>
      <c r="H139" s="83"/>
      <c r="I139" s="405"/>
      <c r="O139" s="83"/>
      <c r="P139" s="405"/>
      <c r="V139" s="83"/>
      <c r="W139" s="405"/>
      <c r="AC139" s="83"/>
      <c r="AD139" s="405"/>
      <c r="AJ139" s="83"/>
      <c r="AK139" s="405"/>
      <c r="AQ139" s="83"/>
      <c r="AX139" s="83"/>
      <c r="BE139" s="83"/>
      <c r="BF139" s="405"/>
      <c r="BL139" s="83"/>
      <c r="BM139" s="405"/>
      <c r="BS139" s="83"/>
      <c r="BT139" s="405"/>
      <c r="BZ139" s="83"/>
      <c r="CA139" s="405"/>
      <c r="CG139" s="83"/>
    </row>
    <row r="140">
      <c r="B140" s="405"/>
      <c r="H140" s="83"/>
      <c r="I140" s="405"/>
      <c r="O140" s="83"/>
      <c r="P140" s="405"/>
      <c r="V140" s="83"/>
      <c r="W140" s="405"/>
      <c r="AC140" s="83"/>
      <c r="AD140" s="405"/>
      <c r="AJ140" s="83"/>
      <c r="AK140" s="405"/>
      <c r="AQ140" s="83"/>
      <c r="AX140" s="83"/>
      <c r="BE140" s="83"/>
      <c r="BF140" s="405"/>
      <c r="BL140" s="83"/>
      <c r="BM140" s="405"/>
      <c r="BS140" s="83"/>
      <c r="BT140" s="405"/>
      <c r="BZ140" s="83"/>
      <c r="CA140" s="405"/>
      <c r="CG140" s="83"/>
    </row>
    <row r="141">
      <c r="B141" s="405"/>
      <c r="H141" s="83"/>
      <c r="I141" s="405"/>
      <c r="O141" s="83"/>
      <c r="P141" s="405"/>
      <c r="V141" s="83"/>
      <c r="W141" s="405"/>
      <c r="AC141" s="83"/>
      <c r="AD141" s="405"/>
      <c r="AJ141" s="83"/>
      <c r="AK141" s="405"/>
      <c r="AQ141" s="83"/>
      <c r="AX141" s="83"/>
      <c r="BE141" s="83"/>
      <c r="BF141" s="405"/>
      <c r="BL141" s="83"/>
      <c r="BM141" s="405"/>
      <c r="BS141" s="83"/>
      <c r="BT141" s="405"/>
      <c r="BZ141" s="83"/>
      <c r="CA141" s="405"/>
      <c r="CG141" s="83"/>
    </row>
    <row r="142">
      <c r="B142" s="405"/>
      <c r="H142" s="83"/>
      <c r="I142" s="405"/>
      <c r="O142" s="83"/>
      <c r="P142" s="405"/>
      <c r="V142" s="83"/>
      <c r="W142" s="405"/>
      <c r="AC142" s="83"/>
      <c r="AD142" s="405"/>
      <c r="AJ142" s="83"/>
      <c r="AK142" s="405"/>
      <c r="AQ142" s="83"/>
      <c r="AX142" s="83"/>
      <c r="BE142" s="83"/>
      <c r="BF142" s="405"/>
      <c r="BL142" s="83"/>
      <c r="BM142" s="405"/>
      <c r="BS142" s="83"/>
      <c r="BT142" s="405"/>
      <c r="BZ142" s="83"/>
      <c r="CA142" s="405"/>
      <c r="CG142" s="83"/>
    </row>
    <row r="143">
      <c r="B143" s="405"/>
      <c r="H143" s="83"/>
      <c r="I143" s="405"/>
      <c r="O143" s="83"/>
      <c r="P143" s="405"/>
      <c r="V143" s="83"/>
      <c r="W143" s="405"/>
      <c r="AC143" s="83"/>
      <c r="AD143" s="405"/>
      <c r="AJ143" s="83"/>
      <c r="AK143" s="405"/>
      <c r="AQ143" s="83"/>
      <c r="AX143" s="83"/>
      <c r="BE143" s="83"/>
      <c r="BF143" s="405"/>
      <c r="BL143" s="83"/>
      <c r="BM143" s="405"/>
      <c r="BS143" s="83"/>
      <c r="BT143" s="405"/>
      <c r="BZ143" s="83"/>
      <c r="CA143" s="405"/>
      <c r="CG143" s="83"/>
    </row>
    <row r="144">
      <c r="B144" s="405"/>
      <c r="H144" s="83"/>
      <c r="I144" s="405"/>
      <c r="O144" s="83"/>
      <c r="P144" s="405"/>
      <c r="V144" s="83"/>
      <c r="W144" s="405"/>
      <c r="AC144" s="83"/>
      <c r="AD144" s="405"/>
      <c r="AJ144" s="83"/>
      <c r="AK144" s="405"/>
      <c r="AQ144" s="83"/>
      <c r="AX144" s="83"/>
      <c r="BE144" s="83"/>
      <c r="BF144" s="405"/>
      <c r="BL144" s="83"/>
      <c r="BM144" s="405"/>
      <c r="BS144" s="83"/>
      <c r="BT144" s="405"/>
      <c r="BZ144" s="83"/>
      <c r="CA144" s="405"/>
      <c r="CG144" s="83"/>
    </row>
    <row r="145">
      <c r="B145" s="405"/>
      <c r="H145" s="83"/>
      <c r="I145" s="405"/>
      <c r="O145" s="83"/>
      <c r="P145" s="405"/>
      <c r="V145" s="83"/>
      <c r="W145" s="405"/>
      <c r="AC145" s="83"/>
      <c r="AD145" s="405"/>
      <c r="AJ145" s="83"/>
      <c r="AK145" s="405"/>
      <c r="AQ145" s="83"/>
      <c r="AX145" s="83"/>
      <c r="BE145" s="83"/>
      <c r="BF145" s="405"/>
      <c r="BL145" s="83"/>
      <c r="BM145" s="405"/>
      <c r="BS145" s="83"/>
      <c r="BT145" s="405"/>
      <c r="BZ145" s="83"/>
      <c r="CA145" s="405"/>
      <c r="CG145" s="83"/>
    </row>
    <row r="146">
      <c r="B146" s="405"/>
      <c r="H146" s="83"/>
      <c r="I146" s="405"/>
      <c r="O146" s="83"/>
      <c r="P146" s="405"/>
      <c r="V146" s="83"/>
      <c r="W146" s="405"/>
      <c r="AC146" s="83"/>
      <c r="AD146" s="405"/>
      <c r="AJ146" s="83"/>
      <c r="AK146" s="405"/>
      <c r="AQ146" s="83"/>
      <c r="AX146" s="83"/>
      <c r="BE146" s="83"/>
      <c r="BF146" s="405"/>
      <c r="BL146" s="83"/>
      <c r="BM146" s="405"/>
      <c r="BS146" s="83"/>
      <c r="BT146" s="405"/>
      <c r="BZ146" s="83"/>
      <c r="CA146" s="405"/>
      <c r="CG146" s="83"/>
    </row>
    <row r="147">
      <c r="B147" s="405"/>
      <c r="H147" s="83"/>
      <c r="I147" s="405"/>
      <c r="O147" s="83"/>
      <c r="P147" s="405"/>
      <c r="V147" s="83"/>
      <c r="W147" s="405"/>
      <c r="AC147" s="83"/>
      <c r="AD147" s="405"/>
      <c r="AJ147" s="83"/>
      <c r="AK147" s="405"/>
      <c r="AQ147" s="83"/>
      <c r="AX147" s="83"/>
      <c r="BE147" s="83"/>
      <c r="BF147" s="405"/>
      <c r="BL147" s="83"/>
      <c r="BM147" s="405"/>
      <c r="BS147" s="83"/>
      <c r="BT147" s="405"/>
      <c r="BZ147" s="83"/>
      <c r="CA147" s="405"/>
      <c r="CG147" s="83"/>
    </row>
    <row r="148">
      <c r="B148" s="405"/>
      <c r="H148" s="83"/>
      <c r="I148" s="405"/>
      <c r="O148" s="83"/>
      <c r="P148" s="405"/>
      <c r="V148" s="83"/>
      <c r="W148" s="405"/>
      <c r="AC148" s="83"/>
      <c r="AD148" s="405"/>
      <c r="AJ148" s="83"/>
      <c r="AK148" s="405"/>
      <c r="AQ148" s="83"/>
      <c r="AX148" s="83"/>
      <c r="BE148" s="83"/>
      <c r="BF148" s="405"/>
      <c r="BL148" s="83"/>
      <c r="BM148" s="405"/>
      <c r="BS148" s="83"/>
      <c r="BT148" s="405"/>
      <c r="BZ148" s="83"/>
      <c r="CA148" s="405"/>
      <c r="CG148" s="83"/>
    </row>
    <row r="149">
      <c r="B149" s="405"/>
      <c r="H149" s="83"/>
      <c r="I149" s="405"/>
      <c r="O149" s="83"/>
      <c r="P149" s="405"/>
      <c r="V149" s="83"/>
      <c r="W149" s="405"/>
      <c r="AC149" s="83"/>
      <c r="AD149" s="405"/>
      <c r="AJ149" s="83"/>
      <c r="AK149" s="405"/>
      <c r="AQ149" s="83"/>
      <c r="AX149" s="83"/>
      <c r="BE149" s="83"/>
      <c r="BF149" s="405"/>
      <c r="BL149" s="83"/>
      <c r="BM149" s="405"/>
      <c r="BS149" s="83"/>
      <c r="BT149" s="405"/>
      <c r="BZ149" s="83"/>
      <c r="CA149" s="405"/>
      <c r="CG149" s="83"/>
    </row>
    <row r="150">
      <c r="B150" s="405"/>
      <c r="H150" s="83"/>
      <c r="I150" s="405"/>
      <c r="O150" s="83"/>
      <c r="P150" s="405"/>
      <c r="V150" s="83"/>
      <c r="W150" s="405"/>
      <c r="AC150" s="83"/>
      <c r="AD150" s="405"/>
      <c r="AJ150" s="83"/>
      <c r="AK150" s="405"/>
      <c r="AQ150" s="83"/>
      <c r="AX150" s="83"/>
      <c r="BE150" s="83"/>
      <c r="BF150" s="405"/>
      <c r="BL150" s="83"/>
      <c r="BM150" s="405"/>
      <c r="BS150" s="83"/>
      <c r="BT150" s="405"/>
      <c r="BZ150" s="83"/>
      <c r="CA150" s="405"/>
      <c r="CG150" s="83"/>
    </row>
    <row r="151">
      <c r="B151" s="405"/>
      <c r="H151" s="83"/>
      <c r="I151" s="405"/>
      <c r="O151" s="83"/>
      <c r="P151" s="405"/>
      <c r="V151" s="83"/>
      <c r="W151" s="405"/>
      <c r="AC151" s="83"/>
      <c r="AD151" s="405"/>
      <c r="AJ151" s="83"/>
      <c r="AK151" s="405"/>
      <c r="AQ151" s="83"/>
      <c r="AX151" s="83"/>
      <c r="BE151" s="83"/>
      <c r="BF151" s="405"/>
      <c r="BL151" s="83"/>
      <c r="BM151" s="405"/>
      <c r="BS151" s="83"/>
      <c r="BT151" s="405"/>
      <c r="BZ151" s="83"/>
      <c r="CA151" s="405"/>
      <c r="CG151" s="83"/>
    </row>
    <row r="152">
      <c r="B152" s="405"/>
      <c r="H152" s="83"/>
      <c r="I152" s="405"/>
      <c r="O152" s="83"/>
      <c r="P152" s="405"/>
      <c r="V152" s="83"/>
      <c r="W152" s="405"/>
      <c r="AC152" s="83"/>
      <c r="AD152" s="405"/>
      <c r="AJ152" s="83"/>
      <c r="AK152" s="405"/>
      <c r="AQ152" s="83"/>
      <c r="AX152" s="83"/>
      <c r="BE152" s="83"/>
      <c r="BF152" s="405"/>
      <c r="BL152" s="83"/>
      <c r="BM152" s="405"/>
      <c r="BS152" s="83"/>
      <c r="BT152" s="405"/>
      <c r="BZ152" s="83"/>
      <c r="CA152" s="405"/>
      <c r="CG152" s="83"/>
    </row>
    <row r="153">
      <c r="B153" s="405"/>
      <c r="H153" s="83"/>
      <c r="I153" s="405"/>
      <c r="O153" s="83"/>
      <c r="P153" s="405"/>
      <c r="V153" s="83"/>
      <c r="W153" s="405"/>
      <c r="AC153" s="83"/>
      <c r="AD153" s="405"/>
      <c r="AJ153" s="83"/>
      <c r="AK153" s="405"/>
      <c r="AQ153" s="83"/>
      <c r="AX153" s="83"/>
      <c r="BE153" s="83"/>
      <c r="BF153" s="405"/>
      <c r="BL153" s="83"/>
      <c r="BM153" s="405"/>
      <c r="BS153" s="83"/>
      <c r="BT153" s="405"/>
      <c r="BZ153" s="83"/>
      <c r="CA153" s="405"/>
      <c r="CG153" s="83"/>
    </row>
    <row r="154">
      <c r="B154" s="405"/>
      <c r="H154" s="83"/>
      <c r="I154" s="405"/>
      <c r="O154" s="83"/>
      <c r="P154" s="405"/>
      <c r="V154" s="83"/>
      <c r="W154" s="405"/>
      <c r="AC154" s="83"/>
      <c r="AD154" s="405"/>
      <c r="AJ154" s="83"/>
      <c r="AK154" s="405"/>
      <c r="AQ154" s="83"/>
      <c r="AX154" s="83"/>
      <c r="BE154" s="83"/>
      <c r="BF154" s="405"/>
      <c r="BL154" s="83"/>
      <c r="BM154" s="405"/>
      <c r="BS154" s="83"/>
      <c r="BT154" s="405"/>
      <c r="BZ154" s="83"/>
      <c r="CA154" s="405"/>
      <c r="CG154" s="83"/>
    </row>
    <row r="155">
      <c r="B155" s="405"/>
      <c r="H155" s="83"/>
      <c r="I155" s="405"/>
      <c r="O155" s="83"/>
      <c r="P155" s="405"/>
      <c r="V155" s="83"/>
      <c r="W155" s="405"/>
      <c r="AC155" s="83"/>
      <c r="AD155" s="405"/>
      <c r="AJ155" s="83"/>
      <c r="AK155" s="405"/>
      <c r="AQ155" s="83"/>
      <c r="AX155" s="83"/>
      <c r="BE155" s="83"/>
      <c r="BF155" s="405"/>
      <c r="BL155" s="83"/>
      <c r="BM155" s="405"/>
      <c r="BS155" s="83"/>
      <c r="BT155" s="405"/>
      <c r="BZ155" s="83"/>
      <c r="CA155" s="405"/>
      <c r="CG155" s="83"/>
    </row>
    <row r="156">
      <c r="B156" s="405"/>
      <c r="H156" s="83"/>
      <c r="I156" s="405"/>
      <c r="O156" s="83"/>
      <c r="P156" s="405"/>
      <c r="V156" s="83"/>
      <c r="W156" s="405"/>
      <c r="AC156" s="83"/>
      <c r="AD156" s="405"/>
      <c r="AJ156" s="83"/>
      <c r="AK156" s="405"/>
      <c r="AQ156" s="83"/>
      <c r="AX156" s="83"/>
      <c r="BE156" s="83"/>
      <c r="BF156" s="405"/>
      <c r="BL156" s="83"/>
      <c r="BM156" s="405"/>
      <c r="BS156" s="83"/>
      <c r="BT156" s="405"/>
      <c r="BZ156" s="83"/>
      <c r="CA156" s="405"/>
      <c r="CG156" s="83"/>
    </row>
    <row r="157">
      <c r="B157" s="405"/>
      <c r="H157" s="83"/>
      <c r="I157" s="405"/>
      <c r="O157" s="83"/>
      <c r="P157" s="405"/>
      <c r="V157" s="83"/>
      <c r="W157" s="405"/>
      <c r="AC157" s="83"/>
      <c r="AD157" s="405"/>
      <c r="AJ157" s="83"/>
      <c r="AK157" s="405"/>
      <c r="AQ157" s="83"/>
      <c r="AX157" s="83"/>
      <c r="BE157" s="83"/>
      <c r="BF157" s="405"/>
      <c r="BL157" s="83"/>
      <c r="BM157" s="405"/>
      <c r="BS157" s="83"/>
      <c r="BT157" s="405"/>
      <c r="BZ157" s="83"/>
      <c r="CA157" s="405"/>
      <c r="CG157" s="83"/>
    </row>
    <row r="158">
      <c r="B158" s="405"/>
      <c r="H158" s="83"/>
      <c r="I158" s="405"/>
      <c r="O158" s="83"/>
      <c r="P158" s="405"/>
      <c r="V158" s="83"/>
      <c r="W158" s="405"/>
      <c r="AC158" s="83"/>
      <c r="AD158" s="405"/>
      <c r="AJ158" s="83"/>
      <c r="AK158" s="405"/>
      <c r="AQ158" s="83"/>
      <c r="AX158" s="83"/>
      <c r="BE158" s="83"/>
      <c r="BF158" s="405"/>
      <c r="BL158" s="83"/>
      <c r="BM158" s="405"/>
      <c r="BS158" s="83"/>
      <c r="BT158" s="405"/>
      <c r="BZ158" s="83"/>
      <c r="CA158" s="405"/>
      <c r="CG158" s="83"/>
    </row>
    <row r="159">
      <c r="B159" s="405"/>
      <c r="H159" s="83"/>
      <c r="I159" s="405"/>
      <c r="O159" s="83"/>
      <c r="P159" s="405"/>
      <c r="V159" s="83"/>
      <c r="W159" s="405"/>
      <c r="AC159" s="83"/>
      <c r="AD159" s="405"/>
      <c r="AJ159" s="83"/>
      <c r="AK159" s="405"/>
      <c r="AQ159" s="83"/>
      <c r="AX159" s="83"/>
      <c r="BE159" s="83"/>
      <c r="BF159" s="405"/>
      <c r="BL159" s="83"/>
      <c r="BM159" s="405"/>
      <c r="BS159" s="83"/>
      <c r="BT159" s="405"/>
      <c r="BZ159" s="83"/>
      <c r="CA159" s="405"/>
      <c r="CG159" s="83"/>
    </row>
    <row r="160">
      <c r="B160" s="405"/>
      <c r="H160" s="83"/>
      <c r="I160" s="405"/>
      <c r="O160" s="83"/>
      <c r="P160" s="405"/>
      <c r="V160" s="83"/>
      <c r="W160" s="405"/>
      <c r="AC160" s="83"/>
      <c r="AD160" s="405"/>
      <c r="AJ160" s="83"/>
      <c r="AK160" s="405"/>
      <c r="AQ160" s="83"/>
      <c r="AX160" s="83"/>
      <c r="BE160" s="83"/>
      <c r="BF160" s="405"/>
      <c r="BL160" s="83"/>
      <c r="BM160" s="405"/>
      <c r="BS160" s="83"/>
      <c r="BT160" s="405"/>
      <c r="BZ160" s="83"/>
      <c r="CA160" s="405"/>
      <c r="CG160" s="83"/>
    </row>
    <row r="161">
      <c r="B161" s="405"/>
      <c r="H161" s="83"/>
      <c r="I161" s="405"/>
      <c r="O161" s="83"/>
      <c r="P161" s="405"/>
      <c r="V161" s="83"/>
      <c r="W161" s="405"/>
      <c r="AC161" s="83"/>
      <c r="AD161" s="405"/>
      <c r="AJ161" s="83"/>
      <c r="AK161" s="405"/>
      <c r="AQ161" s="83"/>
      <c r="AX161" s="83"/>
      <c r="BE161" s="83"/>
      <c r="BF161" s="405"/>
      <c r="BL161" s="83"/>
      <c r="BM161" s="405"/>
      <c r="BS161" s="83"/>
      <c r="BT161" s="405"/>
      <c r="BZ161" s="83"/>
      <c r="CA161" s="405"/>
      <c r="CG161" s="83"/>
    </row>
    <row r="162">
      <c r="B162" s="405"/>
      <c r="H162" s="83"/>
      <c r="I162" s="405"/>
      <c r="O162" s="83"/>
      <c r="P162" s="405"/>
      <c r="V162" s="83"/>
      <c r="W162" s="405"/>
      <c r="AC162" s="83"/>
      <c r="AD162" s="405"/>
      <c r="AJ162" s="83"/>
      <c r="AK162" s="405"/>
      <c r="AQ162" s="83"/>
      <c r="AX162" s="83"/>
      <c r="BE162" s="83"/>
      <c r="BF162" s="405"/>
      <c r="BL162" s="83"/>
      <c r="BM162" s="405"/>
      <c r="BS162" s="83"/>
      <c r="BT162" s="405"/>
      <c r="BZ162" s="83"/>
      <c r="CA162" s="405"/>
      <c r="CG162" s="83"/>
    </row>
    <row r="163">
      <c r="B163" s="405"/>
      <c r="H163" s="83"/>
      <c r="I163" s="405"/>
      <c r="O163" s="83"/>
      <c r="P163" s="405"/>
      <c r="V163" s="83"/>
      <c r="W163" s="405"/>
      <c r="AC163" s="83"/>
      <c r="AD163" s="405"/>
      <c r="AJ163" s="83"/>
      <c r="AK163" s="405"/>
      <c r="AQ163" s="83"/>
      <c r="AX163" s="83"/>
      <c r="BE163" s="83"/>
      <c r="BF163" s="405"/>
      <c r="BL163" s="83"/>
      <c r="BM163" s="405"/>
      <c r="BS163" s="83"/>
      <c r="BT163" s="405"/>
      <c r="BZ163" s="83"/>
      <c r="CA163" s="405"/>
      <c r="CG163" s="83"/>
    </row>
    <row r="164">
      <c r="B164" s="405"/>
      <c r="H164" s="83"/>
      <c r="I164" s="405"/>
      <c r="O164" s="83"/>
      <c r="P164" s="405"/>
      <c r="V164" s="83"/>
      <c r="W164" s="405"/>
      <c r="AC164" s="83"/>
      <c r="AD164" s="405"/>
      <c r="AJ164" s="83"/>
      <c r="AK164" s="405"/>
      <c r="AQ164" s="83"/>
      <c r="AX164" s="83"/>
      <c r="BE164" s="83"/>
      <c r="BF164" s="405"/>
      <c r="BL164" s="83"/>
      <c r="BM164" s="405"/>
      <c r="BS164" s="83"/>
      <c r="BT164" s="405"/>
      <c r="BZ164" s="83"/>
      <c r="CA164" s="405"/>
      <c r="CG164" s="83"/>
    </row>
    <row r="165">
      <c r="B165" s="405"/>
      <c r="H165" s="83"/>
      <c r="I165" s="405"/>
      <c r="O165" s="83"/>
      <c r="P165" s="405"/>
      <c r="V165" s="83"/>
      <c r="W165" s="405"/>
      <c r="AC165" s="83"/>
      <c r="AD165" s="405"/>
      <c r="AJ165" s="83"/>
      <c r="AK165" s="405"/>
      <c r="AQ165" s="83"/>
      <c r="AX165" s="83"/>
      <c r="BE165" s="83"/>
      <c r="BF165" s="405"/>
      <c r="BL165" s="83"/>
      <c r="BM165" s="405"/>
      <c r="BS165" s="83"/>
      <c r="BT165" s="405"/>
      <c r="BZ165" s="83"/>
      <c r="CA165" s="405"/>
      <c r="CG165" s="83"/>
    </row>
    <row r="166">
      <c r="B166" s="405"/>
      <c r="H166" s="83"/>
      <c r="I166" s="405"/>
      <c r="O166" s="83"/>
      <c r="P166" s="405"/>
      <c r="V166" s="83"/>
      <c r="W166" s="405"/>
      <c r="AC166" s="83"/>
      <c r="AD166" s="405"/>
      <c r="AJ166" s="83"/>
      <c r="AK166" s="405"/>
      <c r="AQ166" s="83"/>
      <c r="AX166" s="83"/>
      <c r="BE166" s="83"/>
      <c r="BF166" s="405"/>
      <c r="BL166" s="83"/>
      <c r="BM166" s="405"/>
      <c r="BS166" s="83"/>
      <c r="BT166" s="405"/>
      <c r="BZ166" s="83"/>
      <c r="CA166" s="405"/>
      <c r="CG166" s="83"/>
    </row>
    <row r="167">
      <c r="B167" s="405"/>
      <c r="H167" s="83"/>
      <c r="I167" s="405"/>
      <c r="O167" s="83"/>
      <c r="P167" s="405"/>
      <c r="V167" s="83"/>
      <c r="W167" s="405"/>
      <c r="AC167" s="83"/>
      <c r="AD167" s="405"/>
      <c r="AJ167" s="83"/>
      <c r="AK167" s="405"/>
      <c r="AQ167" s="83"/>
      <c r="AX167" s="83"/>
      <c r="BE167" s="83"/>
      <c r="BF167" s="405"/>
      <c r="BL167" s="83"/>
      <c r="BM167" s="405"/>
      <c r="BS167" s="83"/>
      <c r="BT167" s="405"/>
      <c r="BZ167" s="83"/>
      <c r="CA167" s="405"/>
      <c r="CG167" s="83"/>
    </row>
    <row r="168">
      <c r="B168" s="405"/>
      <c r="H168" s="83"/>
      <c r="I168" s="405"/>
      <c r="O168" s="83"/>
      <c r="P168" s="405"/>
      <c r="V168" s="83"/>
      <c r="W168" s="405"/>
      <c r="AC168" s="83"/>
      <c r="AD168" s="405"/>
      <c r="AJ168" s="83"/>
      <c r="AK168" s="405"/>
      <c r="AQ168" s="83"/>
      <c r="AX168" s="83"/>
      <c r="BE168" s="83"/>
      <c r="BF168" s="405"/>
      <c r="BL168" s="83"/>
      <c r="BM168" s="405"/>
      <c r="BS168" s="83"/>
      <c r="BT168" s="405"/>
      <c r="BZ168" s="83"/>
      <c r="CA168" s="405"/>
      <c r="CG168" s="83"/>
    </row>
    <row r="169">
      <c r="B169" s="405"/>
      <c r="H169" s="83"/>
      <c r="I169" s="405"/>
      <c r="O169" s="83"/>
      <c r="P169" s="405"/>
      <c r="V169" s="83"/>
      <c r="W169" s="405"/>
      <c r="AC169" s="83"/>
      <c r="AD169" s="405"/>
      <c r="AJ169" s="83"/>
      <c r="AK169" s="405"/>
      <c r="AQ169" s="83"/>
      <c r="AX169" s="83"/>
      <c r="BE169" s="83"/>
      <c r="BF169" s="405"/>
      <c r="BL169" s="83"/>
      <c r="BM169" s="405"/>
      <c r="BS169" s="83"/>
      <c r="BT169" s="405"/>
      <c r="BZ169" s="83"/>
      <c r="CA169" s="405"/>
      <c r="CG169" s="83"/>
    </row>
    <row r="170">
      <c r="B170" s="405"/>
      <c r="H170" s="83"/>
      <c r="I170" s="405"/>
      <c r="O170" s="83"/>
      <c r="P170" s="405"/>
      <c r="V170" s="83"/>
      <c r="W170" s="405"/>
      <c r="AC170" s="83"/>
      <c r="AD170" s="405"/>
      <c r="AJ170" s="83"/>
      <c r="AK170" s="405"/>
      <c r="AQ170" s="83"/>
      <c r="AX170" s="83"/>
      <c r="BE170" s="83"/>
      <c r="BF170" s="405"/>
      <c r="BL170" s="83"/>
      <c r="BM170" s="405"/>
      <c r="BS170" s="83"/>
      <c r="BT170" s="405"/>
      <c r="BZ170" s="83"/>
      <c r="CA170" s="405"/>
      <c r="CG170" s="83"/>
    </row>
    <row r="171">
      <c r="B171" s="405"/>
      <c r="H171" s="83"/>
      <c r="I171" s="405"/>
      <c r="O171" s="83"/>
      <c r="P171" s="405"/>
      <c r="V171" s="83"/>
      <c r="W171" s="405"/>
      <c r="AC171" s="83"/>
      <c r="AD171" s="405"/>
      <c r="AJ171" s="83"/>
      <c r="AK171" s="405"/>
      <c r="AQ171" s="83"/>
      <c r="AX171" s="83"/>
      <c r="BE171" s="83"/>
      <c r="BF171" s="405"/>
      <c r="BL171" s="83"/>
      <c r="BM171" s="405"/>
      <c r="BS171" s="83"/>
      <c r="BT171" s="405"/>
      <c r="BZ171" s="83"/>
      <c r="CA171" s="405"/>
      <c r="CG171" s="83"/>
    </row>
    <row r="172">
      <c r="B172" s="405"/>
      <c r="H172" s="83"/>
      <c r="I172" s="405"/>
      <c r="O172" s="83"/>
      <c r="P172" s="405"/>
      <c r="V172" s="83"/>
      <c r="W172" s="405"/>
      <c r="AC172" s="83"/>
      <c r="AD172" s="405"/>
      <c r="AJ172" s="83"/>
      <c r="AK172" s="405"/>
      <c r="AQ172" s="83"/>
      <c r="AX172" s="83"/>
      <c r="BE172" s="83"/>
      <c r="BF172" s="405"/>
      <c r="BL172" s="83"/>
      <c r="BM172" s="405"/>
      <c r="BS172" s="83"/>
      <c r="BT172" s="405"/>
      <c r="BZ172" s="83"/>
      <c r="CA172" s="405"/>
      <c r="CG172" s="83"/>
    </row>
    <row r="173">
      <c r="B173" s="405"/>
      <c r="H173" s="83"/>
      <c r="I173" s="405"/>
      <c r="O173" s="83"/>
      <c r="P173" s="405"/>
      <c r="V173" s="83"/>
      <c r="W173" s="405"/>
      <c r="AC173" s="83"/>
      <c r="AD173" s="405"/>
      <c r="AJ173" s="83"/>
      <c r="AK173" s="405"/>
      <c r="AQ173" s="83"/>
      <c r="AX173" s="83"/>
      <c r="BE173" s="83"/>
      <c r="BF173" s="405"/>
      <c r="BL173" s="83"/>
      <c r="BM173" s="405"/>
      <c r="BS173" s="83"/>
      <c r="BT173" s="405"/>
      <c r="BZ173" s="83"/>
      <c r="CA173" s="405"/>
      <c r="CG173" s="83"/>
    </row>
    <row r="174">
      <c r="B174" s="405"/>
      <c r="H174" s="83"/>
      <c r="I174" s="405"/>
      <c r="O174" s="83"/>
      <c r="P174" s="405"/>
      <c r="V174" s="83"/>
      <c r="W174" s="405"/>
      <c r="AC174" s="83"/>
      <c r="AD174" s="405"/>
      <c r="AJ174" s="83"/>
      <c r="AK174" s="405"/>
      <c r="AQ174" s="83"/>
      <c r="AX174" s="83"/>
      <c r="BE174" s="83"/>
      <c r="BF174" s="405"/>
      <c r="BL174" s="83"/>
      <c r="BM174" s="405"/>
      <c r="BS174" s="83"/>
      <c r="BT174" s="405"/>
      <c r="BZ174" s="83"/>
      <c r="CA174" s="405"/>
      <c r="CG174" s="83"/>
    </row>
    <row r="175">
      <c r="B175" s="405"/>
      <c r="H175" s="83"/>
      <c r="I175" s="405"/>
      <c r="O175" s="83"/>
      <c r="P175" s="405"/>
      <c r="V175" s="83"/>
      <c r="W175" s="405"/>
      <c r="AC175" s="83"/>
      <c r="AD175" s="405"/>
      <c r="AJ175" s="83"/>
      <c r="AK175" s="405"/>
      <c r="AQ175" s="83"/>
      <c r="AX175" s="83"/>
      <c r="BE175" s="83"/>
      <c r="BF175" s="405"/>
      <c r="BL175" s="83"/>
      <c r="BM175" s="405"/>
      <c r="BS175" s="83"/>
      <c r="BT175" s="405"/>
      <c r="BZ175" s="83"/>
      <c r="CA175" s="405"/>
      <c r="CG175" s="83"/>
    </row>
    <row r="176">
      <c r="B176" s="405"/>
      <c r="H176" s="83"/>
      <c r="I176" s="405"/>
      <c r="O176" s="83"/>
      <c r="P176" s="405"/>
      <c r="V176" s="83"/>
      <c r="W176" s="405"/>
      <c r="AC176" s="83"/>
      <c r="AD176" s="405"/>
      <c r="AJ176" s="83"/>
      <c r="AK176" s="405"/>
      <c r="AQ176" s="83"/>
      <c r="AX176" s="83"/>
      <c r="BE176" s="83"/>
      <c r="BF176" s="405"/>
      <c r="BL176" s="83"/>
      <c r="BM176" s="405"/>
      <c r="BS176" s="83"/>
      <c r="BT176" s="405"/>
      <c r="BZ176" s="83"/>
      <c r="CA176" s="405"/>
      <c r="CG176" s="83"/>
    </row>
    <row r="177">
      <c r="B177" s="405"/>
      <c r="H177" s="83"/>
      <c r="I177" s="405"/>
      <c r="O177" s="83"/>
      <c r="P177" s="405"/>
      <c r="V177" s="83"/>
      <c r="W177" s="405"/>
      <c r="AC177" s="83"/>
      <c r="AD177" s="405"/>
      <c r="AJ177" s="83"/>
      <c r="AK177" s="405"/>
      <c r="AQ177" s="83"/>
      <c r="AX177" s="83"/>
      <c r="BE177" s="83"/>
      <c r="BF177" s="405"/>
      <c r="BL177" s="83"/>
      <c r="BM177" s="405"/>
      <c r="BS177" s="83"/>
      <c r="BT177" s="405"/>
      <c r="BZ177" s="83"/>
      <c r="CA177" s="405"/>
      <c r="CG177" s="83"/>
    </row>
    <row r="178">
      <c r="B178" s="405"/>
      <c r="H178" s="83"/>
      <c r="I178" s="405"/>
      <c r="O178" s="83"/>
      <c r="P178" s="405"/>
      <c r="V178" s="83"/>
      <c r="W178" s="405"/>
      <c r="AC178" s="83"/>
      <c r="AD178" s="405"/>
      <c r="AJ178" s="83"/>
      <c r="AK178" s="405"/>
      <c r="AQ178" s="83"/>
      <c r="AX178" s="83"/>
      <c r="BE178" s="83"/>
      <c r="BF178" s="405"/>
      <c r="BL178" s="83"/>
      <c r="BM178" s="405"/>
      <c r="BS178" s="83"/>
      <c r="BT178" s="405"/>
      <c r="BZ178" s="83"/>
      <c r="CA178" s="405"/>
      <c r="CG178" s="83"/>
    </row>
    <row r="179">
      <c r="B179" s="405"/>
      <c r="H179" s="83"/>
      <c r="I179" s="405"/>
      <c r="O179" s="83"/>
      <c r="P179" s="405"/>
      <c r="V179" s="83"/>
      <c r="W179" s="405"/>
      <c r="AC179" s="83"/>
      <c r="AD179" s="405"/>
      <c r="AJ179" s="83"/>
      <c r="AK179" s="405"/>
      <c r="AQ179" s="83"/>
      <c r="AX179" s="83"/>
      <c r="BE179" s="83"/>
      <c r="BF179" s="405"/>
      <c r="BL179" s="83"/>
      <c r="BM179" s="405"/>
      <c r="BS179" s="83"/>
      <c r="BT179" s="405"/>
      <c r="BZ179" s="83"/>
      <c r="CA179" s="405"/>
      <c r="CG179" s="83"/>
    </row>
    <row r="180">
      <c r="B180" s="405"/>
      <c r="H180" s="83"/>
      <c r="I180" s="405"/>
      <c r="O180" s="83"/>
      <c r="P180" s="405"/>
      <c r="V180" s="83"/>
      <c r="W180" s="405"/>
      <c r="AC180" s="83"/>
      <c r="AD180" s="405"/>
      <c r="AJ180" s="83"/>
      <c r="AK180" s="405"/>
      <c r="AQ180" s="83"/>
      <c r="AX180" s="83"/>
      <c r="BE180" s="83"/>
      <c r="BF180" s="405"/>
      <c r="BL180" s="83"/>
      <c r="BM180" s="405"/>
      <c r="BS180" s="83"/>
      <c r="BT180" s="405"/>
      <c r="BZ180" s="83"/>
      <c r="CA180" s="405"/>
      <c r="CG180" s="83"/>
    </row>
    <row r="181">
      <c r="B181" s="405"/>
      <c r="H181" s="83"/>
      <c r="I181" s="405"/>
      <c r="O181" s="83"/>
      <c r="P181" s="405"/>
      <c r="V181" s="83"/>
      <c r="W181" s="405"/>
      <c r="AC181" s="83"/>
      <c r="AD181" s="405"/>
      <c r="AJ181" s="83"/>
      <c r="AK181" s="405"/>
      <c r="AQ181" s="83"/>
      <c r="AX181" s="83"/>
      <c r="BE181" s="83"/>
      <c r="BF181" s="405"/>
      <c r="BL181" s="83"/>
      <c r="BM181" s="405"/>
      <c r="BS181" s="83"/>
      <c r="BT181" s="405"/>
      <c r="BZ181" s="83"/>
      <c r="CA181" s="405"/>
      <c r="CG181" s="83"/>
    </row>
    <row r="182">
      <c r="B182" s="405"/>
      <c r="H182" s="83"/>
      <c r="I182" s="405"/>
      <c r="O182" s="83"/>
      <c r="P182" s="405"/>
      <c r="V182" s="83"/>
      <c r="W182" s="405"/>
      <c r="AC182" s="83"/>
      <c r="AD182" s="405"/>
      <c r="AJ182" s="83"/>
      <c r="AK182" s="405"/>
      <c r="AQ182" s="83"/>
      <c r="AX182" s="83"/>
      <c r="BE182" s="83"/>
      <c r="BF182" s="405"/>
      <c r="BL182" s="83"/>
      <c r="BM182" s="405"/>
      <c r="BS182" s="83"/>
      <c r="BT182" s="405"/>
      <c r="BZ182" s="83"/>
      <c r="CA182" s="405"/>
      <c r="CG182" s="83"/>
    </row>
    <row r="183">
      <c r="B183" s="405"/>
      <c r="H183" s="83"/>
      <c r="I183" s="405"/>
      <c r="O183" s="83"/>
      <c r="P183" s="405"/>
      <c r="V183" s="83"/>
      <c r="W183" s="405"/>
      <c r="AC183" s="83"/>
      <c r="AD183" s="405"/>
      <c r="AJ183" s="83"/>
      <c r="AK183" s="405"/>
      <c r="AQ183" s="83"/>
      <c r="AX183" s="83"/>
      <c r="BE183" s="83"/>
      <c r="BF183" s="405"/>
      <c r="BL183" s="83"/>
      <c r="BM183" s="405"/>
      <c r="BS183" s="83"/>
      <c r="BT183" s="405"/>
      <c r="BZ183" s="83"/>
      <c r="CA183" s="405"/>
      <c r="CG183" s="83"/>
    </row>
    <row r="184">
      <c r="B184" s="405"/>
      <c r="H184" s="83"/>
      <c r="I184" s="405"/>
      <c r="O184" s="83"/>
      <c r="P184" s="405"/>
      <c r="V184" s="83"/>
      <c r="W184" s="405"/>
      <c r="AC184" s="83"/>
      <c r="AD184" s="405"/>
      <c r="AJ184" s="83"/>
      <c r="AK184" s="405"/>
      <c r="AQ184" s="83"/>
      <c r="AX184" s="83"/>
      <c r="BE184" s="83"/>
      <c r="BF184" s="405"/>
      <c r="BL184" s="83"/>
      <c r="BM184" s="405"/>
      <c r="BS184" s="83"/>
      <c r="BT184" s="405"/>
      <c r="BZ184" s="83"/>
      <c r="CA184" s="405"/>
      <c r="CG184" s="83"/>
    </row>
    <row r="185">
      <c r="B185" s="405"/>
      <c r="H185" s="83"/>
      <c r="I185" s="405"/>
      <c r="O185" s="83"/>
      <c r="P185" s="405"/>
      <c r="V185" s="83"/>
      <c r="W185" s="405"/>
      <c r="AC185" s="83"/>
      <c r="AD185" s="405"/>
      <c r="AJ185" s="83"/>
      <c r="AK185" s="405"/>
      <c r="AQ185" s="83"/>
      <c r="AX185" s="83"/>
      <c r="BE185" s="83"/>
      <c r="BF185" s="405"/>
      <c r="BL185" s="83"/>
      <c r="BM185" s="405"/>
      <c r="BS185" s="83"/>
      <c r="BT185" s="405"/>
      <c r="BZ185" s="83"/>
      <c r="CA185" s="405"/>
      <c r="CG185" s="83"/>
    </row>
    <row r="186">
      <c r="B186" s="405"/>
      <c r="H186" s="83"/>
      <c r="I186" s="405"/>
      <c r="O186" s="83"/>
      <c r="P186" s="405"/>
      <c r="V186" s="83"/>
      <c r="W186" s="405"/>
      <c r="AC186" s="83"/>
      <c r="AD186" s="405"/>
      <c r="AJ186" s="83"/>
      <c r="AK186" s="405"/>
      <c r="AQ186" s="83"/>
      <c r="AX186" s="83"/>
      <c r="BE186" s="83"/>
      <c r="BF186" s="405"/>
      <c r="BL186" s="83"/>
      <c r="BM186" s="405"/>
      <c r="BS186" s="83"/>
      <c r="BT186" s="405"/>
      <c r="BZ186" s="83"/>
      <c r="CA186" s="405"/>
      <c r="CG186" s="83"/>
    </row>
    <row r="187">
      <c r="B187" s="405"/>
      <c r="H187" s="83"/>
      <c r="I187" s="405"/>
      <c r="O187" s="83"/>
      <c r="P187" s="405"/>
      <c r="V187" s="83"/>
      <c r="W187" s="405"/>
      <c r="AC187" s="83"/>
      <c r="AD187" s="405"/>
      <c r="AJ187" s="83"/>
      <c r="AK187" s="405"/>
      <c r="AQ187" s="83"/>
      <c r="AX187" s="83"/>
      <c r="BE187" s="83"/>
      <c r="BF187" s="405"/>
      <c r="BL187" s="83"/>
      <c r="BM187" s="405"/>
      <c r="BS187" s="83"/>
      <c r="BT187" s="405"/>
      <c r="BZ187" s="83"/>
      <c r="CA187" s="405"/>
      <c r="CG187" s="83"/>
    </row>
    <row r="188">
      <c r="B188" s="405"/>
      <c r="H188" s="83"/>
      <c r="I188" s="405"/>
      <c r="O188" s="83"/>
      <c r="P188" s="405"/>
      <c r="V188" s="83"/>
      <c r="W188" s="405"/>
      <c r="AC188" s="83"/>
      <c r="AD188" s="405"/>
      <c r="AJ188" s="83"/>
      <c r="AK188" s="405"/>
      <c r="AQ188" s="83"/>
      <c r="AX188" s="83"/>
      <c r="BE188" s="83"/>
      <c r="BF188" s="405"/>
      <c r="BL188" s="83"/>
      <c r="BM188" s="405"/>
      <c r="BS188" s="83"/>
      <c r="BT188" s="405"/>
      <c r="BZ188" s="83"/>
      <c r="CA188" s="405"/>
      <c r="CG188" s="83"/>
    </row>
    <row r="189">
      <c r="B189" s="405"/>
      <c r="H189" s="83"/>
      <c r="I189" s="405"/>
      <c r="O189" s="83"/>
      <c r="P189" s="405"/>
      <c r="V189" s="83"/>
      <c r="W189" s="405"/>
      <c r="AC189" s="83"/>
      <c r="AD189" s="405"/>
      <c r="AJ189" s="83"/>
      <c r="AK189" s="405"/>
      <c r="AQ189" s="83"/>
      <c r="AX189" s="83"/>
      <c r="BE189" s="83"/>
      <c r="BF189" s="405"/>
      <c r="BL189" s="83"/>
      <c r="BM189" s="405"/>
      <c r="BS189" s="83"/>
      <c r="BT189" s="405"/>
      <c r="BZ189" s="83"/>
      <c r="CA189" s="405"/>
      <c r="CG189" s="83"/>
    </row>
    <row r="190">
      <c r="B190" s="405"/>
      <c r="H190" s="83"/>
      <c r="I190" s="405"/>
      <c r="O190" s="83"/>
      <c r="P190" s="405"/>
      <c r="V190" s="83"/>
      <c r="W190" s="405"/>
      <c r="AC190" s="83"/>
      <c r="AD190" s="405"/>
      <c r="AJ190" s="83"/>
      <c r="AK190" s="405"/>
      <c r="AQ190" s="83"/>
      <c r="AX190" s="83"/>
      <c r="BE190" s="83"/>
      <c r="BF190" s="405"/>
      <c r="BL190" s="83"/>
      <c r="BM190" s="405"/>
      <c r="BS190" s="83"/>
      <c r="BT190" s="405"/>
      <c r="BZ190" s="83"/>
      <c r="CA190" s="405"/>
      <c r="CG190" s="83"/>
    </row>
    <row r="191">
      <c r="B191" s="405"/>
      <c r="H191" s="83"/>
      <c r="I191" s="405"/>
      <c r="O191" s="83"/>
      <c r="P191" s="405"/>
      <c r="V191" s="83"/>
      <c r="W191" s="405"/>
      <c r="AC191" s="83"/>
      <c r="AD191" s="405"/>
      <c r="AJ191" s="83"/>
      <c r="AK191" s="405"/>
      <c r="AQ191" s="83"/>
      <c r="AX191" s="83"/>
      <c r="BE191" s="83"/>
      <c r="BF191" s="405"/>
      <c r="BL191" s="83"/>
      <c r="BM191" s="405"/>
      <c r="BS191" s="83"/>
      <c r="BT191" s="405"/>
      <c r="BZ191" s="83"/>
      <c r="CA191" s="405"/>
      <c r="CG191" s="83"/>
    </row>
    <row r="192">
      <c r="B192" s="405"/>
      <c r="H192" s="83"/>
      <c r="I192" s="405"/>
      <c r="O192" s="83"/>
      <c r="P192" s="405"/>
      <c r="V192" s="83"/>
      <c r="W192" s="405"/>
      <c r="AC192" s="83"/>
      <c r="AD192" s="405"/>
      <c r="AJ192" s="83"/>
      <c r="AK192" s="405"/>
      <c r="AQ192" s="83"/>
      <c r="AX192" s="83"/>
      <c r="BE192" s="83"/>
      <c r="BF192" s="405"/>
      <c r="BL192" s="83"/>
      <c r="BM192" s="405"/>
      <c r="BS192" s="83"/>
      <c r="BT192" s="405"/>
      <c r="BZ192" s="83"/>
      <c r="CA192" s="405"/>
      <c r="CG192" s="83"/>
    </row>
    <row r="193">
      <c r="B193" s="405"/>
      <c r="H193" s="83"/>
      <c r="I193" s="405"/>
      <c r="O193" s="83"/>
      <c r="P193" s="405"/>
      <c r="V193" s="83"/>
      <c r="W193" s="405"/>
      <c r="AC193" s="83"/>
      <c r="AD193" s="405"/>
      <c r="AJ193" s="83"/>
      <c r="AK193" s="405"/>
      <c r="AQ193" s="83"/>
      <c r="AX193" s="83"/>
      <c r="BE193" s="83"/>
      <c r="BF193" s="405"/>
      <c r="BL193" s="83"/>
      <c r="BM193" s="405"/>
      <c r="BS193" s="83"/>
      <c r="BT193" s="405"/>
      <c r="BZ193" s="83"/>
      <c r="CA193" s="405"/>
      <c r="CG193" s="83"/>
    </row>
    <row r="194">
      <c r="B194" s="405"/>
      <c r="H194" s="83"/>
      <c r="I194" s="405"/>
      <c r="O194" s="83"/>
      <c r="P194" s="405"/>
      <c r="V194" s="83"/>
      <c r="W194" s="405"/>
      <c r="AC194" s="83"/>
      <c r="AD194" s="405"/>
      <c r="AJ194" s="83"/>
      <c r="AK194" s="405"/>
      <c r="AQ194" s="83"/>
      <c r="AX194" s="83"/>
      <c r="BE194" s="83"/>
      <c r="BF194" s="405"/>
      <c r="BL194" s="83"/>
      <c r="BM194" s="405"/>
      <c r="BS194" s="83"/>
      <c r="BT194" s="405"/>
      <c r="BZ194" s="83"/>
      <c r="CA194" s="405"/>
      <c r="CG194" s="83"/>
    </row>
    <row r="195">
      <c r="B195" s="405"/>
      <c r="H195" s="83"/>
      <c r="I195" s="405"/>
      <c r="O195" s="83"/>
      <c r="P195" s="405"/>
      <c r="V195" s="83"/>
      <c r="W195" s="405"/>
      <c r="AC195" s="83"/>
      <c r="AD195" s="405"/>
      <c r="AJ195" s="83"/>
      <c r="AK195" s="405"/>
      <c r="AQ195" s="83"/>
      <c r="AX195" s="83"/>
      <c r="BE195" s="83"/>
      <c r="BF195" s="405"/>
      <c r="BL195" s="83"/>
      <c r="BM195" s="405"/>
      <c r="BS195" s="83"/>
      <c r="BT195" s="405"/>
      <c r="BZ195" s="83"/>
      <c r="CA195" s="405"/>
      <c r="CG195" s="83"/>
    </row>
    <row r="196">
      <c r="B196" s="405"/>
      <c r="H196" s="83"/>
      <c r="I196" s="405"/>
      <c r="O196" s="83"/>
      <c r="P196" s="405"/>
      <c r="V196" s="83"/>
      <c r="W196" s="405"/>
      <c r="AC196" s="83"/>
      <c r="AD196" s="405"/>
      <c r="AJ196" s="83"/>
      <c r="AK196" s="405"/>
      <c r="AQ196" s="83"/>
      <c r="AX196" s="83"/>
      <c r="BE196" s="83"/>
      <c r="BF196" s="405"/>
      <c r="BL196" s="83"/>
      <c r="BM196" s="405"/>
      <c r="BS196" s="83"/>
      <c r="BT196" s="405"/>
      <c r="BZ196" s="83"/>
      <c r="CA196" s="405"/>
      <c r="CG196" s="83"/>
    </row>
    <row r="197">
      <c r="B197" s="405"/>
      <c r="H197" s="83"/>
      <c r="I197" s="405"/>
      <c r="O197" s="83"/>
      <c r="P197" s="405"/>
      <c r="V197" s="83"/>
      <c r="W197" s="405"/>
      <c r="AC197" s="83"/>
      <c r="AD197" s="405"/>
      <c r="AJ197" s="83"/>
      <c r="AK197" s="405"/>
      <c r="AQ197" s="83"/>
      <c r="AX197" s="83"/>
      <c r="BE197" s="83"/>
      <c r="BF197" s="405"/>
      <c r="BL197" s="83"/>
      <c r="BM197" s="405"/>
      <c r="BS197" s="83"/>
      <c r="BT197" s="405"/>
      <c r="BZ197" s="83"/>
      <c r="CA197" s="405"/>
      <c r="CG197" s="83"/>
    </row>
    <row r="198">
      <c r="B198" s="405"/>
      <c r="H198" s="83"/>
      <c r="I198" s="405"/>
      <c r="O198" s="83"/>
      <c r="P198" s="405"/>
      <c r="V198" s="83"/>
      <c r="W198" s="405"/>
      <c r="AC198" s="83"/>
      <c r="AD198" s="405"/>
      <c r="AJ198" s="83"/>
      <c r="AK198" s="405"/>
      <c r="AQ198" s="83"/>
      <c r="AX198" s="83"/>
      <c r="BE198" s="83"/>
      <c r="BF198" s="405"/>
      <c r="BL198" s="83"/>
      <c r="BM198" s="405"/>
      <c r="BS198" s="83"/>
      <c r="BT198" s="405"/>
      <c r="BZ198" s="83"/>
      <c r="CA198" s="405"/>
      <c r="CG198" s="83"/>
    </row>
    <row r="199">
      <c r="B199" s="405"/>
      <c r="H199" s="83"/>
      <c r="I199" s="405"/>
      <c r="O199" s="83"/>
      <c r="P199" s="405"/>
      <c r="V199" s="83"/>
      <c r="W199" s="405"/>
      <c r="AC199" s="83"/>
      <c r="AD199" s="405"/>
      <c r="AJ199" s="83"/>
      <c r="AK199" s="405"/>
      <c r="AQ199" s="83"/>
      <c r="AX199" s="83"/>
      <c r="BE199" s="83"/>
      <c r="BF199" s="405"/>
      <c r="BL199" s="83"/>
      <c r="BM199" s="405"/>
      <c r="BS199" s="83"/>
      <c r="BT199" s="405"/>
      <c r="BZ199" s="83"/>
      <c r="CA199" s="405"/>
      <c r="CG199" s="83"/>
    </row>
    <row r="200">
      <c r="B200" s="405"/>
      <c r="H200" s="83"/>
      <c r="I200" s="405"/>
      <c r="O200" s="83"/>
      <c r="P200" s="405"/>
      <c r="V200" s="83"/>
      <c r="W200" s="405"/>
      <c r="AC200" s="83"/>
      <c r="AD200" s="405"/>
      <c r="AJ200" s="83"/>
      <c r="AK200" s="405"/>
      <c r="AQ200" s="83"/>
      <c r="AX200" s="83"/>
      <c r="BE200" s="83"/>
      <c r="BF200" s="405"/>
      <c r="BL200" s="83"/>
      <c r="BM200" s="405"/>
      <c r="BS200" s="83"/>
      <c r="BT200" s="405"/>
      <c r="BZ200" s="83"/>
      <c r="CA200" s="405"/>
      <c r="CG200" s="83"/>
    </row>
    <row r="201">
      <c r="B201" s="405"/>
      <c r="H201" s="83"/>
      <c r="I201" s="405"/>
      <c r="O201" s="83"/>
      <c r="P201" s="405"/>
      <c r="V201" s="83"/>
      <c r="W201" s="405"/>
      <c r="AC201" s="83"/>
      <c r="AD201" s="405"/>
      <c r="AJ201" s="83"/>
      <c r="AK201" s="405"/>
      <c r="AQ201" s="83"/>
      <c r="AX201" s="83"/>
      <c r="BE201" s="83"/>
      <c r="BF201" s="405"/>
      <c r="BL201" s="83"/>
      <c r="BM201" s="405"/>
      <c r="BS201" s="83"/>
      <c r="BT201" s="405"/>
      <c r="BZ201" s="83"/>
      <c r="CA201" s="405"/>
      <c r="CG201" s="83"/>
    </row>
    <row r="202">
      <c r="B202" s="405"/>
      <c r="H202" s="83"/>
      <c r="I202" s="405"/>
      <c r="O202" s="83"/>
      <c r="P202" s="405"/>
      <c r="V202" s="83"/>
      <c r="W202" s="405"/>
      <c r="AC202" s="83"/>
      <c r="AD202" s="405"/>
      <c r="AJ202" s="83"/>
      <c r="AK202" s="405"/>
      <c r="AQ202" s="83"/>
      <c r="AX202" s="83"/>
      <c r="BE202" s="83"/>
      <c r="BF202" s="405"/>
      <c r="BL202" s="83"/>
      <c r="BM202" s="405"/>
      <c r="BS202" s="83"/>
      <c r="BT202" s="405"/>
      <c r="BZ202" s="83"/>
      <c r="CA202" s="405"/>
      <c r="CG202" s="83"/>
    </row>
    <row r="203">
      <c r="B203" s="405"/>
      <c r="H203" s="83"/>
      <c r="I203" s="405"/>
      <c r="O203" s="83"/>
      <c r="P203" s="405"/>
      <c r="V203" s="83"/>
      <c r="W203" s="405"/>
      <c r="AC203" s="83"/>
      <c r="AD203" s="405"/>
      <c r="AJ203" s="83"/>
      <c r="AK203" s="405"/>
      <c r="AQ203" s="83"/>
      <c r="AX203" s="83"/>
      <c r="BE203" s="83"/>
      <c r="BF203" s="405"/>
      <c r="BL203" s="83"/>
      <c r="BM203" s="405"/>
      <c r="BS203" s="83"/>
      <c r="BT203" s="405"/>
      <c r="BZ203" s="83"/>
      <c r="CA203" s="405"/>
      <c r="CG203" s="83"/>
    </row>
    <row r="204">
      <c r="B204" s="405"/>
      <c r="H204" s="83"/>
      <c r="I204" s="405"/>
      <c r="O204" s="83"/>
      <c r="P204" s="405"/>
      <c r="V204" s="83"/>
      <c r="W204" s="405"/>
      <c r="AC204" s="83"/>
      <c r="AD204" s="405"/>
      <c r="AJ204" s="83"/>
      <c r="AK204" s="405"/>
      <c r="AQ204" s="83"/>
      <c r="AX204" s="83"/>
      <c r="BE204" s="83"/>
      <c r="BF204" s="405"/>
      <c r="BL204" s="83"/>
      <c r="BM204" s="405"/>
      <c r="BS204" s="83"/>
      <c r="BT204" s="405"/>
      <c r="BZ204" s="83"/>
      <c r="CA204" s="405"/>
      <c r="CG204" s="83"/>
    </row>
    <row r="205">
      <c r="B205" s="405"/>
      <c r="H205" s="83"/>
      <c r="I205" s="405"/>
      <c r="O205" s="83"/>
      <c r="P205" s="405"/>
      <c r="V205" s="83"/>
      <c r="W205" s="405"/>
      <c r="AC205" s="83"/>
      <c r="AD205" s="405"/>
      <c r="AJ205" s="83"/>
      <c r="AK205" s="405"/>
      <c r="AQ205" s="83"/>
      <c r="AX205" s="83"/>
      <c r="BE205" s="83"/>
      <c r="BF205" s="405"/>
      <c r="BL205" s="83"/>
      <c r="BM205" s="405"/>
      <c r="BS205" s="83"/>
      <c r="BT205" s="405"/>
      <c r="BZ205" s="83"/>
      <c r="CA205" s="405"/>
      <c r="CG205" s="83"/>
    </row>
    <row r="206">
      <c r="B206" s="405"/>
      <c r="H206" s="83"/>
      <c r="I206" s="405"/>
      <c r="O206" s="83"/>
      <c r="P206" s="405"/>
      <c r="V206" s="83"/>
      <c r="W206" s="405"/>
      <c r="AC206" s="83"/>
      <c r="AD206" s="405"/>
      <c r="AJ206" s="83"/>
      <c r="AK206" s="405"/>
      <c r="AQ206" s="83"/>
      <c r="AX206" s="83"/>
      <c r="BE206" s="83"/>
      <c r="BF206" s="405"/>
      <c r="BL206" s="83"/>
      <c r="BM206" s="405"/>
      <c r="BS206" s="83"/>
      <c r="BT206" s="405"/>
      <c r="BZ206" s="83"/>
      <c r="CA206" s="405"/>
      <c r="CG206" s="83"/>
    </row>
    <row r="207">
      <c r="B207" s="405"/>
      <c r="H207" s="83"/>
      <c r="I207" s="405"/>
      <c r="O207" s="83"/>
      <c r="P207" s="405"/>
      <c r="V207" s="83"/>
      <c r="W207" s="405"/>
      <c r="AC207" s="83"/>
      <c r="AD207" s="405"/>
      <c r="AJ207" s="83"/>
      <c r="AK207" s="405"/>
      <c r="AQ207" s="83"/>
      <c r="AX207" s="83"/>
      <c r="BE207" s="83"/>
      <c r="BF207" s="405"/>
      <c r="BL207" s="83"/>
      <c r="BM207" s="405"/>
      <c r="BS207" s="83"/>
      <c r="BT207" s="405"/>
      <c r="BZ207" s="83"/>
      <c r="CA207" s="405"/>
      <c r="CG207" s="83"/>
    </row>
    <row r="208">
      <c r="B208" s="405"/>
      <c r="H208" s="83"/>
      <c r="I208" s="405"/>
      <c r="O208" s="83"/>
      <c r="P208" s="405"/>
      <c r="V208" s="83"/>
      <c r="W208" s="405"/>
      <c r="AC208" s="83"/>
      <c r="AD208" s="405"/>
      <c r="AJ208" s="83"/>
      <c r="AK208" s="405"/>
      <c r="AQ208" s="83"/>
      <c r="AX208" s="83"/>
      <c r="BE208" s="83"/>
      <c r="BF208" s="405"/>
      <c r="BL208" s="83"/>
      <c r="BM208" s="405"/>
      <c r="BS208" s="83"/>
      <c r="BT208" s="405"/>
      <c r="BZ208" s="83"/>
      <c r="CA208" s="405"/>
      <c r="CG208" s="83"/>
    </row>
    <row r="209">
      <c r="B209" s="405"/>
      <c r="H209" s="83"/>
      <c r="I209" s="405"/>
      <c r="O209" s="83"/>
      <c r="P209" s="405"/>
      <c r="V209" s="83"/>
      <c r="W209" s="405"/>
      <c r="AC209" s="83"/>
      <c r="AD209" s="405"/>
      <c r="AJ209" s="83"/>
      <c r="AK209" s="405"/>
      <c r="AQ209" s="83"/>
      <c r="AX209" s="83"/>
      <c r="BE209" s="83"/>
      <c r="BF209" s="405"/>
      <c r="BL209" s="83"/>
      <c r="BM209" s="405"/>
      <c r="BS209" s="83"/>
      <c r="BT209" s="405"/>
      <c r="BZ209" s="83"/>
      <c r="CA209" s="405"/>
      <c r="CG209" s="83"/>
    </row>
    <row r="210">
      <c r="B210" s="405"/>
      <c r="H210" s="83"/>
      <c r="I210" s="405"/>
      <c r="O210" s="83"/>
      <c r="P210" s="405"/>
      <c r="V210" s="83"/>
      <c r="W210" s="405"/>
      <c r="AC210" s="83"/>
      <c r="AD210" s="405"/>
      <c r="AJ210" s="83"/>
      <c r="AK210" s="405"/>
      <c r="AQ210" s="83"/>
      <c r="AX210" s="83"/>
      <c r="BE210" s="83"/>
      <c r="BF210" s="405"/>
      <c r="BL210" s="83"/>
      <c r="BM210" s="405"/>
      <c r="BS210" s="83"/>
      <c r="BT210" s="405"/>
      <c r="BZ210" s="83"/>
      <c r="CA210" s="405"/>
      <c r="CG210" s="83"/>
    </row>
    <row r="211">
      <c r="B211" s="405"/>
      <c r="H211" s="83"/>
      <c r="I211" s="405"/>
      <c r="O211" s="83"/>
      <c r="P211" s="405"/>
      <c r="V211" s="83"/>
      <c r="W211" s="405"/>
      <c r="AC211" s="83"/>
      <c r="AD211" s="405"/>
      <c r="AJ211" s="83"/>
      <c r="AK211" s="405"/>
      <c r="AQ211" s="83"/>
      <c r="AX211" s="83"/>
      <c r="BE211" s="83"/>
      <c r="BF211" s="405"/>
      <c r="BL211" s="83"/>
      <c r="BM211" s="405"/>
      <c r="BS211" s="83"/>
      <c r="BT211" s="405"/>
      <c r="BZ211" s="83"/>
      <c r="CA211" s="405"/>
      <c r="CG211" s="83"/>
    </row>
    <row r="212">
      <c r="B212" s="405"/>
      <c r="H212" s="83"/>
      <c r="I212" s="405"/>
      <c r="O212" s="83"/>
      <c r="P212" s="405"/>
      <c r="V212" s="83"/>
      <c r="W212" s="405"/>
      <c r="AC212" s="83"/>
      <c r="AD212" s="405"/>
      <c r="AJ212" s="83"/>
      <c r="AK212" s="405"/>
      <c r="AQ212" s="83"/>
      <c r="AX212" s="83"/>
      <c r="BE212" s="83"/>
      <c r="BF212" s="405"/>
      <c r="BL212" s="83"/>
      <c r="BM212" s="405"/>
      <c r="BS212" s="83"/>
      <c r="BT212" s="405"/>
      <c r="BZ212" s="83"/>
      <c r="CA212" s="405"/>
      <c r="CG212" s="83"/>
    </row>
    <row r="213">
      <c r="B213" s="405"/>
      <c r="H213" s="83"/>
      <c r="I213" s="405"/>
      <c r="O213" s="83"/>
      <c r="P213" s="405"/>
      <c r="V213" s="83"/>
      <c r="W213" s="405"/>
      <c r="AC213" s="83"/>
      <c r="AD213" s="405"/>
      <c r="AJ213" s="83"/>
      <c r="AK213" s="405"/>
      <c r="AQ213" s="83"/>
      <c r="AX213" s="83"/>
      <c r="BE213" s="83"/>
      <c r="BF213" s="405"/>
      <c r="BL213" s="83"/>
      <c r="BM213" s="405"/>
      <c r="BS213" s="83"/>
      <c r="BT213" s="405"/>
      <c r="BZ213" s="83"/>
      <c r="CA213" s="405"/>
      <c r="CG213" s="83"/>
    </row>
    <row r="214">
      <c r="B214" s="405"/>
      <c r="H214" s="83"/>
      <c r="I214" s="405"/>
      <c r="O214" s="83"/>
      <c r="P214" s="405"/>
      <c r="V214" s="83"/>
      <c r="W214" s="405"/>
      <c r="AC214" s="83"/>
      <c r="AD214" s="405"/>
      <c r="AJ214" s="83"/>
      <c r="AK214" s="405"/>
      <c r="AQ214" s="83"/>
      <c r="AX214" s="83"/>
      <c r="BE214" s="83"/>
      <c r="BF214" s="405"/>
      <c r="BL214" s="83"/>
      <c r="BM214" s="405"/>
      <c r="BS214" s="83"/>
      <c r="BT214" s="405"/>
      <c r="BZ214" s="83"/>
      <c r="CA214" s="405"/>
      <c r="CG214" s="83"/>
    </row>
    <row r="215">
      <c r="B215" s="405"/>
      <c r="H215" s="83"/>
      <c r="I215" s="405"/>
      <c r="O215" s="83"/>
      <c r="P215" s="405"/>
      <c r="V215" s="83"/>
      <c r="W215" s="405"/>
      <c r="AC215" s="83"/>
      <c r="AD215" s="405"/>
      <c r="AJ215" s="83"/>
      <c r="AK215" s="405"/>
      <c r="AQ215" s="83"/>
      <c r="AX215" s="83"/>
      <c r="BE215" s="83"/>
      <c r="BF215" s="405"/>
      <c r="BL215" s="83"/>
      <c r="BM215" s="405"/>
      <c r="BS215" s="83"/>
      <c r="BT215" s="405"/>
      <c r="BZ215" s="83"/>
      <c r="CA215" s="405"/>
      <c r="CG215" s="83"/>
    </row>
    <row r="216">
      <c r="B216" s="405"/>
      <c r="H216" s="83"/>
      <c r="I216" s="405"/>
      <c r="O216" s="83"/>
      <c r="P216" s="405"/>
      <c r="V216" s="83"/>
      <c r="W216" s="405"/>
      <c r="AC216" s="83"/>
      <c r="AD216" s="405"/>
      <c r="AJ216" s="83"/>
      <c r="AK216" s="405"/>
      <c r="AQ216" s="83"/>
      <c r="AX216" s="83"/>
      <c r="BE216" s="83"/>
      <c r="BF216" s="405"/>
      <c r="BL216" s="83"/>
      <c r="BM216" s="405"/>
      <c r="BS216" s="83"/>
      <c r="BT216" s="405"/>
      <c r="BZ216" s="83"/>
      <c r="CA216" s="405"/>
      <c r="CG216" s="83"/>
    </row>
    <row r="217">
      <c r="B217" s="405"/>
      <c r="H217" s="83"/>
      <c r="I217" s="405"/>
      <c r="O217" s="83"/>
      <c r="P217" s="405"/>
      <c r="V217" s="83"/>
      <c r="W217" s="405"/>
      <c r="AC217" s="83"/>
      <c r="AD217" s="405"/>
      <c r="AJ217" s="83"/>
      <c r="AK217" s="405"/>
      <c r="AQ217" s="83"/>
      <c r="AX217" s="83"/>
      <c r="BE217" s="83"/>
      <c r="BF217" s="405"/>
      <c r="BL217" s="83"/>
      <c r="BM217" s="405"/>
      <c r="BS217" s="83"/>
      <c r="BT217" s="405"/>
      <c r="BZ217" s="83"/>
      <c r="CA217" s="405"/>
      <c r="CG217" s="83"/>
    </row>
    <row r="218">
      <c r="B218" s="405"/>
      <c r="H218" s="83"/>
      <c r="I218" s="405"/>
      <c r="O218" s="83"/>
      <c r="P218" s="405"/>
      <c r="V218" s="83"/>
      <c r="W218" s="405"/>
      <c r="AC218" s="83"/>
      <c r="AD218" s="405"/>
      <c r="AJ218" s="83"/>
      <c r="AK218" s="405"/>
      <c r="AQ218" s="83"/>
      <c r="AX218" s="83"/>
      <c r="BE218" s="83"/>
      <c r="BF218" s="405"/>
      <c r="BL218" s="83"/>
      <c r="BM218" s="405"/>
      <c r="BS218" s="83"/>
      <c r="BT218" s="405"/>
      <c r="BZ218" s="83"/>
      <c r="CA218" s="405"/>
      <c r="CG218" s="83"/>
    </row>
    <row r="219">
      <c r="B219" s="405"/>
      <c r="H219" s="83"/>
      <c r="I219" s="405"/>
      <c r="O219" s="83"/>
      <c r="P219" s="405"/>
      <c r="V219" s="83"/>
      <c r="W219" s="405"/>
      <c r="AC219" s="83"/>
      <c r="AD219" s="405"/>
      <c r="AJ219" s="83"/>
      <c r="AK219" s="405"/>
      <c r="AQ219" s="83"/>
      <c r="AX219" s="83"/>
      <c r="BE219" s="83"/>
      <c r="BF219" s="405"/>
      <c r="BL219" s="83"/>
      <c r="BM219" s="405"/>
      <c r="BS219" s="83"/>
      <c r="BT219" s="405"/>
      <c r="BZ219" s="83"/>
      <c r="CA219" s="405"/>
      <c r="CG219" s="83"/>
    </row>
    <row r="220">
      <c r="B220" s="405"/>
      <c r="H220" s="83"/>
      <c r="I220" s="405"/>
      <c r="O220" s="83"/>
      <c r="P220" s="405"/>
      <c r="V220" s="83"/>
      <c r="W220" s="405"/>
      <c r="AC220" s="83"/>
      <c r="AD220" s="405"/>
      <c r="AJ220" s="83"/>
      <c r="AK220" s="405"/>
      <c r="AQ220" s="83"/>
      <c r="AX220" s="83"/>
      <c r="BE220" s="83"/>
      <c r="BF220" s="405"/>
      <c r="BL220" s="83"/>
      <c r="BM220" s="405"/>
      <c r="BS220" s="83"/>
      <c r="BT220" s="405"/>
      <c r="BZ220" s="83"/>
      <c r="CA220" s="405"/>
      <c r="CG220" s="83"/>
    </row>
    <row r="221">
      <c r="B221" s="405"/>
      <c r="H221" s="83"/>
      <c r="I221" s="405"/>
      <c r="O221" s="83"/>
      <c r="P221" s="405"/>
      <c r="V221" s="83"/>
      <c r="W221" s="405"/>
      <c r="AC221" s="83"/>
      <c r="AD221" s="405"/>
      <c r="AJ221" s="83"/>
      <c r="AK221" s="405"/>
      <c r="AQ221" s="83"/>
      <c r="AX221" s="83"/>
      <c r="BE221" s="83"/>
      <c r="BF221" s="405"/>
      <c r="BL221" s="83"/>
      <c r="BM221" s="405"/>
      <c r="BS221" s="83"/>
      <c r="BT221" s="405"/>
      <c r="BZ221" s="83"/>
      <c r="CA221" s="405"/>
      <c r="CG221" s="83"/>
    </row>
    <row r="222">
      <c r="B222" s="405"/>
      <c r="H222" s="83"/>
      <c r="I222" s="405"/>
      <c r="O222" s="83"/>
      <c r="P222" s="405"/>
      <c r="V222" s="83"/>
      <c r="W222" s="405"/>
      <c r="AC222" s="83"/>
      <c r="AD222" s="405"/>
      <c r="AJ222" s="83"/>
      <c r="AK222" s="405"/>
      <c r="AQ222" s="83"/>
      <c r="AX222" s="83"/>
      <c r="BE222" s="83"/>
      <c r="BF222" s="405"/>
      <c r="BL222" s="83"/>
      <c r="BM222" s="405"/>
      <c r="BS222" s="83"/>
      <c r="BT222" s="405"/>
      <c r="BZ222" s="83"/>
      <c r="CA222" s="405"/>
      <c r="CG222" s="83"/>
    </row>
    <row r="223">
      <c r="B223" s="405"/>
      <c r="H223" s="83"/>
      <c r="I223" s="405"/>
      <c r="O223" s="83"/>
      <c r="P223" s="405"/>
      <c r="V223" s="83"/>
      <c r="W223" s="405"/>
      <c r="AC223" s="83"/>
      <c r="AD223" s="405"/>
      <c r="AJ223" s="83"/>
      <c r="AK223" s="405"/>
      <c r="AQ223" s="83"/>
      <c r="AX223" s="83"/>
      <c r="BE223" s="83"/>
      <c r="BF223" s="405"/>
      <c r="BL223" s="83"/>
      <c r="BM223" s="405"/>
      <c r="BS223" s="83"/>
      <c r="BT223" s="405"/>
      <c r="BZ223" s="83"/>
      <c r="CA223" s="405"/>
      <c r="CG223" s="83"/>
    </row>
    <row r="224">
      <c r="B224" s="405"/>
      <c r="H224" s="83"/>
      <c r="I224" s="405"/>
      <c r="O224" s="83"/>
      <c r="P224" s="405"/>
      <c r="V224" s="83"/>
      <c r="W224" s="405"/>
      <c r="AC224" s="83"/>
      <c r="AD224" s="405"/>
      <c r="AJ224" s="83"/>
      <c r="AK224" s="405"/>
      <c r="AQ224" s="83"/>
      <c r="AX224" s="83"/>
      <c r="BE224" s="83"/>
      <c r="BF224" s="405"/>
      <c r="BL224" s="83"/>
      <c r="BM224" s="405"/>
      <c r="BS224" s="83"/>
      <c r="BT224" s="405"/>
      <c r="BZ224" s="83"/>
      <c r="CA224" s="405"/>
      <c r="CG224" s="83"/>
    </row>
    <row r="225">
      <c r="B225" s="405"/>
      <c r="H225" s="83"/>
      <c r="I225" s="405"/>
      <c r="O225" s="83"/>
      <c r="P225" s="405"/>
      <c r="V225" s="83"/>
      <c r="W225" s="405"/>
      <c r="AC225" s="83"/>
      <c r="AD225" s="405"/>
      <c r="AJ225" s="83"/>
      <c r="AK225" s="405"/>
      <c r="AQ225" s="83"/>
      <c r="AX225" s="83"/>
      <c r="BE225" s="83"/>
      <c r="BF225" s="405"/>
      <c r="BL225" s="83"/>
      <c r="BM225" s="405"/>
      <c r="BS225" s="83"/>
      <c r="BT225" s="405"/>
      <c r="BZ225" s="83"/>
      <c r="CA225" s="405"/>
      <c r="CG225" s="83"/>
    </row>
    <row r="226">
      <c r="B226" s="405"/>
      <c r="H226" s="83"/>
      <c r="I226" s="405"/>
      <c r="O226" s="83"/>
      <c r="P226" s="405"/>
      <c r="V226" s="83"/>
      <c r="W226" s="405"/>
      <c r="AC226" s="83"/>
      <c r="AD226" s="405"/>
      <c r="AJ226" s="83"/>
      <c r="AK226" s="405"/>
      <c r="AQ226" s="83"/>
      <c r="AX226" s="83"/>
      <c r="BE226" s="83"/>
      <c r="BF226" s="405"/>
      <c r="BL226" s="83"/>
      <c r="BM226" s="405"/>
      <c r="BS226" s="83"/>
      <c r="BT226" s="405"/>
      <c r="BZ226" s="83"/>
      <c r="CA226" s="405"/>
      <c r="CG226" s="83"/>
    </row>
    <row r="227">
      <c r="B227" s="405"/>
      <c r="H227" s="83"/>
      <c r="I227" s="405"/>
      <c r="O227" s="83"/>
      <c r="P227" s="405"/>
      <c r="V227" s="83"/>
      <c r="W227" s="405"/>
      <c r="AC227" s="83"/>
      <c r="AD227" s="405"/>
      <c r="AJ227" s="83"/>
      <c r="AK227" s="405"/>
      <c r="AQ227" s="83"/>
      <c r="AX227" s="83"/>
      <c r="BE227" s="83"/>
      <c r="BF227" s="405"/>
      <c r="BL227" s="83"/>
      <c r="BM227" s="405"/>
      <c r="BS227" s="83"/>
      <c r="BT227" s="405"/>
      <c r="BZ227" s="83"/>
      <c r="CA227" s="405"/>
      <c r="CG227" s="83"/>
    </row>
    <row r="228">
      <c r="B228" s="405"/>
      <c r="H228" s="83"/>
      <c r="I228" s="405"/>
      <c r="O228" s="83"/>
      <c r="P228" s="405"/>
      <c r="V228" s="83"/>
      <c r="W228" s="405"/>
      <c r="AC228" s="83"/>
      <c r="AD228" s="405"/>
      <c r="AJ228" s="83"/>
      <c r="AK228" s="405"/>
      <c r="AQ228" s="83"/>
      <c r="AX228" s="83"/>
      <c r="BE228" s="83"/>
      <c r="BF228" s="405"/>
      <c r="BL228" s="83"/>
      <c r="BM228" s="405"/>
      <c r="BS228" s="83"/>
      <c r="BT228" s="405"/>
      <c r="BZ228" s="83"/>
      <c r="CA228" s="405"/>
      <c r="CG228" s="83"/>
    </row>
    <row r="229">
      <c r="B229" s="405"/>
      <c r="H229" s="83"/>
      <c r="I229" s="405"/>
      <c r="O229" s="83"/>
      <c r="P229" s="405"/>
      <c r="V229" s="83"/>
      <c r="W229" s="405"/>
      <c r="AC229" s="83"/>
      <c r="AD229" s="405"/>
      <c r="AJ229" s="83"/>
      <c r="AK229" s="405"/>
      <c r="AQ229" s="83"/>
      <c r="AX229" s="83"/>
      <c r="BE229" s="83"/>
      <c r="BF229" s="405"/>
      <c r="BL229" s="83"/>
      <c r="BM229" s="405"/>
      <c r="BS229" s="83"/>
      <c r="BT229" s="405"/>
      <c r="BZ229" s="83"/>
      <c r="CA229" s="405"/>
      <c r="CG229" s="83"/>
    </row>
    <row r="230">
      <c r="B230" s="405"/>
      <c r="H230" s="83"/>
      <c r="I230" s="405"/>
      <c r="O230" s="83"/>
      <c r="P230" s="405"/>
      <c r="V230" s="83"/>
      <c r="W230" s="405"/>
      <c r="AC230" s="83"/>
      <c r="AD230" s="405"/>
      <c r="AJ230" s="83"/>
      <c r="AK230" s="405"/>
      <c r="AQ230" s="83"/>
      <c r="AX230" s="83"/>
      <c r="BE230" s="83"/>
      <c r="BF230" s="405"/>
      <c r="BL230" s="83"/>
      <c r="BM230" s="405"/>
      <c r="BS230" s="83"/>
      <c r="BT230" s="405"/>
      <c r="BZ230" s="83"/>
      <c r="CA230" s="405"/>
      <c r="CG230" s="83"/>
    </row>
    <row r="231">
      <c r="B231" s="405"/>
      <c r="H231" s="83"/>
      <c r="I231" s="405"/>
      <c r="O231" s="83"/>
      <c r="P231" s="405"/>
      <c r="V231" s="83"/>
      <c r="W231" s="405"/>
      <c r="AC231" s="83"/>
      <c r="AD231" s="405"/>
      <c r="AJ231" s="83"/>
      <c r="AK231" s="405"/>
      <c r="AQ231" s="83"/>
      <c r="AX231" s="83"/>
      <c r="BE231" s="83"/>
      <c r="BF231" s="405"/>
      <c r="BL231" s="83"/>
      <c r="BM231" s="405"/>
      <c r="BS231" s="83"/>
      <c r="BT231" s="405"/>
      <c r="BZ231" s="83"/>
      <c r="CA231" s="405"/>
      <c r="CG231" s="83"/>
    </row>
    <row r="232">
      <c r="B232" s="405"/>
      <c r="H232" s="83"/>
      <c r="I232" s="405"/>
      <c r="O232" s="83"/>
      <c r="P232" s="405"/>
      <c r="V232" s="83"/>
      <c r="W232" s="405"/>
      <c r="AC232" s="83"/>
      <c r="AD232" s="405"/>
      <c r="AJ232" s="83"/>
      <c r="AK232" s="405"/>
      <c r="AQ232" s="83"/>
      <c r="AX232" s="83"/>
      <c r="BE232" s="83"/>
      <c r="BF232" s="405"/>
      <c r="BL232" s="83"/>
      <c r="BM232" s="405"/>
      <c r="BS232" s="83"/>
      <c r="BT232" s="405"/>
      <c r="BZ232" s="83"/>
      <c r="CA232" s="405"/>
      <c r="CG232" s="83"/>
    </row>
    <row r="233">
      <c r="B233" s="405"/>
      <c r="H233" s="83"/>
      <c r="I233" s="405"/>
      <c r="O233" s="83"/>
      <c r="P233" s="405"/>
      <c r="V233" s="83"/>
      <c r="W233" s="405"/>
      <c r="AC233" s="83"/>
      <c r="AD233" s="405"/>
      <c r="AJ233" s="83"/>
      <c r="AK233" s="405"/>
      <c r="AQ233" s="83"/>
      <c r="AX233" s="83"/>
      <c r="BE233" s="83"/>
      <c r="BF233" s="405"/>
      <c r="BL233" s="83"/>
      <c r="BM233" s="405"/>
      <c r="BS233" s="83"/>
      <c r="BT233" s="405"/>
      <c r="BZ233" s="83"/>
      <c r="CA233" s="405"/>
      <c r="CG233" s="83"/>
    </row>
    <row r="234">
      <c r="B234" s="405"/>
      <c r="H234" s="83"/>
      <c r="I234" s="405"/>
      <c r="O234" s="83"/>
      <c r="P234" s="405"/>
      <c r="V234" s="83"/>
      <c r="W234" s="405"/>
      <c r="AC234" s="83"/>
      <c r="AD234" s="405"/>
      <c r="AJ234" s="83"/>
      <c r="AK234" s="405"/>
      <c r="AQ234" s="83"/>
      <c r="AX234" s="83"/>
      <c r="BE234" s="83"/>
      <c r="BF234" s="405"/>
      <c r="BL234" s="83"/>
      <c r="BM234" s="405"/>
      <c r="BS234" s="83"/>
      <c r="BT234" s="405"/>
      <c r="BZ234" s="83"/>
      <c r="CA234" s="405"/>
      <c r="CG234" s="83"/>
    </row>
    <row r="235">
      <c r="B235" s="405"/>
      <c r="H235" s="83"/>
      <c r="I235" s="405"/>
      <c r="O235" s="83"/>
      <c r="P235" s="405"/>
      <c r="V235" s="83"/>
      <c r="W235" s="405"/>
      <c r="AC235" s="83"/>
      <c r="AD235" s="405"/>
      <c r="AJ235" s="83"/>
      <c r="AK235" s="405"/>
      <c r="AQ235" s="83"/>
      <c r="AX235" s="83"/>
      <c r="BE235" s="83"/>
      <c r="BF235" s="405"/>
      <c r="BL235" s="83"/>
      <c r="BM235" s="405"/>
      <c r="BS235" s="83"/>
      <c r="BT235" s="405"/>
      <c r="BZ235" s="83"/>
      <c r="CA235" s="405"/>
      <c r="CG235" s="83"/>
    </row>
    <row r="236">
      <c r="B236" s="405"/>
      <c r="H236" s="83"/>
      <c r="I236" s="405"/>
      <c r="O236" s="83"/>
      <c r="P236" s="405"/>
      <c r="V236" s="83"/>
      <c r="W236" s="405"/>
      <c r="AC236" s="83"/>
      <c r="AD236" s="405"/>
      <c r="AJ236" s="83"/>
      <c r="AK236" s="405"/>
      <c r="AQ236" s="83"/>
      <c r="AX236" s="83"/>
      <c r="BE236" s="83"/>
      <c r="BF236" s="405"/>
      <c r="BL236" s="83"/>
      <c r="BM236" s="405"/>
      <c r="BS236" s="83"/>
      <c r="BT236" s="405"/>
      <c r="BZ236" s="83"/>
      <c r="CA236" s="405"/>
      <c r="CG236" s="83"/>
    </row>
    <row r="237">
      <c r="B237" s="405"/>
      <c r="H237" s="83"/>
      <c r="I237" s="405"/>
      <c r="O237" s="83"/>
      <c r="P237" s="405"/>
      <c r="V237" s="83"/>
      <c r="W237" s="405"/>
      <c r="AC237" s="83"/>
      <c r="AD237" s="405"/>
      <c r="AJ237" s="83"/>
      <c r="AK237" s="405"/>
      <c r="AQ237" s="83"/>
      <c r="AX237" s="83"/>
      <c r="BE237" s="83"/>
      <c r="BF237" s="405"/>
      <c r="BL237" s="83"/>
      <c r="BM237" s="405"/>
      <c r="BS237" s="83"/>
      <c r="BT237" s="405"/>
      <c r="BZ237" s="83"/>
      <c r="CA237" s="405"/>
      <c r="CG237" s="83"/>
    </row>
    <row r="238">
      <c r="B238" s="405"/>
      <c r="H238" s="83"/>
      <c r="I238" s="405"/>
      <c r="O238" s="83"/>
      <c r="P238" s="405"/>
      <c r="V238" s="83"/>
      <c r="W238" s="405"/>
      <c r="AC238" s="83"/>
      <c r="AD238" s="405"/>
      <c r="AJ238" s="83"/>
      <c r="AK238" s="405"/>
      <c r="AQ238" s="83"/>
      <c r="AX238" s="83"/>
      <c r="BE238" s="83"/>
      <c r="BF238" s="405"/>
      <c r="BL238" s="83"/>
      <c r="BM238" s="405"/>
      <c r="BS238" s="83"/>
      <c r="BT238" s="405"/>
      <c r="BZ238" s="83"/>
      <c r="CA238" s="405"/>
      <c r="CG238" s="83"/>
    </row>
    <row r="239">
      <c r="B239" s="405"/>
      <c r="H239" s="83"/>
      <c r="I239" s="405"/>
      <c r="O239" s="83"/>
      <c r="P239" s="405"/>
      <c r="V239" s="83"/>
      <c r="W239" s="405"/>
      <c r="AC239" s="83"/>
      <c r="AD239" s="405"/>
      <c r="AJ239" s="83"/>
      <c r="AK239" s="405"/>
      <c r="AQ239" s="83"/>
      <c r="AX239" s="83"/>
      <c r="BE239" s="83"/>
      <c r="BF239" s="405"/>
      <c r="BL239" s="83"/>
      <c r="BM239" s="405"/>
      <c r="BS239" s="83"/>
      <c r="BT239" s="405"/>
      <c r="BZ239" s="83"/>
      <c r="CA239" s="405"/>
      <c r="CG239" s="83"/>
    </row>
    <row r="240">
      <c r="B240" s="405"/>
      <c r="H240" s="83"/>
      <c r="I240" s="405"/>
      <c r="O240" s="83"/>
      <c r="P240" s="405"/>
      <c r="V240" s="83"/>
      <c r="W240" s="405"/>
      <c r="AC240" s="83"/>
      <c r="AD240" s="405"/>
      <c r="AJ240" s="83"/>
      <c r="AK240" s="405"/>
      <c r="AQ240" s="83"/>
      <c r="AX240" s="83"/>
      <c r="BE240" s="83"/>
      <c r="BF240" s="405"/>
      <c r="BL240" s="83"/>
      <c r="BM240" s="405"/>
      <c r="BS240" s="83"/>
      <c r="BT240" s="405"/>
      <c r="BZ240" s="83"/>
      <c r="CA240" s="405"/>
      <c r="CG240" s="83"/>
    </row>
    <row r="241">
      <c r="B241" s="405"/>
      <c r="H241" s="83"/>
      <c r="I241" s="405"/>
      <c r="O241" s="83"/>
      <c r="P241" s="405"/>
      <c r="V241" s="83"/>
      <c r="W241" s="405"/>
      <c r="AC241" s="83"/>
      <c r="AD241" s="405"/>
      <c r="AJ241" s="83"/>
      <c r="AK241" s="405"/>
      <c r="AQ241" s="83"/>
      <c r="AX241" s="83"/>
      <c r="BE241" s="83"/>
      <c r="BF241" s="405"/>
      <c r="BL241" s="83"/>
      <c r="BM241" s="405"/>
      <c r="BS241" s="83"/>
      <c r="BT241" s="405"/>
      <c r="BZ241" s="83"/>
      <c r="CA241" s="405"/>
      <c r="CG241" s="83"/>
    </row>
    <row r="242">
      <c r="B242" s="405"/>
      <c r="H242" s="83"/>
      <c r="I242" s="405"/>
      <c r="O242" s="83"/>
      <c r="P242" s="405"/>
      <c r="V242" s="83"/>
      <c r="W242" s="405"/>
      <c r="AC242" s="83"/>
      <c r="AD242" s="405"/>
      <c r="AJ242" s="83"/>
      <c r="AK242" s="405"/>
      <c r="AQ242" s="83"/>
      <c r="AX242" s="83"/>
      <c r="BE242" s="83"/>
      <c r="BF242" s="405"/>
      <c r="BL242" s="83"/>
      <c r="BM242" s="405"/>
      <c r="BS242" s="83"/>
      <c r="BT242" s="405"/>
      <c r="BZ242" s="83"/>
      <c r="CA242" s="405"/>
      <c r="CG242" s="83"/>
    </row>
    <row r="243">
      <c r="B243" s="405"/>
      <c r="H243" s="83"/>
      <c r="I243" s="405"/>
      <c r="O243" s="83"/>
      <c r="P243" s="405"/>
      <c r="V243" s="83"/>
      <c r="W243" s="405"/>
      <c r="AC243" s="83"/>
      <c r="AD243" s="405"/>
      <c r="AJ243" s="83"/>
      <c r="AK243" s="405"/>
      <c r="AQ243" s="83"/>
      <c r="AX243" s="83"/>
      <c r="BE243" s="83"/>
      <c r="BF243" s="405"/>
      <c r="BL243" s="83"/>
      <c r="BM243" s="405"/>
      <c r="BS243" s="83"/>
      <c r="BT243" s="405"/>
      <c r="BZ243" s="83"/>
      <c r="CA243" s="405"/>
      <c r="CG243" s="83"/>
    </row>
    <row r="244">
      <c r="B244" s="405"/>
      <c r="H244" s="83"/>
      <c r="I244" s="405"/>
      <c r="O244" s="83"/>
      <c r="P244" s="405"/>
      <c r="V244" s="83"/>
      <c r="W244" s="405"/>
      <c r="AC244" s="83"/>
      <c r="AD244" s="405"/>
      <c r="AJ244" s="83"/>
      <c r="AK244" s="405"/>
      <c r="AQ244" s="83"/>
      <c r="AX244" s="83"/>
      <c r="BE244" s="83"/>
      <c r="BF244" s="405"/>
      <c r="BL244" s="83"/>
      <c r="BM244" s="405"/>
      <c r="BS244" s="83"/>
      <c r="BT244" s="405"/>
      <c r="BZ244" s="83"/>
      <c r="CA244" s="405"/>
      <c r="CG244" s="83"/>
    </row>
    <row r="245">
      <c r="B245" s="405"/>
      <c r="H245" s="83"/>
      <c r="I245" s="405"/>
      <c r="O245" s="83"/>
      <c r="P245" s="405"/>
      <c r="V245" s="83"/>
      <c r="W245" s="405"/>
      <c r="AC245" s="83"/>
      <c r="AD245" s="405"/>
      <c r="AJ245" s="83"/>
      <c r="AK245" s="405"/>
      <c r="AQ245" s="83"/>
      <c r="AX245" s="83"/>
      <c r="BE245" s="83"/>
      <c r="BF245" s="405"/>
      <c r="BL245" s="83"/>
      <c r="BM245" s="405"/>
      <c r="BS245" s="83"/>
      <c r="BT245" s="405"/>
      <c r="BZ245" s="83"/>
      <c r="CA245" s="405"/>
      <c r="CG245" s="83"/>
    </row>
    <row r="246">
      <c r="B246" s="405"/>
      <c r="H246" s="83"/>
      <c r="I246" s="405"/>
      <c r="O246" s="83"/>
      <c r="P246" s="405"/>
      <c r="V246" s="83"/>
      <c r="W246" s="405"/>
      <c r="AC246" s="83"/>
      <c r="AD246" s="405"/>
      <c r="AJ246" s="83"/>
      <c r="AK246" s="405"/>
      <c r="AQ246" s="83"/>
      <c r="AX246" s="83"/>
      <c r="BE246" s="83"/>
      <c r="BF246" s="405"/>
      <c r="BL246" s="83"/>
      <c r="BM246" s="405"/>
      <c r="BS246" s="83"/>
      <c r="BT246" s="405"/>
      <c r="BZ246" s="83"/>
      <c r="CA246" s="405"/>
      <c r="CG246" s="83"/>
    </row>
    <row r="247">
      <c r="B247" s="405"/>
      <c r="H247" s="83"/>
      <c r="I247" s="405"/>
      <c r="O247" s="83"/>
      <c r="P247" s="405"/>
      <c r="V247" s="83"/>
      <c r="W247" s="405"/>
      <c r="AC247" s="83"/>
      <c r="AD247" s="405"/>
      <c r="AJ247" s="83"/>
      <c r="AK247" s="405"/>
      <c r="AQ247" s="83"/>
      <c r="AX247" s="83"/>
      <c r="BE247" s="83"/>
      <c r="BF247" s="405"/>
      <c r="BL247" s="83"/>
      <c r="BM247" s="405"/>
      <c r="BS247" s="83"/>
      <c r="BT247" s="405"/>
      <c r="BZ247" s="83"/>
      <c r="CA247" s="405"/>
      <c r="CG247" s="83"/>
    </row>
    <row r="248">
      <c r="B248" s="405"/>
      <c r="H248" s="83"/>
      <c r="I248" s="405"/>
      <c r="O248" s="83"/>
      <c r="P248" s="405"/>
      <c r="V248" s="83"/>
      <c r="W248" s="405"/>
      <c r="AC248" s="83"/>
      <c r="AD248" s="405"/>
      <c r="AJ248" s="83"/>
      <c r="AK248" s="405"/>
      <c r="AQ248" s="83"/>
      <c r="AX248" s="83"/>
      <c r="BE248" s="83"/>
      <c r="BF248" s="405"/>
      <c r="BL248" s="83"/>
      <c r="BM248" s="405"/>
      <c r="BS248" s="83"/>
      <c r="BT248" s="405"/>
      <c r="BZ248" s="83"/>
      <c r="CA248" s="405"/>
      <c r="CG248" s="83"/>
    </row>
    <row r="249">
      <c r="B249" s="405"/>
      <c r="H249" s="83"/>
      <c r="I249" s="405"/>
      <c r="O249" s="83"/>
      <c r="P249" s="405"/>
      <c r="V249" s="83"/>
      <c r="W249" s="405"/>
      <c r="AC249" s="83"/>
      <c r="AD249" s="405"/>
      <c r="AJ249" s="83"/>
      <c r="AK249" s="405"/>
      <c r="AQ249" s="83"/>
      <c r="AX249" s="83"/>
      <c r="BE249" s="83"/>
      <c r="BF249" s="405"/>
      <c r="BL249" s="83"/>
      <c r="BM249" s="405"/>
      <c r="BS249" s="83"/>
      <c r="BT249" s="405"/>
      <c r="BZ249" s="83"/>
      <c r="CA249" s="405"/>
      <c r="CG249" s="83"/>
    </row>
    <row r="250">
      <c r="B250" s="405"/>
      <c r="H250" s="83"/>
      <c r="I250" s="405"/>
      <c r="O250" s="83"/>
      <c r="P250" s="405"/>
      <c r="V250" s="83"/>
      <c r="W250" s="405"/>
      <c r="AC250" s="83"/>
      <c r="AD250" s="405"/>
      <c r="AJ250" s="83"/>
      <c r="AK250" s="405"/>
      <c r="AQ250" s="83"/>
      <c r="AX250" s="83"/>
      <c r="BE250" s="83"/>
      <c r="BF250" s="405"/>
      <c r="BL250" s="83"/>
      <c r="BM250" s="405"/>
      <c r="BS250" s="83"/>
      <c r="BT250" s="405"/>
      <c r="BZ250" s="83"/>
      <c r="CA250" s="405"/>
      <c r="CG250" s="83"/>
    </row>
    <row r="251">
      <c r="B251" s="405"/>
      <c r="H251" s="83"/>
      <c r="I251" s="405"/>
      <c r="O251" s="83"/>
      <c r="P251" s="405"/>
      <c r="V251" s="83"/>
      <c r="W251" s="405"/>
      <c r="AC251" s="83"/>
      <c r="AD251" s="405"/>
      <c r="AJ251" s="83"/>
      <c r="AK251" s="405"/>
      <c r="AQ251" s="83"/>
      <c r="AX251" s="83"/>
      <c r="BE251" s="83"/>
      <c r="BF251" s="405"/>
      <c r="BL251" s="83"/>
      <c r="BM251" s="405"/>
      <c r="BS251" s="83"/>
      <c r="BT251" s="405"/>
      <c r="BZ251" s="83"/>
      <c r="CA251" s="405"/>
      <c r="CG251" s="83"/>
    </row>
    <row r="252">
      <c r="B252" s="405"/>
      <c r="H252" s="83"/>
      <c r="I252" s="405"/>
      <c r="O252" s="83"/>
      <c r="P252" s="405"/>
      <c r="V252" s="83"/>
      <c r="W252" s="405"/>
      <c r="AC252" s="83"/>
      <c r="AD252" s="405"/>
      <c r="AJ252" s="83"/>
      <c r="AK252" s="405"/>
      <c r="AQ252" s="83"/>
      <c r="AX252" s="83"/>
      <c r="BE252" s="83"/>
      <c r="BF252" s="405"/>
      <c r="BL252" s="83"/>
      <c r="BM252" s="405"/>
      <c r="BS252" s="83"/>
      <c r="BT252" s="405"/>
      <c r="BZ252" s="83"/>
      <c r="CA252" s="405"/>
      <c r="CG252" s="83"/>
    </row>
    <row r="253">
      <c r="B253" s="405"/>
      <c r="H253" s="83"/>
      <c r="I253" s="405"/>
      <c r="O253" s="83"/>
      <c r="P253" s="405"/>
      <c r="V253" s="83"/>
      <c r="W253" s="405"/>
      <c r="AC253" s="83"/>
      <c r="AD253" s="405"/>
      <c r="AJ253" s="83"/>
      <c r="AK253" s="405"/>
      <c r="AQ253" s="83"/>
      <c r="AX253" s="83"/>
      <c r="BE253" s="83"/>
      <c r="BF253" s="405"/>
      <c r="BL253" s="83"/>
      <c r="BM253" s="405"/>
      <c r="BS253" s="83"/>
      <c r="BT253" s="405"/>
      <c r="BZ253" s="83"/>
      <c r="CA253" s="405"/>
      <c r="CG253" s="83"/>
    </row>
    <row r="254">
      <c r="B254" s="405"/>
      <c r="H254" s="83"/>
      <c r="I254" s="405"/>
      <c r="O254" s="83"/>
      <c r="P254" s="405"/>
      <c r="V254" s="83"/>
      <c r="W254" s="405"/>
      <c r="AC254" s="83"/>
      <c r="AD254" s="405"/>
      <c r="AJ254" s="83"/>
      <c r="AK254" s="405"/>
      <c r="AQ254" s="83"/>
      <c r="AX254" s="83"/>
      <c r="BE254" s="83"/>
      <c r="BF254" s="405"/>
      <c r="BL254" s="83"/>
      <c r="BM254" s="405"/>
      <c r="BS254" s="83"/>
      <c r="BT254" s="405"/>
      <c r="BZ254" s="83"/>
      <c r="CA254" s="405"/>
      <c r="CG254" s="83"/>
    </row>
    <row r="255">
      <c r="B255" s="405"/>
      <c r="H255" s="83"/>
      <c r="I255" s="405"/>
      <c r="O255" s="83"/>
      <c r="P255" s="405"/>
      <c r="V255" s="83"/>
      <c r="W255" s="405"/>
      <c r="AC255" s="83"/>
      <c r="AD255" s="405"/>
      <c r="AJ255" s="83"/>
      <c r="AK255" s="405"/>
      <c r="AQ255" s="83"/>
      <c r="AX255" s="83"/>
      <c r="BE255" s="83"/>
      <c r="BF255" s="405"/>
      <c r="BL255" s="83"/>
      <c r="BM255" s="405"/>
      <c r="BS255" s="83"/>
      <c r="BT255" s="405"/>
      <c r="BZ255" s="83"/>
      <c r="CA255" s="405"/>
      <c r="CG255" s="83"/>
    </row>
    <row r="256">
      <c r="B256" s="405"/>
      <c r="H256" s="83"/>
      <c r="I256" s="405"/>
      <c r="O256" s="83"/>
      <c r="P256" s="405"/>
      <c r="V256" s="83"/>
      <c r="W256" s="405"/>
      <c r="AC256" s="83"/>
      <c r="AD256" s="405"/>
      <c r="AJ256" s="83"/>
      <c r="AK256" s="405"/>
      <c r="AQ256" s="83"/>
      <c r="AX256" s="83"/>
      <c r="BE256" s="83"/>
      <c r="BF256" s="405"/>
      <c r="BL256" s="83"/>
      <c r="BM256" s="405"/>
      <c r="BS256" s="83"/>
      <c r="BT256" s="405"/>
      <c r="BZ256" s="83"/>
      <c r="CA256" s="405"/>
      <c r="CG256" s="83"/>
    </row>
    <row r="257">
      <c r="B257" s="405"/>
      <c r="H257" s="83"/>
      <c r="I257" s="405"/>
      <c r="O257" s="83"/>
      <c r="P257" s="405"/>
      <c r="V257" s="83"/>
      <c r="W257" s="405"/>
      <c r="AC257" s="83"/>
      <c r="AD257" s="405"/>
      <c r="AJ257" s="83"/>
      <c r="AK257" s="405"/>
      <c r="AQ257" s="83"/>
      <c r="AX257" s="83"/>
      <c r="BE257" s="83"/>
      <c r="BF257" s="405"/>
      <c r="BL257" s="83"/>
      <c r="BM257" s="405"/>
      <c r="BS257" s="83"/>
      <c r="BT257" s="405"/>
      <c r="BZ257" s="83"/>
      <c r="CA257" s="405"/>
      <c r="CG257" s="83"/>
    </row>
    <row r="258">
      <c r="B258" s="405"/>
      <c r="H258" s="83"/>
      <c r="I258" s="405"/>
      <c r="O258" s="83"/>
      <c r="P258" s="405"/>
      <c r="V258" s="83"/>
      <c r="W258" s="405"/>
      <c r="AC258" s="83"/>
      <c r="AD258" s="405"/>
      <c r="AJ258" s="83"/>
      <c r="AK258" s="405"/>
      <c r="AQ258" s="83"/>
      <c r="AX258" s="83"/>
      <c r="BE258" s="83"/>
      <c r="BF258" s="405"/>
      <c r="BL258" s="83"/>
      <c r="BM258" s="405"/>
      <c r="BS258" s="83"/>
      <c r="BT258" s="405"/>
      <c r="BZ258" s="83"/>
      <c r="CA258" s="405"/>
      <c r="CG258" s="83"/>
    </row>
    <row r="259">
      <c r="B259" s="405"/>
      <c r="H259" s="83"/>
      <c r="I259" s="405"/>
      <c r="O259" s="83"/>
      <c r="P259" s="405"/>
      <c r="V259" s="83"/>
      <c r="W259" s="405"/>
      <c r="AC259" s="83"/>
      <c r="AD259" s="405"/>
      <c r="AJ259" s="83"/>
      <c r="AK259" s="405"/>
      <c r="AQ259" s="83"/>
      <c r="AX259" s="83"/>
      <c r="BE259" s="83"/>
      <c r="BF259" s="405"/>
      <c r="BL259" s="83"/>
      <c r="BM259" s="405"/>
      <c r="BS259" s="83"/>
      <c r="BT259" s="405"/>
      <c r="BZ259" s="83"/>
      <c r="CA259" s="405"/>
      <c r="CG259" s="83"/>
    </row>
    <row r="260">
      <c r="B260" s="405"/>
      <c r="H260" s="83"/>
      <c r="I260" s="405"/>
      <c r="O260" s="83"/>
      <c r="P260" s="405"/>
      <c r="V260" s="83"/>
      <c r="W260" s="405"/>
      <c r="AC260" s="83"/>
      <c r="AD260" s="405"/>
      <c r="AJ260" s="83"/>
      <c r="AK260" s="405"/>
      <c r="AQ260" s="83"/>
      <c r="AX260" s="83"/>
      <c r="BE260" s="83"/>
      <c r="BF260" s="405"/>
      <c r="BL260" s="83"/>
      <c r="BM260" s="405"/>
      <c r="BS260" s="83"/>
      <c r="BT260" s="405"/>
      <c r="BZ260" s="83"/>
      <c r="CA260" s="405"/>
      <c r="CG260" s="83"/>
    </row>
    <row r="261">
      <c r="B261" s="405"/>
      <c r="H261" s="83"/>
      <c r="I261" s="405"/>
      <c r="O261" s="83"/>
      <c r="P261" s="405"/>
      <c r="V261" s="83"/>
      <c r="W261" s="405"/>
      <c r="AC261" s="83"/>
      <c r="AD261" s="405"/>
      <c r="AJ261" s="83"/>
      <c r="AK261" s="405"/>
      <c r="AQ261" s="83"/>
      <c r="AX261" s="83"/>
      <c r="BE261" s="83"/>
      <c r="BF261" s="405"/>
      <c r="BL261" s="83"/>
      <c r="BM261" s="405"/>
      <c r="BS261" s="83"/>
      <c r="BT261" s="405"/>
      <c r="BZ261" s="83"/>
      <c r="CA261" s="405"/>
      <c r="CG261" s="83"/>
    </row>
    <row r="262">
      <c r="B262" s="405"/>
      <c r="H262" s="83"/>
      <c r="I262" s="405"/>
      <c r="O262" s="83"/>
      <c r="P262" s="405"/>
      <c r="V262" s="83"/>
      <c r="W262" s="405"/>
      <c r="AC262" s="83"/>
      <c r="AD262" s="405"/>
      <c r="AJ262" s="83"/>
      <c r="AK262" s="405"/>
      <c r="AQ262" s="83"/>
      <c r="AX262" s="83"/>
      <c r="BE262" s="83"/>
      <c r="BF262" s="405"/>
      <c r="BL262" s="83"/>
      <c r="BM262" s="405"/>
      <c r="BS262" s="83"/>
      <c r="BT262" s="405"/>
      <c r="BZ262" s="83"/>
      <c r="CA262" s="405"/>
      <c r="CG262" s="83"/>
    </row>
    <row r="263">
      <c r="B263" s="405"/>
      <c r="H263" s="83"/>
      <c r="I263" s="405"/>
      <c r="O263" s="83"/>
      <c r="P263" s="405"/>
      <c r="V263" s="83"/>
      <c r="W263" s="405"/>
      <c r="AC263" s="83"/>
      <c r="AD263" s="405"/>
      <c r="AJ263" s="83"/>
      <c r="AK263" s="405"/>
      <c r="AQ263" s="83"/>
      <c r="AX263" s="83"/>
      <c r="BE263" s="83"/>
      <c r="BF263" s="405"/>
      <c r="BL263" s="83"/>
      <c r="BM263" s="405"/>
      <c r="BS263" s="83"/>
      <c r="BT263" s="405"/>
      <c r="BZ263" s="83"/>
      <c r="CA263" s="405"/>
      <c r="CG263" s="83"/>
    </row>
    <row r="264">
      <c r="B264" s="405"/>
      <c r="H264" s="83"/>
      <c r="I264" s="405"/>
      <c r="O264" s="83"/>
      <c r="P264" s="405"/>
      <c r="V264" s="83"/>
      <c r="W264" s="405"/>
      <c r="AC264" s="83"/>
      <c r="AD264" s="405"/>
      <c r="AJ264" s="83"/>
      <c r="AK264" s="405"/>
      <c r="AQ264" s="83"/>
      <c r="AX264" s="83"/>
      <c r="BE264" s="83"/>
      <c r="BF264" s="405"/>
      <c r="BL264" s="83"/>
      <c r="BM264" s="405"/>
      <c r="BS264" s="83"/>
      <c r="BT264" s="405"/>
      <c r="BZ264" s="83"/>
      <c r="CA264" s="405"/>
      <c r="CG264" s="83"/>
    </row>
    <row r="265">
      <c r="B265" s="405"/>
      <c r="H265" s="83"/>
      <c r="I265" s="405"/>
      <c r="O265" s="83"/>
      <c r="P265" s="405"/>
      <c r="V265" s="83"/>
      <c r="W265" s="405"/>
      <c r="AC265" s="83"/>
      <c r="AD265" s="405"/>
      <c r="AJ265" s="83"/>
      <c r="AK265" s="405"/>
      <c r="AQ265" s="83"/>
      <c r="AX265" s="83"/>
      <c r="BE265" s="83"/>
      <c r="BF265" s="405"/>
      <c r="BL265" s="83"/>
      <c r="BM265" s="405"/>
      <c r="BS265" s="83"/>
      <c r="BT265" s="405"/>
      <c r="BZ265" s="83"/>
      <c r="CA265" s="405"/>
      <c r="CG265" s="83"/>
    </row>
    <row r="266">
      <c r="B266" s="405"/>
      <c r="H266" s="83"/>
      <c r="I266" s="405"/>
      <c r="O266" s="83"/>
      <c r="P266" s="405"/>
      <c r="V266" s="83"/>
      <c r="W266" s="405"/>
      <c r="AC266" s="83"/>
      <c r="AD266" s="405"/>
      <c r="AJ266" s="83"/>
      <c r="AK266" s="405"/>
      <c r="AQ266" s="83"/>
      <c r="AX266" s="83"/>
      <c r="BE266" s="83"/>
      <c r="BF266" s="405"/>
      <c r="BL266" s="83"/>
      <c r="BM266" s="405"/>
      <c r="BS266" s="83"/>
      <c r="BT266" s="405"/>
      <c r="BZ266" s="83"/>
      <c r="CA266" s="405"/>
      <c r="CG266" s="83"/>
    </row>
    <row r="267">
      <c r="B267" s="405"/>
      <c r="H267" s="83"/>
      <c r="I267" s="405"/>
      <c r="O267" s="83"/>
      <c r="P267" s="405"/>
      <c r="V267" s="83"/>
      <c r="W267" s="405"/>
      <c r="AC267" s="83"/>
      <c r="AD267" s="405"/>
      <c r="AJ267" s="83"/>
      <c r="AK267" s="405"/>
      <c r="AQ267" s="83"/>
      <c r="AX267" s="83"/>
      <c r="BE267" s="83"/>
      <c r="BF267" s="405"/>
      <c r="BL267" s="83"/>
      <c r="BM267" s="405"/>
      <c r="BS267" s="83"/>
      <c r="BT267" s="405"/>
      <c r="BZ267" s="83"/>
      <c r="CA267" s="405"/>
      <c r="CG267" s="83"/>
    </row>
    <row r="268">
      <c r="B268" s="405"/>
      <c r="H268" s="83"/>
      <c r="I268" s="405"/>
      <c r="O268" s="83"/>
      <c r="P268" s="405"/>
      <c r="V268" s="83"/>
      <c r="W268" s="405"/>
      <c r="AC268" s="83"/>
      <c r="AD268" s="405"/>
      <c r="AJ268" s="83"/>
      <c r="AK268" s="405"/>
      <c r="AQ268" s="83"/>
      <c r="AX268" s="83"/>
      <c r="BE268" s="83"/>
      <c r="BF268" s="405"/>
      <c r="BL268" s="83"/>
      <c r="BM268" s="405"/>
      <c r="BS268" s="83"/>
      <c r="BT268" s="405"/>
      <c r="BZ268" s="83"/>
      <c r="CA268" s="405"/>
      <c r="CG268" s="83"/>
    </row>
    <row r="269">
      <c r="B269" s="405"/>
      <c r="H269" s="83"/>
      <c r="I269" s="405"/>
      <c r="O269" s="83"/>
      <c r="P269" s="405"/>
      <c r="V269" s="83"/>
      <c r="W269" s="405"/>
      <c r="AC269" s="83"/>
      <c r="AD269" s="405"/>
      <c r="AJ269" s="83"/>
      <c r="AK269" s="405"/>
      <c r="AQ269" s="83"/>
      <c r="AX269" s="83"/>
      <c r="BE269" s="83"/>
      <c r="BF269" s="405"/>
      <c r="BL269" s="83"/>
      <c r="BM269" s="405"/>
      <c r="BS269" s="83"/>
      <c r="BT269" s="405"/>
      <c r="BZ269" s="83"/>
      <c r="CA269" s="405"/>
      <c r="CG269" s="83"/>
    </row>
    <row r="270">
      <c r="B270" s="405"/>
      <c r="H270" s="83"/>
      <c r="I270" s="405"/>
      <c r="O270" s="83"/>
      <c r="P270" s="405"/>
      <c r="V270" s="83"/>
      <c r="W270" s="405"/>
      <c r="AC270" s="83"/>
      <c r="AD270" s="405"/>
      <c r="AJ270" s="83"/>
      <c r="AK270" s="405"/>
      <c r="AQ270" s="83"/>
      <c r="AX270" s="83"/>
      <c r="BE270" s="83"/>
      <c r="BF270" s="405"/>
      <c r="BL270" s="83"/>
      <c r="BM270" s="405"/>
      <c r="BS270" s="83"/>
      <c r="BT270" s="405"/>
      <c r="BZ270" s="83"/>
      <c r="CA270" s="405"/>
      <c r="CG270" s="83"/>
    </row>
    <row r="271">
      <c r="B271" s="405"/>
      <c r="H271" s="83"/>
      <c r="I271" s="405"/>
      <c r="O271" s="83"/>
      <c r="P271" s="405"/>
      <c r="V271" s="83"/>
      <c r="W271" s="405"/>
      <c r="AC271" s="83"/>
      <c r="AD271" s="405"/>
      <c r="AJ271" s="83"/>
      <c r="AK271" s="405"/>
      <c r="AQ271" s="83"/>
      <c r="AX271" s="83"/>
      <c r="BE271" s="83"/>
      <c r="BF271" s="405"/>
      <c r="BL271" s="83"/>
      <c r="BM271" s="405"/>
      <c r="BS271" s="83"/>
      <c r="BT271" s="405"/>
      <c r="BZ271" s="83"/>
      <c r="CA271" s="405"/>
      <c r="CG271" s="83"/>
    </row>
    <row r="272">
      <c r="B272" s="405"/>
      <c r="H272" s="83"/>
      <c r="I272" s="405"/>
      <c r="O272" s="83"/>
      <c r="P272" s="405"/>
      <c r="V272" s="83"/>
      <c r="W272" s="405"/>
      <c r="AC272" s="83"/>
      <c r="AD272" s="405"/>
      <c r="AJ272" s="83"/>
      <c r="AK272" s="405"/>
      <c r="AQ272" s="83"/>
      <c r="AX272" s="83"/>
      <c r="BE272" s="83"/>
      <c r="BF272" s="405"/>
      <c r="BL272" s="83"/>
      <c r="BM272" s="405"/>
      <c r="BS272" s="83"/>
      <c r="BT272" s="405"/>
      <c r="BZ272" s="83"/>
      <c r="CA272" s="405"/>
      <c r="CG272" s="83"/>
    </row>
    <row r="273">
      <c r="B273" s="405"/>
      <c r="H273" s="83"/>
      <c r="I273" s="405"/>
      <c r="O273" s="83"/>
      <c r="P273" s="405"/>
      <c r="V273" s="83"/>
      <c r="W273" s="405"/>
      <c r="AC273" s="83"/>
      <c r="AD273" s="405"/>
      <c r="AJ273" s="83"/>
      <c r="AK273" s="405"/>
      <c r="AQ273" s="83"/>
      <c r="AX273" s="83"/>
      <c r="BE273" s="83"/>
      <c r="BF273" s="405"/>
      <c r="BL273" s="83"/>
      <c r="BM273" s="405"/>
      <c r="BS273" s="83"/>
      <c r="BT273" s="405"/>
      <c r="BZ273" s="83"/>
      <c r="CA273" s="405"/>
      <c r="CG273" s="83"/>
    </row>
    <row r="274">
      <c r="B274" s="405"/>
      <c r="H274" s="83"/>
      <c r="I274" s="405"/>
      <c r="O274" s="83"/>
      <c r="P274" s="405"/>
      <c r="V274" s="83"/>
      <c r="W274" s="405"/>
      <c r="AC274" s="83"/>
      <c r="AD274" s="405"/>
      <c r="AJ274" s="83"/>
      <c r="AK274" s="405"/>
      <c r="AQ274" s="83"/>
      <c r="AX274" s="83"/>
      <c r="BE274" s="83"/>
      <c r="BF274" s="405"/>
      <c r="BL274" s="83"/>
      <c r="BM274" s="405"/>
      <c r="BS274" s="83"/>
      <c r="BT274" s="405"/>
      <c r="BZ274" s="83"/>
      <c r="CA274" s="405"/>
      <c r="CG274" s="83"/>
    </row>
    <row r="275">
      <c r="B275" s="405"/>
      <c r="H275" s="83"/>
      <c r="I275" s="405"/>
      <c r="O275" s="83"/>
      <c r="P275" s="405"/>
      <c r="V275" s="83"/>
      <c r="W275" s="405"/>
      <c r="AC275" s="83"/>
      <c r="AD275" s="405"/>
      <c r="AJ275" s="83"/>
      <c r="AK275" s="405"/>
      <c r="AQ275" s="83"/>
      <c r="AX275" s="83"/>
      <c r="BE275" s="83"/>
      <c r="BF275" s="405"/>
      <c r="BL275" s="83"/>
      <c r="BM275" s="405"/>
      <c r="BS275" s="83"/>
      <c r="BT275" s="405"/>
      <c r="BZ275" s="83"/>
      <c r="CA275" s="405"/>
      <c r="CG275" s="83"/>
    </row>
    <row r="276">
      <c r="B276" s="405"/>
      <c r="H276" s="83"/>
      <c r="I276" s="405"/>
      <c r="O276" s="83"/>
      <c r="P276" s="405"/>
      <c r="V276" s="83"/>
      <c r="W276" s="405"/>
      <c r="AC276" s="83"/>
      <c r="AD276" s="405"/>
      <c r="AJ276" s="83"/>
      <c r="AK276" s="405"/>
      <c r="AQ276" s="83"/>
      <c r="AX276" s="83"/>
      <c r="BE276" s="83"/>
      <c r="BF276" s="405"/>
      <c r="BL276" s="83"/>
      <c r="BM276" s="405"/>
      <c r="BS276" s="83"/>
      <c r="BT276" s="405"/>
      <c r="BZ276" s="83"/>
      <c r="CA276" s="405"/>
      <c r="CG276" s="83"/>
    </row>
    <row r="277">
      <c r="B277" s="405"/>
      <c r="H277" s="83"/>
      <c r="I277" s="405"/>
      <c r="O277" s="83"/>
      <c r="P277" s="405"/>
      <c r="V277" s="83"/>
      <c r="W277" s="405"/>
      <c r="AC277" s="83"/>
      <c r="AD277" s="405"/>
      <c r="AJ277" s="83"/>
      <c r="AK277" s="405"/>
      <c r="AQ277" s="83"/>
      <c r="AX277" s="83"/>
      <c r="BE277" s="83"/>
      <c r="BF277" s="405"/>
      <c r="BL277" s="83"/>
      <c r="BM277" s="405"/>
      <c r="BS277" s="83"/>
      <c r="BT277" s="405"/>
      <c r="BZ277" s="83"/>
      <c r="CA277" s="405"/>
      <c r="CG277" s="83"/>
    </row>
    <row r="278">
      <c r="B278" s="405"/>
      <c r="H278" s="83"/>
      <c r="I278" s="405"/>
      <c r="O278" s="83"/>
      <c r="P278" s="405"/>
      <c r="V278" s="83"/>
      <c r="W278" s="405"/>
      <c r="AC278" s="83"/>
      <c r="AD278" s="405"/>
      <c r="AJ278" s="83"/>
      <c r="AK278" s="405"/>
      <c r="AQ278" s="83"/>
      <c r="AX278" s="83"/>
      <c r="BE278" s="83"/>
      <c r="BF278" s="405"/>
      <c r="BL278" s="83"/>
      <c r="BM278" s="405"/>
      <c r="BS278" s="83"/>
      <c r="BT278" s="405"/>
      <c r="BZ278" s="83"/>
      <c r="CA278" s="405"/>
      <c r="CG278" s="83"/>
    </row>
    <row r="279">
      <c r="B279" s="405"/>
      <c r="H279" s="83"/>
      <c r="I279" s="405"/>
      <c r="O279" s="83"/>
      <c r="P279" s="405"/>
      <c r="V279" s="83"/>
      <c r="W279" s="405"/>
      <c r="AC279" s="83"/>
      <c r="AD279" s="405"/>
      <c r="AJ279" s="83"/>
      <c r="AK279" s="405"/>
      <c r="AQ279" s="83"/>
      <c r="AX279" s="83"/>
      <c r="BE279" s="83"/>
      <c r="BF279" s="405"/>
      <c r="BL279" s="83"/>
      <c r="BM279" s="405"/>
      <c r="BS279" s="83"/>
      <c r="BT279" s="405"/>
      <c r="BZ279" s="83"/>
      <c r="CA279" s="405"/>
      <c r="CG279" s="83"/>
    </row>
    <row r="280">
      <c r="B280" s="405"/>
      <c r="H280" s="83"/>
      <c r="I280" s="405"/>
      <c r="O280" s="83"/>
      <c r="P280" s="405"/>
      <c r="V280" s="83"/>
      <c r="W280" s="405"/>
      <c r="AC280" s="83"/>
      <c r="AD280" s="405"/>
      <c r="AJ280" s="83"/>
      <c r="AK280" s="405"/>
      <c r="AQ280" s="83"/>
      <c r="AX280" s="83"/>
      <c r="BE280" s="83"/>
      <c r="BF280" s="405"/>
      <c r="BL280" s="83"/>
      <c r="BM280" s="405"/>
      <c r="BS280" s="83"/>
      <c r="BT280" s="405"/>
      <c r="BZ280" s="83"/>
      <c r="CA280" s="405"/>
      <c r="CG280" s="83"/>
    </row>
    <row r="281">
      <c r="B281" s="405"/>
      <c r="H281" s="83"/>
      <c r="I281" s="405"/>
      <c r="O281" s="83"/>
      <c r="P281" s="405"/>
      <c r="V281" s="83"/>
      <c r="W281" s="405"/>
      <c r="AC281" s="83"/>
      <c r="AD281" s="405"/>
      <c r="AJ281" s="83"/>
      <c r="AK281" s="405"/>
      <c r="AQ281" s="83"/>
      <c r="AX281" s="83"/>
      <c r="BE281" s="83"/>
      <c r="BF281" s="405"/>
      <c r="BL281" s="83"/>
      <c r="BM281" s="405"/>
      <c r="BS281" s="83"/>
      <c r="BT281" s="405"/>
      <c r="BZ281" s="83"/>
      <c r="CA281" s="405"/>
      <c r="CG281" s="83"/>
    </row>
    <row r="282">
      <c r="B282" s="405"/>
      <c r="H282" s="83"/>
      <c r="I282" s="405"/>
      <c r="O282" s="83"/>
      <c r="P282" s="405"/>
      <c r="V282" s="83"/>
      <c r="W282" s="405"/>
      <c r="AC282" s="83"/>
      <c r="AD282" s="405"/>
      <c r="AJ282" s="83"/>
      <c r="AK282" s="405"/>
      <c r="AQ282" s="83"/>
      <c r="AX282" s="83"/>
      <c r="BE282" s="83"/>
      <c r="BF282" s="405"/>
      <c r="BL282" s="83"/>
      <c r="BM282" s="405"/>
      <c r="BS282" s="83"/>
      <c r="BT282" s="405"/>
      <c r="BZ282" s="83"/>
      <c r="CA282" s="405"/>
      <c r="CG282" s="83"/>
    </row>
    <row r="283">
      <c r="B283" s="405"/>
      <c r="H283" s="83"/>
      <c r="I283" s="405"/>
      <c r="O283" s="83"/>
      <c r="P283" s="405"/>
      <c r="V283" s="83"/>
      <c r="W283" s="405"/>
      <c r="AC283" s="83"/>
      <c r="AD283" s="405"/>
      <c r="AJ283" s="83"/>
      <c r="AK283" s="405"/>
      <c r="AQ283" s="83"/>
      <c r="AX283" s="83"/>
      <c r="BE283" s="83"/>
      <c r="BF283" s="405"/>
      <c r="BL283" s="83"/>
      <c r="BM283" s="405"/>
      <c r="BS283" s="83"/>
      <c r="BT283" s="405"/>
      <c r="BZ283" s="83"/>
      <c r="CA283" s="405"/>
      <c r="CG283" s="83"/>
    </row>
    <row r="284">
      <c r="B284" s="405"/>
      <c r="H284" s="83"/>
      <c r="I284" s="405"/>
      <c r="O284" s="83"/>
      <c r="P284" s="405"/>
      <c r="V284" s="83"/>
      <c r="W284" s="405"/>
      <c r="AC284" s="83"/>
      <c r="AD284" s="405"/>
      <c r="AJ284" s="83"/>
      <c r="AK284" s="405"/>
      <c r="AQ284" s="83"/>
      <c r="AX284" s="83"/>
      <c r="BE284" s="83"/>
      <c r="BF284" s="405"/>
      <c r="BL284" s="83"/>
      <c r="BM284" s="405"/>
      <c r="BS284" s="83"/>
      <c r="BT284" s="405"/>
      <c r="BZ284" s="83"/>
      <c r="CA284" s="405"/>
      <c r="CG284" s="83"/>
    </row>
    <row r="285">
      <c r="B285" s="405"/>
      <c r="H285" s="83"/>
      <c r="I285" s="405"/>
      <c r="O285" s="83"/>
      <c r="P285" s="405"/>
      <c r="V285" s="83"/>
      <c r="W285" s="405"/>
      <c r="AC285" s="83"/>
      <c r="AD285" s="405"/>
      <c r="AJ285" s="83"/>
      <c r="AK285" s="405"/>
      <c r="AQ285" s="83"/>
      <c r="AX285" s="83"/>
      <c r="BE285" s="83"/>
      <c r="BF285" s="405"/>
      <c r="BL285" s="83"/>
      <c r="BM285" s="405"/>
      <c r="BS285" s="83"/>
      <c r="BT285" s="405"/>
      <c r="BZ285" s="83"/>
      <c r="CA285" s="405"/>
      <c r="CG285" s="83"/>
    </row>
    <row r="286">
      <c r="B286" s="405"/>
      <c r="H286" s="83"/>
      <c r="I286" s="405"/>
      <c r="O286" s="83"/>
      <c r="P286" s="405"/>
      <c r="V286" s="83"/>
      <c r="W286" s="405"/>
      <c r="AC286" s="83"/>
      <c r="AD286" s="405"/>
      <c r="AJ286" s="83"/>
      <c r="AK286" s="405"/>
      <c r="AQ286" s="83"/>
      <c r="AX286" s="83"/>
      <c r="BE286" s="83"/>
      <c r="BF286" s="405"/>
      <c r="BL286" s="83"/>
      <c r="BM286" s="405"/>
      <c r="BS286" s="83"/>
      <c r="BT286" s="405"/>
      <c r="BZ286" s="83"/>
      <c r="CA286" s="405"/>
      <c r="CG286" s="83"/>
    </row>
    <row r="287">
      <c r="B287" s="405"/>
      <c r="H287" s="83"/>
      <c r="I287" s="405"/>
      <c r="O287" s="83"/>
      <c r="P287" s="405"/>
      <c r="V287" s="83"/>
      <c r="W287" s="405"/>
      <c r="AC287" s="83"/>
      <c r="AD287" s="405"/>
      <c r="AJ287" s="83"/>
      <c r="AK287" s="405"/>
      <c r="AQ287" s="83"/>
      <c r="AX287" s="83"/>
      <c r="BE287" s="83"/>
      <c r="BF287" s="405"/>
      <c r="BL287" s="83"/>
      <c r="BM287" s="405"/>
      <c r="BS287" s="83"/>
      <c r="BT287" s="405"/>
      <c r="BZ287" s="83"/>
      <c r="CA287" s="405"/>
      <c r="CG287" s="83"/>
    </row>
    <row r="288">
      <c r="B288" s="405"/>
      <c r="H288" s="83"/>
      <c r="I288" s="405"/>
      <c r="O288" s="83"/>
      <c r="P288" s="405"/>
      <c r="V288" s="83"/>
      <c r="W288" s="405"/>
      <c r="AC288" s="83"/>
      <c r="AD288" s="405"/>
      <c r="AJ288" s="83"/>
      <c r="AK288" s="405"/>
      <c r="AQ288" s="83"/>
      <c r="AX288" s="83"/>
      <c r="BE288" s="83"/>
      <c r="BF288" s="405"/>
      <c r="BL288" s="83"/>
      <c r="BM288" s="405"/>
      <c r="BS288" s="83"/>
      <c r="BT288" s="405"/>
      <c r="BZ288" s="83"/>
      <c r="CA288" s="405"/>
      <c r="CG288" s="83"/>
    </row>
    <row r="289">
      <c r="B289" s="405"/>
      <c r="H289" s="83"/>
      <c r="I289" s="405"/>
      <c r="O289" s="83"/>
      <c r="P289" s="405"/>
      <c r="V289" s="83"/>
      <c r="W289" s="405"/>
      <c r="AC289" s="83"/>
      <c r="AD289" s="405"/>
      <c r="AJ289" s="83"/>
      <c r="AK289" s="405"/>
      <c r="AQ289" s="83"/>
      <c r="AX289" s="83"/>
      <c r="BE289" s="83"/>
      <c r="BF289" s="405"/>
      <c r="BL289" s="83"/>
      <c r="BM289" s="405"/>
      <c r="BS289" s="83"/>
      <c r="BT289" s="405"/>
      <c r="BZ289" s="83"/>
      <c r="CA289" s="405"/>
      <c r="CG289" s="83"/>
    </row>
    <row r="290">
      <c r="B290" s="405"/>
      <c r="H290" s="83"/>
      <c r="I290" s="405"/>
      <c r="O290" s="83"/>
      <c r="P290" s="405"/>
      <c r="V290" s="83"/>
      <c r="W290" s="405"/>
      <c r="AC290" s="83"/>
      <c r="AD290" s="405"/>
      <c r="AJ290" s="83"/>
      <c r="AK290" s="405"/>
      <c r="AQ290" s="83"/>
      <c r="AX290" s="83"/>
      <c r="BE290" s="83"/>
      <c r="BF290" s="405"/>
      <c r="BL290" s="83"/>
      <c r="BM290" s="405"/>
      <c r="BS290" s="83"/>
      <c r="BT290" s="405"/>
      <c r="BZ290" s="83"/>
      <c r="CA290" s="405"/>
      <c r="CG290" s="83"/>
    </row>
    <row r="291">
      <c r="B291" s="405"/>
      <c r="H291" s="83"/>
      <c r="I291" s="405"/>
      <c r="O291" s="83"/>
      <c r="P291" s="405"/>
      <c r="V291" s="83"/>
      <c r="W291" s="405"/>
      <c r="AC291" s="83"/>
      <c r="AD291" s="405"/>
      <c r="AJ291" s="83"/>
      <c r="AK291" s="405"/>
      <c r="AQ291" s="83"/>
      <c r="AX291" s="83"/>
      <c r="BE291" s="83"/>
      <c r="BF291" s="405"/>
      <c r="BL291" s="83"/>
      <c r="BM291" s="405"/>
      <c r="BS291" s="83"/>
      <c r="BT291" s="405"/>
      <c r="BZ291" s="83"/>
      <c r="CA291" s="405"/>
      <c r="CG291" s="83"/>
    </row>
    <row r="292">
      <c r="B292" s="405"/>
      <c r="H292" s="83"/>
      <c r="I292" s="405"/>
      <c r="O292" s="83"/>
      <c r="P292" s="405"/>
      <c r="V292" s="83"/>
      <c r="W292" s="405"/>
      <c r="AC292" s="83"/>
      <c r="AD292" s="405"/>
      <c r="AJ292" s="83"/>
      <c r="AK292" s="405"/>
      <c r="AQ292" s="83"/>
      <c r="AX292" s="83"/>
      <c r="BE292" s="83"/>
      <c r="BF292" s="405"/>
      <c r="BL292" s="83"/>
      <c r="BM292" s="405"/>
      <c r="BS292" s="83"/>
      <c r="BT292" s="405"/>
      <c r="BZ292" s="83"/>
      <c r="CA292" s="405"/>
      <c r="CG292" s="83"/>
    </row>
    <row r="293">
      <c r="B293" s="405"/>
      <c r="H293" s="83"/>
      <c r="I293" s="405"/>
      <c r="O293" s="83"/>
      <c r="P293" s="405"/>
      <c r="V293" s="83"/>
      <c r="W293" s="405"/>
      <c r="AC293" s="83"/>
      <c r="AD293" s="405"/>
      <c r="AJ293" s="83"/>
      <c r="AK293" s="405"/>
      <c r="AQ293" s="83"/>
      <c r="AX293" s="83"/>
      <c r="BE293" s="83"/>
      <c r="BF293" s="405"/>
      <c r="BL293" s="83"/>
      <c r="BM293" s="405"/>
      <c r="BS293" s="83"/>
      <c r="BT293" s="405"/>
      <c r="BZ293" s="83"/>
      <c r="CA293" s="405"/>
      <c r="CG293" s="83"/>
    </row>
    <row r="294">
      <c r="B294" s="405"/>
      <c r="H294" s="83"/>
      <c r="I294" s="405"/>
      <c r="O294" s="83"/>
      <c r="P294" s="405"/>
      <c r="V294" s="83"/>
      <c r="W294" s="405"/>
      <c r="AC294" s="83"/>
      <c r="AD294" s="405"/>
      <c r="AJ294" s="83"/>
      <c r="AK294" s="405"/>
      <c r="AQ294" s="83"/>
      <c r="AX294" s="83"/>
      <c r="BE294" s="83"/>
      <c r="BF294" s="405"/>
      <c r="BL294" s="83"/>
      <c r="BM294" s="405"/>
      <c r="BS294" s="83"/>
      <c r="BT294" s="405"/>
      <c r="BZ294" s="83"/>
      <c r="CA294" s="405"/>
      <c r="CG294" s="83"/>
    </row>
    <row r="295">
      <c r="B295" s="405"/>
      <c r="H295" s="83"/>
      <c r="I295" s="405"/>
      <c r="O295" s="83"/>
      <c r="P295" s="405"/>
      <c r="V295" s="83"/>
      <c r="W295" s="405"/>
      <c r="AC295" s="83"/>
      <c r="AD295" s="405"/>
      <c r="AJ295" s="83"/>
      <c r="AK295" s="405"/>
      <c r="AQ295" s="83"/>
      <c r="AX295" s="83"/>
      <c r="BE295" s="83"/>
      <c r="BF295" s="405"/>
      <c r="BL295" s="83"/>
      <c r="BM295" s="405"/>
      <c r="BS295" s="83"/>
      <c r="BT295" s="405"/>
      <c r="BZ295" s="83"/>
      <c r="CA295" s="405"/>
      <c r="CG295" s="83"/>
    </row>
    <row r="296">
      <c r="B296" s="405"/>
      <c r="H296" s="83"/>
      <c r="I296" s="405"/>
      <c r="O296" s="83"/>
      <c r="P296" s="405"/>
      <c r="V296" s="83"/>
      <c r="W296" s="405"/>
      <c r="AC296" s="83"/>
      <c r="AD296" s="405"/>
      <c r="AJ296" s="83"/>
      <c r="AK296" s="405"/>
      <c r="AQ296" s="83"/>
      <c r="AX296" s="83"/>
      <c r="BE296" s="83"/>
      <c r="BF296" s="405"/>
      <c r="BL296" s="83"/>
      <c r="BM296" s="405"/>
      <c r="BS296" s="83"/>
      <c r="BT296" s="405"/>
      <c r="BZ296" s="83"/>
      <c r="CA296" s="405"/>
      <c r="CG296" s="83"/>
    </row>
    <row r="297">
      <c r="B297" s="405"/>
      <c r="H297" s="83"/>
      <c r="I297" s="405"/>
      <c r="O297" s="83"/>
      <c r="P297" s="405"/>
      <c r="V297" s="83"/>
      <c r="W297" s="405"/>
      <c r="AC297" s="83"/>
      <c r="AD297" s="405"/>
      <c r="AJ297" s="83"/>
      <c r="AK297" s="405"/>
      <c r="AQ297" s="83"/>
      <c r="AX297" s="83"/>
      <c r="BE297" s="83"/>
      <c r="BF297" s="405"/>
      <c r="BL297" s="83"/>
      <c r="BM297" s="405"/>
      <c r="BS297" s="83"/>
      <c r="BT297" s="405"/>
      <c r="BZ297" s="83"/>
      <c r="CA297" s="405"/>
      <c r="CG297" s="83"/>
    </row>
    <row r="298">
      <c r="B298" s="405"/>
      <c r="H298" s="83"/>
      <c r="I298" s="405"/>
      <c r="O298" s="83"/>
      <c r="P298" s="405"/>
      <c r="V298" s="83"/>
      <c r="W298" s="405"/>
      <c r="AC298" s="83"/>
      <c r="AD298" s="405"/>
      <c r="AJ298" s="83"/>
      <c r="AK298" s="405"/>
      <c r="AQ298" s="83"/>
      <c r="AX298" s="83"/>
      <c r="BE298" s="83"/>
      <c r="BF298" s="405"/>
      <c r="BL298" s="83"/>
      <c r="BM298" s="405"/>
      <c r="BS298" s="83"/>
      <c r="BT298" s="405"/>
      <c r="BZ298" s="83"/>
      <c r="CA298" s="405"/>
      <c r="CG298" s="83"/>
    </row>
    <row r="299">
      <c r="B299" s="405"/>
      <c r="H299" s="83"/>
      <c r="I299" s="405"/>
      <c r="O299" s="83"/>
      <c r="P299" s="405"/>
      <c r="V299" s="83"/>
      <c r="W299" s="405"/>
      <c r="AC299" s="83"/>
      <c r="AD299" s="405"/>
      <c r="AJ299" s="83"/>
      <c r="AK299" s="405"/>
      <c r="AQ299" s="83"/>
      <c r="AX299" s="83"/>
      <c r="BE299" s="83"/>
      <c r="BF299" s="405"/>
      <c r="BL299" s="83"/>
      <c r="BM299" s="405"/>
      <c r="BS299" s="83"/>
      <c r="BT299" s="405"/>
      <c r="BZ299" s="83"/>
      <c r="CA299" s="405"/>
      <c r="CG299" s="83"/>
    </row>
    <row r="300">
      <c r="B300" s="405"/>
      <c r="H300" s="83"/>
      <c r="I300" s="405"/>
      <c r="O300" s="83"/>
      <c r="P300" s="405"/>
      <c r="V300" s="83"/>
      <c r="W300" s="405"/>
      <c r="AC300" s="83"/>
      <c r="AD300" s="405"/>
      <c r="AJ300" s="83"/>
      <c r="AK300" s="405"/>
      <c r="AQ300" s="83"/>
      <c r="AX300" s="83"/>
      <c r="BE300" s="83"/>
      <c r="BF300" s="405"/>
      <c r="BL300" s="83"/>
      <c r="BM300" s="405"/>
      <c r="BS300" s="83"/>
      <c r="BT300" s="405"/>
      <c r="BZ300" s="83"/>
      <c r="CA300" s="405"/>
      <c r="CG300" s="83"/>
    </row>
    <row r="301">
      <c r="B301" s="405"/>
      <c r="H301" s="83"/>
      <c r="I301" s="405"/>
      <c r="O301" s="83"/>
      <c r="P301" s="405"/>
      <c r="V301" s="83"/>
      <c r="W301" s="405"/>
      <c r="AC301" s="83"/>
      <c r="AD301" s="405"/>
      <c r="AJ301" s="83"/>
      <c r="AK301" s="405"/>
      <c r="AQ301" s="83"/>
      <c r="AX301" s="83"/>
      <c r="BE301" s="83"/>
      <c r="BF301" s="405"/>
      <c r="BL301" s="83"/>
      <c r="BM301" s="405"/>
      <c r="BS301" s="83"/>
      <c r="BT301" s="405"/>
      <c r="BZ301" s="83"/>
      <c r="CA301" s="405"/>
      <c r="CG301" s="83"/>
    </row>
    <row r="302">
      <c r="B302" s="405"/>
      <c r="H302" s="83"/>
      <c r="I302" s="405"/>
      <c r="O302" s="83"/>
      <c r="P302" s="405"/>
      <c r="V302" s="83"/>
      <c r="W302" s="405"/>
      <c r="AC302" s="83"/>
      <c r="AD302" s="405"/>
      <c r="AJ302" s="83"/>
      <c r="AK302" s="405"/>
      <c r="AQ302" s="83"/>
      <c r="AX302" s="83"/>
      <c r="BE302" s="83"/>
      <c r="BF302" s="405"/>
      <c r="BL302" s="83"/>
      <c r="BM302" s="405"/>
      <c r="BS302" s="83"/>
      <c r="BT302" s="405"/>
      <c r="BZ302" s="83"/>
      <c r="CA302" s="405"/>
      <c r="CG302" s="83"/>
    </row>
    <row r="303">
      <c r="B303" s="405"/>
      <c r="H303" s="83"/>
      <c r="I303" s="405"/>
      <c r="O303" s="83"/>
      <c r="P303" s="405"/>
      <c r="V303" s="83"/>
      <c r="W303" s="405"/>
      <c r="AC303" s="83"/>
      <c r="AD303" s="405"/>
      <c r="AJ303" s="83"/>
      <c r="AK303" s="405"/>
      <c r="AQ303" s="83"/>
      <c r="AX303" s="83"/>
      <c r="BE303" s="83"/>
      <c r="BF303" s="405"/>
      <c r="BL303" s="83"/>
      <c r="BM303" s="405"/>
      <c r="BS303" s="83"/>
      <c r="BT303" s="405"/>
      <c r="BZ303" s="83"/>
      <c r="CA303" s="405"/>
      <c r="CG303" s="83"/>
    </row>
    <row r="304">
      <c r="B304" s="405"/>
      <c r="H304" s="83"/>
      <c r="I304" s="405"/>
      <c r="O304" s="83"/>
      <c r="P304" s="405"/>
      <c r="V304" s="83"/>
      <c r="W304" s="405"/>
      <c r="AC304" s="83"/>
      <c r="AD304" s="405"/>
      <c r="AJ304" s="83"/>
      <c r="AK304" s="405"/>
      <c r="AQ304" s="83"/>
      <c r="AX304" s="83"/>
      <c r="BE304" s="83"/>
      <c r="BF304" s="405"/>
      <c r="BL304" s="83"/>
      <c r="BM304" s="405"/>
      <c r="BS304" s="83"/>
      <c r="BT304" s="405"/>
      <c r="BZ304" s="83"/>
      <c r="CA304" s="405"/>
      <c r="CG304" s="83"/>
    </row>
    <row r="305">
      <c r="B305" s="405"/>
      <c r="H305" s="83"/>
      <c r="I305" s="405"/>
      <c r="O305" s="83"/>
      <c r="P305" s="405"/>
      <c r="V305" s="83"/>
      <c r="W305" s="405"/>
      <c r="AC305" s="83"/>
      <c r="AD305" s="405"/>
      <c r="AJ305" s="83"/>
      <c r="AK305" s="405"/>
      <c r="AQ305" s="83"/>
      <c r="AX305" s="83"/>
      <c r="BE305" s="83"/>
      <c r="BF305" s="405"/>
      <c r="BL305" s="83"/>
      <c r="BM305" s="405"/>
      <c r="BS305" s="83"/>
      <c r="BT305" s="405"/>
      <c r="BZ305" s="83"/>
      <c r="CA305" s="405"/>
      <c r="CG305" s="83"/>
    </row>
    <row r="306">
      <c r="B306" s="405"/>
      <c r="H306" s="83"/>
      <c r="I306" s="405"/>
      <c r="O306" s="83"/>
      <c r="P306" s="405"/>
      <c r="V306" s="83"/>
      <c r="W306" s="405"/>
      <c r="AC306" s="83"/>
      <c r="AD306" s="405"/>
      <c r="AJ306" s="83"/>
      <c r="AK306" s="405"/>
      <c r="AQ306" s="83"/>
      <c r="AX306" s="83"/>
      <c r="BE306" s="83"/>
      <c r="BF306" s="405"/>
      <c r="BL306" s="83"/>
      <c r="BM306" s="405"/>
      <c r="BS306" s="83"/>
      <c r="BT306" s="405"/>
      <c r="BZ306" s="83"/>
      <c r="CA306" s="405"/>
      <c r="CG306" s="83"/>
    </row>
    <row r="307">
      <c r="B307" s="405"/>
      <c r="H307" s="83"/>
      <c r="I307" s="405"/>
      <c r="O307" s="83"/>
      <c r="P307" s="405"/>
      <c r="V307" s="83"/>
      <c r="W307" s="405"/>
      <c r="AC307" s="83"/>
      <c r="AD307" s="405"/>
      <c r="AJ307" s="83"/>
      <c r="AK307" s="405"/>
      <c r="AQ307" s="83"/>
      <c r="AX307" s="83"/>
      <c r="BE307" s="83"/>
      <c r="BF307" s="405"/>
      <c r="BL307" s="83"/>
      <c r="BM307" s="405"/>
      <c r="BS307" s="83"/>
      <c r="BT307" s="405"/>
      <c r="BZ307" s="83"/>
      <c r="CA307" s="405"/>
      <c r="CG307" s="83"/>
    </row>
    <row r="308">
      <c r="B308" s="405"/>
      <c r="H308" s="83"/>
      <c r="I308" s="405"/>
      <c r="O308" s="83"/>
      <c r="P308" s="405"/>
      <c r="V308" s="83"/>
      <c r="W308" s="405"/>
      <c r="AC308" s="83"/>
      <c r="AD308" s="405"/>
      <c r="AJ308" s="83"/>
      <c r="AK308" s="405"/>
      <c r="AQ308" s="83"/>
      <c r="AX308" s="83"/>
      <c r="BE308" s="83"/>
      <c r="BF308" s="405"/>
      <c r="BL308" s="83"/>
      <c r="BM308" s="405"/>
      <c r="BS308" s="83"/>
      <c r="BT308" s="405"/>
      <c r="BZ308" s="83"/>
      <c r="CA308" s="405"/>
      <c r="CG308" s="83"/>
    </row>
    <row r="309">
      <c r="B309" s="405"/>
      <c r="H309" s="83"/>
      <c r="I309" s="405"/>
      <c r="O309" s="83"/>
      <c r="P309" s="405"/>
      <c r="V309" s="83"/>
      <c r="W309" s="405"/>
      <c r="AC309" s="83"/>
      <c r="AD309" s="405"/>
      <c r="AJ309" s="83"/>
      <c r="AK309" s="405"/>
      <c r="AQ309" s="83"/>
      <c r="AX309" s="83"/>
      <c r="BE309" s="83"/>
      <c r="BF309" s="405"/>
      <c r="BL309" s="83"/>
      <c r="BM309" s="405"/>
      <c r="BS309" s="83"/>
      <c r="BT309" s="405"/>
      <c r="BZ309" s="83"/>
      <c r="CA309" s="405"/>
      <c r="CG309" s="83"/>
    </row>
    <row r="310">
      <c r="B310" s="405"/>
      <c r="H310" s="83"/>
      <c r="I310" s="405"/>
      <c r="O310" s="83"/>
      <c r="P310" s="405"/>
      <c r="V310" s="83"/>
      <c r="W310" s="405"/>
      <c r="AC310" s="83"/>
      <c r="AD310" s="405"/>
      <c r="AJ310" s="83"/>
      <c r="AK310" s="405"/>
      <c r="AQ310" s="83"/>
      <c r="AX310" s="83"/>
      <c r="BE310" s="83"/>
      <c r="BF310" s="405"/>
      <c r="BL310" s="83"/>
      <c r="BM310" s="405"/>
      <c r="BS310" s="83"/>
      <c r="BT310" s="405"/>
      <c r="BZ310" s="83"/>
      <c r="CA310" s="405"/>
      <c r="CG310" s="83"/>
    </row>
    <row r="311">
      <c r="B311" s="405"/>
      <c r="H311" s="83"/>
      <c r="I311" s="405"/>
      <c r="O311" s="83"/>
      <c r="P311" s="405"/>
      <c r="V311" s="83"/>
      <c r="W311" s="405"/>
      <c r="AC311" s="83"/>
      <c r="AD311" s="405"/>
      <c r="AJ311" s="83"/>
      <c r="AK311" s="405"/>
      <c r="AQ311" s="83"/>
      <c r="AX311" s="83"/>
      <c r="BE311" s="83"/>
      <c r="BF311" s="405"/>
      <c r="BL311" s="83"/>
      <c r="BM311" s="405"/>
      <c r="BS311" s="83"/>
      <c r="BT311" s="405"/>
      <c r="BZ311" s="83"/>
      <c r="CA311" s="405"/>
      <c r="CG311" s="83"/>
    </row>
    <row r="312">
      <c r="B312" s="405"/>
      <c r="H312" s="83"/>
      <c r="I312" s="405"/>
      <c r="O312" s="83"/>
      <c r="P312" s="405"/>
      <c r="V312" s="83"/>
      <c r="W312" s="405"/>
      <c r="AC312" s="83"/>
      <c r="AD312" s="405"/>
      <c r="AJ312" s="83"/>
      <c r="AK312" s="405"/>
      <c r="AQ312" s="83"/>
      <c r="AX312" s="83"/>
      <c r="BE312" s="83"/>
      <c r="BF312" s="405"/>
      <c r="BL312" s="83"/>
      <c r="BM312" s="405"/>
      <c r="BS312" s="83"/>
      <c r="BT312" s="405"/>
      <c r="BZ312" s="83"/>
      <c r="CA312" s="405"/>
      <c r="CG312" s="83"/>
    </row>
    <row r="313">
      <c r="B313" s="405"/>
      <c r="H313" s="83"/>
      <c r="I313" s="405"/>
      <c r="O313" s="83"/>
      <c r="P313" s="405"/>
      <c r="V313" s="83"/>
      <c r="W313" s="405"/>
      <c r="AC313" s="83"/>
      <c r="AD313" s="405"/>
      <c r="AJ313" s="83"/>
      <c r="AK313" s="405"/>
      <c r="AQ313" s="83"/>
      <c r="AX313" s="83"/>
      <c r="BE313" s="83"/>
      <c r="BF313" s="405"/>
      <c r="BL313" s="83"/>
      <c r="BM313" s="405"/>
      <c r="BS313" s="83"/>
      <c r="BT313" s="405"/>
      <c r="BZ313" s="83"/>
      <c r="CA313" s="405"/>
      <c r="CG313" s="83"/>
    </row>
    <row r="314">
      <c r="B314" s="405"/>
      <c r="H314" s="83"/>
      <c r="I314" s="405"/>
      <c r="O314" s="83"/>
      <c r="P314" s="405"/>
      <c r="V314" s="83"/>
      <c r="W314" s="405"/>
      <c r="AC314" s="83"/>
      <c r="AD314" s="405"/>
      <c r="AJ314" s="83"/>
      <c r="AK314" s="405"/>
      <c r="AQ314" s="83"/>
      <c r="AX314" s="83"/>
      <c r="BE314" s="83"/>
      <c r="BF314" s="405"/>
      <c r="BL314" s="83"/>
      <c r="BM314" s="405"/>
      <c r="BS314" s="83"/>
      <c r="BT314" s="405"/>
      <c r="BZ314" s="83"/>
      <c r="CA314" s="405"/>
      <c r="CG314" s="83"/>
    </row>
    <row r="315">
      <c r="B315" s="405"/>
      <c r="H315" s="83"/>
      <c r="I315" s="405"/>
      <c r="O315" s="83"/>
      <c r="P315" s="405"/>
      <c r="V315" s="83"/>
      <c r="W315" s="405"/>
      <c r="AC315" s="83"/>
      <c r="AD315" s="405"/>
      <c r="AJ315" s="83"/>
      <c r="AK315" s="405"/>
      <c r="AQ315" s="83"/>
      <c r="AX315" s="83"/>
      <c r="BE315" s="83"/>
      <c r="BF315" s="405"/>
      <c r="BL315" s="83"/>
      <c r="BM315" s="405"/>
      <c r="BS315" s="83"/>
      <c r="BT315" s="405"/>
      <c r="BZ315" s="83"/>
      <c r="CA315" s="405"/>
      <c r="CG315" s="83"/>
    </row>
    <row r="316">
      <c r="B316" s="405"/>
      <c r="H316" s="83"/>
      <c r="I316" s="405"/>
      <c r="O316" s="83"/>
      <c r="P316" s="405"/>
      <c r="V316" s="83"/>
      <c r="W316" s="405"/>
      <c r="AC316" s="83"/>
      <c r="AD316" s="405"/>
      <c r="AJ316" s="83"/>
      <c r="AK316" s="405"/>
      <c r="AQ316" s="83"/>
      <c r="AX316" s="83"/>
      <c r="BE316" s="83"/>
      <c r="BF316" s="405"/>
      <c r="BL316" s="83"/>
      <c r="BM316" s="405"/>
      <c r="BS316" s="83"/>
      <c r="BT316" s="405"/>
      <c r="BZ316" s="83"/>
      <c r="CA316" s="405"/>
      <c r="CG316" s="83"/>
    </row>
    <row r="317">
      <c r="B317" s="405"/>
      <c r="H317" s="83"/>
      <c r="I317" s="405"/>
      <c r="O317" s="83"/>
      <c r="P317" s="405"/>
      <c r="V317" s="83"/>
      <c r="W317" s="405"/>
      <c r="AC317" s="83"/>
      <c r="AD317" s="405"/>
      <c r="AJ317" s="83"/>
      <c r="AK317" s="405"/>
      <c r="AQ317" s="83"/>
      <c r="AX317" s="83"/>
      <c r="BE317" s="83"/>
      <c r="BF317" s="405"/>
      <c r="BL317" s="83"/>
      <c r="BM317" s="405"/>
      <c r="BS317" s="83"/>
      <c r="BT317" s="405"/>
      <c r="BZ317" s="83"/>
      <c r="CA317" s="405"/>
      <c r="CG317" s="83"/>
    </row>
    <row r="318">
      <c r="B318" s="405"/>
      <c r="H318" s="83"/>
      <c r="I318" s="405"/>
      <c r="O318" s="83"/>
      <c r="P318" s="405"/>
      <c r="V318" s="83"/>
      <c r="W318" s="405"/>
      <c r="AC318" s="83"/>
      <c r="AD318" s="405"/>
      <c r="AJ318" s="83"/>
      <c r="AK318" s="405"/>
      <c r="AQ318" s="83"/>
      <c r="AX318" s="83"/>
      <c r="BE318" s="83"/>
      <c r="BF318" s="405"/>
      <c r="BL318" s="83"/>
      <c r="BM318" s="405"/>
      <c r="BS318" s="83"/>
      <c r="BT318" s="405"/>
      <c r="BZ318" s="83"/>
      <c r="CA318" s="405"/>
      <c r="CG318" s="83"/>
    </row>
    <row r="319">
      <c r="B319" s="405"/>
      <c r="H319" s="83"/>
      <c r="I319" s="405"/>
      <c r="O319" s="83"/>
      <c r="P319" s="405"/>
      <c r="V319" s="83"/>
      <c r="W319" s="405"/>
      <c r="AC319" s="83"/>
      <c r="AD319" s="405"/>
      <c r="AJ319" s="83"/>
      <c r="AK319" s="405"/>
      <c r="AQ319" s="83"/>
      <c r="AX319" s="83"/>
      <c r="BE319" s="83"/>
      <c r="BF319" s="405"/>
      <c r="BL319" s="83"/>
      <c r="BM319" s="405"/>
      <c r="BS319" s="83"/>
      <c r="BT319" s="405"/>
      <c r="BZ319" s="83"/>
      <c r="CA319" s="405"/>
      <c r="CG319" s="83"/>
    </row>
    <row r="320">
      <c r="B320" s="405"/>
      <c r="H320" s="83"/>
      <c r="I320" s="405"/>
      <c r="O320" s="83"/>
      <c r="P320" s="405"/>
      <c r="V320" s="83"/>
      <c r="W320" s="405"/>
      <c r="AC320" s="83"/>
      <c r="AD320" s="405"/>
      <c r="AJ320" s="83"/>
      <c r="AK320" s="405"/>
      <c r="AQ320" s="83"/>
      <c r="AX320" s="83"/>
      <c r="BE320" s="83"/>
      <c r="BF320" s="405"/>
      <c r="BL320" s="83"/>
      <c r="BM320" s="405"/>
      <c r="BS320" s="83"/>
      <c r="BT320" s="405"/>
      <c r="BZ320" s="83"/>
      <c r="CA320" s="405"/>
      <c r="CG320" s="83"/>
    </row>
    <row r="321">
      <c r="B321" s="405"/>
      <c r="H321" s="83"/>
      <c r="I321" s="405"/>
      <c r="O321" s="83"/>
      <c r="P321" s="405"/>
      <c r="V321" s="83"/>
      <c r="W321" s="405"/>
      <c r="AC321" s="83"/>
      <c r="AD321" s="405"/>
      <c r="AJ321" s="83"/>
      <c r="AK321" s="405"/>
      <c r="AQ321" s="83"/>
      <c r="AX321" s="83"/>
      <c r="BE321" s="83"/>
      <c r="BF321" s="405"/>
      <c r="BL321" s="83"/>
      <c r="BM321" s="405"/>
      <c r="BS321" s="83"/>
      <c r="BT321" s="405"/>
      <c r="BZ321" s="83"/>
      <c r="CA321" s="405"/>
      <c r="CG321" s="83"/>
    </row>
    <row r="322">
      <c r="B322" s="405"/>
      <c r="H322" s="83"/>
      <c r="I322" s="405"/>
      <c r="O322" s="83"/>
      <c r="P322" s="405"/>
      <c r="V322" s="83"/>
      <c r="W322" s="405"/>
      <c r="AC322" s="83"/>
      <c r="AD322" s="405"/>
      <c r="AJ322" s="83"/>
      <c r="AK322" s="405"/>
      <c r="AQ322" s="83"/>
      <c r="AX322" s="83"/>
      <c r="BE322" s="83"/>
      <c r="BF322" s="405"/>
      <c r="BL322" s="83"/>
      <c r="BM322" s="405"/>
      <c r="BS322" s="83"/>
      <c r="BT322" s="405"/>
      <c r="BZ322" s="83"/>
      <c r="CA322" s="405"/>
      <c r="CG322" s="83"/>
    </row>
    <row r="323">
      <c r="B323" s="405"/>
      <c r="H323" s="83"/>
      <c r="I323" s="405"/>
      <c r="O323" s="83"/>
      <c r="P323" s="405"/>
      <c r="V323" s="83"/>
      <c r="W323" s="405"/>
      <c r="AC323" s="83"/>
      <c r="AD323" s="405"/>
      <c r="AJ323" s="83"/>
      <c r="AK323" s="405"/>
      <c r="AQ323" s="83"/>
      <c r="AX323" s="83"/>
      <c r="BE323" s="83"/>
      <c r="BF323" s="405"/>
      <c r="BL323" s="83"/>
      <c r="BM323" s="405"/>
      <c r="BS323" s="83"/>
      <c r="BT323" s="405"/>
      <c r="BZ323" s="83"/>
      <c r="CA323" s="405"/>
      <c r="CG323" s="83"/>
    </row>
    <row r="324">
      <c r="B324" s="405"/>
      <c r="H324" s="83"/>
      <c r="I324" s="405"/>
      <c r="O324" s="83"/>
      <c r="P324" s="405"/>
      <c r="V324" s="83"/>
      <c r="W324" s="405"/>
      <c r="AC324" s="83"/>
      <c r="AD324" s="405"/>
      <c r="AJ324" s="83"/>
      <c r="AK324" s="405"/>
      <c r="AQ324" s="83"/>
      <c r="AX324" s="83"/>
      <c r="BE324" s="83"/>
      <c r="BF324" s="405"/>
      <c r="BL324" s="83"/>
      <c r="BM324" s="405"/>
      <c r="BS324" s="83"/>
      <c r="BT324" s="405"/>
      <c r="BZ324" s="83"/>
      <c r="CA324" s="405"/>
      <c r="CG324" s="83"/>
    </row>
    <row r="325">
      <c r="B325" s="405"/>
      <c r="H325" s="83"/>
      <c r="I325" s="405"/>
      <c r="O325" s="83"/>
      <c r="P325" s="405"/>
      <c r="V325" s="83"/>
      <c r="W325" s="405"/>
      <c r="AC325" s="83"/>
      <c r="AD325" s="405"/>
      <c r="AJ325" s="83"/>
      <c r="AK325" s="405"/>
      <c r="AQ325" s="83"/>
      <c r="AX325" s="83"/>
      <c r="BE325" s="83"/>
      <c r="BF325" s="405"/>
      <c r="BL325" s="83"/>
      <c r="BM325" s="405"/>
      <c r="BS325" s="83"/>
      <c r="BT325" s="405"/>
      <c r="BZ325" s="83"/>
      <c r="CA325" s="405"/>
      <c r="CG325" s="83"/>
    </row>
    <row r="326">
      <c r="B326" s="405"/>
      <c r="H326" s="83"/>
      <c r="I326" s="405"/>
      <c r="O326" s="83"/>
      <c r="P326" s="405"/>
      <c r="V326" s="83"/>
      <c r="W326" s="405"/>
      <c r="AC326" s="83"/>
      <c r="AD326" s="405"/>
      <c r="AJ326" s="83"/>
      <c r="AK326" s="405"/>
      <c r="AQ326" s="83"/>
      <c r="AX326" s="83"/>
      <c r="BE326" s="83"/>
      <c r="BF326" s="405"/>
      <c r="BL326" s="83"/>
      <c r="BM326" s="405"/>
      <c r="BS326" s="83"/>
      <c r="BT326" s="405"/>
      <c r="BZ326" s="83"/>
      <c r="CA326" s="405"/>
      <c r="CG326" s="83"/>
    </row>
    <row r="327">
      <c r="B327" s="405"/>
      <c r="H327" s="83"/>
      <c r="I327" s="405"/>
      <c r="O327" s="83"/>
      <c r="P327" s="405"/>
      <c r="V327" s="83"/>
      <c r="W327" s="405"/>
      <c r="AC327" s="83"/>
      <c r="AD327" s="405"/>
      <c r="AJ327" s="83"/>
      <c r="AK327" s="405"/>
      <c r="AQ327" s="83"/>
      <c r="AX327" s="83"/>
      <c r="BE327" s="83"/>
      <c r="BF327" s="405"/>
      <c r="BL327" s="83"/>
      <c r="BM327" s="405"/>
      <c r="BS327" s="83"/>
      <c r="BT327" s="405"/>
      <c r="BZ327" s="83"/>
      <c r="CA327" s="405"/>
      <c r="CG327" s="83"/>
    </row>
    <row r="328">
      <c r="B328" s="405"/>
      <c r="H328" s="83"/>
      <c r="I328" s="405"/>
      <c r="O328" s="83"/>
      <c r="P328" s="405"/>
      <c r="V328" s="83"/>
      <c r="W328" s="405"/>
      <c r="AC328" s="83"/>
      <c r="AD328" s="405"/>
      <c r="AJ328" s="83"/>
      <c r="AK328" s="405"/>
      <c r="AQ328" s="83"/>
      <c r="AX328" s="83"/>
      <c r="BE328" s="83"/>
      <c r="BF328" s="405"/>
      <c r="BL328" s="83"/>
      <c r="BM328" s="405"/>
      <c r="BS328" s="83"/>
      <c r="BT328" s="405"/>
      <c r="BZ328" s="83"/>
      <c r="CA328" s="405"/>
      <c r="CG328" s="83"/>
    </row>
    <row r="329">
      <c r="B329" s="405"/>
      <c r="H329" s="83"/>
      <c r="I329" s="405"/>
      <c r="O329" s="83"/>
      <c r="P329" s="405"/>
      <c r="V329" s="83"/>
      <c r="W329" s="405"/>
      <c r="AC329" s="83"/>
      <c r="AD329" s="405"/>
      <c r="AJ329" s="83"/>
      <c r="AK329" s="405"/>
      <c r="AQ329" s="83"/>
      <c r="AX329" s="83"/>
      <c r="BE329" s="83"/>
      <c r="BF329" s="405"/>
      <c r="BL329" s="83"/>
      <c r="BM329" s="405"/>
      <c r="BS329" s="83"/>
      <c r="BT329" s="405"/>
      <c r="BZ329" s="83"/>
      <c r="CA329" s="405"/>
      <c r="CG329" s="83"/>
    </row>
    <row r="330">
      <c r="B330" s="405"/>
      <c r="H330" s="83"/>
      <c r="I330" s="405"/>
      <c r="O330" s="83"/>
      <c r="P330" s="405"/>
      <c r="V330" s="83"/>
      <c r="W330" s="405"/>
      <c r="AC330" s="83"/>
      <c r="AD330" s="405"/>
      <c r="AJ330" s="83"/>
      <c r="AK330" s="405"/>
      <c r="AQ330" s="83"/>
      <c r="AX330" s="83"/>
      <c r="BE330" s="83"/>
      <c r="BF330" s="405"/>
      <c r="BL330" s="83"/>
      <c r="BM330" s="405"/>
      <c r="BS330" s="83"/>
      <c r="BT330" s="405"/>
      <c r="BZ330" s="83"/>
      <c r="CA330" s="405"/>
      <c r="CG330" s="83"/>
    </row>
    <row r="331">
      <c r="B331" s="405"/>
      <c r="H331" s="83"/>
      <c r="I331" s="405"/>
      <c r="O331" s="83"/>
      <c r="P331" s="405"/>
      <c r="V331" s="83"/>
      <c r="W331" s="405"/>
      <c r="AC331" s="83"/>
      <c r="AD331" s="405"/>
      <c r="AJ331" s="83"/>
      <c r="AK331" s="405"/>
      <c r="AQ331" s="83"/>
      <c r="AX331" s="83"/>
      <c r="BE331" s="83"/>
      <c r="BF331" s="405"/>
      <c r="BL331" s="83"/>
      <c r="BM331" s="405"/>
      <c r="BS331" s="83"/>
      <c r="BT331" s="405"/>
      <c r="BZ331" s="83"/>
      <c r="CA331" s="405"/>
      <c r="CG331" s="83"/>
    </row>
    <row r="332">
      <c r="B332" s="405"/>
      <c r="H332" s="83"/>
      <c r="I332" s="405"/>
      <c r="O332" s="83"/>
      <c r="P332" s="405"/>
      <c r="V332" s="83"/>
      <c r="W332" s="405"/>
      <c r="AC332" s="83"/>
      <c r="AD332" s="405"/>
      <c r="AJ332" s="83"/>
      <c r="AK332" s="405"/>
      <c r="AQ332" s="83"/>
      <c r="AX332" s="83"/>
      <c r="BE332" s="83"/>
      <c r="BF332" s="405"/>
      <c r="BL332" s="83"/>
      <c r="BM332" s="405"/>
      <c r="BS332" s="83"/>
      <c r="BT332" s="405"/>
      <c r="BZ332" s="83"/>
      <c r="CA332" s="405"/>
      <c r="CG332" s="83"/>
    </row>
    <row r="333">
      <c r="B333" s="405"/>
      <c r="H333" s="83"/>
      <c r="I333" s="405"/>
      <c r="O333" s="83"/>
      <c r="P333" s="405"/>
      <c r="V333" s="83"/>
      <c r="W333" s="405"/>
      <c r="AC333" s="83"/>
      <c r="AD333" s="405"/>
      <c r="AJ333" s="83"/>
      <c r="AK333" s="405"/>
      <c r="AQ333" s="83"/>
      <c r="AX333" s="83"/>
      <c r="BE333" s="83"/>
      <c r="BF333" s="405"/>
      <c r="BL333" s="83"/>
      <c r="BM333" s="405"/>
      <c r="BS333" s="83"/>
      <c r="BT333" s="405"/>
      <c r="BZ333" s="83"/>
      <c r="CA333" s="405"/>
      <c r="CG333" s="83"/>
    </row>
    <row r="334">
      <c r="B334" s="405"/>
      <c r="H334" s="83"/>
      <c r="I334" s="405"/>
      <c r="O334" s="83"/>
      <c r="P334" s="405"/>
      <c r="V334" s="83"/>
      <c r="W334" s="405"/>
      <c r="AC334" s="83"/>
      <c r="AD334" s="405"/>
      <c r="AJ334" s="83"/>
      <c r="AK334" s="405"/>
      <c r="AQ334" s="83"/>
      <c r="AX334" s="83"/>
      <c r="BE334" s="83"/>
      <c r="BF334" s="405"/>
      <c r="BL334" s="83"/>
      <c r="BM334" s="405"/>
      <c r="BS334" s="83"/>
      <c r="BT334" s="405"/>
      <c r="BZ334" s="83"/>
      <c r="CA334" s="405"/>
      <c r="CG334" s="83"/>
    </row>
    <row r="335">
      <c r="B335" s="405"/>
      <c r="H335" s="83"/>
      <c r="I335" s="405"/>
      <c r="O335" s="83"/>
      <c r="P335" s="405"/>
      <c r="V335" s="83"/>
      <c r="W335" s="405"/>
      <c r="AC335" s="83"/>
      <c r="AD335" s="405"/>
      <c r="AJ335" s="83"/>
      <c r="AK335" s="405"/>
      <c r="AQ335" s="83"/>
      <c r="AX335" s="83"/>
      <c r="BE335" s="83"/>
      <c r="BF335" s="405"/>
      <c r="BL335" s="83"/>
      <c r="BM335" s="405"/>
      <c r="BS335" s="83"/>
      <c r="BT335" s="405"/>
      <c r="BZ335" s="83"/>
      <c r="CA335" s="405"/>
      <c r="CG335" s="83"/>
    </row>
    <row r="336">
      <c r="B336" s="405"/>
      <c r="H336" s="83"/>
      <c r="I336" s="405"/>
      <c r="O336" s="83"/>
      <c r="P336" s="405"/>
      <c r="V336" s="83"/>
      <c r="W336" s="405"/>
      <c r="AC336" s="83"/>
      <c r="AD336" s="405"/>
      <c r="AJ336" s="83"/>
      <c r="AK336" s="405"/>
      <c r="AQ336" s="83"/>
      <c r="AX336" s="83"/>
      <c r="BE336" s="83"/>
      <c r="BF336" s="405"/>
      <c r="BL336" s="83"/>
      <c r="BM336" s="405"/>
      <c r="BS336" s="83"/>
      <c r="BT336" s="405"/>
      <c r="BZ336" s="83"/>
      <c r="CA336" s="405"/>
      <c r="CG336" s="83"/>
    </row>
    <row r="337">
      <c r="B337" s="405"/>
      <c r="H337" s="83"/>
      <c r="I337" s="405"/>
      <c r="O337" s="83"/>
      <c r="P337" s="405"/>
      <c r="V337" s="83"/>
      <c r="W337" s="405"/>
      <c r="AC337" s="83"/>
      <c r="AD337" s="405"/>
      <c r="AJ337" s="83"/>
      <c r="AK337" s="405"/>
      <c r="AQ337" s="83"/>
      <c r="AX337" s="83"/>
      <c r="BE337" s="83"/>
      <c r="BF337" s="405"/>
      <c r="BL337" s="83"/>
      <c r="BM337" s="405"/>
      <c r="BS337" s="83"/>
      <c r="BT337" s="405"/>
      <c r="BZ337" s="83"/>
      <c r="CA337" s="405"/>
      <c r="CG337" s="83"/>
    </row>
    <row r="338">
      <c r="B338" s="405"/>
      <c r="H338" s="83"/>
      <c r="I338" s="405"/>
      <c r="O338" s="83"/>
      <c r="P338" s="405"/>
      <c r="V338" s="83"/>
      <c r="W338" s="405"/>
      <c r="AC338" s="83"/>
      <c r="AD338" s="405"/>
      <c r="AJ338" s="83"/>
      <c r="AK338" s="405"/>
      <c r="AQ338" s="83"/>
      <c r="AX338" s="83"/>
      <c r="BE338" s="83"/>
      <c r="BF338" s="405"/>
      <c r="BL338" s="83"/>
      <c r="BM338" s="405"/>
      <c r="BS338" s="83"/>
      <c r="BT338" s="405"/>
      <c r="BZ338" s="83"/>
      <c r="CA338" s="405"/>
      <c r="CG338" s="83"/>
    </row>
    <row r="339">
      <c r="B339" s="405"/>
      <c r="H339" s="83"/>
      <c r="I339" s="405"/>
      <c r="O339" s="83"/>
      <c r="P339" s="405"/>
      <c r="V339" s="83"/>
      <c r="W339" s="405"/>
      <c r="AC339" s="83"/>
      <c r="AD339" s="405"/>
      <c r="AJ339" s="83"/>
      <c r="AK339" s="405"/>
      <c r="AQ339" s="83"/>
      <c r="AX339" s="83"/>
      <c r="BE339" s="83"/>
      <c r="BF339" s="405"/>
      <c r="BL339" s="83"/>
      <c r="BM339" s="405"/>
      <c r="BS339" s="83"/>
      <c r="BT339" s="405"/>
      <c r="BZ339" s="83"/>
      <c r="CA339" s="405"/>
      <c r="CG339" s="83"/>
    </row>
    <row r="340">
      <c r="B340" s="405"/>
      <c r="H340" s="83"/>
      <c r="I340" s="405"/>
      <c r="O340" s="83"/>
      <c r="P340" s="405"/>
      <c r="V340" s="83"/>
      <c r="W340" s="405"/>
      <c r="AC340" s="83"/>
      <c r="AD340" s="405"/>
      <c r="AJ340" s="83"/>
      <c r="AK340" s="405"/>
      <c r="AQ340" s="83"/>
      <c r="AX340" s="83"/>
      <c r="BE340" s="83"/>
      <c r="BF340" s="405"/>
      <c r="BL340" s="83"/>
      <c r="BM340" s="405"/>
      <c r="BS340" s="83"/>
      <c r="BT340" s="405"/>
      <c r="BZ340" s="83"/>
      <c r="CA340" s="405"/>
      <c r="CG340" s="83"/>
    </row>
    <row r="341">
      <c r="B341" s="405"/>
      <c r="H341" s="83"/>
      <c r="I341" s="405"/>
      <c r="O341" s="83"/>
      <c r="P341" s="405"/>
      <c r="V341" s="83"/>
      <c r="W341" s="405"/>
      <c r="AC341" s="83"/>
      <c r="AD341" s="405"/>
      <c r="AJ341" s="83"/>
      <c r="AK341" s="405"/>
      <c r="AQ341" s="83"/>
      <c r="AX341" s="83"/>
      <c r="BE341" s="83"/>
      <c r="BF341" s="405"/>
      <c r="BL341" s="83"/>
      <c r="BM341" s="405"/>
      <c r="BS341" s="83"/>
      <c r="BT341" s="405"/>
      <c r="BZ341" s="83"/>
      <c r="CA341" s="405"/>
      <c r="CG341" s="83"/>
    </row>
    <row r="342">
      <c r="B342" s="405"/>
      <c r="H342" s="83"/>
      <c r="I342" s="405"/>
      <c r="O342" s="83"/>
      <c r="P342" s="405"/>
      <c r="V342" s="83"/>
      <c r="W342" s="405"/>
      <c r="AC342" s="83"/>
      <c r="AD342" s="405"/>
      <c r="AJ342" s="83"/>
      <c r="AK342" s="405"/>
      <c r="AQ342" s="83"/>
      <c r="AX342" s="83"/>
      <c r="BE342" s="83"/>
      <c r="BF342" s="405"/>
      <c r="BL342" s="83"/>
      <c r="BM342" s="405"/>
      <c r="BS342" s="83"/>
      <c r="BT342" s="405"/>
      <c r="BZ342" s="83"/>
      <c r="CA342" s="405"/>
      <c r="CG342" s="83"/>
    </row>
    <row r="343">
      <c r="B343" s="405"/>
      <c r="H343" s="83"/>
      <c r="I343" s="405"/>
      <c r="O343" s="83"/>
      <c r="P343" s="405"/>
      <c r="V343" s="83"/>
      <c r="W343" s="405"/>
      <c r="AC343" s="83"/>
      <c r="AD343" s="405"/>
      <c r="AJ343" s="83"/>
      <c r="AK343" s="405"/>
      <c r="AQ343" s="83"/>
      <c r="AX343" s="83"/>
      <c r="BE343" s="83"/>
      <c r="BF343" s="405"/>
      <c r="BL343" s="83"/>
      <c r="BM343" s="405"/>
      <c r="BS343" s="83"/>
      <c r="BT343" s="405"/>
      <c r="BZ343" s="83"/>
      <c r="CA343" s="405"/>
      <c r="CG343" s="83"/>
    </row>
    <row r="344">
      <c r="B344" s="405"/>
      <c r="H344" s="83"/>
      <c r="I344" s="405"/>
      <c r="O344" s="83"/>
      <c r="P344" s="405"/>
      <c r="V344" s="83"/>
      <c r="W344" s="405"/>
      <c r="AC344" s="83"/>
      <c r="AD344" s="405"/>
      <c r="AJ344" s="83"/>
      <c r="AK344" s="405"/>
      <c r="AQ344" s="83"/>
      <c r="AX344" s="83"/>
      <c r="BE344" s="83"/>
      <c r="BF344" s="405"/>
      <c r="BL344" s="83"/>
      <c r="BM344" s="405"/>
      <c r="BS344" s="83"/>
      <c r="BT344" s="405"/>
      <c r="BZ344" s="83"/>
      <c r="CA344" s="405"/>
      <c r="CG344" s="83"/>
    </row>
    <row r="345">
      <c r="B345" s="405"/>
      <c r="H345" s="83"/>
      <c r="I345" s="405"/>
      <c r="O345" s="83"/>
      <c r="P345" s="405"/>
      <c r="V345" s="83"/>
      <c r="W345" s="405"/>
      <c r="AC345" s="83"/>
      <c r="AD345" s="405"/>
      <c r="AJ345" s="83"/>
      <c r="AK345" s="405"/>
      <c r="AQ345" s="83"/>
      <c r="AX345" s="83"/>
      <c r="BE345" s="83"/>
      <c r="BF345" s="405"/>
      <c r="BL345" s="83"/>
      <c r="BM345" s="405"/>
      <c r="BS345" s="83"/>
      <c r="BT345" s="405"/>
      <c r="BZ345" s="83"/>
      <c r="CA345" s="405"/>
      <c r="CG345" s="83"/>
    </row>
    <row r="346">
      <c r="B346" s="405"/>
      <c r="H346" s="83"/>
      <c r="I346" s="405"/>
      <c r="O346" s="83"/>
      <c r="P346" s="405"/>
      <c r="V346" s="83"/>
      <c r="W346" s="405"/>
      <c r="AC346" s="83"/>
      <c r="AD346" s="405"/>
      <c r="AJ346" s="83"/>
      <c r="AK346" s="405"/>
      <c r="AQ346" s="83"/>
      <c r="AX346" s="83"/>
      <c r="BE346" s="83"/>
      <c r="BF346" s="405"/>
      <c r="BL346" s="83"/>
      <c r="BM346" s="405"/>
      <c r="BS346" s="83"/>
      <c r="BT346" s="405"/>
      <c r="BZ346" s="83"/>
      <c r="CA346" s="405"/>
      <c r="CG346" s="83"/>
    </row>
    <row r="347">
      <c r="B347" s="405"/>
      <c r="H347" s="83"/>
      <c r="I347" s="405"/>
      <c r="O347" s="83"/>
      <c r="P347" s="405"/>
      <c r="V347" s="83"/>
      <c r="W347" s="405"/>
      <c r="AC347" s="83"/>
      <c r="AD347" s="405"/>
      <c r="AJ347" s="83"/>
      <c r="AK347" s="405"/>
      <c r="AQ347" s="83"/>
      <c r="AX347" s="83"/>
      <c r="BE347" s="83"/>
      <c r="BF347" s="405"/>
      <c r="BL347" s="83"/>
      <c r="BM347" s="405"/>
      <c r="BS347" s="83"/>
      <c r="BT347" s="405"/>
      <c r="BZ347" s="83"/>
      <c r="CA347" s="405"/>
      <c r="CG347" s="83"/>
    </row>
    <row r="348">
      <c r="B348" s="405"/>
      <c r="H348" s="83"/>
      <c r="I348" s="405"/>
      <c r="O348" s="83"/>
      <c r="P348" s="405"/>
      <c r="V348" s="83"/>
      <c r="W348" s="405"/>
      <c r="AC348" s="83"/>
      <c r="AD348" s="405"/>
      <c r="AJ348" s="83"/>
      <c r="AK348" s="405"/>
      <c r="AQ348" s="83"/>
      <c r="AX348" s="83"/>
      <c r="BE348" s="83"/>
      <c r="BF348" s="405"/>
      <c r="BL348" s="83"/>
      <c r="BM348" s="405"/>
      <c r="BS348" s="83"/>
      <c r="BT348" s="405"/>
      <c r="BZ348" s="83"/>
      <c r="CA348" s="405"/>
      <c r="CG348" s="83"/>
    </row>
    <row r="349">
      <c r="B349" s="405"/>
      <c r="H349" s="83"/>
      <c r="I349" s="405"/>
      <c r="O349" s="83"/>
      <c r="P349" s="405"/>
      <c r="V349" s="83"/>
      <c r="W349" s="405"/>
      <c r="AC349" s="83"/>
      <c r="AD349" s="405"/>
      <c r="AJ349" s="83"/>
      <c r="AK349" s="405"/>
      <c r="AQ349" s="83"/>
      <c r="AX349" s="83"/>
      <c r="BE349" s="83"/>
      <c r="BF349" s="405"/>
      <c r="BL349" s="83"/>
      <c r="BM349" s="405"/>
      <c r="BS349" s="83"/>
      <c r="BT349" s="405"/>
      <c r="BZ349" s="83"/>
      <c r="CA349" s="405"/>
      <c r="CG349" s="83"/>
    </row>
    <row r="350">
      <c r="B350" s="405"/>
      <c r="H350" s="83"/>
      <c r="I350" s="405"/>
      <c r="O350" s="83"/>
      <c r="P350" s="405"/>
      <c r="V350" s="83"/>
      <c r="W350" s="405"/>
      <c r="AC350" s="83"/>
      <c r="AD350" s="405"/>
      <c r="AJ350" s="83"/>
      <c r="AK350" s="405"/>
      <c r="AQ350" s="83"/>
      <c r="AX350" s="83"/>
      <c r="BE350" s="83"/>
      <c r="BF350" s="405"/>
      <c r="BL350" s="83"/>
      <c r="BM350" s="405"/>
      <c r="BS350" s="83"/>
      <c r="BT350" s="405"/>
      <c r="BZ350" s="83"/>
      <c r="CA350" s="405"/>
      <c r="CG350" s="83"/>
    </row>
    <row r="351">
      <c r="B351" s="405"/>
      <c r="H351" s="83"/>
      <c r="I351" s="405"/>
      <c r="O351" s="83"/>
      <c r="P351" s="405"/>
      <c r="V351" s="83"/>
      <c r="W351" s="405"/>
      <c r="AC351" s="83"/>
      <c r="AD351" s="405"/>
      <c r="AJ351" s="83"/>
      <c r="AK351" s="405"/>
      <c r="AQ351" s="83"/>
      <c r="AX351" s="83"/>
      <c r="BE351" s="83"/>
      <c r="BF351" s="405"/>
      <c r="BL351" s="83"/>
      <c r="BM351" s="405"/>
      <c r="BS351" s="83"/>
      <c r="BT351" s="405"/>
      <c r="BZ351" s="83"/>
      <c r="CA351" s="405"/>
      <c r="CG351" s="83"/>
    </row>
    <row r="352">
      <c r="B352" s="405"/>
      <c r="H352" s="83"/>
      <c r="I352" s="405"/>
      <c r="O352" s="83"/>
      <c r="P352" s="405"/>
      <c r="V352" s="83"/>
      <c r="W352" s="405"/>
      <c r="AC352" s="83"/>
      <c r="AD352" s="405"/>
      <c r="AJ352" s="83"/>
      <c r="AK352" s="405"/>
      <c r="AQ352" s="83"/>
      <c r="AX352" s="83"/>
      <c r="BE352" s="83"/>
      <c r="BF352" s="405"/>
      <c r="BL352" s="83"/>
      <c r="BM352" s="405"/>
      <c r="BS352" s="83"/>
      <c r="BT352" s="405"/>
      <c r="BZ352" s="83"/>
      <c r="CA352" s="405"/>
      <c r="CG352" s="83"/>
    </row>
    <row r="353">
      <c r="B353" s="405"/>
      <c r="H353" s="83"/>
      <c r="I353" s="405"/>
      <c r="O353" s="83"/>
      <c r="P353" s="405"/>
      <c r="V353" s="83"/>
      <c r="W353" s="405"/>
      <c r="AC353" s="83"/>
      <c r="AD353" s="405"/>
      <c r="AJ353" s="83"/>
      <c r="AK353" s="405"/>
      <c r="AQ353" s="83"/>
      <c r="AX353" s="83"/>
      <c r="BE353" s="83"/>
      <c r="BF353" s="405"/>
      <c r="BL353" s="83"/>
      <c r="BM353" s="405"/>
      <c r="BS353" s="83"/>
      <c r="BT353" s="405"/>
      <c r="BZ353" s="83"/>
      <c r="CA353" s="405"/>
      <c r="CG353" s="83"/>
    </row>
    <row r="354">
      <c r="B354" s="405"/>
      <c r="H354" s="83"/>
      <c r="I354" s="405"/>
      <c r="O354" s="83"/>
      <c r="P354" s="405"/>
      <c r="V354" s="83"/>
      <c r="W354" s="405"/>
      <c r="AC354" s="83"/>
      <c r="AD354" s="405"/>
      <c r="AJ354" s="83"/>
      <c r="AK354" s="405"/>
      <c r="AQ354" s="83"/>
      <c r="AX354" s="83"/>
      <c r="BE354" s="83"/>
      <c r="BF354" s="405"/>
      <c r="BL354" s="83"/>
      <c r="BM354" s="405"/>
      <c r="BS354" s="83"/>
      <c r="BT354" s="405"/>
      <c r="BZ354" s="83"/>
      <c r="CA354" s="405"/>
      <c r="CG354" s="83"/>
    </row>
    <row r="355">
      <c r="B355" s="405"/>
      <c r="H355" s="83"/>
      <c r="I355" s="405"/>
      <c r="O355" s="83"/>
      <c r="P355" s="405"/>
      <c r="V355" s="83"/>
      <c r="W355" s="405"/>
      <c r="AC355" s="83"/>
      <c r="AD355" s="405"/>
      <c r="AJ355" s="83"/>
      <c r="AK355" s="405"/>
      <c r="AQ355" s="83"/>
      <c r="AX355" s="83"/>
      <c r="BE355" s="83"/>
      <c r="BF355" s="405"/>
      <c r="BL355" s="83"/>
      <c r="BM355" s="405"/>
      <c r="BS355" s="83"/>
      <c r="BT355" s="405"/>
      <c r="BZ355" s="83"/>
      <c r="CA355" s="405"/>
      <c r="CG355" s="83"/>
    </row>
    <row r="356">
      <c r="B356" s="405"/>
      <c r="H356" s="83"/>
      <c r="I356" s="405"/>
      <c r="O356" s="83"/>
      <c r="P356" s="405"/>
      <c r="V356" s="83"/>
      <c r="W356" s="405"/>
      <c r="AC356" s="83"/>
      <c r="AD356" s="405"/>
      <c r="AJ356" s="83"/>
      <c r="AK356" s="405"/>
      <c r="AQ356" s="83"/>
      <c r="AX356" s="83"/>
      <c r="BE356" s="83"/>
      <c r="BF356" s="405"/>
      <c r="BL356" s="83"/>
      <c r="BM356" s="405"/>
      <c r="BS356" s="83"/>
      <c r="BT356" s="405"/>
      <c r="BZ356" s="83"/>
      <c r="CA356" s="405"/>
      <c r="CG356" s="83"/>
    </row>
    <row r="357">
      <c r="B357" s="405"/>
      <c r="H357" s="83"/>
      <c r="I357" s="405"/>
      <c r="O357" s="83"/>
      <c r="P357" s="405"/>
      <c r="V357" s="83"/>
      <c r="W357" s="405"/>
      <c r="AC357" s="83"/>
      <c r="AD357" s="405"/>
      <c r="AJ357" s="83"/>
      <c r="AK357" s="405"/>
      <c r="AQ357" s="83"/>
      <c r="AX357" s="83"/>
      <c r="BE357" s="83"/>
      <c r="BF357" s="405"/>
      <c r="BL357" s="83"/>
      <c r="BM357" s="405"/>
      <c r="BS357" s="83"/>
      <c r="BT357" s="405"/>
      <c r="BZ357" s="83"/>
      <c r="CA357" s="405"/>
      <c r="CG357" s="83"/>
    </row>
    <row r="358">
      <c r="B358" s="405"/>
      <c r="H358" s="83"/>
      <c r="I358" s="405"/>
      <c r="O358" s="83"/>
      <c r="P358" s="405"/>
      <c r="V358" s="83"/>
      <c r="W358" s="405"/>
      <c r="AC358" s="83"/>
      <c r="AD358" s="405"/>
      <c r="AJ358" s="83"/>
      <c r="AK358" s="405"/>
      <c r="AQ358" s="83"/>
      <c r="AX358" s="83"/>
      <c r="BE358" s="83"/>
      <c r="BF358" s="405"/>
      <c r="BL358" s="83"/>
      <c r="BM358" s="405"/>
      <c r="BS358" s="83"/>
      <c r="BT358" s="405"/>
      <c r="BZ358" s="83"/>
      <c r="CA358" s="405"/>
      <c r="CG358" s="83"/>
    </row>
    <row r="359">
      <c r="B359" s="405"/>
      <c r="H359" s="83"/>
      <c r="I359" s="405"/>
      <c r="O359" s="83"/>
      <c r="P359" s="405"/>
      <c r="V359" s="83"/>
      <c r="W359" s="405"/>
      <c r="AC359" s="83"/>
      <c r="AD359" s="405"/>
      <c r="AJ359" s="83"/>
      <c r="AK359" s="405"/>
      <c r="AQ359" s="83"/>
      <c r="AX359" s="83"/>
      <c r="BE359" s="83"/>
      <c r="BF359" s="405"/>
      <c r="BL359" s="83"/>
      <c r="BM359" s="405"/>
      <c r="BS359" s="83"/>
      <c r="BT359" s="405"/>
      <c r="BZ359" s="83"/>
      <c r="CA359" s="405"/>
      <c r="CG359" s="83"/>
    </row>
    <row r="360">
      <c r="B360" s="405"/>
      <c r="H360" s="83"/>
      <c r="I360" s="405"/>
      <c r="O360" s="83"/>
      <c r="P360" s="405"/>
      <c r="V360" s="83"/>
      <c r="W360" s="405"/>
      <c r="AC360" s="83"/>
      <c r="AD360" s="405"/>
      <c r="AJ360" s="83"/>
      <c r="AK360" s="405"/>
      <c r="AQ360" s="83"/>
      <c r="AX360" s="83"/>
      <c r="BE360" s="83"/>
      <c r="BF360" s="405"/>
      <c r="BL360" s="83"/>
      <c r="BM360" s="405"/>
      <c r="BS360" s="83"/>
      <c r="BT360" s="405"/>
      <c r="BZ360" s="83"/>
      <c r="CA360" s="405"/>
      <c r="CG360" s="83"/>
    </row>
    <row r="361">
      <c r="B361" s="405"/>
      <c r="H361" s="83"/>
      <c r="I361" s="405"/>
      <c r="O361" s="83"/>
      <c r="P361" s="405"/>
      <c r="V361" s="83"/>
      <c r="W361" s="405"/>
      <c r="AC361" s="83"/>
      <c r="AD361" s="405"/>
      <c r="AJ361" s="83"/>
      <c r="AK361" s="405"/>
      <c r="AQ361" s="83"/>
      <c r="AX361" s="83"/>
      <c r="BE361" s="83"/>
      <c r="BF361" s="405"/>
      <c r="BL361" s="83"/>
      <c r="BM361" s="405"/>
      <c r="BS361" s="83"/>
      <c r="BT361" s="405"/>
      <c r="BZ361" s="83"/>
      <c r="CA361" s="405"/>
      <c r="CG361" s="83"/>
    </row>
    <row r="362">
      <c r="B362" s="405"/>
      <c r="H362" s="83"/>
      <c r="I362" s="405"/>
      <c r="O362" s="83"/>
      <c r="P362" s="405"/>
      <c r="V362" s="83"/>
      <c r="W362" s="405"/>
      <c r="AC362" s="83"/>
      <c r="AD362" s="405"/>
      <c r="AJ362" s="83"/>
      <c r="AK362" s="405"/>
      <c r="AQ362" s="83"/>
      <c r="AX362" s="83"/>
      <c r="BE362" s="83"/>
      <c r="BF362" s="405"/>
      <c r="BL362" s="83"/>
      <c r="BM362" s="405"/>
      <c r="BS362" s="83"/>
      <c r="BT362" s="405"/>
      <c r="BZ362" s="83"/>
      <c r="CA362" s="405"/>
      <c r="CG362" s="83"/>
    </row>
    <row r="363">
      <c r="B363" s="405"/>
      <c r="H363" s="83"/>
      <c r="I363" s="405"/>
      <c r="O363" s="83"/>
      <c r="P363" s="405"/>
      <c r="V363" s="83"/>
      <c r="W363" s="405"/>
      <c r="AC363" s="83"/>
      <c r="AD363" s="405"/>
      <c r="AJ363" s="83"/>
      <c r="AK363" s="405"/>
      <c r="AQ363" s="83"/>
      <c r="AX363" s="83"/>
      <c r="BE363" s="83"/>
      <c r="BF363" s="405"/>
      <c r="BL363" s="83"/>
      <c r="BM363" s="405"/>
      <c r="BS363" s="83"/>
      <c r="BT363" s="405"/>
      <c r="BZ363" s="83"/>
      <c r="CA363" s="405"/>
      <c r="CG363" s="83"/>
    </row>
    <row r="364">
      <c r="B364" s="405"/>
      <c r="H364" s="83"/>
      <c r="I364" s="405"/>
      <c r="O364" s="83"/>
      <c r="P364" s="405"/>
      <c r="V364" s="83"/>
      <c r="W364" s="405"/>
      <c r="AC364" s="83"/>
      <c r="AD364" s="405"/>
      <c r="AJ364" s="83"/>
      <c r="AK364" s="405"/>
      <c r="AQ364" s="83"/>
      <c r="AX364" s="83"/>
      <c r="BE364" s="83"/>
      <c r="BF364" s="405"/>
      <c r="BL364" s="83"/>
      <c r="BM364" s="405"/>
      <c r="BS364" s="83"/>
      <c r="BT364" s="405"/>
      <c r="BZ364" s="83"/>
      <c r="CA364" s="405"/>
      <c r="CG364" s="83"/>
    </row>
    <row r="365">
      <c r="B365" s="405"/>
      <c r="H365" s="83"/>
      <c r="I365" s="405"/>
      <c r="O365" s="83"/>
      <c r="P365" s="405"/>
      <c r="V365" s="83"/>
      <c r="W365" s="405"/>
      <c r="AC365" s="83"/>
      <c r="AD365" s="405"/>
      <c r="AJ365" s="83"/>
      <c r="AK365" s="405"/>
      <c r="AQ365" s="83"/>
      <c r="AX365" s="83"/>
      <c r="BE365" s="83"/>
      <c r="BF365" s="405"/>
      <c r="BL365" s="83"/>
      <c r="BM365" s="405"/>
      <c r="BS365" s="83"/>
      <c r="BT365" s="405"/>
      <c r="BZ365" s="83"/>
      <c r="CA365" s="405"/>
      <c r="CG365" s="83"/>
    </row>
    <row r="366">
      <c r="B366" s="405"/>
      <c r="H366" s="83"/>
      <c r="I366" s="405"/>
      <c r="O366" s="83"/>
      <c r="P366" s="405"/>
      <c r="V366" s="83"/>
      <c r="W366" s="405"/>
      <c r="AC366" s="83"/>
      <c r="AD366" s="405"/>
      <c r="AJ366" s="83"/>
      <c r="AK366" s="405"/>
      <c r="AQ366" s="83"/>
      <c r="AX366" s="83"/>
      <c r="BE366" s="83"/>
      <c r="BF366" s="405"/>
      <c r="BL366" s="83"/>
      <c r="BM366" s="405"/>
      <c r="BS366" s="83"/>
      <c r="BT366" s="405"/>
      <c r="BZ366" s="83"/>
      <c r="CA366" s="405"/>
      <c r="CG366" s="83"/>
    </row>
    <row r="367">
      <c r="B367" s="405"/>
      <c r="H367" s="83"/>
      <c r="I367" s="405"/>
      <c r="O367" s="83"/>
      <c r="P367" s="405"/>
      <c r="V367" s="83"/>
      <c r="W367" s="405"/>
      <c r="AC367" s="83"/>
      <c r="AD367" s="405"/>
      <c r="AJ367" s="83"/>
      <c r="AK367" s="405"/>
      <c r="AQ367" s="83"/>
      <c r="AX367" s="83"/>
      <c r="BE367" s="83"/>
      <c r="BF367" s="405"/>
      <c r="BL367" s="83"/>
      <c r="BM367" s="405"/>
      <c r="BS367" s="83"/>
      <c r="BT367" s="405"/>
      <c r="BZ367" s="83"/>
      <c r="CA367" s="405"/>
      <c r="CG367" s="83"/>
    </row>
    <row r="368">
      <c r="B368" s="405"/>
      <c r="H368" s="83"/>
      <c r="I368" s="405"/>
      <c r="O368" s="83"/>
      <c r="P368" s="405"/>
      <c r="V368" s="83"/>
      <c r="W368" s="405"/>
      <c r="AC368" s="83"/>
      <c r="AD368" s="405"/>
      <c r="AJ368" s="83"/>
      <c r="AK368" s="405"/>
      <c r="AQ368" s="83"/>
      <c r="AX368" s="83"/>
      <c r="BE368" s="83"/>
      <c r="BF368" s="405"/>
      <c r="BL368" s="83"/>
      <c r="BM368" s="405"/>
      <c r="BS368" s="83"/>
      <c r="BT368" s="405"/>
      <c r="BZ368" s="83"/>
      <c r="CA368" s="405"/>
      <c r="CG368" s="83"/>
    </row>
    <row r="369">
      <c r="B369" s="405"/>
      <c r="H369" s="83"/>
      <c r="I369" s="405"/>
      <c r="O369" s="83"/>
      <c r="P369" s="405"/>
      <c r="V369" s="83"/>
      <c r="W369" s="405"/>
      <c r="AC369" s="83"/>
      <c r="AD369" s="405"/>
      <c r="AJ369" s="83"/>
      <c r="AK369" s="405"/>
      <c r="AQ369" s="83"/>
      <c r="AX369" s="83"/>
      <c r="BE369" s="83"/>
      <c r="BF369" s="405"/>
      <c r="BL369" s="83"/>
      <c r="BM369" s="405"/>
      <c r="BS369" s="83"/>
      <c r="BT369" s="405"/>
      <c r="BZ369" s="83"/>
      <c r="CA369" s="405"/>
      <c r="CG369" s="83"/>
    </row>
    <row r="370">
      <c r="B370" s="405"/>
      <c r="H370" s="83"/>
      <c r="I370" s="405"/>
      <c r="O370" s="83"/>
      <c r="P370" s="405"/>
      <c r="V370" s="83"/>
      <c r="W370" s="405"/>
      <c r="AC370" s="83"/>
      <c r="AD370" s="405"/>
      <c r="AJ370" s="83"/>
      <c r="AK370" s="405"/>
      <c r="AQ370" s="83"/>
      <c r="AX370" s="83"/>
      <c r="BE370" s="83"/>
      <c r="BF370" s="405"/>
      <c r="BL370" s="83"/>
      <c r="BM370" s="405"/>
      <c r="BS370" s="83"/>
      <c r="BT370" s="405"/>
      <c r="BZ370" s="83"/>
      <c r="CA370" s="405"/>
      <c r="CG370" s="83"/>
    </row>
    <row r="371">
      <c r="B371" s="405"/>
      <c r="H371" s="83"/>
      <c r="I371" s="405"/>
      <c r="O371" s="83"/>
      <c r="P371" s="405"/>
      <c r="V371" s="83"/>
      <c r="W371" s="405"/>
      <c r="AC371" s="83"/>
      <c r="AD371" s="405"/>
      <c r="AJ371" s="83"/>
      <c r="AK371" s="405"/>
      <c r="AQ371" s="83"/>
      <c r="AX371" s="83"/>
      <c r="BE371" s="83"/>
      <c r="BF371" s="405"/>
      <c r="BL371" s="83"/>
      <c r="BM371" s="405"/>
      <c r="BS371" s="83"/>
      <c r="BT371" s="405"/>
      <c r="BZ371" s="83"/>
      <c r="CA371" s="405"/>
      <c r="CG371" s="83"/>
    </row>
    <row r="372">
      <c r="B372" s="405"/>
      <c r="H372" s="83"/>
      <c r="I372" s="405"/>
      <c r="O372" s="83"/>
      <c r="P372" s="405"/>
      <c r="V372" s="83"/>
      <c r="W372" s="405"/>
      <c r="AC372" s="83"/>
      <c r="AD372" s="405"/>
      <c r="AJ372" s="83"/>
      <c r="AK372" s="405"/>
      <c r="AQ372" s="83"/>
      <c r="AX372" s="83"/>
      <c r="BE372" s="83"/>
      <c r="BF372" s="405"/>
      <c r="BL372" s="83"/>
      <c r="BM372" s="405"/>
      <c r="BS372" s="83"/>
      <c r="BT372" s="405"/>
      <c r="BZ372" s="83"/>
      <c r="CA372" s="405"/>
      <c r="CG372" s="83"/>
    </row>
    <row r="373">
      <c r="B373" s="405"/>
      <c r="H373" s="83"/>
      <c r="I373" s="405"/>
      <c r="O373" s="83"/>
      <c r="P373" s="405"/>
      <c r="V373" s="83"/>
      <c r="W373" s="405"/>
      <c r="AC373" s="83"/>
      <c r="AD373" s="405"/>
      <c r="AJ373" s="83"/>
      <c r="AK373" s="405"/>
      <c r="AQ373" s="83"/>
      <c r="AX373" s="83"/>
      <c r="BE373" s="83"/>
      <c r="BF373" s="405"/>
      <c r="BL373" s="83"/>
      <c r="BM373" s="405"/>
      <c r="BS373" s="83"/>
      <c r="BT373" s="405"/>
      <c r="BZ373" s="83"/>
      <c r="CA373" s="405"/>
      <c r="CG373" s="83"/>
    </row>
    <row r="374">
      <c r="B374" s="405"/>
      <c r="H374" s="83"/>
      <c r="I374" s="405"/>
      <c r="O374" s="83"/>
      <c r="P374" s="405"/>
      <c r="V374" s="83"/>
      <c r="W374" s="405"/>
      <c r="AC374" s="83"/>
      <c r="AD374" s="405"/>
      <c r="AJ374" s="83"/>
      <c r="AK374" s="405"/>
      <c r="AQ374" s="83"/>
      <c r="AX374" s="83"/>
      <c r="BE374" s="83"/>
      <c r="BF374" s="405"/>
      <c r="BL374" s="83"/>
      <c r="BM374" s="405"/>
      <c r="BS374" s="83"/>
      <c r="BT374" s="405"/>
      <c r="BZ374" s="83"/>
      <c r="CA374" s="405"/>
      <c r="CG374" s="83"/>
    </row>
    <row r="375">
      <c r="B375" s="405"/>
      <c r="H375" s="83"/>
      <c r="I375" s="405"/>
      <c r="O375" s="83"/>
      <c r="P375" s="405"/>
      <c r="V375" s="83"/>
      <c r="W375" s="405"/>
      <c r="AC375" s="83"/>
      <c r="AD375" s="405"/>
      <c r="AJ375" s="83"/>
      <c r="AK375" s="405"/>
      <c r="AQ375" s="83"/>
      <c r="AX375" s="83"/>
      <c r="BE375" s="83"/>
      <c r="BF375" s="405"/>
      <c r="BL375" s="83"/>
      <c r="BM375" s="405"/>
      <c r="BS375" s="83"/>
      <c r="BT375" s="405"/>
      <c r="BZ375" s="83"/>
      <c r="CA375" s="405"/>
      <c r="CG375" s="83"/>
    </row>
    <row r="376">
      <c r="B376" s="405"/>
      <c r="H376" s="83"/>
      <c r="I376" s="405"/>
      <c r="O376" s="83"/>
      <c r="P376" s="405"/>
      <c r="V376" s="83"/>
      <c r="W376" s="405"/>
      <c r="AC376" s="83"/>
      <c r="AD376" s="405"/>
      <c r="AJ376" s="83"/>
      <c r="AK376" s="405"/>
      <c r="AQ376" s="83"/>
      <c r="AX376" s="83"/>
      <c r="BE376" s="83"/>
      <c r="BF376" s="405"/>
      <c r="BL376" s="83"/>
      <c r="BM376" s="405"/>
      <c r="BS376" s="83"/>
      <c r="BT376" s="405"/>
      <c r="BZ376" s="83"/>
      <c r="CA376" s="405"/>
      <c r="CG376" s="83"/>
    </row>
    <row r="377">
      <c r="B377" s="405"/>
      <c r="H377" s="83"/>
      <c r="I377" s="405"/>
      <c r="O377" s="83"/>
      <c r="P377" s="405"/>
      <c r="V377" s="83"/>
      <c r="W377" s="405"/>
      <c r="AC377" s="83"/>
      <c r="AD377" s="405"/>
      <c r="AJ377" s="83"/>
      <c r="AK377" s="405"/>
      <c r="AQ377" s="83"/>
      <c r="AX377" s="83"/>
      <c r="BE377" s="83"/>
      <c r="BF377" s="405"/>
      <c r="BL377" s="83"/>
      <c r="BM377" s="405"/>
      <c r="BS377" s="83"/>
      <c r="BT377" s="405"/>
      <c r="BZ377" s="83"/>
      <c r="CA377" s="405"/>
      <c r="CG377" s="83"/>
    </row>
    <row r="378">
      <c r="B378" s="405"/>
      <c r="H378" s="83"/>
      <c r="I378" s="405"/>
      <c r="O378" s="83"/>
      <c r="P378" s="405"/>
      <c r="V378" s="83"/>
      <c r="W378" s="405"/>
      <c r="AC378" s="83"/>
      <c r="AD378" s="405"/>
      <c r="AJ378" s="83"/>
      <c r="AK378" s="405"/>
      <c r="AQ378" s="83"/>
      <c r="AX378" s="83"/>
      <c r="BE378" s="83"/>
      <c r="BF378" s="405"/>
      <c r="BL378" s="83"/>
      <c r="BM378" s="405"/>
      <c r="BS378" s="83"/>
      <c r="BT378" s="405"/>
      <c r="BZ378" s="83"/>
      <c r="CA378" s="405"/>
      <c r="CG378" s="83"/>
    </row>
    <row r="379">
      <c r="B379" s="405"/>
      <c r="H379" s="83"/>
      <c r="I379" s="405"/>
      <c r="O379" s="83"/>
      <c r="P379" s="405"/>
      <c r="V379" s="83"/>
      <c r="W379" s="405"/>
      <c r="AC379" s="83"/>
      <c r="AD379" s="405"/>
      <c r="AJ379" s="83"/>
      <c r="AK379" s="405"/>
      <c r="AQ379" s="83"/>
      <c r="AX379" s="83"/>
      <c r="BE379" s="83"/>
      <c r="BF379" s="405"/>
      <c r="BL379" s="83"/>
      <c r="BM379" s="405"/>
      <c r="BS379" s="83"/>
      <c r="BT379" s="405"/>
      <c r="BZ379" s="83"/>
      <c r="CA379" s="405"/>
      <c r="CG379" s="83"/>
    </row>
    <row r="380">
      <c r="B380" s="405"/>
      <c r="H380" s="83"/>
      <c r="I380" s="405"/>
      <c r="O380" s="83"/>
      <c r="P380" s="405"/>
      <c r="V380" s="83"/>
      <c r="W380" s="405"/>
      <c r="AC380" s="83"/>
      <c r="AD380" s="405"/>
      <c r="AJ380" s="83"/>
      <c r="AK380" s="405"/>
      <c r="AQ380" s="83"/>
      <c r="AX380" s="83"/>
      <c r="BE380" s="83"/>
      <c r="BF380" s="405"/>
      <c r="BL380" s="83"/>
      <c r="BM380" s="405"/>
      <c r="BS380" s="83"/>
      <c r="BT380" s="405"/>
      <c r="BZ380" s="83"/>
      <c r="CA380" s="405"/>
      <c r="CG380" s="83"/>
    </row>
    <row r="381">
      <c r="B381" s="405"/>
      <c r="H381" s="83"/>
      <c r="I381" s="405"/>
      <c r="O381" s="83"/>
      <c r="P381" s="405"/>
      <c r="V381" s="83"/>
      <c r="W381" s="405"/>
      <c r="AC381" s="83"/>
      <c r="AD381" s="405"/>
      <c r="AJ381" s="83"/>
      <c r="AK381" s="405"/>
      <c r="AQ381" s="83"/>
      <c r="AX381" s="83"/>
      <c r="BE381" s="83"/>
      <c r="BF381" s="405"/>
      <c r="BL381" s="83"/>
      <c r="BM381" s="405"/>
      <c r="BS381" s="83"/>
      <c r="BT381" s="405"/>
      <c r="BZ381" s="83"/>
      <c r="CA381" s="405"/>
      <c r="CG381" s="83"/>
    </row>
    <row r="382">
      <c r="B382" s="405"/>
      <c r="H382" s="83"/>
      <c r="I382" s="405"/>
      <c r="O382" s="83"/>
      <c r="P382" s="405"/>
      <c r="V382" s="83"/>
      <c r="W382" s="405"/>
      <c r="AC382" s="83"/>
      <c r="AD382" s="405"/>
      <c r="AJ382" s="83"/>
      <c r="AK382" s="405"/>
      <c r="AQ382" s="83"/>
      <c r="AX382" s="83"/>
      <c r="BE382" s="83"/>
      <c r="BF382" s="405"/>
      <c r="BL382" s="83"/>
      <c r="BM382" s="405"/>
      <c r="BS382" s="83"/>
      <c r="BT382" s="405"/>
      <c r="BZ382" s="83"/>
      <c r="CA382" s="405"/>
      <c r="CG382" s="83"/>
    </row>
    <row r="383">
      <c r="B383" s="405"/>
      <c r="H383" s="83"/>
      <c r="I383" s="405"/>
      <c r="O383" s="83"/>
      <c r="P383" s="405"/>
      <c r="V383" s="83"/>
      <c r="W383" s="405"/>
      <c r="AC383" s="83"/>
      <c r="AD383" s="405"/>
      <c r="AJ383" s="83"/>
      <c r="AK383" s="405"/>
      <c r="AQ383" s="83"/>
      <c r="AX383" s="83"/>
      <c r="BE383" s="83"/>
      <c r="BF383" s="405"/>
      <c r="BL383" s="83"/>
      <c r="BM383" s="405"/>
      <c r="BS383" s="83"/>
      <c r="BT383" s="405"/>
      <c r="BZ383" s="83"/>
      <c r="CA383" s="405"/>
      <c r="CG383" s="83"/>
    </row>
    <row r="384">
      <c r="B384" s="405"/>
      <c r="H384" s="83"/>
      <c r="I384" s="405"/>
      <c r="O384" s="83"/>
      <c r="P384" s="405"/>
      <c r="V384" s="83"/>
      <c r="W384" s="405"/>
      <c r="AC384" s="83"/>
      <c r="AD384" s="405"/>
      <c r="AJ384" s="83"/>
      <c r="AK384" s="405"/>
      <c r="AQ384" s="83"/>
      <c r="AX384" s="83"/>
      <c r="BE384" s="83"/>
      <c r="BF384" s="405"/>
      <c r="BL384" s="83"/>
      <c r="BM384" s="405"/>
      <c r="BS384" s="83"/>
      <c r="BT384" s="405"/>
      <c r="BZ384" s="83"/>
      <c r="CA384" s="405"/>
      <c r="CG384" s="83"/>
    </row>
    <row r="385">
      <c r="B385" s="405"/>
      <c r="H385" s="83"/>
      <c r="I385" s="405"/>
      <c r="O385" s="83"/>
      <c r="P385" s="405"/>
      <c r="V385" s="83"/>
      <c r="W385" s="405"/>
      <c r="AC385" s="83"/>
      <c r="AD385" s="405"/>
      <c r="AJ385" s="83"/>
      <c r="AK385" s="405"/>
      <c r="AQ385" s="83"/>
      <c r="AX385" s="83"/>
      <c r="BE385" s="83"/>
      <c r="BF385" s="405"/>
      <c r="BL385" s="83"/>
      <c r="BM385" s="405"/>
      <c r="BS385" s="83"/>
      <c r="BT385" s="405"/>
      <c r="BZ385" s="83"/>
      <c r="CA385" s="405"/>
      <c r="CG385" s="83"/>
    </row>
    <row r="386">
      <c r="B386" s="405"/>
      <c r="H386" s="83"/>
      <c r="I386" s="405"/>
      <c r="O386" s="83"/>
      <c r="P386" s="405"/>
      <c r="V386" s="83"/>
      <c r="W386" s="405"/>
      <c r="AC386" s="83"/>
      <c r="AD386" s="405"/>
      <c r="AJ386" s="83"/>
      <c r="AK386" s="405"/>
      <c r="AQ386" s="83"/>
      <c r="AX386" s="83"/>
      <c r="BE386" s="83"/>
      <c r="BF386" s="405"/>
      <c r="BL386" s="83"/>
      <c r="BM386" s="405"/>
      <c r="BS386" s="83"/>
      <c r="BT386" s="405"/>
      <c r="BZ386" s="83"/>
      <c r="CA386" s="405"/>
      <c r="CG386" s="83"/>
    </row>
    <row r="387">
      <c r="B387" s="405"/>
      <c r="H387" s="83"/>
      <c r="I387" s="405"/>
      <c r="O387" s="83"/>
      <c r="P387" s="405"/>
      <c r="V387" s="83"/>
      <c r="W387" s="405"/>
      <c r="AC387" s="83"/>
      <c r="AD387" s="405"/>
      <c r="AJ387" s="83"/>
      <c r="AK387" s="405"/>
      <c r="AQ387" s="83"/>
      <c r="AX387" s="83"/>
      <c r="BE387" s="83"/>
      <c r="BF387" s="405"/>
      <c r="BL387" s="83"/>
      <c r="BM387" s="405"/>
      <c r="BS387" s="83"/>
      <c r="BT387" s="405"/>
      <c r="BZ387" s="83"/>
      <c r="CA387" s="405"/>
      <c r="CG387" s="83"/>
    </row>
    <row r="388">
      <c r="B388" s="405"/>
      <c r="H388" s="83"/>
      <c r="I388" s="405"/>
      <c r="O388" s="83"/>
      <c r="P388" s="405"/>
      <c r="V388" s="83"/>
      <c r="W388" s="405"/>
      <c r="AC388" s="83"/>
      <c r="AD388" s="405"/>
      <c r="AJ388" s="83"/>
      <c r="AK388" s="405"/>
      <c r="AQ388" s="83"/>
      <c r="AX388" s="83"/>
      <c r="BE388" s="83"/>
      <c r="BF388" s="405"/>
      <c r="BL388" s="83"/>
      <c r="BM388" s="405"/>
      <c r="BS388" s="83"/>
      <c r="BT388" s="405"/>
      <c r="BZ388" s="83"/>
      <c r="CA388" s="405"/>
      <c r="CG388" s="83"/>
    </row>
    <row r="389">
      <c r="B389" s="405"/>
      <c r="H389" s="83"/>
      <c r="I389" s="405"/>
      <c r="O389" s="83"/>
      <c r="P389" s="405"/>
      <c r="V389" s="83"/>
      <c r="W389" s="405"/>
      <c r="AC389" s="83"/>
      <c r="AD389" s="405"/>
      <c r="AJ389" s="83"/>
      <c r="AK389" s="405"/>
      <c r="AQ389" s="83"/>
      <c r="AX389" s="83"/>
      <c r="BE389" s="83"/>
      <c r="BF389" s="405"/>
      <c r="BL389" s="83"/>
      <c r="BM389" s="405"/>
      <c r="BS389" s="83"/>
      <c r="BT389" s="405"/>
      <c r="BZ389" s="83"/>
      <c r="CA389" s="405"/>
      <c r="CG389" s="83"/>
    </row>
    <row r="390">
      <c r="B390" s="405"/>
      <c r="H390" s="83"/>
      <c r="I390" s="405"/>
      <c r="O390" s="83"/>
      <c r="P390" s="405"/>
      <c r="V390" s="83"/>
      <c r="W390" s="405"/>
      <c r="AC390" s="83"/>
      <c r="AD390" s="405"/>
      <c r="AJ390" s="83"/>
      <c r="AK390" s="405"/>
      <c r="AQ390" s="83"/>
      <c r="AX390" s="83"/>
      <c r="BE390" s="83"/>
      <c r="BF390" s="405"/>
      <c r="BL390" s="83"/>
      <c r="BM390" s="405"/>
      <c r="BS390" s="83"/>
      <c r="BT390" s="405"/>
      <c r="BZ390" s="83"/>
      <c r="CA390" s="405"/>
      <c r="CG390" s="83"/>
    </row>
    <row r="391">
      <c r="B391" s="405"/>
      <c r="H391" s="83"/>
      <c r="I391" s="405"/>
      <c r="O391" s="83"/>
      <c r="P391" s="405"/>
      <c r="V391" s="83"/>
      <c r="W391" s="405"/>
      <c r="AC391" s="83"/>
      <c r="AD391" s="405"/>
      <c r="AJ391" s="83"/>
      <c r="AK391" s="405"/>
      <c r="AQ391" s="83"/>
      <c r="AX391" s="83"/>
      <c r="BE391" s="83"/>
      <c r="BF391" s="405"/>
      <c r="BL391" s="83"/>
      <c r="BM391" s="405"/>
      <c r="BS391" s="83"/>
      <c r="BT391" s="405"/>
      <c r="BZ391" s="83"/>
      <c r="CA391" s="405"/>
      <c r="CG391" s="83"/>
    </row>
    <row r="392">
      <c r="B392" s="405"/>
      <c r="H392" s="83"/>
      <c r="I392" s="405"/>
      <c r="O392" s="83"/>
      <c r="P392" s="405"/>
      <c r="V392" s="83"/>
      <c r="W392" s="405"/>
      <c r="AC392" s="83"/>
      <c r="AD392" s="405"/>
      <c r="AJ392" s="83"/>
      <c r="AK392" s="405"/>
      <c r="AQ392" s="83"/>
      <c r="AX392" s="83"/>
      <c r="BE392" s="83"/>
      <c r="BF392" s="405"/>
      <c r="BL392" s="83"/>
      <c r="BM392" s="405"/>
      <c r="BS392" s="83"/>
      <c r="BT392" s="405"/>
      <c r="BZ392" s="83"/>
      <c r="CA392" s="405"/>
      <c r="CG392" s="83"/>
    </row>
    <row r="393">
      <c r="B393" s="405"/>
      <c r="H393" s="83"/>
      <c r="I393" s="405"/>
      <c r="O393" s="83"/>
      <c r="P393" s="405"/>
      <c r="V393" s="83"/>
      <c r="W393" s="405"/>
      <c r="AC393" s="83"/>
      <c r="AD393" s="405"/>
      <c r="AJ393" s="83"/>
      <c r="AK393" s="405"/>
      <c r="AQ393" s="83"/>
      <c r="AX393" s="83"/>
      <c r="BE393" s="83"/>
      <c r="BF393" s="405"/>
      <c r="BL393" s="83"/>
      <c r="BM393" s="405"/>
      <c r="BS393" s="83"/>
      <c r="BT393" s="405"/>
      <c r="BZ393" s="83"/>
      <c r="CA393" s="405"/>
      <c r="CG393" s="83"/>
    </row>
    <row r="394">
      <c r="B394" s="405"/>
      <c r="H394" s="83"/>
      <c r="I394" s="405"/>
      <c r="O394" s="83"/>
      <c r="P394" s="405"/>
      <c r="V394" s="83"/>
      <c r="W394" s="405"/>
      <c r="AC394" s="83"/>
      <c r="AD394" s="405"/>
      <c r="AJ394" s="83"/>
      <c r="AK394" s="405"/>
      <c r="AQ394" s="83"/>
      <c r="AX394" s="83"/>
      <c r="BE394" s="83"/>
      <c r="BF394" s="405"/>
      <c r="BL394" s="83"/>
      <c r="BM394" s="405"/>
      <c r="BS394" s="83"/>
      <c r="BT394" s="405"/>
      <c r="BZ394" s="83"/>
      <c r="CA394" s="405"/>
      <c r="CG394" s="83"/>
    </row>
    <row r="395">
      <c r="B395" s="405"/>
      <c r="H395" s="83"/>
      <c r="I395" s="405"/>
      <c r="O395" s="83"/>
      <c r="P395" s="405"/>
      <c r="V395" s="83"/>
      <c r="W395" s="405"/>
      <c r="AC395" s="83"/>
      <c r="AD395" s="405"/>
      <c r="AJ395" s="83"/>
      <c r="AK395" s="405"/>
      <c r="AQ395" s="83"/>
      <c r="AX395" s="83"/>
      <c r="BE395" s="83"/>
      <c r="BF395" s="405"/>
      <c r="BL395" s="83"/>
      <c r="BM395" s="405"/>
      <c r="BS395" s="83"/>
      <c r="BT395" s="405"/>
      <c r="BZ395" s="83"/>
      <c r="CA395" s="405"/>
      <c r="CG395" s="83"/>
    </row>
    <row r="396">
      <c r="B396" s="405"/>
      <c r="H396" s="83"/>
      <c r="I396" s="405"/>
      <c r="O396" s="83"/>
      <c r="P396" s="405"/>
      <c r="V396" s="83"/>
      <c r="W396" s="405"/>
      <c r="AC396" s="83"/>
      <c r="AD396" s="405"/>
      <c r="AJ396" s="83"/>
      <c r="AK396" s="405"/>
      <c r="AQ396" s="83"/>
      <c r="AX396" s="83"/>
      <c r="BE396" s="83"/>
      <c r="BF396" s="405"/>
      <c r="BL396" s="83"/>
      <c r="BM396" s="405"/>
      <c r="BS396" s="83"/>
      <c r="BT396" s="405"/>
      <c r="BZ396" s="83"/>
      <c r="CA396" s="405"/>
      <c r="CG396" s="83"/>
    </row>
    <row r="397">
      <c r="B397" s="405"/>
      <c r="H397" s="83"/>
      <c r="I397" s="405"/>
      <c r="O397" s="83"/>
      <c r="P397" s="405"/>
      <c r="V397" s="83"/>
      <c r="W397" s="405"/>
      <c r="AC397" s="83"/>
      <c r="AD397" s="405"/>
      <c r="AJ397" s="83"/>
      <c r="AK397" s="405"/>
      <c r="AQ397" s="83"/>
      <c r="AX397" s="83"/>
      <c r="BE397" s="83"/>
      <c r="BF397" s="405"/>
      <c r="BL397" s="83"/>
      <c r="BM397" s="405"/>
      <c r="BS397" s="83"/>
      <c r="BT397" s="405"/>
      <c r="BZ397" s="83"/>
      <c r="CA397" s="405"/>
      <c r="CG397" s="83"/>
    </row>
    <row r="398">
      <c r="B398" s="405"/>
      <c r="H398" s="83"/>
      <c r="I398" s="405"/>
      <c r="O398" s="83"/>
      <c r="P398" s="405"/>
      <c r="V398" s="83"/>
      <c r="W398" s="405"/>
      <c r="AC398" s="83"/>
      <c r="AD398" s="405"/>
      <c r="AJ398" s="83"/>
      <c r="AK398" s="405"/>
      <c r="AQ398" s="83"/>
      <c r="AX398" s="83"/>
      <c r="BE398" s="83"/>
      <c r="BF398" s="405"/>
      <c r="BL398" s="83"/>
      <c r="BM398" s="405"/>
      <c r="BS398" s="83"/>
      <c r="BT398" s="405"/>
      <c r="BZ398" s="83"/>
      <c r="CA398" s="405"/>
      <c r="CG398" s="83"/>
    </row>
    <row r="399">
      <c r="B399" s="405"/>
      <c r="H399" s="83"/>
      <c r="I399" s="405"/>
      <c r="O399" s="83"/>
      <c r="P399" s="405"/>
      <c r="V399" s="83"/>
      <c r="W399" s="405"/>
      <c r="AC399" s="83"/>
      <c r="AD399" s="405"/>
      <c r="AJ399" s="83"/>
      <c r="AK399" s="405"/>
      <c r="AQ399" s="83"/>
      <c r="AX399" s="83"/>
      <c r="BE399" s="83"/>
      <c r="BF399" s="405"/>
      <c r="BL399" s="83"/>
      <c r="BM399" s="405"/>
      <c r="BS399" s="83"/>
      <c r="BT399" s="405"/>
      <c r="BZ399" s="83"/>
      <c r="CA399" s="405"/>
      <c r="CG399" s="83"/>
    </row>
    <row r="400">
      <c r="B400" s="405"/>
      <c r="H400" s="83"/>
      <c r="I400" s="405"/>
      <c r="O400" s="83"/>
      <c r="P400" s="405"/>
      <c r="V400" s="83"/>
      <c r="W400" s="405"/>
      <c r="AC400" s="83"/>
      <c r="AD400" s="405"/>
      <c r="AJ400" s="83"/>
      <c r="AK400" s="405"/>
      <c r="AQ400" s="83"/>
      <c r="AX400" s="83"/>
      <c r="BE400" s="83"/>
      <c r="BF400" s="405"/>
      <c r="BL400" s="83"/>
      <c r="BM400" s="405"/>
      <c r="BS400" s="83"/>
      <c r="BT400" s="405"/>
      <c r="BZ400" s="83"/>
      <c r="CA400" s="405"/>
      <c r="CG400" s="83"/>
    </row>
    <row r="401">
      <c r="B401" s="405"/>
      <c r="H401" s="83"/>
      <c r="I401" s="405"/>
      <c r="O401" s="83"/>
      <c r="P401" s="405"/>
      <c r="V401" s="83"/>
      <c r="W401" s="405"/>
      <c r="AC401" s="83"/>
      <c r="AD401" s="405"/>
      <c r="AJ401" s="83"/>
      <c r="AK401" s="405"/>
      <c r="AQ401" s="83"/>
      <c r="AX401" s="83"/>
      <c r="BE401" s="83"/>
      <c r="BF401" s="405"/>
      <c r="BL401" s="83"/>
      <c r="BM401" s="405"/>
      <c r="BS401" s="83"/>
      <c r="BT401" s="405"/>
      <c r="BZ401" s="83"/>
      <c r="CA401" s="405"/>
      <c r="CG401" s="83"/>
    </row>
    <row r="402">
      <c r="B402" s="405"/>
      <c r="H402" s="83"/>
      <c r="I402" s="405"/>
      <c r="O402" s="83"/>
      <c r="P402" s="405"/>
      <c r="V402" s="83"/>
      <c r="W402" s="405"/>
      <c r="AC402" s="83"/>
      <c r="AD402" s="405"/>
      <c r="AJ402" s="83"/>
      <c r="AK402" s="405"/>
      <c r="AQ402" s="83"/>
      <c r="AX402" s="83"/>
      <c r="BE402" s="83"/>
      <c r="BF402" s="405"/>
      <c r="BL402" s="83"/>
      <c r="BM402" s="405"/>
      <c r="BS402" s="83"/>
      <c r="BT402" s="405"/>
      <c r="BZ402" s="83"/>
      <c r="CA402" s="405"/>
      <c r="CG402" s="83"/>
    </row>
    <row r="403">
      <c r="B403" s="405"/>
      <c r="H403" s="83"/>
      <c r="I403" s="405"/>
      <c r="O403" s="83"/>
      <c r="P403" s="405"/>
      <c r="V403" s="83"/>
      <c r="W403" s="405"/>
      <c r="AC403" s="83"/>
      <c r="AD403" s="405"/>
      <c r="AJ403" s="83"/>
      <c r="AK403" s="405"/>
      <c r="AQ403" s="83"/>
      <c r="AX403" s="83"/>
      <c r="BE403" s="83"/>
      <c r="BF403" s="405"/>
      <c r="BL403" s="83"/>
      <c r="BM403" s="405"/>
      <c r="BS403" s="83"/>
      <c r="BT403" s="405"/>
      <c r="BZ403" s="83"/>
      <c r="CA403" s="405"/>
      <c r="CG403" s="83"/>
    </row>
    <row r="404">
      <c r="B404" s="405"/>
      <c r="H404" s="83"/>
      <c r="I404" s="405"/>
      <c r="O404" s="83"/>
      <c r="P404" s="405"/>
      <c r="V404" s="83"/>
      <c r="W404" s="405"/>
      <c r="AC404" s="83"/>
      <c r="AD404" s="405"/>
      <c r="AJ404" s="83"/>
      <c r="AK404" s="405"/>
      <c r="AQ404" s="83"/>
      <c r="AX404" s="83"/>
      <c r="BE404" s="83"/>
      <c r="BF404" s="405"/>
      <c r="BL404" s="83"/>
      <c r="BM404" s="405"/>
      <c r="BS404" s="83"/>
      <c r="BT404" s="405"/>
      <c r="BZ404" s="83"/>
      <c r="CA404" s="405"/>
      <c r="CG404" s="83"/>
    </row>
    <row r="405">
      <c r="B405" s="405"/>
      <c r="H405" s="83"/>
      <c r="I405" s="405"/>
      <c r="O405" s="83"/>
      <c r="P405" s="405"/>
      <c r="V405" s="83"/>
      <c r="W405" s="405"/>
      <c r="AC405" s="83"/>
      <c r="AD405" s="405"/>
      <c r="AJ405" s="83"/>
      <c r="AK405" s="405"/>
      <c r="AQ405" s="83"/>
      <c r="AX405" s="83"/>
      <c r="BE405" s="83"/>
      <c r="BF405" s="405"/>
      <c r="BL405" s="83"/>
      <c r="BM405" s="405"/>
      <c r="BS405" s="83"/>
      <c r="BT405" s="405"/>
      <c r="BZ405" s="83"/>
      <c r="CA405" s="405"/>
      <c r="CG405" s="83"/>
    </row>
    <row r="406">
      <c r="B406" s="405"/>
      <c r="H406" s="83"/>
      <c r="I406" s="405"/>
      <c r="O406" s="83"/>
      <c r="P406" s="405"/>
      <c r="V406" s="83"/>
      <c r="W406" s="405"/>
      <c r="AC406" s="83"/>
      <c r="AD406" s="405"/>
      <c r="AJ406" s="83"/>
      <c r="AK406" s="405"/>
      <c r="AQ406" s="83"/>
      <c r="AX406" s="83"/>
      <c r="BE406" s="83"/>
      <c r="BF406" s="405"/>
      <c r="BL406" s="83"/>
      <c r="BM406" s="405"/>
      <c r="BS406" s="83"/>
      <c r="BT406" s="405"/>
      <c r="BZ406" s="83"/>
      <c r="CA406" s="405"/>
      <c r="CG406" s="83"/>
    </row>
    <row r="407">
      <c r="B407" s="405"/>
      <c r="H407" s="83"/>
      <c r="I407" s="405"/>
      <c r="O407" s="83"/>
      <c r="P407" s="405"/>
      <c r="V407" s="83"/>
      <c r="W407" s="405"/>
      <c r="AC407" s="83"/>
      <c r="AD407" s="405"/>
      <c r="AJ407" s="83"/>
      <c r="AK407" s="405"/>
      <c r="AQ407" s="83"/>
      <c r="AX407" s="83"/>
      <c r="BE407" s="83"/>
      <c r="BF407" s="405"/>
      <c r="BL407" s="83"/>
      <c r="BM407" s="405"/>
      <c r="BS407" s="83"/>
      <c r="BT407" s="405"/>
      <c r="BZ407" s="83"/>
      <c r="CA407" s="405"/>
      <c r="CG407" s="83"/>
    </row>
    <row r="408">
      <c r="B408" s="405"/>
      <c r="H408" s="83"/>
      <c r="I408" s="405"/>
      <c r="O408" s="83"/>
      <c r="P408" s="405"/>
      <c r="V408" s="83"/>
      <c r="W408" s="405"/>
      <c r="AC408" s="83"/>
      <c r="AD408" s="405"/>
      <c r="AJ408" s="83"/>
      <c r="AK408" s="405"/>
      <c r="AQ408" s="83"/>
      <c r="AX408" s="83"/>
      <c r="BE408" s="83"/>
      <c r="BF408" s="405"/>
      <c r="BL408" s="83"/>
      <c r="BM408" s="405"/>
      <c r="BS408" s="83"/>
      <c r="BT408" s="405"/>
      <c r="BZ408" s="83"/>
      <c r="CA408" s="405"/>
      <c r="CG408" s="83"/>
    </row>
    <row r="409">
      <c r="B409" s="405"/>
      <c r="H409" s="83"/>
      <c r="I409" s="405"/>
      <c r="O409" s="83"/>
      <c r="P409" s="405"/>
      <c r="V409" s="83"/>
      <c r="W409" s="405"/>
      <c r="AC409" s="83"/>
      <c r="AD409" s="405"/>
      <c r="AJ409" s="83"/>
      <c r="AK409" s="405"/>
      <c r="AQ409" s="83"/>
      <c r="AX409" s="83"/>
      <c r="BE409" s="83"/>
      <c r="BF409" s="405"/>
      <c r="BL409" s="83"/>
      <c r="BM409" s="405"/>
      <c r="BS409" s="83"/>
      <c r="BT409" s="405"/>
      <c r="BZ409" s="83"/>
      <c r="CA409" s="405"/>
      <c r="CG409" s="83"/>
    </row>
    <row r="410">
      <c r="B410" s="405"/>
      <c r="H410" s="83"/>
      <c r="I410" s="405"/>
      <c r="O410" s="83"/>
      <c r="P410" s="405"/>
      <c r="V410" s="83"/>
      <c r="W410" s="405"/>
      <c r="AC410" s="83"/>
      <c r="AD410" s="405"/>
      <c r="AJ410" s="83"/>
      <c r="AK410" s="405"/>
      <c r="AQ410" s="83"/>
      <c r="AX410" s="83"/>
      <c r="BE410" s="83"/>
      <c r="BF410" s="405"/>
      <c r="BL410" s="83"/>
      <c r="BM410" s="405"/>
      <c r="BS410" s="83"/>
      <c r="BT410" s="405"/>
      <c r="BZ410" s="83"/>
      <c r="CA410" s="405"/>
      <c r="CG410" s="83"/>
    </row>
    <row r="411">
      <c r="B411" s="405"/>
      <c r="H411" s="83"/>
      <c r="I411" s="405"/>
      <c r="O411" s="83"/>
      <c r="P411" s="405"/>
      <c r="V411" s="83"/>
      <c r="W411" s="405"/>
      <c r="AC411" s="83"/>
      <c r="AD411" s="405"/>
      <c r="AJ411" s="83"/>
      <c r="AK411" s="405"/>
      <c r="AQ411" s="83"/>
      <c r="AX411" s="83"/>
      <c r="BE411" s="83"/>
      <c r="BF411" s="405"/>
      <c r="BL411" s="83"/>
      <c r="BM411" s="405"/>
      <c r="BS411" s="83"/>
      <c r="BT411" s="405"/>
      <c r="BZ411" s="83"/>
      <c r="CA411" s="405"/>
      <c r="CG411" s="83"/>
    </row>
    <row r="412">
      <c r="B412" s="405"/>
      <c r="H412" s="83"/>
      <c r="I412" s="405"/>
      <c r="O412" s="83"/>
      <c r="P412" s="405"/>
      <c r="V412" s="83"/>
      <c r="W412" s="405"/>
      <c r="AC412" s="83"/>
      <c r="AD412" s="405"/>
      <c r="AJ412" s="83"/>
      <c r="AK412" s="405"/>
      <c r="AQ412" s="83"/>
      <c r="AX412" s="83"/>
      <c r="BE412" s="83"/>
      <c r="BF412" s="405"/>
      <c r="BL412" s="83"/>
      <c r="BM412" s="405"/>
      <c r="BS412" s="83"/>
      <c r="BT412" s="405"/>
      <c r="BZ412" s="83"/>
      <c r="CA412" s="405"/>
      <c r="CG412" s="83"/>
    </row>
    <row r="413">
      <c r="B413" s="405"/>
      <c r="H413" s="83"/>
      <c r="I413" s="405"/>
      <c r="O413" s="83"/>
      <c r="P413" s="405"/>
      <c r="V413" s="83"/>
      <c r="W413" s="405"/>
      <c r="AC413" s="83"/>
      <c r="AD413" s="405"/>
      <c r="AJ413" s="83"/>
      <c r="AK413" s="405"/>
      <c r="AQ413" s="83"/>
      <c r="AX413" s="83"/>
      <c r="BE413" s="83"/>
      <c r="BF413" s="405"/>
      <c r="BL413" s="83"/>
      <c r="BM413" s="405"/>
      <c r="BS413" s="83"/>
      <c r="BT413" s="405"/>
      <c r="BZ413" s="83"/>
      <c r="CA413" s="405"/>
      <c r="CG413" s="83"/>
    </row>
    <row r="414">
      <c r="B414" s="405"/>
      <c r="H414" s="83"/>
      <c r="I414" s="405"/>
      <c r="O414" s="83"/>
      <c r="P414" s="405"/>
      <c r="V414" s="83"/>
      <c r="W414" s="405"/>
      <c r="AC414" s="83"/>
      <c r="AD414" s="405"/>
      <c r="AJ414" s="83"/>
      <c r="AK414" s="405"/>
      <c r="AQ414" s="83"/>
      <c r="AX414" s="83"/>
      <c r="BE414" s="83"/>
      <c r="BF414" s="405"/>
      <c r="BL414" s="83"/>
      <c r="BM414" s="405"/>
      <c r="BS414" s="83"/>
      <c r="BT414" s="405"/>
      <c r="BZ414" s="83"/>
      <c r="CA414" s="405"/>
      <c r="CG414" s="83"/>
    </row>
    <row r="415">
      <c r="B415" s="405"/>
      <c r="H415" s="83"/>
      <c r="I415" s="405"/>
      <c r="O415" s="83"/>
      <c r="P415" s="405"/>
      <c r="V415" s="83"/>
      <c r="W415" s="405"/>
      <c r="AC415" s="83"/>
      <c r="AD415" s="405"/>
      <c r="AJ415" s="83"/>
      <c r="AK415" s="405"/>
      <c r="AQ415" s="83"/>
      <c r="AX415" s="83"/>
      <c r="BE415" s="83"/>
      <c r="BF415" s="405"/>
      <c r="BL415" s="83"/>
      <c r="BM415" s="405"/>
      <c r="BS415" s="83"/>
      <c r="BT415" s="405"/>
      <c r="BZ415" s="83"/>
      <c r="CA415" s="405"/>
      <c r="CG415" s="83"/>
    </row>
    <row r="416">
      <c r="B416" s="405"/>
      <c r="H416" s="83"/>
      <c r="I416" s="405"/>
      <c r="O416" s="83"/>
      <c r="P416" s="405"/>
      <c r="V416" s="83"/>
      <c r="W416" s="405"/>
      <c r="AC416" s="83"/>
      <c r="AD416" s="405"/>
      <c r="AJ416" s="83"/>
      <c r="AK416" s="405"/>
      <c r="AQ416" s="83"/>
      <c r="AX416" s="83"/>
      <c r="BE416" s="83"/>
      <c r="BF416" s="405"/>
      <c r="BL416" s="83"/>
      <c r="BM416" s="405"/>
      <c r="BS416" s="83"/>
      <c r="BT416" s="405"/>
      <c r="BZ416" s="83"/>
      <c r="CA416" s="405"/>
      <c r="CG416" s="83"/>
    </row>
    <row r="417">
      <c r="B417" s="405"/>
      <c r="H417" s="83"/>
      <c r="I417" s="405"/>
      <c r="O417" s="83"/>
      <c r="P417" s="405"/>
      <c r="V417" s="83"/>
      <c r="W417" s="405"/>
      <c r="AC417" s="83"/>
      <c r="AD417" s="405"/>
      <c r="AJ417" s="83"/>
      <c r="AK417" s="405"/>
      <c r="AQ417" s="83"/>
      <c r="AX417" s="83"/>
      <c r="BE417" s="83"/>
      <c r="BF417" s="405"/>
      <c r="BL417" s="83"/>
      <c r="BM417" s="405"/>
      <c r="BS417" s="83"/>
      <c r="BT417" s="405"/>
      <c r="BZ417" s="83"/>
      <c r="CA417" s="405"/>
      <c r="CG417" s="83"/>
    </row>
    <row r="418">
      <c r="B418" s="405"/>
      <c r="H418" s="83"/>
      <c r="I418" s="405"/>
      <c r="O418" s="83"/>
      <c r="P418" s="405"/>
      <c r="V418" s="83"/>
      <c r="W418" s="405"/>
      <c r="AC418" s="83"/>
      <c r="AD418" s="405"/>
      <c r="AJ418" s="83"/>
      <c r="AK418" s="405"/>
      <c r="AQ418" s="83"/>
      <c r="AX418" s="83"/>
      <c r="BE418" s="83"/>
      <c r="BF418" s="405"/>
      <c r="BL418" s="83"/>
      <c r="BM418" s="405"/>
      <c r="BS418" s="83"/>
      <c r="BT418" s="405"/>
      <c r="BZ418" s="83"/>
      <c r="CA418" s="405"/>
      <c r="CG418" s="83"/>
    </row>
    <row r="419">
      <c r="B419" s="405"/>
      <c r="H419" s="83"/>
      <c r="I419" s="405"/>
      <c r="O419" s="83"/>
      <c r="P419" s="405"/>
      <c r="V419" s="83"/>
      <c r="W419" s="405"/>
      <c r="AC419" s="83"/>
      <c r="AD419" s="405"/>
      <c r="AJ419" s="83"/>
      <c r="AK419" s="405"/>
      <c r="AQ419" s="83"/>
      <c r="AX419" s="83"/>
      <c r="BE419" s="83"/>
      <c r="BF419" s="405"/>
      <c r="BL419" s="83"/>
      <c r="BM419" s="405"/>
      <c r="BS419" s="83"/>
      <c r="BT419" s="405"/>
      <c r="BZ419" s="83"/>
      <c r="CA419" s="405"/>
      <c r="CG419" s="83"/>
    </row>
    <row r="420">
      <c r="B420" s="405"/>
      <c r="H420" s="83"/>
      <c r="I420" s="405"/>
      <c r="O420" s="83"/>
      <c r="P420" s="405"/>
      <c r="V420" s="83"/>
      <c r="W420" s="405"/>
      <c r="AC420" s="83"/>
      <c r="AD420" s="405"/>
      <c r="AJ420" s="83"/>
      <c r="AK420" s="405"/>
      <c r="AQ420" s="83"/>
      <c r="AX420" s="83"/>
      <c r="BE420" s="83"/>
      <c r="BF420" s="405"/>
      <c r="BL420" s="83"/>
      <c r="BM420" s="405"/>
      <c r="BS420" s="83"/>
      <c r="BT420" s="405"/>
      <c r="BZ420" s="83"/>
      <c r="CA420" s="405"/>
      <c r="CG420" s="83"/>
    </row>
    <row r="421">
      <c r="B421" s="405"/>
      <c r="H421" s="83"/>
      <c r="I421" s="405"/>
      <c r="O421" s="83"/>
      <c r="P421" s="405"/>
      <c r="V421" s="83"/>
      <c r="W421" s="405"/>
      <c r="AC421" s="83"/>
      <c r="AD421" s="405"/>
      <c r="AJ421" s="83"/>
      <c r="AK421" s="405"/>
      <c r="AQ421" s="83"/>
      <c r="AX421" s="83"/>
      <c r="BE421" s="83"/>
      <c r="BF421" s="405"/>
      <c r="BL421" s="83"/>
      <c r="BM421" s="405"/>
      <c r="BS421" s="83"/>
      <c r="BT421" s="405"/>
      <c r="BZ421" s="83"/>
      <c r="CA421" s="405"/>
      <c r="CG421" s="83"/>
    </row>
    <row r="422">
      <c r="B422" s="405"/>
      <c r="H422" s="83"/>
      <c r="I422" s="405"/>
      <c r="O422" s="83"/>
      <c r="P422" s="405"/>
      <c r="V422" s="83"/>
      <c r="W422" s="405"/>
      <c r="AC422" s="83"/>
      <c r="AD422" s="405"/>
      <c r="AJ422" s="83"/>
      <c r="AK422" s="405"/>
      <c r="AQ422" s="83"/>
      <c r="AX422" s="83"/>
      <c r="BE422" s="83"/>
      <c r="BF422" s="405"/>
      <c r="BL422" s="83"/>
      <c r="BM422" s="405"/>
      <c r="BS422" s="83"/>
      <c r="BT422" s="405"/>
      <c r="BZ422" s="83"/>
      <c r="CA422" s="405"/>
      <c r="CG422" s="83"/>
    </row>
    <row r="423">
      <c r="B423" s="405"/>
      <c r="H423" s="83"/>
      <c r="I423" s="405"/>
      <c r="O423" s="83"/>
      <c r="P423" s="405"/>
      <c r="V423" s="83"/>
      <c r="W423" s="405"/>
      <c r="AC423" s="83"/>
      <c r="AD423" s="405"/>
      <c r="AJ423" s="83"/>
      <c r="AK423" s="405"/>
      <c r="AQ423" s="83"/>
      <c r="AX423" s="83"/>
      <c r="BE423" s="83"/>
      <c r="BF423" s="405"/>
      <c r="BL423" s="83"/>
      <c r="BM423" s="405"/>
      <c r="BS423" s="83"/>
      <c r="BT423" s="405"/>
      <c r="BZ423" s="83"/>
      <c r="CA423" s="405"/>
      <c r="CG423" s="83"/>
    </row>
    <row r="424">
      <c r="B424" s="405"/>
      <c r="H424" s="83"/>
      <c r="I424" s="405"/>
      <c r="O424" s="83"/>
      <c r="P424" s="405"/>
      <c r="V424" s="83"/>
      <c r="W424" s="405"/>
      <c r="AC424" s="83"/>
      <c r="AD424" s="405"/>
      <c r="AJ424" s="83"/>
      <c r="AK424" s="405"/>
      <c r="AQ424" s="83"/>
      <c r="AX424" s="83"/>
      <c r="BE424" s="83"/>
      <c r="BF424" s="405"/>
      <c r="BL424" s="83"/>
      <c r="BM424" s="405"/>
      <c r="BS424" s="83"/>
      <c r="BT424" s="405"/>
      <c r="BZ424" s="83"/>
      <c r="CA424" s="405"/>
      <c r="CG424" s="83"/>
    </row>
    <row r="425">
      <c r="B425" s="405"/>
      <c r="H425" s="83"/>
      <c r="I425" s="405"/>
      <c r="O425" s="83"/>
      <c r="P425" s="405"/>
      <c r="V425" s="83"/>
      <c r="W425" s="405"/>
      <c r="AC425" s="83"/>
      <c r="AD425" s="405"/>
      <c r="AJ425" s="83"/>
      <c r="AK425" s="405"/>
      <c r="AQ425" s="83"/>
      <c r="AX425" s="83"/>
      <c r="BE425" s="83"/>
      <c r="BF425" s="405"/>
      <c r="BL425" s="83"/>
      <c r="BM425" s="405"/>
      <c r="BS425" s="83"/>
      <c r="BT425" s="405"/>
      <c r="BZ425" s="83"/>
      <c r="CA425" s="405"/>
      <c r="CG425" s="83"/>
    </row>
    <row r="426">
      <c r="B426" s="405"/>
      <c r="H426" s="83"/>
      <c r="I426" s="405"/>
      <c r="O426" s="83"/>
      <c r="P426" s="405"/>
      <c r="V426" s="83"/>
      <c r="W426" s="405"/>
      <c r="AC426" s="83"/>
      <c r="AD426" s="405"/>
      <c r="AJ426" s="83"/>
      <c r="AK426" s="405"/>
      <c r="AQ426" s="83"/>
      <c r="AX426" s="83"/>
      <c r="BE426" s="83"/>
      <c r="BF426" s="405"/>
      <c r="BL426" s="83"/>
      <c r="BM426" s="405"/>
      <c r="BS426" s="83"/>
      <c r="BT426" s="405"/>
      <c r="BZ426" s="83"/>
      <c r="CA426" s="405"/>
      <c r="CG426" s="83"/>
    </row>
    <row r="427">
      <c r="B427" s="405"/>
      <c r="H427" s="83"/>
      <c r="I427" s="405"/>
      <c r="O427" s="83"/>
      <c r="P427" s="405"/>
      <c r="V427" s="83"/>
      <c r="W427" s="405"/>
      <c r="AC427" s="83"/>
      <c r="AD427" s="405"/>
      <c r="AJ427" s="83"/>
      <c r="AK427" s="405"/>
      <c r="AQ427" s="83"/>
      <c r="AX427" s="83"/>
      <c r="BE427" s="83"/>
      <c r="BF427" s="405"/>
      <c r="BL427" s="83"/>
      <c r="BM427" s="405"/>
      <c r="BS427" s="83"/>
      <c r="BT427" s="405"/>
      <c r="BZ427" s="83"/>
      <c r="CA427" s="405"/>
      <c r="CG427" s="83"/>
    </row>
    <row r="428">
      <c r="B428" s="405"/>
      <c r="H428" s="83"/>
      <c r="I428" s="405"/>
      <c r="O428" s="83"/>
      <c r="P428" s="405"/>
      <c r="V428" s="83"/>
      <c r="W428" s="405"/>
      <c r="AC428" s="83"/>
      <c r="AD428" s="405"/>
      <c r="AJ428" s="83"/>
      <c r="AK428" s="405"/>
      <c r="AQ428" s="83"/>
      <c r="AX428" s="83"/>
      <c r="BE428" s="83"/>
      <c r="BF428" s="405"/>
      <c r="BL428" s="83"/>
      <c r="BM428" s="405"/>
      <c r="BS428" s="83"/>
      <c r="BT428" s="405"/>
      <c r="BZ428" s="83"/>
      <c r="CA428" s="405"/>
      <c r="CG428" s="83"/>
    </row>
    <row r="429">
      <c r="B429" s="405"/>
      <c r="H429" s="83"/>
      <c r="I429" s="405"/>
      <c r="O429" s="83"/>
      <c r="P429" s="405"/>
      <c r="V429" s="83"/>
      <c r="W429" s="405"/>
      <c r="AC429" s="83"/>
      <c r="AD429" s="405"/>
      <c r="AJ429" s="83"/>
      <c r="AK429" s="405"/>
      <c r="AQ429" s="83"/>
      <c r="AX429" s="83"/>
      <c r="BE429" s="83"/>
      <c r="BF429" s="405"/>
      <c r="BL429" s="83"/>
      <c r="BM429" s="405"/>
      <c r="BS429" s="83"/>
      <c r="BT429" s="405"/>
      <c r="BZ429" s="83"/>
      <c r="CA429" s="405"/>
      <c r="CG429" s="83"/>
    </row>
    <row r="430">
      <c r="B430" s="405"/>
      <c r="H430" s="83"/>
      <c r="I430" s="405"/>
      <c r="O430" s="83"/>
      <c r="P430" s="405"/>
      <c r="V430" s="83"/>
      <c r="W430" s="405"/>
      <c r="AC430" s="83"/>
      <c r="AD430" s="405"/>
      <c r="AJ430" s="83"/>
      <c r="AK430" s="405"/>
      <c r="AQ430" s="83"/>
      <c r="AX430" s="83"/>
      <c r="BE430" s="83"/>
      <c r="BF430" s="405"/>
      <c r="BL430" s="83"/>
      <c r="BM430" s="405"/>
      <c r="BS430" s="83"/>
      <c r="BT430" s="405"/>
      <c r="BZ430" s="83"/>
      <c r="CA430" s="405"/>
      <c r="CG430" s="83"/>
    </row>
    <row r="431">
      <c r="B431" s="405"/>
      <c r="H431" s="83"/>
      <c r="I431" s="405"/>
      <c r="O431" s="83"/>
      <c r="P431" s="405"/>
      <c r="V431" s="83"/>
      <c r="W431" s="405"/>
      <c r="AC431" s="83"/>
      <c r="AD431" s="405"/>
      <c r="AJ431" s="83"/>
      <c r="AK431" s="405"/>
      <c r="AQ431" s="83"/>
      <c r="AX431" s="83"/>
      <c r="BE431" s="83"/>
      <c r="BF431" s="405"/>
      <c r="BL431" s="83"/>
      <c r="BM431" s="405"/>
      <c r="BS431" s="83"/>
      <c r="BT431" s="405"/>
      <c r="BZ431" s="83"/>
      <c r="CA431" s="405"/>
      <c r="CG431" s="83"/>
    </row>
    <row r="432">
      <c r="B432" s="405"/>
      <c r="H432" s="83"/>
      <c r="I432" s="405"/>
      <c r="O432" s="83"/>
      <c r="P432" s="405"/>
      <c r="V432" s="83"/>
      <c r="W432" s="405"/>
      <c r="AC432" s="83"/>
      <c r="AD432" s="405"/>
      <c r="AJ432" s="83"/>
      <c r="AK432" s="405"/>
      <c r="AQ432" s="83"/>
      <c r="AX432" s="83"/>
      <c r="BE432" s="83"/>
      <c r="BF432" s="405"/>
      <c r="BL432" s="83"/>
      <c r="BM432" s="405"/>
      <c r="BS432" s="83"/>
      <c r="BT432" s="405"/>
      <c r="BZ432" s="83"/>
      <c r="CA432" s="405"/>
      <c r="CG432" s="83"/>
    </row>
    <row r="433">
      <c r="B433" s="405"/>
      <c r="H433" s="83"/>
      <c r="I433" s="405"/>
      <c r="O433" s="83"/>
      <c r="P433" s="405"/>
      <c r="V433" s="83"/>
      <c r="W433" s="405"/>
      <c r="AC433" s="83"/>
      <c r="AD433" s="405"/>
      <c r="AJ433" s="83"/>
      <c r="AK433" s="405"/>
      <c r="AQ433" s="83"/>
      <c r="AX433" s="83"/>
      <c r="BE433" s="83"/>
      <c r="BF433" s="405"/>
      <c r="BL433" s="83"/>
      <c r="BM433" s="405"/>
      <c r="BS433" s="83"/>
      <c r="BT433" s="405"/>
      <c r="BZ433" s="83"/>
      <c r="CA433" s="405"/>
      <c r="CG433" s="83"/>
    </row>
    <row r="434">
      <c r="B434" s="405"/>
      <c r="H434" s="83"/>
      <c r="I434" s="405"/>
      <c r="O434" s="83"/>
      <c r="P434" s="405"/>
      <c r="V434" s="83"/>
      <c r="W434" s="405"/>
      <c r="AC434" s="83"/>
      <c r="AD434" s="405"/>
      <c r="AJ434" s="83"/>
      <c r="AK434" s="405"/>
      <c r="AQ434" s="83"/>
      <c r="AX434" s="83"/>
      <c r="BE434" s="83"/>
      <c r="BF434" s="405"/>
      <c r="BL434" s="83"/>
      <c r="BM434" s="405"/>
      <c r="BS434" s="83"/>
      <c r="BT434" s="405"/>
      <c r="BZ434" s="83"/>
      <c r="CA434" s="405"/>
      <c r="CG434" s="83"/>
    </row>
    <row r="435">
      <c r="B435" s="405"/>
      <c r="H435" s="83"/>
      <c r="I435" s="405"/>
      <c r="O435" s="83"/>
      <c r="P435" s="405"/>
      <c r="V435" s="83"/>
      <c r="W435" s="405"/>
      <c r="AC435" s="83"/>
      <c r="AD435" s="405"/>
      <c r="AJ435" s="83"/>
      <c r="AK435" s="405"/>
      <c r="AQ435" s="83"/>
      <c r="AX435" s="83"/>
      <c r="BE435" s="83"/>
      <c r="BF435" s="405"/>
      <c r="BL435" s="83"/>
      <c r="BM435" s="405"/>
      <c r="BS435" s="83"/>
      <c r="BT435" s="405"/>
      <c r="BZ435" s="83"/>
      <c r="CA435" s="405"/>
      <c r="CG435" s="83"/>
    </row>
    <row r="436">
      <c r="B436" s="405"/>
      <c r="H436" s="83"/>
      <c r="I436" s="405"/>
      <c r="O436" s="83"/>
      <c r="P436" s="405"/>
      <c r="V436" s="83"/>
      <c r="W436" s="405"/>
      <c r="AC436" s="83"/>
      <c r="AD436" s="405"/>
      <c r="AJ436" s="83"/>
      <c r="AK436" s="405"/>
      <c r="AQ436" s="83"/>
      <c r="AX436" s="83"/>
      <c r="BE436" s="83"/>
      <c r="BF436" s="405"/>
      <c r="BL436" s="83"/>
      <c r="BM436" s="405"/>
      <c r="BS436" s="83"/>
      <c r="BT436" s="405"/>
      <c r="BZ436" s="83"/>
      <c r="CA436" s="405"/>
      <c r="CG436" s="83"/>
    </row>
    <row r="437">
      <c r="B437" s="405"/>
      <c r="H437" s="83"/>
      <c r="I437" s="405"/>
      <c r="O437" s="83"/>
      <c r="P437" s="405"/>
      <c r="V437" s="83"/>
      <c r="W437" s="405"/>
      <c r="AC437" s="83"/>
      <c r="AD437" s="405"/>
      <c r="AJ437" s="83"/>
      <c r="AK437" s="405"/>
      <c r="AQ437" s="83"/>
      <c r="AX437" s="83"/>
      <c r="BE437" s="83"/>
      <c r="BF437" s="405"/>
      <c r="BL437" s="83"/>
      <c r="BM437" s="405"/>
      <c r="BS437" s="83"/>
      <c r="BT437" s="405"/>
      <c r="BZ437" s="83"/>
      <c r="CA437" s="405"/>
      <c r="CG437" s="83"/>
    </row>
    <row r="438">
      <c r="B438" s="405"/>
      <c r="H438" s="83"/>
      <c r="I438" s="405"/>
      <c r="O438" s="83"/>
      <c r="P438" s="405"/>
      <c r="V438" s="83"/>
      <c r="W438" s="405"/>
      <c r="AC438" s="83"/>
      <c r="AD438" s="405"/>
      <c r="AJ438" s="83"/>
      <c r="AK438" s="405"/>
      <c r="AQ438" s="83"/>
      <c r="AX438" s="83"/>
      <c r="BE438" s="83"/>
      <c r="BF438" s="405"/>
      <c r="BL438" s="83"/>
      <c r="BM438" s="405"/>
      <c r="BS438" s="83"/>
      <c r="BT438" s="405"/>
      <c r="BZ438" s="83"/>
      <c r="CA438" s="405"/>
      <c r="CG438" s="83"/>
    </row>
    <row r="439">
      <c r="B439" s="405"/>
      <c r="H439" s="83"/>
      <c r="I439" s="405"/>
      <c r="O439" s="83"/>
      <c r="P439" s="405"/>
      <c r="V439" s="83"/>
      <c r="W439" s="405"/>
      <c r="AC439" s="83"/>
      <c r="AD439" s="405"/>
      <c r="AJ439" s="83"/>
      <c r="AK439" s="405"/>
      <c r="AQ439" s="83"/>
      <c r="AX439" s="83"/>
      <c r="BE439" s="83"/>
      <c r="BF439" s="405"/>
      <c r="BL439" s="83"/>
      <c r="BM439" s="405"/>
      <c r="BS439" s="83"/>
      <c r="BT439" s="405"/>
      <c r="BZ439" s="83"/>
      <c r="CA439" s="405"/>
      <c r="CG439" s="83"/>
    </row>
    <row r="440">
      <c r="B440" s="405"/>
      <c r="H440" s="83"/>
      <c r="I440" s="405"/>
      <c r="O440" s="83"/>
      <c r="P440" s="405"/>
      <c r="V440" s="83"/>
      <c r="W440" s="405"/>
      <c r="AC440" s="83"/>
      <c r="AD440" s="405"/>
      <c r="AJ440" s="83"/>
      <c r="AK440" s="405"/>
      <c r="AQ440" s="83"/>
      <c r="AX440" s="83"/>
      <c r="BE440" s="83"/>
      <c r="BF440" s="405"/>
      <c r="BL440" s="83"/>
      <c r="BM440" s="405"/>
      <c r="BS440" s="83"/>
      <c r="BT440" s="405"/>
      <c r="BZ440" s="83"/>
      <c r="CA440" s="405"/>
      <c r="CG440" s="83"/>
    </row>
    <row r="441">
      <c r="B441" s="405"/>
      <c r="H441" s="83"/>
      <c r="I441" s="405"/>
      <c r="O441" s="83"/>
      <c r="P441" s="405"/>
      <c r="V441" s="83"/>
      <c r="W441" s="405"/>
      <c r="AC441" s="83"/>
      <c r="AD441" s="405"/>
      <c r="AJ441" s="83"/>
      <c r="AK441" s="405"/>
      <c r="AQ441" s="83"/>
      <c r="AX441" s="83"/>
      <c r="BE441" s="83"/>
      <c r="BF441" s="405"/>
      <c r="BL441" s="83"/>
      <c r="BM441" s="405"/>
      <c r="BS441" s="83"/>
      <c r="BT441" s="405"/>
      <c r="BZ441" s="83"/>
      <c r="CA441" s="405"/>
      <c r="CG441" s="83"/>
    </row>
    <row r="442">
      <c r="B442" s="405"/>
      <c r="H442" s="83"/>
      <c r="I442" s="405"/>
      <c r="O442" s="83"/>
      <c r="P442" s="405"/>
      <c r="V442" s="83"/>
      <c r="W442" s="405"/>
      <c r="AC442" s="83"/>
      <c r="AD442" s="405"/>
      <c r="AJ442" s="83"/>
      <c r="AK442" s="405"/>
      <c r="AQ442" s="83"/>
      <c r="AX442" s="83"/>
      <c r="BE442" s="83"/>
      <c r="BF442" s="405"/>
      <c r="BL442" s="83"/>
      <c r="BM442" s="405"/>
      <c r="BS442" s="83"/>
      <c r="BT442" s="405"/>
      <c r="BZ442" s="83"/>
      <c r="CA442" s="405"/>
      <c r="CG442" s="83"/>
    </row>
    <row r="443">
      <c r="B443" s="405"/>
      <c r="H443" s="83"/>
      <c r="I443" s="405"/>
      <c r="O443" s="83"/>
      <c r="P443" s="405"/>
      <c r="V443" s="83"/>
      <c r="W443" s="405"/>
      <c r="AC443" s="83"/>
      <c r="AD443" s="405"/>
      <c r="AJ443" s="83"/>
      <c r="AK443" s="405"/>
      <c r="AQ443" s="83"/>
      <c r="AX443" s="83"/>
      <c r="BE443" s="83"/>
      <c r="BF443" s="405"/>
      <c r="BL443" s="83"/>
      <c r="BM443" s="405"/>
      <c r="BS443" s="83"/>
      <c r="BT443" s="405"/>
      <c r="BZ443" s="83"/>
      <c r="CA443" s="405"/>
      <c r="CG443" s="83"/>
    </row>
    <row r="444">
      <c r="B444" s="405"/>
      <c r="H444" s="83"/>
      <c r="I444" s="405"/>
      <c r="O444" s="83"/>
      <c r="P444" s="405"/>
      <c r="V444" s="83"/>
      <c r="W444" s="405"/>
      <c r="AC444" s="83"/>
      <c r="AD444" s="405"/>
      <c r="AJ444" s="83"/>
      <c r="AK444" s="405"/>
      <c r="AQ444" s="83"/>
      <c r="AX444" s="83"/>
      <c r="BE444" s="83"/>
      <c r="BF444" s="405"/>
      <c r="BL444" s="83"/>
      <c r="BM444" s="405"/>
      <c r="BS444" s="83"/>
      <c r="BT444" s="405"/>
      <c r="BZ444" s="83"/>
      <c r="CA444" s="405"/>
      <c r="CG444" s="83"/>
    </row>
    <row r="445">
      <c r="B445" s="405"/>
      <c r="H445" s="83"/>
      <c r="I445" s="405"/>
      <c r="O445" s="83"/>
      <c r="P445" s="405"/>
      <c r="V445" s="83"/>
      <c r="W445" s="405"/>
      <c r="AC445" s="83"/>
      <c r="AD445" s="405"/>
      <c r="AJ445" s="83"/>
      <c r="AK445" s="405"/>
      <c r="AQ445" s="83"/>
      <c r="AX445" s="83"/>
      <c r="BE445" s="83"/>
      <c r="BF445" s="405"/>
      <c r="BL445" s="83"/>
      <c r="BM445" s="405"/>
      <c r="BS445" s="83"/>
      <c r="BT445" s="405"/>
      <c r="BZ445" s="83"/>
      <c r="CA445" s="405"/>
      <c r="CG445" s="83"/>
    </row>
    <row r="446">
      <c r="B446" s="405"/>
      <c r="H446" s="83"/>
      <c r="I446" s="405"/>
      <c r="O446" s="83"/>
      <c r="P446" s="405"/>
      <c r="V446" s="83"/>
      <c r="W446" s="405"/>
      <c r="AC446" s="83"/>
      <c r="AD446" s="405"/>
      <c r="AJ446" s="83"/>
      <c r="AK446" s="405"/>
      <c r="AQ446" s="83"/>
      <c r="AX446" s="83"/>
      <c r="BE446" s="83"/>
      <c r="BF446" s="405"/>
      <c r="BL446" s="83"/>
      <c r="BM446" s="405"/>
      <c r="BS446" s="83"/>
      <c r="BT446" s="405"/>
      <c r="BZ446" s="83"/>
      <c r="CA446" s="405"/>
      <c r="CG446" s="83"/>
    </row>
    <row r="447">
      <c r="B447" s="405"/>
      <c r="H447" s="83"/>
      <c r="I447" s="405"/>
      <c r="O447" s="83"/>
      <c r="P447" s="405"/>
      <c r="V447" s="83"/>
      <c r="W447" s="405"/>
      <c r="AC447" s="83"/>
      <c r="AD447" s="405"/>
      <c r="AJ447" s="83"/>
      <c r="AK447" s="405"/>
      <c r="AQ447" s="83"/>
      <c r="AX447" s="83"/>
      <c r="BE447" s="83"/>
      <c r="BF447" s="405"/>
      <c r="BL447" s="83"/>
      <c r="BM447" s="405"/>
      <c r="BS447" s="83"/>
      <c r="BT447" s="405"/>
      <c r="BZ447" s="83"/>
      <c r="CA447" s="405"/>
      <c r="CG447" s="83"/>
    </row>
    <row r="448">
      <c r="B448" s="405"/>
      <c r="H448" s="83"/>
      <c r="I448" s="405"/>
      <c r="O448" s="83"/>
      <c r="P448" s="405"/>
      <c r="V448" s="83"/>
      <c r="W448" s="405"/>
      <c r="AC448" s="83"/>
      <c r="AD448" s="405"/>
      <c r="AJ448" s="83"/>
      <c r="AK448" s="405"/>
      <c r="AQ448" s="83"/>
      <c r="AX448" s="83"/>
      <c r="BE448" s="83"/>
      <c r="BF448" s="405"/>
      <c r="BL448" s="83"/>
      <c r="BM448" s="405"/>
      <c r="BS448" s="83"/>
      <c r="BT448" s="405"/>
      <c r="BZ448" s="83"/>
      <c r="CA448" s="405"/>
      <c r="CG448" s="83"/>
    </row>
    <row r="449">
      <c r="B449" s="405"/>
      <c r="H449" s="83"/>
      <c r="I449" s="405"/>
      <c r="O449" s="83"/>
      <c r="P449" s="405"/>
      <c r="V449" s="83"/>
      <c r="W449" s="405"/>
      <c r="AC449" s="83"/>
      <c r="AD449" s="405"/>
      <c r="AJ449" s="83"/>
      <c r="AK449" s="405"/>
      <c r="AQ449" s="83"/>
      <c r="AX449" s="83"/>
      <c r="BE449" s="83"/>
      <c r="BF449" s="405"/>
      <c r="BL449" s="83"/>
      <c r="BM449" s="405"/>
      <c r="BS449" s="83"/>
      <c r="BT449" s="405"/>
      <c r="BZ449" s="83"/>
      <c r="CA449" s="405"/>
      <c r="CG449" s="83"/>
    </row>
    <row r="450">
      <c r="B450" s="405"/>
      <c r="H450" s="83"/>
      <c r="I450" s="405"/>
      <c r="O450" s="83"/>
      <c r="P450" s="405"/>
      <c r="V450" s="83"/>
      <c r="W450" s="405"/>
      <c r="AC450" s="83"/>
      <c r="AD450" s="405"/>
      <c r="AJ450" s="83"/>
      <c r="AK450" s="405"/>
      <c r="AQ450" s="83"/>
      <c r="AX450" s="83"/>
      <c r="BE450" s="83"/>
      <c r="BF450" s="405"/>
      <c r="BL450" s="83"/>
      <c r="BM450" s="405"/>
      <c r="BS450" s="83"/>
      <c r="BT450" s="405"/>
      <c r="BZ450" s="83"/>
      <c r="CA450" s="405"/>
      <c r="CG450" s="83"/>
    </row>
    <row r="451">
      <c r="B451" s="405"/>
      <c r="H451" s="83"/>
      <c r="I451" s="405"/>
      <c r="O451" s="83"/>
      <c r="P451" s="405"/>
      <c r="V451" s="83"/>
      <c r="W451" s="405"/>
      <c r="AC451" s="83"/>
      <c r="AD451" s="405"/>
      <c r="AJ451" s="83"/>
      <c r="AK451" s="405"/>
      <c r="AQ451" s="83"/>
      <c r="AX451" s="83"/>
      <c r="BE451" s="83"/>
      <c r="BF451" s="405"/>
      <c r="BL451" s="83"/>
      <c r="BM451" s="405"/>
      <c r="BS451" s="83"/>
      <c r="BT451" s="405"/>
      <c r="BZ451" s="83"/>
      <c r="CA451" s="405"/>
      <c r="CG451" s="83"/>
    </row>
    <row r="452">
      <c r="B452" s="405"/>
      <c r="H452" s="83"/>
      <c r="I452" s="405"/>
      <c r="O452" s="83"/>
      <c r="P452" s="405"/>
      <c r="V452" s="83"/>
      <c r="W452" s="405"/>
      <c r="AC452" s="83"/>
      <c r="AD452" s="405"/>
      <c r="AJ452" s="83"/>
      <c r="AK452" s="405"/>
      <c r="AQ452" s="83"/>
      <c r="AX452" s="83"/>
      <c r="BE452" s="83"/>
      <c r="BF452" s="405"/>
      <c r="BL452" s="83"/>
      <c r="BM452" s="405"/>
      <c r="BS452" s="83"/>
      <c r="BT452" s="405"/>
      <c r="BZ452" s="83"/>
      <c r="CA452" s="405"/>
      <c r="CG452" s="83"/>
    </row>
    <row r="453">
      <c r="B453" s="405"/>
      <c r="H453" s="83"/>
      <c r="I453" s="405"/>
      <c r="O453" s="83"/>
      <c r="P453" s="405"/>
      <c r="V453" s="83"/>
      <c r="W453" s="405"/>
      <c r="AC453" s="83"/>
      <c r="AD453" s="405"/>
      <c r="AJ453" s="83"/>
      <c r="AK453" s="405"/>
      <c r="AQ453" s="83"/>
      <c r="AX453" s="83"/>
      <c r="BE453" s="83"/>
      <c r="BF453" s="405"/>
      <c r="BL453" s="83"/>
      <c r="BM453" s="405"/>
      <c r="BS453" s="83"/>
      <c r="BT453" s="405"/>
      <c r="BZ453" s="83"/>
      <c r="CA453" s="405"/>
      <c r="CG453" s="83"/>
    </row>
    <row r="454">
      <c r="B454" s="405"/>
      <c r="H454" s="83"/>
      <c r="I454" s="405"/>
      <c r="O454" s="83"/>
      <c r="P454" s="405"/>
      <c r="V454" s="83"/>
      <c r="W454" s="405"/>
      <c r="AC454" s="83"/>
      <c r="AD454" s="405"/>
      <c r="AJ454" s="83"/>
      <c r="AK454" s="405"/>
      <c r="AQ454" s="83"/>
      <c r="AX454" s="83"/>
      <c r="BE454" s="83"/>
      <c r="BF454" s="405"/>
      <c r="BL454" s="83"/>
      <c r="BM454" s="405"/>
      <c r="BS454" s="83"/>
      <c r="BT454" s="405"/>
      <c r="BZ454" s="83"/>
      <c r="CA454" s="405"/>
      <c r="CG454" s="83"/>
    </row>
    <row r="455">
      <c r="B455" s="405"/>
      <c r="H455" s="83"/>
      <c r="I455" s="405"/>
      <c r="O455" s="83"/>
      <c r="P455" s="405"/>
      <c r="V455" s="83"/>
      <c r="W455" s="405"/>
      <c r="AC455" s="83"/>
      <c r="AD455" s="405"/>
      <c r="AJ455" s="83"/>
      <c r="AK455" s="405"/>
      <c r="AQ455" s="83"/>
      <c r="AX455" s="83"/>
      <c r="BE455" s="83"/>
      <c r="BF455" s="405"/>
      <c r="BL455" s="83"/>
      <c r="BM455" s="405"/>
      <c r="BS455" s="83"/>
      <c r="BT455" s="405"/>
      <c r="BZ455" s="83"/>
      <c r="CA455" s="405"/>
      <c r="CG455" s="83"/>
    </row>
    <row r="456">
      <c r="B456" s="405"/>
      <c r="H456" s="83"/>
      <c r="I456" s="405"/>
      <c r="O456" s="83"/>
      <c r="P456" s="405"/>
      <c r="V456" s="83"/>
      <c r="W456" s="405"/>
      <c r="AC456" s="83"/>
      <c r="AD456" s="405"/>
      <c r="AJ456" s="83"/>
      <c r="AK456" s="405"/>
      <c r="AQ456" s="83"/>
      <c r="AX456" s="83"/>
      <c r="BE456" s="83"/>
      <c r="BF456" s="405"/>
      <c r="BL456" s="83"/>
      <c r="BM456" s="405"/>
      <c r="BS456" s="83"/>
      <c r="BT456" s="405"/>
      <c r="BZ456" s="83"/>
      <c r="CA456" s="405"/>
      <c r="CG456" s="83"/>
    </row>
    <row r="457">
      <c r="B457" s="405"/>
      <c r="H457" s="83"/>
      <c r="I457" s="405"/>
      <c r="O457" s="83"/>
      <c r="P457" s="405"/>
      <c r="V457" s="83"/>
      <c r="W457" s="405"/>
      <c r="AC457" s="83"/>
      <c r="AD457" s="405"/>
      <c r="AJ457" s="83"/>
      <c r="AK457" s="405"/>
      <c r="AQ457" s="83"/>
      <c r="AX457" s="83"/>
      <c r="BE457" s="83"/>
      <c r="BF457" s="405"/>
      <c r="BL457" s="83"/>
      <c r="BM457" s="405"/>
      <c r="BS457" s="83"/>
      <c r="BT457" s="405"/>
      <c r="BZ457" s="83"/>
      <c r="CA457" s="405"/>
      <c r="CG457" s="83"/>
    </row>
    <row r="458">
      <c r="B458" s="405"/>
      <c r="H458" s="83"/>
      <c r="I458" s="405"/>
      <c r="O458" s="83"/>
      <c r="P458" s="405"/>
      <c r="V458" s="83"/>
      <c r="W458" s="405"/>
      <c r="AC458" s="83"/>
      <c r="AD458" s="405"/>
      <c r="AJ458" s="83"/>
      <c r="AK458" s="405"/>
      <c r="AQ458" s="83"/>
      <c r="AX458" s="83"/>
      <c r="BE458" s="83"/>
      <c r="BF458" s="405"/>
      <c r="BL458" s="83"/>
      <c r="BM458" s="405"/>
      <c r="BS458" s="83"/>
      <c r="BT458" s="405"/>
      <c r="BZ458" s="83"/>
      <c r="CA458" s="405"/>
      <c r="CG458" s="83"/>
    </row>
    <row r="459">
      <c r="B459" s="405"/>
      <c r="H459" s="83"/>
      <c r="I459" s="405"/>
      <c r="O459" s="83"/>
      <c r="P459" s="405"/>
      <c r="V459" s="83"/>
      <c r="W459" s="405"/>
      <c r="AC459" s="83"/>
      <c r="AD459" s="405"/>
      <c r="AJ459" s="83"/>
      <c r="AK459" s="405"/>
      <c r="AQ459" s="83"/>
      <c r="AX459" s="83"/>
      <c r="BE459" s="83"/>
      <c r="BF459" s="405"/>
      <c r="BL459" s="83"/>
      <c r="BM459" s="405"/>
      <c r="BS459" s="83"/>
      <c r="BT459" s="405"/>
      <c r="BZ459" s="83"/>
      <c r="CA459" s="405"/>
      <c r="CG459" s="83"/>
    </row>
    <row r="460">
      <c r="B460" s="405"/>
      <c r="H460" s="83"/>
      <c r="I460" s="405"/>
      <c r="O460" s="83"/>
      <c r="P460" s="405"/>
      <c r="V460" s="83"/>
      <c r="W460" s="405"/>
      <c r="AC460" s="83"/>
      <c r="AD460" s="405"/>
      <c r="AJ460" s="83"/>
      <c r="AK460" s="405"/>
      <c r="AQ460" s="83"/>
      <c r="AX460" s="83"/>
      <c r="BE460" s="83"/>
      <c r="BF460" s="405"/>
      <c r="BL460" s="83"/>
      <c r="BM460" s="405"/>
      <c r="BS460" s="83"/>
      <c r="BT460" s="405"/>
      <c r="BZ460" s="83"/>
      <c r="CA460" s="405"/>
      <c r="CG460" s="83"/>
    </row>
    <row r="461">
      <c r="B461" s="405"/>
      <c r="H461" s="83"/>
      <c r="I461" s="405"/>
      <c r="O461" s="83"/>
      <c r="P461" s="405"/>
      <c r="V461" s="83"/>
      <c r="W461" s="405"/>
      <c r="AC461" s="83"/>
      <c r="AD461" s="405"/>
      <c r="AJ461" s="83"/>
      <c r="AK461" s="405"/>
      <c r="AQ461" s="83"/>
      <c r="AX461" s="83"/>
      <c r="BE461" s="83"/>
      <c r="BF461" s="405"/>
      <c r="BL461" s="83"/>
      <c r="BM461" s="405"/>
      <c r="BS461" s="83"/>
      <c r="BT461" s="405"/>
      <c r="BZ461" s="83"/>
      <c r="CA461" s="405"/>
      <c r="CG461" s="83"/>
    </row>
    <row r="462">
      <c r="B462" s="405"/>
      <c r="H462" s="83"/>
      <c r="I462" s="405"/>
      <c r="O462" s="83"/>
      <c r="P462" s="405"/>
      <c r="V462" s="83"/>
      <c r="W462" s="405"/>
      <c r="AC462" s="83"/>
      <c r="AD462" s="405"/>
      <c r="AJ462" s="83"/>
      <c r="AK462" s="405"/>
      <c r="AQ462" s="83"/>
      <c r="AX462" s="83"/>
      <c r="BE462" s="83"/>
      <c r="BF462" s="405"/>
      <c r="BL462" s="83"/>
      <c r="BM462" s="405"/>
      <c r="BS462" s="83"/>
      <c r="BT462" s="405"/>
      <c r="BZ462" s="83"/>
      <c r="CA462" s="405"/>
      <c r="CG462" s="83"/>
    </row>
    <row r="463">
      <c r="B463" s="405"/>
      <c r="H463" s="83"/>
      <c r="I463" s="405"/>
      <c r="O463" s="83"/>
      <c r="P463" s="405"/>
      <c r="V463" s="83"/>
      <c r="W463" s="405"/>
      <c r="AC463" s="83"/>
      <c r="AD463" s="405"/>
      <c r="AJ463" s="83"/>
      <c r="AK463" s="405"/>
      <c r="AQ463" s="83"/>
      <c r="AX463" s="83"/>
      <c r="BE463" s="83"/>
      <c r="BF463" s="405"/>
      <c r="BL463" s="83"/>
      <c r="BM463" s="405"/>
      <c r="BS463" s="83"/>
      <c r="BT463" s="405"/>
      <c r="BZ463" s="83"/>
      <c r="CA463" s="405"/>
      <c r="CG463" s="83"/>
    </row>
    <row r="464">
      <c r="B464" s="405"/>
      <c r="H464" s="83"/>
      <c r="I464" s="405"/>
      <c r="O464" s="83"/>
      <c r="P464" s="405"/>
      <c r="V464" s="83"/>
      <c r="W464" s="405"/>
      <c r="AC464" s="83"/>
      <c r="AD464" s="405"/>
      <c r="AJ464" s="83"/>
      <c r="AK464" s="405"/>
      <c r="AQ464" s="83"/>
      <c r="AX464" s="83"/>
      <c r="BE464" s="83"/>
      <c r="BF464" s="405"/>
      <c r="BL464" s="83"/>
      <c r="BM464" s="405"/>
      <c r="BS464" s="83"/>
      <c r="BT464" s="405"/>
      <c r="BZ464" s="83"/>
      <c r="CA464" s="405"/>
      <c r="CG464" s="83"/>
    </row>
    <row r="465">
      <c r="B465" s="405"/>
      <c r="H465" s="83"/>
      <c r="I465" s="405"/>
      <c r="O465" s="83"/>
      <c r="P465" s="405"/>
      <c r="V465" s="83"/>
      <c r="W465" s="405"/>
      <c r="AC465" s="83"/>
      <c r="AD465" s="405"/>
      <c r="AJ465" s="83"/>
      <c r="AK465" s="405"/>
      <c r="AQ465" s="83"/>
      <c r="AX465" s="83"/>
      <c r="BE465" s="83"/>
      <c r="BF465" s="405"/>
      <c r="BL465" s="83"/>
      <c r="BM465" s="405"/>
      <c r="BS465" s="83"/>
      <c r="BT465" s="405"/>
      <c r="BZ465" s="83"/>
      <c r="CA465" s="405"/>
      <c r="CG465" s="83"/>
    </row>
    <row r="466">
      <c r="B466" s="405"/>
      <c r="H466" s="83"/>
      <c r="I466" s="405"/>
      <c r="O466" s="83"/>
      <c r="P466" s="405"/>
      <c r="V466" s="83"/>
      <c r="W466" s="405"/>
      <c r="AC466" s="83"/>
      <c r="AD466" s="405"/>
      <c r="AJ466" s="83"/>
      <c r="AK466" s="405"/>
      <c r="AQ466" s="83"/>
      <c r="AX466" s="83"/>
      <c r="BE466" s="83"/>
      <c r="BF466" s="405"/>
      <c r="BL466" s="83"/>
      <c r="BM466" s="405"/>
      <c r="BS466" s="83"/>
      <c r="BT466" s="405"/>
      <c r="BZ466" s="83"/>
      <c r="CA466" s="405"/>
      <c r="CG466" s="83"/>
    </row>
    <row r="467">
      <c r="B467" s="405"/>
      <c r="H467" s="83"/>
      <c r="I467" s="405"/>
      <c r="O467" s="83"/>
      <c r="P467" s="405"/>
      <c r="V467" s="83"/>
      <c r="W467" s="405"/>
      <c r="AC467" s="83"/>
      <c r="AD467" s="405"/>
      <c r="AJ467" s="83"/>
      <c r="AK467" s="405"/>
      <c r="AQ467" s="83"/>
      <c r="AX467" s="83"/>
      <c r="BE467" s="83"/>
      <c r="BF467" s="405"/>
      <c r="BL467" s="83"/>
      <c r="BM467" s="405"/>
      <c r="BS467" s="83"/>
      <c r="BT467" s="405"/>
      <c r="BZ467" s="83"/>
      <c r="CA467" s="405"/>
      <c r="CG467" s="83"/>
    </row>
    <row r="468">
      <c r="B468" s="405"/>
      <c r="H468" s="83"/>
      <c r="I468" s="405"/>
      <c r="O468" s="83"/>
      <c r="P468" s="405"/>
      <c r="V468" s="83"/>
      <c r="W468" s="405"/>
      <c r="AC468" s="83"/>
      <c r="AD468" s="405"/>
      <c r="AJ468" s="83"/>
      <c r="AK468" s="405"/>
      <c r="AQ468" s="83"/>
      <c r="AX468" s="83"/>
      <c r="BE468" s="83"/>
      <c r="BF468" s="405"/>
      <c r="BL468" s="83"/>
      <c r="BM468" s="405"/>
      <c r="BS468" s="83"/>
      <c r="BT468" s="405"/>
      <c r="BZ468" s="83"/>
      <c r="CA468" s="405"/>
      <c r="CG468" s="83"/>
    </row>
    <row r="469">
      <c r="B469" s="405"/>
      <c r="H469" s="83"/>
      <c r="I469" s="405"/>
      <c r="O469" s="83"/>
      <c r="P469" s="405"/>
      <c r="V469" s="83"/>
      <c r="W469" s="405"/>
      <c r="AC469" s="83"/>
      <c r="AD469" s="405"/>
      <c r="AJ469" s="83"/>
      <c r="AK469" s="405"/>
      <c r="AQ469" s="83"/>
      <c r="AX469" s="83"/>
      <c r="BE469" s="83"/>
      <c r="BF469" s="405"/>
      <c r="BL469" s="83"/>
      <c r="BM469" s="405"/>
      <c r="BS469" s="83"/>
      <c r="BT469" s="405"/>
      <c r="BZ469" s="83"/>
      <c r="CA469" s="405"/>
      <c r="CG469" s="83"/>
    </row>
    <row r="470">
      <c r="B470" s="405"/>
      <c r="H470" s="83"/>
      <c r="I470" s="405"/>
      <c r="O470" s="83"/>
      <c r="P470" s="405"/>
      <c r="V470" s="83"/>
      <c r="W470" s="405"/>
      <c r="AC470" s="83"/>
      <c r="AD470" s="405"/>
      <c r="AJ470" s="83"/>
      <c r="AK470" s="405"/>
      <c r="AQ470" s="83"/>
      <c r="AX470" s="83"/>
      <c r="BE470" s="83"/>
      <c r="BF470" s="405"/>
      <c r="BL470" s="83"/>
      <c r="BM470" s="405"/>
      <c r="BS470" s="83"/>
      <c r="BT470" s="405"/>
      <c r="BZ470" s="83"/>
      <c r="CA470" s="405"/>
      <c r="CG470" s="83"/>
    </row>
    <row r="471">
      <c r="B471" s="405"/>
      <c r="H471" s="83"/>
      <c r="I471" s="405"/>
      <c r="O471" s="83"/>
      <c r="P471" s="405"/>
      <c r="V471" s="83"/>
      <c r="W471" s="405"/>
      <c r="AC471" s="83"/>
      <c r="AD471" s="405"/>
      <c r="AJ471" s="83"/>
      <c r="AK471" s="405"/>
      <c r="AQ471" s="83"/>
      <c r="AX471" s="83"/>
      <c r="BE471" s="83"/>
      <c r="BF471" s="405"/>
      <c r="BL471" s="83"/>
      <c r="BM471" s="405"/>
      <c r="BS471" s="83"/>
      <c r="BT471" s="405"/>
      <c r="BZ471" s="83"/>
      <c r="CA471" s="405"/>
      <c r="CG471" s="83"/>
    </row>
    <row r="472">
      <c r="B472" s="405"/>
      <c r="H472" s="83"/>
      <c r="I472" s="405"/>
      <c r="O472" s="83"/>
      <c r="P472" s="405"/>
      <c r="V472" s="83"/>
      <c r="W472" s="405"/>
      <c r="AC472" s="83"/>
      <c r="AD472" s="405"/>
      <c r="AJ472" s="83"/>
      <c r="AK472" s="405"/>
      <c r="AQ472" s="83"/>
      <c r="AX472" s="83"/>
      <c r="BE472" s="83"/>
      <c r="BF472" s="405"/>
      <c r="BL472" s="83"/>
      <c r="BM472" s="405"/>
      <c r="BS472" s="83"/>
      <c r="BT472" s="405"/>
      <c r="BZ472" s="83"/>
      <c r="CA472" s="405"/>
      <c r="CG472" s="83"/>
    </row>
    <row r="473">
      <c r="B473" s="405"/>
      <c r="H473" s="83"/>
      <c r="I473" s="405"/>
      <c r="O473" s="83"/>
      <c r="P473" s="405"/>
      <c r="V473" s="83"/>
      <c r="W473" s="405"/>
      <c r="AC473" s="83"/>
      <c r="AD473" s="405"/>
      <c r="AJ473" s="83"/>
      <c r="AK473" s="405"/>
      <c r="AQ473" s="83"/>
      <c r="AX473" s="83"/>
      <c r="BE473" s="83"/>
      <c r="BF473" s="405"/>
      <c r="BL473" s="83"/>
      <c r="BM473" s="405"/>
      <c r="BS473" s="83"/>
      <c r="BT473" s="405"/>
      <c r="BZ473" s="83"/>
      <c r="CA473" s="405"/>
      <c r="CG473" s="83"/>
    </row>
    <row r="474">
      <c r="B474" s="405"/>
      <c r="H474" s="83"/>
      <c r="I474" s="405"/>
      <c r="O474" s="83"/>
      <c r="P474" s="405"/>
      <c r="V474" s="83"/>
      <c r="W474" s="405"/>
      <c r="AC474" s="83"/>
      <c r="AD474" s="405"/>
      <c r="AJ474" s="83"/>
      <c r="AK474" s="405"/>
      <c r="AQ474" s="83"/>
      <c r="AX474" s="83"/>
      <c r="BE474" s="83"/>
      <c r="BF474" s="405"/>
      <c r="BL474" s="83"/>
      <c r="BM474" s="405"/>
      <c r="BS474" s="83"/>
      <c r="BT474" s="405"/>
      <c r="BZ474" s="83"/>
      <c r="CA474" s="405"/>
      <c r="CG474" s="83"/>
    </row>
    <row r="475">
      <c r="B475" s="405"/>
      <c r="H475" s="83"/>
      <c r="I475" s="405"/>
      <c r="O475" s="83"/>
      <c r="P475" s="405"/>
      <c r="V475" s="83"/>
      <c r="W475" s="405"/>
      <c r="AC475" s="83"/>
      <c r="AD475" s="405"/>
      <c r="AJ475" s="83"/>
      <c r="AK475" s="405"/>
      <c r="AQ475" s="83"/>
      <c r="AX475" s="83"/>
      <c r="BE475" s="83"/>
      <c r="BF475" s="405"/>
      <c r="BL475" s="83"/>
      <c r="BM475" s="405"/>
      <c r="BS475" s="83"/>
      <c r="BT475" s="405"/>
      <c r="BZ475" s="83"/>
      <c r="CA475" s="405"/>
      <c r="CG475" s="83"/>
    </row>
    <row r="476">
      <c r="B476" s="405"/>
      <c r="H476" s="83"/>
      <c r="I476" s="405"/>
      <c r="O476" s="83"/>
      <c r="P476" s="405"/>
      <c r="V476" s="83"/>
      <c r="W476" s="405"/>
      <c r="AC476" s="83"/>
      <c r="AD476" s="405"/>
      <c r="AJ476" s="83"/>
      <c r="AK476" s="405"/>
      <c r="AQ476" s="83"/>
      <c r="AX476" s="83"/>
      <c r="BE476" s="83"/>
      <c r="BF476" s="405"/>
      <c r="BL476" s="83"/>
      <c r="BM476" s="405"/>
      <c r="BS476" s="83"/>
      <c r="BT476" s="405"/>
      <c r="BZ476" s="83"/>
      <c r="CA476" s="405"/>
      <c r="CG476" s="83"/>
    </row>
    <row r="477">
      <c r="B477" s="405"/>
      <c r="H477" s="83"/>
      <c r="I477" s="405"/>
      <c r="O477" s="83"/>
      <c r="P477" s="405"/>
      <c r="V477" s="83"/>
      <c r="W477" s="405"/>
      <c r="AC477" s="83"/>
      <c r="AD477" s="405"/>
      <c r="AJ477" s="83"/>
      <c r="AK477" s="405"/>
      <c r="AQ477" s="83"/>
      <c r="AX477" s="83"/>
      <c r="BE477" s="83"/>
      <c r="BF477" s="405"/>
      <c r="BL477" s="83"/>
      <c r="BM477" s="405"/>
      <c r="BS477" s="83"/>
      <c r="BT477" s="405"/>
      <c r="BZ477" s="83"/>
      <c r="CA477" s="405"/>
      <c r="CG477" s="83"/>
    </row>
    <row r="478">
      <c r="B478" s="405"/>
      <c r="H478" s="83"/>
      <c r="I478" s="405"/>
      <c r="O478" s="83"/>
      <c r="P478" s="405"/>
      <c r="V478" s="83"/>
      <c r="W478" s="405"/>
      <c r="AC478" s="83"/>
      <c r="AD478" s="405"/>
      <c r="AJ478" s="83"/>
      <c r="AK478" s="405"/>
      <c r="AQ478" s="83"/>
      <c r="AX478" s="83"/>
      <c r="BE478" s="83"/>
      <c r="BF478" s="405"/>
      <c r="BL478" s="83"/>
      <c r="BM478" s="405"/>
      <c r="BS478" s="83"/>
      <c r="BT478" s="405"/>
      <c r="BZ478" s="83"/>
      <c r="CA478" s="405"/>
      <c r="CG478" s="83"/>
    </row>
    <row r="479">
      <c r="B479" s="405"/>
      <c r="H479" s="83"/>
      <c r="I479" s="405"/>
      <c r="O479" s="83"/>
      <c r="P479" s="405"/>
      <c r="V479" s="83"/>
      <c r="W479" s="405"/>
      <c r="AC479" s="83"/>
      <c r="AD479" s="405"/>
      <c r="AJ479" s="83"/>
      <c r="AK479" s="405"/>
      <c r="AQ479" s="83"/>
      <c r="AX479" s="83"/>
      <c r="BE479" s="83"/>
      <c r="BF479" s="405"/>
      <c r="BL479" s="83"/>
      <c r="BM479" s="405"/>
      <c r="BS479" s="83"/>
      <c r="BT479" s="405"/>
      <c r="BZ479" s="83"/>
      <c r="CA479" s="405"/>
      <c r="CG479" s="83"/>
    </row>
    <row r="480">
      <c r="B480" s="405"/>
      <c r="H480" s="83"/>
      <c r="I480" s="405"/>
      <c r="O480" s="83"/>
      <c r="P480" s="405"/>
      <c r="V480" s="83"/>
      <c r="W480" s="405"/>
      <c r="AC480" s="83"/>
      <c r="AD480" s="405"/>
      <c r="AJ480" s="83"/>
      <c r="AK480" s="405"/>
      <c r="AQ480" s="83"/>
      <c r="AX480" s="83"/>
      <c r="BE480" s="83"/>
      <c r="BF480" s="405"/>
      <c r="BL480" s="83"/>
      <c r="BM480" s="405"/>
      <c r="BS480" s="83"/>
      <c r="BT480" s="405"/>
      <c r="BZ480" s="83"/>
      <c r="CA480" s="405"/>
      <c r="CG480" s="83"/>
    </row>
    <row r="481">
      <c r="B481" s="405"/>
      <c r="H481" s="83"/>
      <c r="I481" s="405"/>
      <c r="O481" s="83"/>
      <c r="P481" s="405"/>
      <c r="V481" s="83"/>
      <c r="W481" s="405"/>
      <c r="AC481" s="83"/>
      <c r="AD481" s="405"/>
      <c r="AJ481" s="83"/>
      <c r="AK481" s="405"/>
      <c r="AQ481" s="83"/>
      <c r="AX481" s="83"/>
      <c r="BE481" s="83"/>
      <c r="BF481" s="405"/>
      <c r="BL481" s="83"/>
      <c r="BM481" s="405"/>
      <c r="BS481" s="83"/>
      <c r="BT481" s="405"/>
      <c r="BZ481" s="83"/>
      <c r="CA481" s="405"/>
      <c r="CG481" s="83"/>
    </row>
    <row r="482">
      <c r="B482" s="405"/>
      <c r="H482" s="83"/>
      <c r="I482" s="405"/>
      <c r="O482" s="83"/>
      <c r="P482" s="405"/>
      <c r="V482" s="83"/>
      <c r="W482" s="405"/>
      <c r="AC482" s="83"/>
      <c r="AD482" s="405"/>
      <c r="AJ482" s="83"/>
      <c r="AK482" s="405"/>
      <c r="AQ482" s="83"/>
      <c r="AX482" s="83"/>
      <c r="BE482" s="83"/>
      <c r="BF482" s="405"/>
      <c r="BL482" s="83"/>
      <c r="BM482" s="405"/>
      <c r="BS482" s="83"/>
      <c r="BT482" s="405"/>
      <c r="BZ482" s="83"/>
      <c r="CA482" s="405"/>
      <c r="CG482" s="83"/>
    </row>
    <row r="483">
      <c r="B483" s="405"/>
      <c r="H483" s="83"/>
      <c r="I483" s="405"/>
      <c r="O483" s="83"/>
      <c r="P483" s="405"/>
      <c r="V483" s="83"/>
      <c r="W483" s="405"/>
      <c r="AC483" s="83"/>
      <c r="AD483" s="405"/>
      <c r="AJ483" s="83"/>
      <c r="AK483" s="405"/>
      <c r="AQ483" s="83"/>
      <c r="AX483" s="83"/>
      <c r="BE483" s="83"/>
      <c r="BF483" s="405"/>
      <c r="BL483" s="83"/>
      <c r="BM483" s="405"/>
      <c r="BS483" s="83"/>
      <c r="BT483" s="405"/>
      <c r="BZ483" s="83"/>
      <c r="CA483" s="405"/>
      <c r="CG483" s="83"/>
    </row>
    <row r="484">
      <c r="B484" s="405"/>
      <c r="H484" s="83"/>
      <c r="I484" s="405"/>
      <c r="O484" s="83"/>
      <c r="P484" s="405"/>
      <c r="V484" s="83"/>
      <c r="W484" s="405"/>
      <c r="AC484" s="83"/>
      <c r="AD484" s="405"/>
      <c r="AJ484" s="83"/>
      <c r="AK484" s="405"/>
      <c r="AQ484" s="83"/>
      <c r="AX484" s="83"/>
      <c r="BE484" s="83"/>
      <c r="BF484" s="405"/>
      <c r="BL484" s="83"/>
      <c r="BM484" s="405"/>
      <c r="BS484" s="83"/>
      <c r="BT484" s="405"/>
      <c r="BZ484" s="83"/>
      <c r="CA484" s="405"/>
      <c r="CG484" s="83"/>
    </row>
    <row r="485">
      <c r="B485" s="405"/>
      <c r="H485" s="83"/>
      <c r="I485" s="405"/>
      <c r="O485" s="83"/>
      <c r="P485" s="405"/>
      <c r="V485" s="83"/>
      <c r="W485" s="405"/>
      <c r="AC485" s="83"/>
      <c r="AD485" s="405"/>
      <c r="AJ485" s="83"/>
      <c r="AK485" s="405"/>
      <c r="AQ485" s="83"/>
      <c r="AX485" s="83"/>
      <c r="BE485" s="83"/>
      <c r="BF485" s="405"/>
      <c r="BL485" s="83"/>
      <c r="BM485" s="405"/>
      <c r="BS485" s="83"/>
      <c r="BT485" s="405"/>
      <c r="BZ485" s="83"/>
      <c r="CA485" s="405"/>
      <c r="CG485" s="83"/>
    </row>
    <row r="486">
      <c r="B486" s="405"/>
      <c r="H486" s="83"/>
      <c r="I486" s="405"/>
      <c r="O486" s="83"/>
      <c r="P486" s="405"/>
      <c r="V486" s="83"/>
      <c r="W486" s="405"/>
      <c r="AC486" s="83"/>
      <c r="AD486" s="405"/>
      <c r="AJ486" s="83"/>
      <c r="AK486" s="405"/>
      <c r="AQ486" s="83"/>
      <c r="AX486" s="83"/>
      <c r="BE486" s="83"/>
      <c r="BF486" s="405"/>
      <c r="BL486" s="83"/>
      <c r="BM486" s="405"/>
      <c r="BS486" s="83"/>
      <c r="BT486" s="405"/>
      <c r="BZ486" s="83"/>
      <c r="CA486" s="405"/>
      <c r="CG486" s="83"/>
    </row>
    <row r="487">
      <c r="B487" s="405"/>
      <c r="H487" s="83"/>
      <c r="I487" s="405"/>
      <c r="O487" s="83"/>
      <c r="P487" s="405"/>
      <c r="V487" s="83"/>
      <c r="W487" s="405"/>
      <c r="AC487" s="83"/>
      <c r="AD487" s="405"/>
      <c r="AJ487" s="83"/>
      <c r="AK487" s="405"/>
      <c r="AQ487" s="83"/>
      <c r="AX487" s="83"/>
      <c r="BE487" s="83"/>
      <c r="BF487" s="405"/>
      <c r="BL487" s="83"/>
      <c r="BM487" s="405"/>
      <c r="BS487" s="83"/>
      <c r="BT487" s="405"/>
      <c r="BZ487" s="83"/>
      <c r="CA487" s="405"/>
      <c r="CG487" s="83"/>
    </row>
    <row r="488">
      <c r="B488" s="405"/>
      <c r="H488" s="83"/>
      <c r="I488" s="405"/>
      <c r="O488" s="83"/>
      <c r="P488" s="405"/>
      <c r="V488" s="83"/>
      <c r="W488" s="405"/>
      <c r="AC488" s="83"/>
      <c r="AD488" s="405"/>
      <c r="AJ488" s="83"/>
      <c r="AK488" s="405"/>
      <c r="AQ488" s="83"/>
      <c r="AX488" s="83"/>
      <c r="BE488" s="83"/>
      <c r="BF488" s="405"/>
      <c r="BL488" s="83"/>
      <c r="BM488" s="405"/>
      <c r="BS488" s="83"/>
      <c r="BT488" s="405"/>
      <c r="BZ488" s="83"/>
      <c r="CA488" s="405"/>
      <c r="CG488" s="83"/>
    </row>
    <row r="489">
      <c r="B489" s="405"/>
      <c r="H489" s="83"/>
      <c r="I489" s="405"/>
      <c r="O489" s="83"/>
      <c r="P489" s="405"/>
      <c r="V489" s="83"/>
      <c r="W489" s="405"/>
      <c r="AC489" s="83"/>
      <c r="AD489" s="405"/>
      <c r="AJ489" s="83"/>
      <c r="AK489" s="405"/>
      <c r="AQ489" s="83"/>
      <c r="AX489" s="83"/>
      <c r="BE489" s="83"/>
      <c r="BF489" s="405"/>
      <c r="BL489" s="83"/>
      <c r="BM489" s="405"/>
      <c r="BS489" s="83"/>
      <c r="BT489" s="405"/>
      <c r="BZ489" s="83"/>
      <c r="CA489" s="405"/>
      <c r="CG489" s="83"/>
    </row>
    <row r="490">
      <c r="B490" s="405"/>
      <c r="H490" s="83"/>
      <c r="I490" s="405"/>
      <c r="O490" s="83"/>
      <c r="P490" s="405"/>
      <c r="V490" s="83"/>
      <c r="W490" s="405"/>
      <c r="AC490" s="83"/>
      <c r="AD490" s="405"/>
      <c r="AJ490" s="83"/>
      <c r="AK490" s="405"/>
      <c r="AQ490" s="83"/>
      <c r="AX490" s="83"/>
      <c r="BE490" s="83"/>
      <c r="BF490" s="405"/>
      <c r="BL490" s="83"/>
      <c r="BM490" s="405"/>
      <c r="BS490" s="83"/>
      <c r="BT490" s="405"/>
      <c r="BZ490" s="83"/>
      <c r="CA490" s="405"/>
      <c r="CG490" s="83"/>
    </row>
    <row r="491">
      <c r="B491" s="405"/>
      <c r="H491" s="83"/>
      <c r="I491" s="405"/>
      <c r="O491" s="83"/>
      <c r="P491" s="405"/>
      <c r="V491" s="83"/>
      <c r="W491" s="405"/>
      <c r="AC491" s="83"/>
      <c r="AD491" s="405"/>
      <c r="AJ491" s="83"/>
      <c r="AK491" s="405"/>
      <c r="AQ491" s="83"/>
      <c r="AX491" s="83"/>
      <c r="BE491" s="83"/>
      <c r="BF491" s="405"/>
      <c r="BL491" s="83"/>
      <c r="BM491" s="405"/>
      <c r="BS491" s="83"/>
      <c r="BT491" s="405"/>
      <c r="BZ491" s="83"/>
      <c r="CA491" s="405"/>
      <c r="CG491" s="83"/>
    </row>
    <row r="492">
      <c r="B492" s="405"/>
      <c r="H492" s="83"/>
      <c r="I492" s="405"/>
      <c r="O492" s="83"/>
      <c r="P492" s="405"/>
      <c r="V492" s="83"/>
      <c r="W492" s="405"/>
      <c r="AC492" s="83"/>
      <c r="AD492" s="405"/>
      <c r="AJ492" s="83"/>
      <c r="AK492" s="405"/>
      <c r="AQ492" s="83"/>
      <c r="AX492" s="83"/>
      <c r="BE492" s="83"/>
      <c r="BF492" s="405"/>
      <c r="BL492" s="83"/>
      <c r="BM492" s="405"/>
      <c r="BS492" s="83"/>
      <c r="BT492" s="405"/>
      <c r="BZ492" s="83"/>
      <c r="CA492" s="405"/>
      <c r="CG492" s="83"/>
    </row>
    <row r="493">
      <c r="B493" s="405"/>
      <c r="H493" s="83"/>
      <c r="I493" s="405"/>
      <c r="O493" s="83"/>
      <c r="P493" s="405"/>
      <c r="V493" s="83"/>
      <c r="W493" s="405"/>
      <c r="AC493" s="83"/>
      <c r="AD493" s="405"/>
      <c r="AJ493" s="83"/>
      <c r="AK493" s="405"/>
      <c r="AQ493" s="83"/>
      <c r="AX493" s="83"/>
      <c r="BE493" s="83"/>
      <c r="BF493" s="405"/>
      <c r="BL493" s="83"/>
      <c r="BM493" s="405"/>
      <c r="BS493" s="83"/>
      <c r="BT493" s="405"/>
      <c r="BZ493" s="83"/>
      <c r="CA493" s="405"/>
      <c r="CG493" s="83"/>
    </row>
    <row r="494">
      <c r="B494" s="405"/>
      <c r="H494" s="83"/>
      <c r="I494" s="405"/>
      <c r="O494" s="83"/>
      <c r="P494" s="405"/>
      <c r="V494" s="83"/>
      <c r="W494" s="405"/>
      <c r="AC494" s="83"/>
      <c r="AD494" s="405"/>
      <c r="AJ494" s="83"/>
      <c r="AK494" s="405"/>
      <c r="AQ494" s="83"/>
      <c r="AX494" s="83"/>
      <c r="BE494" s="83"/>
      <c r="BF494" s="405"/>
      <c r="BL494" s="83"/>
      <c r="BM494" s="405"/>
      <c r="BS494" s="83"/>
      <c r="BT494" s="405"/>
      <c r="BZ494" s="83"/>
      <c r="CA494" s="405"/>
      <c r="CG494" s="83"/>
    </row>
    <row r="495">
      <c r="B495" s="405"/>
      <c r="H495" s="83"/>
      <c r="I495" s="405"/>
      <c r="O495" s="83"/>
      <c r="P495" s="405"/>
      <c r="V495" s="83"/>
      <c r="W495" s="405"/>
      <c r="AC495" s="83"/>
      <c r="AD495" s="405"/>
      <c r="AJ495" s="83"/>
      <c r="AK495" s="405"/>
      <c r="AQ495" s="83"/>
      <c r="AX495" s="83"/>
      <c r="BE495" s="83"/>
      <c r="BF495" s="405"/>
      <c r="BL495" s="83"/>
      <c r="BM495" s="405"/>
      <c r="BS495" s="83"/>
      <c r="BT495" s="405"/>
      <c r="BZ495" s="83"/>
      <c r="CA495" s="405"/>
      <c r="CG495" s="83"/>
    </row>
    <row r="496">
      <c r="B496" s="405"/>
      <c r="H496" s="83"/>
      <c r="I496" s="405"/>
      <c r="O496" s="83"/>
      <c r="P496" s="405"/>
      <c r="V496" s="83"/>
      <c r="W496" s="405"/>
      <c r="AC496" s="83"/>
      <c r="AD496" s="405"/>
      <c r="AJ496" s="83"/>
      <c r="AK496" s="405"/>
      <c r="AQ496" s="83"/>
      <c r="AX496" s="83"/>
      <c r="BE496" s="83"/>
      <c r="BF496" s="405"/>
      <c r="BL496" s="83"/>
      <c r="BM496" s="405"/>
      <c r="BS496" s="83"/>
      <c r="BT496" s="405"/>
      <c r="BZ496" s="83"/>
      <c r="CA496" s="405"/>
      <c r="CG496" s="83"/>
    </row>
    <row r="497">
      <c r="B497" s="405"/>
      <c r="H497" s="83"/>
      <c r="I497" s="405"/>
      <c r="O497" s="83"/>
      <c r="P497" s="405"/>
      <c r="V497" s="83"/>
      <c r="W497" s="405"/>
      <c r="AC497" s="83"/>
      <c r="AD497" s="405"/>
      <c r="AJ497" s="83"/>
      <c r="AK497" s="405"/>
      <c r="AQ497" s="83"/>
      <c r="AX497" s="83"/>
      <c r="BE497" s="83"/>
      <c r="BF497" s="405"/>
      <c r="BL497" s="83"/>
      <c r="BM497" s="405"/>
      <c r="BS497" s="83"/>
      <c r="BT497" s="405"/>
      <c r="BZ497" s="83"/>
      <c r="CA497" s="405"/>
      <c r="CG497" s="83"/>
    </row>
    <row r="498">
      <c r="B498" s="405"/>
      <c r="H498" s="83"/>
      <c r="I498" s="405"/>
      <c r="O498" s="83"/>
      <c r="P498" s="405"/>
      <c r="V498" s="83"/>
      <c r="W498" s="405"/>
      <c r="AC498" s="83"/>
      <c r="AD498" s="405"/>
      <c r="AJ498" s="83"/>
      <c r="AK498" s="405"/>
      <c r="AQ498" s="83"/>
      <c r="AX498" s="83"/>
      <c r="BE498" s="83"/>
      <c r="BF498" s="405"/>
      <c r="BL498" s="83"/>
      <c r="BM498" s="405"/>
      <c r="BS498" s="83"/>
      <c r="BT498" s="405"/>
      <c r="BZ498" s="83"/>
      <c r="CA498" s="405"/>
      <c r="CG498" s="83"/>
    </row>
    <row r="499">
      <c r="B499" s="405"/>
      <c r="H499" s="83"/>
      <c r="I499" s="405"/>
      <c r="O499" s="83"/>
      <c r="P499" s="405"/>
      <c r="V499" s="83"/>
      <c r="W499" s="405"/>
      <c r="AC499" s="83"/>
      <c r="AD499" s="405"/>
      <c r="AJ499" s="83"/>
      <c r="AK499" s="405"/>
      <c r="AQ499" s="83"/>
      <c r="AX499" s="83"/>
      <c r="BE499" s="83"/>
      <c r="BF499" s="405"/>
      <c r="BL499" s="83"/>
      <c r="BM499" s="405"/>
      <c r="BS499" s="83"/>
      <c r="BT499" s="405"/>
      <c r="BZ499" s="83"/>
      <c r="CA499" s="405"/>
      <c r="CG499" s="83"/>
    </row>
    <row r="500">
      <c r="B500" s="405"/>
      <c r="H500" s="83"/>
      <c r="I500" s="405"/>
      <c r="O500" s="83"/>
      <c r="P500" s="405"/>
      <c r="V500" s="83"/>
      <c r="W500" s="405"/>
      <c r="AC500" s="83"/>
      <c r="AD500" s="405"/>
      <c r="AJ500" s="83"/>
      <c r="AK500" s="405"/>
      <c r="AQ500" s="83"/>
      <c r="AX500" s="83"/>
      <c r="BE500" s="83"/>
      <c r="BF500" s="405"/>
      <c r="BL500" s="83"/>
      <c r="BM500" s="405"/>
      <c r="BS500" s="83"/>
      <c r="BT500" s="405"/>
      <c r="BZ500" s="83"/>
      <c r="CA500" s="405"/>
      <c r="CG500" s="83"/>
    </row>
    <row r="501">
      <c r="B501" s="405"/>
      <c r="H501" s="83"/>
      <c r="I501" s="405"/>
      <c r="O501" s="83"/>
      <c r="P501" s="405"/>
      <c r="V501" s="83"/>
      <c r="W501" s="405"/>
      <c r="AC501" s="83"/>
      <c r="AD501" s="405"/>
      <c r="AJ501" s="83"/>
      <c r="AK501" s="405"/>
      <c r="AQ501" s="83"/>
      <c r="AX501" s="83"/>
      <c r="BE501" s="83"/>
      <c r="BF501" s="405"/>
      <c r="BL501" s="83"/>
      <c r="BM501" s="405"/>
      <c r="BS501" s="83"/>
      <c r="BT501" s="405"/>
      <c r="BZ501" s="83"/>
      <c r="CA501" s="405"/>
      <c r="CG501" s="83"/>
    </row>
    <row r="502">
      <c r="B502" s="405"/>
      <c r="H502" s="83"/>
      <c r="I502" s="405"/>
      <c r="O502" s="83"/>
      <c r="P502" s="405"/>
      <c r="V502" s="83"/>
      <c r="W502" s="405"/>
      <c r="AC502" s="83"/>
      <c r="AD502" s="405"/>
      <c r="AJ502" s="83"/>
      <c r="AK502" s="405"/>
      <c r="AQ502" s="83"/>
      <c r="AX502" s="83"/>
      <c r="BE502" s="83"/>
      <c r="BF502" s="405"/>
      <c r="BL502" s="83"/>
      <c r="BM502" s="405"/>
      <c r="BS502" s="83"/>
      <c r="BT502" s="405"/>
      <c r="BZ502" s="83"/>
      <c r="CA502" s="405"/>
      <c r="CG502" s="83"/>
    </row>
    <row r="503">
      <c r="B503" s="405"/>
      <c r="H503" s="83"/>
      <c r="I503" s="405"/>
      <c r="O503" s="83"/>
      <c r="P503" s="405"/>
      <c r="V503" s="83"/>
      <c r="W503" s="405"/>
      <c r="AC503" s="83"/>
      <c r="AD503" s="405"/>
      <c r="AJ503" s="83"/>
      <c r="AK503" s="405"/>
      <c r="AQ503" s="83"/>
      <c r="AX503" s="83"/>
      <c r="BE503" s="83"/>
      <c r="BF503" s="405"/>
      <c r="BL503" s="83"/>
      <c r="BM503" s="405"/>
      <c r="BS503" s="83"/>
      <c r="BT503" s="405"/>
      <c r="BZ503" s="83"/>
      <c r="CA503" s="405"/>
      <c r="CG503" s="83"/>
    </row>
    <row r="504">
      <c r="B504" s="405"/>
      <c r="H504" s="83"/>
      <c r="I504" s="405"/>
      <c r="O504" s="83"/>
      <c r="P504" s="405"/>
      <c r="V504" s="83"/>
      <c r="W504" s="405"/>
      <c r="AC504" s="83"/>
      <c r="AD504" s="405"/>
      <c r="AJ504" s="83"/>
      <c r="AK504" s="405"/>
      <c r="AQ504" s="83"/>
      <c r="AX504" s="83"/>
      <c r="BE504" s="83"/>
      <c r="BF504" s="405"/>
      <c r="BL504" s="83"/>
      <c r="BM504" s="405"/>
      <c r="BS504" s="83"/>
      <c r="BT504" s="405"/>
      <c r="BZ504" s="83"/>
      <c r="CA504" s="405"/>
      <c r="CG504" s="83"/>
    </row>
    <row r="505">
      <c r="B505" s="405"/>
      <c r="H505" s="83"/>
      <c r="I505" s="405"/>
      <c r="O505" s="83"/>
      <c r="P505" s="405"/>
      <c r="V505" s="83"/>
      <c r="W505" s="405"/>
      <c r="AC505" s="83"/>
      <c r="AD505" s="405"/>
      <c r="AJ505" s="83"/>
      <c r="AK505" s="405"/>
      <c r="AQ505" s="83"/>
      <c r="AX505" s="83"/>
      <c r="BE505" s="83"/>
      <c r="BF505" s="405"/>
      <c r="BL505" s="83"/>
      <c r="BM505" s="405"/>
      <c r="BS505" s="83"/>
      <c r="BT505" s="405"/>
      <c r="BZ505" s="83"/>
      <c r="CA505" s="405"/>
      <c r="CG505" s="83"/>
    </row>
    <row r="506">
      <c r="B506" s="405"/>
      <c r="H506" s="83"/>
      <c r="I506" s="405"/>
      <c r="O506" s="83"/>
      <c r="P506" s="405"/>
      <c r="V506" s="83"/>
      <c r="W506" s="405"/>
      <c r="AC506" s="83"/>
      <c r="AD506" s="405"/>
      <c r="AJ506" s="83"/>
      <c r="AK506" s="405"/>
      <c r="AQ506" s="83"/>
      <c r="AX506" s="83"/>
      <c r="BE506" s="83"/>
      <c r="BF506" s="405"/>
      <c r="BL506" s="83"/>
      <c r="BM506" s="405"/>
      <c r="BS506" s="83"/>
      <c r="BT506" s="405"/>
      <c r="BZ506" s="83"/>
      <c r="CA506" s="405"/>
      <c r="CG506" s="83"/>
    </row>
    <row r="507">
      <c r="B507" s="405"/>
      <c r="H507" s="83"/>
      <c r="I507" s="405"/>
      <c r="O507" s="83"/>
      <c r="P507" s="405"/>
      <c r="V507" s="83"/>
      <c r="W507" s="405"/>
      <c r="AC507" s="83"/>
      <c r="AD507" s="405"/>
      <c r="AJ507" s="83"/>
      <c r="AK507" s="405"/>
      <c r="AQ507" s="83"/>
      <c r="AX507" s="83"/>
      <c r="BE507" s="83"/>
      <c r="BF507" s="405"/>
      <c r="BL507" s="83"/>
      <c r="BM507" s="405"/>
      <c r="BS507" s="83"/>
      <c r="BT507" s="405"/>
      <c r="BZ507" s="83"/>
      <c r="CA507" s="405"/>
      <c r="CG507" s="83"/>
    </row>
    <row r="508">
      <c r="B508" s="405"/>
      <c r="H508" s="83"/>
      <c r="I508" s="405"/>
      <c r="O508" s="83"/>
      <c r="P508" s="405"/>
      <c r="V508" s="83"/>
      <c r="W508" s="405"/>
      <c r="AC508" s="83"/>
      <c r="AD508" s="405"/>
      <c r="AJ508" s="83"/>
      <c r="AK508" s="405"/>
      <c r="AQ508" s="83"/>
      <c r="AX508" s="83"/>
      <c r="BE508" s="83"/>
      <c r="BF508" s="405"/>
      <c r="BL508" s="83"/>
      <c r="BM508" s="405"/>
      <c r="BS508" s="83"/>
      <c r="BT508" s="405"/>
      <c r="BZ508" s="83"/>
      <c r="CA508" s="405"/>
      <c r="CG508" s="83"/>
    </row>
    <row r="509">
      <c r="B509" s="405"/>
      <c r="H509" s="83"/>
      <c r="I509" s="405"/>
      <c r="O509" s="83"/>
      <c r="P509" s="405"/>
      <c r="V509" s="83"/>
      <c r="W509" s="405"/>
      <c r="AC509" s="83"/>
      <c r="AD509" s="405"/>
      <c r="AJ509" s="83"/>
      <c r="AK509" s="405"/>
      <c r="AQ509" s="83"/>
      <c r="AX509" s="83"/>
      <c r="BE509" s="83"/>
      <c r="BF509" s="405"/>
      <c r="BL509" s="83"/>
      <c r="BM509" s="405"/>
      <c r="BS509" s="83"/>
      <c r="BT509" s="405"/>
      <c r="BZ509" s="83"/>
      <c r="CA509" s="405"/>
      <c r="CG509" s="83"/>
    </row>
    <row r="510">
      <c r="B510" s="405"/>
      <c r="H510" s="83"/>
      <c r="I510" s="405"/>
      <c r="O510" s="83"/>
      <c r="P510" s="405"/>
      <c r="V510" s="83"/>
      <c r="W510" s="405"/>
      <c r="AC510" s="83"/>
      <c r="AD510" s="405"/>
      <c r="AJ510" s="83"/>
      <c r="AK510" s="405"/>
      <c r="AQ510" s="83"/>
      <c r="AX510" s="83"/>
      <c r="BE510" s="83"/>
      <c r="BF510" s="405"/>
      <c r="BL510" s="83"/>
      <c r="BM510" s="405"/>
      <c r="BS510" s="83"/>
      <c r="BT510" s="405"/>
      <c r="BZ510" s="83"/>
      <c r="CA510" s="405"/>
      <c r="CG510" s="83"/>
    </row>
    <row r="511">
      <c r="B511" s="405"/>
      <c r="H511" s="83"/>
      <c r="I511" s="405"/>
      <c r="O511" s="83"/>
      <c r="P511" s="405"/>
      <c r="V511" s="83"/>
      <c r="W511" s="405"/>
      <c r="AC511" s="83"/>
      <c r="AD511" s="405"/>
      <c r="AJ511" s="83"/>
      <c r="AK511" s="405"/>
      <c r="AQ511" s="83"/>
      <c r="AX511" s="83"/>
      <c r="BE511" s="83"/>
      <c r="BF511" s="405"/>
      <c r="BL511" s="83"/>
      <c r="BM511" s="405"/>
      <c r="BS511" s="83"/>
      <c r="BT511" s="405"/>
      <c r="BZ511" s="83"/>
      <c r="CA511" s="405"/>
      <c r="CG511" s="83"/>
    </row>
    <row r="512">
      <c r="B512" s="405"/>
      <c r="H512" s="83"/>
      <c r="I512" s="405"/>
      <c r="O512" s="83"/>
      <c r="P512" s="405"/>
      <c r="V512" s="83"/>
      <c r="W512" s="405"/>
      <c r="AC512" s="83"/>
      <c r="AD512" s="405"/>
      <c r="AJ512" s="83"/>
      <c r="AK512" s="405"/>
      <c r="AQ512" s="83"/>
      <c r="AX512" s="83"/>
      <c r="BE512" s="83"/>
      <c r="BF512" s="405"/>
      <c r="BL512" s="83"/>
      <c r="BM512" s="405"/>
      <c r="BS512" s="83"/>
      <c r="BT512" s="405"/>
      <c r="BZ512" s="83"/>
      <c r="CA512" s="405"/>
      <c r="CG512" s="83"/>
    </row>
    <row r="513">
      <c r="B513" s="405"/>
      <c r="H513" s="83"/>
      <c r="I513" s="405"/>
      <c r="O513" s="83"/>
      <c r="P513" s="405"/>
      <c r="V513" s="83"/>
      <c r="W513" s="405"/>
      <c r="AC513" s="83"/>
      <c r="AD513" s="405"/>
      <c r="AJ513" s="83"/>
      <c r="AK513" s="405"/>
      <c r="AQ513" s="83"/>
      <c r="AX513" s="83"/>
      <c r="BE513" s="83"/>
      <c r="BF513" s="405"/>
      <c r="BL513" s="83"/>
      <c r="BM513" s="405"/>
      <c r="BS513" s="83"/>
      <c r="BT513" s="405"/>
      <c r="BZ513" s="83"/>
      <c r="CA513" s="405"/>
      <c r="CG513" s="83"/>
    </row>
    <row r="514">
      <c r="B514" s="405"/>
      <c r="H514" s="83"/>
      <c r="I514" s="405"/>
      <c r="O514" s="83"/>
      <c r="P514" s="405"/>
      <c r="V514" s="83"/>
      <c r="W514" s="405"/>
      <c r="AC514" s="83"/>
      <c r="AD514" s="405"/>
      <c r="AJ514" s="83"/>
      <c r="AK514" s="405"/>
      <c r="AQ514" s="83"/>
      <c r="AX514" s="83"/>
      <c r="BE514" s="83"/>
      <c r="BF514" s="405"/>
      <c r="BL514" s="83"/>
      <c r="BM514" s="405"/>
      <c r="BS514" s="83"/>
      <c r="BT514" s="405"/>
      <c r="BZ514" s="83"/>
      <c r="CA514" s="405"/>
      <c r="CG514" s="83"/>
    </row>
    <row r="515">
      <c r="B515" s="405"/>
      <c r="H515" s="83"/>
      <c r="I515" s="405"/>
      <c r="O515" s="83"/>
      <c r="P515" s="405"/>
      <c r="V515" s="83"/>
      <c r="W515" s="405"/>
      <c r="AC515" s="83"/>
      <c r="AD515" s="405"/>
      <c r="AJ515" s="83"/>
      <c r="AK515" s="405"/>
      <c r="AQ515" s="83"/>
      <c r="AX515" s="83"/>
      <c r="BE515" s="83"/>
      <c r="BF515" s="405"/>
      <c r="BL515" s="83"/>
      <c r="BM515" s="405"/>
      <c r="BS515" s="83"/>
      <c r="BT515" s="405"/>
      <c r="BZ515" s="83"/>
      <c r="CA515" s="405"/>
      <c r="CG515" s="83"/>
    </row>
    <row r="516">
      <c r="B516" s="405"/>
      <c r="H516" s="83"/>
      <c r="I516" s="405"/>
      <c r="O516" s="83"/>
      <c r="P516" s="405"/>
      <c r="V516" s="83"/>
      <c r="W516" s="405"/>
      <c r="AC516" s="83"/>
      <c r="AD516" s="405"/>
      <c r="AJ516" s="83"/>
      <c r="AK516" s="405"/>
      <c r="AQ516" s="83"/>
      <c r="AX516" s="83"/>
      <c r="BE516" s="83"/>
      <c r="BF516" s="405"/>
      <c r="BL516" s="83"/>
      <c r="BM516" s="405"/>
      <c r="BS516" s="83"/>
      <c r="BT516" s="405"/>
      <c r="BZ516" s="83"/>
      <c r="CA516" s="405"/>
      <c r="CG516" s="83"/>
    </row>
    <row r="517">
      <c r="B517" s="405"/>
      <c r="H517" s="83"/>
      <c r="I517" s="405"/>
      <c r="O517" s="83"/>
      <c r="P517" s="405"/>
      <c r="V517" s="83"/>
      <c r="W517" s="405"/>
      <c r="AC517" s="83"/>
      <c r="AD517" s="405"/>
      <c r="AJ517" s="83"/>
      <c r="AK517" s="405"/>
      <c r="AQ517" s="83"/>
      <c r="AX517" s="83"/>
      <c r="BE517" s="83"/>
      <c r="BF517" s="405"/>
      <c r="BL517" s="83"/>
      <c r="BM517" s="405"/>
      <c r="BS517" s="83"/>
      <c r="BT517" s="405"/>
      <c r="BZ517" s="83"/>
      <c r="CA517" s="405"/>
      <c r="CG517" s="83"/>
    </row>
    <row r="518">
      <c r="B518" s="405"/>
      <c r="H518" s="83"/>
      <c r="I518" s="405"/>
      <c r="O518" s="83"/>
      <c r="P518" s="405"/>
      <c r="V518" s="83"/>
      <c r="W518" s="405"/>
      <c r="AC518" s="83"/>
      <c r="AD518" s="405"/>
      <c r="AJ518" s="83"/>
      <c r="AK518" s="405"/>
      <c r="AQ518" s="83"/>
      <c r="AX518" s="83"/>
      <c r="BE518" s="83"/>
      <c r="BF518" s="405"/>
      <c r="BL518" s="83"/>
      <c r="BM518" s="405"/>
      <c r="BS518" s="83"/>
      <c r="BT518" s="405"/>
      <c r="BZ518" s="83"/>
      <c r="CA518" s="405"/>
      <c r="CG518" s="83"/>
    </row>
    <row r="519">
      <c r="B519" s="405"/>
      <c r="H519" s="83"/>
      <c r="I519" s="405"/>
      <c r="O519" s="83"/>
      <c r="P519" s="405"/>
      <c r="V519" s="83"/>
      <c r="W519" s="405"/>
      <c r="AC519" s="83"/>
      <c r="AD519" s="405"/>
      <c r="AJ519" s="83"/>
      <c r="AK519" s="405"/>
      <c r="AQ519" s="83"/>
      <c r="AX519" s="83"/>
      <c r="BE519" s="83"/>
      <c r="BF519" s="405"/>
      <c r="BL519" s="83"/>
      <c r="BM519" s="405"/>
      <c r="BS519" s="83"/>
      <c r="BT519" s="405"/>
      <c r="BZ519" s="83"/>
      <c r="CA519" s="405"/>
      <c r="CG519" s="83"/>
    </row>
    <row r="520">
      <c r="B520" s="405"/>
      <c r="H520" s="83"/>
      <c r="I520" s="405"/>
      <c r="O520" s="83"/>
      <c r="P520" s="405"/>
      <c r="V520" s="83"/>
      <c r="W520" s="405"/>
      <c r="AC520" s="83"/>
      <c r="AD520" s="405"/>
      <c r="AJ520" s="83"/>
      <c r="AK520" s="405"/>
      <c r="AQ520" s="83"/>
      <c r="AX520" s="83"/>
      <c r="BE520" s="83"/>
      <c r="BF520" s="405"/>
      <c r="BL520" s="83"/>
      <c r="BM520" s="405"/>
      <c r="BS520" s="83"/>
      <c r="BT520" s="405"/>
      <c r="BZ520" s="83"/>
      <c r="CA520" s="405"/>
      <c r="CG520" s="83"/>
    </row>
    <row r="521">
      <c r="B521" s="405"/>
      <c r="H521" s="83"/>
      <c r="I521" s="405"/>
      <c r="O521" s="83"/>
      <c r="P521" s="405"/>
      <c r="V521" s="83"/>
      <c r="W521" s="405"/>
      <c r="AC521" s="83"/>
      <c r="AD521" s="405"/>
      <c r="AJ521" s="83"/>
      <c r="AK521" s="405"/>
      <c r="AQ521" s="83"/>
      <c r="AX521" s="83"/>
      <c r="BE521" s="83"/>
      <c r="BF521" s="405"/>
      <c r="BL521" s="83"/>
      <c r="BM521" s="405"/>
      <c r="BS521" s="83"/>
      <c r="BT521" s="405"/>
      <c r="BZ521" s="83"/>
      <c r="CA521" s="405"/>
      <c r="CG521" s="83"/>
    </row>
    <row r="522">
      <c r="B522" s="405"/>
      <c r="H522" s="83"/>
      <c r="I522" s="405"/>
      <c r="O522" s="83"/>
      <c r="P522" s="405"/>
      <c r="V522" s="83"/>
      <c r="W522" s="405"/>
      <c r="AC522" s="83"/>
      <c r="AD522" s="405"/>
      <c r="AJ522" s="83"/>
      <c r="AK522" s="405"/>
      <c r="AQ522" s="83"/>
      <c r="AX522" s="83"/>
      <c r="BE522" s="83"/>
      <c r="BF522" s="405"/>
      <c r="BL522" s="83"/>
      <c r="BM522" s="405"/>
      <c r="BS522" s="83"/>
      <c r="BT522" s="405"/>
      <c r="BZ522" s="83"/>
      <c r="CA522" s="405"/>
      <c r="CG522" s="83"/>
    </row>
    <row r="523">
      <c r="B523" s="405"/>
      <c r="H523" s="83"/>
      <c r="I523" s="405"/>
      <c r="O523" s="83"/>
      <c r="P523" s="405"/>
      <c r="V523" s="83"/>
      <c r="W523" s="405"/>
      <c r="AC523" s="83"/>
      <c r="AD523" s="405"/>
      <c r="AJ523" s="83"/>
      <c r="AK523" s="405"/>
      <c r="AQ523" s="83"/>
      <c r="AX523" s="83"/>
      <c r="BE523" s="83"/>
      <c r="BF523" s="405"/>
      <c r="BL523" s="83"/>
      <c r="BM523" s="405"/>
      <c r="BS523" s="83"/>
      <c r="BT523" s="405"/>
      <c r="BZ523" s="83"/>
      <c r="CA523" s="405"/>
      <c r="CG523" s="83"/>
    </row>
    <row r="524">
      <c r="B524" s="405"/>
      <c r="H524" s="83"/>
      <c r="I524" s="405"/>
      <c r="O524" s="83"/>
      <c r="P524" s="405"/>
      <c r="V524" s="83"/>
      <c r="W524" s="405"/>
      <c r="AC524" s="83"/>
      <c r="AD524" s="405"/>
      <c r="AJ524" s="83"/>
      <c r="AK524" s="405"/>
      <c r="AQ524" s="83"/>
      <c r="AX524" s="83"/>
      <c r="BE524" s="83"/>
      <c r="BF524" s="405"/>
      <c r="BL524" s="83"/>
      <c r="BM524" s="405"/>
      <c r="BS524" s="83"/>
      <c r="BT524" s="405"/>
      <c r="BZ524" s="83"/>
      <c r="CA524" s="405"/>
      <c r="CG524" s="83"/>
    </row>
    <row r="525">
      <c r="B525" s="405"/>
      <c r="H525" s="83"/>
      <c r="I525" s="405"/>
      <c r="O525" s="83"/>
      <c r="P525" s="405"/>
      <c r="V525" s="83"/>
      <c r="W525" s="405"/>
      <c r="AC525" s="83"/>
      <c r="AD525" s="405"/>
      <c r="AJ525" s="83"/>
      <c r="AK525" s="405"/>
      <c r="AQ525" s="83"/>
      <c r="AX525" s="83"/>
      <c r="BE525" s="83"/>
      <c r="BF525" s="405"/>
      <c r="BL525" s="83"/>
      <c r="BM525" s="405"/>
      <c r="BS525" s="83"/>
      <c r="BT525" s="405"/>
      <c r="BZ525" s="83"/>
      <c r="CA525" s="405"/>
      <c r="CG525" s="83"/>
    </row>
    <row r="526">
      <c r="B526" s="405"/>
      <c r="H526" s="83"/>
      <c r="I526" s="405"/>
      <c r="O526" s="83"/>
      <c r="P526" s="405"/>
      <c r="V526" s="83"/>
      <c r="W526" s="405"/>
      <c r="AC526" s="83"/>
      <c r="AD526" s="405"/>
      <c r="AJ526" s="83"/>
      <c r="AK526" s="405"/>
      <c r="AQ526" s="83"/>
      <c r="AX526" s="83"/>
      <c r="BE526" s="83"/>
      <c r="BF526" s="405"/>
      <c r="BL526" s="83"/>
      <c r="BM526" s="405"/>
      <c r="BS526" s="83"/>
      <c r="BT526" s="405"/>
      <c r="BZ526" s="83"/>
      <c r="CA526" s="405"/>
      <c r="CG526" s="83"/>
    </row>
    <row r="527">
      <c r="B527" s="405"/>
      <c r="H527" s="83"/>
      <c r="I527" s="405"/>
      <c r="O527" s="83"/>
      <c r="P527" s="405"/>
      <c r="V527" s="83"/>
      <c r="W527" s="405"/>
      <c r="AC527" s="83"/>
      <c r="AD527" s="405"/>
      <c r="AJ527" s="83"/>
      <c r="AK527" s="405"/>
      <c r="AQ527" s="83"/>
      <c r="AX527" s="83"/>
      <c r="BE527" s="83"/>
      <c r="BF527" s="405"/>
      <c r="BL527" s="83"/>
      <c r="BM527" s="405"/>
      <c r="BS527" s="83"/>
      <c r="BT527" s="405"/>
      <c r="BZ527" s="83"/>
      <c r="CA527" s="405"/>
      <c r="CG527" s="83"/>
    </row>
    <row r="528">
      <c r="B528" s="405"/>
      <c r="H528" s="83"/>
      <c r="I528" s="405"/>
      <c r="O528" s="83"/>
      <c r="P528" s="405"/>
      <c r="V528" s="83"/>
      <c r="W528" s="405"/>
      <c r="AC528" s="83"/>
      <c r="AD528" s="405"/>
      <c r="AJ528" s="83"/>
      <c r="AK528" s="405"/>
      <c r="AQ528" s="83"/>
      <c r="AX528" s="83"/>
      <c r="BE528" s="83"/>
      <c r="BF528" s="405"/>
      <c r="BL528" s="83"/>
      <c r="BM528" s="405"/>
      <c r="BS528" s="83"/>
      <c r="BT528" s="405"/>
      <c r="BZ528" s="83"/>
      <c r="CA528" s="405"/>
      <c r="CG528" s="83"/>
    </row>
    <row r="529">
      <c r="B529" s="405"/>
      <c r="H529" s="83"/>
      <c r="I529" s="405"/>
      <c r="O529" s="83"/>
      <c r="P529" s="405"/>
      <c r="V529" s="83"/>
      <c r="W529" s="405"/>
      <c r="AC529" s="83"/>
      <c r="AD529" s="405"/>
      <c r="AJ529" s="83"/>
      <c r="AK529" s="405"/>
      <c r="AQ529" s="83"/>
      <c r="AX529" s="83"/>
      <c r="BE529" s="83"/>
      <c r="BF529" s="405"/>
      <c r="BL529" s="83"/>
      <c r="BM529" s="405"/>
      <c r="BS529" s="83"/>
      <c r="BT529" s="405"/>
      <c r="BZ529" s="83"/>
      <c r="CA529" s="405"/>
      <c r="CG529" s="83"/>
    </row>
    <row r="530">
      <c r="B530" s="405"/>
      <c r="H530" s="83"/>
      <c r="I530" s="405"/>
      <c r="O530" s="83"/>
      <c r="P530" s="405"/>
      <c r="V530" s="83"/>
      <c r="W530" s="405"/>
      <c r="AC530" s="83"/>
      <c r="AD530" s="405"/>
      <c r="AJ530" s="83"/>
      <c r="AK530" s="405"/>
      <c r="AQ530" s="83"/>
      <c r="AX530" s="83"/>
      <c r="BE530" s="83"/>
      <c r="BF530" s="405"/>
      <c r="BL530" s="83"/>
      <c r="BM530" s="405"/>
      <c r="BS530" s="83"/>
      <c r="BT530" s="405"/>
      <c r="BZ530" s="83"/>
      <c r="CA530" s="405"/>
      <c r="CG530" s="83"/>
    </row>
    <row r="531">
      <c r="B531" s="405"/>
      <c r="H531" s="83"/>
      <c r="I531" s="405"/>
      <c r="O531" s="83"/>
      <c r="P531" s="405"/>
      <c r="V531" s="83"/>
      <c r="W531" s="405"/>
      <c r="AC531" s="83"/>
      <c r="AD531" s="405"/>
      <c r="AJ531" s="83"/>
      <c r="AK531" s="405"/>
      <c r="AQ531" s="83"/>
      <c r="AX531" s="83"/>
      <c r="BE531" s="83"/>
      <c r="BF531" s="405"/>
      <c r="BL531" s="83"/>
      <c r="BM531" s="405"/>
      <c r="BS531" s="83"/>
      <c r="BT531" s="405"/>
      <c r="BZ531" s="83"/>
      <c r="CA531" s="405"/>
      <c r="CG531" s="83"/>
    </row>
    <row r="532">
      <c r="B532" s="405"/>
      <c r="H532" s="83"/>
      <c r="I532" s="405"/>
      <c r="O532" s="83"/>
      <c r="P532" s="405"/>
      <c r="V532" s="83"/>
      <c r="W532" s="405"/>
      <c r="AC532" s="83"/>
      <c r="AD532" s="405"/>
      <c r="AJ532" s="83"/>
      <c r="AK532" s="405"/>
      <c r="AQ532" s="83"/>
      <c r="AX532" s="83"/>
      <c r="BE532" s="83"/>
      <c r="BF532" s="405"/>
      <c r="BL532" s="83"/>
      <c r="BM532" s="405"/>
      <c r="BS532" s="83"/>
      <c r="BT532" s="405"/>
      <c r="BZ532" s="83"/>
      <c r="CA532" s="405"/>
      <c r="CG532" s="83"/>
    </row>
    <row r="533">
      <c r="B533" s="405"/>
      <c r="H533" s="83"/>
      <c r="I533" s="405"/>
      <c r="O533" s="83"/>
      <c r="P533" s="405"/>
      <c r="V533" s="83"/>
      <c r="W533" s="405"/>
      <c r="AC533" s="83"/>
      <c r="AD533" s="405"/>
      <c r="AJ533" s="83"/>
      <c r="AK533" s="405"/>
      <c r="AQ533" s="83"/>
      <c r="AX533" s="83"/>
      <c r="BE533" s="83"/>
      <c r="BF533" s="405"/>
      <c r="BL533" s="83"/>
      <c r="BM533" s="405"/>
      <c r="BS533" s="83"/>
      <c r="BT533" s="405"/>
      <c r="BZ533" s="83"/>
      <c r="CA533" s="405"/>
      <c r="CG533" s="83"/>
    </row>
    <row r="534">
      <c r="B534" s="405"/>
      <c r="H534" s="83"/>
      <c r="I534" s="405"/>
      <c r="O534" s="83"/>
      <c r="P534" s="405"/>
      <c r="V534" s="83"/>
      <c r="W534" s="405"/>
      <c r="AC534" s="83"/>
      <c r="AD534" s="405"/>
      <c r="AJ534" s="83"/>
      <c r="AK534" s="405"/>
      <c r="AQ534" s="83"/>
      <c r="AX534" s="83"/>
      <c r="BE534" s="83"/>
      <c r="BF534" s="405"/>
      <c r="BL534" s="83"/>
      <c r="BM534" s="405"/>
      <c r="BS534" s="83"/>
      <c r="BT534" s="405"/>
      <c r="BZ534" s="83"/>
      <c r="CA534" s="405"/>
      <c r="CG534" s="83"/>
    </row>
    <row r="535">
      <c r="B535" s="405"/>
      <c r="H535" s="83"/>
      <c r="I535" s="405"/>
      <c r="O535" s="83"/>
      <c r="P535" s="405"/>
      <c r="V535" s="83"/>
      <c r="W535" s="405"/>
      <c r="AC535" s="83"/>
      <c r="AD535" s="405"/>
      <c r="AJ535" s="83"/>
      <c r="AK535" s="405"/>
      <c r="AQ535" s="83"/>
      <c r="AX535" s="83"/>
      <c r="BE535" s="83"/>
      <c r="BF535" s="405"/>
      <c r="BL535" s="83"/>
      <c r="BM535" s="405"/>
      <c r="BS535" s="83"/>
      <c r="BT535" s="405"/>
      <c r="BZ535" s="83"/>
      <c r="CA535" s="405"/>
      <c r="CG535" s="83"/>
    </row>
    <row r="536">
      <c r="B536" s="405"/>
      <c r="H536" s="83"/>
      <c r="I536" s="405"/>
      <c r="O536" s="83"/>
      <c r="P536" s="405"/>
      <c r="V536" s="83"/>
      <c r="W536" s="405"/>
      <c r="AC536" s="83"/>
      <c r="AD536" s="405"/>
      <c r="AJ536" s="83"/>
      <c r="AK536" s="405"/>
      <c r="AQ536" s="83"/>
      <c r="AX536" s="83"/>
      <c r="BE536" s="83"/>
      <c r="BF536" s="405"/>
      <c r="BL536" s="83"/>
      <c r="BM536" s="405"/>
      <c r="BS536" s="83"/>
      <c r="BT536" s="405"/>
      <c r="BZ536" s="83"/>
      <c r="CA536" s="405"/>
      <c r="CG536" s="83"/>
    </row>
    <row r="537">
      <c r="B537" s="405"/>
      <c r="H537" s="83"/>
      <c r="I537" s="405"/>
      <c r="O537" s="83"/>
      <c r="P537" s="405"/>
      <c r="V537" s="83"/>
      <c r="W537" s="405"/>
      <c r="AC537" s="83"/>
      <c r="AD537" s="405"/>
      <c r="AJ537" s="83"/>
      <c r="AK537" s="405"/>
      <c r="AQ537" s="83"/>
      <c r="AX537" s="83"/>
      <c r="BE537" s="83"/>
      <c r="BF537" s="405"/>
      <c r="BL537" s="83"/>
      <c r="BM537" s="405"/>
      <c r="BS537" s="83"/>
      <c r="BT537" s="405"/>
      <c r="BZ537" s="83"/>
      <c r="CA537" s="405"/>
      <c r="CG537" s="83"/>
    </row>
    <row r="538">
      <c r="B538" s="405"/>
      <c r="H538" s="83"/>
      <c r="I538" s="405"/>
      <c r="O538" s="83"/>
      <c r="P538" s="405"/>
      <c r="V538" s="83"/>
      <c r="W538" s="405"/>
      <c r="AC538" s="83"/>
      <c r="AD538" s="405"/>
      <c r="AJ538" s="83"/>
      <c r="AK538" s="405"/>
      <c r="AQ538" s="83"/>
      <c r="AX538" s="83"/>
      <c r="BE538" s="83"/>
      <c r="BF538" s="405"/>
      <c r="BL538" s="83"/>
      <c r="BM538" s="405"/>
      <c r="BS538" s="83"/>
      <c r="BT538" s="405"/>
      <c r="BZ538" s="83"/>
      <c r="CA538" s="405"/>
      <c r="CG538" s="83"/>
    </row>
    <row r="539">
      <c r="B539" s="405"/>
      <c r="H539" s="83"/>
      <c r="I539" s="405"/>
      <c r="O539" s="83"/>
      <c r="P539" s="405"/>
      <c r="V539" s="83"/>
      <c r="W539" s="405"/>
      <c r="AC539" s="83"/>
      <c r="AD539" s="405"/>
      <c r="AJ539" s="83"/>
      <c r="AK539" s="405"/>
      <c r="AQ539" s="83"/>
      <c r="AX539" s="83"/>
      <c r="BE539" s="83"/>
      <c r="BF539" s="405"/>
      <c r="BL539" s="83"/>
      <c r="BM539" s="405"/>
      <c r="BS539" s="83"/>
      <c r="BT539" s="405"/>
      <c r="BZ539" s="83"/>
      <c r="CA539" s="405"/>
      <c r="CG539" s="83"/>
    </row>
    <row r="540">
      <c r="B540" s="405"/>
      <c r="H540" s="83"/>
      <c r="I540" s="405"/>
      <c r="O540" s="83"/>
      <c r="P540" s="405"/>
      <c r="V540" s="83"/>
      <c r="W540" s="405"/>
      <c r="AC540" s="83"/>
      <c r="AD540" s="405"/>
      <c r="AJ540" s="83"/>
      <c r="AK540" s="405"/>
      <c r="AQ540" s="83"/>
      <c r="AX540" s="83"/>
      <c r="BE540" s="83"/>
      <c r="BF540" s="405"/>
      <c r="BL540" s="83"/>
      <c r="BM540" s="405"/>
      <c r="BS540" s="83"/>
      <c r="BT540" s="405"/>
      <c r="BZ540" s="83"/>
      <c r="CA540" s="405"/>
      <c r="CG540" s="83"/>
    </row>
    <row r="541">
      <c r="B541" s="405"/>
      <c r="H541" s="83"/>
      <c r="I541" s="405"/>
      <c r="O541" s="83"/>
      <c r="P541" s="405"/>
      <c r="V541" s="83"/>
      <c r="W541" s="405"/>
      <c r="AC541" s="83"/>
      <c r="AD541" s="405"/>
      <c r="AJ541" s="83"/>
      <c r="AK541" s="405"/>
      <c r="AQ541" s="83"/>
      <c r="AX541" s="83"/>
      <c r="BE541" s="83"/>
      <c r="BF541" s="405"/>
      <c r="BL541" s="83"/>
      <c r="BM541" s="405"/>
      <c r="BS541" s="83"/>
      <c r="BT541" s="405"/>
      <c r="BZ541" s="83"/>
      <c r="CA541" s="405"/>
      <c r="CG541" s="83"/>
    </row>
    <row r="542">
      <c r="B542" s="405"/>
      <c r="H542" s="83"/>
      <c r="I542" s="405"/>
      <c r="O542" s="83"/>
      <c r="P542" s="405"/>
      <c r="V542" s="83"/>
      <c r="W542" s="405"/>
      <c r="AC542" s="83"/>
      <c r="AD542" s="405"/>
      <c r="AJ542" s="83"/>
      <c r="AK542" s="405"/>
      <c r="AQ542" s="83"/>
      <c r="AX542" s="83"/>
      <c r="BE542" s="83"/>
      <c r="BF542" s="405"/>
      <c r="BL542" s="83"/>
      <c r="BM542" s="405"/>
      <c r="BS542" s="83"/>
      <c r="BT542" s="405"/>
      <c r="BZ542" s="83"/>
      <c r="CA542" s="405"/>
      <c r="CG542" s="83"/>
    </row>
    <row r="543">
      <c r="B543" s="405"/>
      <c r="H543" s="83"/>
      <c r="I543" s="405"/>
      <c r="O543" s="83"/>
      <c r="P543" s="405"/>
      <c r="V543" s="83"/>
      <c r="W543" s="405"/>
      <c r="AC543" s="83"/>
      <c r="AD543" s="405"/>
      <c r="AJ543" s="83"/>
      <c r="AK543" s="405"/>
      <c r="AQ543" s="83"/>
      <c r="AX543" s="83"/>
      <c r="BE543" s="83"/>
      <c r="BF543" s="405"/>
      <c r="BL543" s="83"/>
      <c r="BM543" s="405"/>
      <c r="BS543" s="83"/>
      <c r="BT543" s="405"/>
      <c r="BZ543" s="83"/>
      <c r="CA543" s="405"/>
      <c r="CG543" s="83"/>
    </row>
    <row r="544">
      <c r="B544" s="405"/>
      <c r="H544" s="83"/>
      <c r="I544" s="405"/>
      <c r="O544" s="83"/>
      <c r="P544" s="405"/>
      <c r="V544" s="83"/>
      <c r="W544" s="405"/>
      <c r="AC544" s="83"/>
      <c r="AD544" s="405"/>
      <c r="AJ544" s="83"/>
      <c r="AK544" s="405"/>
      <c r="AQ544" s="83"/>
      <c r="AX544" s="83"/>
      <c r="BE544" s="83"/>
      <c r="BF544" s="405"/>
      <c r="BL544" s="83"/>
      <c r="BM544" s="405"/>
      <c r="BS544" s="83"/>
      <c r="BT544" s="405"/>
      <c r="BZ544" s="83"/>
      <c r="CA544" s="405"/>
      <c r="CG544" s="83"/>
    </row>
    <row r="545">
      <c r="B545" s="405"/>
      <c r="H545" s="83"/>
      <c r="I545" s="405"/>
      <c r="O545" s="83"/>
      <c r="P545" s="405"/>
      <c r="V545" s="83"/>
      <c r="W545" s="405"/>
      <c r="AC545" s="83"/>
      <c r="AD545" s="405"/>
      <c r="AJ545" s="83"/>
      <c r="AK545" s="405"/>
      <c r="AQ545" s="83"/>
      <c r="AX545" s="83"/>
      <c r="BE545" s="83"/>
      <c r="BF545" s="405"/>
      <c r="BL545" s="83"/>
      <c r="BM545" s="405"/>
      <c r="BS545" s="83"/>
      <c r="BT545" s="405"/>
      <c r="BZ545" s="83"/>
      <c r="CA545" s="405"/>
      <c r="CG545" s="83"/>
    </row>
    <row r="546">
      <c r="B546" s="405"/>
      <c r="H546" s="83"/>
      <c r="I546" s="405"/>
      <c r="O546" s="83"/>
      <c r="P546" s="405"/>
      <c r="V546" s="83"/>
      <c r="W546" s="405"/>
      <c r="AC546" s="83"/>
      <c r="AD546" s="405"/>
      <c r="AJ546" s="83"/>
      <c r="AK546" s="405"/>
      <c r="AQ546" s="83"/>
      <c r="AX546" s="83"/>
      <c r="BE546" s="83"/>
      <c r="BF546" s="405"/>
      <c r="BL546" s="83"/>
      <c r="BM546" s="405"/>
      <c r="BS546" s="83"/>
      <c r="BT546" s="405"/>
      <c r="BZ546" s="83"/>
      <c r="CA546" s="405"/>
      <c r="CG546" s="83"/>
    </row>
    <row r="547">
      <c r="B547" s="405"/>
      <c r="H547" s="83"/>
      <c r="I547" s="405"/>
      <c r="O547" s="83"/>
      <c r="P547" s="405"/>
      <c r="V547" s="83"/>
      <c r="W547" s="405"/>
      <c r="AC547" s="83"/>
      <c r="AD547" s="405"/>
      <c r="AJ547" s="83"/>
      <c r="AK547" s="405"/>
      <c r="AQ547" s="83"/>
      <c r="AX547" s="83"/>
      <c r="BE547" s="83"/>
      <c r="BF547" s="405"/>
      <c r="BL547" s="83"/>
      <c r="BM547" s="405"/>
      <c r="BS547" s="83"/>
      <c r="BT547" s="405"/>
      <c r="BZ547" s="83"/>
      <c r="CA547" s="405"/>
      <c r="CG547" s="83"/>
    </row>
    <row r="548">
      <c r="B548" s="405"/>
      <c r="H548" s="83"/>
      <c r="I548" s="405"/>
      <c r="O548" s="83"/>
      <c r="P548" s="405"/>
      <c r="V548" s="83"/>
      <c r="W548" s="405"/>
      <c r="AC548" s="83"/>
      <c r="AD548" s="405"/>
      <c r="AJ548" s="83"/>
      <c r="AK548" s="405"/>
      <c r="AQ548" s="83"/>
      <c r="AX548" s="83"/>
      <c r="BE548" s="83"/>
      <c r="BF548" s="405"/>
      <c r="BL548" s="83"/>
      <c r="BM548" s="405"/>
      <c r="BS548" s="83"/>
      <c r="BT548" s="405"/>
      <c r="BZ548" s="83"/>
      <c r="CA548" s="405"/>
      <c r="CG548" s="83"/>
    </row>
    <row r="549">
      <c r="B549" s="405"/>
      <c r="H549" s="83"/>
      <c r="I549" s="405"/>
      <c r="O549" s="83"/>
      <c r="P549" s="405"/>
      <c r="V549" s="83"/>
      <c r="W549" s="405"/>
      <c r="AC549" s="83"/>
      <c r="AD549" s="405"/>
      <c r="AJ549" s="83"/>
      <c r="AK549" s="405"/>
      <c r="AQ549" s="83"/>
      <c r="AX549" s="83"/>
      <c r="BE549" s="83"/>
      <c r="BF549" s="405"/>
      <c r="BL549" s="83"/>
      <c r="BM549" s="405"/>
      <c r="BS549" s="83"/>
      <c r="BT549" s="405"/>
      <c r="BZ549" s="83"/>
      <c r="CA549" s="405"/>
      <c r="CG549" s="83"/>
    </row>
    <row r="550">
      <c r="B550" s="405"/>
      <c r="H550" s="83"/>
      <c r="I550" s="405"/>
      <c r="O550" s="83"/>
      <c r="P550" s="405"/>
      <c r="V550" s="83"/>
      <c r="W550" s="405"/>
      <c r="AC550" s="83"/>
      <c r="AD550" s="405"/>
      <c r="AJ550" s="83"/>
      <c r="AK550" s="405"/>
      <c r="AQ550" s="83"/>
      <c r="AX550" s="83"/>
      <c r="BE550" s="83"/>
      <c r="BF550" s="405"/>
      <c r="BL550" s="83"/>
      <c r="BM550" s="405"/>
      <c r="BS550" s="83"/>
      <c r="BT550" s="405"/>
      <c r="BZ550" s="83"/>
      <c r="CA550" s="405"/>
      <c r="CG550" s="83"/>
    </row>
    <row r="551">
      <c r="B551" s="405"/>
      <c r="H551" s="83"/>
      <c r="I551" s="405"/>
      <c r="O551" s="83"/>
      <c r="P551" s="405"/>
      <c r="V551" s="83"/>
      <c r="W551" s="405"/>
      <c r="AC551" s="83"/>
      <c r="AD551" s="405"/>
      <c r="AJ551" s="83"/>
      <c r="AK551" s="405"/>
      <c r="AQ551" s="83"/>
      <c r="AX551" s="83"/>
      <c r="BE551" s="83"/>
      <c r="BF551" s="405"/>
      <c r="BL551" s="83"/>
      <c r="BM551" s="405"/>
      <c r="BS551" s="83"/>
      <c r="BT551" s="405"/>
      <c r="BZ551" s="83"/>
      <c r="CA551" s="405"/>
      <c r="CG551" s="83"/>
    </row>
    <row r="552">
      <c r="B552" s="405"/>
      <c r="H552" s="83"/>
      <c r="I552" s="405"/>
      <c r="O552" s="83"/>
      <c r="P552" s="405"/>
      <c r="V552" s="83"/>
      <c r="W552" s="405"/>
      <c r="AC552" s="83"/>
      <c r="AD552" s="405"/>
      <c r="AJ552" s="83"/>
      <c r="AK552" s="405"/>
      <c r="AQ552" s="83"/>
      <c r="AX552" s="83"/>
      <c r="BE552" s="83"/>
      <c r="BF552" s="405"/>
      <c r="BL552" s="83"/>
      <c r="BM552" s="405"/>
      <c r="BS552" s="83"/>
      <c r="BT552" s="405"/>
      <c r="BZ552" s="83"/>
      <c r="CA552" s="405"/>
      <c r="CG552" s="83"/>
    </row>
    <row r="553">
      <c r="B553" s="405"/>
      <c r="H553" s="83"/>
      <c r="I553" s="405"/>
      <c r="O553" s="83"/>
      <c r="P553" s="405"/>
      <c r="V553" s="83"/>
      <c r="W553" s="405"/>
      <c r="AC553" s="83"/>
      <c r="AD553" s="405"/>
      <c r="AJ553" s="83"/>
      <c r="AK553" s="405"/>
      <c r="AQ553" s="83"/>
      <c r="AX553" s="83"/>
      <c r="BE553" s="83"/>
      <c r="BF553" s="405"/>
      <c r="BL553" s="83"/>
      <c r="BM553" s="405"/>
      <c r="BS553" s="83"/>
      <c r="BT553" s="405"/>
      <c r="BZ553" s="83"/>
      <c r="CA553" s="405"/>
      <c r="CG553" s="83"/>
    </row>
    <row r="554">
      <c r="B554" s="405"/>
      <c r="H554" s="83"/>
      <c r="I554" s="405"/>
      <c r="O554" s="83"/>
      <c r="P554" s="405"/>
      <c r="V554" s="83"/>
      <c r="W554" s="405"/>
      <c r="AC554" s="83"/>
      <c r="AD554" s="405"/>
      <c r="AJ554" s="83"/>
      <c r="AK554" s="405"/>
      <c r="AQ554" s="83"/>
      <c r="AX554" s="83"/>
      <c r="BE554" s="83"/>
      <c r="BF554" s="405"/>
      <c r="BL554" s="83"/>
      <c r="BM554" s="405"/>
      <c r="BS554" s="83"/>
      <c r="BT554" s="405"/>
      <c r="BZ554" s="83"/>
      <c r="CA554" s="405"/>
      <c r="CG554" s="83"/>
    </row>
    <row r="555">
      <c r="B555" s="405"/>
      <c r="H555" s="83"/>
      <c r="I555" s="405"/>
      <c r="O555" s="83"/>
      <c r="P555" s="405"/>
      <c r="V555" s="83"/>
      <c r="W555" s="405"/>
      <c r="AC555" s="83"/>
      <c r="AD555" s="405"/>
      <c r="AJ555" s="83"/>
      <c r="AK555" s="405"/>
      <c r="AQ555" s="83"/>
      <c r="AX555" s="83"/>
      <c r="BE555" s="83"/>
      <c r="BF555" s="405"/>
      <c r="BL555" s="83"/>
      <c r="BM555" s="405"/>
      <c r="BS555" s="83"/>
      <c r="BT555" s="405"/>
      <c r="BZ555" s="83"/>
      <c r="CA555" s="405"/>
      <c r="CG555" s="83"/>
    </row>
    <row r="556">
      <c r="B556" s="405"/>
      <c r="H556" s="83"/>
      <c r="I556" s="405"/>
      <c r="O556" s="83"/>
      <c r="P556" s="405"/>
      <c r="V556" s="83"/>
      <c r="W556" s="405"/>
      <c r="AC556" s="83"/>
      <c r="AD556" s="405"/>
      <c r="AJ556" s="83"/>
      <c r="AK556" s="405"/>
      <c r="AQ556" s="83"/>
      <c r="AX556" s="83"/>
      <c r="BE556" s="83"/>
      <c r="BF556" s="405"/>
      <c r="BL556" s="83"/>
      <c r="BM556" s="405"/>
      <c r="BS556" s="83"/>
      <c r="BT556" s="405"/>
      <c r="BZ556" s="83"/>
      <c r="CA556" s="405"/>
      <c r="CG556" s="83"/>
    </row>
    <row r="557">
      <c r="B557" s="405"/>
      <c r="H557" s="83"/>
      <c r="I557" s="405"/>
      <c r="O557" s="83"/>
      <c r="P557" s="405"/>
      <c r="V557" s="83"/>
      <c r="W557" s="405"/>
      <c r="AC557" s="83"/>
      <c r="AD557" s="405"/>
      <c r="AJ557" s="83"/>
      <c r="AK557" s="405"/>
      <c r="AQ557" s="83"/>
      <c r="AX557" s="83"/>
      <c r="BE557" s="83"/>
      <c r="BF557" s="405"/>
      <c r="BL557" s="83"/>
      <c r="BM557" s="405"/>
      <c r="BS557" s="83"/>
      <c r="BT557" s="405"/>
      <c r="BZ557" s="83"/>
      <c r="CA557" s="405"/>
      <c r="CG557" s="83"/>
    </row>
    <row r="558">
      <c r="B558" s="405"/>
      <c r="H558" s="83"/>
      <c r="I558" s="405"/>
      <c r="O558" s="83"/>
      <c r="P558" s="405"/>
      <c r="V558" s="83"/>
      <c r="W558" s="405"/>
      <c r="AC558" s="83"/>
      <c r="AD558" s="405"/>
      <c r="AJ558" s="83"/>
      <c r="AK558" s="405"/>
      <c r="AQ558" s="83"/>
      <c r="AX558" s="83"/>
      <c r="BE558" s="83"/>
      <c r="BF558" s="405"/>
      <c r="BL558" s="83"/>
      <c r="BM558" s="405"/>
      <c r="BS558" s="83"/>
      <c r="BT558" s="405"/>
      <c r="BZ558" s="83"/>
      <c r="CA558" s="405"/>
      <c r="CG558" s="83"/>
    </row>
    <row r="559">
      <c r="B559" s="405"/>
      <c r="H559" s="83"/>
      <c r="I559" s="405"/>
      <c r="O559" s="83"/>
      <c r="P559" s="405"/>
      <c r="V559" s="83"/>
      <c r="W559" s="405"/>
      <c r="AC559" s="83"/>
      <c r="AD559" s="405"/>
      <c r="AJ559" s="83"/>
      <c r="AK559" s="405"/>
      <c r="AQ559" s="83"/>
      <c r="AX559" s="83"/>
      <c r="BE559" s="83"/>
      <c r="BF559" s="405"/>
      <c r="BL559" s="83"/>
      <c r="BM559" s="405"/>
      <c r="BS559" s="83"/>
      <c r="BT559" s="405"/>
      <c r="BZ559" s="83"/>
      <c r="CA559" s="405"/>
      <c r="CG559" s="83"/>
    </row>
    <row r="560">
      <c r="B560" s="405"/>
      <c r="H560" s="83"/>
      <c r="I560" s="405"/>
      <c r="O560" s="83"/>
      <c r="P560" s="405"/>
      <c r="V560" s="83"/>
      <c r="W560" s="405"/>
      <c r="AC560" s="83"/>
      <c r="AD560" s="405"/>
      <c r="AJ560" s="83"/>
      <c r="AK560" s="405"/>
      <c r="AQ560" s="83"/>
      <c r="AX560" s="83"/>
      <c r="BE560" s="83"/>
      <c r="BF560" s="405"/>
      <c r="BL560" s="83"/>
      <c r="BM560" s="405"/>
      <c r="BS560" s="83"/>
      <c r="BT560" s="405"/>
      <c r="BZ560" s="83"/>
      <c r="CA560" s="405"/>
      <c r="CG560" s="83"/>
    </row>
    <row r="561">
      <c r="B561" s="405"/>
      <c r="H561" s="83"/>
      <c r="I561" s="405"/>
      <c r="O561" s="83"/>
      <c r="P561" s="405"/>
      <c r="V561" s="83"/>
      <c r="W561" s="405"/>
      <c r="AC561" s="83"/>
      <c r="AD561" s="405"/>
      <c r="AJ561" s="83"/>
      <c r="AK561" s="405"/>
      <c r="AQ561" s="83"/>
      <c r="AX561" s="83"/>
      <c r="BE561" s="83"/>
      <c r="BF561" s="405"/>
      <c r="BL561" s="83"/>
      <c r="BM561" s="405"/>
      <c r="BS561" s="83"/>
      <c r="BT561" s="405"/>
      <c r="BZ561" s="83"/>
      <c r="CA561" s="405"/>
      <c r="CG561" s="83"/>
    </row>
    <row r="562">
      <c r="B562" s="405"/>
      <c r="H562" s="83"/>
      <c r="I562" s="405"/>
      <c r="O562" s="83"/>
      <c r="P562" s="405"/>
      <c r="V562" s="83"/>
      <c r="W562" s="405"/>
      <c r="AC562" s="83"/>
      <c r="AD562" s="405"/>
      <c r="AJ562" s="83"/>
      <c r="AK562" s="405"/>
      <c r="AQ562" s="83"/>
      <c r="AX562" s="83"/>
      <c r="BE562" s="83"/>
      <c r="BF562" s="405"/>
      <c r="BL562" s="83"/>
      <c r="BM562" s="405"/>
      <c r="BS562" s="83"/>
      <c r="BT562" s="405"/>
      <c r="BZ562" s="83"/>
      <c r="CA562" s="405"/>
      <c r="CG562" s="83"/>
    </row>
    <row r="563">
      <c r="B563" s="405"/>
      <c r="H563" s="83"/>
      <c r="I563" s="405"/>
      <c r="O563" s="83"/>
      <c r="P563" s="405"/>
      <c r="V563" s="83"/>
      <c r="W563" s="405"/>
      <c r="AC563" s="83"/>
      <c r="AD563" s="405"/>
      <c r="AJ563" s="83"/>
      <c r="AK563" s="405"/>
      <c r="AQ563" s="83"/>
      <c r="AX563" s="83"/>
      <c r="BE563" s="83"/>
      <c r="BF563" s="405"/>
      <c r="BL563" s="83"/>
      <c r="BM563" s="405"/>
      <c r="BS563" s="83"/>
      <c r="BT563" s="405"/>
      <c r="BZ563" s="83"/>
      <c r="CA563" s="405"/>
      <c r="CG563" s="83"/>
    </row>
    <row r="564">
      <c r="B564" s="405"/>
      <c r="H564" s="83"/>
      <c r="I564" s="405"/>
      <c r="O564" s="83"/>
      <c r="P564" s="405"/>
      <c r="V564" s="83"/>
      <c r="W564" s="405"/>
      <c r="AC564" s="83"/>
      <c r="AD564" s="405"/>
      <c r="AJ564" s="83"/>
      <c r="AK564" s="405"/>
      <c r="AQ564" s="83"/>
      <c r="AX564" s="83"/>
      <c r="BE564" s="83"/>
      <c r="BF564" s="405"/>
      <c r="BL564" s="83"/>
      <c r="BM564" s="405"/>
      <c r="BS564" s="83"/>
      <c r="BT564" s="405"/>
      <c r="BZ564" s="83"/>
      <c r="CA564" s="405"/>
      <c r="CG564" s="83"/>
    </row>
    <row r="565">
      <c r="B565" s="405"/>
      <c r="H565" s="83"/>
      <c r="I565" s="405"/>
      <c r="O565" s="83"/>
      <c r="P565" s="405"/>
      <c r="V565" s="83"/>
      <c r="W565" s="405"/>
      <c r="AC565" s="83"/>
      <c r="AD565" s="405"/>
      <c r="AJ565" s="83"/>
      <c r="AK565" s="405"/>
      <c r="AQ565" s="83"/>
      <c r="AX565" s="83"/>
      <c r="BE565" s="83"/>
      <c r="BF565" s="405"/>
      <c r="BL565" s="83"/>
      <c r="BM565" s="405"/>
      <c r="BS565" s="83"/>
      <c r="BT565" s="405"/>
      <c r="BZ565" s="83"/>
      <c r="CA565" s="405"/>
      <c r="CG565" s="83"/>
    </row>
    <row r="566">
      <c r="B566" s="405"/>
      <c r="H566" s="83"/>
      <c r="I566" s="405"/>
      <c r="O566" s="83"/>
      <c r="P566" s="405"/>
      <c r="V566" s="83"/>
      <c r="W566" s="405"/>
      <c r="AC566" s="83"/>
      <c r="AD566" s="405"/>
      <c r="AJ566" s="83"/>
      <c r="AK566" s="405"/>
      <c r="AQ566" s="83"/>
      <c r="AX566" s="83"/>
      <c r="BE566" s="83"/>
      <c r="BF566" s="405"/>
      <c r="BL566" s="83"/>
      <c r="BM566" s="405"/>
      <c r="BS566" s="83"/>
      <c r="BT566" s="405"/>
      <c r="BZ566" s="83"/>
      <c r="CA566" s="405"/>
      <c r="CG566" s="83"/>
    </row>
    <row r="567">
      <c r="B567" s="405"/>
      <c r="H567" s="83"/>
      <c r="I567" s="405"/>
      <c r="O567" s="83"/>
      <c r="P567" s="405"/>
      <c r="V567" s="83"/>
      <c r="W567" s="405"/>
      <c r="AC567" s="83"/>
      <c r="AD567" s="405"/>
      <c r="AJ567" s="83"/>
      <c r="AK567" s="405"/>
      <c r="AQ567" s="83"/>
      <c r="AX567" s="83"/>
      <c r="BE567" s="83"/>
      <c r="BF567" s="405"/>
      <c r="BL567" s="83"/>
      <c r="BM567" s="405"/>
      <c r="BS567" s="83"/>
      <c r="BT567" s="405"/>
      <c r="BZ567" s="83"/>
      <c r="CA567" s="405"/>
      <c r="CG567" s="83"/>
    </row>
    <row r="568">
      <c r="B568" s="405"/>
      <c r="H568" s="83"/>
      <c r="I568" s="405"/>
      <c r="O568" s="83"/>
      <c r="P568" s="405"/>
      <c r="V568" s="83"/>
      <c r="W568" s="405"/>
      <c r="AC568" s="83"/>
      <c r="AD568" s="405"/>
      <c r="AJ568" s="83"/>
      <c r="AK568" s="405"/>
      <c r="AQ568" s="83"/>
      <c r="AX568" s="83"/>
      <c r="BE568" s="83"/>
      <c r="BF568" s="405"/>
      <c r="BL568" s="83"/>
      <c r="BM568" s="405"/>
      <c r="BS568" s="83"/>
      <c r="BT568" s="405"/>
      <c r="BZ568" s="83"/>
      <c r="CA568" s="405"/>
      <c r="CG568" s="83"/>
    </row>
    <row r="569">
      <c r="B569" s="405"/>
      <c r="H569" s="83"/>
      <c r="I569" s="405"/>
      <c r="O569" s="83"/>
      <c r="P569" s="405"/>
      <c r="V569" s="83"/>
      <c r="W569" s="405"/>
      <c r="AC569" s="83"/>
      <c r="AD569" s="405"/>
      <c r="AJ569" s="83"/>
      <c r="AK569" s="405"/>
      <c r="AQ569" s="83"/>
      <c r="AX569" s="83"/>
      <c r="BE569" s="83"/>
      <c r="BF569" s="405"/>
      <c r="BL569" s="83"/>
      <c r="BM569" s="405"/>
      <c r="BS569" s="83"/>
      <c r="BT569" s="405"/>
      <c r="BZ569" s="83"/>
      <c r="CA569" s="405"/>
      <c r="CG569" s="83"/>
    </row>
    <row r="570">
      <c r="B570" s="405"/>
      <c r="H570" s="83"/>
      <c r="I570" s="405"/>
      <c r="O570" s="83"/>
      <c r="P570" s="405"/>
      <c r="V570" s="83"/>
      <c r="W570" s="405"/>
      <c r="AC570" s="83"/>
      <c r="AD570" s="405"/>
      <c r="AJ570" s="83"/>
      <c r="AK570" s="405"/>
      <c r="AQ570" s="83"/>
      <c r="AX570" s="83"/>
      <c r="BE570" s="83"/>
      <c r="BF570" s="405"/>
      <c r="BL570" s="83"/>
      <c r="BM570" s="405"/>
      <c r="BS570" s="83"/>
      <c r="BT570" s="405"/>
      <c r="BZ570" s="83"/>
      <c r="CA570" s="405"/>
      <c r="CG570" s="83"/>
    </row>
    <row r="571">
      <c r="B571" s="405"/>
      <c r="H571" s="83"/>
      <c r="I571" s="405"/>
      <c r="O571" s="83"/>
      <c r="P571" s="405"/>
      <c r="V571" s="83"/>
      <c r="W571" s="405"/>
      <c r="AC571" s="83"/>
      <c r="AD571" s="405"/>
      <c r="AJ571" s="83"/>
      <c r="AK571" s="405"/>
      <c r="AQ571" s="83"/>
      <c r="AX571" s="83"/>
      <c r="BE571" s="83"/>
      <c r="BF571" s="405"/>
      <c r="BL571" s="83"/>
      <c r="BM571" s="405"/>
      <c r="BS571" s="83"/>
      <c r="BT571" s="405"/>
      <c r="BZ571" s="83"/>
      <c r="CA571" s="405"/>
      <c r="CG571" s="83"/>
    </row>
    <row r="572">
      <c r="B572" s="405"/>
      <c r="H572" s="83"/>
      <c r="I572" s="405"/>
      <c r="O572" s="83"/>
      <c r="P572" s="405"/>
      <c r="V572" s="83"/>
      <c r="W572" s="405"/>
      <c r="AC572" s="83"/>
      <c r="AD572" s="405"/>
      <c r="AJ572" s="83"/>
      <c r="AK572" s="405"/>
      <c r="AQ572" s="83"/>
      <c r="AX572" s="83"/>
      <c r="BE572" s="83"/>
      <c r="BF572" s="405"/>
      <c r="BL572" s="83"/>
      <c r="BM572" s="405"/>
      <c r="BS572" s="83"/>
      <c r="BT572" s="405"/>
      <c r="BZ572" s="83"/>
      <c r="CA572" s="405"/>
      <c r="CG572" s="83"/>
    </row>
    <row r="573">
      <c r="B573" s="405"/>
      <c r="H573" s="83"/>
      <c r="I573" s="405"/>
      <c r="O573" s="83"/>
      <c r="P573" s="405"/>
      <c r="V573" s="83"/>
      <c r="W573" s="405"/>
      <c r="AC573" s="83"/>
      <c r="AD573" s="405"/>
      <c r="AJ573" s="83"/>
      <c r="AK573" s="405"/>
      <c r="AQ573" s="83"/>
      <c r="AX573" s="83"/>
      <c r="BE573" s="83"/>
      <c r="BF573" s="405"/>
      <c r="BL573" s="83"/>
      <c r="BM573" s="405"/>
      <c r="BS573" s="83"/>
      <c r="BT573" s="405"/>
      <c r="BZ573" s="83"/>
      <c r="CA573" s="405"/>
      <c r="CG573" s="83"/>
    </row>
    <row r="574">
      <c r="B574" s="405"/>
      <c r="H574" s="83"/>
      <c r="I574" s="405"/>
      <c r="O574" s="83"/>
      <c r="P574" s="405"/>
      <c r="V574" s="83"/>
      <c r="W574" s="405"/>
      <c r="AC574" s="83"/>
      <c r="AD574" s="405"/>
      <c r="AJ574" s="83"/>
      <c r="AK574" s="405"/>
      <c r="AQ574" s="83"/>
      <c r="AX574" s="83"/>
      <c r="BE574" s="83"/>
      <c r="BF574" s="405"/>
      <c r="BL574" s="83"/>
      <c r="BM574" s="405"/>
      <c r="BS574" s="83"/>
      <c r="BT574" s="405"/>
      <c r="BZ574" s="83"/>
      <c r="CA574" s="405"/>
      <c r="CG574" s="83"/>
    </row>
    <row r="575">
      <c r="B575" s="405"/>
      <c r="H575" s="83"/>
      <c r="I575" s="405"/>
      <c r="O575" s="83"/>
      <c r="P575" s="405"/>
      <c r="V575" s="83"/>
      <c r="W575" s="405"/>
      <c r="AC575" s="83"/>
      <c r="AD575" s="405"/>
      <c r="AJ575" s="83"/>
      <c r="AK575" s="405"/>
      <c r="AQ575" s="83"/>
      <c r="AX575" s="83"/>
      <c r="BE575" s="83"/>
      <c r="BF575" s="405"/>
      <c r="BL575" s="83"/>
      <c r="BM575" s="405"/>
      <c r="BS575" s="83"/>
      <c r="BT575" s="405"/>
      <c r="BZ575" s="83"/>
      <c r="CA575" s="405"/>
      <c r="CG575" s="83"/>
    </row>
    <row r="576">
      <c r="B576" s="405"/>
      <c r="H576" s="83"/>
      <c r="I576" s="405"/>
      <c r="O576" s="83"/>
      <c r="P576" s="405"/>
      <c r="V576" s="83"/>
      <c r="W576" s="405"/>
      <c r="AC576" s="83"/>
      <c r="AD576" s="405"/>
      <c r="AJ576" s="83"/>
      <c r="AK576" s="405"/>
      <c r="AQ576" s="83"/>
      <c r="AX576" s="83"/>
      <c r="BE576" s="83"/>
      <c r="BF576" s="405"/>
      <c r="BL576" s="83"/>
      <c r="BM576" s="405"/>
      <c r="BS576" s="83"/>
      <c r="BT576" s="405"/>
      <c r="BZ576" s="83"/>
      <c r="CA576" s="405"/>
      <c r="CG576" s="83"/>
    </row>
    <row r="577">
      <c r="B577" s="405"/>
      <c r="H577" s="83"/>
      <c r="I577" s="405"/>
      <c r="O577" s="83"/>
      <c r="P577" s="405"/>
      <c r="V577" s="83"/>
      <c r="W577" s="405"/>
      <c r="AC577" s="83"/>
      <c r="AD577" s="405"/>
      <c r="AJ577" s="83"/>
      <c r="AK577" s="405"/>
      <c r="AQ577" s="83"/>
      <c r="AX577" s="83"/>
      <c r="BE577" s="83"/>
      <c r="BF577" s="405"/>
      <c r="BL577" s="83"/>
      <c r="BM577" s="405"/>
      <c r="BS577" s="83"/>
      <c r="BT577" s="405"/>
      <c r="BZ577" s="83"/>
      <c r="CA577" s="405"/>
      <c r="CG577" s="83"/>
    </row>
    <row r="578">
      <c r="B578" s="405"/>
      <c r="H578" s="83"/>
      <c r="I578" s="405"/>
      <c r="O578" s="83"/>
      <c r="P578" s="405"/>
      <c r="V578" s="83"/>
      <c r="W578" s="405"/>
      <c r="AC578" s="83"/>
      <c r="AD578" s="405"/>
      <c r="AJ578" s="83"/>
      <c r="AK578" s="405"/>
      <c r="AQ578" s="83"/>
      <c r="AX578" s="83"/>
      <c r="BE578" s="83"/>
      <c r="BF578" s="405"/>
      <c r="BL578" s="83"/>
      <c r="BM578" s="405"/>
      <c r="BS578" s="83"/>
      <c r="BT578" s="405"/>
      <c r="BZ578" s="83"/>
      <c r="CA578" s="405"/>
      <c r="CG578" s="83"/>
    </row>
    <row r="579">
      <c r="B579" s="405"/>
      <c r="H579" s="83"/>
      <c r="I579" s="405"/>
      <c r="O579" s="83"/>
      <c r="P579" s="405"/>
      <c r="V579" s="83"/>
      <c r="W579" s="405"/>
      <c r="AC579" s="83"/>
      <c r="AD579" s="405"/>
      <c r="AJ579" s="83"/>
      <c r="AK579" s="405"/>
      <c r="AQ579" s="83"/>
      <c r="AX579" s="83"/>
      <c r="BE579" s="83"/>
      <c r="BF579" s="405"/>
      <c r="BL579" s="83"/>
      <c r="BM579" s="405"/>
      <c r="BS579" s="83"/>
      <c r="BT579" s="405"/>
      <c r="BZ579" s="83"/>
      <c r="CA579" s="405"/>
      <c r="CG579" s="83"/>
    </row>
    <row r="580">
      <c r="B580" s="405"/>
      <c r="H580" s="83"/>
      <c r="I580" s="405"/>
      <c r="O580" s="83"/>
      <c r="P580" s="405"/>
      <c r="V580" s="83"/>
      <c r="W580" s="405"/>
      <c r="AC580" s="83"/>
      <c r="AD580" s="405"/>
      <c r="AJ580" s="83"/>
      <c r="AK580" s="405"/>
      <c r="AQ580" s="83"/>
      <c r="AX580" s="83"/>
      <c r="BE580" s="83"/>
      <c r="BF580" s="405"/>
      <c r="BL580" s="83"/>
      <c r="BM580" s="405"/>
      <c r="BS580" s="83"/>
      <c r="BT580" s="405"/>
      <c r="BZ580" s="83"/>
      <c r="CA580" s="405"/>
      <c r="CG580" s="83"/>
    </row>
    <row r="581">
      <c r="B581" s="405"/>
      <c r="H581" s="83"/>
      <c r="I581" s="405"/>
      <c r="O581" s="83"/>
      <c r="P581" s="405"/>
      <c r="V581" s="83"/>
      <c r="W581" s="405"/>
      <c r="AC581" s="83"/>
      <c r="AD581" s="405"/>
      <c r="AJ581" s="83"/>
      <c r="AK581" s="405"/>
      <c r="AQ581" s="83"/>
      <c r="AX581" s="83"/>
      <c r="BE581" s="83"/>
      <c r="BF581" s="405"/>
      <c r="BL581" s="83"/>
      <c r="BM581" s="405"/>
      <c r="BS581" s="83"/>
      <c r="BT581" s="405"/>
      <c r="BZ581" s="83"/>
      <c r="CA581" s="405"/>
      <c r="CG581" s="83"/>
    </row>
    <row r="582">
      <c r="B582" s="405"/>
      <c r="H582" s="83"/>
      <c r="I582" s="405"/>
      <c r="O582" s="83"/>
      <c r="P582" s="405"/>
      <c r="V582" s="83"/>
      <c r="W582" s="405"/>
      <c r="AC582" s="83"/>
      <c r="AD582" s="405"/>
      <c r="AJ582" s="83"/>
      <c r="AK582" s="405"/>
      <c r="AQ582" s="83"/>
      <c r="AX582" s="83"/>
      <c r="BE582" s="83"/>
      <c r="BF582" s="405"/>
      <c r="BL582" s="83"/>
      <c r="BM582" s="405"/>
      <c r="BS582" s="83"/>
      <c r="BT582" s="405"/>
      <c r="BZ582" s="83"/>
      <c r="CA582" s="405"/>
      <c r="CG582" s="83"/>
    </row>
    <row r="583">
      <c r="B583" s="405"/>
      <c r="H583" s="83"/>
      <c r="I583" s="405"/>
      <c r="O583" s="83"/>
      <c r="P583" s="405"/>
      <c r="V583" s="83"/>
      <c r="W583" s="405"/>
      <c r="AC583" s="83"/>
      <c r="AD583" s="405"/>
      <c r="AJ583" s="83"/>
      <c r="AK583" s="405"/>
      <c r="AQ583" s="83"/>
      <c r="AX583" s="83"/>
      <c r="BE583" s="83"/>
      <c r="BF583" s="405"/>
      <c r="BL583" s="83"/>
      <c r="BM583" s="405"/>
      <c r="BS583" s="83"/>
      <c r="BT583" s="405"/>
      <c r="BZ583" s="83"/>
      <c r="CA583" s="405"/>
      <c r="CG583" s="83"/>
    </row>
    <row r="584">
      <c r="B584" s="405"/>
      <c r="H584" s="83"/>
      <c r="I584" s="405"/>
      <c r="O584" s="83"/>
      <c r="P584" s="405"/>
      <c r="V584" s="83"/>
      <c r="W584" s="405"/>
      <c r="AC584" s="83"/>
      <c r="AD584" s="405"/>
      <c r="AJ584" s="83"/>
      <c r="AK584" s="405"/>
      <c r="AQ584" s="83"/>
      <c r="AX584" s="83"/>
      <c r="BE584" s="83"/>
      <c r="BF584" s="405"/>
      <c r="BL584" s="83"/>
      <c r="BM584" s="405"/>
      <c r="BS584" s="83"/>
      <c r="BT584" s="405"/>
      <c r="BZ584" s="83"/>
      <c r="CA584" s="405"/>
      <c r="CG584" s="83"/>
    </row>
    <row r="585">
      <c r="B585" s="405"/>
      <c r="H585" s="83"/>
      <c r="I585" s="405"/>
      <c r="O585" s="83"/>
      <c r="P585" s="405"/>
      <c r="V585" s="83"/>
      <c r="W585" s="405"/>
      <c r="AC585" s="83"/>
      <c r="AD585" s="405"/>
      <c r="AJ585" s="83"/>
      <c r="AK585" s="405"/>
      <c r="AQ585" s="83"/>
      <c r="AX585" s="83"/>
      <c r="BE585" s="83"/>
      <c r="BF585" s="405"/>
      <c r="BL585" s="83"/>
      <c r="BM585" s="405"/>
      <c r="BS585" s="83"/>
      <c r="BT585" s="405"/>
      <c r="BZ585" s="83"/>
      <c r="CA585" s="405"/>
      <c r="CG585" s="83"/>
    </row>
    <row r="586">
      <c r="B586" s="405"/>
      <c r="H586" s="83"/>
      <c r="I586" s="405"/>
      <c r="O586" s="83"/>
      <c r="P586" s="405"/>
      <c r="V586" s="83"/>
      <c r="W586" s="405"/>
      <c r="AC586" s="83"/>
      <c r="AD586" s="405"/>
      <c r="AJ586" s="83"/>
      <c r="AK586" s="405"/>
      <c r="AQ586" s="83"/>
      <c r="AX586" s="83"/>
      <c r="BE586" s="83"/>
      <c r="BF586" s="405"/>
      <c r="BL586" s="83"/>
      <c r="BM586" s="405"/>
      <c r="BS586" s="83"/>
      <c r="BT586" s="405"/>
      <c r="BZ586" s="83"/>
      <c r="CA586" s="405"/>
      <c r="CG586" s="83"/>
    </row>
    <row r="587">
      <c r="B587" s="405"/>
      <c r="H587" s="83"/>
      <c r="I587" s="405"/>
      <c r="O587" s="83"/>
      <c r="P587" s="405"/>
      <c r="V587" s="83"/>
      <c r="W587" s="405"/>
      <c r="AC587" s="83"/>
      <c r="AD587" s="405"/>
      <c r="AJ587" s="83"/>
      <c r="AK587" s="405"/>
      <c r="AQ587" s="83"/>
      <c r="AX587" s="83"/>
      <c r="BE587" s="83"/>
      <c r="BF587" s="405"/>
      <c r="BL587" s="83"/>
      <c r="BM587" s="405"/>
      <c r="BS587" s="83"/>
      <c r="BT587" s="405"/>
      <c r="BZ587" s="83"/>
      <c r="CA587" s="405"/>
      <c r="CG587" s="83"/>
    </row>
    <row r="588">
      <c r="B588" s="405"/>
      <c r="H588" s="83"/>
      <c r="I588" s="405"/>
      <c r="O588" s="83"/>
      <c r="P588" s="405"/>
      <c r="V588" s="83"/>
      <c r="W588" s="405"/>
      <c r="AC588" s="83"/>
      <c r="AD588" s="405"/>
      <c r="AJ588" s="83"/>
      <c r="AK588" s="405"/>
      <c r="AQ588" s="83"/>
      <c r="AX588" s="83"/>
      <c r="BE588" s="83"/>
      <c r="BF588" s="405"/>
      <c r="BL588" s="83"/>
      <c r="BM588" s="405"/>
      <c r="BS588" s="83"/>
      <c r="BT588" s="405"/>
      <c r="BZ588" s="83"/>
      <c r="CA588" s="405"/>
      <c r="CG588" s="83"/>
    </row>
    <row r="589">
      <c r="B589" s="405"/>
      <c r="H589" s="83"/>
      <c r="I589" s="405"/>
      <c r="O589" s="83"/>
      <c r="P589" s="405"/>
      <c r="V589" s="83"/>
      <c r="W589" s="405"/>
      <c r="AC589" s="83"/>
      <c r="AD589" s="405"/>
      <c r="AJ589" s="83"/>
      <c r="AK589" s="405"/>
      <c r="AQ589" s="83"/>
      <c r="AX589" s="83"/>
      <c r="BE589" s="83"/>
      <c r="BF589" s="405"/>
      <c r="BL589" s="83"/>
      <c r="BM589" s="405"/>
      <c r="BS589" s="83"/>
      <c r="BT589" s="405"/>
      <c r="BZ589" s="83"/>
      <c r="CA589" s="405"/>
      <c r="CG589" s="83"/>
    </row>
    <row r="590">
      <c r="B590" s="405"/>
      <c r="H590" s="83"/>
      <c r="I590" s="405"/>
      <c r="O590" s="83"/>
      <c r="P590" s="405"/>
      <c r="V590" s="83"/>
      <c r="W590" s="405"/>
      <c r="AC590" s="83"/>
      <c r="AD590" s="405"/>
      <c r="AJ590" s="83"/>
      <c r="AK590" s="405"/>
      <c r="AQ590" s="83"/>
      <c r="AX590" s="83"/>
      <c r="BE590" s="83"/>
      <c r="BF590" s="405"/>
      <c r="BL590" s="83"/>
      <c r="BM590" s="405"/>
      <c r="BS590" s="83"/>
      <c r="BT590" s="405"/>
      <c r="BZ590" s="83"/>
      <c r="CA590" s="405"/>
      <c r="CG590" s="83"/>
    </row>
    <row r="591">
      <c r="B591" s="405"/>
      <c r="H591" s="83"/>
      <c r="I591" s="405"/>
      <c r="O591" s="83"/>
      <c r="P591" s="405"/>
      <c r="V591" s="83"/>
      <c r="W591" s="405"/>
      <c r="AC591" s="83"/>
      <c r="AD591" s="405"/>
      <c r="AJ591" s="83"/>
      <c r="AK591" s="405"/>
      <c r="AQ591" s="83"/>
      <c r="AX591" s="83"/>
      <c r="BE591" s="83"/>
      <c r="BF591" s="405"/>
      <c r="BL591" s="83"/>
      <c r="BM591" s="405"/>
      <c r="BS591" s="83"/>
      <c r="BT591" s="405"/>
      <c r="BZ591" s="83"/>
      <c r="CA591" s="405"/>
      <c r="CG591" s="83"/>
    </row>
    <row r="592">
      <c r="B592" s="405"/>
      <c r="H592" s="83"/>
      <c r="I592" s="405"/>
      <c r="O592" s="83"/>
      <c r="P592" s="405"/>
      <c r="V592" s="83"/>
      <c r="W592" s="405"/>
      <c r="AC592" s="83"/>
      <c r="AD592" s="405"/>
      <c r="AJ592" s="83"/>
      <c r="AK592" s="405"/>
      <c r="AQ592" s="83"/>
      <c r="AX592" s="83"/>
      <c r="BE592" s="83"/>
      <c r="BF592" s="405"/>
      <c r="BL592" s="83"/>
      <c r="BM592" s="405"/>
      <c r="BS592" s="83"/>
      <c r="BT592" s="405"/>
      <c r="BZ592" s="83"/>
      <c r="CA592" s="405"/>
      <c r="CG592" s="83"/>
    </row>
    <row r="593">
      <c r="B593" s="405"/>
      <c r="H593" s="83"/>
      <c r="I593" s="405"/>
      <c r="O593" s="83"/>
      <c r="P593" s="405"/>
      <c r="V593" s="83"/>
      <c r="W593" s="405"/>
      <c r="AC593" s="83"/>
      <c r="AD593" s="405"/>
      <c r="AJ593" s="83"/>
      <c r="AK593" s="405"/>
      <c r="AQ593" s="83"/>
      <c r="AX593" s="83"/>
      <c r="BE593" s="83"/>
      <c r="BF593" s="405"/>
      <c r="BL593" s="83"/>
      <c r="BM593" s="405"/>
      <c r="BS593" s="83"/>
      <c r="BT593" s="405"/>
      <c r="BZ593" s="83"/>
      <c r="CA593" s="405"/>
      <c r="CG593" s="83"/>
    </row>
    <row r="594">
      <c r="B594" s="405"/>
      <c r="H594" s="83"/>
      <c r="I594" s="405"/>
      <c r="O594" s="83"/>
      <c r="P594" s="405"/>
      <c r="V594" s="83"/>
      <c r="W594" s="405"/>
      <c r="AC594" s="83"/>
      <c r="AD594" s="405"/>
      <c r="AJ594" s="83"/>
      <c r="AK594" s="405"/>
      <c r="AQ594" s="83"/>
      <c r="AX594" s="83"/>
      <c r="BE594" s="83"/>
      <c r="BF594" s="405"/>
      <c r="BL594" s="83"/>
      <c r="BM594" s="405"/>
      <c r="BS594" s="83"/>
      <c r="BT594" s="405"/>
      <c r="BZ594" s="83"/>
      <c r="CA594" s="405"/>
      <c r="CG594" s="83"/>
    </row>
    <row r="595">
      <c r="B595" s="405"/>
      <c r="H595" s="83"/>
      <c r="I595" s="405"/>
      <c r="O595" s="83"/>
      <c r="P595" s="405"/>
      <c r="V595" s="83"/>
      <c r="W595" s="405"/>
      <c r="AC595" s="83"/>
      <c r="AD595" s="405"/>
      <c r="AJ595" s="83"/>
      <c r="AK595" s="405"/>
      <c r="AQ595" s="83"/>
      <c r="AX595" s="83"/>
      <c r="BE595" s="83"/>
      <c r="BF595" s="405"/>
      <c r="BL595" s="83"/>
      <c r="BM595" s="405"/>
      <c r="BS595" s="83"/>
      <c r="BT595" s="405"/>
      <c r="BZ595" s="83"/>
      <c r="CA595" s="405"/>
      <c r="CG595" s="83"/>
    </row>
    <row r="596">
      <c r="B596" s="405"/>
      <c r="H596" s="83"/>
      <c r="I596" s="405"/>
      <c r="O596" s="83"/>
      <c r="P596" s="405"/>
      <c r="V596" s="83"/>
      <c r="W596" s="405"/>
      <c r="AC596" s="83"/>
      <c r="AD596" s="405"/>
      <c r="AJ596" s="83"/>
      <c r="AK596" s="405"/>
      <c r="AQ596" s="83"/>
      <c r="AX596" s="83"/>
      <c r="BE596" s="83"/>
      <c r="BF596" s="405"/>
      <c r="BL596" s="83"/>
      <c r="BM596" s="405"/>
      <c r="BS596" s="83"/>
      <c r="BT596" s="405"/>
      <c r="BZ596" s="83"/>
      <c r="CA596" s="405"/>
      <c r="CG596" s="83"/>
    </row>
    <row r="597">
      <c r="B597" s="405"/>
      <c r="H597" s="83"/>
      <c r="I597" s="405"/>
      <c r="O597" s="83"/>
      <c r="P597" s="405"/>
      <c r="V597" s="83"/>
      <c r="W597" s="405"/>
      <c r="AC597" s="83"/>
      <c r="AD597" s="405"/>
      <c r="AJ597" s="83"/>
      <c r="AK597" s="405"/>
      <c r="AQ597" s="83"/>
      <c r="AX597" s="83"/>
      <c r="BE597" s="83"/>
      <c r="BF597" s="405"/>
      <c r="BL597" s="83"/>
      <c r="BM597" s="405"/>
      <c r="BS597" s="83"/>
      <c r="BT597" s="405"/>
      <c r="BZ597" s="83"/>
      <c r="CA597" s="405"/>
      <c r="CG597" s="83"/>
    </row>
    <row r="598">
      <c r="B598" s="405"/>
      <c r="H598" s="83"/>
      <c r="I598" s="405"/>
      <c r="O598" s="83"/>
      <c r="P598" s="405"/>
      <c r="V598" s="83"/>
      <c r="W598" s="405"/>
      <c r="AC598" s="83"/>
      <c r="AD598" s="405"/>
      <c r="AJ598" s="83"/>
      <c r="AK598" s="405"/>
      <c r="AQ598" s="83"/>
      <c r="AX598" s="83"/>
      <c r="BE598" s="83"/>
      <c r="BF598" s="405"/>
      <c r="BL598" s="83"/>
      <c r="BM598" s="405"/>
      <c r="BS598" s="83"/>
      <c r="BT598" s="405"/>
      <c r="BZ598" s="83"/>
      <c r="CA598" s="405"/>
      <c r="CG598" s="83"/>
    </row>
    <row r="599">
      <c r="B599" s="405"/>
      <c r="H599" s="83"/>
      <c r="I599" s="405"/>
      <c r="O599" s="83"/>
      <c r="P599" s="405"/>
      <c r="V599" s="83"/>
      <c r="W599" s="405"/>
      <c r="AC599" s="83"/>
      <c r="AD599" s="405"/>
      <c r="AJ599" s="83"/>
      <c r="AK599" s="405"/>
      <c r="AQ599" s="83"/>
      <c r="AX599" s="83"/>
      <c r="BE599" s="83"/>
      <c r="BF599" s="405"/>
      <c r="BL599" s="83"/>
      <c r="BM599" s="405"/>
      <c r="BS599" s="83"/>
      <c r="BT599" s="405"/>
      <c r="BZ599" s="83"/>
      <c r="CA599" s="405"/>
      <c r="CG599" s="83"/>
    </row>
    <row r="600">
      <c r="B600" s="405"/>
      <c r="H600" s="83"/>
      <c r="I600" s="405"/>
      <c r="O600" s="83"/>
      <c r="P600" s="405"/>
      <c r="V600" s="83"/>
      <c r="W600" s="405"/>
      <c r="AC600" s="83"/>
      <c r="AD600" s="405"/>
      <c r="AJ600" s="83"/>
      <c r="AK600" s="405"/>
      <c r="AQ600" s="83"/>
      <c r="AX600" s="83"/>
      <c r="BE600" s="83"/>
      <c r="BF600" s="405"/>
      <c r="BL600" s="83"/>
      <c r="BM600" s="405"/>
      <c r="BS600" s="83"/>
      <c r="BT600" s="405"/>
      <c r="BZ600" s="83"/>
      <c r="CA600" s="405"/>
      <c r="CG600" s="83"/>
    </row>
    <row r="601">
      <c r="B601" s="405"/>
      <c r="H601" s="83"/>
      <c r="I601" s="405"/>
      <c r="O601" s="83"/>
      <c r="P601" s="405"/>
      <c r="V601" s="83"/>
      <c r="W601" s="405"/>
      <c r="AC601" s="83"/>
      <c r="AD601" s="405"/>
      <c r="AJ601" s="83"/>
      <c r="AK601" s="405"/>
      <c r="AQ601" s="83"/>
      <c r="AX601" s="83"/>
      <c r="BE601" s="83"/>
      <c r="BF601" s="405"/>
      <c r="BL601" s="83"/>
      <c r="BM601" s="405"/>
      <c r="BS601" s="83"/>
      <c r="BT601" s="405"/>
      <c r="BZ601" s="83"/>
      <c r="CA601" s="405"/>
      <c r="CG601" s="83"/>
    </row>
    <row r="602">
      <c r="B602" s="405"/>
      <c r="H602" s="83"/>
      <c r="I602" s="405"/>
      <c r="O602" s="83"/>
      <c r="P602" s="405"/>
      <c r="V602" s="83"/>
      <c r="W602" s="405"/>
      <c r="AC602" s="83"/>
      <c r="AD602" s="405"/>
      <c r="AJ602" s="83"/>
      <c r="AK602" s="405"/>
      <c r="AQ602" s="83"/>
      <c r="AX602" s="83"/>
      <c r="BE602" s="83"/>
      <c r="BF602" s="405"/>
      <c r="BL602" s="83"/>
      <c r="BM602" s="405"/>
      <c r="BS602" s="83"/>
      <c r="BT602" s="405"/>
      <c r="BZ602" s="83"/>
      <c r="CA602" s="405"/>
      <c r="CG602" s="83"/>
    </row>
    <row r="603">
      <c r="B603" s="405"/>
      <c r="H603" s="83"/>
      <c r="I603" s="405"/>
      <c r="O603" s="83"/>
      <c r="P603" s="405"/>
      <c r="V603" s="83"/>
      <c r="W603" s="405"/>
      <c r="AC603" s="83"/>
      <c r="AD603" s="405"/>
      <c r="AJ603" s="83"/>
      <c r="AK603" s="405"/>
      <c r="AQ603" s="83"/>
      <c r="AX603" s="83"/>
      <c r="BE603" s="83"/>
      <c r="BF603" s="405"/>
      <c r="BL603" s="83"/>
      <c r="BM603" s="405"/>
      <c r="BS603" s="83"/>
      <c r="BT603" s="405"/>
      <c r="BZ603" s="83"/>
      <c r="CA603" s="405"/>
      <c r="CG603" s="83"/>
    </row>
    <row r="604">
      <c r="B604" s="405"/>
      <c r="H604" s="83"/>
      <c r="I604" s="405"/>
      <c r="O604" s="83"/>
      <c r="P604" s="405"/>
      <c r="V604" s="83"/>
      <c r="W604" s="405"/>
      <c r="AC604" s="83"/>
      <c r="AD604" s="405"/>
      <c r="AJ604" s="83"/>
      <c r="AK604" s="405"/>
      <c r="AQ604" s="83"/>
      <c r="AX604" s="83"/>
      <c r="BE604" s="83"/>
      <c r="BF604" s="405"/>
      <c r="BL604" s="83"/>
      <c r="BM604" s="405"/>
      <c r="BS604" s="83"/>
      <c r="BT604" s="405"/>
      <c r="BZ604" s="83"/>
      <c r="CA604" s="405"/>
      <c r="CG604" s="83"/>
    </row>
    <row r="605">
      <c r="B605" s="405"/>
      <c r="H605" s="83"/>
      <c r="I605" s="405"/>
      <c r="O605" s="83"/>
      <c r="P605" s="405"/>
      <c r="V605" s="83"/>
      <c r="W605" s="405"/>
      <c r="AC605" s="83"/>
      <c r="AD605" s="405"/>
      <c r="AJ605" s="83"/>
      <c r="AK605" s="405"/>
      <c r="AQ605" s="83"/>
      <c r="AX605" s="83"/>
      <c r="BE605" s="83"/>
      <c r="BF605" s="405"/>
      <c r="BL605" s="83"/>
      <c r="BM605" s="405"/>
      <c r="BS605" s="83"/>
      <c r="BT605" s="405"/>
      <c r="BZ605" s="83"/>
      <c r="CA605" s="405"/>
      <c r="CG605" s="83"/>
    </row>
    <row r="606">
      <c r="B606" s="405"/>
      <c r="H606" s="83"/>
      <c r="I606" s="405"/>
      <c r="O606" s="83"/>
      <c r="P606" s="405"/>
      <c r="V606" s="83"/>
      <c r="W606" s="405"/>
      <c r="AC606" s="83"/>
      <c r="AD606" s="405"/>
      <c r="AJ606" s="83"/>
      <c r="AK606" s="405"/>
      <c r="AQ606" s="83"/>
      <c r="AX606" s="83"/>
      <c r="BE606" s="83"/>
      <c r="BF606" s="405"/>
      <c r="BL606" s="83"/>
      <c r="BM606" s="405"/>
      <c r="BS606" s="83"/>
      <c r="BT606" s="405"/>
      <c r="BZ606" s="83"/>
      <c r="CA606" s="405"/>
      <c r="CG606" s="83"/>
    </row>
    <row r="607">
      <c r="B607" s="405"/>
      <c r="H607" s="83"/>
      <c r="I607" s="405"/>
      <c r="O607" s="83"/>
      <c r="P607" s="405"/>
      <c r="V607" s="83"/>
      <c r="W607" s="405"/>
      <c r="AC607" s="83"/>
      <c r="AD607" s="405"/>
      <c r="AJ607" s="83"/>
      <c r="AK607" s="405"/>
      <c r="AQ607" s="83"/>
      <c r="AX607" s="83"/>
      <c r="BE607" s="83"/>
      <c r="BF607" s="405"/>
      <c r="BL607" s="83"/>
      <c r="BM607" s="405"/>
      <c r="BS607" s="83"/>
      <c r="BT607" s="405"/>
      <c r="BZ607" s="83"/>
      <c r="CA607" s="405"/>
      <c r="CG607" s="83"/>
    </row>
    <row r="608">
      <c r="B608" s="405"/>
      <c r="H608" s="83"/>
      <c r="I608" s="405"/>
      <c r="O608" s="83"/>
      <c r="P608" s="405"/>
      <c r="V608" s="83"/>
      <c r="W608" s="405"/>
      <c r="AC608" s="83"/>
      <c r="AD608" s="405"/>
      <c r="AJ608" s="83"/>
      <c r="AK608" s="405"/>
      <c r="AQ608" s="83"/>
      <c r="AX608" s="83"/>
      <c r="BE608" s="83"/>
      <c r="BF608" s="405"/>
      <c r="BL608" s="83"/>
      <c r="BM608" s="405"/>
      <c r="BS608" s="83"/>
      <c r="BT608" s="405"/>
      <c r="BZ608" s="83"/>
      <c r="CA608" s="405"/>
      <c r="CG608" s="83"/>
    </row>
    <row r="609">
      <c r="B609" s="405"/>
      <c r="H609" s="83"/>
      <c r="I609" s="405"/>
      <c r="O609" s="83"/>
      <c r="P609" s="405"/>
      <c r="V609" s="83"/>
      <c r="W609" s="405"/>
      <c r="AC609" s="83"/>
      <c r="AD609" s="405"/>
      <c r="AJ609" s="83"/>
      <c r="AK609" s="405"/>
      <c r="AQ609" s="83"/>
      <c r="AX609" s="83"/>
      <c r="BE609" s="83"/>
      <c r="BF609" s="405"/>
      <c r="BL609" s="83"/>
      <c r="BM609" s="405"/>
      <c r="BS609" s="83"/>
      <c r="BT609" s="405"/>
      <c r="BZ609" s="83"/>
      <c r="CA609" s="405"/>
      <c r="CG609" s="83"/>
    </row>
    <row r="610">
      <c r="B610" s="405"/>
      <c r="H610" s="83"/>
      <c r="I610" s="405"/>
      <c r="O610" s="83"/>
      <c r="P610" s="405"/>
      <c r="V610" s="83"/>
      <c r="W610" s="405"/>
      <c r="AC610" s="83"/>
      <c r="AD610" s="405"/>
      <c r="AJ610" s="83"/>
      <c r="AK610" s="405"/>
      <c r="AQ610" s="83"/>
      <c r="AX610" s="83"/>
      <c r="BE610" s="83"/>
      <c r="BF610" s="405"/>
      <c r="BL610" s="83"/>
      <c r="BM610" s="405"/>
      <c r="BS610" s="83"/>
      <c r="BT610" s="405"/>
      <c r="BZ610" s="83"/>
      <c r="CA610" s="405"/>
      <c r="CG610" s="83"/>
    </row>
    <row r="611">
      <c r="B611" s="405"/>
      <c r="H611" s="83"/>
      <c r="I611" s="405"/>
      <c r="O611" s="83"/>
      <c r="P611" s="405"/>
      <c r="V611" s="83"/>
      <c r="W611" s="405"/>
      <c r="AC611" s="83"/>
      <c r="AD611" s="405"/>
      <c r="AJ611" s="83"/>
      <c r="AK611" s="405"/>
      <c r="AQ611" s="83"/>
      <c r="AX611" s="83"/>
      <c r="BE611" s="83"/>
      <c r="BF611" s="405"/>
      <c r="BL611" s="83"/>
      <c r="BM611" s="405"/>
      <c r="BS611" s="83"/>
      <c r="BT611" s="405"/>
      <c r="BZ611" s="83"/>
      <c r="CA611" s="405"/>
      <c r="CG611" s="83"/>
    </row>
    <row r="612">
      <c r="B612" s="405"/>
      <c r="H612" s="83"/>
      <c r="I612" s="405"/>
      <c r="O612" s="83"/>
      <c r="P612" s="405"/>
      <c r="V612" s="83"/>
      <c r="W612" s="405"/>
      <c r="AC612" s="83"/>
      <c r="AD612" s="405"/>
      <c r="AJ612" s="83"/>
      <c r="AK612" s="405"/>
      <c r="AQ612" s="83"/>
      <c r="AX612" s="83"/>
      <c r="BE612" s="83"/>
      <c r="BF612" s="405"/>
      <c r="BL612" s="83"/>
      <c r="BM612" s="405"/>
      <c r="BS612" s="83"/>
      <c r="BT612" s="405"/>
      <c r="BZ612" s="83"/>
      <c r="CA612" s="405"/>
      <c r="CG612" s="83"/>
    </row>
    <row r="613">
      <c r="B613" s="405"/>
      <c r="H613" s="83"/>
      <c r="I613" s="405"/>
      <c r="O613" s="83"/>
      <c r="P613" s="405"/>
      <c r="V613" s="83"/>
      <c r="W613" s="405"/>
      <c r="AC613" s="83"/>
      <c r="AD613" s="405"/>
      <c r="AJ613" s="83"/>
      <c r="AK613" s="405"/>
      <c r="AQ613" s="83"/>
      <c r="AX613" s="83"/>
      <c r="BE613" s="83"/>
      <c r="BF613" s="405"/>
      <c r="BL613" s="83"/>
      <c r="BM613" s="405"/>
      <c r="BS613" s="83"/>
      <c r="BT613" s="405"/>
      <c r="BZ613" s="83"/>
      <c r="CA613" s="405"/>
      <c r="CG613" s="83"/>
    </row>
    <row r="614">
      <c r="B614" s="405"/>
      <c r="H614" s="83"/>
      <c r="I614" s="405"/>
      <c r="O614" s="83"/>
      <c r="P614" s="405"/>
      <c r="V614" s="83"/>
      <c r="W614" s="405"/>
      <c r="AC614" s="83"/>
      <c r="AD614" s="405"/>
      <c r="AJ614" s="83"/>
      <c r="AK614" s="405"/>
      <c r="AQ614" s="83"/>
      <c r="AX614" s="83"/>
      <c r="BE614" s="83"/>
      <c r="BF614" s="405"/>
      <c r="BL614" s="83"/>
      <c r="BM614" s="405"/>
      <c r="BS614" s="83"/>
      <c r="BT614" s="405"/>
      <c r="BZ614" s="83"/>
      <c r="CA614" s="405"/>
      <c r="CG614" s="83"/>
    </row>
    <row r="615">
      <c r="B615" s="405"/>
      <c r="H615" s="83"/>
      <c r="I615" s="405"/>
      <c r="O615" s="83"/>
      <c r="P615" s="405"/>
      <c r="V615" s="83"/>
      <c r="W615" s="405"/>
      <c r="AC615" s="83"/>
      <c r="AD615" s="405"/>
      <c r="AJ615" s="83"/>
      <c r="AK615" s="405"/>
      <c r="AQ615" s="83"/>
      <c r="AX615" s="83"/>
      <c r="BE615" s="83"/>
      <c r="BF615" s="405"/>
      <c r="BL615" s="83"/>
      <c r="BM615" s="405"/>
      <c r="BS615" s="83"/>
      <c r="BT615" s="405"/>
      <c r="BZ615" s="83"/>
      <c r="CA615" s="405"/>
      <c r="CG615" s="83"/>
    </row>
    <row r="616">
      <c r="B616" s="405"/>
      <c r="H616" s="83"/>
      <c r="I616" s="405"/>
      <c r="O616" s="83"/>
      <c r="P616" s="405"/>
      <c r="V616" s="83"/>
      <c r="W616" s="405"/>
      <c r="AC616" s="83"/>
      <c r="AD616" s="405"/>
      <c r="AJ616" s="83"/>
      <c r="AK616" s="405"/>
      <c r="AQ616" s="83"/>
      <c r="AX616" s="83"/>
      <c r="BE616" s="83"/>
      <c r="BF616" s="405"/>
      <c r="BL616" s="83"/>
      <c r="BM616" s="405"/>
      <c r="BS616" s="83"/>
      <c r="BT616" s="405"/>
      <c r="BZ616" s="83"/>
      <c r="CA616" s="405"/>
      <c r="CG616" s="83"/>
    </row>
    <row r="617">
      <c r="B617" s="405"/>
      <c r="H617" s="83"/>
      <c r="I617" s="405"/>
      <c r="O617" s="83"/>
      <c r="P617" s="405"/>
      <c r="V617" s="83"/>
      <c r="W617" s="405"/>
      <c r="AC617" s="83"/>
      <c r="AD617" s="405"/>
      <c r="AJ617" s="83"/>
      <c r="AK617" s="405"/>
      <c r="AQ617" s="83"/>
      <c r="AX617" s="83"/>
      <c r="BE617" s="83"/>
      <c r="BF617" s="405"/>
      <c r="BL617" s="83"/>
      <c r="BM617" s="405"/>
      <c r="BS617" s="83"/>
      <c r="BT617" s="405"/>
      <c r="BZ617" s="83"/>
      <c r="CA617" s="405"/>
      <c r="CG617" s="83"/>
    </row>
    <row r="618">
      <c r="B618" s="405"/>
      <c r="H618" s="83"/>
      <c r="I618" s="405"/>
      <c r="O618" s="83"/>
      <c r="P618" s="405"/>
      <c r="V618" s="83"/>
      <c r="W618" s="405"/>
      <c r="AC618" s="83"/>
      <c r="AD618" s="405"/>
      <c r="AJ618" s="83"/>
      <c r="AK618" s="405"/>
      <c r="AQ618" s="83"/>
      <c r="AX618" s="83"/>
      <c r="BE618" s="83"/>
      <c r="BF618" s="405"/>
      <c r="BL618" s="83"/>
      <c r="BM618" s="405"/>
      <c r="BS618" s="83"/>
      <c r="BT618" s="405"/>
      <c r="BZ618" s="83"/>
      <c r="CA618" s="405"/>
      <c r="CG618" s="83"/>
    </row>
    <row r="619">
      <c r="B619" s="405"/>
      <c r="H619" s="83"/>
      <c r="I619" s="405"/>
      <c r="O619" s="83"/>
      <c r="P619" s="405"/>
      <c r="V619" s="83"/>
      <c r="W619" s="405"/>
      <c r="AC619" s="83"/>
      <c r="AD619" s="405"/>
      <c r="AJ619" s="83"/>
      <c r="AK619" s="405"/>
      <c r="AQ619" s="83"/>
      <c r="AX619" s="83"/>
      <c r="BE619" s="83"/>
      <c r="BF619" s="405"/>
      <c r="BL619" s="83"/>
      <c r="BM619" s="405"/>
      <c r="BS619" s="83"/>
      <c r="BT619" s="405"/>
      <c r="BZ619" s="83"/>
      <c r="CA619" s="405"/>
      <c r="CG619" s="83"/>
    </row>
    <row r="620">
      <c r="B620" s="405"/>
      <c r="H620" s="83"/>
      <c r="I620" s="405"/>
      <c r="O620" s="83"/>
      <c r="P620" s="405"/>
      <c r="V620" s="83"/>
      <c r="W620" s="405"/>
      <c r="AC620" s="83"/>
      <c r="AD620" s="405"/>
      <c r="AJ620" s="83"/>
      <c r="AK620" s="405"/>
      <c r="AQ620" s="83"/>
      <c r="AX620" s="83"/>
      <c r="BE620" s="83"/>
      <c r="BF620" s="405"/>
      <c r="BL620" s="83"/>
      <c r="BM620" s="405"/>
      <c r="BS620" s="83"/>
      <c r="BT620" s="405"/>
      <c r="BZ620" s="83"/>
      <c r="CA620" s="405"/>
      <c r="CG620" s="83"/>
    </row>
    <row r="621">
      <c r="B621" s="405"/>
      <c r="H621" s="83"/>
      <c r="I621" s="405"/>
      <c r="O621" s="83"/>
      <c r="P621" s="405"/>
      <c r="V621" s="83"/>
      <c r="W621" s="405"/>
      <c r="AC621" s="83"/>
      <c r="AD621" s="405"/>
      <c r="AJ621" s="83"/>
      <c r="AK621" s="405"/>
      <c r="AQ621" s="83"/>
      <c r="AX621" s="83"/>
      <c r="BE621" s="83"/>
      <c r="BF621" s="405"/>
      <c r="BL621" s="83"/>
      <c r="BM621" s="405"/>
      <c r="BS621" s="83"/>
      <c r="BT621" s="405"/>
      <c r="BZ621" s="83"/>
      <c r="CA621" s="405"/>
      <c r="CG621" s="83"/>
    </row>
    <row r="622">
      <c r="B622" s="405"/>
      <c r="H622" s="83"/>
      <c r="I622" s="405"/>
      <c r="O622" s="83"/>
      <c r="P622" s="405"/>
      <c r="V622" s="83"/>
      <c r="W622" s="405"/>
      <c r="AC622" s="83"/>
      <c r="AD622" s="405"/>
      <c r="AJ622" s="83"/>
      <c r="AK622" s="405"/>
      <c r="AQ622" s="83"/>
      <c r="AX622" s="83"/>
      <c r="BE622" s="83"/>
      <c r="BF622" s="405"/>
      <c r="BL622" s="83"/>
      <c r="BM622" s="405"/>
      <c r="BS622" s="83"/>
      <c r="BT622" s="405"/>
      <c r="BZ622" s="83"/>
      <c r="CA622" s="405"/>
      <c r="CG622" s="83"/>
    </row>
    <row r="623">
      <c r="B623" s="405"/>
      <c r="H623" s="83"/>
      <c r="I623" s="405"/>
      <c r="O623" s="83"/>
      <c r="P623" s="405"/>
      <c r="V623" s="83"/>
      <c r="W623" s="405"/>
      <c r="AC623" s="83"/>
      <c r="AD623" s="405"/>
      <c r="AJ623" s="83"/>
      <c r="AK623" s="405"/>
      <c r="AQ623" s="83"/>
      <c r="AX623" s="83"/>
      <c r="BE623" s="83"/>
      <c r="BF623" s="405"/>
      <c r="BL623" s="83"/>
      <c r="BM623" s="405"/>
      <c r="BS623" s="83"/>
      <c r="BT623" s="405"/>
      <c r="BZ623" s="83"/>
      <c r="CA623" s="405"/>
      <c r="CG623" s="83"/>
    </row>
    <row r="624">
      <c r="B624" s="405"/>
      <c r="H624" s="83"/>
      <c r="I624" s="405"/>
      <c r="O624" s="83"/>
      <c r="P624" s="405"/>
      <c r="V624" s="83"/>
      <c r="W624" s="405"/>
      <c r="AC624" s="83"/>
      <c r="AD624" s="405"/>
      <c r="AJ624" s="83"/>
      <c r="AK624" s="405"/>
      <c r="AQ624" s="83"/>
      <c r="AX624" s="83"/>
      <c r="BE624" s="83"/>
      <c r="BF624" s="405"/>
      <c r="BL624" s="83"/>
      <c r="BM624" s="405"/>
      <c r="BS624" s="83"/>
      <c r="BT624" s="405"/>
      <c r="BZ624" s="83"/>
      <c r="CA624" s="405"/>
      <c r="CG624" s="83"/>
    </row>
    <row r="625">
      <c r="B625" s="405"/>
      <c r="H625" s="83"/>
      <c r="I625" s="405"/>
      <c r="O625" s="83"/>
      <c r="P625" s="405"/>
      <c r="V625" s="83"/>
      <c r="W625" s="405"/>
      <c r="AC625" s="83"/>
      <c r="AD625" s="405"/>
      <c r="AJ625" s="83"/>
      <c r="AK625" s="405"/>
      <c r="AQ625" s="83"/>
      <c r="AX625" s="83"/>
      <c r="BE625" s="83"/>
      <c r="BF625" s="405"/>
      <c r="BL625" s="83"/>
      <c r="BM625" s="405"/>
      <c r="BS625" s="83"/>
      <c r="BT625" s="405"/>
      <c r="BZ625" s="83"/>
      <c r="CA625" s="405"/>
      <c r="CG625" s="83"/>
    </row>
    <row r="626">
      <c r="B626" s="405"/>
      <c r="H626" s="83"/>
      <c r="I626" s="405"/>
      <c r="O626" s="83"/>
      <c r="P626" s="405"/>
      <c r="V626" s="83"/>
      <c r="W626" s="405"/>
      <c r="AC626" s="83"/>
      <c r="AD626" s="405"/>
      <c r="AJ626" s="83"/>
      <c r="AK626" s="405"/>
      <c r="AQ626" s="83"/>
      <c r="AX626" s="83"/>
      <c r="BE626" s="83"/>
      <c r="BF626" s="405"/>
      <c r="BL626" s="83"/>
      <c r="BM626" s="405"/>
      <c r="BS626" s="83"/>
      <c r="BT626" s="405"/>
      <c r="BZ626" s="83"/>
      <c r="CA626" s="405"/>
      <c r="CG626" s="83"/>
    </row>
    <row r="627">
      <c r="B627" s="405"/>
      <c r="H627" s="83"/>
      <c r="I627" s="405"/>
      <c r="O627" s="83"/>
      <c r="P627" s="405"/>
      <c r="V627" s="83"/>
      <c r="W627" s="405"/>
      <c r="AC627" s="83"/>
      <c r="AD627" s="405"/>
      <c r="AJ627" s="83"/>
      <c r="AK627" s="405"/>
      <c r="AQ627" s="83"/>
      <c r="AX627" s="83"/>
      <c r="BE627" s="83"/>
      <c r="BF627" s="405"/>
      <c r="BL627" s="83"/>
      <c r="BM627" s="405"/>
      <c r="BS627" s="83"/>
      <c r="BT627" s="405"/>
      <c r="BZ627" s="83"/>
      <c r="CA627" s="405"/>
      <c r="CG627" s="83"/>
    </row>
    <row r="628">
      <c r="B628" s="405"/>
      <c r="H628" s="83"/>
      <c r="I628" s="405"/>
      <c r="O628" s="83"/>
      <c r="P628" s="405"/>
      <c r="V628" s="83"/>
      <c r="W628" s="405"/>
      <c r="AC628" s="83"/>
      <c r="AD628" s="405"/>
      <c r="AJ628" s="83"/>
      <c r="AK628" s="405"/>
      <c r="AQ628" s="83"/>
      <c r="AX628" s="83"/>
      <c r="BE628" s="83"/>
      <c r="BF628" s="405"/>
      <c r="BL628" s="83"/>
      <c r="BM628" s="405"/>
      <c r="BS628" s="83"/>
      <c r="BT628" s="405"/>
      <c r="BZ628" s="83"/>
      <c r="CA628" s="405"/>
      <c r="CG628" s="83"/>
    </row>
    <row r="629">
      <c r="B629" s="405"/>
      <c r="H629" s="83"/>
      <c r="I629" s="405"/>
      <c r="O629" s="83"/>
      <c r="P629" s="405"/>
      <c r="V629" s="83"/>
      <c r="W629" s="405"/>
      <c r="AC629" s="83"/>
      <c r="AD629" s="405"/>
      <c r="AJ629" s="83"/>
      <c r="AK629" s="405"/>
      <c r="AQ629" s="83"/>
      <c r="AX629" s="83"/>
      <c r="BE629" s="83"/>
      <c r="BF629" s="405"/>
      <c r="BL629" s="83"/>
      <c r="BM629" s="405"/>
      <c r="BS629" s="83"/>
      <c r="BT629" s="405"/>
      <c r="BZ629" s="83"/>
      <c r="CA629" s="405"/>
      <c r="CG629" s="83"/>
    </row>
    <row r="630">
      <c r="B630" s="405"/>
      <c r="H630" s="83"/>
      <c r="I630" s="405"/>
      <c r="O630" s="83"/>
      <c r="P630" s="405"/>
      <c r="V630" s="83"/>
      <c r="W630" s="405"/>
      <c r="AC630" s="83"/>
      <c r="AD630" s="405"/>
      <c r="AJ630" s="83"/>
      <c r="AK630" s="405"/>
      <c r="AQ630" s="83"/>
      <c r="AX630" s="83"/>
      <c r="BE630" s="83"/>
      <c r="BF630" s="405"/>
      <c r="BL630" s="83"/>
      <c r="BM630" s="405"/>
      <c r="BS630" s="83"/>
      <c r="BT630" s="405"/>
      <c r="BZ630" s="83"/>
      <c r="CA630" s="405"/>
      <c r="CG630" s="83"/>
    </row>
    <row r="631">
      <c r="B631" s="405"/>
      <c r="H631" s="83"/>
      <c r="I631" s="405"/>
      <c r="O631" s="83"/>
      <c r="P631" s="405"/>
      <c r="V631" s="83"/>
      <c r="W631" s="405"/>
      <c r="AC631" s="83"/>
      <c r="AD631" s="405"/>
      <c r="AJ631" s="83"/>
      <c r="AK631" s="405"/>
      <c r="AQ631" s="83"/>
      <c r="AX631" s="83"/>
      <c r="BE631" s="83"/>
      <c r="BF631" s="405"/>
      <c r="BL631" s="83"/>
      <c r="BM631" s="405"/>
      <c r="BS631" s="83"/>
      <c r="BT631" s="405"/>
      <c r="BZ631" s="83"/>
      <c r="CA631" s="405"/>
      <c r="CG631" s="83"/>
    </row>
    <row r="632">
      <c r="B632" s="405"/>
      <c r="H632" s="83"/>
      <c r="I632" s="405"/>
      <c r="O632" s="83"/>
      <c r="P632" s="405"/>
      <c r="V632" s="83"/>
      <c r="W632" s="405"/>
      <c r="AC632" s="83"/>
      <c r="AD632" s="405"/>
      <c r="AJ632" s="83"/>
      <c r="AK632" s="405"/>
      <c r="AQ632" s="83"/>
      <c r="AX632" s="83"/>
      <c r="BE632" s="83"/>
      <c r="BF632" s="405"/>
      <c r="BL632" s="83"/>
      <c r="BM632" s="405"/>
      <c r="BS632" s="83"/>
      <c r="BT632" s="405"/>
      <c r="BZ632" s="83"/>
      <c r="CA632" s="405"/>
      <c r="CG632" s="83"/>
    </row>
    <row r="633">
      <c r="B633" s="405"/>
      <c r="H633" s="83"/>
      <c r="I633" s="405"/>
      <c r="O633" s="83"/>
      <c r="P633" s="405"/>
      <c r="V633" s="83"/>
      <c r="W633" s="405"/>
      <c r="AC633" s="83"/>
      <c r="AD633" s="405"/>
      <c r="AJ633" s="83"/>
      <c r="AK633" s="405"/>
      <c r="AQ633" s="83"/>
      <c r="AX633" s="83"/>
      <c r="BE633" s="83"/>
      <c r="BF633" s="405"/>
      <c r="BL633" s="83"/>
      <c r="BM633" s="405"/>
      <c r="BS633" s="83"/>
      <c r="BT633" s="405"/>
      <c r="BZ633" s="83"/>
      <c r="CA633" s="405"/>
      <c r="CG633" s="83"/>
    </row>
    <row r="634">
      <c r="B634" s="405"/>
      <c r="H634" s="83"/>
      <c r="I634" s="405"/>
      <c r="O634" s="83"/>
      <c r="P634" s="405"/>
      <c r="V634" s="83"/>
      <c r="W634" s="405"/>
      <c r="AC634" s="83"/>
      <c r="AD634" s="405"/>
      <c r="AJ634" s="83"/>
      <c r="AK634" s="405"/>
      <c r="AQ634" s="83"/>
      <c r="AX634" s="83"/>
      <c r="BE634" s="83"/>
      <c r="BF634" s="405"/>
      <c r="BL634" s="83"/>
      <c r="BM634" s="405"/>
      <c r="BS634" s="83"/>
      <c r="BT634" s="405"/>
      <c r="BZ634" s="83"/>
      <c r="CA634" s="405"/>
      <c r="CG634" s="83"/>
    </row>
    <row r="635">
      <c r="B635" s="405"/>
      <c r="H635" s="83"/>
      <c r="I635" s="405"/>
      <c r="O635" s="83"/>
      <c r="P635" s="405"/>
      <c r="V635" s="83"/>
      <c r="W635" s="405"/>
      <c r="AC635" s="83"/>
      <c r="AD635" s="405"/>
      <c r="AJ635" s="83"/>
      <c r="AK635" s="405"/>
      <c r="AQ635" s="83"/>
      <c r="AX635" s="83"/>
      <c r="BE635" s="83"/>
      <c r="BF635" s="405"/>
      <c r="BL635" s="83"/>
      <c r="BM635" s="405"/>
      <c r="BS635" s="83"/>
      <c r="BT635" s="405"/>
      <c r="BZ635" s="83"/>
      <c r="CA635" s="405"/>
      <c r="CG635" s="83"/>
    </row>
    <row r="636">
      <c r="B636" s="405"/>
      <c r="H636" s="83"/>
      <c r="I636" s="405"/>
      <c r="O636" s="83"/>
      <c r="P636" s="405"/>
      <c r="V636" s="83"/>
      <c r="W636" s="405"/>
      <c r="AC636" s="83"/>
      <c r="AD636" s="405"/>
      <c r="AJ636" s="83"/>
      <c r="AK636" s="405"/>
      <c r="AQ636" s="83"/>
      <c r="AX636" s="83"/>
      <c r="BE636" s="83"/>
      <c r="BF636" s="405"/>
      <c r="BL636" s="83"/>
      <c r="BM636" s="405"/>
      <c r="BS636" s="83"/>
      <c r="BT636" s="405"/>
      <c r="BZ636" s="83"/>
      <c r="CA636" s="405"/>
      <c r="CG636" s="83"/>
    </row>
    <row r="637">
      <c r="B637" s="405"/>
      <c r="H637" s="83"/>
      <c r="I637" s="405"/>
      <c r="O637" s="83"/>
      <c r="P637" s="405"/>
      <c r="V637" s="83"/>
      <c r="W637" s="405"/>
      <c r="AC637" s="83"/>
      <c r="AD637" s="405"/>
      <c r="AJ637" s="83"/>
      <c r="AK637" s="405"/>
      <c r="AQ637" s="83"/>
      <c r="AX637" s="83"/>
      <c r="BE637" s="83"/>
      <c r="BF637" s="405"/>
      <c r="BL637" s="83"/>
      <c r="BM637" s="405"/>
      <c r="BS637" s="83"/>
      <c r="BT637" s="405"/>
      <c r="BZ637" s="83"/>
      <c r="CA637" s="405"/>
      <c r="CG637" s="83"/>
    </row>
    <row r="638">
      <c r="B638" s="405"/>
      <c r="H638" s="83"/>
      <c r="I638" s="405"/>
      <c r="O638" s="83"/>
      <c r="P638" s="405"/>
      <c r="V638" s="83"/>
      <c r="W638" s="405"/>
      <c r="AC638" s="83"/>
      <c r="AD638" s="405"/>
      <c r="AJ638" s="83"/>
      <c r="AK638" s="405"/>
      <c r="AQ638" s="83"/>
      <c r="AX638" s="83"/>
      <c r="BE638" s="83"/>
      <c r="BF638" s="405"/>
      <c r="BL638" s="83"/>
      <c r="BM638" s="405"/>
      <c r="BS638" s="83"/>
      <c r="BT638" s="405"/>
      <c r="BZ638" s="83"/>
      <c r="CA638" s="405"/>
      <c r="CG638" s="83"/>
    </row>
    <row r="639">
      <c r="B639" s="405"/>
      <c r="H639" s="83"/>
      <c r="I639" s="405"/>
      <c r="O639" s="83"/>
      <c r="P639" s="405"/>
      <c r="V639" s="83"/>
      <c r="W639" s="405"/>
      <c r="AC639" s="83"/>
      <c r="AD639" s="405"/>
      <c r="AJ639" s="83"/>
      <c r="AK639" s="405"/>
      <c r="AQ639" s="83"/>
      <c r="AX639" s="83"/>
      <c r="BE639" s="83"/>
      <c r="BF639" s="405"/>
      <c r="BL639" s="83"/>
      <c r="BM639" s="405"/>
      <c r="BS639" s="83"/>
      <c r="BT639" s="405"/>
      <c r="BZ639" s="83"/>
      <c r="CA639" s="405"/>
      <c r="CG639" s="83"/>
    </row>
    <row r="640">
      <c r="B640" s="405"/>
      <c r="H640" s="83"/>
      <c r="I640" s="405"/>
      <c r="O640" s="83"/>
      <c r="P640" s="405"/>
      <c r="V640" s="83"/>
      <c r="W640" s="405"/>
      <c r="AC640" s="83"/>
      <c r="AD640" s="405"/>
      <c r="AJ640" s="83"/>
      <c r="AK640" s="405"/>
      <c r="AQ640" s="83"/>
      <c r="AX640" s="83"/>
      <c r="BE640" s="83"/>
      <c r="BF640" s="405"/>
      <c r="BL640" s="83"/>
      <c r="BM640" s="405"/>
      <c r="BS640" s="83"/>
      <c r="BT640" s="405"/>
      <c r="BZ640" s="83"/>
      <c r="CA640" s="405"/>
      <c r="CG640" s="83"/>
    </row>
    <row r="641">
      <c r="B641" s="405"/>
      <c r="H641" s="83"/>
      <c r="I641" s="405"/>
      <c r="O641" s="83"/>
      <c r="P641" s="405"/>
      <c r="V641" s="83"/>
      <c r="W641" s="405"/>
      <c r="AC641" s="83"/>
      <c r="AD641" s="405"/>
      <c r="AJ641" s="83"/>
      <c r="AK641" s="405"/>
      <c r="AQ641" s="83"/>
      <c r="AX641" s="83"/>
      <c r="BE641" s="83"/>
      <c r="BF641" s="405"/>
      <c r="BL641" s="83"/>
      <c r="BM641" s="405"/>
      <c r="BS641" s="83"/>
      <c r="BT641" s="405"/>
      <c r="BZ641" s="83"/>
      <c r="CA641" s="405"/>
      <c r="CG641" s="83"/>
    </row>
    <row r="642">
      <c r="B642" s="405"/>
      <c r="H642" s="83"/>
      <c r="I642" s="405"/>
      <c r="O642" s="83"/>
      <c r="P642" s="405"/>
      <c r="V642" s="83"/>
      <c r="W642" s="405"/>
      <c r="AC642" s="83"/>
      <c r="AD642" s="405"/>
      <c r="AJ642" s="83"/>
      <c r="AK642" s="405"/>
      <c r="AQ642" s="83"/>
      <c r="AX642" s="83"/>
      <c r="BE642" s="83"/>
      <c r="BF642" s="405"/>
      <c r="BL642" s="83"/>
      <c r="BM642" s="405"/>
      <c r="BS642" s="83"/>
      <c r="BT642" s="405"/>
      <c r="BZ642" s="83"/>
      <c r="CA642" s="405"/>
      <c r="CG642" s="83"/>
    </row>
    <row r="643">
      <c r="B643" s="405"/>
      <c r="H643" s="83"/>
      <c r="I643" s="405"/>
      <c r="O643" s="83"/>
      <c r="P643" s="405"/>
      <c r="V643" s="83"/>
      <c r="W643" s="405"/>
      <c r="AC643" s="83"/>
      <c r="AD643" s="405"/>
      <c r="AJ643" s="83"/>
      <c r="AK643" s="405"/>
      <c r="AQ643" s="83"/>
      <c r="AX643" s="83"/>
      <c r="BE643" s="83"/>
      <c r="BF643" s="405"/>
      <c r="BL643" s="83"/>
      <c r="BM643" s="405"/>
      <c r="BS643" s="83"/>
      <c r="BT643" s="405"/>
      <c r="BZ643" s="83"/>
      <c r="CA643" s="405"/>
      <c r="CG643" s="83"/>
    </row>
    <row r="644">
      <c r="B644" s="405"/>
      <c r="H644" s="83"/>
      <c r="I644" s="405"/>
      <c r="O644" s="83"/>
      <c r="P644" s="405"/>
      <c r="V644" s="83"/>
      <c r="W644" s="405"/>
      <c r="AC644" s="83"/>
      <c r="AD644" s="405"/>
      <c r="AJ644" s="83"/>
      <c r="AK644" s="405"/>
      <c r="AQ644" s="83"/>
      <c r="AX644" s="83"/>
      <c r="BE644" s="83"/>
      <c r="BF644" s="405"/>
      <c r="BL644" s="83"/>
      <c r="BM644" s="405"/>
      <c r="BS644" s="83"/>
      <c r="BT644" s="405"/>
      <c r="BZ644" s="83"/>
      <c r="CA644" s="405"/>
      <c r="CG644" s="83"/>
    </row>
    <row r="645">
      <c r="B645" s="405"/>
      <c r="H645" s="83"/>
      <c r="I645" s="405"/>
      <c r="O645" s="83"/>
      <c r="P645" s="405"/>
      <c r="V645" s="83"/>
      <c r="W645" s="405"/>
      <c r="AC645" s="83"/>
      <c r="AD645" s="405"/>
      <c r="AJ645" s="83"/>
      <c r="AK645" s="405"/>
      <c r="AQ645" s="83"/>
      <c r="AX645" s="83"/>
      <c r="BE645" s="83"/>
      <c r="BF645" s="405"/>
      <c r="BL645" s="83"/>
      <c r="BM645" s="405"/>
      <c r="BS645" s="83"/>
      <c r="BT645" s="405"/>
      <c r="BZ645" s="83"/>
      <c r="CA645" s="405"/>
      <c r="CG645" s="83"/>
    </row>
    <row r="646">
      <c r="B646" s="405"/>
      <c r="H646" s="83"/>
      <c r="I646" s="405"/>
      <c r="O646" s="83"/>
      <c r="P646" s="405"/>
      <c r="V646" s="83"/>
      <c r="W646" s="405"/>
      <c r="AC646" s="83"/>
      <c r="AD646" s="405"/>
      <c r="AJ646" s="83"/>
      <c r="AK646" s="405"/>
      <c r="AQ646" s="83"/>
      <c r="AX646" s="83"/>
      <c r="BE646" s="83"/>
      <c r="BF646" s="405"/>
      <c r="BL646" s="83"/>
      <c r="BM646" s="405"/>
      <c r="BS646" s="83"/>
      <c r="BT646" s="405"/>
      <c r="BZ646" s="83"/>
      <c r="CA646" s="405"/>
      <c r="CG646" s="83"/>
    </row>
    <row r="647">
      <c r="B647" s="405"/>
      <c r="H647" s="83"/>
      <c r="I647" s="405"/>
      <c r="O647" s="83"/>
      <c r="P647" s="405"/>
      <c r="V647" s="83"/>
      <c r="W647" s="405"/>
      <c r="AC647" s="83"/>
      <c r="AD647" s="405"/>
      <c r="AJ647" s="83"/>
      <c r="AK647" s="405"/>
      <c r="AQ647" s="83"/>
      <c r="AX647" s="83"/>
      <c r="BE647" s="83"/>
      <c r="BF647" s="405"/>
      <c r="BL647" s="83"/>
      <c r="BM647" s="405"/>
      <c r="BS647" s="83"/>
      <c r="BT647" s="405"/>
      <c r="BZ647" s="83"/>
      <c r="CA647" s="405"/>
      <c r="CG647" s="83"/>
    </row>
    <row r="648">
      <c r="B648" s="405"/>
      <c r="H648" s="83"/>
      <c r="I648" s="405"/>
      <c r="O648" s="83"/>
      <c r="P648" s="405"/>
      <c r="V648" s="83"/>
      <c r="W648" s="405"/>
      <c r="AC648" s="83"/>
      <c r="AD648" s="405"/>
      <c r="AJ648" s="83"/>
      <c r="AK648" s="405"/>
      <c r="AQ648" s="83"/>
      <c r="AX648" s="83"/>
      <c r="BE648" s="83"/>
      <c r="BF648" s="405"/>
      <c r="BL648" s="83"/>
      <c r="BM648" s="405"/>
      <c r="BS648" s="83"/>
      <c r="BT648" s="405"/>
      <c r="BZ648" s="83"/>
      <c r="CA648" s="405"/>
      <c r="CG648" s="83"/>
    </row>
    <row r="649">
      <c r="B649" s="405"/>
      <c r="H649" s="83"/>
      <c r="I649" s="405"/>
      <c r="O649" s="83"/>
      <c r="P649" s="405"/>
      <c r="V649" s="83"/>
      <c r="W649" s="405"/>
      <c r="AC649" s="83"/>
      <c r="AD649" s="405"/>
      <c r="AJ649" s="83"/>
      <c r="AK649" s="405"/>
      <c r="AQ649" s="83"/>
      <c r="AX649" s="83"/>
      <c r="BE649" s="83"/>
      <c r="BF649" s="405"/>
      <c r="BL649" s="83"/>
      <c r="BM649" s="405"/>
      <c r="BS649" s="83"/>
      <c r="BT649" s="405"/>
      <c r="BZ649" s="83"/>
      <c r="CA649" s="405"/>
      <c r="CG649" s="83"/>
    </row>
    <row r="650">
      <c r="B650" s="405"/>
      <c r="H650" s="83"/>
      <c r="I650" s="405"/>
      <c r="O650" s="83"/>
      <c r="P650" s="405"/>
      <c r="V650" s="83"/>
      <c r="W650" s="405"/>
      <c r="AC650" s="83"/>
      <c r="AD650" s="405"/>
      <c r="AJ650" s="83"/>
      <c r="AK650" s="405"/>
      <c r="AQ650" s="83"/>
      <c r="AX650" s="83"/>
      <c r="BE650" s="83"/>
      <c r="BF650" s="405"/>
      <c r="BL650" s="83"/>
      <c r="BM650" s="405"/>
      <c r="BS650" s="83"/>
      <c r="BT650" s="405"/>
      <c r="BZ650" s="83"/>
      <c r="CA650" s="405"/>
      <c r="CG650" s="83"/>
    </row>
    <row r="651">
      <c r="B651" s="405"/>
      <c r="H651" s="83"/>
      <c r="I651" s="405"/>
      <c r="O651" s="83"/>
      <c r="P651" s="405"/>
      <c r="V651" s="83"/>
      <c r="W651" s="405"/>
      <c r="AC651" s="83"/>
      <c r="AD651" s="405"/>
      <c r="AJ651" s="83"/>
      <c r="AK651" s="405"/>
      <c r="AQ651" s="83"/>
      <c r="AX651" s="83"/>
      <c r="BE651" s="83"/>
      <c r="BF651" s="405"/>
      <c r="BL651" s="83"/>
      <c r="BM651" s="405"/>
      <c r="BS651" s="83"/>
      <c r="BT651" s="405"/>
      <c r="BZ651" s="83"/>
      <c r="CA651" s="405"/>
      <c r="CG651" s="83"/>
    </row>
    <row r="652">
      <c r="B652" s="405"/>
      <c r="H652" s="83"/>
      <c r="I652" s="405"/>
      <c r="O652" s="83"/>
      <c r="P652" s="405"/>
      <c r="V652" s="83"/>
      <c r="W652" s="405"/>
      <c r="AC652" s="83"/>
      <c r="AD652" s="405"/>
      <c r="AJ652" s="83"/>
      <c r="AK652" s="405"/>
      <c r="AQ652" s="83"/>
      <c r="AX652" s="83"/>
      <c r="BE652" s="83"/>
      <c r="BF652" s="405"/>
      <c r="BL652" s="83"/>
      <c r="BM652" s="405"/>
      <c r="BS652" s="83"/>
      <c r="BT652" s="405"/>
      <c r="BZ652" s="83"/>
      <c r="CA652" s="405"/>
      <c r="CG652" s="83"/>
    </row>
    <row r="653">
      <c r="B653" s="405"/>
      <c r="H653" s="83"/>
      <c r="I653" s="405"/>
      <c r="O653" s="83"/>
      <c r="P653" s="405"/>
      <c r="V653" s="83"/>
      <c r="W653" s="405"/>
      <c r="AC653" s="83"/>
      <c r="AD653" s="405"/>
      <c r="AJ653" s="83"/>
      <c r="AK653" s="405"/>
      <c r="AQ653" s="83"/>
      <c r="AX653" s="83"/>
      <c r="BE653" s="83"/>
      <c r="BF653" s="405"/>
      <c r="BL653" s="83"/>
      <c r="BM653" s="405"/>
      <c r="BS653" s="83"/>
      <c r="BT653" s="405"/>
      <c r="BZ653" s="83"/>
      <c r="CA653" s="405"/>
      <c r="CG653" s="83"/>
    </row>
    <row r="654">
      <c r="B654" s="405"/>
      <c r="H654" s="83"/>
      <c r="I654" s="405"/>
      <c r="O654" s="83"/>
      <c r="P654" s="405"/>
      <c r="V654" s="83"/>
      <c r="W654" s="405"/>
      <c r="AC654" s="83"/>
      <c r="AD654" s="405"/>
      <c r="AJ654" s="83"/>
      <c r="AK654" s="405"/>
      <c r="AQ654" s="83"/>
      <c r="AX654" s="83"/>
      <c r="BE654" s="83"/>
      <c r="BF654" s="405"/>
      <c r="BL654" s="83"/>
      <c r="BM654" s="405"/>
      <c r="BS654" s="83"/>
      <c r="BT654" s="405"/>
      <c r="BZ654" s="83"/>
      <c r="CA654" s="405"/>
      <c r="CG654" s="83"/>
    </row>
    <row r="655">
      <c r="B655" s="405"/>
      <c r="H655" s="83"/>
      <c r="I655" s="405"/>
      <c r="O655" s="83"/>
      <c r="P655" s="405"/>
      <c r="V655" s="83"/>
      <c r="W655" s="405"/>
      <c r="AC655" s="83"/>
      <c r="AD655" s="405"/>
      <c r="AJ655" s="83"/>
      <c r="AK655" s="405"/>
      <c r="AQ655" s="83"/>
      <c r="AX655" s="83"/>
      <c r="BE655" s="83"/>
      <c r="BF655" s="405"/>
      <c r="BL655" s="83"/>
      <c r="BM655" s="405"/>
      <c r="BS655" s="83"/>
      <c r="BT655" s="405"/>
      <c r="BZ655" s="83"/>
      <c r="CA655" s="405"/>
      <c r="CG655" s="83"/>
    </row>
    <row r="656">
      <c r="B656" s="405"/>
      <c r="H656" s="83"/>
      <c r="I656" s="405"/>
      <c r="O656" s="83"/>
      <c r="P656" s="405"/>
      <c r="V656" s="83"/>
      <c r="W656" s="405"/>
      <c r="AC656" s="83"/>
      <c r="AD656" s="405"/>
      <c r="AJ656" s="83"/>
      <c r="AK656" s="405"/>
      <c r="AQ656" s="83"/>
      <c r="AX656" s="83"/>
      <c r="BE656" s="83"/>
      <c r="BF656" s="405"/>
      <c r="BL656" s="83"/>
      <c r="BM656" s="405"/>
      <c r="BS656" s="83"/>
      <c r="BT656" s="405"/>
      <c r="BZ656" s="83"/>
      <c r="CA656" s="405"/>
      <c r="CG656" s="83"/>
    </row>
    <row r="657">
      <c r="B657" s="405"/>
      <c r="H657" s="83"/>
      <c r="I657" s="405"/>
      <c r="O657" s="83"/>
      <c r="P657" s="405"/>
      <c r="V657" s="83"/>
      <c r="W657" s="405"/>
      <c r="AC657" s="83"/>
      <c r="AD657" s="405"/>
      <c r="AJ657" s="83"/>
      <c r="AK657" s="405"/>
      <c r="AQ657" s="83"/>
      <c r="AX657" s="83"/>
      <c r="BE657" s="83"/>
      <c r="BF657" s="405"/>
      <c r="BL657" s="83"/>
      <c r="BM657" s="405"/>
      <c r="BS657" s="83"/>
      <c r="BT657" s="405"/>
      <c r="BZ657" s="83"/>
      <c r="CA657" s="405"/>
      <c r="CG657" s="83"/>
    </row>
    <row r="658">
      <c r="B658" s="405"/>
      <c r="H658" s="83"/>
      <c r="I658" s="405"/>
      <c r="O658" s="83"/>
      <c r="P658" s="405"/>
      <c r="V658" s="83"/>
      <c r="W658" s="405"/>
      <c r="AC658" s="83"/>
      <c r="AD658" s="405"/>
      <c r="AJ658" s="83"/>
      <c r="AK658" s="405"/>
      <c r="AQ658" s="83"/>
      <c r="AX658" s="83"/>
      <c r="BE658" s="83"/>
      <c r="BF658" s="405"/>
      <c r="BL658" s="83"/>
      <c r="BM658" s="405"/>
      <c r="BS658" s="83"/>
      <c r="BT658" s="405"/>
      <c r="BZ658" s="83"/>
      <c r="CA658" s="405"/>
      <c r="CG658" s="83"/>
    </row>
    <row r="659">
      <c r="B659" s="405"/>
      <c r="H659" s="83"/>
      <c r="I659" s="405"/>
      <c r="O659" s="83"/>
      <c r="P659" s="405"/>
      <c r="V659" s="83"/>
      <c r="W659" s="405"/>
      <c r="AC659" s="83"/>
      <c r="AD659" s="405"/>
      <c r="AJ659" s="83"/>
      <c r="AK659" s="405"/>
      <c r="AQ659" s="83"/>
      <c r="AX659" s="83"/>
      <c r="BE659" s="83"/>
      <c r="BF659" s="405"/>
      <c r="BL659" s="83"/>
      <c r="BM659" s="405"/>
      <c r="BS659" s="83"/>
      <c r="BT659" s="405"/>
      <c r="BZ659" s="83"/>
      <c r="CA659" s="405"/>
      <c r="CG659" s="83"/>
    </row>
    <row r="660">
      <c r="B660" s="405"/>
      <c r="H660" s="83"/>
      <c r="I660" s="405"/>
      <c r="O660" s="83"/>
      <c r="P660" s="405"/>
      <c r="V660" s="83"/>
      <c r="W660" s="405"/>
      <c r="AC660" s="83"/>
      <c r="AD660" s="405"/>
      <c r="AJ660" s="83"/>
      <c r="AK660" s="405"/>
      <c r="AQ660" s="83"/>
      <c r="AX660" s="83"/>
      <c r="BE660" s="83"/>
      <c r="BF660" s="405"/>
      <c r="BL660" s="83"/>
      <c r="BM660" s="405"/>
      <c r="BS660" s="83"/>
      <c r="BT660" s="405"/>
      <c r="BZ660" s="83"/>
      <c r="CA660" s="405"/>
      <c r="CG660" s="83"/>
    </row>
    <row r="661">
      <c r="B661" s="405"/>
      <c r="H661" s="83"/>
      <c r="I661" s="405"/>
      <c r="O661" s="83"/>
      <c r="P661" s="405"/>
      <c r="V661" s="83"/>
      <c r="W661" s="405"/>
      <c r="AC661" s="83"/>
      <c r="AD661" s="405"/>
      <c r="AJ661" s="83"/>
      <c r="AK661" s="405"/>
      <c r="AQ661" s="83"/>
      <c r="AX661" s="83"/>
      <c r="BE661" s="83"/>
      <c r="BF661" s="405"/>
      <c r="BL661" s="83"/>
      <c r="BM661" s="405"/>
      <c r="BS661" s="83"/>
      <c r="BT661" s="405"/>
      <c r="BZ661" s="83"/>
      <c r="CA661" s="405"/>
      <c r="CG661" s="83"/>
    </row>
    <row r="662">
      <c r="B662" s="405"/>
      <c r="H662" s="83"/>
      <c r="I662" s="405"/>
      <c r="O662" s="83"/>
      <c r="P662" s="405"/>
      <c r="V662" s="83"/>
      <c r="W662" s="405"/>
      <c r="AC662" s="83"/>
      <c r="AD662" s="405"/>
      <c r="AJ662" s="83"/>
      <c r="AK662" s="405"/>
      <c r="AQ662" s="83"/>
      <c r="AX662" s="83"/>
      <c r="BE662" s="83"/>
      <c r="BF662" s="405"/>
      <c r="BL662" s="83"/>
      <c r="BM662" s="405"/>
      <c r="BS662" s="83"/>
      <c r="BT662" s="405"/>
      <c r="BZ662" s="83"/>
      <c r="CA662" s="405"/>
      <c r="CG662" s="83"/>
    </row>
    <row r="663">
      <c r="B663" s="405"/>
      <c r="H663" s="83"/>
      <c r="I663" s="405"/>
      <c r="O663" s="83"/>
      <c r="P663" s="405"/>
      <c r="V663" s="83"/>
      <c r="W663" s="405"/>
      <c r="AC663" s="83"/>
      <c r="AD663" s="405"/>
      <c r="AJ663" s="83"/>
      <c r="AK663" s="405"/>
      <c r="AQ663" s="83"/>
      <c r="AX663" s="83"/>
      <c r="BE663" s="83"/>
      <c r="BF663" s="405"/>
      <c r="BL663" s="83"/>
      <c r="BM663" s="405"/>
      <c r="BS663" s="83"/>
      <c r="BT663" s="405"/>
      <c r="BZ663" s="83"/>
      <c r="CA663" s="405"/>
      <c r="CG663" s="83"/>
    </row>
    <row r="664">
      <c r="B664" s="405"/>
      <c r="H664" s="83"/>
      <c r="I664" s="405"/>
      <c r="O664" s="83"/>
      <c r="P664" s="405"/>
      <c r="V664" s="83"/>
      <c r="W664" s="405"/>
      <c r="AC664" s="83"/>
      <c r="AD664" s="405"/>
      <c r="AJ664" s="83"/>
      <c r="AK664" s="405"/>
      <c r="AQ664" s="83"/>
      <c r="AX664" s="83"/>
      <c r="BE664" s="83"/>
      <c r="BF664" s="405"/>
      <c r="BL664" s="83"/>
      <c r="BM664" s="405"/>
      <c r="BS664" s="83"/>
      <c r="BT664" s="405"/>
      <c r="BZ664" s="83"/>
      <c r="CA664" s="405"/>
      <c r="CG664" s="83"/>
    </row>
    <row r="665">
      <c r="B665" s="405"/>
      <c r="H665" s="83"/>
      <c r="I665" s="405"/>
      <c r="O665" s="83"/>
      <c r="P665" s="405"/>
      <c r="V665" s="83"/>
      <c r="W665" s="405"/>
      <c r="AC665" s="83"/>
      <c r="AD665" s="405"/>
      <c r="AJ665" s="83"/>
      <c r="AK665" s="405"/>
      <c r="AQ665" s="83"/>
      <c r="AX665" s="83"/>
      <c r="BE665" s="83"/>
      <c r="BF665" s="405"/>
      <c r="BL665" s="83"/>
      <c r="BM665" s="405"/>
      <c r="BS665" s="83"/>
      <c r="BT665" s="405"/>
      <c r="BZ665" s="83"/>
      <c r="CA665" s="405"/>
      <c r="CG665" s="83"/>
    </row>
    <row r="666">
      <c r="B666" s="405"/>
      <c r="H666" s="83"/>
      <c r="I666" s="405"/>
      <c r="O666" s="83"/>
      <c r="P666" s="405"/>
      <c r="V666" s="83"/>
      <c r="W666" s="405"/>
      <c r="AC666" s="83"/>
      <c r="AD666" s="405"/>
      <c r="AJ666" s="83"/>
      <c r="AK666" s="405"/>
      <c r="AQ666" s="83"/>
      <c r="AX666" s="83"/>
      <c r="BE666" s="83"/>
      <c r="BF666" s="405"/>
      <c r="BL666" s="83"/>
      <c r="BM666" s="405"/>
      <c r="BS666" s="83"/>
      <c r="BT666" s="405"/>
      <c r="BZ666" s="83"/>
      <c r="CA666" s="405"/>
      <c r="CG666" s="83"/>
    </row>
    <row r="667">
      <c r="B667" s="405"/>
      <c r="H667" s="83"/>
      <c r="I667" s="405"/>
      <c r="O667" s="83"/>
      <c r="P667" s="405"/>
      <c r="V667" s="83"/>
      <c r="W667" s="405"/>
      <c r="AC667" s="83"/>
      <c r="AD667" s="405"/>
      <c r="AJ667" s="83"/>
      <c r="AK667" s="405"/>
      <c r="AQ667" s="83"/>
      <c r="AX667" s="83"/>
      <c r="BE667" s="83"/>
      <c r="BF667" s="405"/>
      <c r="BL667" s="83"/>
      <c r="BM667" s="405"/>
      <c r="BS667" s="83"/>
      <c r="BT667" s="405"/>
      <c r="BZ667" s="83"/>
      <c r="CA667" s="405"/>
      <c r="CG667" s="83"/>
    </row>
    <row r="668">
      <c r="B668" s="405"/>
      <c r="H668" s="83"/>
      <c r="I668" s="405"/>
      <c r="O668" s="83"/>
      <c r="P668" s="405"/>
      <c r="V668" s="83"/>
      <c r="W668" s="405"/>
      <c r="AC668" s="83"/>
      <c r="AD668" s="405"/>
      <c r="AJ668" s="83"/>
      <c r="AK668" s="405"/>
      <c r="AQ668" s="83"/>
      <c r="AX668" s="83"/>
      <c r="BE668" s="83"/>
      <c r="BF668" s="405"/>
      <c r="BL668" s="83"/>
      <c r="BM668" s="405"/>
      <c r="BS668" s="83"/>
      <c r="BT668" s="405"/>
      <c r="BZ668" s="83"/>
      <c r="CA668" s="405"/>
      <c r="CG668" s="83"/>
    </row>
    <row r="669">
      <c r="B669" s="405"/>
      <c r="H669" s="83"/>
      <c r="I669" s="405"/>
      <c r="O669" s="83"/>
      <c r="P669" s="405"/>
      <c r="V669" s="83"/>
      <c r="W669" s="405"/>
      <c r="AC669" s="83"/>
      <c r="AD669" s="405"/>
      <c r="AJ669" s="83"/>
      <c r="AK669" s="405"/>
      <c r="AQ669" s="83"/>
      <c r="AX669" s="83"/>
      <c r="BE669" s="83"/>
      <c r="BF669" s="405"/>
      <c r="BL669" s="83"/>
      <c r="BM669" s="405"/>
      <c r="BS669" s="83"/>
      <c r="BT669" s="405"/>
      <c r="BZ669" s="83"/>
      <c r="CA669" s="405"/>
      <c r="CG669" s="83"/>
    </row>
    <row r="670">
      <c r="B670" s="405"/>
      <c r="H670" s="83"/>
      <c r="I670" s="405"/>
      <c r="O670" s="83"/>
      <c r="P670" s="405"/>
      <c r="V670" s="83"/>
      <c r="W670" s="405"/>
      <c r="AC670" s="83"/>
      <c r="AD670" s="405"/>
      <c r="AJ670" s="83"/>
      <c r="AK670" s="405"/>
      <c r="AQ670" s="83"/>
      <c r="AX670" s="83"/>
      <c r="BE670" s="83"/>
      <c r="BF670" s="405"/>
      <c r="BL670" s="83"/>
      <c r="BM670" s="405"/>
      <c r="BS670" s="83"/>
      <c r="BT670" s="405"/>
      <c r="BZ670" s="83"/>
      <c r="CA670" s="405"/>
      <c r="CG670" s="83"/>
    </row>
    <row r="671">
      <c r="B671" s="405"/>
      <c r="H671" s="83"/>
      <c r="I671" s="405"/>
      <c r="O671" s="83"/>
      <c r="P671" s="405"/>
      <c r="V671" s="83"/>
      <c r="W671" s="405"/>
      <c r="AC671" s="83"/>
      <c r="AD671" s="405"/>
      <c r="AJ671" s="83"/>
      <c r="AK671" s="405"/>
      <c r="AQ671" s="83"/>
      <c r="AX671" s="83"/>
      <c r="BE671" s="83"/>
      <c r="BF671" s="405"/>
      <c r="BL671" s="83"/>
      <c r="BM671" s="405"/>
      <c r="BS671" s="83"/>
      <c r="BT671" s="405"/>
      <c r="BZ671" s="83"/>
      <c r="CA671" s="405"/>
      <c r="CG671" s="83"/>
    </row>
    <row r="672">
      <c r="B672" s="405"/>
      <c r="H672" s="83"/>
      <c r="I672" s="405"/>
      <c r="O672" s="83"/>
      <c r="P672" s="405"/>
      <c r="V672" s="83"/>
      <c r="W672" s="405"/>
      <c r="AC672" s="83"/>
      <c r="AD672" s="405"/>
      <c r="AJ672" s="83"/>
      <c r="AK672" s="405"/>
      <c r="AQ672" s="83"/>
      <c r="AX672" s="83"/>
      <c r="BE672" s="83"/>
      <c r="BF672" s="405"/>
      <c r="BL672" s="83"/>
      <c r="BM672" s="405"/>
      <c r="BS672" s="83"/>
      <c r="BT672" s="405"/>
      <c r="BZ672" s="83"/>
      <c r="CA672" s="405"/>
      <c r="CG672" s="83"/>
    </row>
    <row r="673">
      <c r="B673" s="405"/>
      <c r="H673" s="83"/>
      <c r="I673" s="405"/>
      <c r="O673" s="83"/>
      <c r="P673" s="405"/>
      <c r="V673" s="83"/>
      <c r="W673" s="405"/>
      <c r="AC673" s="83"/>
      <c r="AD673" s="405"/>
      <c r="AJ673" s="83"/>
      <c r="AK673" s="405"/>
      <c r="AQ673" s="83"/>
      <c r="AX673" s="83"/>
      <c r="BE673" s="83"/>
      <c r="BF673" s="405"/>
      <c r="BL673" s="83"/>
      <c r="BM673" s="405"/>
      <c r="BS673" s="83"/>
      <c r="BT673" s="405"/>
      <c r="BZ673" s="83"/>
      <c r="CA673" s="405"/>
      <c r="CG673" s="83"/>
    </row>
    <row r="674">
      <c r="B674" s="405"/>
      <c r="H674" s="83"/>
      <c r="I674" s="405"/>
      <c r="O674" s="83"/>
      <c r="P674" s="405"/>
      <c r="V674" s="83"/>
      <c r="W674" s="405"/>
      <c r="AC674" s="83"/>
      <c r="AD674" s="405"/>
      <c r="AJ674" s="83"/>
      <c r="AK674" s="405"/>
      <c r="AQ674" s="83"/>
      <c r="AX674" s="83"/>
      <c r="BE674" s="83"/>
      <c r="BF674" s="405"/>
      <c r="BL674" s="83"/>
      <c r="BM674" s="405"/>
      <c r="BS674" s="83"/>
      <c r="BT674" s="405"/>
      <c r="BZ674" s="83"/>
      <c r="CA674" s="405"/>
      <c r="CG674" s="83"/>
    </row>
    <row r="675">
      <c r="B675" s="405"/>
      <c r="H675" s="83"/>
      <c r="I675" s="405"/>
      <c r="O675" s="83"/>
      <c r="P675" s="405"/>
      <c r="V675" s="83"/>
      <c r="W675" s="405"/>
      <c r="AC675" s="83"/>
      <c r="AD675" s="405"/>
      <c r="AJ675" s="83"/>
      <c r="AK675" s="405"/>
      <c r="AQ675" s="83"/>
      <c r="AX675" s="83"/>
      <c r="BE675" s="83"/>
      <c r="BF675" s="405"/>
      <c r="BL675" s="83"/>
      <c r="BM675" s="405"/>
      <c r="BS675" s="83"/>
      <c r="BT675" s="405"/>
      <c r="BZ675" s="83"/>
      <c r="CA675" s="405"/>
      <c r="CG675" s="83"/>
    </row>
    <row r="676">
      <c r="B676" s="405"/>
      <c r="H676" s="83"/>
      <c r="I676" s="405"/>
      <c r="O676" s="83"/>
      <c r="P676" s="405"/>
      <c r="V676" s="83"/>
      <c r="W676" s="405"/>
      <c r="AC676" s="83"/>
      <c r="AD676" s="405"/>
      <c r="AJ676" s="83"/>
      <c r="AK676" s="405"/>
      <c r="AQ676" s="83"/>
      <c r="AX676" s="83"/>
      <c r="BE676" s="83"/>
      <c r="BF676" s="405"/>
      <c r="BL676" s="83"/>
      <c r="BM676" s="405"/>
      <c r="BS676" s="83"/>
      <c r="BT676" s="405"/>
      <c r="BZ676" s="83"/>
      <c r="CA676" s="405"/>
      <c r="CG676" s="83"/>
    </row>
    <row r="677">
      <c r="B677" s="405"/>
      <c r="H677" s="83"/>
      <c r="I677" s="405"/>
      <c r="O677" s="83"/>
      <c r="P677" s="405"/>
      <c r="V677" s="83"/>
      <c r="W677" s="405"/>
      <c r="AC677" s="83"/>
      <c r="AD677" s="405"/>
      <c r="AJ677" s="83"/>
      <c r="AK677" s="405"/>
      <c r="AQ677" s="83"/>
      <c r="AX677" s="83"/>
      <c r="BE677" s="83"/>
      <c r="BF677" s="405"/>
      <c r="BL677" s="83"/>
      <c r="BM677" s="405"/>
      <c r="BS677" s="83"/>
      <c r="BT677" s="405"/>
      <c r="BZ677" s="83"/>
      <c r="CA677" s="405"/>
      <c r="CG677" s="83"/>
    </row>
    <row r="678">
      <c r="B678" s="405"/>
      <c r="H678" s="83"/>
      <c r="I678" s="405"/>
      <c r="O678" s="83"/>
      <c r="P678" s="405"/>
      <c r="V678" s="83"/>
      <c r="W678" s="405"/>
      <c r="AC678" s="83"/>
      <c r="AD678" s="405"/>
      <c r="AJ678" s="83"/>
      <c r="AK678" s="405"/>
      <c r="AQ678" s="83"/>
      <c r="AX678" s="83"/>
      <c r="BE678" s="83"/>
      <c r="BF678" s="405"/>
      <c r="BL678" s="83"/>
      <c r="BM678" s="405"/>
      <c r="BS678" s="83"/>
      <c r="BT678" s="405"/>
      <c r="BZ678" s="83"/>
      <c r="CA678" s="405"/>
      <c r="CG678" s="83"/>
    </row>
    <row r="679">
      <c r="B679" s="405"/>
      <c r="H679" s="83"/>
      <c r="I679" s="405"/>
      <c r="O679" s="83"/>
      <c r="P679" s="405"/>
      <c r="V679" s="83"/>
      <c r="W679" s="405"/>
      <c r="AC679" s="83"/>
      <c r="AD679" s="405"/>
      <c r="AJ679" s="83"/>
      <c r="AK679" s="405"/>
      <c r="AQ679" s="83"/>
      <c r="AX679" s="83"/>
      <c r="BE679" s="83"/>
      <c r="BF679" s="405"/>
      <c r="BL679" s="83"/>
      <c r="BM679" s="405"/>
      <c r="BS679" s="83"/>
      <c r="BT679" s="405"/>
      <c r="BZ679" s="83"/>
      <c r="CA679" s="405"/>
      <c r="CG679" s="83"/>
    </row>
    <row r="680">
      <c r="B680" s="405"/>
      <c r="H680" s="83"/>
      <c r="I680" s="405"/>
      <c r="O680" s="83"/>
      <c r="P680" s="405"/>
      <c r="V680" s="83"/>
      <c r="W680" s="405"/>
      <c r="AC680" s="83"/>
      <c r="AD680" s="405"/>
      <c r="AJ680" s="83"/>
      <c r="AK680" s="405"/>
      <c r="AQ680" s="83"/>
      <c r="AX680" s="83"/>
      <c r="BE680" s="83"/>
      <c r="BF680" s="405"/>
      <c r="BL680" s="83"/>
      <c r="BM680" s="405"/>
      <c r="BS680" s="83"/>
      <c r="BT680" s="405"/>
      <c r="BZ680" s="83"/>
      <c r="CA680" s="405"/>
      <c r="CG680" s="83"/>
    </row>
    <row r="681">
      <c r="B681" s="405"/>
      <c r="H681" s="83"/>
      <c r="I681" s="405"/>
      <c r="O681" s="83"/>
      <c r="P681" s="405"/>
      <c r="V681" s="83"/>
      <c r="W681" s="405"/>
      <c r="AC681" s="83"/>
      <c r="AD681" s="405"/>
      <c r="AJ681" s="83"/>
      <c r="AK681" s="405"/>
      <c r="AQ681" s="83"/>
      <c r="AX681" s="83"/>
      <c r="BE681" s="83"/>
      <c r="BF681" s="405"/>
      <c r="BL681" s="83"/>
      <c r="BM681" s="405"/>
      <c r="BS681" s="83"/>
      <c r="BT681" s="405"/>
      <c r="BZ681" s="83"/>
      <c r="CA681" s="405"/>
      <c r="CG681" s="83"/>
    </row>
    <row r="682">
      <c r="B682" s="405"/>
      <c r="H682" s="83"/>
      <c r="I682" s="405"/>
      <c r="O682" s="83"/>
      <c r="P682" s="405"/>
      <c r="V682" s="83"/>
      <c r="W682" s="405"/>
      <c r="AC682" s="83"/>
      <c r="AD682" s="405"/>
      <c r="AJ682" s="83"/>
      <c r="AK682" s="405"/>
      <c r="AQ682" s="83"/>
      <c r="AX682" s="83"/>
      <c r="BE682" s="83"/>
      <c r="BF682" s="405"/>
      <c r="BL682" s="83"/>
      <c r="BM682" s="405"/>
      <c r="BS682" s="83"/>
      <c r="BT682" s="405"/>
      <c r="BZ682" s="83"/>
      <c r="CA682" s="405"/>
      <c r="CG682" s="83"/>
    </row>
    <row r="683">
      <c r="B683" s="405"/>
      <c r="H683" s="83"/>
      <c r="I683" s="405"/>
      <c r="O683" s="83"/>
      <c r="P683" s="405"/>
      <c r="V683" s="83"/>
      <c r="W683" s="405"/>
      <c r="AC683" s="83"/>
      <c r="AD683" s="405"/>
      <c r="AJ683" s="83"/>
      <c r="AK683" s="405"/>
      <c r="AQ683" s="83"/>
      <c r="AX683" s="83"/>
      <c r="BE683" s="83"/>
      <c r="BF683" s="405"/>
      <c r="BL683" s="83"/>
      <c r="BM683" s="405"/>
      <c r="BS683" s="83"/>
      <c r="BT683" s="405"/>
      <c r="BZ683" s="83"/>
      <c r="CA683" s="405"/>
      <c r="CG683" s="83"/>
    </row>
    <row r="684">
      <c r="B684" s="405"/>
      <c r="H684" s="83"/>
      <c r="I684" s="405"/>
      <c r="O684" s="83"/>
      <c r="P684" s="405"/>
      <c r="V684" s="83"/>
      <c r="W684" s="405"/>
      <c r="AC684" s="83"/>
      <c r="AD684" s="405"/>
      <c r="AJ684" s="83"/>
      <c r="AK684" s="405"/>
      <c r="AQ684" s="83"/>
      <c r="AX684" s="83"/>
      <c r="BE684" s="83"/>
      <c r="BF684" s="405"/>
      <c r="BL684" s="83"/>
      <c r="BM684" s="405"/>
      <c r="BS684" s="83"/>
      <c r="BT684" s="405"/>
      <c r="BZ684" s="83"/>
      <c r="CA684" s="405"/>
      <c r="CG684" s="83"/>
    </row>
    <row r="685">
      <c r="B685" s="405"/>
      <c r="H685" s="83"/>
      <c r="I685" s="405"/>
      <c r="O685" s="83"/>
      <c r="P685" s="405"/>
      <c r="V685" s="83"/>
      <c r="W685" s="405"/>
      <c r="AC685" s="83"/>
      <c r="AD685" s="405"/>
      <c r="AJ685" s="83"/>
      <c r="AK685" s="405"/>
      <c r="AQ685" s="83"/>
      <c r="AX685" s="83"/>
      <c r="BE685" s="83"/>
      <c r="BF685" s="405"/>
      <c r="BL685" s="83"/>
      <c r="BM685" s="405"/>
      <c r="BS685" s="83"/>
      <c r="BT685" s="405"/>
      <c r="BZ685" s="83"/>
      <c r="CA685" s="405"/>
      <c r="CG685" s="83"/>
    </row>
    <row r="686">
      <c r="B686" s="405"/>
      <c r="H686" s="83"/>
      <c r="I686" s="405"/>
      <c r="O686" s="83"/>
      <c r="P686" s="405"/>
      <c r="V686" s="83"/>
      <c r="W686" s="405"/>
      <c r="AC686" s="83"/>
      <c r="AD686" s="405"/>
      <c r="AJ686" s="83"/>
      <c r="AK686" s="405"/>
      <c r="AQ686" s="83"/>
      <c r="AX686" s="83"/>
      <c r="BE686" s="83"/>
      <c r="BF686" s="405"/>
      <c r="BL686" s="83"/>
      <c r="BM686" s="405"/>
      <c r="BS686" s="83"/>
      <c r="BT686" s="405"/>
      <c r="BZ686" s="83"/>
      <c r="CA686" s="405"/>
      <c r="CG686" s="83"/>
    </row>
    <row r="687">
      <c r="B687" s="405"/>
      <c r="H687" s="83"/>
      <c r="I687" s="405"/>
      <c r="O687" s="83"/>
      <c r="P687" s="405"/>
      <c r="V687" s="83"/>
      <c r="W687" s="405"/>
      <c r="AC687" s="83"/>
      <c r="AD687" s="405"/>
      <c r="AJ687" s="83"/>
      <c r="AK687" s="405"/>
      <c r="AQ687" s="83"/>
      <c r="AX687" s="83"/>
      <c r="BE687" s="83"/>
      <c r="BF687" s="405"/>
      <c r="BL687" s="83"/>
      <c r="BM687" s="405"/>
      <c r="BS687" s="83"/>
      <c r="BT687" s="405"/>
      <c r="BZ687" s="83"/>
      <c r="CA687" s="405"/>
      <c r="CG687" s="83"/>
    </row>
    <row r="688">
      <c r="B688" s="405"/>
      <c r="H688" s="83"/>
      <c r="I688" s="405"/>
      <c r="O688" s="83"/>
      <c r="P688" s="405"/>
      <c r="V688" s="83"/>
      <c r="W688" s="405"/>
      <c r="AC688" s="83"/>
      <c r="AD688" s="405"/>
      <c r="AJ688" s="83"/>
      <c r="AK688" s="405"/>
      <c r="AQ688" s="83"/>
      <c r="AX688" s="83"/>
      <c r="BE688" s="83"/>
      <c r="BF688" s="405"/>
      <c r="BL688" s="83"/>
      <c r="BM688" s="405"/>
      <c r="BS688" s="83"/>
      <c r="BT688" s="405"/>
      <c r="BZ688" s="83"/>
      <c r="CA688" s="405"/>
      <c r="CG688" s="83"/>
    </row>
    <row r="689">
      <c r="B689" s="405"/>
      <c r="H689" s="83"/>
      <c r="I689" s="405"/>
      <c r="O689" s="83"/>
      <c r="P689" s="405"/>
      <c r="V689" s="83"/>
      <c r="W689" s="405"/>
      <c r="AC689" s="83"/>
      <c r="AD689" s="405"/>
      <c r="AJ689" s="83"/>
      <c r="AK689" s="405"/>
      <c r="AQ689" s="83"/>
      <c r="AX689" s="83"/>
      <c r="BE689" s="83"/>
      <c r="BF689" s="405"/>
      <c r="BL689" s="83"/>
      <c r="BM689" s="405"/>
      <c r="BS689" s="83"/>
      <c r="BT689" s="405"/>
      <c r="BZ689" s="83"/>
      <c r="CA689" s="405"/>
      <c r="CG689" s="83"/>
    </row>
    <row r="690">
      <c r="B690" s="405"/>
      <c r="H690" s="83"/>
      <c r="I690" s="405"/>
      <c r="O690" s="83"/>
      <c r="P690" s="405"/>
      <c r="V690" s="83"/>
      <c r="W690" s="405"/>
      <c r="AC690" s="83"/>
      <c r="AD690" s="405"/>
      <c r="AJ690" s="83"/>
      <c r="AK690" s="405"/>
      <c r="AQ690" s="83"/>
      <c r="AX690" s="83"/>
      <c r="BE690" s="83"/>
      <c r="BF690" s="405"/>
      <c r="BL690" s="83"/>
      <c r="BM690" s="405"/>
      <c r="BS690" s="83"/>
      <c r="BT690" s="405"/>
      <c r="BZ690" s="83"/>
      <c r="CA690" s="405"/>
      <c r="CG690" s="83"/>
    </row>
    <row r="691">
      <c r="B691" s="405"/>
      <c r="H691" s="83"/>
      <c r="I691" s="405"/>
      <c r="O691" s="83"/>
      <c r="P691" s="405"/>
      <c r="V691" s="83"/>
      <c r="W691" s="405"/>
      <c r="AC691" s="83"/>
      <c r="AD691" s="405"/>
      <c r="AJ691" s="83"/>
      <c r="AK691" s="405"/>
      <c r="AQ691" s="83"/>
      <c r="AX691" s="83"/>
      <c r="BE691" s="83"/>
      <c r="BF691" s="405"/>
      <c r="BL691" s="83"/>
      <c r="BM691" s="405"/>
      <c r="BS691" s="83"/>
      <c r="BT691" s="405"/>
      <c r="BZ691" s="83"/>
      <c r="CA691" s="405"/>
      <c r="CG691" s="83"/>
    </row>
    <row r="692">
      <c r="B692" s="405"/>
      <c r="H692" s="83"/>
      <c r="I692" s="405"/>
      <c r="O692" s="83"/>
      <c r="P692" s="405"/>
      <c r="V692" s="83"/>
      <c r="W692" s="405"/>
      <c r="AC692" s="83"/>
      <c r="AD692" s="405"/>
      <c r="AJ692" s="83"/>
      <c r="AK692" s="405"/>
      <c r="AQ692" s="83"/>
      <c r="AX692" s="83"/>
      <c r="BE692" s="83"/>
      <c r="BF692" s="405"/>
      <c r="BL692" s="83"/>
      <c r="BM692" s="405"/>
      <c r="BS692" s="83"/>
      <c r="BT692" s="405"/>
      <c r="BZ692" s="83"/>
      <c r="CA692" s="405"/>
      <c r="CG692" s="83"/>
    </row>
    <row r="693">
      <c r="B693" s="405"/>
      <c r="H693" s="83"/>
      <c r="I693" s="405"/>
      <c r="O693" s="83"/>
      <c r="P693" s="405"/>
      <c r="V693" s="83"/>
      <c r="W693" s="405"/>
      <c r="AC693" s="83"/>
      <c r="AD693" s="405"/>
      <c r="AJ693" s="83"/>
      <c r="AK693" s="405"/>
      <c r="AQ693" s="83"/>
      <c r="AX693" s="83"/>
      <c r="BE693" s="83"/>
      <c r="BF693" s="405"/>
      <c r="BL693" s="83"/>
      <c r="BM693" s="405"/>
      <c r="BS693" s="83"/>
      <c r="BT693" s="405"/>
      <c r="BZ693" s="83"/>
      <c r="CA693" s="405"/>
      <c r="CG693" s="83"/>
    </row>
    <row r="694">
      <c r="B694" s="405"/>
      <c r="H694" s="83"/>
      <c r="I694" s="405"/>
      <c r="O694" s="83"/>
      <c r="P694" s="405"/>
      <c r="V694" s="83"/>
      <c r="W694" s="405"/>
      <c r="AC694" s="83"/>
      <c r="AD694" s="405"/>
      <c r="AJ694" s="83"/>
      <c r="AK694" s="405"/>
      <c r="AQ694" s="83"/>
      <c r="AX694" s="83"/>
      <c r="BE694" s="83"/>
      <c r="BF694" s="405"/>
      <c r="BL694" s="83"/>
      <c r="BM694" s="405"/>
      <c r="BS694" s="83"/>
      <c r="BT694" s="405"/>
      <c r="BZ694" s="83"/>
      <c r="CA694" s="405"/>
      <c r="CG694" s="83"/>
    </row>
    <row r="695">
      <c r="B695" s="405"/>
      <c r="H695" s="83"/>
      <c r="I695" s="405"/>
      <c r="O695" s="83"/>
      <c r="P695" s="405"/>
      <c r="V695" s="83"/>
      <c r="W695" s="405"/>
      <c r="AC695" s="83"/>
      <c r="AD695" s="405"/>
      <c r="AJ695" s="83"/>
      <c r="AK695" s="405"/>
      <c r="AQ695" s="83"/>
      <c r="AX695" s="83"/>
      <c r="BE695" s="83"/>
      <c r="BF695" s="405"/>
      <c r="BL695" s="83"/>
      <c r="BM695" s="405"/>
      <c r="BS695" s="83"/>
      <c r="BT695" s="405"/>
      <c r="BZ695" s="83"/>
      <c r="CA695" s="405"/>
      <c r="CG695" s="83"/>
    </row>
    <row r="696">
      <c r="B696" s="405"/>
      <c r="H696" s="83"/>
      <c r="I696" s="405"/>
      <c r="O696" s="83"/>
      <c r="P696" s="405"/>
      <c r="V696" s="83"/>
      <c r="W696" s="405"/>
      <c r="AC696" s="83"/>
      <c r="AD696" s="405"/>
      <c r="AJ696" s="83"/>
      <c r="AK696" s="405"/>
      <c r="AQ696" s="83"/>
      <c r="AX696" s="83"/>
      <c r="BE696" s="83"/>
      <c r="BF696" s="405"/>
      <c r="BL696" s="83"/>
      <c r="BM696" s="405"/>
      <c r="BS696" s="83"/>
      <c r="BT696" s="405"/>
      <c r="BZ696" s="83"/>
      <c r="CA696" s="405"/>
      <c r="CG696" s="83"/>
    </row>
    <row r="697">
      <c r="B697" s="405"/>
      <c r="H697" s="83"/>
      <c r="I697" s="405"/>
      <c r="O697" s="83"/>
      <c r="P697" s="405"/>
      <c r="V697" s="83"/>
      <c r="W697" s="405"/>
      <c r="AC697" s="83"/>
      <c r="AD697" s="405"/>
      <c r="AJ697" s="83"/>
      <c r="AK697" s="405"/>
      <c r="AQ697" s="83"/>
      <c r="AX697" s="83"/>
      <c r="BE697" s="83"/>
      <c r="BF697" s="405"/>
      <c r="BL697" s="83"/>
      <c r="BM697" s="405"/>
      <c r="BS697" s="83"/>
      <c r="BT697" s="405"/>
      <c r="BZ697" s="83"/>
      <c r="CA697" s="405"/>
      <c r="CG697" s="83"/>
    </row>
    <row r="698">
      <c r="B698" s="405"/>
      <c r="H698" s="83"/>
      <c r="I698" s="405"/>
      <c r="O698" s="83"/>
      <c r="P698" s="405"/>
      <c r="V698" s="83"/>
      <c r="W698" s="405"/>
      <c r="AC698" s="83"/>
      <c r="AD698" s="405"/>
      <c r="AJ698" s="83"/>
      <c r="AK698" s="405"/>
      <c r="AQ698" s="83"/>
      <c r="AX698" s="83"/>
      <c r="BE698" s="83"/>
      <c r="BF698" s="405"/>
      <c r="BL698" s="83"/>
      <c r="BM698" s="405"/>
      <c r="BS698" s="83"/>
      <c r="BT698" s="405"/>
      <c r="BZ698" s="83"/>
      <c r="CA698" s="405"/>
      <c r="CG698" s="83"/>
    </row>
    <row r="699">
      <c r="B699" s="405"/>
      <c r="H699" s="83"/>
      <c r="I699" s="405"/>
      <c r="O699" s="83"/>
      <c r="P699" s="405"/>
      <c r="V699" s="83"/>
      <c r="W699" s="405"/>
      <c r="AC699" s="83"/>
      <c r="AD699" s="405"/>
      <c r="AJ699" s="83"/>
      <c r="AK699" s="405"/>
      <c r="AQ699" s="83"/>
      <c r="AX699" s="83"/>
      <c r="BE699" s="83"/>
      <c r="BF699" s="405"/>
      <c r="BL699" s="83"/>
      <c r="BM699" s="405"/>
      <c r="BS699" s="83"/>
      <c r="BT699" s="405"/>
      <c r="BZ699" s="83"/>
      <c r="CA699" s="405"/>
      <c r="CG699" s="83"/>
    </row>
    <row r="700">
      <c r="B700" s="405"/>
      <c r="H700" s="83"/>
      <c r="I700" s="405"/>
      <c r="O700" s="83"/>
      <c r="P700" s="405"/>
      <c r="V700" s="83"/>
      <c r="W700" s="405"/>
      <c r="AC700" s="83"/>
      <c r="AD700" s="405"/>
      <c r="AJ700" s="83"/>
      <c r="AK700" s="405"/>
      <c r="AQ700" s="83"/>
      <c r="AX700" s="83"/>
      <c r="BE700" s="83"/>
      <c r="BF700" s="405"/>
      <c r="BL700" s="83"/>
      <c r="BM700" s="405"/>
      <c r="BS700" s="83"/>
      <c r="BT700" s="405"/>
      <c r="BZ700" s="83"/>
      <c r="CA700" s="405"/>
      <c r="CG700" s="83"/>
    </row>
    <row r="701">
      <c r="B701" s="405"/>
      <c r="H701" s="83"/>
      <c r="I701" s="405"/>
      <c r="O701" s="83"/>
      <c r="P701" s="405"/>
      <c r="V701" s="83"/>
      <c r="W701" s="405"/>
      <c r="AC701" s="83"/>
      <c r="AD701" s="405"/>
      <c r="AJ701" s="83"/>
      <c r="AK701" s="405"/>
      <c r="AQ701" s="83"/>
      <c r="AX701" s="83"/>
      <c r="BE701" s="83"/>
      <c r="BF701" s="405"/>
      <c r="BL701" s="83"/>
      <c r="BM701" s="405"/>
      <c r="BS701" s="83"/>
      <c r="BT701" s="405"/>
      <c r="BZ701" s="83"/>
      <c r="CA701" s="405"/>
      <c r="CG701" s="83"/>
    </row>
    <row r="702">
      <c r="B702" s="405"/>
      <c r="H702" s="83"/>
      <c r="I702" s="405"/>
      <c r="O702" s="83"/>
      <c r="P702" s="405"/>
      <c r="V702" s="83"/>
      <c r="W702" s="405"/>
      <c r="AC702" s="83"/>
      <c r="AD702" s="405"/>
      <c r="AJ702" s="83"/>
      <c r="AK702" s="405"/>
      <c r="AQ702" s="83"/>
      <c r="AX702" s="83"/>
      <c r="BE702" s="83"/>
      <c r="BF702" s="405"/>
      <c r="BL702" s="83"/>
      <c r="BM702" s="405"/>
      <c r="BS702" s="83"/>
      <c r="BT702" s="405"/>
      <c r="BZ702" s="83"/>
      <c r="CA702" s="405"/>
      <c r="CG702" s="83"/>
    </row>
    <row r="703">
      <c r="B703" s="405"/>
      <c r="H703" s="83"/>
      <c r="I703" s="405"/>
      <c r="O703" s="83"/>
      <c r="P703" s="405"/>
      <c r="V703" s="83"/>
      <c r="W703" s="405"/>
      <c r="AC703" s="83"/>
      <c r="AD703" s="405"/>
      <c r="AJ703" s="83"/>
      <c r="AK703" s="405"/>
      <c r="AQ703" s="83"/>
      <c r="AX703" s="83"/>
      <c r="BE703" s="83"/>
      <c r="BF703" s="405"/>
      <c r="BL703" s="83"/>
      <c r="BM703" s="405"/>
      <c r="BS703" s="83"/>
      <c r="BT703" s="405"/>
      <c r="BZ703" s="83"/>
      <c r="CA703" s="405"/>
      <c r="CG703" s="83"/>
    </row>
    <row r="704">
      <c r="B704" s="405"/>
      <c r="H704" s="83"/>
      <c r="I704" s="405"/>
      <c r="O704" s="83"/>
      <c r="P704" s="405"/>
      <c r="V704" s="83"/>
      <c r="W704" s="405"/>
      <c r="AC704" s="83"/>
      <c r="AD704" s="405"/>
      <c r="AJ704" s="83"/>
      <c r="AK704" s="405"/>
      <c r="AQ704" s="83"/>
      <c r="AX704" s="83"/>
      <c r="BE704" s="83"/>
      <c r="BF704" s="405"/>
      <c r="BL704" s="83"/>
      <c r="BM704" s="405"/>
      <c r="BS704" s="83"/>
      <c r="BT704" s="405"/>
      <c r="BZ704" s="83"/>
      <c r="CA704" s="405"/>
      <c r="CG704" s="83"/>
    </row>
    <row r="705">
      <c r="B705" s="405"/>
      <c r="H705" s="83"/>
      <c r="I705" s="405"/>
      <c r="O705" s="83"/>
      <c r="P705" s="405"/>
      <c r="V705" s="83"/>
      <c r="W705" s="405"/>
      <c r="AC705" s="83"/>
      <c r="AD705" s="405"/>
      <c r="AJ705" s="83"/>
      <c r="AK705" s="405"/>
      <c r="AQ705" s="83"/>
      <c r="AX705" s="83"/>
      <c r="BE705" s="83"/>
      <c r="BF705" s="405"/>
      <c r="BL705" s="83"/>
      <c r="BM705" s="405"/>
      <c r="BS705" s="83"/>
      <c r="BT705" s="405"/>
      <c r="BZ705" s="83"/>
      <c r="CA705" s="405"/>
      <c r="CG705" s="83"/>
    </row>
    <row r="706">
      <c r="B706" s="405"/>
      <c r="H706" s="83"/>
      <c r="I706" s="405"/>
      <c r="O706" s="83"/>
      <c r="P706" s="405"/>
      <c r="V706" s="83"/>
      <c r="W706" s="405"/>
      <c r="AC706" s="83"/>
      <c r="AD706" s="405"/>
      <c r="AJ706" s="83"/>
      <c r="AK706" s="405"/>
      <c r="AQ706" s="83"/>
      <c r="AX706" s="83"/>
      <c r="BE706" s="83"/>
      <c r="BF706" s="405"/>
      <c r="BL706" s="83"/>
      <c r="BM706" s="405"/>
      <c r="BS706" s="83"/>
      <c r="BT706" s="405"/>
      <c r="BZ706" s="83"/>
      <c r="CA706" s="405"/>
      <c r="CG706" s="83"/>
    </row>
    <row r="707">
      <c r="B707" s="405"/>
      <c r="H707" s="83"/>
      <c r="I707" s="405"/>
      <c r="O707" s="83"/>
      <c r="P707" s="405"/>
      <c r="V707" s="83"/>
      <c r="W707" s="405"/>
      <c r="AC707" s="83"/>
      <c r="AD707" s="405"/>
      <c r="AJ707" s="83"/>
      <c r="AK707" s="405"/>
      <c r="AQ707" s="83"/>
      <c r="AX707" s="83"/>
      <c r="BE707" s="83"/>
      <c r="BF707" s="405"/>
      <c r="BL707" s="83"/>
      <c r="BM707" s="405"/>
      <c r="BS707" s="83"/>
      <c r="BT707" s="405"/>
      <c r="BZ707" s="83"/>
      <c r="CA707" s="405"/>
      <c r="CG707" s="83"/>
    </row>
    <row r="708">
      <c r="B708" s="405"/>
      <c r="H708" s="83"/>
      <c r="I708" s="405"/>
      <c r="O708" s="83"/>
      <c r="P708" s="405"/>
      <c r="V708" s="83"/>
      <c r="W708" s="405"/>
      <c r="AC708" s="83"/>
      <c r="AD708" s="405"/>
      <c r="AJ708" s="83"/>
      <c r="AK708" s="405"/>
      <c r="AQ708" s="83"/>
      <c r="AX708" s="83"/>
      <c r="BE708" s="83"/>
      <c r="BF708" s="405"/>
      <c r="BL708" s="83"/>
      <c r="BM708" s="405"/>
      <c r="BS708" s="83"/>
      <c r="BT708" s="405"/>
      <c r="BZ708" s="83"/>
      <c r="CA708" s="405"/>
      <c r="CG708" s="83"/>
    </row>
    <row r="709">
      <c r="B709" s="405"/>
      <c r="H709" s="83"/>
      <c r="I709" s="405"/>
      <c r="O709" s="83"/>
      <c r="P709" s="405"/>
      <c r="V709" s="83"/>
      <c r="W709" s="405"/>
      <c r="AC709" s="83"/>
      <c r="AD709" s="405"/>
      <c r="AJ709" s="83"/>
      <c r="AK709" s="405"/>
      <c r="AQ709" s="83"/>
      <c r="AX709" s="83"/>
      <c r="BE709" s="83"/>
      <c r="BF709" s="405"/>
      <c r="BL709" s="83"/>
      <c r="BM709" s="405"/>
      <c r="BS709" s="83"/>
      <c r="BT709" s="405"/>
      <c r="BZ709" s="83"/>
      <c r="CA709" s="405"/>
      <c r="CG709" s="83"/>
    </row>
    <row r="710">
      <c r="B710" s="405"/>
      <c r="H710" s="83"/>
      <c r="I710" s="405"/>
      <c r="O710" s="83"/>
      <c r="P710" s="405"/>
      <c r="V710" s="83"/>
      <c r="W710" s="405"/>
      <c r="AC710" s="83"/>
      <c r="AD710" s="405"/>
      <c r="AJ710" s="83"/>
      <c r="AK710" s="405"/>
      <c r="AQ710" s="83"/>
      <c r="AX710" s="83"/>
      <c r="BE710" s="83"/>
      <c r="BF710" s="405"/>
      <c r="BL710" s="83"/>
      <c r="BM710" s="405"/>
      <c r="BS710" s="83"/>
      <c r="BT710" s="405"/>
      <c r="BZ710" s="83"/>
      <c r="CA710" s="405"/>
      <c r="CG710" s="83"/>
    </row>
    <row r="711">
      <c r="B711" s="405"/>
      <c r="H711" s="83"/>
      <c r="I711" s="405"/>
      <c r="O711" s="83"/>
      <c r="P711" s="405"/>
      <c r="V711" s="83"/>
      <c r="W711" s="405"/>
      <c r="AC711" s="83"/>
      <c r="AD711" s="405"/>
      <c r="AJ711" s="83"/>
      <c r="AK711" s="405"/>
      <c r="AQ711" s="83"/>
      <c r="AX711" s="83"/>
      <c r="BE711" s="83"/>
      <c r="BF711" s="405"/>
      <c r="BL711" s="83"/>
      <c r="BM711" s="405"/>
      <c r="BS711" s="83"/>
      <c r="BT711" s="405"/>
      <c r="BZ711" s="83"/>
      <c r="CA711" s="405"/>
      <c r="CG711" s="83"/>
    </row>
    <row r="712">
      <c r="B712" s="405"/>
      <c r="H712" s="83"/>
      <c r="I712" s="405"/>
      <c r="O712" s="83"/>
      <c r="P712" s="405"/>
      <c r="V712" s="83"/>
      <c r="W712" s="405"/>
      <c r="AC712" s="83"/>
      <c r="AD712" s="405"/>
      <c r="AJ712" s="83"/>
      <c r="AK712" s="405"/>
      <c r="AQ712" s="83"/>
      <c r="AX712" s="83"/>
      <c r="BE712" s="83"/>
      <c r="BF712" s="405"/>
      <c r="BL712" s="83"/>
      <c r="BM712" s="405"/>
      <c r="BS712" s="83"/>
      <c r="BT712" s="405"/>
      <c r="BZ712" s="83"/>
      <c r="CA712" s="405"/>
      <c r="CG712" s="83"/>
    </row>
    <row r="713">
      <c r="B713" s="405"/>
      <c r="H713" s="83"/>
      <c r="I713" s="405"/>
      <c r="O713" s="83"/>
      <c r="P713" s="405"/>
      <c r="V713" s="83"/>
      <c r="W713" s="405"/>
      <c r="AC713" s="83"/>
      <c r="AD713" s="405"/>
      <c r="AJ713" s="83"/>
      <c r="AK713" s="405"/>
      <c r="AQ713" s="83"/>
      <c r="AX713" s="83"/>
      <c r="BE713" s="83"/>
      <c r="BF713" s="405"/>
      <c r="BL713" s="83"/>
      <c r="BM713" s="405"/>
      <c r="BS713" s="83"/>
      <c r="BT713" s="405"/>
      <c r="BZ713" s="83"/>
      <c r="CA713" s="405"/>
      <c r="CG713" s="83"/>
    </row>
    <row r="714">
      <c r="B714" s="405"/>
      <c r="H714" s="83"/>
      <c r="I714" s="405"/>
      <c r="O714" s="83"/>
      <c r="P714" s="405"/>
      <c r="V714" s="83"/>
      <c r="W714" s="405"/>
      <c r="AC714" s="83"/>
      <c r="AD714" s="405"/>
      <c r="AJ714" s="83"/>
      <c r="AK714" s="405"/>
      <c r="AQ714" s="83"/>
      <c r="AX714" s="83"/>
      <c r="BE714" s="83"/>
      <c r="BF714" s="405"/>
      <c r="BL714" s="83"/>
      <c r="BM714" s="405"/>
      <c r="BS714" s="83"/>
      <c r="BT714" s="405"/>
      <c r="BZ714" s="83"/>
      <c r="CA714" s="405"/>
      <c r="CG714" s="83"/>
    </row>
    <row r="715">
      <c r="B715" s="405"/>
      <c r="H715" s="83"/>
      <c r="I715" s="405"/>
      <c r="O715" s="83"/>
      <c r="P715" s="405"/>
      <c r="V715" s="83"/>
      <c r="W715" s="405"/>
      <c r="AC715" s="83"/>
      <c r="AD715" s="405"/>
      <c r="AJ715" s="83"/>
      <c r="AK715" s="405"/>
      <c r="AQ715" s="83"/>
      <c r="AX715" s="83"/>
      <c r="BE715" s="83"/>
      <c r="BF715" s="405"/>
      <c r="BL715" s="83"/>
      <c r="BM715" s="405"/>
      <c r="BS715" s="83"/>
      <c r="BT715" s="405"/>
      <c r="BZ715" s="83"/>
      <c r="CA715" s="405"/>
      <c r="CG715" s="83"/>
    </row>
    <row r="716">
      <c r="B716" s="405"/>
      <c r="H716" s="83"/>
      <c r="I716" s="405"/>
      <c r="O716" s="83"/>
      <c r="P716" s="405"/>
      <c r="V716" s="83"/>
      <c r="W716" s="405"/>
      <c r="AC716" s="83"/>
      <c r="AD716" s="405"/>
      <c r="AJ716" s="83"/>
      <c r="AK716" s="405"/>
      <c r="AQ716" s="83"/>
      <c r="AX716" s="83"/>
      <c r="BE716" s="83"/>
      <c r="BF716" s="405"/>
      <c r="BL716" s="83"/>
      <c r="BM716" s="405"/>
      <c r="BS716" s="83"/>
      <c r="BT716" s="405"/>
      <c r="BZ716" s="83"/>
      <c r="CA716" s="405"/>
      <c r="CG716" s="83"/>
    </row>
    <row r="717">
      <c r="B717" s="405"/>
      <c r="H717" s="83"/>
      <c r="I717" s="405"/>
      <c r="O717" s="83"/>
      <c r="P717" s="405"/>
      <c r="V717" s="83"/>
      <c r="W717" s="405"/>
      <c r="AC717" s="83"/>
      <c r="AD717" s="405"/>
      <c r="AJ717" s="83"/>
      <c r="AK717" s="405"/>
      <c r="AQ717" s="83"/>
      <c r="AX717" s="83"/>
      <c r="BE717" s="83"/>
      <c r="BF717" s="405"/>
      <c r="BL717" s="83"/>
      <c r="BM717" s="405"/>
      <c r="BS717" s="83"/>
      <c r="BT717" s="405"/>
      <c r="BZ717" s="83"/>
      <c r="CA717" s="405"/>
      <c r="CG717" s="83"/>
    </row>
    <row r="718">
      <c r="B718" s="405"/>
      <c r="H718" s="83"/>
      <c r="I718" s="405"/>
      <c r="O718" s="83"/>
      <c r="P718" s="405"/>
      <c r="V718" s="83"/>
      <c r="W718" s="405"/>
      <c r="AC718" s="83"/>
      <c r="AD718" s="405"/>
      <c r="AJ718" s="83"/>
      <c r="AK718" s="405"/>
      <c r="AQ718" s="83"/>
      <c r="AX718" s="83"/>
      <c r="BE718" s="83"/>
      <c r="BF718" s="405"/>
      <c r="BL718" s="83"/>
      <c r="BM718" s="405"/>
      <c r="BS718" s="83"/>
      <c r="BT718" s="405"/>
      <c r="BZ718" s="83"/>
      <c r="CA718" s="405"/>
      <c r="CG718" s="83"/>
    </row>
    <row r="719">
      <c r="B719" s="405"/>
      <c r="H719" s="83"/>
      <c r="I719" s="405"/>
      <c r="O719" s="83"/>
      <c r="P719" s="405"/>
      <c r="V719" s="83"/>
      <c r="W719" s="405"/>
      <c r="AC719" s="83"/>
      <c r="AD719" s="405"/>
      <c r="AJ719" s="83"/>
      <c r="AK719" s="405"/>
      <c r="AQ719" s="83"/>
      <c r="AX719" s="83"/>
      <c r="BE719" s="83"/>
      <c r="BF719" s="405"/>
      <c r="BL719" s="83"/>
      <c r="BM719" s="405"/>
      <c r="BS719" s="83"/>
      <c r="BT719" s="405"/>
      <c r="BZ719" s="83"/>
      <c r="CA719" s="405"/>
      <c r="CG719" s="83"/>
    </row>
    <row r="720">
      <c r="B720" s="405"/>
      <c r="H720" s="83"/>
      <c r="I720" s="405"/>
      <c r="O720" s="83"/>
      <c r="P720" s="405"/>
      <c r="V720" s="83"/>
      <c r="W720" s="405"/>
      <c r="AC720" s="83"/>
      <c r="AD720" s="405"/>
      <c r="AJ720" s="83"/>
      <c r="AK720" s="405"/>
      <c r="AQ720" s="83"/>
      <c r="AX720" s="83"/>
      <c r="BE720" s="83"/>
      <c r="BF720" s="405"/>
      <c r="BL720" s="83"/>
      <c r="BM720" s="405"/>
      <c r="BS720" s="83"/>
      <c r="BT720" s="405"/>
      <c r="BZ720" s="83"/>
      <c r="CA720" s="405"/>
      <c r="CG720" s="83"/>
    </row>
    <row r="721">
      <c r="B721" s="405"/>
      <c r="H721" s="83"/>
      <c r="I721" s="405"/>
      <c r="O721" s="83"/>
      <c r="P721" s="405"/>
      <c r="V721" s="83"/>
      <c r="W721" s="405"/>
      <c r="AC721" s="83"/>
      <c r="AD721" s="405"/>
      <c r="AJ721" s="83"/>
      <c r="AK721" s="405"/>
      <c r="AQ721" s="83"/>
      <c r="AX721" s="83"/>
      <c r="BE721" s="83"/>
      <c r="BF721" s="405"/>
      <c r="BL721" s="83"/>
      <c r="BM721" s="405"/>
      <c r="BS721" s="83"/>
      <c r="BT721" s="405"/>
      <c r="BZ721" s="83"/>
      <c r="CA721" s="405"/>
      <c r="CG721" s="83"/>
    </row>
    <row r="722">
      <c r="B722" s="405"/>
      <c r="H722" s="83"/>
      <c r="I722" s="405"/>
      <c r="O722" s="83"/>
      <c r="P722" s="405"/>
      <c r="V722" s="83"/>
      <c r="W722" s="405"/>
      <c r="AC722" s="83"/>
      <c r="AD722" s="405"/>
      <c r="AJ722" s="83"/>
      <c r="AK722" s="405"/>
      <c r="AQ722" s="83"/>
      <c r="AX722" s="83"/>
      <c r="BE722" s="83"/>
      <c r="BF722" s="405"/>
      <c r="BL722" s="83"/>
      <c r="BM722" s="405"/>
      <c r="BS722" s="83"/>
      <c r="BT722" s="405"/>
      <c r="BZ722" s="83"/>
      <c r="CA722" s="405"/>
      <c r="CG722" s="83"/>
    </row>
    <row r="723">
      <c r="B723" s="405"/>
      <c r="H723" s="83"/>
      <c r="I723" s="405"/>
      <c r="O723" s="83"/>
      <c r="P723" s="405"/>
      <c r="V723" s="83"/>
      <c r="W723" s="405"/>
      <c r="AC723" s="83"/>
      <c r="AD723" s="405"/>
      <c r="AJ723" s="83"/>
      <c r="AK723" s="405"/>
      <c r="AQ723" s="83"/>
      <c r="AX723" s="83"/>
      <c r="BE723" s="83"/>
      <c r="BF723" s="405"/>
      <c r="BL723" s="83"/>
      <c r="BM723" s="405"/>
      <c r="BS723" s="83"/>
      <c r="BT723" s="405"/>
      <c r="BZ723" s="83"/>
      <c r="CA723" s="405"/>
      <c r="CG723" s="83"/>
    </row>
    <row r="724">
      <c r="B724" s="405"/>
      <c r="H724" s="83"/>
      <c r="I724" s="405"/>
      <c r="O724" s="83"/>
      <c r="P724" s="405"/>
      <c r="V724" s="83"/>
      <c r="W724" s="405"/>
      <c r="AC724" s="83"/>
      <c r="AD724" s="405"/>
      <c r="AJ724" s="83"/>
      <c r="AK724" s="405"/>
      <c r="AQ724" s="83"/>
      <c r="AX724" s="83"/>
      <c r="BE724" s="83"/>
      <c r="BF724" s="405"/>
      <c r="BL724" s="83"/>
      <c r="BM724" s="405"/>
      <c r="BS724" s="83"/>
      <c r="BT724" s="405"/>
      <c r="BZ724" s="83"/>
      <c r="CA724" s="405"/>
      <c r="CG724" s="83"/>
    </row>
    <row r="725">
      <c r="B725" s="405"/>
      <c r="H725" s="83"/>
      <c r="I725" s="405"/>
      <c r="O725" s="83"/>
      <c r="P725" s="405"/>
      <c r="V725" s="83"/>
      <c r="W725" s="405"/>
      <c r="AC725" s="83"/>
      <c r="AD725" s="405"/>
      <c r="AJ725" s="83"/>
      <c r="AK725" s="405"/>
      <c r="AQ725" s="83"/>
      <c r="AX725" s="83"/>
      <c r="BE725" s="83"/>
      <c r="BF725" s="405"/>
      <c r="BL725" s="83"/>
      <c r="BM725" s="405"/>
      <c r="BS725" s="83"/>
      <c r="BT725" s="405"/>
      <c r="BZ725" s="83"/>
      <c r="CA725" s="405"/>
      <c r="CG725" s="83"/>
    </row>
    <row r="726">
      <c r="B726" s="405"/>
      <c r="H726" s="83"/>
      <c r="I726" s="405"/>
      <c r="O726" s="83"/>
      <c r="P726" s="405"/>
      <c r="V726" s="83"/>
      <c r="W726" s="405"/>
      <c r="AC726" s="83"/>
      <c r="AD726" s="405"/>
      <c r="AJ726" s="83"/>
      <c r="AK726" s="405"/>
      <c r="AQ726" s="83"/>
      <c r="AX726" s="83"/>
      <c r="BE726" s="83"/>
      <c r="BF726" s="405"/>
      <c r="BL726" s="83"/>
      <c r="BM726" s="405"/>
      <c r="BS726" s="83"/>
      <c r="BT726" s="405"/>
      <c r="BZ726" s="83"/>
      <c r="CA726" s="405"/>
      <c r="CG726" s="83"/>
    </row>
    <row r="727">
      <c r="B727" s="405"/>
      <c r="H727" s="83"/>
      <c r="I727" s="405"/>
      <c r="O727" s="83"/>
      <c r="P727" s="405"/>
      <c r="V727" s="83"/>
      <c r="W727" s="405"/>
      <c r="AC727" s="83"/>
      <c r="AD727" s="405"/>
      <c r="AJ727" s="83"/>
      <c r="AK727" s="405"/>
      <c r="AQ727" s="83"/>
      <c r="AX727" s="83"/>
      <c r="BE727" s="83"/>
      <c r="BF727" s="405"/>
      <c r="BL727" s="83"/>
      <c r="BM727" s="405"/>
      <c r="BS727" s="83"/>
      <c r="BT727" s="405"/>
      <c r="BZ727" s="83"/>
      <c r="CA727" s="405"/>
      <c r="CG727" s="83"/>
    </row>
    <row r="728">
      <c r="B728" s="405"/>
      <c r="H728" s="83"/>
      <c r="I728" s="405"/>
      <c r="O728" s="83"/>
      <c r="P728" s="405"/>
      <c r="V728" s="83"/>
      <c r="W728" s="405"/>
      <c r="AC728" s="83"/>
      <c r="AD728" s="405"/>
      <c r="AJ728" s="83"/>
      <c r="AK728" s="405"/>
      <c r="AQ728" s="83"/>
      <c r="AX728" s="83"/>
      <c r="BE728" s="83"/>
      <c r="BF728" s="405"/>
      <c r="BL728" s="83"/>
      <c r="BM728" s="405"/>
      <c r="BS728" s="83"/>
      <c r="BT728" s="405"/>
      <c r="BZ728" s="83"/>
      <c r="CA728" s="405"/>
      <c r="CG728" s="83"/>
    </row>
    <row r="729">
      <c r="B729" s="405"/>
      <c r="H729" s="83"/>
      <c r="I729" s="405"/>
      <c r="O729" s="83"/>
      <c r="P729" s="405"/>
      <c r="V729" s="83"/>
      <c r="W729" s="405"/>
      <c r="AC729" s="83"/>
      <c r="AD729" s="405"/>
      <c r="AJ729" s="83"/>
      <c r="AK729" s="405"/>
      <c r="AQ729" s="83"/>
      <c r="AX729" s="83"/>
      <c r="BE729" s="83"/>
      <c r="BF729" s="405"/>
      <c r="BL729" s="83"/>
      <c r="BM729" s="405"/>
      <c r="BS729" s="83"/>
      <c r="BT729" s="405"/>
      <c r="BZ729" s="83"/>
      <c r="CA729" s="405"/>
      <c r="CG729" s="83"/>
    </row>
    <row r="730">
      <c r="B730" s="405"/>
      <c r="H730" s="83"/>
      <c r="I730" s="405"/>
      <c r="O730" s="83"/>
      <c r="P730" s="405"/>
      <c r="V730" s="83"/>
      <c r="W730" s="405"/>
      <c r="AC730" s="83"/>
      <c r="AD730" s="405"/>
      <c r="AJ730" s="83"/>
      <c r="AK730" s="405"/>
      <c r="AQ730" s="83"/>
      <c r="AX730" s="83"/>
      <c r="BE730" s="83"/>
      <c r="BF730" s="405"/>
      <c r="BL730" s="83"/>
      <c r="BM730" s="405"/>
      <c r="BS730" s="83"/>
      <c r="BT730" s="405"/>
      <c r="BZ730" s="83"/>
      <c r="CA730" s="405"/>
      <c r="CG730" s="83"/>
    </row>
    <row r="731">
      <c r="B731" s="405"/>
      <c r="H731" s="83"/>
      <c r="I731" s="405"/>
      <c r="O731" s="83"/>
      <c r="P731" s="405"/>
      <c r="V731" s="83"/>
      <c r="W731" s="405"/>
      <c r="AC731" s="83"/>
      <c r="AD731" s="405"/>
      <c r="AJ731" s="83"/>
      <c r="AK731" s="405"/>
      <c r="AQ731" s="83"/>
      <c r="AX731" s="83"/>
      <c r="BE731" s="83"/>
      <c r="BF731" s="405"/>
      <c r="BL731" s="83"/>
      <c r="BM731" s="405"/>
      <c r="BS731" s="83"/>
      <c r="BT731" s="405"/>
      <c r="BZ731" s="83"/>
      <c r="CA731" s="405"/>
      <c r="CG731" s="83"/>
    </row>
    <row r="732">
      <c r="B732" s="405"/>
      <c r="H732" s="83"/>
      <c r="I732" s="405"/>
      <c r="O732" s="83"/>
      <c r="P732" s="405"/>
      <c r="V732" s="83"/>
      <c r="W732" s="405"/>
      <c r="AC732" s="83"/>
      <c r="AD732" s="405"/>
      <c r="AJ732" s="83"/>
      <c r="AK732" s="405"/>
      <c r="AQ732" s="83"/>
      <c r="AX732" s="83"/>
      <c r="BE732" s="83"/>
      <c r="BF732" s="405"/>
      <c r="BL732" s="83"/>
      <c r="BM732" s="405"/>
      <c r="BS732" s="83"/>
      <c r="BT732" s="405"/>
      <c r="BZ732" s="83"/>
      <c r="CA732" s="405"/>
      <c r="CG732" s="83"/>
    </row>
    <row r="733">
      <c r="B733" s="405"/>
      <c r="H733" s="83"/>
      <c r="I733" s="405"/>
      <c r="O733" s="83"/>
      <c r="P733" s="405"/>
      <c r="V733" s="83"/>
      <c r="W733" s="405"/>
      <c r="AC733" s="83"/>
      <c r="AD733" s="405"/>
      <c r="AJ733" s="83"/>
      <c r="AK733" s="405"/>
      <c r="AQ733" s="83"/>
      <c r="AX733" s="83"/>
      <c r="BE733" s="83"/>
      <c r="BF733" s="405"/>
      <c r="BL733" s="83"/>
      <c r="BM733" s="405"/>
      <c r="BS733" s="83"/>
      <c r="BT733" s="405"/>
      <c r="BZ733" s="83"/>
      <c r="CA733" s="405"/>
      <c r="CG733" s="83"/>
    </row>
    <row r="734">
      <c r="B734" s="405"/>
      <c r="H734" s="83"/>
      <c r="I734" s="405"/>
      <c r="O734" s="83"/>
      <c r="P734" s="405"/>
      <c r="V734" s="83"/>
      <c r="W734" s="405"/>
      <c r="AC734" s="83"/>
      <c r="AD734" s="405"/>
      <c r="AJ734" s="83"/>
      <c r="AK734" s="405"/>
      <c r="AQ734" s="83"/>
      <c r="AX734" s="83"/>
      <c r="BE734" s="83"/>
      <c r="BF734" s="405"/>
      <c r="BL734" s="83"/>
      <c r="BM734" s="405"/>
      <c r="BS734" s="83"/>
      <c r="BT734" s="405"/>
      <c r="BZ734" s="83"/>
      <c r="CA734" s="405"/>
      <c r="CG734" s="83"/>
    </row>
    <row r="735">
      <c r="B735" s="405"/>
      <c r="H735" s="83"/>
      <c r="I735" s="405"/>
      <c r="O735" s="83"/>
      <c r="P735" s="405"/>
      <c r="V735" s="83"/>
      <c r="W735" s="405"/>
      <c r="AC735" s="83"/>
      <c r="AD735" s="405"/>
      <c r="AJ735" s="83"/>
      <c r="AK735" s="405"/>
      <c r="AQ735" s="83"/>
      <c r="AX735" s="83"/>
      <c r="BE735" s="83"/>
      <c r="BF735" s="405"/>
      <c r="BL735" s="83"/>
      <c r="BM735" s="405"/>
      <c r="BS735" s="83"/>
      <c r="BT735" s="405"/>
      <c r="BZ735" s="83"/>
      <c r="CA735" s="405"/>
      <c r="CG735" s="83"/>
    </row>
    <row r="736">
      <c r="B736" s="405"/>
      <c r="H736" s="83"/>
      <c r="I736" s="405"/>
      <c r="O736" s="83"/>
      <c r="P736" s="405"/>
      <c r="V736" s="83"/>
      <c r="W736" s="405"/>
      <c r="AC736" s="83"/>
      <c r="AD736" s="405"/>
      <c r="AJ736" s="83"/>
      <c r="AK736" s="405"/>
      <c r="AQ736" s="83"/>
      <c r="AX736" s="83"/>
      <c r="BE736" s="83"/>
      <c r="BF736" s="405"/>
      <c r="BL736" s="83"/>
      <c r="BM736" s="405"/>
      <c r="BS736" s="83"/>
      <c r="BT736" s="405"/>
      <c r="BZ736" s="83"/>
      <c r="CA736" s="405"/>
      <c r="CG736" s="83"/>
    </row>
    <row r="737">
      <c r="B737" s="405"/>
      <c r="H737" s="83"/>
      <c r="I737" s="405"/>
      <c r="O737" s="83"/>
      <c r="P737" s="405"/>
      <c r="V737" s="83"/>
      <c r="W737" s="405"/>
      <c r="AC737" s="83"/>
      <c r="AD737" s="405"/>
      <c r="AJ737" s="83"/>
      <c r="AK737" s="405"/>
      <c r="AQ737" s="83"/>
      <c r="AX737" s="83"/>
      <c r="BE737" s="83"/>
      <c r="BF737" s="405"/>
      <c r="BL737" s="83"/>
      <c r="BM737" s="405"/>
      <c r="BS737" s="83"/>
      <c r="BT737" s="405"/>
      <c r="BZ737" s="83"/>
      <c r="CA737" s="405"/>
      <c r="CG737" s="83"/>
    </row>
    <row r="738">
      <c r="B738" s="405"/>
      <c r="H738" s="83"/>
      <c r="I738" s="405"/>
      <c r="O738" s="83"/>
      <c r="P738" s="405"/>
      <c r="V738" s="83"/>
      <c r="W738" s="405"/>
      <c r="AC738" s="83"/>
      <c r="AD738" s="405"/>
      <c r="AJ738" s="83"/>
      <c r="AK738" s="405"/>
      <c r="AQ738" s="83"/>
      <c r="AX738" s="83"/>
      <c r="BE738" s="83"/>
      <c r="BF738" s="405"/>
      <c r="BL738" s="83"/>
      <c r="BM738" s="405"/>
      <c r="BS738" s="83"/>
      <c r="BT738" s="405"/>
      <c r="BZ738" s="83"/>
      <c r="CA738" s="405"/>
      <c r="CG738" s="83"/>
    </row>
    <row r="739">
      <c r="B739" s="405"/>
      <c r="H739" s="83"/>
      <c r="I739" s="405"/>
      <c r="O739" s="83"/>
      <c r="P739" s="405"/>
      <c r="V739" s="83"/>
      <c r="W739" s="405"/>
      <c r="AC739" s="83"/>
      <c r="AD739" s="405"/>
      <c r="AJ739" s="83"/>
      <c r="AK739" s="405"/>
      <c r="AQ739" s="83"/>
      <c r="AX739" s="83"/>
      <c r="BE739" s="83"/>
      <c r="BF739" s="405"/>
      <c r="BL739" s="83"/>
      <c r="BM739" s="405"/>
      <c r="BS739" s="83"/>
      <c r="BT739" s="405"/>
      <c r="BZ739" s="83"/>
      <c r="CA739" s="405"/>
      <c r="CG739" s="83"/>
    </row>
    <row r="740">
      <c r="B740" s="405"/>
      <c r="H740" s="83"/>
      <c r="I740" s="405"/>
      <c r="O740" s="83"/>
      <c r="P740" s="405"/>
      <c r="V740" s="83"/>
      <c r="W740" s="405"/>
      <c r="AC740" s="83"/>
      <c r="AD740" s="405"/>
      <c r="AJ740" s="83"/>
      <c r="AK740" s="405"/>
      <c r="AQ740" s="83"/>
      <c r="AX740" s="83"/>
      <c r="BE740" s="83"/>
      <c r="BF740" s="405"/>
      <c r="BL740" s="83"/>
      <c r="BM740" s="405"/>
      <c r="BS740" s="83"/>
      <c r="BT740" s="405"/>
      <c r="BZ740" s="83"/>
      <c r="CA740" s="405"/>
      <c r="CG740" s="83"/>
    </row>
    <row r="741">
      <c r="B741" s="405"/>
      <c r="H741" s="83"/>
      <c r="I741" s="405"/>
      <c r="O741" s="83"/>
      <c r="P741" s="405"/>
      <c r="V741" s="83"/>
      <c r="W741" s="405"/>
      <c r="AC741" s="83"/>
      <c r="AD741" s="405"/>
      <c r="AJ741" s="83"/>
      <c r="AK741" s="405"/>
      <c r="AQ741" s="83"/>
      <c r="AX741" s="83"/>
      <c r="BE741" s="83"/>
      <c r="BF741" s="405"/>
      <c r="BL741" s="83"/>
      <c r="BM741" s="405"/>
      <c r="BS741" s="83"/>
      <c r="BT741" s="405"/>
      <c r="BZ741" s="83"/>
      <c r="CA741" s="405"/>
      <c r="CG741" s="83"/>
    </row>
    <row r="742">
      <c r="B742" s="405"/>
      <c r="H742" s="83"/>
      <c r="I742" s="405"/>
      <c r="O742" s="83"/>
      <c r="P742" s="405"/>
      <c r="V742" s="83"/>
      <c r="W742" s="405"/>
      <c r="AC742" s="83"/>
      <c r="AD742" s="405"/>
      <c r="AJ742" s="83"/>
      <c r="AK742" s="405"/>
      <c r="AQ742" s="83"/>
      <c r="AX742" s="83"/>
      <c r="BE742" s="83"/>
      <c r="BF742" s="405"/>
      <c r="BL742" s="83"/>
      <c r="BM742" s="405"/>
      <c r="BS742" s="83"/>
      <c r="BT742" s="405"/>
      <c r="BZ742" s="83"/>
      <c r="CA742" s="405"/>
      <c r="CG742" s="83"/>
    </row>
    <row r="743">
      <c r="B743" s="405"/>
      <c r="H743" s="83"/>
      <c r="I743" s="405"/>
      <c r="O743" s="83"/>
      <c r="P743" s="405"/>
      <c r="V743" s="83"/>
      <c r="W743" s="405"/>
      <c r="AC743" s="83"/>
      <c r="AD743" s="405"/>
      <c r="AJ743" s="83"/>
      <c r="AK743" s="405"/>
      <c r="AQ743" s="83"/>
      <c r="AX743" s="83"/>
      <c r="BE743" s="83"/>
      <c r="BF743" s="405"/>
      <c r="BL743" s="83"/>
      <c r="BM743" s="405"/>
      <c r="BS743" s="83"/>
      <c r="BT743" s="405"/>
      <c r="BZ743" s="83"/>
      <c r="CA743" s="405"/>
      <c r="CG743" s="83"/>
    </row>
    <row r="744">
      <c r="B744" s="405"/>
      <c r="H744" s="83"/>
      <c r="I744" s="405"/>
      <c r="O744" s="83"/>
      <c r="P744" s="405"/>
      <c r="V744" s="83"/>
      <c r="W744" s="405"/>
      <c r="AC744" s="83"/>
      <c r="AD744" s="405"/>
      <c r="AJ744" s="83"/>
      <c r="AK744" s="405"/>
      <c r="AQ744" s="83"/>
      <c r="AX744" s="83"/>
      <c r="BE744" s="83"/>
      <c r="BF744" s="405"/>
      <c r="BL744" s="83"/>
      <c r="BM744" s="405"/>
      <c r="BS744" s="83"/>
      <c r="BT744" s="405"/>
      <c r="BZ744" s="83"/>
      <c r="CA744" s="405"/>
      <c r="CG744" s="83"/>
    </row>
    <row r="745">
      <c r="B745" s="405"/>
      <c r="H745" s="83"/>
      <c r="I745" s="405"/>
      <c r="O745" s="83"/>
      <c r="P745" s="405"/>
      <c r="V745" s="83"/>
      <c r="W745" s="405"/>
      <c r="AC745" s="83"/>
      <c r="AD745" s="405"/>
      <c r="AJ745" s="83"/>
      <c r="AK745" s="405"/>
      <c r="AQ745" s="83"/>
      <c r="AX745" s="83"/>
      <c r="BE745" s="83"/>
      <c r="BF745" s="405"/>
      <c r="BL745" s="83"/>
      <c r="BM745" s="405"/>
      <c r="BS745" s="83"/>
      <c r="BT745" s="405"/>
      <c r="BZ745" s="83"/>
      <c r="CA745" s="405"/>
      <c r="CG745" s="83"/>
    </row>
    <row r="746">
      <c r="B746" s="405"/>
      <c r="H746" s="83"/>
      <c r="I746" s="405"/>
      <c r="O746" s="83"/>
      <c r="P746" s="405"/>
      <c r="V746" s="83"/>
      <c r="W746" s="405"/>
      <c r="AC746" s="83"/>
      <c r="AD746" s="405"/>
      <c r="AJ746" s="83"/>
      <c r="AK746" s="405"/>
      <c r="AQ746" s="83"/>
      <c r="AX746" s="83"/>
      <c r="BE746" s="83"/>
      <c r="BF746" s="405"/>
      <c r="BL746" s="83"/>
      <c r="BM746" s="405"/>
      <c r="BS746" s="83"/>
      <c r="BT746" s="405"/>
      <c r="BZ746" s="83"/>
      <c r="CA746" s="405"/>
      <c r="CG746" s="83"/>
    </row>
    <row r="747">
      <c r="B747" s="405"/>
      <c r="H747" s="83"/>
      <c r="I747" s="405"/>
      <c r="O747" s="83"/>
      <c r="P747" s="405"/>
      <c r="V747" s="83"/>
      <c r="W747" s="405"/>
      <c r="AC747" s="83"/>
      <c r="AD747" s="405"/>
      <c r="AJ747" s="83"/>
      <c r="AK747" s="405"/>
      <c r="AQ747" s="83"/>
      <c r="AX747" s="83"/>
      <c r="BE747" s="83"/>
      <c r="BF747" s="405"/>
      <c r="BL747" s="83"/>
      <c r="BM747" s="405"/>
      <c r="BS747" s="83"/>
      <c r="BT747" s="405"/>
      <c r="BZ747" s="83"/>
      <c r="CA747" s="405"/>
      <c r="CG747" s="83"/>
    </row>
    <row r="748">
      <c r="B748" s="405"/>
      <c r="H748" s="83"/>
      <c r="I748" s="405"/>
      <c r="O748" s="83"/>
      <c r="P748" s="405"/>
      <c r="V748" s="83"/>
      <c r="W748" s="405"/>
      <c r="AC748" s="83"/>
      <c r="AD748" s="405"/>
      <c r="AJ748" s="83"/>
      <c r="AK748" s="405"/>
      <c r="AQ748" s="83"/>
      <c r="AX748" s="83"/>
      <c r="BE748" s="83"/>
      <c r="BF748" s="405"/>
      <c r="BL748" s="83"/>
      <c r="BM748" s="405"/>
      <c r="BS748" s="83"/>
      <c r="BT748" s="405"/>
      <c r="BZ748" s="83"/>
      <c r="CA748" s="405"/>
      <c r="CG748" s="83"/>
    </row>
    <row r="749">
      <c r="B749" s="405"/>
      <c r="H749" s="83"/>
      <c r="I749" s="405"/>
      <c r="O749" s="83"/>
      <c r="P749" s="405"/>
      <c r="V749" s="83"/>
      <c r="W749" s="405"/>
      <c r="AC749" s="83"/>
      <c r="AD749" s="405"/>
      <c r="AJ749" s="83"/>
      <c r="AK749" s="405"/>
      <c r="AQ749" s="83"/>
      <c r="AX749" s="83"/>
      <c r="BE749" s="83"/>
      <c r="BF749" s="405"/>
      <c r="BL749" s="83"/>
      <c r="BM749" s="405"/>
      <c r="BS749" s="83"/>
      <c r="BT749" s="405"/>
      <c r="BZ749" s="83"/>
      <c r="CA749" s="405"/>
      <c r="CG749" s="83"/>
    </row>
    <row r="750">
      <c r="B750" s="405"/>
      <c r="H750" s="83"/>
      <c r="I750" s="405"/>
      <c r="O750" s="83"/>
      <c r="P750" s="405"/>
      <c r="V750" s="83"/>
      <c r="W750" s="405"/>
      <c r="AC750" s="83"/>
      <c r="AD750" s="405"/>
      <c r="AJ750" s="83"/>
      <c r="AK750" s="405"/>
      <c r="AQ750" s="83"/>
      <c r="AX750" s="83"/>
      <c r="BE750" s="83"/>
      <c r="BF750" s="405"/>
      <c r="BL750" s="83"/>
      <c r="BM750" s="405"/>
      <c r="BS750" s="83"/>
      <c r="BT750" s="405"/>
      <c r="BZ750" s="83"/>
      <c r="CA750" s="405"/>
      <c r="CG750" s="83"/>
    </row>
    <row r="751">
      <c r="B751" s="405"/>
      <c r="H751" s="83"/>
      <c r="I751" s="405"/>
      <c r="O751" s="83"/>
      <c r="P751" s="405"/>
      <c r="V751" s="83"/>
      <c r="W751" s="405"/>
      <c r="AC751" s="83"/>
      <c r="AD751" s="405"/>
      <c r="AJ751" s="83"/>
      <c r="AK751" s="405"/>
      <c r="AQ751" s="83"/>
      <c r="AX751" s="83"/>
      <c r="BE751" s="83"/>
      <c r="BF751" s="405"/>
      <c r="BL751" s="83"/>
      <c r="BM751" s="405"/>
      <c r="BS751" s="83"/>
      <c r="BT751" s="405"/>
      <c r="BZ751" s="83"/>
      <c r="CA751" s="405"/>
      <c r="CG751" s="83"/>
    </row>
    <row r="752">
      <c r="B752" s="405"/>
      <c r="H752" s="83"/>
      <c r="I752" s="405"/>
      <c r="O752" s="83"/>
      <c r="P752" s="405"/>
      <c r="V752" s="83"/>
      <c r="W752" s="405"/>
      <c r="AC752" s="83"/>
      <c r="AD752" s="405"/>
      <c r="AJ752" s="83"/>
      <c r="AK752" s="405"/>
      <c r="AQ752" s="83"/>
      <c r="AX752" s="83"/>
      <c r="BE752" s="83"/>
      <c r="BF752" s="405"/>
      <c r="BL752" s="83"/>
      <c r="BM752" s="405"/>
      <c r="BS752" s="83"/>
      <c r="BT752" s="405"/>
      <c r="BZ752" s="83"/>
      <c r="CA752" s="405"/>
      <c r="CG752" s="83"/>
    </row>
    <row r="753">
      <c r="B753" s="405"/>
      <c r="H753" s="83"/>
      <c r="I753" s="405"/>
      <c r="O753" s="83"/>
      <c r="P753" s="405"/>
      <c r="V753" s="83"/>
      <c r="W753" s="405"/>
      <c r="AC753" s="83"/>
      <c r="AD753" s="405"/>
      <c r="AJ753" s="83"/>
      <c r="AK753" s="405"/>
      <c r="AQ753" s="83"/>
      <c r="AX753" s="83"/>
      <c r="BE753" s="83"/>
      <c r="BF753" s="405"/>
      <c r="BL753" s="83"/>
      <c r="BM753" s="405"/>
      <c r="BS753" s="83"/>
      <c r="BT753" s="405"/>
      <c r="BZ753" s="83"/>
      <c r="CA753" s="405"/>
      <c r="CG753" s="83"/>
    </row>
    <row r="754">
      <c r="B754" s="405"/>
      <c r="H754" s="83"/>
      <c r="I754" s="405"/>
      <c r="O754" s="83"/>
      <c r="P754" s="405"/>
      <c r="V754" s="83"/>
      <c r="W754" s="405"/>
      <c r="AC754" s="83"/>
      <c r="AD754" s="405"/>
      <c r="AJ754" s="83"/>
      <c r="AK754" s="405"/>
      <c r="AQ754" s="83"/>
      <c r="AX754" s="83"/>
      <c r="BE754" s="83"/>
      <c r="BF754" s="405"/>
      <c r="BL754" s="83"/>
      <c r="BM754" s="405"/>
      <c r="BS754" s="83"/>
      <c r="BT754" s="405"/>
      <c r="BZ754" s="83"/>
      <c r="CA754" s="405"/>
      <c r="CG754" s="83"/>
    </row>
    <row r="755">
      <c r="B755" s="405"/>
      <c r="H755" s="83"/>
      <c r="I755" s="405"/>
      <c r="O755" s="83"/>
      <c r="P755" s="405"/>
      <c r="V755" s="83"/>
      <c r="W755" s="405"/>
      <c r="AC755" s="83"/>
      <c r="AD755" s="405"/>
      <c r="AJ755" s="83"/>
      <c r="AK755" s="405"/>
      <c r="AQ755" s="83"/>
      <c r="AX755" s="83"/>
      <c r="BE755" s="83"/>
      <c r="BF755" s="405"/>
      <c r="BL755" s="83"/>
      <c r="BM755" s="405"/>
      <c r="BS755" s="83"/>
      <c r="BT755" s="405"/>
      <c r="BZ755" s="83"/>
      <c r="CA755" s="405"/>
      <c r="CG755" s="83"/>
    </row>
    <row r="756">
      <c r="B756" s="405"/>
      <c r="H756" s="83"/>
      <c r="I756" s="405"/>
      <c r="O756" s="83"/>
      <c r="P756" s="405"/>
      <c r="V756" s="83"/>
      <c r="W756" s="405"/>
      <c r="AC756" s="83"/>
      <c r="AD756" s="405"/>
      <c r="AJ756" s="83"/>
      <c r="AK756" s="405"/>
      <c r="AQ756" s="83"/>
      <c r="AX756" s="83"/>
      <c r="BE756" s="83"/>
      <c r="BF756" s="405"/>
      <c r="BL756" s="83"/>
      <c r="BM756" s="405"/>
      <c r="BS756" s="83"/>
      <c r="BT756" s="405"/>
      <c r="BZ756" s="83"/>
      <c r="CA756" s="405"/>
      <c r="CG756" s="83"/>
    </row>
    <row r="757">
      <c r="B757" s="405"/>
      <c r="H757" s="83"/>
      <c r="I757" s="405"/>
      <c r="O757" s="83"/>
      <c r="P757" s="405"/>
      <c r="V757" s="83"/>
      <c r="W757" s="405"/>
      <c r="AC757" s="83"/>
      <c r="AD757" s="405"/>
      <c r="AJ757" s="83"/>
      <c r="AK757" s="405"/>
      <c r="AQ757" s="83"/>
      <c r="AX757" s="83"/>
      <c r="BE757" s="83"/>
      <c r="BF757" s="405"/>
      <c r="BL757" s="83"/>
      <c r="BM757" s="405"/>
      <c r="BS757" s="83"/>
      <c r="BT757" s="405"/>
      <c r="BZ757" s="83"/>
      <c r="CA757" s="405"/>
      <c r="CG757" s="83"/>
    </row>
    <row r="758">
      <c r="B758" s="405"/>
      <c r="H758" s="83"/>
      <c r="I758" s="405"/>
      <c r="O758" s="83"/>
      <c r="P758" s="405"/>
      <c r="V758" s="83"/>
      <c r="W758" s="405"/>
      <c r="AC758" s="83"/>
      <c r="AD758" s="405"/>
      <c r="AJ758" s="83"/>
      <c r="AK758" s="405"/>
      <c r="AQ758" s="83"/>
      <c r="AX758" s="83"/>
      <c r="BE758" s="83"/>
      <c r="BF758" s="405"/>
      <c r="BL758" s="83"/>
      <c r="BM758" s="405"/>
      <c r="BS758" s="83"/>
      <c r="BT758" s="405"/>
      <c r="BZ758" s="83"/>
      <c r="CA758" s="405"/>
      <c r="CG758" s="83"/>
    </row>
    <row r="759">
      <c r="B759" s="405"/>
      <c r="H759" s="83"/>
      <c r="I759" s="405"/>
      <c r="O759" s="83"/>
      <c r="P759" s="405"/>
      <c r="V759" s="83"/>
      <c r="W759" s="405"/>
      <c r="AC759" s="83"/>
      <c r="AD759" s="405"/>
      <c r="AJ759" s="83"/>
      <c r="AK759" s="405"/>
      <c r="AQ759" s="83"/>
      <c r="AX759" s="83"/>
      <c r="BE759" s="83"/>
      <c r="BF759" s="405"/>
      <c r="BL759" s="83"/>
      <c r="BM759" s="405"/>
      <c r="BS759" s="83"/>
      <c r="BT759" s="405"/>
      <c r="BZ759" s="83"/>
      <c r="CA759" s="405"/>
      <c r="CG759" s="83"/>
    </row>
    <row r="760">
      <c r="B760" s="405"/>
      <c r="H760" s="83"/>
      <c r="I760" s="405"/>
      <c r="O760" s="83"/>
      <c r="P760" s="405"/>
      <c r="V760" s="83"/>
      <c r="W760" s="405"/>
      <c r="AC760" s="83"/>
      <c r="AD760" s="405"/>
      <c r="AJ760" s="83"/>
      <c r="AK760" s="405"/>
      <c r="AQ760" s="83"/>
      <c r="AX760" s="83"/>
      <c r="BE760" s="83"/>
      <c r="BF760" s="405"/>
      <c r="BL760" s="83"/>
      <c r="BM760" s="405"/>
      <c r="BS760" s="83"/>
      <c r="BT760" s="405"/>
      <c r="BZ760" s="83"/>
      <c r="CA760" s="405"/>
      <c r="CG760" s="83"/>
    </row>
    <row r="761">
      <c r="B761" s="405"/>
      <c r="H761" s="83"/>
      <c r="I761" s="405"/>
      <c r="O761" s="83"/>
      <c r="P761" s="405"/>
      <c r="V761" s="83"/>
      <c r="W761" s="405"/>
      <c r="AC761" s="83"/>
      <c r="AD761" s="405"/>
      <c r="AJ761" s="83"/>
      <c r="AK761" s="405"/>
      <c r="AQ761" s="83"/>
      <c r="AX761" s="83"/>
      <c r="BE761" s="83"/>
      <c r="BF761" s="405"/>
      <c r="BL761" s="83"/>
      <c r="BM761" s="405"/>
      <c r="BS761" s="83"/>
      <c r="BT761" s="405"/>
      <c r="BZ761" s="83"/>
      <c r="CA761" s="405"/>
      <c r="CG761" s="83"/>
    </row>
    <row r="762">
      <c r="B762" s="405"/>
      <c r="H762" s="83"/>
      <c r="I762" s="405"/>
      <c r="O762" s="83"/>
      <c r="P762" s="405"/>
      <c r="V762" s="83"/>
      <c r="W762" s="405"/>
      <c r="AC762" s="83"/>
      <c r="AD762" s="405"/>
      <c r="AJ762" s="83"/>
      <c r="AK762" s="405"/>
      <c r="AQ762" s="83"/>
      <c r="AX762" s="83"/>
      <c r="BE762" s="83"/>
      <c r="BF762" s="405"/>
      <c r="BL762" s="83"/>
      <c r="BM762" s="405"/>
      <c r="BS762" s="83"/>
      <c r="BT762" s="405"/>
      <c r="BZ762" s="83"/>
      <c r="CA762" s="405"/>
      <c r="CG762" s="83"/>
    </row>
    <row r="763">
      <c r="B763" s="405"/>
      <c r="H763" s="83"/>
      <c r="I763" s="405"/>
      <c r="O763" s="83"/>
      <c r="P763" s="405"/>
      <c r="V763" s="83"/>
      <c r="W763" s="405"/>
      <c r="AC763" s="83"/>
      <c r="AD763" s="405"/>
      <c r="AJ763" s="83"/>
      <c r="AK763" s="405"/>
      <c r="AQ763" s="83"/>
      <c r="AX763" s="83"/>
      <c r="BE763" s="83"/>
      <c r="BF763" s="405"/>
      <c r="BL763" s="83"/>
      <c r="BM763" s="405"/>
      <c r="BS763" s="83"/>
      <c r="BT763" s="405"/>
      <c r="BZ763" s="83"/>
      <c r="CA763" s="405"/>
      <c r="CG763" s="83"/>
    </row>
    <row r="764">
      <c r="B764" s="405"/>
      <c r="H764" s="83"/>
      <c r="I764" s="405"/>
      <c r="O764" s="83"/>
      <c r="P764" s="405"/>
      <c r="V764" s="83"/>
      <c r="W764" s="405"/>
      <c r="AC764" s="83"/>
      <c r="AD764" s="405"/>
      <c r="AJ764" s="83"/>
      <c r="AK764" s="405"/>
      <c r="AQ764" s="83"/>
      <c r="AX764" s="83"/>
      <c r="BE764" s="83"/>
      <c r="BF764" s="405"/>
      <c r="BL764" s="83"/>
      <c r="BM764" s="405"/>
      <c r="BS764" s="83"/>
      <c r="BT764" s="405"/>
      <c r="BZ764" s="83"/>
      <c r="CA764" s="405"/>
      <c r="CG764" s="83"/>
    </row>
    <row r="765">
      <c r="B765" s="405"/>
      <c r="H765" s="83"/>
      <c r="I765" s="405"/>
      <c r="O765" s="83"/>
      <c r="P765" s="405"/>
      <c r="V765" s="83"/>
      <c r="W765" s="405"/>
      <c r="AC765" s="83"/>
      <c r="AD765" s="405"/>
      <c r="AJ765" s="83"/>
      <c r="AK765" s="405"/>
      <c r="AQ765" s="83"/>
      <c r="AX765" s="83"/>
      <c r="BE765" s="83"/>
      <c r="BF765" s="405"/>
      <c r="BL765" s="83"/>
      <c r="BM765" s="405"/>
      <c r="BS765" s="83"/>
      <c r="BT765" s="405"/>
      <c r="BZ765" s="83"/>
      <c r="CA765" s="405"/>
      <c r="CG765" s="83"/>
    </row>
    <row r="766">
      <c r="B766" s="405"/>
      <c r="H766" s="83"/>
      <c r="I766" s="405"/>
      <c r="O766" s="83"/>
      <c r="P766" s="405"/>
      <c r="V766" s="83"/>
      <c r="W766" s="405"/>
      <c r="AC766" s="83"/>
      <c r="AD766" s="405"/>
      <c r="AJ766" s="83"/>
      <c r="AK766" s="405"/>
      <c r="AQ766" s="83"/>
      <c r="AX766" s="83"/>
      <c r="BE766" s="83"/>
      <c r="BF766" s="405"/>
      <c r="BL766" s="83"/>
      <c r="BM766" s="405"/>
      <c r="BS766" s="83"/>
      <c r="BT766" s="405"/>
      <c r="BZ766" s="83"/>
      <c r="CA766" s="405"/>
      <c r="CG766" s="83"/>
    </row>
    <row r="767">
      <c r="B767" s="405"/>
      <c r="H767" s="83"/>
      <c r="I767" s="405"/>
      <c r="O767" s="83"/>
      <c r="P767" s="405"/>
      <c r="V767" s="83"/>
      <c r="W767" s="405"/>
      <c r="AC767" s="83"/>
      <c r="AD767" s="405"/>
      <c r="AJ767" s="83"/>
      <c r="AK767" s="405"/>
      <c r="AQ767" s="83"/>
      <c r="AX767" s="83"/>
      <c r="BE767" s="83"/>
      <c r="BF767" s="405"/>
      <c r="BL767" s="83"/>
      <c r="BM767" s="405"/>
      <c r="BS767" s="83"/>
      <c r="BT767" s="405"/>
      <c r="BZ767" s="83"/>
      <c r="CA767" s="405"/>
      <c r="CG767" s="83"/>
    </row>
    <row r="768">
      <c r="B768" s="405"/>
      <c r="H768" s="83"/>
      <c r="I768" s="405"/>
      <c r="O768" s="83"/>
      <c r="P768" s="405"/>
      <c r="V768" s="83"/>
      <c r="W768" s="405"/>
      <c r="AC768" s="83"/>
      <c r="AD768" s="405"/>
      <c r="AJ768" s="83"/>
      <c r="AK768" s="405"/>
      <c r="AQ768" s="83"/>
      <c r="AX768" s="83"/>
      <c r="BE768" s="83"/>
      <c r="BF768" s="405"/>
      <c r="BL768" s="83"/>
      <c r="BM768" s="405"/>
      <c r="BS768" s="83"/>
      <c r="BT768" s="405"/>
      <c r="BZ768" s="83"/>
      <c r="CA768" s="405"/>
      <c r="CG768" s="83"/>
    </row>
    <row r="769">
      <c r="B769" s="405"/>
      <c r="H769" s="83"/>
      <c r="I769" s="405"/>
      <c r="O769" s="83"/>
      <c r="P769" s="405"/>
      <c r="V769" s="83"/>
      <c r="W769" s="405"/>
      <c r="AC769" s="83"/>
      <c r="AD769" s="405"/>
      <c r="AJ769" s="83"/>
      <c r="AK769" s="405"/>
      <c r="AQ769" s="83"/>
      <c r="AX769" s="83"/>
      <c r="BE769" s="83"/>
      <c r="BF769" s="405"/>
      <c r="BL769" s="83"/>
      <c r="BM769" s="405"/>
      <c r="BS769" s="83"/>
      <c r="BT769" s="405"/>
      <c r="BZ769" s="83"/>
      <c r="CA769" s="405"/>
      <c r="CG769" s="83"/>
    </row>
    <row r="770">
      <c r="B770" s="405"/>
      <c r="H770" s="83"/>
      <c r="I770" s="405"/>
      <c r="O770" s="83"/>
      <c r="P770" s="405"/>
      <c r="V770" s="83"/>
      <c r="W770" s="405"/>
      <c r="AC770" s="83"/>
      <c r="AD770" s="405"/>
      <c r="AJ770" s="83"/>
      <c r="AK770" s="405"/>
      <c r="AQ770" s="83"/>
      <c r="AX770" s="83"/>
      <c r="BE770" s="83"/>
      <c r="BF770" s="405"/>
      <c r="BL770" s="83"/>
      <c r="BM770" s="405"/>
      <c r="BS770" s="83"/>
      <c r="BT770" s="405"/>
      <c r="BZ770" s="83"/>
      <c r="CA770" s="405"/>
      <c r="CG770" s="83"/>
    </row>
    <row r="771">
      <c r="B771" s="405"/>
      <c r="H771" s="83"/>
      <c r="I771" s="405"/>
      <c r="O771" s="83"/>
      <c r="P771" s="405"/>
      <c r="V771" s="83"/>
      <c r="W771" s="405"/>
      <c r="AC771" s="83"/>
      <c r="AD771" s="405"/>
      <c r="AJ771" s="83"/>
      <c r="AK771" s="405"/>
      <c r="AQ771" s="83"/>
      <c r="AX771" s="83"/>
      <c r="BE771" s="83"/>
      <c r="BF771" s="405"/>
      <c r="BL771" s="83"/>
      <c r="BM771" s="405"/>
      <c r="BS771" s="83"/>
      <c r="BT771" s="405"/>
      <c r="BZ771" s="83"/>
      <c r="CA771" s="405"/>
      <c r="CG771" s="83"/>
    </row>
    <row r="772">
      <c r="B772" s="405"/>
      <c r="H772" s="83"/>
      <c r="I772" s="405"/>
      <c r="O772" s="83"/>
      <c r="P772" s="405"/>
      <c r="V772" s="83"/>
      <c r="W772" s="405"/>
      <c r="AC772" s="83"/>
      <c r="AD772" s="405"/>
      <c r="AJ772" s="83"/>
      <c r="AK772" s="405"/>
      <c r="AQ772" s="83"/>
      <c r="AX772" s="83"/>
      <c r="BE772" s="83"/>
      <c r="BF772" s="405"/>
      <c r="BL772" s="83"/>
      <c r="BM772" s="405"/>
      <c r="BS772" s="83"/>
      <c r="BT772" s="405"/>
      <c r="BZ772" s="83"/>
      <c r="CA772" s="405"/>
      <c r="CG772" s="83"/>
    </row>
    <row r="773">
      <c r="B773" s="405"/>
      <c r="H773" s="83"/>
      <c r="I773" s="405"/>
      <c r="O773" s="83"/>
      <c r="P773" s="405"/>
      <c r="V773" s="83"/>
      <c r="W773" s="405"/>
      <c r="AC773" s="83"/>
      <c r="AD773" s="405"/>
      <c r="AJ773" s="83"/>
      <c r="AK773" s="405"/>
      <c r="AQ773" s="83"/>
      <c r="AX773" s="83"/>
      <c r="BE773" s="83"/>
      <c r="BF773" s="405"/>
      <c r="BL773" s="83"/>
      <c r="BM773" s="405"/>
      <c r="BS773" s="83"/>
      <c r="BT773" s="405"/>
      <c r="BZ773" s="83"/>
      <c r="CA773" s="405"/>
      <c r="CG773" s="83"/>
    </row>
    <row r="774">
      <c r="B774" s="405"/>
      <c r="H774" s="83"/>
      <c r="I774" s="405"/>
      <c r="O774" s="83"/>
      <c r="P774" s="405"/>
      <c r="V774" s="83"/>
      <c r="W774" s="405"/>
      <c r="AC774" s="83"/>
      <c r="AD774" s="405"/>
      <c r="AJ774" s="83"/>
      <c r="AK774" s="405"/>
      <c r="AQ774" s="83"/>
      <c r="AX774" s="83"/>
      <c r="BE774" s="83"/>
      <c r="BF774" s="405"/>
      <c r="BL774" s="83"/>
      <c r="BM774" s="405"/>
      <c r="BS774" s="83"/>
      <c r="BT774" s="405"/>
      <c r="BZ774" s="83"/>
      <c r="CA774" s="405"/>
      <c r="CG774" s="83"/>
    </row>
    <row r="775">
      <c r="B775" s="405"/>
      <c r="H775" s="83"/>
      <c r="I775" s="405"/>
      <c r="O775" s="83"/>
      <c r="P775" s="405"/>
      <c r="V775" s="83"/>
      <c r="W775" s="405"/>
      <c r="AC775" s="83"/>
      <c r="AD775" s="405"/>
      <c r="AJ775" s="83"/>
      <c r="AK775" s="405"/>
      <c r="AQ775" s="83"/>
      <c r="AX775" s="83"/>
      <c r="BE775" s="83"/>
      <c r="BF775" s="405"/>
      <c r="BL775" s="83"/>
      <c r="BM775" s="405"/>
      <c r="BS775" s="83"/>
      <c r="BT775" s="405"/>
      <c r="BZ775" s="83"/>
      <c r="CA775" s="405"/>
      <c r="CG775" s="83"/>
    </row>
    <row r="776">
      <c r="B776" s="405"/>
      <c r="H776" s="83"/>
      <c r="I776" s="405"/>
      <c r="O776" s="83"/>
      <c r="P776" s="405"/>
      <c r="V776" s="83"/>
      <c r="W776" s="405"/>
      <c r="AC776" s="83"/>
      <c r="AD776" s="405"/>
      <c r="AJ776" s="83"/>
      <c r="AK776" s="405"/>
      <c r="AQ776" s="83"/>
      <c r="AX776" s="83"/>
      <c r="BE776" s="83"/>
      <c r="BF776" s="405"/>
      <c r="BL776" s="83"/>
      <c r="BM776" s="405"/>
      <c r="BS776" s="83"/>
      <c r="BT776" s="405"/>
      <c r="BZ776" s="83"/>
      <c r="CA776" s="405"/>
      <c r="CG776" s="83"/>
    </row>
    <row r="777">
      <c r="B777" s="405"/>
      <c r="H777" s="83"/>
      <c r="I777" s="405"/>
      <c r="O777" s="83"/>
      <c r="P777" s="405"/>
      <c r="V777" s="83"/>
      <c r="W777" s="405"/>
      <c r="AC777" s="83"/>
      <c r="AD777" s="405"/>
      <c r="AJ777" s="83"/>
      <c r="AK777" s="405"/>
      <c r="AQ777" s="83"/>
      <c r="AX777" s="83"/>
      <c r="BE777" s="83"/>
      <c r="BF777" s="405"/>
      <c r="BL777" s="83"/>
      <c r="BM777" s="405"/>
      <c r="BS777" s="83"/>
      <c r="BT777" s="405"/>
      <c r="BZ777" s="83"/>
      <c r="CA777" s="405"/>
      <c r="CG777" s="83"/>
    </row>
    <row r="778">
      <c r="B778" s="405"/>
      <c r="H778" s="83"/>
      <c r="I778" s="405"/>
      <c r="O778" s="83"/>
      <c r="P778" s="405"/>
      <c r="V778" s="83"/>
      <c r="W778" s="405"/>
      <c r="AC778" s="83"/>
      <c r="AD778" s="405"/>
      <c r="AJ778" s="83"/>
      <c r="AK778" s="405"/>
      <c r="AQ778" s="83"/>
      <c r="AX778" s="83"/>
      <c r="BE778" s="83"/>
      <c r="BF778" s="405"/>
      <c r="BL778" s="83"/>
      <c r="BM778" s="405"/>
      <c r="BS778" s="83"/>
      <c r="BT778" s="405"/>
      <c r="BZ778" s="83"/>
      <c r="CA778" s="405"/>
      <c r="CG778" s="83"/>
    </row>
    <row r="779">
      <c r="B779" s="405"/>
      <c r="H779" s="83"/>
      <c r="I779" s="405"/>
      <c r="O779" s="83"/>
      <c r="P779" s="405"/>
      <c r="V779" s="83"/>
      <c r="W779" s="405"/>
      <c r="AC779" s="83"/>
      <c r="AD779" s="405"/>
      <c r="AJ779" s="83"/>
      <c r="AK779" s="405"/>
      <c r="AQ779" s="83"/>
      <c r="AX779" s="83"/>
      <c r="BE779" s="83"/>
      <c r="BF779" s="405"/>
      <c r="BL779" s="83"/>
      <c r="BM779" s="405"/>
      <c r="BS779" s="83"/>
      <c r="BT779" s="405"/>
      <c r="BZ779" s="83"/>
      <c r="CA779" s="405"/>
      <c r="CG779" s="83"/>
    </row>
    <row r="780">
      <c r="B780" s="405"/>
      <c r="H780" s="83"/>
      <c r="I780" s="405"/>
      <c r="O780" s="83"/>
      <c r="P780" s="405"/>
      <c r="V780" s="83"/>
      <c r="W780" s="405"/>
      <c r="AC780" s="83"/>
      <c r="AD780" s="405"/>
      <c r="AJ780" s="83"/>
      <c r="AK780" s="405"/>
      <c r="AQ780" s="83"/>
      <c r="AX780" s="83"/>
      <c r="BE780" s="83"/>
      <c r="BF780" s="405"/>
      <c r="BL780" s="83"/>
      <c r="BM780" s="405"/>
      <c r="BS780" s="83"/>
      <c r="BT780" s="405"/>
      <c r="BZ780" s="83"/>
      <c r="CA780" s="405"/>
      <c r="CG780" s="83"/>
    </row>
    <row r="781">
      <c r="B781" s="405"/>
      <c r="H781" s="83"/>
      <c r="I781" s="405"/>
      <c r="O781" s="83"/>
      <c r="P781" s="405"/>
      <c r="V781" s="83"/>
      <c r="W781" s="405"/>
      <c r="AC781" s="83"/>
      <c r="AD781" s="405"/>
      <c r="AJ781" s="83"/>
      <c r="AK781" s="405"/>
      <c r="AQ781" s="83"/>
      <c r="AX781" s="83"/>
      <c r="BE781" s="83"/>
      <c r="BF781" s="405"/>
      <c r="BL781" s="83"/>
      <c r="BM781" s="405"/>
      <c r="BS781" s="83"/>
      <c r="BT781" s="405"/>
      <c r="BZ781" s="83"/>
      <c r="CA781" s="405"/>
      <c r="CG781" s="83"/>
    </row>
    <row r="782">
      <c r="B782" s="405"/>
      <c r="H782" s="83"/>
      <c r="I782" s="405"/>
      <c r="O782" s="83"/>
      <c r="P782" s="405"/>
      <c r="V782" s="83"/>
      <c r="W782" s="405"/>
      <c r="AC782" s="83"/>
      <c r="AD782" s="405"/>
      <c r="AJ782" s="83"/>
      <c r="AK782" s="405"/>
      <c r="AQ782" s="83"/>
      <c r="AX782" s="83"/>
      <c r="BE782" s="83"/>
      <c r="BF782" s="405"/>
      <c r="BL782" s="83"/>
      <c r="BM782" s="405"/>
      <c r="BS782" s="83"/>
      <c r="BT782" s="405"/>
      <c r="BZ782" s="83"/>
      <c r="CA782" s="405"/>
      <c r="CG782" s="83"/>
    </row>
    <row r="783">
      <c r="B783" s="405"/>
      <c r="H783" s="83"/>
      <c r="I783" s="405"/>
      <c r="O783" s="83"/>
      <c r="P783" s="405"/>
      <c r="V783" s="83"/>
      <c r="W783" s="405"/>
      <c r="AC783" s="83"/>
      <c r="AD783" s="405"/>
      <c r="AJ783" s="83"/>
      <c r="AK783" s="405"/>
      <c r="AQ783" s="83"/>
      <c r="AX783" s="83"/>
      <c r="BE783" s="83"/>
      <c r="BF783" s="405"/>
      <c r="BL783" s="83"/>
      <c r="BM783" s="405"/>
      <c r="BS783" s="83"/>
      <c r="BT783" s="405"/>
      <c r="BZ783" s="83"/>
      <c r="CA783" s="405"/>
      <c r="CG783" s="83"/>
    </row>
    <row r="784">
      <c r="B784" s="405"/>
      <c r="H784" s="83"/>
      <c r="I784" s="405"/>
      <c r="O784" s="83"/>
      <c r="P784" s="405"/>
      <c r="V784" s="83"/>
      <c r="W784" s="405"/>
      <c r="AC784" s="83"/>
      <c r="AD784" s="405"/>
      <c r="AJ784" s="83"/>
      <c r="AK784" s="405"/>
      <c r="AQ784" s="83"/>
      <c r="AX784" s="83"/>
      <c r="BE784" s="83"/>
      <c r="BF784" s="405"/>
      <c r="BL784" s="83"/>
      <c r="BM784" s="405"/>
      <c r="BS784" s="83"/>
      <c r="BT784" s="405"/>
      <c r="BZ784" s="83"/>
      <c r="CA784" s="405"/>
      <c r="CG784" s="83"/>
    </row>
    <row r="785">
      <c r="B785" s="405"/>
      <c r="H785" s="83"/>
      <c r="I785" s="405"/>
      <c r="O785" s="83"/>
      <c r="P785" s="405"/>
      <c r="V785" s="83"/>
      <c r="W785" s="405"/>
      <c r="AC785" s="83"/>
      <c r="AD785" s="405"/>
      <c r="AJ785" s="83"/>
      <c r="AK785" s="405"/>
      <c r="AQ785" s="83"/>
      <c r="AX785" s="83"/>
      <c r="BE785" s="83"/>
      <c r="BF785" s="405"/>
      <c r="BL785" s="83"/>
      <c r="BM785" s="405"/>
      <c r="BS785" s="83"/>
      <c r="BT785" s="405"/>
      <c r="BZ785" s="83"/>
      <c r="CA785" s="405"/>
      <c r="CG785" s="83"/>
    </row>
    <row r="786">
      <c r="B786" s="405"/>
      <c r="H786" s="83"/>
      <c r="I786" s="405"/>
      <c r="O786" s="83"/>
      <c r="P786" s="405"/>
      <c r="V786" s="83"/>
      <c r="W786" s="405"/>
      <c r="AC786" s="83"/>
      <c r="AD786" s="405"/>
      <c r="AJ786" s="83"/>
      <c r="AK786" s="405"/>
      <c r="AQ786" s="83"/>
      <c r="AX786" s="83"/>
      <c r="BE786" s="83"/>
      <c r="BF786" s="405"/>
      <c r="BL786" s="83"/>
      <c r="BM786" s="405"/>
      <c r="BS786" s="83"/>
      <c r="BT786" s="405"/>
      <c r="BZ786" s="83"/>
      <c r="CA786" s="405"/>
      <c r="CG786" s="83"/>
    </row>
    <row r="787">
      <c r="B787" s="405"/>
      <c r="H787" s="83"/>
      <c r="I787" s="405"/>
      <c r="O787" s="83"/>
      <c r="P787" s="405"/>
      <c r="V787" s="83"/>
      <c r="W787" s="405"/>
      <c r="AC787" s="83"/>
      <c r="AD787" s="405"/>
      <c r="AJ787" s="83"/>
      <c r="AK787" s="405"/>
      <c r="AQ787" s="83"/>
      <c r="AX787" s="83"/>
      <c r="BE787" s="83"/>
      <c r="BF787" s="405"/>
      <c r="BL787" s="83"/>
      <c r="BM787" s="405"/>
      <c r="BS787" s="83"/>
      <c r="BT787" s="405"/>
      <c r="BZ787" s="83"/>
      <c r="CA787" s="405"/>
      <c r="CG787" s="83"/>
    </row>
    <row r="788">
      <c r="B788" s="405"/>
      <c r="H788" s="83"/>
      <c r="I788" s="405"/>
      <c r="O788" s="83"/>
      <c r="P788" s="405"/>
      <c r="V788" s="83"/>
      <c r="W788" s="405"/>
      <c r="AC788" s="83"/>
      <c r="AD788" s="405"/>
      <c r="AJ788" s="83"/>
      <c r="AK788" s="405"/>
      <c r="AQ788" s="83"/>
      <c r="AX788" s="83"/>
      <c r="BE788" s="83"/>
      <c r="BF788" s="405"/>
      <c r="BL788" s="83"/>
      <c r="BM788" s="405"/>
      <c r="BS788" s="83"/>
      <c r="BT788" s="405"/>
      <c r="BZ788" s="83"/>
      <c r="CA788" s="405"/>
      <c r="CG788" s="83"/>
    </row>
    <row r="789">
      <c r="B789" s="405"/>
      <c r="H789" s="83"/>
      <c r="I789" s="405"/>
      <c r="O789" s="83"/>
      <c r="P789" s="405"/>
      <c r="V789" s="83"/>
      <c r="W789" s="405"/>
      <c r="AC789" s="83"/>
      <c r="AD789" s="405"/>
      <c r="AJ789" s="83"/>
      <c r="AK789" s="405"/>
      <c r="AQ789" s="83"/>
      <c r="AX789" s="83"/>
      <c r="BE789" s="83"/>
      <c r="BF789" s="405"/>
      <c r="BL789" s="83"/>
      <c r="BM789" s="405"/>
      <c r="BS789" s="83"/>
      <c r="BT789" s="405"/>
      <c r="BZ789" s="83"/>
      <c r="CA789" s="405"/>
      <c r="CG789" s="83"/>
    </row>
    <row r="790">
      <c r="B790" s="405"/>
      <c r="H790" s="83"/>
      <c r="I790" s="405"/>
      <c r="O790" s="83"/>
      <c r="P790" s="405"/>
      <c r="V790" s="83"/>
      <c r="W790" s="405"/>
      <c r="AC790" s="83"/>
      <c r="AD790" s="405"/>
      <c r="AJ790" s="83"/>
      <c r="AK790" s="405"/>
      <c r="AQ790" s="83"/>
      <c r="AX790" s="83"/>
      <c r="BE790" s="83"/>
      <c r="BF790" s="405"/>
      <c r="BL790" s="83"/>
      <c r="BM790" s="405"/>
      <c r="BS790" s="83"/>
      <c r="BT790" s="405"/>
      <c r="BZ790" s="83"/>
      <c r="CA790" s="405"/>
      <c r="CG790" s="83"/>
    </row>
    <row r="791">
      <c r="B791" s="405"/>
      <c r="H791" s="83"/>
      <c r="I791" s="405"/>
      <c r="O791" s="83"/>
      <c r="P791" s="405"/>
      <c r="V791" s="83"/>
      <c r="W791" s="405"/>
      <c r="AC791" s="83"/>
      <c r="AD791" s="405"/>
      <c r="AJ791" s="83"/>
      <c r="AK791" s="405"/>
      <c r="AQ791" s="83"/>
      <c r="AX791" s="83"/>
      <c r="BE791" s="83"/>
      <c r="BF791" s="405"/>
      <c r="BL791" s="83"/>
      <c r="BM791" s="405"/>
      <c r="BS791" s="83"/>
      <c r="BT791" s="405"/>
      <c r="BZ791" s="83"/>
      <c r="CA791" s="405"/>
      <c r="CG791" s="83"/>
    </row>
    <row r="792">
      <c r="B792" s="405"/>
      <c r="H792" s="83"/>
      <c r="I792" s="405"/>
      <c r="O792" s="83"/>
      <c r="P792" s="405"/>
      <c r="V792" s="83"/>
      <c r="W792" s="405"/>
      <c r="AC792" s="83"/>
      <c r="AD792" s="405"/>
      <c r="AJ792" s="83"/>
      <c r="AK792" s="405"/>
      <c r="AQ792" s="83"/>
      <c r="AX792" s="83"/>
      <c r="BE792" s="83"/>
      <c r="BF792" s="405"/>
      <c r="BL792" s="83"/>
      <c r="BM792" s="405"/>
      <c r="BS792" s="83"/>
      <c r="BT792" s="405"/>
      <c r="BZ792" s="83"/>
      <c r="CA792" s="405"/>
      <c r="CG792" s="83"/>
    </row>
    <row r="793">
      <c r="B793" s="405"/>
      <c r="H793" s="83"/>
      <c r="I793" s="405"/>
      <c r="O793" s="83"/>
      <c r="P793" s="405"/>
      <c r="V793" s="83"/>
      <c r="W793" s="405"/>
      <c r="AC793" s="83"/>
      <c r="AD793" s="405"/>
      <c r="AJ793" s="83"/>
      <c r="AK793" s="405"/>
      <c r="AQ793" s="83"/>
      <c r="AX793" s="83"/>
      <c r="BE793" s="83"/>
      <c r="BF793" s="405"/>
      <c r="BL793" s="83"/>
      <c r="BM793" s="405"/>
      <c r="BS793" s="83"/>
      <c r="BT793" s="405"/>
      <c r="BZ793" s="83"/>
      <c r="CA793" s="405"/>
      <c r="CG793" s="83"/>
    </row>
    <row r="794">
      <c r="B794" s="405"/>
      <c r="H794" s="83"/>
      <c r="I794" s="405"/>
      <c r="O794" s="83"/>
      <c r="P794" s="405"/>
      <c r="V794" s="83"/>
      <c r="W794" s="405"/>
      <c r="AC794" s="83"/>
      <c r="AD794" s="405"/>
      <c r="AJ794" s="83"/>
      <c r="AK794" s="405"/>
      <c r="AQ794" s="83"/>
      <c r="AX794" s="83"/>
      <c r="BE794" s="83"/>
      <c r="BF794" s="405"/>
      <c r="BL794" s="83"/>
      <c r="BM794" s="405"/>
      <c r="BS794" s="83"/>
      <c r="BT794" s="405"/>
      <c r="BZ794" s="83"/>
      <c r="CA794" s="405"/>
      <c r="CG794" s="83"/>
    </row>
    <row r="795">
      <c r="B795" s="405"/>
      <c r="H795" s="83"/>
      <c r="I795" s="405"/>
      <c r="O795" s="83"/>
      <c r="P795" s="405"/>
      <c r="V795" s="83"/>
      <c r="W795" s="405"/>
      <c r="AC795" s="83"/>
      <c r="AD795" s="405"/>
      <c r="AJ795" s="83"/>
      <c r="AK795" s="405"/>
      <c r="AQ795" s="83"/>
      <c r="AX795" s="83"/>
      <c r="BE795" s="83"/>
      <c r="BF795" s="405"/>
      <c r="BL795" s="83"/>
      <c r="BM795" s="405"/>
      <c r="BS795" s="83"/>
      <c r="BT795" s="405"/>
      <c r="BZ795" s="83"/>
      <c r="CA795" s="405"/>
      <c r="CG795" s="83"/>
    </row>
    <row r="796">
      <c r="B796" s="405"/>
      <c r="H796" s="83"/>
      <c r="I796" s="405"/>
      <c r="O796" s="83"/>
      <c r="P796" s="405"/>
      <c r="V796" s="83"/>
      <c r="W796" s="405"/>
      <c r="AC796" s="83"/>
      <c r="AD796" s="405"/>
      <c r="AJ796" s="83"/>
      <c r="AK796" s="405"/>
      <c r="AQ796" s="83"/>
      <c r="AX796" s="83"/>
      <c r="BE796" s="83"/>
      <c r="BF796" s="405"/>
      <c r="BL796" s="83"/>
      <c r="BM796" s="405"/>
      <c r="BS796" s="83"/>
      <c r="BT796" s="405"/>
      <c r="BZ796" s="83"/>
      <c r="CA796" s="405"/>
      <c r="CG796" s="83"/>
    </row>
    <row r="797">
      <c r="B797" s="405"/>
      <c r="H797" s="83"/>
      <c r="I797" s="405"/>
      <c r="O797" s="83"/>
      <c r="P797" s="405"/>
      <c r="V797" s="83"/>
      <c r="W797" s="405"/>
      <c r="AC797" s="83"/>
      <c r="AD797" s="405"/>
      <c r="AJ797" s="83"/>
      <c r="AK797" s="405"/>
      <c r="AQ797" s="83"/>
      <c r="AX797" s="83"/>
      <c r="BE797" s="83"/>
      <c r="BF797" s="405"/>
      <c r="BL797" s="83"/>
      <c r="BM797" s="405"/>
      <c r="BS797" s="83"/>
      <c r="BT797" s="405"/>
      <c r="BZ797" s="83"/>
      <c r="CA797" s="405"/>
      <c r="CG797" s="83"/>
    </row>
    <row r="798">
      <c r="B798" s="405"/>
      <c r="H798" s="83"/>
      <c r="I798" s="405"/>
      <c r="O798" s="83"/>
      <c r="P798" s="405"/>
      <c r="V798" s="83"/>
      <c r="W798" s="405"/>
      <c r="AC798" s="83"/>
      <c r="AD798" s="405"/>
      <c r="AJ798" s="83"/>
      <c r="AK798" s="405"/>
      <c r="AQ798" s="83"/>
      <c r="AX798" s="83"/>
      <c r="BE798" s="83"/>
      <c r="BF798" s="405"/>
      <c r="BL798" s="83"/>
      <c r="BM798" s="405"/>
      <c r="BS798" s="83"/>
      <c r="BT798" s="405"/>
      <c r="BZ798" s="83"/>
      <c r="CA798" s="405"/>
      <c r="CG798" s="83"/>
    </row>
    <row r="799">
      <c r="B799" s="405"/>
      <c r="H799" s="83"/>
      <c r="I799" s="405"/>
      <c r="O799" s="83"/>
      <c r="P799" s="405"/>
      <c r="V799" s="83"/>
      <c r="W799" s="405"/>
      <c r="AC799" s="83"/>
      <c r="AD799" s="405"/>
      <c r="AJ799" s="83"/>
      <c r="AK799" s="405"/>
      <c r="AQ799" s="83"/>
      <c r="AX799" s="83"/>
      <c r="BE799" s="83"/>
      <c r="BF799" s="405"/>
      <c r="BL799" s="83"/>
      <c r="BM799" s="405"/>
      <c r="BS799" s="83"/>
      <c r="BT799" s="405"/>
      <c r="BZ799" s="83"/>
      <c r="CA799" s="405"/>
      <c r="CG799" s="83"/>
    </row>
    <row r="800">
      <c r="B800" s="405"/>
      <c r="H800" s="83"/>
      <c r="I800" s="405"/>
      <c r="O800" s="83"/>
      <c r="P800" s="405"/>
      <c r="V800" s="83"/>
      <c r="W800" s="405"/>
      <c r="AC800" s="83"/>
      <c r="AD800" s="405"/>
      <c r="AJ800" s="83"/>
      <c r="AK800" s="405"/>
      <c r="AQ800" s="83"/>
      <c r="AX800" s="83"/>
      <c r="BE800" s="83"/>
      <c r="BF800" s="405"/>
      <c r="BL800" s="83"/>
      <c r="BM800" s="405"/>
      <c r="BS800" s="83"/>
      <c r="BT800" s="405"/>
      <c r="BZ800" s="83"/>
      <c r="CA800" s="405"/>
      <c r="CG800" s="83"/>
    </row>
    <row r="801">
      <c r="B801" s="405"/>
      <c r="H801" s="83"/>
      <c r="I801" s="405"/>
      <c r="O801" s="83"/>
      <c r="P801" s="405"/>
      <c r="V801" s="83"/>
      <c r="W801" s="405"/>
      <c r="AC801" s="83"/>
      <c r="AD801" s="405"/>
      <c r="AJ801" s="83"/>
      <c r="AK801" s="405"/>
      <c r="AQ801" s="83"/>
      <c r="AX801" s="83"/>
      <c r="BE801" s="83"/>
      <c r="BF801" s="405"/>
      <c r="BL801" s="83"/>
      <c r="BM801" s="405"/>
      <c r="BS801" s="83"/>
      <c r="BT801" s="405"/>
      <c r="BZ801" s="83"/>
      <c r="CA801" s="405"/>
      <c r="CG801" s="83"/>
    </row>
    <row r="802">
      <c r="B802" s="405"/>
      <c r="H802" s="83"/>
      <c r="I802" s="405"/>
      <c r="O802" s="83"/>
      <c r="P802" s="405"/>
      <c r="V802" s="83"/>
      <c r="W802" s="405"/>
      <c r="AC802" s="83"/>
      <c r="AD802" s="405"/>
      <c r="AJ802" s="83"/>
      <c r="AK802" s="405"/>
      <c r="AQ802" s="83"/>
      <c r="AX802" s="83"/>
      <c r="BE802" s="83"/>
      <c r="BF802" s="405"/>
      <c r="BL802" s="83"/>
      <c r="BM802" s="405"/>
      <c r="BS802" s="83"/>
      <c r="BT802" s="405"/>
      <c r="BZ802" s="83"/>
      <c r="CA802" s="405"/>
      <c r="CG802" s="83"/>
    </row>
    <row r="803">
      <c r="B803" s="405"/>
      <c r="H803" s="83"/>
      <c r="I803" s="405"/>
      <c r="O803" s="83"/>
      <c r="P803" s="405"/>
      <c r="V803" s="83"/>
      <c r="W803" s="405"/>
      <c r="AC803" s="83"/>
      <c r="AD803" s="405"/>
      <c r="AJ803" s="83"/>
      <c r="AK803" s="405"/>
      <c r="AQ803" s="83"/>
      <c r="AX803" s="83"/>
      <c r="BE803" s="83"/>
      <c r="BF803" s="405"/>
      <c r="BL803" s="83"/>
      <c r="BM803" s="405"/>
      <c r="BS803" s="83"/>
      <c r="BT803" s="405"/>
      <c r="BZ803" s="83"/>
      <c r="CA803" s="405"/>
      <c r="CG803" s="83"/>
    </row>
    <row r="804">
      <c r="B804" s="405"/>
      <c r="H804" s="83"/>
      <c r="I804" s="405"/>
      <c r="O804" s="83"/>
      <c r="P804" s="405"/>
      <c r="V804" s="83"/>
      <c r="W804" s="405"/>
      <c r="AC804" s="83"/>
      <c r="AD804" s="405"/>
      <c r="AJ804" s="83"/>
      <c r="AK804" s="405"/>
      <c r="AQ804" s="83"/>
      <c r="AX804" s="83"/>
      <c r="BE804" s="83"/>
      <c r="BF804" s="405"/>
      <c r="BL804" s="83"/>
      <c r="BM804" s="405"/>
      <c r="BS804" s="83"/>
      <c r="BT804" s="405"/>
      <c r="BZ804" s="83"/>
      <c r="CA804" s="405"/>
      <c r="CG804" s="83"/>
    </row>
    <row r="805">
      <c r="B805" s="405"/>
      <c r="H805" s="83"/>
      <c r="I805" s="405"/>
      <c r="O805" s="83"/>
      <c r="P805" s="405"/>
      <c r="V805" s="83"/>
      <c r="W805" s="405"/>
      <c r="AC805" s="83"/>
      <c r="AD805" s="405"/>
      <c r="AJ805" s="83"/>
      <c r="AK805" s="405"/>
      <c r="AQ805" s="83"/>
      <c r="AX805" s="83"/>
      <c r="BE805" s="83"/>
      <c r="BF805" s="405"/>
      <c r="BL805" s="83"/>
      <c r="BM805" s="405"/>
      <c r="BS805" s="83"/>
      <c r="BT805" s="405"/>
      <c r="BZ805" s="83"/>
      <c r="CA805" s="405"/>
      <c r="CG805" s="83"/>
    </row>
    <row r="806">
      <c r="B806" s="405"/>
      <c r="H806" s="83"/>
      <c r="I806" s="405"/>
      <c r="O806" s="83"/>
      <c r="P806" s="405"/>
      <c r="V806" s="83"/>
      <c r="W806" s="405"/>
      <c r="AC806" s="83"/>
      <c r="AD806" s="405"/>
      <c r="AJ806" s="83"/>
      <c r="AK806" s="405"/>
      <c r="AQ806" s="83"/>
      <c r="AX806" s="83"/>
      <c r="BE806" s="83"/>
      <c r="BF806" s="405"/>
      <c r="BL806" s="83"/>
      <c r="BM806" s="405"/>
      <c r="BS806" s="83"/>
      <c r="BT806" s="405"/>
      <c r="BZ806" s="83"/>
      <c r="CA806" s="405"/>
      <c r="CG806" s="83"/>
    </row>
    <row r="807">
      <c r="B807" s="405"/>
      <c r="H807" s="83"/>
      <c r="I807" s="405"/>
      <c r="O807" s="83"/>
      <c r="P807" s="405"/>
      <c r="V807" s="83"/>
      <c r="W807" s="405"/>
      <c r="AC807" s="83"/>
      <c r="AD807" s="405"/>
      <c r="AJ807" s="83"/>
      <c r="AK807" s="405"/>
      <c r="AQ807" s="83"/>
      <c r="AX807" s="83"/>
      <c r="BE807" s="83"/>
      <c r="BF807" s="405"/>
      <c r="BL807" s="83"/>
      <c r="BM807" s="405"/>
      <c r="BS807" s="83"/>
      <c r="BT807" s="405"/>
      <c r="BZ807" s="83"/>
      <c r="CA807" s="405"/>
      <c r="CG807" s="83"/>
    </row>
    <row r="808">
      <c r="B808" s="405"/>
      <c r="H808" s="83"/>
      <c r="I808" s="405"/>
      <c r="O808" s="83"/>
      <c r="P808" s="405"/>
      <c r="V808" s="83"/>
      <c r="W808" s="405"/>
      <c r="AC808" s="83"/>
      <c r="AD808" s="405"/>
      <c r="AJ808" s="83"/>
      <c r="AK808" s="405"/>
      <c r="AQ808" s="83"/>
      <c r="AX808" s="83"/>
      <c r="BE808" s="83"/>
      <c r="BF808" s="405"/>
      <c r="BL808" s="83"/>
      <c r="BM808" s="405"/>
      <c r="BS808" s="83"/>
      <c r="BT808" s="405"/>
      <c r="BZ808" s="83"/>
      <c r="CA808" s="405"/>
      <c r="CG808" s="83"/>
    </row>
    <row r="809">
      <c r="B809" s="405"/>
      <c r="H809" s="83"/>
      <c r="I809" s="405"/>
      <c r="O809" s="83"/>
      <c r="P809" s="405"/>
      <c r="V809" s="83"/>
      <c r="W809" s="405"/>
      <c r="AC809" s="83"/>
      <c r="AD809" s="405"/>
      <c r="AJ809" s="83"/>
      <c r="AK809" s="405"/>
      <c r="AQ809" s="83"/>
      <c r="AX809" s="83"/>
      <c r="BE809" s="83"/>
      <c r="BF809" s="405"/>
      <c r="BL809" s="83"/>
      <c r="BM809" s="405"/>
      <c r="BS809" s="83"/>
      <c r="BT809" s="405"/>
      <c r="BZ809" s="83"/>
      <c r="CA809" s="405"/>
      <c r="CG809" s="83"/>
    </row>
    <row r="810">
      <c r="B810" s="405"/>
      <c r="H810" s="83"/>
      <c r="I810" s="405"/>
      <c r="O810" s="83"/>
      <c r="P810" s="405"/>
      <c r="V810" s="83"/>
      <c r="W810" s="405"/>
      <c r="AC810" s="83"/>
      <c r="AD810" s="405"/>
      <c r="AJ810" s="83"/>
      <c r="AK810" s="405"/>
      <c r="AQ810" s="83"/>
      <c r="AX810" s="83"/>
      <c r="BE810" s="83"/>
      <c r="BF810" s="405"/>
      <c r="BL810" s="83"/>
      <c r="BM810" s="405"/>
      <c r="BS810" s="83"/>
      <c r="BT810" s="405"/>
      <c r="BZ810" s="83"/>
      <c r="CA810" s="405"/>
      <c r="CG810" s="83"/>
    </row>
    <row r="811">
      <c r="B811" s="405"/>
      <c r="H811" s="83"/>
      <c r="I811" s="405"/>
      <c r="O811" s="83"/>
      <c r="P811" s="405"/>
      <c r="V811" s="83"/>
      <c r="W811" s="405"/>
      <c r="AC811" s="83"/>
      <c r="AD811" s="405"/>
      <c r="AJ811" s="83"/>
      <c r="AK811" s="405"/>
      <c r="AQ811" s="83"/>
      <c r="AX811" s="83"/>
      <c r="BE811" s="83"/>
      <c r="BF811" s="405"/>
      <c r="BL811" s="83"/>
      <c r="BM811" s="405"/>
      <c r="BS811" s="83"/>
      <c r="BT811" s="405"/>
      <c r="BZ811" s="83"/>
      <c r="CA811" s="405"/>
      <c r="CG811" s="83"/>
    </row>
    <row r="812">
      <c r="B812" s="405"/>
      <c r="H812" s="83"/>
      <c r="I812" s="405"/>
      <c r="O812" s="83"/>
      <c r="P812" s="405"/>
      <c r="V812" s="83"/>
      <c r="W812" s="405"/>
      <c r="AC812" s="83"/>
      <c r="AD812" s="405"/>
      <c r="AJ812" s="83"/>
      <c r="AK812" s="405"/>
      <c r="AQ812" s="83"/>
      <c r="AX812" s="83"/>
      <c r="BE812" s="83"/>
      <c r="BF812" s="405"/>
      <c r="BL812" s="83"/>
      <c r="BM812" s="405"/>
      <c r="BS812" s="83"/>
      <c r="BT812" s="405"/>
      <c r="BZ812" s="83"/>
      <c r="CA812" s="405"/>
      <c r="CG812" s="83"/>
    </row>
    <row r="813">
      <c r="B813" s="405"/>
      <c r="H813" s="83"/>
      <c r="I813" s="405"/>
      <c r="O813" s="83"/>
      <c r="P813" s="405"/>
      <c r="V813" s="83"/>
      <c r="W813" s="405"/>
      <c r="AC813" s="83"/>
      <c r="AD813" s="405"/>
      <c r="AJ813" s="83"/>
      <c r="AK813" s="405"/>
      <c r="AQ813" s="83"/>
      <c r="AX813" s="83"/>
      <c r="BE813" s="83"/>
      <c r="BF813" s="405"/>
      <c r="BL813" s="83"/>
      <c r="BM813" s="405"/>
      <c r="BS813" s="83"/>
      <c r="BT813" s="405"/>
      <c r="BZ813" s="83"/>
      <c r="CA813" s="405"/>
      <c r="CG813" s="83"/>
    </row>
    <row r="814">
      <c r="B814" s="405"/>
      <c r="H814" s="83"/>
      <c r="I814" s="405"/>
      <c r="O814" s="83"/>
      <c r="P814" s="405"/>
      <c r="V814" s="83"/>
      <c r="W814" s="405"/>
      <c r="AC814" s="83"/>
      <c r="AD814" s="405"/>
      <c r="AJ814" s="83"/>
      <c r="AK814" s="405"/>
      <c r="AQ814" s="83"/>
      <c r="AX814" s="83"/>
      <c r="BE814" s="83"/>
      <c r="BF814" s="405"/>
      <c r="BL814" s="83"/>
      <c r="BM814" s="405"/>
      <c r="BS814" s="83"/>
      <c r="BT814" s="405"/>
      <c r="BZ814" s="83"/>
      <c r="CA814" s="405"/>
      <c r="CG814" s="83"/>
    </row>
    <row r="815">
      <c r="B815" s="405"/>
      <c r="H815" s="83"/>
      <c r="I815" s="405"/>
      <c r="O815" s="83"/>
      <c r="P815" s="405"/>
      <c r="V815" s="83"/>
      <c r="W815" s="405"/>
      <c r="AC815" s="83"/>
      <c r="AD815" s="405"/>
      <c r="AJ815" s="83"/>
      <c r="AK815" s="405"/>
      <c r="AQ815" s="83"/>
      <c r="AX815" s="83"/>
      <c r="BE815" s="83"/>
      <c r="BF815" s="405"/>
      <c r="BL815" s="83"/>
      <c r="BM815" s="405"/>
      <c r="BS815" s="83"/>
      <c r="BT815" s="405"/>
      <c r="BZ815" s="83"/>
      <c r="CA815" s="405"/>
      <c r="CG815" s="83"/>
    </row>
    <row r="816">
      <c r="B816" s="405"/>
      <c r="H816" s="83"/>
      <c r="I816" s="405"/>
      <c r="O816" s="83"/>
      <c r="P816" s="405"/>
      <c r="V816" s="83"/>
      <c r="W816" s="405"/>
      <c r="AC816" s="83"/>
      <c r="AD816" s="405"/>
      <c r="AJ816" s="83"/>
      <c r="AK816" s="405"/>
      <c r="AQ816" s="83"/>
      <c r="AX816" s="83"/>
      <c r="BE816" s="83"/>
      <c r="BF816" s="405"/>
      <c r="BL816" s="83"/>
      <c r="BM816" s="405"/>
      <c r="BS816" s="83"/>
      <c r="BT816" s="405"/>
      <c r="BZ816" s="83"/>
      <c r="CA816" s="405"/>
      <c r="CG816" s="83"/>
    </row>
    <row r="817">
      <c r="B817" s="405"/>
      <c r="H817" s="83"/>
      <c r="I817" s="405"/>
      <c r="O817" s="83"/>
      <c r="P817" s="405"/>
      <c r="V817" s="83"/>
      <c r="W817" s="405"/>
      <c r="AC817" s="83"/>
      <c r="AD817" s="405"/>
      <c r="AJ817" s="83"/>
      <c r="AK817" s="405"/>
      <c r="AQ817" s="83"/>
      <c r="AX817" s="83"/>
      <c r="BE817" s="83"/>
      <c r="BF817" s="405"/>
      <c r="BL817" s="83"/>
      <c r="BM817" s="405"/>
      <c r="BS817" s="83"/>
      <c r="BT817" s="405"/>
      <c r="BZ817" s="83"/>
      <c r="CA817" s="405"/>
      <c r="CG817" s="83"/>
    </row>
    <row r="818">
      <c r="B818" s="405"/>
      <c r="H818" s="83"/>
      <c r="I818" s="405"/>
      <c r="O818" s="83"/>
      <c r="P818" s="405"/>
      <c r="V818" s="83"/>
      <c r="W818" s="405"/>
      <c r="AC818" s="83"/>
      <c r="AD818" s="405"/>
      <c r="AJ818" s="83"/>
      <c r="AK818" s="405"/>
      <c r="AQ818" s="83"/>
      <c r="AX818" s="83"/>
      <c r="BE818" s="83"/>
      <c r="BF818" s="405"/>
      <c r="BL818" s="83"/>
      <c r="BM818" s="405"/>
      <c r="BS818" s="83"/>
      <c r="BT818" s="405"/>
      <c r="BZ818" s="83"/>
      <c r="CA818" s="405"/>
      <c r="CG818" s="83"/>
    </row>
    <row r="819">
      <c r="B819" s="405"/>
      <c r="H819" s="83"/>
      <c r="I819" s="405"/>
      <c r="O819" s="83"/>
      <c r="P819" s="405"/>
      <c r="V819" s="83"/>
      <c r="W819" s="405"/>
      <c r="AC819" s="83"/>
      <c r="AD819" s="405"/>
      <c r="AJ819" s="83"/>
      <c r="AK819" s="405"/>
      <c r="AQ819" s="83"/>
      <c r="AX819" s="83"/>
      <c r="BE819" s="83"/>
      <c r="BF819" s="405"/>
      <c r="BL819" s="83"/>
      <c r="BM819" s="405"/>
      <c r="BS819" s="83"/>
      <c r="BT819" s="405"/>
      <c r="BZ819" s="83"/>
      <c r="CA819" s="405"/>
      <c r="CG819" s="83"/>
    </row>
    <row r="820">
      <c r="B820" s="405"/>
      <c r="H820" s="83"/>
      <c r="I820" s="405"/>
      <c r="O820" s="83"/>
      <c r="P820" s="405"/>
      <c r="V820" s="83"/>
      <c r="W820" s="405"/>
      <c r="AC820" s="83"/>
      <c r="AD820" s="405"/>
      <c r="AJ820" s="83"/>
      <c r="AK820" s="405"/>
      <c r="AQ820" s="83"/>
      <c r="AX820" s="83"/>
      <c r="BE820" s="83"/>
      <c r="BF820" s="405"/>
      <c r="BL820" s="83"/>
      <c r="BM820" s="405"/>
      <c r="BS820" s="83"/>
      <c r="BT820" s="405"/>
      <c r="BZ820" s="83"/>
      <c r="CA820" s="405"/>
      <c r="CG820" s="83"/>
    </row>
    <row r="821">
      <c r="B821" s="405"/>
      <c r="H821" s="83"/>
      <c r="I821" s="405"/>
      <c r="O821" s="83"/>
      <c r="P821" s="405"/>
      <c r="V821" s="83"/>
      <c r="W821" s="405"/>
      <c r="AC821" s="83"/>
      <c r="AD821" s="405"/>
      <c r="AJ821" s="83"/>
      <c r="AK821" s="405"/>
      <c r="AQ821" s="83"/>
      <c r="AX821" s="83"/>
      <c r="BE821" s="83"/>
      <c r="BF821" s="405"/>
      <c r="BL821" s="83"/>
      <c r="BM821" s="405"/>
      <c r="BS821" s="83"/>
      <c r="BT821" s="405"/>
      <c r="BZ821" s="83"/>
      <c r="CA821" s="405"/>
      <c r="CG821" s="83"/>
    </row>
    <row r="822">
      <c r="B822" s="405"/>
      <c r="H822" s="83"/>
      <c r="I822" s="405"/>
      <c r="O822" s="83"/>
      <c r="P822" s="405"/>
      <c r="V822" s="83"/>
      <c r="W822" s="405"/>
      <c r="AC822" s="83"/>
      <c r="AD822" s="405"/>
      <c r="AJ822" s="83"/>
      <c r="AK822" s="405"/>
      <c r="AQ822" s="83"/>
      <c r="AX822" s="83"/>
      <c r="BE822" s="83"/>
      <c r="BF822" s="405"/>
      <c r="BL822" s="83"/>
      <c r="BM822" s="405"/>
      <c r="BS822" s="83"/>
      <c r="BT822" s="405"/>
      <c r="BZ822" s="83"/>
      <c r="CA822" s="405"/>
      <c r="CG822" s="83"/>
    </row>
    <row r="823">
      <c r="B823" s="405"/>
      <c r="H823" s="83"/>
      <c r="I823" s="405"/>
      <c r="O823" s="83"/>
      <c r="P823" s="405"/>
      <c r="V823" s="83"/>
      <c r="W823" s="405"/>
      <c r="AC823" s="83"/>
      <c r="AD823" s="405"/>
      <c r="AJ823" s="83"/>
      <c r="AK823" s="405"/>
      <c r="AQ823" s="83"/>
      <c r="AX823" s="83"/>
      <c r="BE823" s="83"/>
      <c r="BF823" s="405"/>
      <c r="BL823" s="83"/>
      <c r="BM823" s="405"/>
      <c r="BS823" s="83"/>
      <c r="BT823" s="405"/>
      <c r="BZ823" s="83"/>
      <c r="CA823" s="405"/>
      <c r="CG823" s="83"/>
    </row>
    <row r="824">
      <c r="B824" s="405"/>
      <c r="H824" s="83"/>
      <c r="I824" s="405"/>
      <c r="O824" s="83"/>
      <c r="P824" s="405"/>
      <c r="V824" s="83"/>
      <c r="W824" s="405"/>
      <c r="AC824" s="83"/>
      <c r="AD824" s="405"/>
      <c r="AJ824" s="83"/>
      <c r="AK824" s="405"/>
      <c r="AQ824" s="83"/>
      <c r="AX824" s="83"/>
      <c r="BE824" s="83"/>
      <c r="BF824" s="405"/>
      <c r="BL824" s="83"/>
      <c r="BM824" s="405"/>
      <c r="BS824" s="83"/>
      <c r="BT824" s="405"/>
      <c r="BZ824" s="83"/>
      <c r="CA824" s="405"/>
      <c r="CG824" s="83"/>
    </row>
    <row r="825">
      <c r="B825" s="405"/>
      <c r="H825" s="83"/>
      <c r="I825" s="405"/>
      <c r="O825" s="83"/>
      <c r="P825" s="405"/>
      <c r="V825" s="83"/>
      <c r="W825" s="405"/>
      <c r="AC825" s="83"/>
      <c r="AD825" s="405"/>
      <c r="AJ825" s="83"/>
      <c r="AK825" s="405"/>
      <c r="AQ825" s="83"/>
      <c r="AX825" s="83"/>
      <c r="BE825" s="83"/>
      <c r="BF825" s="405"/>
      <c r="BL825" s="83"/>
      <c r="BM825" s="405"/>
      <c r="BS825" s="83"/>
      <c r="BT825" s="405"/>
      <c r="BZ825" s="83"/>
      <c r="CA825" s="405"/>
      <c r="CG825" s="83"/>
    </row>
    <row r="826">
      <c r="B826" s="405"/>
      <c r="H826" s="83"/>
      <c r="I826" s="405"/>
      <c r="O826" s="83"/>
      <c r="P826" s="405"/>
      <c r="V826" s="83"/>
      <c r="W826" s="405"/>
      <c r="AC826" s="83"/>
      <c r="AD826" s="405"/>
      <c r="AJ826" s="83"/>
      <c r="AK826" s="405"/>
      <c r="AQ826" s="83"/>
      <c r="AX826" s="83"/>
      <c r="BE826" s="83"/>
      <c r="BF826" s="405"/>
      <c r="BL826" s="83"/>
      <c r="BM826" s="405"/>
      <c r="BS826" s="83"/>
      <c r="BT826" s="405"/>
      <c r="BZ826" s="83"/>
      <c r="CA826" s="405"/>
      <c r="CG826" s="83"/>
    </row>
    <row r="827">
      <c r="B827" s="405"/>
      <c r="H827" s="83"/>
      <c r="I827" s="405"/>
      <c r="O827" s="83"/>
      <c r="P827" s="405"/>
      <c r="V827" s="83"/>
      <c r="W827" s="405"/>
      <c r="AC827" s="83"/>
      <c r="AD827" s="405"/>
      <c r="AJ827" s="83"/>
      <c r="AK827" s="405"/>
      <c r="AQ827" s="83"/>
      <c r="AX827" s="83"/>
      <c r="BE827" s="83"/>
      <c r="BF827" s="405"/>
      <c r="BL827" s="83"/>
      <c r="BM827" s="405"/>
      <c r="BS827" s="83"/>
      <c r="BT827" s="405"/>
      <c r="BZ827" s="83"/>
      <c r="CA827" s="405"/>
      <c r="CG827" s="83"/>
    </row>
    <row r="828">
      <c r="B828" s="405"/>
      <c r="H828" s="83"/>
      <c r="I828" s="405"/>
      <c r="O828" s="83"/>
      <c r="P828" s="405"/>
      <c r="V828" s="83"/>
      <c r="W828" s="405"/>
      <c r="AC828" s="83"/>
      <c r="AD828" s="405"/>
      <c r="AJ828" s="83"/>
      <c r="AK828" s="405"/>
      <c r="AQ828" s="83"/>
      <c r="AX828" s="83"/>
      <c r="BE828" s="83"/>
      <c r="BF828" s="405"/>
      <c r="BL828" s="83"/>
      <c r="BM828" s="405"/>
      <c r="BS828" s="83"/>
      <c r="BT828" s="405"/>
      <c r="BZ828" s="83"/>
      <c r="CA828" s="405"/>
      <c r="CG828" s="83"/>
    </row>
    <row r="829">
      <c r="B829" s="405"/>
      <c r="H829" s="83"/>
      <c r="I829" s="405"/>
      <c r="O829" s="83"/>
      <c r="P829" s="405"/>
      <c r="V829" s="83"/>
      <c r="W829" s="405"/>
      <c r="AC829" s="83"/>
      <c r="AD829" s="405"/>
      <c r="AJ829" s="83"/>
      <c r="AK829" s="405"/>
      <c r="AQ829" s="83"/>
      <c r="AX829" s="83"/>
      <c r="BE829" s="83"/>
      <c r="BF829" s="405"/>
      <c r="BL829" s="83"/>
      <c r="BM829" s="405"/>
      <c r="BS829" s="83"/>
      <c r="BT829" s="405"/>
      <c r="BZ829" s="83"/>
      <c r="CA829" s="405"/>
      <c r="CG829" s="83"/>
    </row>
    <row r="830">
      <c r="B830" s="405"/>
      <c r="H830" s="83"/>
      <c r="I830" s="405"/>
      <c r="O830" s="83"/>
      <c r="P830" s="405"/>
      <c r="V830" s="83"/>
      <c r="W830" s="405"/>
      <c r="AC830" s="83"/>
      <c r="AD830" s="405"/>
      <c r="AJ830" s="83"/>
      <c r="AK830" s="405"/>
      <c r="AQ830" s="83"/>
      <c r="AX830" s="83"/>
      <c r="BE830" s="83"/>
      <c r="BF830" s="405"/>
      <c r="BL830" s="83"/>
      <c r="BM830" s="405"/>
      <c r="BS830" s="83"/>
      <c r="BT830" s="405"/>
      <c r="BZ830" s="83"/>
      <c r="CA830" s="405"/>
      <c r="CG830" s="83"/>
    </row>
    <row r="831">
      <c r="B831" s="405"/>
      <c r="H831" s="83"/>
      <c r="I831" s="405"/>
      <c r="O831" s="83"/>
      <c r="P831" s="405"/>
      <c r="V831" s="83"/>
      <c r="W831" s="405"/>
      <c r="AC831" s="83"/>
      <c r="AD831" s="405"/>
      <c r="AJ831" s="83"/>
      <c r="AK831" s="405"/>
      <c r="AQ831" s="83"/>
      <c r="AX831" s="83"/>
      <c r="BE831" s="83"/>
      <c r="BF831" s="405"/>
      <c r="BL831" s="83"/>
      <c r="BM831" s="405"/>
      <c r="BS831" s="83"/>
      <c r="BT831" s="405"/>
      <c r="BZ831" s="83"/>
      <c r="CA831" s="405"/>
      <c r="CG831" s="83"/>
    </row>
    <row r="832">
      <c r="B832" s="405"/>
      <c r="H832" s="83"/>
      <c r="I832" s="405"/>
      <c r="O832" s="83"/>
      <c r="P832" s="405"/>
      <c r="V832" s="83"/>
      <c r="W832" s="405"/>
      <c r="AC832" s="83"/>
      <c r="AD832" s="405"/>
      <c r="AJ832" s="83"/>
      <c r="AK832" s="405"/>
      <c r="AQ832" s="83"/>
      <c r="AX832" s="83"/>
      <c r="BE832" s="83"/>
      <c r="BF832" s="405"/>
      <c r="BL832" s="83"/>
      <c r="BM832" s="405"/>
      <c r="BS832" s="83"/>
      <c r="BT832" s="405"/>
      <c r="BZ832" s="83"/>
      <c r="CA832" s="405"/>
      <c r="CG832" s="83"/>
    </row>
    <row r="833">
      <c r="B833" s="405"/>
      <c r="H833" s="83"/>
      <c r="I833" s="405"/>
      <c r="O833" s="83"/>
      <c r="P833" s="405"/>
      <c r="V833" s="83"/>
      <c r="W833" s="405"/>
      <c r="AC833" s="83"/>
      <c r="AD833" s="405"/>
      <c r="AJ833" s="83"/>
      <c r="AK833" s="405"/>
      <c r="AQ833" s="83"/>
      <c r="AX833" s="83"/>
      <c r="BE833" s="83"/>
      <c r="BF833" s="405"/>
      <c r="BL833" s="83"/>
      <c r="BM833" s="405"/>
      <c r="BS833" s="83"/>
      <c r="BT833" s="405"/>
      <c r="BZ833" s="83"/>
      <c r="CA833" s="405"/>
      <c r="CG833" s="83"/>
    </row>
    <row r="834">
      <c r="B834" s="405"/>
      <c r="H834" s="83"/>
      <c r="I834" s="405"/>
      <c r="O834" s="83"/>
      <c r="P834" s="405"/>
      <c r="V834" s="83"/>
      <c r="W834" s="405"/>
      <c r="AC834" s="83"/>
      <c r="AD834" s="405"/>
      <c r="AJ834" s="83"/>
      <c r="AK834" s="405"/>
      <c r="AQ834" s="83"/>
      <c r="AX834" s="83"/>
      <c r="BE834" s="83"/>
      <c r="BF834" s="405"/>
      <c r="BL834" s="83"/>
      <c r="BM834" s="405"/>
      <c r="BS834" s="83"/>
      <c r="BT834" s="405"/>
      <c r="BZ834" s="83"/>
      <c r="CA834" s="405"/>
      <c r="CG834" s="83"/>
    </row>
    <row r="835">
      <c r="B835" s="405"/>
      <c r="H835" s="83"/>
      <c r="I835" s="405"/>
      <c r="O835" s="83"/>
      <c r="P835" s="405"/>
      <c r="V835" s="83"/>
      <c r="W835" s="405"/>
      <c r="AC835" s="83"/>
      <c r="AD835" s="405"/>
      <c r="AJ835" s="83"/>
      <c r="AK835" s="405"/>
      <c r="AQ835" s="83"/>
      <c r="AX835" s="83"/>
      <c r="BE835" s="83"/>
      <c r="BF835" s="405"/>
      <c r="BL835" s="83"/>
      <c r="BM835" s="405"/>
      <c r="BS835" s="83"/>
      <c r="BT835" s="405"/>
      <c r="BZ835" s="83"/>
      <c r="CA835" s="405"/>
      <c r="CG835" s="83"/>
    </row>
    <row r="836">
      <c r="B836" s="405"/>
      <c r="H836" s="83"/>
      <c r="I836" s="405"/>
      <c r="O836" s="83"/>
      <c r="P836" s="405"/>
      <c r="V836" s="83"/>
      <c r="W836" s="405"/>
      <c r="AC836" s="83"/>
      <c r="AD836" s="405"/>
      <c r="AJ836" s="83"/>
      <c r="AK836" s="405"/>
      <c r="AQ836" s="83"/>
      <c r="AX836" s="83"/>
      <c r="BE836" s="83"/>
      <c r="BF836" s="405"/>
      <c r="BL836" s="83"/>
      <c r="BM836" s="405"/>
      <c r="BS836" s="83"/>
      <c r="BT836" s="405"/>
      <c r="BZ836" s="83"/>
      <c r="CA836" s="405"/>
      <c r="CG836" s="83"/>
    </row>
    <row r="837">
      <c r="B837" s="405"/>
      <c r="H837" s="83"/>
      <c r="I837" s="405"/>
      <c r="O837" s="83"/>
      <c r="P837" s="405"/>
      <c r="V837" s="83"/>
      <c r="W837" s="405"/>
      <c r="AC837" s="83"/>
      <c r="AD837" s="405"/>
      <c r="AJ837" s="83"/>
      <c r="AK837" s="405"/>
      <c r="AQ837" s="83"/>
      <c r="AX837" s="83"/>
      <c r="BE837" s="83"/>
      <c r="BF837" s="405"/>
      <c r="BL837" s="83"/>
      <c r="BM837" s="405"/>
      <c r="BS837" s="83"/>
      <c r="BT837" s="405"/>
      <c r="BZ837" s="83"/>
      <c r="CA837" s="405"/>
      <c r="CG837" s="83"/>
    </row>
    <row r="838">
      <c r="B838" s="405"/>
      <c r="H838" s="83"/>
      <c r="I838" s="405"/>
      <c r="O838" s="83"/>
      <c r="P838" s="405"/>
      <c r="V838" s="83"/>
      <c r="W838" s="405"/>
      <c r="AC838" s="83"/>
      <c r="AD838" s="405"/>
      <c r="AJ838" s="83"/>
      <c r="AK838" s="405"/>
      <c r="AQ838" s="83"/>
      <c r="AX838" s="83"/>
      <c r="BE838" s="83"/>
      <c r="BF838" s="405"/>
      <c r="BL838" s="83"/>
      <c r="BM838" s="405"/>
      <c r="BS838" s="83"/>
      <c r="BT838" s="405"/>
      <c r="BZ838" s="83"/>
      <c r="CA838" s="405"/>
      <c r="CG838" s="83"/>
    </row>
    <row r="839">
      <c r="B839" s="405"/>
      <c r="H839" s="83"/>
      <c r="I839" s="405"/>
      <c r="O839" s="83"/>
      <c r="P839" s="405"/>
      <c r="V839" s="83"/>
      <c r="W839" s="405"/>
      <c r="AC839" s="83"/>
      <c r="AD839" s="405"/>
      <c r="AJ839" s="83"/>
      <c r="AK839" s="405"/>
      <c r="AQ839" s="83"/>
      <c r="AX839" s="83"/>
      <c r="BE839" s="83"/>
      <c r="BF839" s="405"/>
      <c r="BL839" s="83"/>
      <c r="BM839" s="405"/>
      <c r="BS839" s="83"/>
      <c r="BT839" s="405"/>
      <c r="BZ839" s="83"/>
      <c r="CA839" s="405"/>
      <c r="CG839" s="83"/>
    </row>
    <row r="840">
      <c r="B840" s="405"/>
      <c r="H840" s="83"/>
      <c r="I840" s="405"/>
      <c r="O840" s="83"/>
      <c r="P840" s="405"/>
      <c r="V840" s="83"/>
      <c r="W840" s="405"/>
      <c r="AC840" s="83"/>
      <c r="AD840" s="405"/>
      <c r="AJ840" s="83"/>
      <c r="AK840" s="405"/>
      <c r="AQ840" s="83"/>
      <c r="AX840" s="83"/>
      <c r="BE840" s="83"/>
      <c r="BF840" s="405"/>
      <c r="BL840" s="83"/>
      <c r="BM840" s="405"/>
      <c r="BS840" s="83"/>
      <c r="BT840" s="405"/>
      <c r="BZ840" s="83"/>
      <c r="CA840" s="405"/>
      <c r="CG840" s="83"/>
    </row>
    <row r="841">
      <c r="B841" s="405"/>
      <c r="H841" s="83"/>
      <c r="I841" s="405"/>
      <c r="O841" s="83"/>
      <c r="P841" s="405"/>
      <c r="V841" s="83"/>
      <c r="W841" s="405"/>
      <c r="AC841" s="83"/>
      <c r="AD841" s="405"/>
      <c r="AJ841" s="83"/>
      <c r="AK841" s="405"/>
      <c r="AQ841" s="83"/>
      <c r="AX841" s="83"/>
      <c r="BE841" s="83"/>
      <c r="BF841" s="405"/>
      <c r="BL841" s="83"/>
      <c r="BM841" s="405"/>
      <c r="BS841" s="83"/>
      <c r="BT841" s="405"/>
      <c r="BZ841" s="83"/>
      <c r="CA841" s="405"/>
      <c r="CG841" s="83"/>
    </row>
    <row r="842">
      <c r="B842" s="405"/>
      <c r="H842" s="83"/>
      <c r="I842" s="405"/>
      <c r="O842" s="83"/>
      <c r="P842" s="405"/>
      <c r="V842" s="83"/>
      <c r="W842" s="405"/>
      <c r="AC842" s="83"/>
      <c r="AD842" s="405"/>
      <c r="AJ842" s="83"/>
      <c r="AK842" s="405"/>
      <c r="AQ842" s="83"/>
      <c r="AX842" s="83"/>
      <c r="BE842" s="83"/>
      <c r="BF842" s="405"/>
      <c r="BL842" s="83"/>
      <c r="BM842" s="405"/>
      <c r="BS842" s="83"/>
      <c r="BT842" s="405"/>
      <c r="BZ842" s="83"/>
      <c r="CA842" s="405"/>
      <c r="CG842" s="83"/>
    </row>
    <row r="843">
      <c r="B843" s="405"/>
      <c r="H843" s="83"/>
      <c r="I843" s="405"/>
      <c r="O843" s="83"/>
      <c r="P843" s="405"/>
      <c r="V843" s="83"/>
      <c r="W843" s="405"/>
      <c r="AC843" s="83"/>
      <c r="AD843" s="405"/>
      <c r="AJ843" s="83"/>
      <c r="AK843" s="405"/>
      <c r="AQ843" s="83"/>
      <c r="AX843" s="83"/>
      <c r="BE843" s="83"/>
      <c r="BF843" s="405"/>
      <c r="BL843" s="83"/>
      <c r="BM843" s="405"/>
      <c r="BS843" s="83"/>
      <c r="BT843" s="405"/>
      <c r="BZ843" s="83"/>
      <c r="CA843" s="405"/>
      <c r="CG843" s="83"/>
    </row>
    <row r="844">
      <c r="B844" s="405"/>
      <c r="H844" s="83"/>
      <c r="I844" s="405"/>
      <c r="O844" s="83"/>
      <c r="P844" s="405"/>
      <c r="V844" s="83"/>
      <c r="W844" s="405"/>
      <c r="AC844" s="83"/>
      <c r="AD844" s="405"/>
      <c r="AJ844" s="83"/>
      <c r="AK844" s="405"/>
      <c r="AQ844" s="83"/>
      <c r="AX844" s="83"/>
      <c r="BE844" s="83"/>
      <c r="BF844" s="405"/>
      <c r="BL844" s="83"/>
      <c r="BM844" s="405"/>
      <c r="BS844" s="83"/>
      <c r="BT844" s="405"/>
      <c r="BZ844" s="83"/>
      <c r="CA844" s="405"/>
      <c r="CG844" s="83"/>
    </row>
    <row r="845">
      <c r="B845" s="405"/>
      <c r="H845" s="83"/>
      <c r="I845" s="405"/>
      <c r="O845" s="83"/>
      <c r="P845" s="405"/>
      <c r="V845" s="83"/>
      <c r="W845" s="405"/>
      <c r="AC845" s="83"/>
      <c r="AD845" s="405"/>
      <c r="AJ845" s="83"/>
      <c r="AK845" s="405"/>
      <c r="AQ845" s="83"/>
      <c r="AX845" s="83"/>
      <c r="BE845" s="83"/>
      <c r="BF845" s="405"/>
      <c r="BL845" s="83"/>
      <c r="BM845" s="405"/>
      <c r="BS845" s="83"/>
      <c r="BT845" s="405"/>
      <c r="BZ845" s="83"/>
      <c r="CA845" s="405"/>
      <c r="CG845" s="83"/>
    </row>
    <row r="846">
      <c r="B846" s="405"/>
      <c r="H846" s="83"/>
      <c r="I846" s="405"/>
      <c r="O846" s="83"/>
      <c r="P846" s="405"/>
      <c r="V846" s="83"/>
      <c r="W846" s="405"/>
      <c r="AC846" s="83"/>
      <c r="AD846" s="405"/>
      <c r="AJ846" s="83"/>
      <c r="AK846" s="405"/>
      <c r="AQ846" s="83"/>
      <c r="AX846" s="83"/>
      <c r="BE846" s="83"/>
      <c r="BF846" s="405"/>
      <c r="BL846" s="83"/>
      <c r="BM846" s="405"/>
      <c r="BS846" s="83"/>
      <c r="BT846" s="405"/>
      <c r="BZ846" s="83"/>
      <c r="CA846" s="405"/>
      <c r="CG846" s="83"/>
    </row>
    <row r="847">
      <c r="B847" s="405"/>
      <c r="H847" s="83"/>
      <c r="I847" s="405"/>
      <c r="O847" s="83"/>
      <c r="P847" s="405"/>
      <c r="V847" s="83"/>
      <c r="W847" s="405"/>
      <c r="AC847" s="83"/>
      <c r="AD847" s="405"/>
      <c r="AJ847" s="83"/>
      <c r="AK847" s="405"/>
      <c r="AQ847" s="83"/>
      <c r="AX847" s="83"/>
      <c r="BE847" s="83"/>
      <c r="BF847" s="405"/>
      <c r="BL847" s="83"/>
      <c r="BM847" s="405"/>
      <c r="BS847" s="83"/>
      <c r="BT847" s="405"/>
      <c r="BZ847" s="83"/>
      <c r="CA847" s="405"/>
      <c r="CG847" s="83"/>
    </row>
    <row r="848">
      <c r="B848" s="405"/>
      <c r="H848" s="83"/>
      <c r="I848" s="405"/>
      <c r="O848" s="83"/>
      <c r="P848" s="405"/>
      <c r="V848" s="83"/>
      <c r="W848" s="405"/>
      <c r="AC848" s="83"/>
      <c r="AD848" s="405"/>
      <c r="AJ848" s="83"/>
      <c r="AK848" s="405"/>
      <c r="AQ848" s="83"/>
      <c r="AX848" s="83"/>
      <c r="BE848" s="83"/>
      <c r="BF848" s="405"/>
      <c r="BL848" s="83"/>
      <c r="BM848" s="405"/>
      <c r="BS848" s="83"/>
      <c r="BT848" s="405"/>
      <c r="BZ848" s="83"/>
      <c r="CA848" s="405"/>
      <c r="CG848" s="83"/>
    </row>
    <row r="849">
      <c r="B849" s="405"/>
      <c r="H849" s="83"/>
      <c r="I849" s="405"/>
      <c r="O849" s="83"/>
      <c r="P849" s="405"/>
      <c r="V849" s="83"/>
      <c r="W849" s="405"/>
      <c r="AC849" s="83"/>
      <c r="AD849" s="405"/>
      <c r="AJ849" s="83"/>
      <c r="AK849" s="405"/>
      <c r="AQ849" s="83"/>
      <c r="AX849" s="83"/>
      <c r="BE849" s="83"/>
      <c r="BF849" s="405"/>
      <c r="BL849" s="83"/>
      <c r="BM849" s="405"/>
      <c r="BS849" s="83"/>
      <c r="BT849" s="405"/>
      <c r="BZ849" s="83"/>
      <c r="CA849" s="405"/>
      <c r="CG849" s="83"/>
    </row>
    <row r="850">
      <c r="B850" s="405"/>
      <c r="H850" s="83"/>
      <c r="I850" s="405"/>
      <c r="O850" s="83"/>
      <c r="P850" s="405"/>
      <c r="V850" s="83"/>
      <c r="W850" s="405"/>
      <c r="AC850" s="83"/>
      <c r="AD850" s="405"/>
      <c r="AJ850" s="83"/>
      <c r="AK850" s="405"/>
      <c r="AQ850" s="83"/>
      <c r="AX850" s="83"/>
      <c r="BE850" s="83"/>
      <c r="BF850" s="405"/>
      <c r="BL850" s="83"/>
      <c r="BM850" s="405"/>
      <c r="BS850" s="83"/>
      <c r="BT850" s="405"/>
      <c r="BZ850" s="83"/>
      <c r="CA850" s="405"/>
      <c r="CG850" s="83"/>
    </row>
    <row r="851">
      <c r="B851" s="405"/>
      <c r="H851" s="83"/>
      <c r="I851" s="405"/>
      <c r="O851" s="83"/>
      <c r="P851" s="405"/>
      <c r="V851" s="83"/>
      <c r="W851" s="405"/>
      <c r="AC851" s="83"/>
      <c r="AD851" s="405"/>
      <c r="AJ851" s="83"/>
      <c r="AK851" s="405"/>
      <c r="AQ851" s="83"/>
      <c r="AX851" s="83"/>
      <c r="BE851" s="83"/>
      <c r="BF851" s="405"/>
      <c r="BL851" s="83"/>
      <c r="BM851" s="405"/>
      <c r="BS851" s="83"/>
      <c r="BT851" s="405"/>
      <c r="BZ851" s="83"/>
      <c r="CA851" s="405"/>
      <c r="CG851" s="83"/>
    </row>
    <row r="852">
      <c r="B852" s="405"/>
      <c r="H852" s="83"/>
      <c r="I852" s="405"/>
      <c r="O852" s="83"/>
      <c r="P852" s="405"/>
      <c r="V852" s="83"/>
      <c r="W852" s="405"/>
      <c r="AC852" s="83"/>
      <c r="AD852" s="405"/>
      <c r="AJ852" s="83"/>
      <c r="AK852" s="405"/>
      <c r="AQ852" s="83"/>
      <c r="AX852" s="83"/>
      <c r="BE852" s="83"/>
      <c r="BF852" s="405"/>
      <c r="BL852" s="83"/>
      <c r="BM852" s="405"/>
      <c r="BS852" s="83"/>
      <c r="BT852" s="405"/>
      <c r="BZ852" s="83"/>
      <c r="CA852" s="405"/>
      <c r="CG852" s="83"/>
    </row>
    <row r="853">
      <c r="B853" s="405"/>
      <c r="H853" s="83"/>
      <c r="I853" s="405"/>
      <c r="O853" s="83"/>
      <c r="P853" s="405"/>
      <c r="V853" s="83"/>
      <c r="W853" s="405"/>
      <c r="AC853" s="83"/>
      <c r="AD853" s="405"/>
      <c r="AJ853" s="83"/>
      <c r="AK853" s="405"/>
      <c r="AQ853" s="83"/>
      <c r="AX853" s="83"/>
      <c r="BE853" s="83"/>
      <c r="BF853" s="405"/>
      <c r="BL853" s="83"/>
      <c r="BM853" s="405"/>
      <c r="BS853" s="83"/>
      <c r="BT853" s="405"/>
      <c r="BZ853" s="83"/>
      <c r="CA853" s="405"/>
      <c r="CG853" s="83"/>
    </row>
    <row r="854">
      <c r="B854" s="405"/>
      <c r="H854" s="83"/>
      <c r="I854" s="405"/>
      <c r="O854" s="83"/>
      <c r="P854" s="405"/>
      <c r="V854" s="83"/>
      <c r="W854" s="405"/>
      <c r="AC854" s="83"/>
      <c r="AD854" s="405"/>
      <c r="AJ854" s="83"/>
      <c r="AK854" s="405"/>
      <c r="AQ854" s="83"/>
      <c r="AX854" s="83"/>
      <c r="BE854" s="83"/>
      <c r="BF854" s="405"/>
      <c r="BL854" s="83"/>
      <c r="BM854" s="405"/>
      <c r="BS854" s="83"/>
      <c r="BT854" s="405"/>
      <c r="BZ854" s="83"/>
      <c r="CA854" s="405"/>
      <c r="CG854" s="83"/>
    </row>
    <row r="855">
      <c r="B855" s="405"/>
      <c r="H855" s="83"/>
      <c r="I855" s="405"/>
      <c r="O855" s="83"/>
      <c r="P855" s="405"/>
      <c r="V855" s="83"/>
      <c r="W855" s="405"/>
      <c r="AC855" s="83"/>
      <c r="AD855" s="405"/>
      <c r="AJ855" s="83"/>
      <c r="AK855" s="405"/>
      <c r="AQ855" s="83"/>
      <c r="AX855" s="83"/>
      <c r="BE855" s="83"/>
      <c r="BF855" s="405"/>
      <c r="BL855" s="83"/>
      <c r="BM855" s="405"/>
      <c r="BS855" s="83"/>
      <c r="BT855" s="405"/>
      <c r="BZ855" s="83"/>
      <c r="CA855" s="405"/>
      <c r="CG855" s="83"/>
    </row>
    <row r="856">
      <c r="B856" s="405"/>
      <c r="H856" s="83"/>
      <c r="I856" s="405"/>
      <c r="O856" s="83"/>
      <c r="P856" s="405"/>
      <c r="V856" s="83"/>
      <c r="W856" s="405"/>
      <c r="AC856" s="83"/>
      <c r="AD856" s="405"/>
      <c r="AJ856" s="83"/>
      <c r="AK856" s="405"/>
      <c r="AQ856" s="83"/>
      <c r="AX856" s="83"/>
      <c r="BE856" s="83"/>
      <c r="BF856" s="405"/>
      <c r="BL856" s="83"/>
      <c r="BM856" s="405"/>
      <c r="BS856" s="83"/>
      <c r="BT856" s="405"/>
      <c r="BZ856" s="83"/>
      <c r="CA856" s="405"/>
      <c r="CG856" s="83"/>
    </row>
    <row r="857">
      <c r="B857" s="405"/>
      <c r="H857" s="83"/>
      <c r="I857" s="405"/>
      <c r="O857" s="83"/>
      <c r="P857" s="405"/>
      <c r="V857" s="83"/>
      <c r="W857" s="405"/>
      <c r="AC857" s="83"/>
      <c r="AD857" s="405"/>
      <c r="AJ857" s="83"/>
      <c r="AK857" s="405"/>
      <c r="AQ857" s="83"/>
      <c r="AX857" s="83"/>
      <c r="BE857" s="83"/>
      <c r="BF857" s="405"/>
      <c r="BL857" s="83"/>
      <c r="BM857" s="405"/>
      <c r="BS857" s="83"/>
      <c r="BT857" s="405"/>
      <c r="BZ857" s="83"/>
      <c r="CA857" s="405"/>
      <c r="CG857" s="83"/>
    </row>
    <row r="858">
      <c r="B858" s="405"/>
      <c r="H858" s="83"/>
      <c r="I858" s="405"/>
      <c r="O858" s="83"/>
      <c r="P858" s="405"/>
      <c r="V858" s="83"/>
      <c r="W858" s="405"/>
      <c r="AC858" s="83"/>
      <c r="AD858" s="405"/>
      <c r="AJ858" s="83"/>
      <c r="AK858" s="405"/>
      <c r="AQ858" s="83"/>
      <c r="AX858" s="83"/>
      <c r="BE858" s="83"/>
      <c r="BF858" s="405"/>
      <c r="BL858" s="83"/>
      <c r="BM858" s="405"/>
      <c r="BS858" s="83"/>
      <c r="BT858" s="405"/>
      <c r="BZ858" s="83"/>
      <c r="CA858" s="405"/>
      <c r="CG858" s="83"/>
    </row>
    <row r="859">
      <c r="B859" s="405"/>
      <c r="H859" s="83"/>
      <c r="I859" s="405"/>
      <c r="O859" s="83"/>
      <c r="P859" s="405"/>
      <c r="V859" s="83"/>
      <c r="W859" s="405"/>
      <c r="AC859" s="83"/>
      <c r="AD859" s="405"/>
      <c r="AJ859" s="83"/>
      <c r="AK859" s="405"/>
      <c r="AQ859" s="83"/>
      <c r="AX859" s="83"/>
      <c r="BE859" s="83"/>
      <c r="BF859" s="405"/>
      <c r="BL859" s="83"/>
      <c r="BM859" s="405"/>
      <c r="BS859" s="83"/>
      <c r="BT859" s="405"/>
      <c r="BZ859" s="83"/>
      <c r="CA859" s="405"/>
      <c r="CG859" s="83"/>
    </row>
    <row r="860">
      <c r="B860" s="405"/>
      <c r="H860" s="83"/>
      <c r="I860" s="405"/>
      <c r="O860" s="83"/>
      <c r="P860" s="405"/>
      <c r="V860" s="83"/>
      <c r="W860" s="405"/>
      <c r="AC860" s="83"/>
      <c r="AD860" s="405"/>
      <c r="AJ860" s="83"/>
      <c r="AK860" s="405"/>
      <c r="AQ860" s="83"/>
      <c r="AX860" s="83"/>
      <c r="BE860" s="83"/>
      <c r="BF860" s="405"/>
      <c r="BL860" s="83"/>
      <c r="BM860" s="405"/>
      <c r="BS860" s="83"/>
      <c r="BT860" s="405"/>
      <c r="BZ860" s="83"/>
      <c r="CA860" s="405"/>
      <c r="CG860" s="83"/>
    </row>
    <row r="861">
      <c r="B861" s="405"/>
      <c r="H861" s="83"/>
      <c r="I861" s="405"/>
      <c r="O861" s="83"/>
      <c r="P861" s="405"/>
      <c r="V861" s="83"/>
      <c r="W861" s="405"/>
      <c r="AC861" s="83"/>
      <c r="AD861" s="405"/>
      <c r="AJ861" s="83"/>
      <c r="AK861" s="405"/>
      <c r="AQ861" s="83"/>
      <c r="AX861" s="83"/>
      <c r="BE861" s="83"/>
      <c r="BF861" s="405"/>
      <c r="BL861" s="83"/>
      <c r="BM861" s="405"/>
      <c r="BS861" s="83"/>
      <c r="BT861" s="405"/>
      <c r="BZ861" s="83"/>
      <c r="CA861" s="405"/>
      <c r="CG861" s="83"/>
    </row>
    <row r="862">
      <c r="B862" s="405"/>
      <c r="H862" s="83"/>
      <c r="I862" s="405"/>
      <c r="O862" s="83"/>
      <c r="P862" s="405"/>
      <c r="V862" s="83"/>
      <c r="W862" s="405"/>
      <c r="AC862" s="83"/>
      <c r="AD862" s="405"/>
      <c r="AJ862" s="83"/>
      <c r="AK862" s="405"/>
      <c r="AQ862" s="83"/>
      <c r="AX862" s="83"/>
      <c r="BE862" s="83"/>
      <c r="BF862" s="405"/>
      <c r="BL862" s="83"/>
      <c r="BM862" s="405"/>
      <c r="BS862" s="83"/>
      <c r="BT862" s="405"/>
      <c r="BZ862" s="83"/>
      <c r="CA862" s="405"/>
      <c r="CG862" s="83"/>
    </row>
    <row r="863">
      <c r="B863" s="405"/>
      <c r="H863" s="83"/>
      <c r="I863" s="405"/>
      <c r="O863" s="83"/>
      <c r="P863" s="405"/>
      <c r="V863" s="83"/>
      <c r="W863" s="405"/>
      <c r="AC863" s="83"/>
      <c r="AD863" s="405"/>
      <c r="AJ863" s="83"/>
      <c r="AK863" s="405"/>
      <c r="AQ863" s="83"/>
      <c r="AX863" s="83"/>
      <c r="BE863" s="83"/>
      <c r="BF863" s="405"/>
      <c r="BL863" s="83"/>
      <c r="BM863" s="405"/>
      <c r="BS863" s="83"/>
      <c r="BT863" s="405"/>
      <c r="BZ863" s="83"/>
      <c r="CA863" s="405"/>
      <c r="CG863" s="83"/>
    </row>
    <row r="864">
      <c r="B864" s="405"/>
      <c r="H864" s="83"/>
      <c r="I864" s="405"/>
      <c r="O864" s="83"/>
      <c r="P864" s="405"/>
      <c r="V864" s="83"/>
      <c r="W864" s="405"/>
      <c r="AC864" s="83"/>
      <c r="AD864" s="405"/>
      <c r="AJ864" s="83"/>
      <c r="AK864" s="405"/>
      <c r="AQ864" s="83"/>
      <c r="AX864" s="83"/>
      <c r="BE864" s="83"/>
      <c r="BF864" s="405"/>
      <c r="BL864" s="83"/>
      <c r="BM864" s="405"/>
      <c r="BS864" s="83"/>
      <c r="BT864" s="405"/>
      <c r="BZ864" s="83"/>
      <c r="CA864" s="405"/>
      <c r="CG864" s="83"/>
    </row>
    <row r="865">
      <c r="B865" s="405"/>
      <c r="H865" s="83"/>
      <c r="I865" s="405"/>
      <c r="O865" s="83"/>
      <c r="P865" s="405"/>
      <c r="V865" s="83"/>
      <c r="W865" s="405"/>
      <c r="AC865" s="83"/>
      <c r="AD865" s="405"/>
      <c r="AJ865" s="83"/>
      <c r="AK865" s="405"/>
      <c r="AQ865" s="83"/>
      <c r="AX865" s="83"/>
      <c r="BE865" s="83"/>
      <c r="BF865" s="405"/>
      <c r="BL865" s="83"/>
      <c r="BM865" s="405"/>
      <c r="BS865" s="83"/>
      <c r="BT865" s="405"/>
      <c r="BZ865" s="83"/>
      <c r="CA865" s="405"/>
      <c r="CG865" s="83"/>
    </row>
    <row r="866">
      <c r="B866" s="405"/>
      <c r="H866" s="83"/>
      <c r="I866" s="405"/>
      <c r="O866" s="83"/>
      <c r="P866" s="405"/>
      <c r="V866" s="83"/>
      <c r="W866" s="405"/>
      <c r="AC866" s="83"/>
      <c r="AD866" s="405"/>
      <c r="AJ866" s="83"/>
      <c r="AK866" s="405"/>
      <c r="AQ866" s="83"/>
      <c r="AX866" s="83"/>
      <c r="BE866" s="83"/>
      <c r="BF866" s="405"/>
      <c r="BL866" s="83"/>
      <c r="BM866" s="405"/>
      <c r="BS866" s="83"/>
      <c r="BT866" s="405"/>
      <c r="BZ866" s="83"/>
      <c r="CA866" s="405"/>
      <c r="CG866" s="83"/>
    </row>
    <row r="867">
      <c r="B867" s="405"/>
      <c r="H867" s="83"/>
      <c r="I867" s="405"/>
      <c r="O867" s="83"/>
      <c r="P867" s="405"/>
      <c r="V867" s="83"/>
      <c r="W867" s="405"/>
      <c r="AC867" s="83"/>
      <c r="AD867" s="405"/>
      <c r="AJ867" s="83"/>
      <c r="AK867" s="405"/>
      <c r="AQ867" s="83"/>
      <c r="AX867" s="83"/>
      <c r="BE867" s="83"/>
      <c r="BF867" s="405"/>
      <c r="BL867" s="83"/>
      <c r="BM867" s="405"/>
      <c r="BS867" s="83"/>
      <c r="BT867" s="405"/>
      <c r="BZ867" s="83"/>
      <c r="CA867" s="405"/>
      <c r="CG867" s="83"/>
    </row>
    <row r="868">
      <c r="B868" s="405"/>
      <c r="H868" s="83"/>
      <c r="I868" s="405"/>
      <c r="O868" s="83"/>
      <c r="P868" s="405"/>
      <c r="V868" s="83"/>
      <c r="W868" s="405"/>
      <c r="AC868" s="83"/>
      <c r="AD868" s="405"/>
      <c r="AJ868" s="83"/>
      <c r="AK868" s="405"/>
      <c r="AQ868" s="83"/>
      <c r="AX868" s="83"/>
      <c r="BE868" s="83"/>
      <c r="BF868" s="405"/>
      <c r="BL868" s="83"/>
      <c r="BM868" s="405"/>
      <c r="BS868" s="83"/>
      <c r="BT868" s="405"/>
      <c r="BZ868" s="83"/>
      <c r="CA868" s="405"/>
      <c r="CG868" s="83"/>
    </row>
    <row r="869">
      <c r="B869" s="405"/>
      <c r="H869" s="83"/>
      <c r="I869" s="405"/>
      <c r="O869" s="83"/>
      <c r="P869" s="405"/>
      <c r="V869" s="83"/>
      <c r="W869" s="405"/>
      <c r="AC869" s="83"/>
      <c r="AD869" s="405"/>
      <c r="AJ869" s="83"/>
      <c r="AK869" s="405"/>
      <c r="AQ869" s="83"/>
      <c r="AX869" s="83"/>
      <c r="BE869" s="83"/>
      <c r="BF869" s="405"/>
      <c r="BL869" s="83"/>
      <c r="BM869" s="405"/>
      <c r="BS869" s="83"/>
      <c r="BT869" s="405"/>
      <c r="BZ869" s="83"/>
      <c r="CA869" s="405"/>
      <c r="CG869" s="83"/>
    </row>
    <row r="870">
      <c r="B870" s="405"/>
      <c r="H870" s="83"/>
      <c r="I870" s="405"/>
      <c r="O870" s="83"/>
      <c r="P870" s="405"/>
      <c r="V870" s="83"/>
      <c r="W870" s="405"/>
      <c r="AC870" s="83"/>
      <c r="AD870" s="405"/>
      <c r="AJ870" s="83"/>
      <c r="AK870" s="405"/>
      <c r="AQ870" s="83"/>
      <c r="AX870" s="83"/>
      <c r="BE870" s="83"/>
      <c r="BF870" s="405"/>
      <c r="BL870" s="83"/>
      <c r="BM870" s="405"/>
      <c r="BS870" s="83"/>
      <c r="BT870" s="405"/>
      <c r="BZ870" s="83"/>
      <c r="CA870" s="405"/>
      <c r="CG870" s="83"/>
    </row>
    <row r="871">
      <c r="B871" s="405"/>
      <c r="H871" s="83"/>
      <c r="I871" s="405"/>
      <c r="O871" s="83"/>
      <c r="P871" s="405"/>
      <c r="V871" s="83"/>
      <c r="W871" s="405"/>
      <c r="AC871" s="83"/>
      <c r="AD871" s="405"/>
      <c r="AJ871" s="83"/>
      <c r="AK871" s="405"/>
      <c r="AQ871" s="83"/>
      <c r="AX871" s="83"/>
      <c r="BE871" s="83"/>
      <c r="BF871" s="405"/>
      <c r="BL871" s="83"/>
      <c r="BM871" s="405"/>
      <c r="BS871" s="83"/>
      <c r="BT871" s="405"/>
      <c r="BZ871" s="83"/>
      <c r="CA871" s="405"/>
      <c r="CG871" s="83"/>
    </row>
    <row r="872">
      <c r="B872" s="405"/>
      <c r="H872" s="83"/>
      <c r="I872" s="405"/>
      <c r="O872" s="83"/>
      <c r="P872" s="405"/>
      <c r="V872" s="83"/>
      <c r="W872" s="405"/>
      <c r="AC872" s="83"/>
      <c r="AD872" s="405"/>
      <c r="AJ872" s="83"/>
      <c r="AK872" s="405"/>
      <c r="AQ872" s="83"/>
      <c r="AX872" s="83"/>
      <c r="BE872" s="83"/>
      <c r="BF872" s="405"/>
      <c r="BL872" s="83"/>
      <c r="BM872" s="405"/>
      <c r="BS872" s="83"/>
      <c r="BT872" s="405"/>
      <c r="BZ872" s="83"/>
      <c r="CA872" s="405"/>
      <c r="CG872" s="83"/>
    </row>
    <row r="873">
      <c r="B873" s="405"/>
      <c r="H873" s="83"/>
      <c r="I873" s="405"/>
      <c r="O873" s="83"/>
      <c r="P873" s="405"/>
      <c r="V873" s="83"/>
      <c r="W873" s="405"/>
      <c r="AC873" s="83"/>
      <c r="AD873" s="405"/>
      <c r="AJ873" s="83"/>
      <c r="AK873" s="405"/>
      <c r="AQ873" s="83"/>
      <c r="AX873" s="83"/>
      <c r="BE873" s="83"/>
      <c r="BF873" s="405"/>
      <c r="BL873" s="83"/>
      <c r="BM873" s="405"/>
      <c r="BS873" s="83"/>
      <c r="BT873" s="405"/>
      <c r="BZ873" s="83"/>
      <c r="CA873" s="405"/>
      <c r="CG873" s="83"/>
    </row>
    <row r="874">
      <c r="B874" s="405"/>
      <c r="H874" s="83"/>
      <c r="I874" s="405"/>
      <c r="O874" s="83"/>
      <c r="P874" s="405"/>
      <c r="V874" s="83"/>
      <c r="W874" s="405"/>
      <c r="AC874" s="83"/>
      <c r="AD874" s="405"/>
      <c r="AJ874" s="83"/>
      <c r="AK874" s="405"/>
      <c r="AQ874" s="83"/>
      <c r="AX874" s="83"/>
      <c r="BE874" s="83"/>
      <c r="BF874" s="405"/>
      <c r="BL874" s="83"/>
      <c r="BM874" s="405"/>
      <c r="BS874" s="83"/>
      <c r="BT874" s="405"/>
      <c r="BZ874" s="83"/>
      <c r="CA874" s="405"/>
      <c r="CG874" s="83"/>
    </row>
    <row r="875">
      <c r="B875" s="405"/>
      <c r="H875" s="83"/>
      <c r="I875" s="405"/>
      <c r="O875" s="83"/>
      <c r="P875" s="405"/>
      <c r="V875" s="83"/>
      <c r="W875" s="405"/>
      <c r="AC875" s="83"/>
      <c r="AD875" s="405"/>
      <c r="AJ875" s="83"/>
      <c r="AK875" s="405"/>
      <c r="AQ875" s="83"/>
      <c r="AX875" s="83"/>
      <c r="BE875" s="83"/>
      <c r="BF875" s="405"/>
      <c r="BL875" s="83"/>
      <c r="BM875" s="405"/>
      <c r="BS875" s="83"/>
      <c r="BT875" s="405"/>
      <c r="BZ875" s="83"/>
      <c r="CA875" s="405"/>
      <c r="CG875" s="83"/>
    </row>
    <row r="876">
      <c r="B876" s="405"/>
      <c r="H876" s="83"/>
      <c r="I876" s="405"/>
      <c r="O876" s="83"/>
      <c r="P876" s="405"/>
      <c r="V876" s="83"/>
      <c r="W876" s="405"/>
      <c r="AC876" s="83"/>
      <c r="AD876" s="405"/>
      <c r="AJ876" s="83"/>
      <c r="AK876" s="405"/>
      <c r="AQ876" s="83"/>
      <c r="AX876" s="83"/>
      <c r="BE876" s="83"/>
      <c r="BF876" s="405"/>
      <c r="BL876" s="83"/>
      <c r="BM876" s="405"/>
      <c r="BS876" s="83"/>
      <c r="BT876" s="405"/>
      <c r="BZ876" s="83"/>
      <c r="CA876" s="405"/>
      <c r="CG876" s="83"/>
    </row>
    <row r="877">
      <c r="B877" s="405"/>
      <c r="H877" s="83"/>
      <c r="I877" s="405"/>
      <c r="O877" s="83"/>
      <c r="P877" s="405"/>
      <c r="V877" s="83"/>
      <c r="W877" s="405"/>
      <c r="AC877" s="83"/>
      <c r="AD877" s="405"/>
      <c r="AJ877" s="83"/>
      <c r="AK877" s="405"/>
      <c r="AQ877" s="83"/>
      <c r="AX877" s="83"/>
      <c r="BE877" s="83"/>
      <c r="BF877" s="405"/>
      <c r="BL877" s="83"/>
      <c r="BM877" s="405"/>
      <c r="BS877" s="83"/>
      <c r="BT877" s="405"/>
      <c r="BZ877" s="83"/>
      <c r="CA877" s="405"/>
      <c r="CG877" s="83"/>
    </row>
    <row r="878">
      <c r="B878" s="405"/>
      <c r="H878" s="83"/>
      <c r="I878" s="405"/>
      <c r="O878" s="83"/>
      <c r="P878" s="405"/>
      <c r="V878" s="83"/>
      <c r="W878" s="405"/>
      <c r="AC878" s="83"/>
      <c r="AD878" s="405"/>
      <c r="AJ878" s="83"/>
      <c r="AK878" s="405"/>
      <c r="AQ878" s="83"/>
      <c r="AX878" s="83"/>
      <c r="BE878" s="83"/>
      <c r="BF878" s="405"/>
      <c r="BL878" s="83"/>
      <c r="BM878" s="405"/>
      <c r="BS878" s="83"/>
      <c r="BT878" s="405"/>
      <c r="BZ878" s="83"/>
      <c r="CA878" s="405"/>
      <c r="CG878" s="83"/>
    </row>
    <row r="879">
      <c r="B879" s="405"/>
      <c r="H879" s="83"/>
      <c r="I879" s="405"/>
      <c r="O879" s="83"/>
      <c r="P879" s="405"/>
      <c r="V879" s="83"/>
      <c r="W879" s="405"/>
      <c r="AC879" s="83"/>
      <c r="AD879" s="405"/>
      <c r="AJ879" s="83"/>
      <c r="AK879" s="405"/>
      <c r="AQ879" s="83"/>
      <c r="AX879" s="83"/>
      <c r="BE879" s="83"/>
      <c r="BF879" s="405"/>
      <c r="BL879" s="83"/>
      <c r="BM879" s="405"/>
      <c r="BS879" s="83"/>
      <c r="BT879" s="405"/>
      <c r="BZ879" s="83"/>
      <c r="CA879" s="405"/>
      <c r="CG879" s="83"/>
    </row>
    <row r="880">
      <c r="B880" s="405"/>
      <c r="H880" s="83"/>
      <c r="I880" s="405"/>
      <c r="O880" s="83"/>
      <c r="P880" s="405"/>
      <c r="V880" s="83"/>
      <c r="W880" s="405"/>
      <c r="AC880" s="83"/>
      <c r="AD880" s="405"/>
      <c r="AJ880" s="83"/>
      <c r="AK880" s="405"/>
      <c r="AQ880" s="83"/>
      <c r="AX880" s="83"/>
      <c r="BE880" s="83"/>
      <c r="BF880" s="405"/>
      <c r="BL880" s="83"/>
      <c r="BM880" s="405"/>
      <c r="BS880" s="83"/>
      <c r="BT880" s="405"/>
      <c r="BZ880" s="83"/>
      <c r="CA880" s="405"/>
      <c r="CG880" s="83"/>
    </row>
    <row r="881">
      <c r="B881" s="405"/>
      <c r="H881" s="83"/>
      <c r="I881" s="405"/>
      <c r="O881" s="83"/>
      <c r="P881" s="405"/>
      <c r="V881" s="83"/>
      <c r="W881" s="405"/>
      <c r="AC881" s="83"/>
      <c r="AD881" s="405"/>
      <c r="AJ881" s="83"/>
      <c r="AK881" s="405"/>
      <c r="AQ881" s="83"/>
      <c r="AX881" s="83"/>
      <c r="BE881" s="83"/>
      <c r="BF881" s="405"/>
      <c r="BL881" s="83"/>
      <c r="BM881" s="405"/>
      <c r="BS881" s="83"/>
      <c r="BT881" s="405"/>
      <c r="BZ881" s="83"/>
      <c r="CA881" s="405"/>
      <c r="CG881" s="83"/>
    </row>
    <row r="882">
      <c r="B882" s="405"/>
      <c r="H882" s="83"/>
      <c r="I882" s="405"/>
      <c r="O882" s="83"/>
      <c r="P882" s="405"/>
      <c r="V882" s="83"/>
      <c r="W882" s="405"/>
      <c r="AC882" s="83"/>
      <c r="AD882" s="405"/>
      <c r="AJ882" s="83"/>
      <c r="AK882" s="405"/>
      <c r="AQ882" s="83"/>
      <c r="AX882" s="83"/>
      <c r="BE882" s="83"/>
      <c r="BF882" s="405"/>
      <c r="BL882" s="83"/>
      <c r="BM882" s="405"/>
      <c r="BS882" s="83"/>
      <c r="BT882" s="405"/>
      <c r="BZ882" s="83"/>
      <c r="CA882" s="405"/>
      <c r="CG882" s="83"/>
    </row>
    <row r="883">
      <c r="B883" s="405"/>
      <c r="H883" s="83"/>
      <c r="I883" s="405"/>
      <c r="O883" s="83"/>
      <c r="P883" s="405"/>
      <c r="V883" s="83"/>
      <c r="W883" s="405"/>
      <c r="AC883" s="83"/>
      <c r="AD883" s="405"/>
      <c r="AJ883" s="83"/>
      <c r="AK883" s="405"/>
      <c r="AQ883" s="83"/>
      <c r="AX883" s="83"/>
      <c r="BE883" s="83"/>
      <c r="BF883" s="405"/>
      <c r="BL883" s="83"/>
      <c r="BM883" s="405"/>
      <c r="BS883" s="83"/>
      <c r="BT883" s="405"/>
      <c r="BZ883" s="83"/>
      <c r="CA883" s="405"/>
      <c r="CG883" s="83"/>
    </row>
    <row r="884">
      <c r="B884" s="405"/>
      <c r="H884" s="83"/>
      <c r="I884" s="405"/>
      <c r="O884" s="83"/>
      <c r="P884" s="405"/>
      <c r="V884" s="83"/>
      <c r="W884" s="405"/>
      <c r="AC884" s="83"/>
      <c r="AD884" s="405"/>
      <c r="AJ884" s="83"/>
      <c r="AK884" s="405"/>
      <c r="AQ884" s="83"/>
      <c r="AX884" s="83"/>
      <c r="BE884" s="83"/>
      <c r="BF884" s="405"/>
      <c r="BL884" s="83"/>
      <c r="BM884" s="405"/>
      <c r="BS884" s="83"/>
      <c r="BT884" s="405"/>
      <c r="BZ884" s="83"/>
      <c r="CA884" s="405"/>
      <c r="CG884" s="83"/>
    </row>
    <row r="885">
      <c r="B885" s="405"/>
      <c r="H885" s="83"/>
      <c r="I885" s="405"/>
      <c r="O885" s="83"/>
      <c r="P885" s="405"/>
      <c r="V885" s="83"/>
      <c r="W885" s="405"/>
      <c r="AC885" s="83"/>
      <c r="AD885" s="405"/>
      <c r="AJ885" s="83"/>
      <c r="AK885" s="405"/>
      <c r="AQ885" s="83"/>
      <c r="AX885" s="83"/>
      <c r="BE885" s="83"/>
      <c r="BF885" s="405"/>
      <c r="BL885" s="83"/>
      <c r="BM885" s="405"/>
      <c r="BS885" s="83"/>
      <c r="BT885" s="405"/>
      <c r="BZ885" s="83"/>
      <c r="CA885" s="405"/>
      <c r="CG885" s="83"/>
    </row>
    <row r="886">
      <c r="B886" s="405"/>
      <c r="H886" s="83"/>
      <c r="I886" s="405"/>
      <c r="O886" s="83"/>
      <c r="P886" s="405"/>
      <c r="V886" s="83"/>
      <c r="W886" s="405"/>
      <c r="AC886" s="83"/>
      <c r="AD886" s="405"/>
      <c r="AJ886" s="83"/>
      <c r="AK886" s="405"/>
      <c r="AQ886" s="83"/>
      <c r="AX886" s="83"/>
      <c r="BE886" s="83"/>
      <c r="BF886" s="405"/>
      <c r="BL886" s="83"/>
      <c r="BM886" s="405"/>
      <c r="BS886" s="83"/>
      <c r="BT886" s="405"/>
      <c r="BZ886" s="83"/>
      <c r="CA886" s="405"/>
      <c r="CG886" s="83"/>
    </row>
    <row r="887">
      <c r="B887" s="405"/>
      <c r="H887" s="83"/>
      <c r="I887" s="405"/>
      <c r="O887" s="83"/>
      <c r="P887" s="405"/>
      <c r="V887" s="83"/>
      <c r="W887" s="405"/>
      <c r="AC887" s="83"/>
      <c r="AD887" s="405"/>
      <c r="AJ887" s="83"/>
      <c r="AK887" s="405"/>
      <c r="AQ887" s="83"/>
      <c r="AX887" s="83"/>
      <c r="BE887" s="83"/>
      <c r="BF887" s="405"/>
      <c r="BL887" s="83"/>
      <c r="BM887" s="405"/>
      <c r="BS887" s="83"/>
      <c r="BT887" s="405"/>
      <c r="BZ887" s="83"/>
      <c r="CA887" s="405"/>
      <c r="CG887" s="83"/>
    </row>
    <row r="888">
      <c r="B888" s="405"/>
      <c r="H888" s="83"/>
      <c r="I888" s="405"/>
      <c r="O888" s="83"/>
      <c r="P888" s="405"/>
      <c r="V888" s="83"/>
      <c r="W888" s="405"/>
      <c r="AC888" s="83"/>
      <c r="AD888" s="405"/>
      <c r="AJ888" s="83"/>
      <c r="AK888" s="405"/>
      <c r="AQ888" s="83"/>
      <c r="AX888" s="83"/>
      <c r="BE888" s="83"/>
      <c r="BF888" s="405"/>
      <c r="BL888" s="83"/>
      <c r="BM888" s="405"/>
      <c r="BS888" s="83"/>
      <c r="BT888" s="405"/>
      <c r="BZ888" s="83"/>
      <c r="CA888" s="405"/>
      <c r="CG888" s="83"/>
    </row>
    <row r="889">
      <c r="B889" s="405"/>
      <c r="H889" s="83"/>
      <c r="I889" s="405"/>
      <c r="O889" s="83"/>
      <c r="P889" s="405"/>
      <c r="V889" s="83"/>
      <c r="W889" s="405"/>
      <c r="AC889" s="83"/>
      <c r="AD889" s="405"/>
      <c r="AJ889" s="83"/>
      <c r="AK889" s="405"/>
      <c r="AQ889" s="83"/>
      <c r="AX889" s="83"/>
      <c r="BE889" s="83"/>
      <c r="BF889" s="405"/>
      <c r="BL889" s="83"/>
      <c r="BM889" s="405"/>
      <c r="BS889" s="83"/>
      <c r="BT889" s="405"/>
      <c r="BZ889" s="83"/>
      <c r="CA889" s="405"/>
      <c r="CG889" s="83"/>
    </row>
    <row r="890">
      <c r="B890" s="405"/>
      <c r="H890" s="83"/>
      <c r="I890" s="405"/>
      <c r="O890" s="83"/>
      <c r="P890" s="405"/>
      <c r="V890" s="83"/>
      <c r="W890" s="405"/>
      <c r="AC890" s="83"/>
      <c r="AD890" s="405"/>
      <c r="AJ890" s="83"/>
      <c r="AK890" s="405"/>
      <c r="AQ890" s="83"/>
      <c r="AX890" s="83"/>
      <c r="BE890" s="83"/>
      <c r="BF890" s="405"/>
      <c r="BL890" s="83"/>
      <c r="BM890" s="405"/>
      <c r="BS890" s="83"/>
      <c r="BT890" s="405"/>
      <c r="BZ890" s="83"/>
      <c r="CA890" s="405"/>
      <c r="CG890" s="83"/>
    </row>
    <row r="891">
      <c r="B891" s="405"/>
      <c r="H891" s="83"/>
      <c r="I891" s="405"/>
      <c r="O891" s="83"/>
      <c r="P891" s="405"/>
      <c r="V891" s="83"/>
      <c r="W891" s="405"/>
      <c r="AC891" s="83"/>
      <c r="AD891" s="405"/>
      <c r="AJ891" s="83"/>
      <c r="AK891" s="405"/>
      <c r="AQ891" s="83"/>
      <c r="AX891" s="83"/>
      <c r="BE891" s="83"/>
      <c r="BF891" s="405"/>
      <c r="BL891" s="83"/>
      <c r="BM891" s="405"/>
      <c r="BS891" s="83"/>
      <c r="BT891" s="405"/>
      <c r="BZ891" s="83"/>
      <c r="CA891" s="405"/>
      <c r="CG891" s="83"/>
    </row>
    <row r="892">
      <c r="B892" s="405"/>
      <c r="H892" s="83"/>
      <c r="I892" s="405"/>
      <c r="O892" s="83"/>
      <c r="P892" s="405"/>
      <c r="V892" s="83"/>
      <c r="W892" s="405"/>
      <c r="AC892" s="83"/>
      <c r="AD892" s="405"/>
      <c r="AJ892" s="83"/>
      <c r="AK892" s="405"/>
      <c r="AQ892" s="83"/>
      <c r="AX892" s="83"/>
      <c r="BE892" s="83"/>
      <c r="BF892" s="405"/>
      <c r="BL892" s="83"/>
      <c r="BM892" s="405"/>
      <c r="BS892" s="83"/>
      <c r="BT892" s="405"/>
      <c r="BZ892" s="83"/>
      <c r="CA892" s="405"/>
      <c r="CG892" s="83"/>
    </row>
    <row r="893">
      <c r="B893" s="405"/>
      <c r="H893" s="83"/>
      <c r="I893" s="405"/>
      <c r="O893" s="83"/>
      <c r="P893" s="405"/>
      <c r="V893" s="83"/>
      <c r="W893" s="405"/>
      <c r="AC893" s="83"/>
      <c r="AD893" s="405"/>
      <c r="AJ893" s="83"/>
      <c r="AK893" s="405"/>
      <c r="AQ893" s="83"/>
      <c r="AX893" s="83"/>
      <c r="BE893" s="83"/>
      <c r="BF893" s="405"/>
      <c r="BL893" s="83"/>
      <c r="BM893" s="405"/>
      <c r="BS893" s="83"/>
      <c r="BT893" s="405"/>
      <c r="BZ893" s="83"/>
      <c r="CA893" s="405"/>
      <c r="CG893" s="83"/>
    </row>
    <row r="894">
      <c r="B894" s="405"/>
      <c r="H894" s="83"/>
      <c r="I894" s="405"/>
      <c r="O894" s="83"/>
      <c r="P894" s="405"/>
      <c r="V894" s="83"/>
      <c r="W894" s="405"/>
      <c r="AC894" s="83"/>
      <c r="AD894" s="405"/>
      <c r="AJ894" s="83"/>
      <c r="AK894" s="405"/>
      <c r="AQ894" s="83"/>
      <c r="AX894" s="83"/>
      <c r="BE894" s="83"/>
      <c r="BF894" s="405"/>
      <c r="BL894" s="83"/>
      <c r="BM894" s="405"/>
      <c r="BS894" s="83"/>
      <c r="BT894" s="405"/>
      <c r="BZ894" s="83"/>
      <c r="CA894" s="405"/>
      <c r="CG894" s="83"/>
    </row>
    <row r="895">
      <c r="B895" s="405"/>
      <c r="H895" s="83"/>
      <c r="I895" s="405"/>
      <c r="O895" s="83"/>
      <c r="P895" s="405"/>
      <c r="V895" s="83"/>
      <c r="W895" s="405"/>
      <c r="AC895" s="83"/>
      <c r="AD895" s="405"/>
      <c r="AJ895" s="83"/>
      <c r="AK895" s="405"/>
      <c r="AQ895" s="83"/>
      <c r="AX895" s="83"/>
      <c r="BE895" s="83"/>
      <c r="BF895" s="405"/>
      <c r="BL895" s="83"/>
      <c r="BM895" s="405"/>
      <c r="BS895" s="83"/>
      <c r="BT895" s="405"/>
      <c r="BZ895" s="83"/>
      <c r="CA895" s="405"/>
      <c r="CG895" s="83"/>
    </row>
    <row r="896">
      <c r="B896" s="405"/>
      <c r="H896" s="83"/>
      <c r="I896" s="405"/>
      <c r="O896" s="83"/>
      <c r="P896" s="405"/>
      <c r="V896" s="83"/>
      <c r="W896" s="405"/>
      <c r="AC896" s="83"/>
      <c r="AD896" s="405"/>
      <c r="AJ896" s="83"/>
      <c r="AK896" s="405"/>
      <c r="AQ896" s="83"/>
      <c r="AX896" s="83"/>
      <c r="BE896" s="83"/>
      <c r="BF896" s="405"/>
      <c r="BL896" s="83"/>
      <c r="BM896" s="405"/>
      <c r="BS896" s="83"/>
      <c r="BT896" s="405"/>
      <c r="BZ896" s="83"/>
      <c r="CA896" s="405"/>
      <c r="CG896" s="83"/>
    </row>
    <row r="897">
      <c r="B897" s="405"/>
      <c r="H897" s="83"/>
      <c r="I897" s="405"/>
      <c r="O897" s="83"/>
      <c r="P897" s="405"/>
      <c r="V897" s="83"/>
      <c r="W897" s="405"/>
      <c r="AC897" s="83"/>
      <c r="AD897" s="405"/>
      <c r="AJ897" s="83"/>
      <c r="AK897" s="405"/>
      <c r="AQ897" s="83"/>
      <c r="AX897" s="83"/>
      <c r="BE897" s="83"/>
      <c r="BF897" s="405"/>
      <c r="BL897" s="83"/>
      <c r="BM897" s="405"/>
      <c r="BS897" s="83"/>
      <c r="BT897" s="405"/>
      <c r="BZ897" s="83"/>
      <c r="CA897" s="405"/>
      <c r="CG897" s="83"/>
    </row>
    <row r="898">
      <c r="B898" s="405"/>
      <c r="H898" s="83"/>
      <c r="I898" s="405"/>
      <c r="O898" s="83"/>
      <c r="P898" s="405"/>
      <c r="V898" s="83"/>
      <c r="W898" s="405"/>
      <c r="AC898" s="83"/>
      <c r="AD898" s="405"/>
      <c r="AJ898" s="83"/>
      <c r="AK898" s="405"/>
      <c r="AQ898" s="83"/>
      <c r="AX898" s="83"/>
      <c r="BE898" s="83"/>
      <c r="BF898" s="405"/>
      <c r="BL898" s="83"/>
      <c r="BM898" s="405"/>
      <c r="BS898" s="83"/>
      <c r="BT898" s="405"/>
      <c r="BZ898" s="83"/>
      <c r="CA898" s="405"/>
      <c r="CG898" s="83"/>
    </row>
    <row r="899">
      <c r="B899" s="405"/>
      <c r="H899" s="83"/>
      <c r="I899" s="405"/>
      <c r="O899" s="83"/>
      <c r="P899" s="405"/>
      <c r="V899" s="83"/>
      <c r="W899" s="405"/>
      <c r="AC899" s="83"/>
      <c r="AD899" s="405"/>
      <c r="AJ899" s="83"/>
      <c r="AK899" s="405"/>
      <c r="AQ899" s="83"/>
      <c r="AX899" s="83"/>
      <c r="BE899" s="83"/>
      <c r="BF899" s="405"/>
      <c r="BL899" s="83"/>
      <c r="BM899" s="405"/>
      <c r="BS899" s="83"/>
      <c r="BT899" s="405"/>
      <c r="BZ899" s="83"/>
      <c r="CA899" s="405"/>
      <c r="CG899" s="83"/>
    </row>
    <row r="900">
      <c r="B900" s="405"/>
      <c r="H900" s="83"/>
      <c r="I900" s="405"/>
      <c r="O900" s="83"/>
      <c r="P900" s="405"/>
      <c r="V900" s="83"/>
      <c r="W900" s="405"/>
      <c r="AC900" s="83"/>
      <c r="AD900" s="405"/>
      <c r="AJ900" s="83"/>
      <c r="AK900" s="405"/>
      <c r="AQ900" s="83"/>
      <c r="AX900" s="83"/>
      <c r="BE900" s="83"/>
      <c r="BF900" s="405"/>
      <c r="BL900" s="83"/>
      <c r="BM900" s="405"/>
      <c r="BS900" s="83"/>
      <c r="BT900" s="405"/>
      <c r="BZ900" s="83"/>
      <c r="CA900" s="405"/>
      <c r="CG900" s="83"/>
    </row>
    <row r="901">
      <c r="B901" s="405"/>
      <c r="H901" s="83"/>
      <c r="I901" s="405"/>
      <c r="O901" s="83"/>
      <c r="P901" s="405"/>
      <c r="V901" s="83"/>
      <c r="W901" s="405"/>
      <c r="AC901" s="83"/>
      <c r="AD901" s="405"/>
      <c r="AJ901" s="83"/>
      <c r="AK901" s="405"/>
      <c r="AQ901" s="83"/>
      <c r="AX901" s="83"/>
      <c r="BE901" s="83"/>
      <c r="BF901" s="405"/>
      <c r="BL901" s="83"/>
      <c r="BM901" s="405"/>
      <c r="BS901" s="83"/>
      <c r="BT901" s="405"/>
      <c r="BZ901" s="83"/>
      <c r="CA901" s="405"/>
      <c r="CG901" s="83"/>
    </row>
    <row r="902">
      <c r="B902" s="405"/>
      <c r="H902" s="83"/>
      <c r="I902" s="405"/>
      <c r="O902" s="83"/>
      <c r="P902" s="405"/>
      <c r="V902" s="83"/>
      <c r="W902" s="405"/>
      <c r="AC902" s="83"/>
      <c r="AD902" s="405"/>
      <c r="AJ902" s="83"/>
      <c r="AK902" s="405"/>
      <c r="AQ902" s="83"/>
      <c r="AX902" s="83"/>
      <c r="BE902" s="83"/>
      <c r="BF902" s="405"/>
      <c r="BL902" s="83"/>
      <c r="BM902" s="405"/>
      <c r="BS902" s="83"/>
      <c r="BT902" s="405"/>
      <c r="BZ902" s="83"/>
      <c r="CA902" s="405"/>
      <c r="CG902" s="83"/>
    </row>
    <row r="903">
      <c r="B903" s="405"/>
      <c r="H903" s="83"/>
      <c r="I903" s="405"/>
      <c r="O903" s="83"/>
      <c r="P903" s="405"/>
      <c r="V903" s="83"/>
      <c r="W903" s="405"/>
      <c r="AC903" s="83"/>
      <c r="AD903" s="405"/>
      <c r="AJ903" s="83"/>
      <c r="AK903" s="405"/>
      <c r="AQ903" s="83"/>
      <c r="AX903" s="83"/>
      <c r="BE903" s="83"/>
      <c r="BF903" s="405"/>
      <c r="BL903" s="83"/>
      <c r="BM903" s="405"/>
      <c r="BS903" s="83"/>
      <c r="BT903" s="405"/>
      <c r="BZ903" s="83"/>
      <c r="CA903" s="405"/>
      <c r="CG903" s="83"/>
    </row>
    <row r="904">
      <c r="B904" s="405"/>
      <c r="H904" s="83"/>
      <c r="I904" s="405"/>
      <c r="O904" s="83"/>
      <c r="P904" s="405"/>
      <c r="V904" s="83"/>
      <c r="W904" s="405"/>
      <c r="AC904" s="83"/>
      <c r="AD904" s="405"/>
      <c r="AJ904" s="83"/>
      <c r="AK904" s="405"/>
      <c r="AQ904" s="83"/>
      <c r="AX904" s="83"/>
      <c r="BE904" s="83"/>
      <c r="BF904" s="405"/>
      <c r="BL904" s="83"/>
      <c r="BM904" s="405"/>
      <c r="BS904" s="83"/>
      <c r="BT904" s="405"/>
      <c r="BZ904" s="83"/>
      <c r="CA904" s="405"/>
      <c r="CG904" s="83"/>
    </row>
    <row r="905">
      <c r="B905" s="405"/>
      <c r="H905" s="83"/>
      <c r="I905" s="405"/>
      <c r="O905" s="83"/>
      <c r="P905" s="405"/>
      <c r="V905" s="83"/>
      <c r="W905" s="405"/>
      <c r="AC905" s="83"/>
      <c r="AD905" s="405"/>
      <c r="AJ905" s="83"/>
      <c r="AK905" s="405"/>
      <c r="AQ905" s="83"/>
      <c r="AX905" s="83"/>
      <c r="BE905" s="83"/>
      <c r="BF905" s="405"/>
      <c r="BL905" s="83"/>
      <c r="BM905" s="405"/>
      <c r="BS905" s="83"/>
      <c r="BT905" s="405"/>
      <c r="BZ905" s="83"/>
      <c r="CA905" s="405"/>
      <c r="CG905" s="83"/>
    </row>
    <row r="906">
      <c r="B906" s="405"/>
      <c r="H906" s="83"/>
      <c r="I906" s="405"/>
      <c r="O906" s="83"/>
      <c r="P906" s="405"/>
      <c r="V906" s="83"/>
      <c r="W906" s="405"/>
      <c r="AC906" s="83"/>
      <c r="AD906" s="405"/>
      <c r="AJ906" s="83"/>
      <c r="AK906" s="405"/>
      <c r="AQ906" s="83"/>
      <c r="AX906" s="83"/>
      <c r="BE906" s="83"/>
      <c r="BF906" s="405"/>
      <c r="BL906" s="83"/>
      <c r="BM906" s="405"/>
      <c r="BS906" s="83"/>
      <c r="BT906" s="405"/>
      <c r="BZ906" s="83"/>
      <c r="CA906" s="405"/>
      <c r="CG906" s="83"/>
    </row>
    <row r="907">
      <c r="B907" s="405"/>
      <c r="H907" s="83"/>
      <c r="I907" s="405"/>
      <c r="O907" s="83"/>
      <c r="P907" s="405"/>
      <c r="V907" s="83"/>
      <c r="W907" s="405"/>
      <c r="AC907" s="83"/>
      <c r="AD907" s="405"/>
      <c r="AJ907" s="83"/>
      <c r="AK907" s="405"/>
      <c r="AQ907" s="83"/>
      <c r="AX907" s="83"/>
      <c r="BE907" s="83"/>
      <c r="BF907" s="405"/>
      <c r="BL907" s="83"/>
      <c r="BM907" s="405"/>
      <c r="BS907" s="83"/>
      <c r="BT907" s="405"/>
      <c r="BZ907" s="83"/>
      <c r="CA907" s="405"/>
      <c r="CG907" s="83"/>
    </row>
    <row r="908">
      <c r="B908" s="405"/>
      <c r="H908" s="83"/>
      <c r="I908" s="405"/>
      <c r="O908" s="83"/>
      <c r="P908" s="405"/>
      <c r="V908" s="83"/>
      <c r="W908" s="405"/>
      <c r="AC908" s="83"/>
      <c r="AD908" s="405"/>
      <c r="AJ908" s="83"/>
      <c r="AK908" s="405"/>
      <c r="AQ908" s="83"/>
      <c r="AX908" s="83"/>
      <c r="BE908" s="83"/>
      <c r="BF908" s="405"/>
      <c r="BL908" s="83"/>
      <c r="BM908" s="405"/>
      <c r="BS908" s="83"/>
      <c r="BT908" s="405"/>
      <c r="BZ908" s="83"/>
      <c r="CA908" s="405"/>
      <c r="CG908" s="83"/>
    </row>
    <row r="909">
      <c r="B909" s="405"/>
      <c r="H909" s="83"/>
      <c r="I909" s="405"/>
      <c r="O909" s="83"/>
      <c r="P909" s="405"/>
      <c r="V909" s="83"/>
      <c r="W909" s="405"/>
      <c r="AC909" s="83"/>
      <c r="AD909" s="405"/>
      <c r="AJ909" s="83"/>
      <c r="AK909" s="405"/>
      <c r="AQ909" s="83"/>
      <c r="AX909" s="83"/>
      <c r="BE909" s="83"/>
      <c r="BF909" s="405"/>
      <c r="BL909" s="83"/>
      <c r="BM909" s="405"/>
      <c r="BS909" s="83"/>
      <c r="BT909" s="405"/>
      <c r="BZ909" s="83"/>
      <c r="CA909" s="405"/>
      <c r="CG909" s="83"/>
    </row>
    <row r="910">
      <c r="B910" s="405"/>
      <c r="H910" s="83"/>
      <c r="I910" s="405"/>
      <c r="O910" s="83"/>
      <c r="P910" s="405"/>
      <c r="V910" s="83"/>
      <c r="W910" s="405"/>
      <c r="AC910" s="83"/>
      <c r="AD910" s="405"/>
      <c r="AJ910" s="83"/>
      <c r="AK910" s="405"/>
      <c r="AQ910" s="83"/>
      <c r="AX910" s="83"/>
      <c r="BE910" s="83"/>
      <c r="BF910" s="405"/>
      <c r="BL910" s="83"/>
      <c r="BM910" s="405"/>
      <c r="BS910" s="83"/>
      <c r="BT910" s="405"/>
      <c r="BZ910" s="83"/>
      <c r="CA910" s="405"/>
      <c r="CG910" s="83"/>
    </row>
    <row r="911">
      <c r="B911" s="405"/>
      <c r="H911" s="83"/>
      <c r="I911" s="405"/>
      <c r="O911" s="83"/>
      <c r="P911" s="405"/>
      <c r="V911" s="83"/>
      <c r="W911" s="405"/>
      <c r="AC911" s="83"/>
      <c r="AD911" s="405"/>
      <c r="AJ911" s="83"/>
      <c r="AK911" s="405"/>
      <c r="AQ911" s="83"/>
      <c r="AX911" s="83"/>
      <c r="BE911" s="83"/>
      <c r="BF911" s="405"/>
      <c r="BL911" s="83"/>
      <c r="BM911" s="405"/>
      <c r="BS911" s="83"/>
      <c r="BT911" s="405"/>
      <c r="BZ911" s="83"/>
      <c r="CA911" s="405"/>
      <c r="CG911" s="83"/>
    </row>
    <row r="912">
      <c r="B912" s="405"/>
      <c r="H912" s="83"/>
      <c r="I912" s="405"/>
      <c r="O912" s="83"/>
      <c r="P912" s="405"/>
      <c r="V912" s="83"/>
      <c r="W912" s="405"/>
      <c r="AC912" s="83"/>
      <c r="AD912" s="405"/>
      <c r="AJ912" s="83"/>
      <c r="AK912" s="405"/>
      <c r="AQ912" s="83"/>
      <c r="AX912" s="83"/>
      <c r="BE912" s="83"/>
      <c r="BF912" s="405"/>
      <c r="BL912" s="83"/>
      <c r="BM912" s="405"/>
      <c r="BS912" s="83"/>
      <c r="BT912" s="405"/>
      <c r="BZ912" s="83"/>
      <c r="CA912" s="405"/>
      <c r="CG912" s="83"/>
    </row>
    <row r="913">
      <c r="B913" s="405"/>
      <c r="H913" s="83"/>
      <c r="I913" s="405"/>
      <c r="O913" s="83"/>
      <c r="P913" s="405"/>
      <c r="V913" s="83"/>
      <c r="W913" s="405"/>
      <c r="AC913" s="83"/>
      <c r="AD913" s="405"/>
      <c r="AJ913" s="83"/>
      <c r="AK913" s="405"/>
      <c r="AQ913" s="83"/>
      <c r="AX913" s="83"/>
      <c r="BE913" s="83"/>
      <c r="BF913" s="405"/>
      <c r="BL913" s="83"/>
      <c r="BM913" s="405"/>
      <c r="BS913" s="83"/>
      <c r="BT913" s="405"/>
      <c r="BZ913" s="83"/>
      <c r="CA913" s="405"/>
      <c r="CG913" s="83"/>
    </row>
    <row r="914">
      <c r="B914" s="405"/>
      <c r="H914" s="83"/>
      <c r="I914" s="405"/>
      <c r="O914" s="83"/>
      <c r="P914" s="405"/>
      <c r="V914" s="83"/>
      <c r="W914" s="405"/>
      <c r="AC914" s="83"/>
      <c r="AD914" s="405"/>
      <c r="AJ914" s="83"/>
      <c r="AK914" s="405"/>
      <c r="AQ914" s="83"/>
      <c r="AX914" s="83"/>
      <c r="BE914" s="83"/>
      <c r="BF914" s="405"/>
      <c r="BL914" s="83"/>
      <c r="BM914" s="405"/>
      <c r="BS914" s="83"/>
      <c r="BT914" s="405"/>
      <c r="BZ914" s="83"/>
      <c r="CA914" s="405"/>
      <c r="CG914" s="83"/>
    </row>
    <row r="915">
      <c r="B915" s="405"/>
      <c r="H915" s="83"/>
      <c r="I915" s="405"/>
      <c r="O915" s="83"/>
      <c r="P915" s="405"/>
      <c r="V915" s="83"/>
      <c r="W915" s="405"/>
      <c r="AC915" s="83"/>
      <c r="AD915" s="405"/>
      <c r="AJ915" s="83"/>
      <c r="AK915" s="405"/>
      <c r="AQ915" s="83"/>
      <c r="AX915" s="83"/>
      <c r="BE915" s="83"/>
      <c r="BF915" s="405"/>
      <c r="BL915" s="83"/>
      <c r="BM915" s="405"/>
      <c r="BS915" s="83"/>
      <c r="BT915" s="405"/>
      <c r="BZ915" s="83"/>
      <c r="CA915" s="405"/>
      <c r="CG915" s="83"/>
    </row>
    <row r="916">
      <c r="B916" s="405"/>
      <c r="H916" s="83"/>
      <c r="I916" s="405"/>
      <c r="O916" s="83"/>
      <c r="P916" s="405"/>
      <c r="V916" s="83"/>
      <c r="W916" s="405"/>
      <c r="AC916" s="83"/>
      <c r="AD916" s="405"/>
      <c r="AJ916" s="83"/>
      <c r="AK916" s="405"/>
      <c r="AQ916" s="83"/>
      <c r="AX916" s="83"/>
      <c r="BE916" s="83"/>
      <c r="BF916" s="405"/>
      <c r="BL916" s="83"/>
      <c r="BM916" s="405"/>
      <c r="BS916" s="83"/>
      <c r="BT916" s="405"/>
      <c r="BZ916" s="83"/>
      <c r="CA916" s="405"/>
      <c r="CG916" s="83"/>
    </row>
    <row r="917">
      <c r="B917" s="405"/>
      <c r="H917" s="83"/>
      <c r="I917" s="405"/>
      <c r="O917" s="83"/>
      <c r="P917" s="405"/>
      <c r="V917" s="83"/>
      <c r="W917" s="405"/>
      <c r="AC917" s="83"/>
      <c r="AD917" s="405"/>
      <c r="AJ917" s="83"/>
      <c r="AK917" s="405"/>
      <c r="AQ917" s="83"/>
      <c r="AX917" s="83"/>
      <c r="BE917" s="83"/>
      <c r="BF917" s="405"/>
      <c r="BL917" s="83"/>
      <c r="BM917" s="405"/>
      <c r="BS917" s="83"/>
      <c r="BT917" s="405"/>
      <c r="BZ917" s="83"/>
      <c r="CA917" s="405"/>
      <c r="CG917" s="83"/>
    </row>
    <row r="918">
      <c r="B918" s="405"/>
      <c r="H918" s="83"/>
      <c r="I918" s="405"/>
      <c r="O918" s="83"/>
      <c r="P918" s="405"/>
      <c r="V918" s="83"/>
      <c r="W918" s="405"/>
      <c r="AC918" s="83"/>
      <c r="AD918" s="405"/>
      <c r="AJ918" s="83"/>
      <c r="AK918" s="405"/>
      <c r="AQ918" s="83"/>
      <c r="AX918" s="83"/>
      <c r="BE918" s="83"/>
      <c r="BF918" s="405"/>
      <c r="BL918" s="83"/>
      <c r="BM918" s="405"/>
      <c r="BS918" s="83"/>
      <c r="BT918" s="405"/>
      <c r="BZ918" s="83"/>
      <c r="CA918" s="405"/>
      <c r="CG918" s="83"/>
    </row>
    <row r="919">
      <c r="B919" s="405"/>
      <c r="H919" s="83"/>
      <c r="I919" s="405"/>
      <c r="O919" s="83"/>
      <c r="P919" s="405"/>
      <c r="V919" s="83"/>
      <c r="W919" s="405"/>
      <c r="AC919" s="83"/>
      <c r="AD919" s="405"/>
      <c r="AJ919" s="83"/>
      <c r="AK919" s="405"/>
      <c r="AQ919" s="83"/>
      <c r="AX919" s="83"/>
      <c r="BE919" s="83"/>
      <c r="BF919" s="405"/>
      <c r="BL919" s="83"/>
      <c r="BM919" s="405"/>
      <c r="BS919" s="83"/>
      <c r="BT919" s="405"/>
      <c r="BZ919" s="83"/>
      <c r="CA919" s="405"/>
      <c r="CG919" s="83"/>
    </row>
    <row r="920">
      <c r="B920" s="405"/>
      <c r="H920" s="83"/>
      <c r="I920" s="405"/>
      <c r="O920" s="83"/>
      <c r="P920" s="405"/>
      <c r="V920" s="83"/>
      <c r="W920" s="405"/>
      <c r="AC920" s="83"/>
      <c r="AD920" s="405"/>
      <c r="AJ920" s="83"/>
      <c r="AK920" s="405"/>
      <c r="AQ920" s="83"/>
      <c r="AX920" s="83"/>
      <c r="BE920" s="83"/>
      <c r="BF920" s="405"/>
      <c r="BL920" s="83"/>
      <c r="BM920" s="405"/>
      <c r="BS920" s="83"/>
      <c r="BT920" s="405"/>
      <c r="BZ920" s="83"/>
      <c r="CA920" s="405"/>
      <c r="CG920" s="83"/>
    </row>
    <row r="921">
      <c r="B921" s="405"/>
      <c r="H921" s="83"/>
      <c r="I921" s="405"/>
      <c r="O921" s="83"/>
      <c r="P921" s="405"/>
      <c r="V921" s="83"/>
      <c r="W921" s="405"/>
      <c r="AC921" s="83"/>
      <c r="AD921" s="405"/>
      <c r="AJ921" s="83"/>
      <c r="AK921" s="405"/>
      <c r="AQ921" s="83"/>
      <c r="AX921" s="83"/>
      <c r="BE921" s="83"/>
      <c r="BF921" s="405"/>
      <c r="BL921" s="83"/>
      <c r="BM921" s="405"/>
      <c r="BS921" s="83"/>
      <c r="BT921" s="405"/>
      <c r="BZ921" s="83"/>
      <c r="CA921" s="405"/>
      <c r="CG921" s="83"/>
    </row>
    <row r="922">
      <c r="B922" s="405"/>
      <c r="H922" s="83"/>
      <c r="I922" s="405"/>
      <c r="O922" s="83"/>
      <c r="P922" s="405"/>
      <c r="V922" s="83"/>
      <c r="W922" s="405"/>
      <c r="AC922" s="83"/>
      <c r="AD922" s="405"/>
      <c r="AJ922" s="83"/>
      <c r="AK922" s="405"/>
      <c r="AQ922" s="83"/>
      <c r="AX922" s="83"/>
      <c r="BE922" s="83"/>
      <c r="BF922" s="405"/>
      <c r="BL922" s="83"/>
      <c r="BM922" s="405"/>
      <c r="BS922" s="83"/>
      <c r="BT922" s="405"/>
      <c r="BZ922" s="83"/>
      <c r="CA922" s="405"/>
      <c r="CG922" s="83"/>
    </row>
    <row r="923">
      <c r="B923" s="405"/>
      <c r="H923" s="83"/>
      <c r="I923" s="405"/>
      <c r="O923" s="83"/>
      <c r="P923" s="405"/>
      <c r="V923" s="83"/>
      <c r="W923" s="405"/>
      <c r="AC923" s="83"/>
      <c r="AD923" s="405"/>
      <c r="AJ923" s="83"/>
      <c r="AK923" s="405"/>
      <c r="AQ923" s="83"/>
      <c r="AX923" s="83"/>
      <c r="BE923" s="83"/>
      <c r="BF923" s="405"/>
      <c r="BL923" s="83"/>
      <c r="BM923" s="405"/>
      <c r="BS923" s="83"/>
      <c r="BT923" s="405"/>
      <c r="BZ923" s="83"/>
      <c r="CA923" s="405"/>
      <c r="CG923" s="83"/>
    </row>
    <row r="924">
      <c r="B924" s="405"/>
      <c r="H924" s="83"/>
      <c r="I924" s="405"/>
      <c r="O924" s="83"/>
      <c r="P924" s="405"/>
      <c r="V924" s="83"/>
      <c r="W924" s="405"/>
      <c r="AC924" s="83"/>
      <c r="AD924" s="405"/>
      <c r="AJ924" s="83"/>
      <c r="AK924" s="405"/>
      <c r="AQ924" s="83"/>
      <c r="AX924" s="83"/>
      <c r="BE924" s="83"/>
      <c r="BF924" s="405"/>
      <c r="BL924" s="83"/>
      <c r="BM924" s="405"/>
      <c r="BS924" s="83"/>
      <c r="BT924" s="405"/>
      <c r="BZ924" s="83"/>
      <c r="CA924" s="405"/>
      <c r="CG924" s="83"/>
    </row>
    <row r="925">
      <c r="B925" s="405"/>
      <c r="H925" s="83"/>
      <c r="I925" s="405"/>
      <c r="O925" s="83"/>
      <c r="P925" s="405"/>
      <c r="V925" s="83"/>
      <c r="W925" s="405"/>
      <c r="AC925" s="83"/>
      <c r="AD925" s="405"/>
      <c r="AJ925" s="83"/>
      <c r="AK925" s="405"/>
      <c r="AQ925" s="83"/>
      <c r="AX925" s="83"/>
      <c r="BE925" s="83"/>
      <c r="BF925" s="405"/>
      <c r="BL925" s="83"/>
      <c r="BM925" s="405"/>
      <c r="BS925" s="83"/>
      <c r="BT925" s="405"/>
      <c r="BZ925" s="83"/>
      <c r="CA925" s="405"/>
      <c r="CG925" s="83"/>
    </row>
    <row r="926">
      <c r="B926" s="405"/>
      <c r="H926" s="83"/>
      <c r="I926" s="405"/>
      <c r="O926" s="83"/>
      <c r="P926" s="405"/>
      <c r="V926" s="83"/>
      <c r="W926" s="405"/>
      <c r="AC926" s="83"/>
      <c r="AD926" s="405"/>
      <c r="AJ926" s="83"/>
      <c r="AK926" s="405"/>
      <c r="AQ926" s="83"/>
      <c r="AX926" s="83"/>
      <c r="BE926" s="83"/>
      <c r="BF926" s="405"/>
      <c r="BL926" s="83"/>
      <c r="BM926" s="405"/>
      <c r="BS926" s="83"/>
      <c r="BT926" s="405"/>
      <c r="BZ926" s="83"/>
      <c r="CA926" s="405"/>
      <c r="CG926" s="83"/>
    </row>
    <row r="927">
      <c r="B927" s="405"/>
      <c r="H927" s="83"/>
      <c r="I927" s="405"/>
      <c r="O927" s="83"/>
      <c r="P927" s="405"/>
      <c r="V927" s="83"/>
      <c r="W927" s="405"/>
      <c r="AC927" s="83"/>
      <c r="AD927" s="405"/>
      <c r="AJ927" s="83"/>
      <c r="AK927" s="405"/>
      <c r="AQ927" s="83"/>
      <c r="AX927" s="83"/>
      <c r="BE927" s="83"/>
      <c r="BF927" s="405"/>
      <c r="BL927" s="83"/>
      <c r="BM927" s="405"/>
      <c r="BS927" s="83"/>
      <c r="BT927" s="405"/>
      <c r="BZ927" s="83"/>
      <c r="CA927" s="405"/>
      <c r="CG927" s="83"/>
    </row>
    <row r="928">
      <c r="B928" s="405"/>
      <c r="H928" s="83"/>
      <c r="I928" s="405"/>
      <c r="O928" s="83"/>
      <c r="P928" s="405"/>
      <c r="V928" s="83"/>
      <c r="W928" s="405"/>
      <c r="AC928" s="83"/>
      <c r="AD928" s="405"/>
      <c r="AJ928" s="83"/>
      <c r="AK928" s="405"/>
      <c r="AQ928" s="83"/>
      <c r="AX928" s="83"/>
      <c r="BE928" s="83"/>
      <c r="BF928" s="405"/>
      <c r="BL928" s="83"/>
      <c r="BM928" s="405"/>
      <c r="BS928" s="83"/>
      <c r="BT928" s="405"/>
      <c r="BZ928" s="83"/>
      <c r="CA928" s="405"/>
      <c r="CG928" s="83"/>
    </row>
    <row r="929">
      <c r="B929" s="405"/>
      <c r="H929" s="83"/>
      <c r="I929" s="405"/>
      <c r="O929" s="83"/>
      <c r="P929" s="405"/>
      <c r="V929" s="83"/>
      <c r="W929" s="405"/>
      <c r="AC929" s="83"/>
      <c r="AD929" s="405"/>
      <c r="AJ929" s="83"/>
      <c r="AK929" s="405"/>
      <c r="AQ929" s="83"/>
      <c r="AX929" s="83"/>
      <c r="BE929" s="83"/>
      <c r="BF929" s="405"/>
      <c r="BL929" s="83"/>
      <c r="BM929" s="405"/>
      <c r="BS929" s="83"/>
      <c r="BT929" s="405"/>
      <c r="BZ929" s="83"/>
      <c r="CA929" s="405"/>
      <c r="CG929" s="83"/>
    </row>
    <row r="930">
      <c r="B930" s="405"/>
      <c r="H930" s="83"/>
      <c r="I930" s="405"/>
      <c r="O930" s="83"/>
      <c r="P930" s="405"/>
      <c r="V930" s="83"/>
      <c r="W930" s="405"/>
      <c r="AC930" s="83"/>
      <c r="AD930" s="405"/>
      <c r="AJ930" s="83"/>
      <c r="AK930" s="405"/>
      <c r="AQ930" s="83"/>
      <c r="AX930" s="83"/>
      <c r="BE930" s="83"/>
      <c r="BF930" s="405"/>
      <c r="BL930" s="83"/>
      <c r="BM930" s="405"/>
      <c r="BS930" s="83"/>
      <c r="BT930" s="405"/>
      <c r="BZ930" s="83"/>
      <c r="CA930" s="405"/>
      <c r="CG930" s="83"/>
    </row>
    <row r="931">
      <c r="B931" s="405"/>
      <c r="H931" s="83"/>
      <c r="I931" s="405"/>
      <c r="O931" s="83"/>
      <c r="P931" s="405"/>
      <c r="V931" s="83"/>
      <c r="W931" s="405"/>
      <c r="AC931" s="83"/>
      <c r="AD931" s="405"/>
      <c r="AJ931" s="83"/>
      <c r="AK931" s="405"/>
      <c r="AQ931" s="83"/>
      <c r="AX931" s="83"/>
      <c r="BE931" s="83"/>
      <c r="BF931" s="405"/>
      <c r="BL931" s="83"/>
      <c r="BM931" s="405"/>
      <c r="BS931" s="83"/>
      <c r="BT931" s="405"/>
      <c r="BZ931" s="83"/>
      <c r="CA931" s="405"/>
      <c r="CG931" s="83"/>
    </row>
    <row r="932">
      <c r="B932" s="405"/>
      <c r="H932" s="83"/>
      <c r="I932" s="405"/>
      <c r="O932" s="83"/>
      <c r="P932" s="405"/>
      <c r="V932" s="83"/>
      <c r="W932" s="405"/>
      <c r="AC932" s="83"/>
      <c r="AD932" s="405"/>
      <c r="AJ932" s="83"/>
      <c r="AK932" s="405"/>
      <c r="AQ932" s="83"/>
      <c r="AX932" s="83"/>
      <c r="BE932" s="83"/>
      <c r="BF932" s="405"/>
      <c r="BL932" s="83"/>
      <c r="BM932" s="405"/>
      <c r="BS932" s="83"/>
      <c r="BT932" s="405"/>
      <c r="BZ932" s="83"/>
      <c r="CA932" s="405"/>
      <c r="CG932" s="83"/>
    </row>
    <row r="933">
      <c r="B933" s="405"/>
      <c r="H933" s="83"/>
      <c r="I933" s="405"/>
      <c r="O933" s="83"/>
      <c r="P933" s="405"/>
      <c r="V933" s="83"/>
      <c r="W933" s="405"/>
      <c r="AC933" s="83"/>
      <c r="AD933" s="405"/>
      <c r="AJ933" s="83"/>
      <c r="AK933" s="405"/>
      <c r="AQ933" s="83"/>
      <c r="AX933" s="83"/>
      <c r="BE933" s="83"/>
      <c r="BF933" s="405"/>
      <c r="BL933" s="83"/>
      <c r="BM933" s="405"/>
      <c r="BS933" s="83"/>
      <c r="BT933" s="405"/>
      <c r="BZ933" s="83"/>
      <c r="CA933" s="405"/>
      <c r="CG933" s="83"/>
    </row>
    <row r="934">
      <c r="B934" s="405"/>
      <c r="H934" s="83"/>
      <c r="I934" s="405"/>
      <c r="O934" s="83"/>
      <c r="P934" s="405"/>
      <c r="V934" s="83"/>
      <c r="W934" s="405"/>
      <c r="AC934" s="83"/>
      <c r="AD934" s="405"/>
      <c r="AJ934" s="83"/>
      <c r="AK934" s="405"/>
      <c r="AQ934" s="83"/>
      <c r="AX934" s="83"/>
      <c r="BE934" s="83"/>
      <c r="BF934" s="405"/>
      <c r="BL934" s="83"/>
      <c r="BM934" s="405"/>
      <c r="BS934" s="83"/>
      <c r="BT934" s="405"/>
      <c r="BZ934" s="83"/>
      <c r="CA934" s="405"/>
      <c r="CG934" s="83"/>
    </row>
    <row r="935">
      <c r="B935" s="405"/>
      <c r="H935" s="83"/>
      <c r="I935" s="405"/>
      <c r="O935" s="83"/>
      <c r="P935" s="405"/>
      <c r="V935" s="83"/>
      <c r="W935" s="405"/>
      <c r="AC935" s="83"/>
      <c r="AD935" s="405"/>
      <c r="AJ935" s="83"/>
      <c r="AK935" s="405"/>
      <c r="AQ935" s="83"/>
      <c r="AX935" s="83"/>
      <c r="BE935" s="83"/>
      <c r="BF935" s="405"/>
      <c r="BL935" s="83"/>
      <c r="BM935" s="405"/>
      <c r="BS935" s="83"/>
      <c r="BT935" s="405"/>
      <c r="BZ935" s="83"/>
      <c r="CA935" s="405"/>
      <c r="CG935" s="83"/>
    </row>
    <row r="936">
      <c r="B936" s="405"/>
      <c r="H936" s="83"/>
      <c r="I936" s="405"/>
      <c r="O936" s="83"/>
      <c r="P936" s="405"/>
      <c r="V936" s="83"/>
      <c r="W936" s="405"/>
      <c r="AC936" s="83"/>
      <c r="AD936" s="405"/>
      <c r="AJ936" s="83"/>
      <c r="AK936" s="405"/>
      <c r="AQ936" s="83"/>
      <c r="AX936" s="83"/>
      <c r="BE936" s="83"/>
      <c r="BF936" s="405"/>
      <c r="BL936" s="83"/>
      <c r="BM936" s="405"/>
      <c r="BS936" s="83"/>
      <c r="BT936" s="405"/>
      <c r="BZ936" s="83"/>
      <c r="CA936" s="405"/>
      <c r="CG936" s="83"/>
    </row>
    <row r="937">
      <c r="B937" s="405"/>
      <c r="H937" s="83"/>
      <c r="I937" s="405"/>
      <c r="O937" s="83"/>
      <c r="P937" s="405"/>
      <c r="V937" s="83"/>
      <c r="W937" s="405"/>
      <c r="AC937" s="83"/>
      <c r="AD937" s="405"/>
      <c r="AJ937" s="83"/>
      <c r="AK937" s="405"/>
      <c r="AQ937" s="83"/>
      <c r="AX937" s="83"/>
      <c r="BE937" s="83"/>
      <c r="BF937" s="405"/>
      <c r="BL937" s="83"/>
      <c r="BM937" s="405"/>
      <c r="BS937" s="83"/>
      <c r="BT937" s="405"/>
      <c r="BZ937" s="83"/>
      <c r="CA937" s="405"/>
      <c r="CG937" s="83"/>
    </row>
    <row r="938">
      <c r="B938" s="405"/>
      <c r="H938" s="83"/>
      <c r="I938" s="405"/>
      <c r="O938" s="83"/>
      <c r="P938" s="405"/>
      <c r="V938" s="83"/>
      <c r="W938" s="405"/>
      <c r="AC938" s="83"/>
      <c r="AD938" s="405"/>
      <c r="AJ938" s="83"/>
      <c r="AK938" s="405"/>
      <c r="AQ938" s="83"/>
      <c r="AX938" s="83"/>
      <c r="BE938" s="83"/>
      <c r="BF938" s="405"/>
      <c r="BL938" s="83"/>
      <c r="BM938" s="405"/>
      <c r="BS938" s="83"/>
      <c r="BT938" s="405"/>
      <c r="BZ938" s="83"/>
      <c r="CA938" s="405"/>
      <c r="CG938" s="83"/>
    </row>
    <row r="939">
      <c r="B939" s="405"/>
      <c r="H939" s="83"/>
      <c r="I939" s="405"/>
      <c r="O939" s="83"/>
      <c r="P939" s="405"/>
      <c r="V939" s="83"/>
      <c r="W939" s="405"/>
      <c r="AC939" s="83"/>
      <c r="AD939" s="405"/>
      <c r="AJ939" s="83"/>
      <c r="AK939" s="405"/>
      <c r="AQ939" s="83"/>
      <c r="AX939" s="83"/>
      <c r="BE939" s="83"/>
      <c r="BF939" s="405"/>
      <c r="BL939" s="83"/>
      <c r="BM939" s="405"/>
      <c r="BS939" s="83"/>
      <c r="BT939" s="405"/>
      <c r="BZ939" s="83"/>
      <c r="CA939" s="405"/>
      <c r="CG939" s="83"/>
    </row>
    <row r="940">
      <c r="B940" s="405"/>
      <c r="H940" s="83"/>
      <c r="I940" s="405"/>
      <c r="O940" s="83"/>
      <c r="P940" s="405"/>
      <c r="V940" s="83"/>
      <c r="W940" s="405"/>
      <c r="AC940" s="83"/>
      <c r="AD940" s="405"/>
      <c r="AJ940" s="83"/>
      <c r="AK940" s="405"/>
      <c r="AQ940" s="83"/>
      <c r="AX940" s="83"/>
      <c r="BE940" s="83"/>
      <c r="BF940" s="405"/>
      <c r="BL940" s="83"/>
      <c r="BM940" s="405"/>
      <c r="BS940" s="83"/>
      <c r="BT940" s="405"/>
      <c r="BZ940" s="83"/>
      <c r="CA940" s="405"/>
      <c r="CG940" s="83"/>
    </row>
    <row r="941">
      <c r="B941" s="405"/>
      <c r="H941" s="83"/>
      <c r="I941" s="405"/>
      <c r="O941" s="83"/>
      <c r="P941" s="405"/>
      <c r="V941" s="83"/>
      <c r="W941" s="405"/>
      <c r="AC941" s="83"/>
      <c r="AD941" s="405"/>
      <c r="AJ941" s="83"/>
      <c r="AK941" s="405"/>
      <c r="AQ941" s="83"/>
      <c r="AX941" s="83"/>
      <c r="BE941" s="83"/>
      <c r="BF941" s="405"/>
      <c r="BL941" s="83"/>
      <c r="BM941" s="405"/>
      <c r="BS941" s="83"/>
      <c r="BT941" s="405"/>
      <c r="BZ941" s="83"/>
      <c r="CA941" s="405"/>
      <c r="CG941" s="83"/>
    </row>
    <row r="942">
      <c r="B942" s="405"/>
      <c r="H942" s="83"/>
      <c r="I942" s="405"/>
      <c r="O942" s="83"/>
      <c r="P942" s="405"/>
      <c r="V942" s="83"/>
      <c r="W942" s="405"/>
      <c r="AC942" s="83"/>
      <c r="AD942" s="405"/>
      <c r="AJ942" s="83"/>
      <c r="AK942" s="405"/>
      <c r="AQ942" s="83"/>
      <c r="AX942" s="83"/>
      <c r="BE942" s="83"/>
      <c r="BF942" s="405"/>
      <c r="BL942" s="83"/>
      <c r="BM942" s="405"/>
      <c r="BS942" s="83"/>
      <c r="BT942" s="405"/>
      <c r="BZ942" s="83"/>
      <c r="CA942" s="405"/>
      <c r="CG942" s="83"/>
    </row>
    <row r="943">
      <c r="B943" s="405"/>
      <c r="H943" s="83"/>
      <c r="I943" s="405"/>
      <c r="O943" s="83"/>
      <c r="P943" s="405"/>
      <c r="V943" s="83"/>
      <c r="W943" s="405"/>
      <c r="AC943" s="83"/>
      <c r="AD943" s="405"/>
      <c r="AJ943" s="83"/>
      <c r="AK943" s="405"/>
      <c r="AQ943" s="83"/>
      <c r="AX943" s="83"/>
      <c r="BE943" s="83"/>
      <c r="BF943" s="405"/>
      <c r="BL943" s="83"/>
      <c r="BM943" s="405"/>
      <c r="BS943" s="83"/>
      <c r="BT943" s="405"/>
      <c r="BZ943" s="83"/>
      <c r="CA943" s="405"/>
      <c r="CG943" s="83"/>
    </row>
    <row r="944">
      <c r="B944" s="405"/>
      <c r="H944" s="83"/>
      <c r="I944" s="405"/>
      <c r="O944" s="83"/>
      <c r="P944" s="405"/>
      <c r="V944" s="83"/>
      <c r="W944" s="405"/>
      <c r="AC944" s="83"/>
      <c r="AD944" s="405"/>
      <c r="AJ944" s="83"/>
      <c r="AK944" s="405"/>
      <c r="AQ944" s="83"/>
      <c r="AX944" s="83"/>
      <c r="BE944" s="83"/>
      <c r="BF944" s="405"/>
      <c r="BL944" s="83"/>
      <c r="BM944" s="405"/>
      <c r="BS944" s="83"/>
      <c r="BT944" s="405"/>
      <c r="BZ944" s="83"/>
      <c r="CA944" s="405"/>
      <c r="CG944" s="83"/>
    </row>
    <row r="945">
      <c r="B945" s="405"/>
      <c r="H945" s="83"/>
      <c r="I945" s="405"/>
      <c r="O945" s="83"/>
      <c r="P945" s="405"/>
      <c r="V945" s="83"/>
      <c r="W945" s="405"/>
      <c r="AC945" s="83"/>
      <c r="AD945" s="405"/>
      <c r="AJ945" s="83"/>
      <c r="AK945" s="405"/>
      <c r="AQ945" s="83"/>
      <c r="AX945" s="83"/>
      <c r="BE945" s="83"/>
      <c r="BF945" s="405"/>
      <c r="BL945" s="83"/>
      <c r="BM945" s="405"/>
      <c r="BS945" s="83"/>
      <c r="BT945" s="405"/>
      <c r="BZ945" s="83"/>
      <c r="CA945" s="405"/>
      <c r="CG945" s="83"/>
    </row>
    <row r="946">
      <c r="B946" s="405"/>
      <c r="H946" s="83"/>
      <c r="I946" s="405"/>
      <c r="O946" s="83"/>
      <c r="P946" s="405"/>
      <c r="V946" s="83"/>
      <c r="W946" s="405"/>
      <c r="AC946" s="83"/>
      <c r="AD946" s="405"/>
      <c r="AJ946" s="83"/>
      <c r="AK946" s="405"/>
      <c r="AQ946" s="83"/>
      <c r="AX946" s="83"/>
      <c r="BE946" s="83"/>
      <c r="BF946" s="405"/>
      <c r="BL946" s="83"/>
      <c r="BM946" s="405"/>
      <c r="BS946" s="83"/>
      <c r="BT946" s="405"/>
      <c r="BZ946" s="83"/>
      <c r="CA946" s="405"/>
      <c r="CG946" s="83"/>
    </row>
    <row r="947">
      <c r="B947" s="405"/>
      <c r="H947" s="83"/>
      <c r="I947" s="405"/>
      <c r="O947" s="83"/>
      <c r="P947" s="405"/>
      <c r="V947" s="83"/>
      <c r="W947" s="405"/>
      <c r="AC947" s="83"/>
      <c r="AD947" s="405"/>
      <c r="AJ947" s="83"/>
      <c r="AK947" s="405"/>
      <c r="AQ947" s="83"/>
      <c r="AX947" s="83"/>
      <c r="BE947" s="83"/>
      <c r="BF947" s="405"/>
      <c r="BL947" s="83"/>
      <c r="BM947" s="405"/>
      <c r="BS947" s="83"/>
      <c r="BT947" s="405"/>
      <c r="BZ947" s="83"/>
      <c r="CA947" s="405"/>
      <c r="CG947" s="83"/>
    </row>
    <row r="948">
      <c r="B948" s="405"/>
      <c r="H948" s="83"/>
      <c r="I948" s="405"/>
      <c r="O948" s="83"/>
      <c r="P948" s="405"/>
      <c r="V948" s="83"/>
      <c r="W948" s="405"/>
      <c r="AC948" s="83"/>
      <c r="AD948" s="405"/>
      <c r="AJ948" s="83"/>
      <c r="AK948" s="405"/>
      <c r="AQ948" s="83"/>
      <c r="AX948" s="83"/>
      <c r="BE948" s="83"/>
      <c r="BF948" s="405"/>
      <c r="BL948" s="83"/>
      <c r="BM948" s="405"/>
      <c r="BS948" s="83"/>
      <c r="BT948" s="405"/>
      <c r="BZ948" s="83"/>
      <c r="CA948" s="405"/>
      <c r="CG948" s="83"/>
    </row>
    <row r="949">
      <c r="B949" s="405"/>
      <c r="H949" s="83"/>
      <c r="I949" s="405"/>
      <c r="O949" s="83"/>
      <c r="P949" s="405"/>
      <c r="V949" s="83"/>
      <c r="W949" s="405"/>
      <c r="AC949" s="83"/>
      <c r="AD949" s="405"/>
      <c r="AJ949" s="83"/>
      <c r="AK949" s="405"/>
      <c r="AQ949" s="83"/>
      <c r="AX949" s="83"/>
      <c r="BE949" s="83"/>
      <c r="BF949" s="405"/>
      <c r="BL949" s="83"/>
      <c r="BM949" s="405"/>
      <c r="BS949" s="83"/>
      <c r="BT949" s="405"/>
      <c r="BZ949" s="83"/>
      <c r="CA949" s="405"/>
      <c r="CG949" s="83"/>
    </row>
    <row r="950">
      <c r="B950" s="405"/>
      <c r="H950" s="83"/>
      <c r="I950" s="405"/>
      <c r="O950" s="83"/>
      <c r="P950" s="405"/>
      <c r="V950" s="83"/>
      <c r="W950" s="405"/>
      <c r="AC950" s="83"/>
      <c r="AD950" s="405"/>
      <c r="AJ950" s="83"/>
      <c r="AK950" s="405"/>
      <c r="AQ950" s="83"/>
      <c r="AX950" s="83"/>
      <c r="BE950" s="83"/>
      <c r="BF950" s="405"/>
      <c r="BL950" s="83"/>
      <c r="BM950" s="405"/>
      <c r="BS950" s="83"/>
      <c r="BT950" s="405"/>
      <c r="BZ950" s="83"/>
      <c r="CA950" s="405"/>
      <c r="CG950" s="83"/>
    </row>
    <row r="951">
      <c r="B951" s="405"/>
      <c r="H951" s="83"/>
      <c r="I951" s="405"/>
      <c r="O951" s="83"/>
      <c r="P951" s="405"/>
      <c r="V951" s="83"/>
      <c r="W951" s="405"/>
      <c r="AC951" s="83"/>
      <c r="AD951" s="405"/>
      <c r="AJ951" s="83"/>
      <c r="AK951" s="405"/>
      <c r="AQ951" s="83"/>
      <c r="AX951" s="83"/>
      <c r="BE951" s="83"/>
      <c r="BF951" s="405"/>
      <c r="BL951" s="83"/>
      <c r="BM951" s="405"/>
      <c r="BS951" s="83"/>
      <c r="BT951" s="405"/>
      <c r="BZ951" s="83"/>
      <c r="CA951" s="405"/>
      <c r="CG951" s="83"/>
    </row>
    <row r="952">
      <c r="B952" s="405"/>
      <c r="H952" s="83"/>
      <c r="I952" s="405"/>
      <c r="O952" s="83"/>
      <c r="P952" s="405"/>
      <c r="V952" s="83"/>
      <c r="W952" s="405"/>
      <c r="AC952" s="83"/>
      <c r="AD952" s="405"/>
      <c r="AJ952" s="83"/>
      <c r="AK952" s="405"/>
      <c r="AQ952" s="83"/>
      <c r="AX952" s="83"/>
      <c r="BE952" s="83"/>
      <c r="BF952" s="405"/>
      <c r="BL952" s="83"/>
      <c r="BM952" s="405"/>
      <c r="BS952" s="83"/>
      <c r="BT952" s="405"/>
      <c r="BZ952" s="83"/>
      <c r="CA952" s="405"/>
      <c r="CG952" s="83"/>
    </row>
    <row r="953">
      <c r="B953" s="405"/>
      <c r="H953" s="83"/>
      <c r="I953" s="405"/>
      <c r="O953" s="83"/>
      <c r="P953" s="405"/>
      <c r="V953" s="83"/>
      <c r="W953" s="405"/>
      <c r="AC953" s="83"/>
      <c r="AD953" s="405"/>
      <c r="AJ953" s="83"/>
      <c r="AK953" s="405"/>
      <c r="AQ953" s="83"/>
      <c r="AX953" s="83"/>
      <c r="BE953" s="83"/>
      <c r="BF953" s="405"/>
      <c r="BL953" s="83"/>
      <c r="BM953" s="405"/>
      <c r="BS953" s="83"/>
      <c r="BT953" s="405"/>
      <c r="BZ953" s="83"/>
      <c r="CA953" s="405"/>
      <c r="CG953" s="83"/>
    </row>
    <row r="954">
      <c r="B954" s="405"/>
      <c r="H954" s="83"/>
      <c r="I954" s="405"/>
      <c r="O954" s="83"/>
      <c r="P954" s="405"/>
      <c r="V954" s="83"/>
      <c r="W954" s="405"/>
      <c r="AC954" s="83"/>
      <c r="AD954" s="405"/>
      <c r="AJ954" s="83"/>
      <c r="AK954" s="405"/>
      <c r="AQ954" s="83"/>
      <c r="AX954" s="83"/>
      <c r="BE954" s="83"/>
      <c r="BF954" s="405"/>
      <c r="BL954" s="83"/>
      <c r="BM954" s="405"/>
      <c r="BS954" s="83"/>
      <c r="BT954" s="405"/>
      <c r="BZ954" s="83"/>
      <c r="CA954" s="405"/>
      <c r="CG954" s="83"/>
    </row>
    <row r="955">
      <c r="B955" s="405"/>
      <c r="H955" s="83"/>
      <c r="I955" s="405"/>
      <c r="O955" s="83"/>
      <c r="P955" s="405"/>
      <c r="V955" s="83"/>
      <c r="W955" s="405"/>
      <c r="AC955" s="83"/>
      <c r="AD955" s="405"/>
      <c r="AJ955" s="83"/>
      <c r="AK955" s="405"/>
      <c r="AQ955" s="83"/>
      <c r="AX955" s="83"/>
      <c r="BE955" s="83"/>
      <c r="BF955" s="405"/>
      <c r="BL955" s="83"/>
      <c r="BM955" s="405"/>
      <c r="BS955" s="83"/>
      <c r="BT955" s="405"/>
      <c r="BZ955" s="83"/>
      <c r="CA955" s="405"/>
      <c r="CG955" s="83"/>
    </row>
    <row r="956">
      <c r="B956" s="405"/>
      <c r="H956" s="83"/>
      <c r="I956" s="405"/>
      <c r="O956" s="83"/>
      <c r="P956" s="405"/>
      <c r="V956" s="83"/>
      <c r="W956" s="405"/>
      <c r="AC956" s="83"/>
      <c r="AD956" s="405"/>
      <c r="AJ956" s="83"/>
      <c r="AK956" s="405"/>
      <c r="AQ956" s="83"/>
      <c r="AX956" s="83"/>
      <c r="BE956" s="83"/>
      <c r="BF956" s="405"/>
      <c r="BL956" s="83"/>
      <c r="BM956" s="405"/>
      <c r="BS956" s="83"/>
      <c r="BT956" s="405"/>
      <c r="BZ956" s="83"/>
      <c r="CA956" s="405"/>
      <c r="CG956" s="83"/>
    </row>
    <row r="957">
      <c r="B957" s="405"/>
      <c r="H957" s="83"/>
      <c r="I957" s="405"/>
      <c r="O957" s="83"/>
      <c r="P957" s="405"/>
      <c r="V957" s="83"/>
      <c r="W957" s="405"/>
      <c r="AC957" s="83"/>
      <c r="AD957" s="405"/>
      <c r="AJ957" s="83"/>
      <c r="AK957" s="405"/>
      <c r="AQ957" s="83"/>
      <c r="AX957" s="83"/>
      <c r="BE957" s="83"/>
      <c r="BF957" s="405"/>
      <c r="BL957" s="83"/>
      <c r="BM957" s="405"/>
      <c r="BS957" s="83"/>
      <c r="BT957" s="405"/>
      <c r="BZ957" s="83"/>
      <c r="CA957" s="405"/>
      <c r="CG957" s="83"/>
    </row>
    <row r="958">
      <c r="B958" s="405"/>
      <c r="H958" s="83"/>
      <c r="I958" s="405"/>
      <c r="O958" s="83"/>
      <c r="P958" s="405"/>
      <c r="V958" s="83"/>
      <c r="W958" s="405"/>
      <c r="AC958" s="83"/>
      <c r="AD958" s="405"/>
      <c r="AJ958" s="83"/>
      <c r="AK958" s="405"/>
      <c r="AQ958" s="83"/>
      <c r="AX958" s="83"/>
      <c r="BE958" s="83"/>
      <c r="BF958" s="405"/>
      <c r="BL958" s="83"/>
      <c r="BM958" s="405"/>
      <c r="BS958" s="83"/>
      <c r="BT958" s="405"/>
      <c r="BZ958" s="83"/>
      <c r="CA958" s="405"/>
      <c r="CG958" s="83"/>
    </row>
    <row r="959">
      <c r="B959" s="405"/>
      <c r="H959" s="83"/>
      <c r="I959" s="405"/>
      <c r="O959" s="83"/>
      <c r="P959" s="405"/>
      <c r="V959" s="83"/>
      <c r="W959" s="405"/>
      <c r="AC959" s="83"/>
      <c r="AD959" s="405"/>
      <c r="AJ959" s="83"/>
      <c r="AK959" s="405"/>
      <c r="AQ959" s="83"/>
      <c r="AX959" s="83"/>
      <c r="BE959" s="83"/>
      <c r="BF959" s="405"/>
      <c r="BL959" s="83"/>
      <c r="BM959" s="405"/>
      <c r="BS959" s="83"/>
      <c r="BT959" s="405"/>
      <c r="BZ959" s="83"/>
      <c r="CA959" s="405"/>
      <c r="CG959" s="83"/>
    </row>
    <row r="960">
      <c r="B960" s="405"/>
      <c r="H960" s="83"/>
      <c r="I960" s="405"/>
      <c r="O960" s="83"/>
      <c r="P960" s="405"/>
      <c r="V960" s="83"/>
      <c r="W960" s="405"/>
      <c r="AC960" s="83"/>
      <c r="AD960" s="405"/>
      <c r="AJ960" s="83"/>
      <c r="AK960" s="405"/>
      <c r="AQ960" s="83"/>
      <c r="AX960" s="83"/>
      <c r="BE960" s="83"/>
      <c r="BF960" s="405"/>
      <c r="BL960" s="83"/>
      <c r="BM960" s="405"/>
      <c r="BS960" s="83"/>
      <c r="BT960" s="405"/>
      <c r="BZ960" s="83"/>
      <c r="CA960" s="405"/>
      <c r="CG960" s="83"/>
    </row>
    <row r="961">
      <c r="B961" s="405"/>
      <c r="H961" s="83"/>
      <c r="I961" s="405"/>
      <c r="O961" s="83"/>
      <c r="P961" s="405"/>
      <c r="V961" s="83"/>
      <c r="W961" s="405"/>
      <c r="AC961" s="83"/>
      <c r="AD961" s="405"/>
      <c r="AJ961" s="83"/>
      <c r="AK961" s="405"/>
      <c r="AQ961" s="83"/>
      <c r="AX961" s="83"/>
      <c r="BE961" s="83"/>
      <c r="BF961" s="405"/>
      <c r="BL961" s="83"/>
      <c r="BM961" s="405"/>
      <c r="BS961" s="83"/>
      <c r="BT961" s="405"/>
      <c r="BZ961" s="83"/>
      <c r="CA961" s="405"/>
      <c r="CG961" s="83"/>
    </row>
    <row r="962">
      <c r="B962" s="405"/>
      <c r="H962" s="83"/>
      <c r="I962" s="405"/>
      <c r="O962" s="83"/>
      <c r="P962" s="405"/>
      <c r="V962" s="83"/>
      <c r="W962" s="405"/>
      <c r="AC962" s="83"/>
      <c r="AD962" s="405"/>
      <c r="AJ962" s="83"/>
      <c r="AK962" s="405"/>
      <c r="AQ962" s="83"/>
      <c r="AX962" s="83"/>
      <c r="BE962" s="83"/>
      <c r="BF962" s="405"/>
      <c r="BL962" s="83"/>
      <c r="BM962" s="405"/>
      <c r="BS962" s="83"/>
      <c r="BT962" s="405"/>
      <c r="BZ962" s="83"/>
      <c r="CA962" s="405"/>
      <c r="CG962" s="83"/>
    </row>
    <row r="963">
      <c r="B963" s="405"/>
      <c r="H963" s="83"/>
      <c r="I963" s="405"/>
      <c r="O963" s="83"/>
      <c r="P963" s="405"/>
      <c r="V963" s="83"/>
      <c r="W963" s="405"/>
      <c r="AC963" s="83"/>
      <c r="AD963" s="405"/>
      <c r="AJ963" s="83"/>
      <c r="AK963" s="405"/>
      <c r="AQ963" s="83"/>
      <c r="AX963" s="83"/>
      <c r="BE963" s="83"/>
      <c r="BF963" s="405"/>
      <c r="BL963" s="83"/>
      <c r="BM963" s="405"/>
      <c r="BS963" s="83"/>
      <c r="BT963" s="405"/>
      <c r="BZ963" s="83"/>
      <c r="CA963" s="405"/>
      <c r="CG963" s="83"/>
    </row>
    <row r="964">
      <c r="B964" s="405"/>
      <c r="H964" s="83"/>
      <c r="I964" s="405"/>
      <c r="O964" s="83"/>
      <c r="P964" s="405"/>
      <c r="V964" s="83"/>
      <c r="W964" s="405"/>
      <c r="AC964" s="83"/>
      <c r="AD964" s="405"/>
      <c r="AJ964" s="83"/>
      <c r="AK964" s="405"/>
      <c r="AQ964" s="83"/>
      <c r="AX964" s="83"/>
      <c r="BE964" s="83"/>
      <c r="BF964" s="405"/>
      <c r="BL964" s="83"/>
      <c r="BM964" s="405"/>
      <c r="BS964" s="83"/>
      <c r="BT964" s="405"/>
      <c r="BZ964" s="83"/>
      <c r="CA964" s="405"/>
      <c r="CG964" s="83"/>
    </row>
    <row r="965">
      <c r="B965" s="405"/>
      <c r="H965" s="83"/>
      <c r="I965" s="405"/>
      <c r="O965" s="83"/>
      <c r="P965" s="405"/>
      <c r="V965" s="83"/>
      <c r="W965" s="405"/>
      <c r="AC965" s="83"/>
      <c r="AD965" s="405"/>
      <c r="AJ965" s="83"/>
      <c r="AK965" s="405"/>
      <c r="AQ965" s="83"/>
      <c r="AX965" s="83"/>
      <c r="BE965" s="83"/>
      <c r="BF965" s="405"/>
      <c r="BL965" s="83"/>
      <c r="BM965" s="405"/>
      <c r="BS965" s="83"/>
      <c r="BT965" s="405"/>
      <c r="BZ965" s="83"/>
      <c r="CA965" s="405"/>
      <c r="CG965" s="83"/>
    </row>
    <row r="966">
      <c r="B966" s="405"/>
      <c r="H966" s="83"/>
      <c r="I966" s="405"/>
      <c r="O966" s="83"/>
      <c r="P966" s="405"/>
      <c r="V966" s="83"/>
      <c r="W966" s="405"/>
      <c r="AC966" s="83"/>
      <c r="AD966" s="405"/>
      <c r="AJ966" s="83"/>
      <c r="AK966" s="405"/>
      <c r="AQ966" s="83"/>
      <c r="AX966" s="83"/>
      <c r="BE966" s="83"/>
      <c r="BF966" s="405"/>
      <c r="BL966" s="83"/>
      <c r="BM966" s="405"/>
      <c r="BS966" s="83"/>
      <c r="BT966" s="405"/>
      <c r="BZ966" s="83"/>
      <c r="CA966" s="405"/>
      <c r="CG966" s="83"/>
    </row>
    <row r="967">
      <c r="B967" s="405"/>
      <c r="H967" s="83"/>
      <c r="I967" s="405"/>
      <c r="O967" s="83"/>
      <c r="P967" s="405"/>
      <c r="V967" s="83"/>
      <c r="W967" s="405"/>
      <c r="AC967" s="83"/>
      <c r="AD967" s="405"/>
      <c r="AJ967" s="83"/>
      <c r="AK967" s="405"/>
      <c r="AQ967" s="83"/>
      <c r="AX967" s="83"/>
      <c r="BE967" s="83"/>
      <c r="BF967" s="405"/>
      <c r="BL967" s="83"/>
      <c r="BM967" s="405"/>
      <c r="BS967" s="83"/>
      <c r="BT967" s="405"/>
      <c r="BZ967" s="83"/>
      <c r="CA967" s="405"/>
      <c r="CG967" s="83"/>
    </row>
    <row r="968">
      <c r="B968" s="405"/>
      <c r="H968" s="83"/>
      <c r="I968" s="405"/>
      <c r="O968" s="83"/>
      <c r="P968" s="405"/>
      <c r="V968" s="83"/>
      <c r="W968" s="405"/>
      <c r="AC968" s="83"/>
      <c r="AD968" s="405"/>
      <c r="AJ968" s="83"/>
      <c r="AK968" s="405"/>
      <c r="AQ968" s="83"/>
      <c r="AX968" s="83"/>
      <c r="BE968" s="83"/>
      <c r="BF968" s="405"/>
      <c r="BL968" s="83"/>
      <c r="BM968" s="405"/>
      <c r="BS968" s="83"/>
      <c r="BT968" s="405"/>
      <c r="BZ968" s="83"/>
      <c r="CA968" s="405"/>
      <c r="CG968" s="83"/>
    </row>
    <row r="969">
      <c r="B969" s="405"/>
      <c r="H969" s="83"/>
      <c r="I969" s="405"/>
      <c r="O969" s="83"/>
      <c r="P969" s="405"/>
      <c r="V969" s="83"/>
      <c r="W969" s="405"/>
      <c r="AC969" s="83"/>
      <c r="AD969" s="405"/>
      <c r="AJ969" s="83"/>
      <c r="AK969" s="405"/>
      <c r="AQ969" s="83"/>
      <c r="AX969" s="83"/>
      <c r="BE969" s="83"/>
      <c r="BF969" s="405"/>
      <c r="BL969" s="83"/>
      <c r="BM969" s="405"/>
      <c r="BS969" s="83"/>
      <c r="BT969" s="405"/>
      <c r="BZ969" s="83"/>
      <c r="CA969" s="405"/>
      <c r="CG969" s="83"/>
    </row>
    <row r="970">
      <c r="B970" s="405"/>
      <c r="H970" s="83"/>
      <c r="I970" s="405"/>
      <c r="O970" s="83"/>
      <c r="P970" s="405"/>
      <c r="V970" s="83"/>
      <c r="W970" s="405"/>
      <c r="AC970" s="83"/>
      <c r="AD970" s="405"/>
      <c r="AJ970" s="83"/>
      <c r="AK970" s="405"/>
      <c r="AQ970" s="83"/>
      <c r="AX970" s="83"/>
      <c r="BE970" s="83"/>
      <c r="BF970" s="405"/>
      <c r="BL970" s="83"/>
      <c r="BM970" s="405"/>
      <c r="BS970" s="83"/>
      <c r="BT970" s="405"/>
      <c r="BZ970" s="83"/>
      <c r="CA970" s="405"/>
      <c r="CG970" s="83"/>
    </row>
    <row r="971">
      <c r="B971" s="405"/>
      <c r="H971" s="83"/>
      <c r="I971" s="405"/>
      <c r="O971" s="83"/>
      <c r="P971" s="405"/>
      <c r="V971" s="83"/>
      <c r="W971" s="405"/>
      <c r="AC971" s="83"/>
      <c r="AD971" s="405"/>
      <c r="AJ971" s="83"/>
      <c r="AK971" s="405"/>
      <c r="AQ971" s="83"/>
      <c r="AX971" s="83"/>
      <c r="BE971" s="83"/>
      <c r="BF971" s="405"/>
      <c r="BL971" s="83"/>
      <c r="BM971" s="405"/>
      <c r="BS971" s="83"/>
      <c r="BT971" s="405"/>
      <c r="BZ971" s="83"/>
      <c r="CA971" s="405"/>
      <c r="CG971" s="83"/>
    </row>
    <row r="972">
      <c r="B972" s="405"/>
      <c r="H972" s="83"/>
      <c r="I972" s="405"/>
      <c r="O972" s="83"/>
      <c r="P972" s="405"/>
      <c r="V972" s="83"/>
      <c r="W972" s="405"/>
      <c r="AC972" s="83"/>
      <c r="AD972" s="405"/>
      <c r="AJ972" s="83"/>
      <c r="AK972" s="405"/>
      <c r="AQ972" s="83"/>
      <c r="AX972" s="83"/>
      <c r="BE972" s="83"/>
      <c r="BF972" s="405"/>
      <c r="BL972" s="83"/>
      <c r="BM972" s="405"/>
      <c r="BS972" s="83"/>
      <c r="BT972" s="405"/>
      <c r="BZ972" s="83"/>
      <c r="CA972" s="405"/>
      <c r="CG972" s="83"/>
    </row>
    <row r="973">
      <c r="B973" s="405"/>
      <c r="H973" s="83"/>
      <c r="I973" s="405"/>
      <c r="O973" s="83"/>
      <c r="P973" s="405"/>
      <c r="V973" s="83"/>
      <c r="W973" s="405"/>
      <c r="AC973" s="83"/>
      <c r="AD973" s="405"/>
      <c r="AJ973" s="83"/>
      <c r="AK973" s="405"/>
      <c r="AQ973" s="83"/>
      <c r="AX973" s="83"/>
      <c r="BE973" s="83"/>
      <c r="BF973" s="405"/>
      <c r="BL973" s="83"/>
      <c r="BM973" s="405"/>
      <c r="BS973" s="83"/>
      <c r="BT973" s="405"/>
      <c r="BZ973" s="83"/>
      <c r="CA973" s="405"/>
      <c r="CG973" s="83"/>
    </row>
    <row r="974">
      <c r="B974" s="405"/>
      <c r="H974" s="83"/>
      <c r="I974" s="405"/>
      <c r="O974" s="83"/>
      <c r="P974" s="405"/>
      <c r="V974" s="83"/>
      <c r="W974" s="405"/>
      <c r="AC974" s="83"/>
      <c r="AD974" s="405"/>
      <c r="AJ974" s="83"/>
      <c r="AK974" s="405"/>
      <c r="AQ974" s="83"/>
      <c r="AX974" s="83"/>
      <c r="BE974" s="83"/>
      <c r="BF974" s="405"/>
      <c r="BL974" s="83"/>
      <c r="BM974" s="405"/>
      <c r="BS974" s="83"/>
      <c r="BT974" s="405"/>
      <c r="BZ974" s="83"/>
      <c r="CA974" s="405"/>
      <c r="CG974" s="83"/>
    </row>
    <row r="975">
      <c r="B975" s="405"/>
      <c r="H975" s="83"/>
      <c r="I975" s="405"/>
      <c r="O975" s="83"/>
      <c r="P975" s="405"/>
      <c r="V975" s="83"/>
      <c r="W975" s="405"/>
      <c r="AC975" s="83"/>
      <c r="AD975" s="405"/>
      <c r="AJ975" s="83"/>
      <c r="AK975" s="405"/>
      <c r="AQ975" s="83"/>
      <c r="AX975" s="83"/>
      <c r="BE975" s="83"/>
      <c r="BF975" s="405"/>
      <c r="BL975" s="83"/>
      <c r="BM975" s="405"/>
      <c r="BS975" s="83"/>
      <c r="BT975" s="405"/>
      <c r="BZ975" s="83"/>
      <c r="CA975" s="405"/>
      <c r="CG975" s="83"/>
    </row>
    <row r="976">
      <c r="B976" s="405"/>
      <c r="H976" s="83"/>
      <c r="I976" s="405"/>
      <c r="O976" s="83"/>
      <c r="P976" s="405"/>
      <c r="V976" s="83"/>
      <c r="W976" s="405"/>
      <c r="AC976" s="83"/>
      <c r="AD976" s="405"/>
      <c r="AJ976" s="83"/>
      <c r="AK976" s="405"/>
      <c r="AQ976" s="83"/>
      <c r="AX976" s="83"/>
      <c r="BE976" s="83"/>
      <c r="BF976" s="405"/>
      <c r="BL976" s="83"/>
      <c r="BM976" s="405"/>
      <c r="BS976" s="83"/>
      <c r="BT976" s="405"/>
      <c r="BZ976" s="83"/>
      <c r="CA976" s="405"/>
      <c r="CG976" s="83"/>
    </row>
    <row r="977">
      <c r="B977" s="405"/>
      <c r="H977" s="83"/>
      <c r="I977" s="405"/>
      <c r="O977" s="83"/>
      <c r="P977" s="405"/>
      <c r="V977" s="83"/>
      <c r="W977" s="405"/>
      <c r="AC977" s="83"/>
      <c r="AD977" s="405"/>
      <c r="AJ977" s="83"/>
      <c r="AK977" s="405"/>
      <c r="AQ977" s="83"/>
      <c r="AX977" s="83"/>
      <c r="BE977" s="83"/>
      <c r="BF977" s="405"/>
      <c r="BL977" s="83"/>
      <c r="BM977" s="405"/>
      <c r="BS977" s="83"/>
      <c r="BT977" s="405"/>
      <c r="BZ977" s="83"/>
      <c r="CA977" s="405"/>
      <c r="CG977" s="83"/>
    </row>
    <row r="978">
      <c r="B978" s="405"/>
      <c r="H978" s="83"/>
      <c r="I978" s="405"/>
      <c r="O978" s="83"/>
      <c r="P978" s="405"/>
      <c r="V978" s="83"/>
      <c r="W978" s="405"/>
      <c r="AC978" s="83"/>
      <c r="AD978" s="405"/>
      <c r="AJ978" s="83"/>
      <c r="AK978" s="405"/>
      <c r="AQ978" s="83"/>
      <c r="AX978" s="83"/>
      <c r="BE978" s="83"/>
      <c r="BF978" s="405"/>
      <c r="BL978" s="83"/>
      <c r="BM978" s="405"/>
      <c r="BS978" s="83"/>
      <c r="BT978" s="405"/>
      <c r="BZ978" s="83"/>
      <c r="CA978" s="405"/>
      <c r="CG978" s="83"/>
    </row>
    <row r="979">
      <c r="B979" s="405"/>
      <c r="H979" s="83"/>
      <c r="I979" s="405"/>
      <c r="O979" s="83"/>
      <c r="P979" s="405"/>
      <c r="V979" s="83"/>
      <c r="W979" s="405"/>
      <c r="AC979" s="83"/>
      <c r="AD979" s="405"/>
      <c r="AJ979" s="83"/>
      <c r="AK979" s="405"/>
      <c r="AQ979" s="83"/>
      <c r="AX979" s="83"/>
      <c r="BE979" s="83"/>
      <c r="BF979" s="405"/>
      <c r="BL979" s="83"/>
      <c r="BM979" s="405"/>
      <c r="BS979" s="83"/>
      <c r="BT979" s="405"/>
      <c r="BZ979" s="83"/>
      <c r="CA979" s="405"/>
      <c r="CG979" s="83"/>
    </row>
    <row r="980">
      <c r="B980" s="405"/>
      <c r="H980" s="83"/>
      <c r="I980" s="405"/>
      <c r="O980" s="83"/>
      <c r="P980" s="405"/>
      <c r="V980" s="83"/>
      <c r="W980" s="405"/>
      <c r="AC980" s="83"/>
      <c r="AD980" s="405"/>
      <c r="AJ980" s="83"/>
      <c r="AK980" s="405"/>
      <c r="AQ980" s="83"/>
      <c r="AX980" s="83"/>
      <c r="BE980" s="83"/>
      <c r="BF980" s="405"/>
      <c r="BL980" s="83"/>
      <c r="BM980" s="405"/>
      <c r="BS980" s="83"/>
      <c r="BT980" s="405"/>
      <c r="BZ980" s="83"/>
      <c r="CA980" s="405"/>
      <c r="CG980" s="83"/>
    </row>
    <row r="981">
      <c r="B981" s="405"/>
      <c r="H981" s="83"/>
      <c r="I981" s="405"/>
      <c r="O981" s="83"/>
      <c r="P981" s="405"/>
      <c r="V981" s="83"/>
      <c r="W981" s="405"/>
      <c r="AC981" s="83"/>
      <c r="AD981" s="405"/>
      <c r="AJ981" s="83"/>
      <c r="AK981" s="405"/>
      <c r="AQ981" s="83"/>
      <c r="AX981" s="83"/>
      <c r="BE981" s="83"/>
      <c r="BF981" s="405"/>
      <c r="BL981" s="83"/>
      <c r="BM981" s="405"/>
      <c r="BS981" s="83"/>
      <c r="BT981" s="405"/>
      <c r="BZ981" s="83"/>
      <c r="CA981" s="405"/>
      <c r="CG981" s="83"/>
    </row>
    <row r="982">
      <c r="B982" s="405"/>
      <c r="H982" s="83"/>
      <c r="I982" s="405"/>
      <c r="O982" s="83"/>
      <c r="P982" s="405"/>
      <c r="V982" s="83"/>
      <c r="W982" s="405"/>
      <c r="AC982" s="83"/>
      <c r="AD982" s="405"/>
      <c r="AJ982" s="83"/>
      <c r="AK982" s="405"/>
      <c r="AQ982" s="83"/>
      <c r="AX982" s="83"/>
      <c r="BE982" s="83"/>
      <c r="BF982" s="405"/>
      <c r="BL982" s="83"/>
      <c r="BM982" s="405"/>
      <c r="BS982" s="83"/>
      <c r="BT982" s="405"/>
      <c r="BZ982" s="83"/>
      <c r="CA982" s="405"/>
      <c r="CG982" s="83"/>
    </row>
    <row r="983">
      <c r="B983" s="405"/>
      <c r="H983" s="83"/>
      <c r="I983" s="405"/>
      <c r="O983" s="83"/>
      <c r="P983" s="405"/>
      <c r="V983" s="83"/>
      <c r="W983" s="405"/>
      <c r="AC983" s="83"/>
      <c r="AD983" s="405"/>
      <c r="AJ983" s="83"/>
      <c r="AK983" s="405"/>
      <c r="AQ983" s="83"/>
      <c r="AX983" s="83"/>
      <c r="BE983" s="83"/>
      <c r="BF983" s="405"/>
      <c r="BL983" s="83"/>
      <c r="BM983" s="405"/>
      <c r="BS983" s="83"/>
      <c r="BT983" s="405"/>
      <c r="BZ983" s="83"/>
      <c r="CA983" s="405"/>
      <c r="CG983" s="83"/>
    </row>
    <row r="984">
      <c r="B984" s="405"/>
      <c r="H984" s="83"/>
      <c r="I984" s="405"/>
      <c r="O984" s="83"/>
      <c r="P984" s="405"/>
      <c r="V984" s="83"/>
      <c r="W984" s="405"/>
      <c r="AC984" s="83"/>
      <c r="AD984" s="405"/>
      <c r="AJ984" s="83"/>
      <c r="AK984" s="405"/>
      <c r="AQ984" s="83"/>
      <c r="AX984" s="83"/>
      <c r="BE984" s="83"/>
      <c r="BF984" s="405"/>
      <c r="BL984" s="83"/>
      <c r="BM984" s="405"/>
      <c r="BS984" s="83"/>
      <c r="BT984" s="405"/>
      <c r="BZ984" s="83"/>
      <c r="CA984" s="405"/>
      <c r="CG984" s="83"/>
    </row>
    <row r="985">
      <c r="B985" s="405"/>
      <c r="H985" s="83"/>
      <c r="I985" s="405"/>
      <c r="O985" s="83"/>
      <c r="P985" s="405"/>
      <c r="V985" s="83"/>
      <c r="W985" s="405"/>
      <c r="AC985" s="83"/>
      <c r="AD985" s="405"/>
      <c r="AJ985" s="83"/>
      <c r="AK985" s="405"/>
      <c r="AQ985" s="83"/>
      <c r="AX985" s="83"/>
      <c r="BE985" s="83"/>
      <c r="BF985" s="405"/>
      <c r="BL985" s="83"/>
      <c r="BM985" s="405"/>
      <c r="BS985" s="83"/>
      <c r="BT985" s="405"/>
      <c r="BZ985" s="83"/>
      <c r="CA985" s="405"/>
      <c r="CG985" s="83"/>
    </row>
    <row r="986">
      <c r="B986" s="405"/>
      <c r="H986" s="83"/>
      <c r="I986" s="405"/>
      <c r="O986" s="83"/>
      <c r="P986" s="405"/>
      <c r="V986" s="83"/>
      <c r="W986" s="405"/>
      <c r="AC986" s="83"/>
      <c r="AD986" s="405"/>
      <c r="AJ986" s="83"/>
      <c r="AK986" s="405"/>
      <c r="AQ986" s="83"/>
      <c r="AX986" s="83"/>
      <c r="BE986" s="83"/>
      <c r="BF986" s="405"/>
      <c r="BL986" s="83"/>
      <c r="BM986" s="405"/>
      <c r="BS986" s="83"/>
      <c r="BT986" s="405"/>
      <c r="BZ986" s="83"/>
      <c r="CA986" s="405"/>
      <c r="CG986" s="83"/>
    </row>
    <row r="987">
      <c r="B987" s="405"/>
      <c r="H987" s="83"/>
      <c r="I987" s="405"/>
      <c r="O987" s="83"/>
      <c r="P987" s="405"/>
      <c r="V987" s="83"/>
      <c r="W987" s="405"/>
      <c r="AC987" s="83"/>
      <c r="AD987" s="405"/>
      <c r="AJ987" s="83"/>
      <c r="AK987" s="405"/>
      <c r="AQ987" s="83"/>
      <c r="AX987" s="83"/>
      <c r="BE987" s="83"/>
      <c r="BF987" s="405"/>
      <c r="BL987" s="83"/>
      <c r="BM987" s="405"/>
      <c r="BS987" s="83"/>
      <c r="BT987" s="405"/>
      <c r="BZ987" s="83"/>
      <c r="CA987" s="405"/>
      <c r="CG987" s="83"/>
    </row>
    <row r="988">
      <c r="B988" s="405"/>
      <c r="H988" s="83"/>
      <c r="I988" s="405"/>
      <c r="O988" s="83"/>
      <c r="P988" s="405"/>
      <c r="V988" s="83"/>
      <c r="W988" s="405"/>
      <c r="AC988" s="83"/>
      <c r="AD988" s="405"/>
      <c r="AJ988" s="83"/>
      <c r="AK988" s="405"/>
      <c r="AQ988" s="83"/>
      <c r="AX988" s="83"/>
      <c r="BE988" s="83"/>
      <c r="BF988" s="405"/>
      <c r="BL988" s="83"/>
      <c r="BM988" s="405"/>
      <c r="BS988" s="83"/>
      <c r="BT988" s="405"/>
      <c r="BZ988" s="83"/>
      <c r="CA988" s="405"/>
      <c r="CG988" s="83"/>
    </row>
    <row r="989">
      <c r="B989" s="405"/>
      <c r="H989" s="83"/>
      <c r="I989" s="405"/>
      <c r="O989" s="83"/>
      <c r="P989" s="405"/>
      <c r="V989" s="83"/>
      <c r="W989" s="405"/>
      <c r="AC989" s="83"/>
      <c r="AD989" s="405"/>
      <c r="AJ989" s="83"/>
      <c r="AK989" s="405"/>
      <c r="AQ989" s="83"/>
      <c r="AX989" s="83"/>
      <c r="BE989" s="83"/>
      <c r="BF989" s="405"/>
      <c r="BL989" s="83"/>
      <c r="BM989" s="405"/>
      <c r="BS989" s="83"/>
      <c r="BT989" s="405"/>
      <c r="BZ989" s="83"/>
      <c r="CA989" s="405"/>
      <c r="CG989" s="83"/>
    </row>
    <row r="990">
      <c r="B990" s="405"/>
      <c r="H990" s="83"/>
      <c r="I990" s="405"/>
      <c r="O990" s="83"/>
      <c r="P990" s="405"/>
      <c r="V990" s="83"/>
      <c r="W990" s="405"/>
      <c r="AC990" s="83"/>
      <c r="AD990" s="405"/>
      <c r="AJ990" s="83"/>
      <c r="AK990" s="405"/>
      <c r="AQ990" s="83"/>
      <c r="AX990" s="83"/>
      <c r="BE990" s="83"/>
      <c r="BF990" s="405"/>
      <c r="BL990" s="83"/>
      <c r="BM990" s="405"/>
      <c r="BS990" s="83"/>
      <c r="BT990" s="405"/>
      <c r="BZ990" s="83"/>
      <c r="CA990" s="405"/>
      <c r="CG990" s="83"/>
    </row>
    <row r="991">
      <c r="B991" s="405"/>
      <c r="H991" s="83"/>
      <c r="I991" s="405"/>
      <c r="O991" s="83"/>
      <c r="P991" s="405"/>
      <c r="V991" s="83"/>
      <c r="W991" s="405"/>
      <c r="AC991" s="83"/>
      <c r="AD991" s="405"/>
      <c r="AJ991" s="83"/>
      <c r="AK991" s="405"/>
      <c r="AQ991" s="83"/>
      <c r="AX991" s="83"/>
      <c r="BE991" s="83"/>
      <c r="BF991" s="405"/>
      <c r="BL991" s="83"/>
      <c r="BM991" s="405"/>
      <c r="BS991" s="83"/>
      <c r="BT991" s="405"/>
      <c r="BZ991" s="83"/>
      <c r="CA991" s="405"/>
      <c r="CG991" s="83"/>
    </row>
    <row r="992">
      <c r="B992" s="405"/>
      <c r="H992" s="83"/>
      <c r="I992" s="405"/>
      <c r="O992" s="83"/>
      <c r="P992" s="405"/>
      <c r="V992" s="83"/>
      <c r="W992" s="405"/>
      <c r="AC992" s="83"/>
      <c r="AD992" s="405"/>
      <c r="AJ992" s="83"/>
      <c r="AK992" s="405"/>
      <c r="AQ992" s="83"/>
      <c r="AX992" s="83"/>
      <c r="BE992" s="83"/>
      <c r="BF992" s="405"/>
      <c r="BL992" s="83"/>
      <c r="BM992" s="405"/>
      <c r="BS992" s="83"/>
      <c r="BT992" s="405"/>
      <c r="BZ992" s="83"/>
      <c r="CA992" s="405"/>
      <c r="CG992" s="83"/>
    </row>
    <row r="993">
      <c r="B993" s="405"/>
      <c r="H993" s="83"/>
      <c r="I993" s="405"/>
      <c r="O993" s="83"/>
      <c r="P993" s="405"/>
      <c r="V993" s="83"/>
      <c r="W993" s="405"/>
      <c r="AC993" s="83"/>
      <c r="AD993" s="405"/>
      <c r="AJ993" s="83"/>
      <c r="AK993" s="405"/>
      <c r="AQ993" s="83"/>
      <c r="AX993" s="83"/>
      <c r="BE993" s="83"/>
      <c r="BF993" s="405"/>
      <c r="BL993" s="83"/>
      <c r="BM993" s="405"/>
      <c r="BS993" s="83"/>
      <c r="BT993" s="405"/>
      <c r="BZ993" s="83"/>
      <c r="CA993" s="405"/>
      <c r="CG993" s="83"/>
    </row>
    <row r="994">
      <c r="B994" s="405"/>
      <c r="H994" s="83"/>
      <c r="I994" s="405"/>
      <c r="O994" s="83"/>
      <c r="P994" s="405"/>
      <c r="V994" s="83"/>
      <c r="W994" s="405"/>
      <c r="AC994" s="83"/>
      <c r="AD994" s="405"/>
      <c r="AJ994" s="83"/>
      <c r="AK994" s="405"/>
      <c r="AQ994" s="83"/>
      <c r="AX994" s="83"/>
      <c r="BE994" s="83"/>
      <c r="BF994" s="405"/>
      <c r="BL994" s="83"/>
      <c r="BM994" s="405"/>
      <c r="BS994" s="83"/>
      <c r="BT994" s="405"/>
      <c r="BZ994" s="83"/>
      <c r="CA994" s="405"/>
      <c r="CG994" s="83"/>
    </row>
    <row r="995">
      <c r="B995" s="405"/>
      <c r="H995" s="83"/>
      <c r="I995" s="405"/>
      <c r="O995" s="83"/>
      <c r="P995" s="405"/>
      <c r="V995" s="83"/>
      <c r="W995" s="405"/>
      <c r="AC995" s="83"/>
      <c r="AD995" s="405"/>
      <c r="AJ995" s="83"/>
      <c r="AK995" s="405"/>
      <c r="AQ995" s="83"/>
      <c r="AX995" s="83"/>
      <c r="BE995" s="83"/>
      <c r="BF995" s="405"/>
      <c r="BL995" s="83"/>
      <c r="BM995" s="405"/>
      <c r="BS995" s="83"/>
      <c r="BT995" s="405"/>
      <c r="BZ995" s="83"/>
      <c r="CA995" s="405"/>
      <c r="CG995" s="83"/>
    </row>
    <row r="996">
      <c r="B996" s="405"/>
      <c r="H996" s="83"/>
      <c r="I996" s="405"/>
      <c r="O996" s="83"/>
      <c r="P996" s="405"/>
      <c r="V996" s="83"/>
      <c r="W996" s="405"/>
      <c r="AC996" s="83"/>
      <c r="AD996" s="405"/>
      <c r="AJ996" s="83"/>
      <c r="AK996" s="405"/>
      <c r="AQ996" s="83"/>
      <c r="AX996" s="83"/>
      <c r="BE996" s="83"/>
      <c r="BF996" s="405"/>
      <c r="BL996" s="83"/>
      <c r="BM996" s="405"/>
      <c r="BS996" s="83"/>
      <c r="BT996" s="405"/>
      <c r="BZ996" s="83"/>
      <c r="CA996" s="405"/>
      <c r="CG996" s="83"/>
    </row>
    <row r="997">
      <c r="B997" s="405"/>
      <c r="H997" s="83"/>
      <c r="I997" s="405"/>
      <c r="O997" s="83"/>
      <c r="P997" s="405"/>
      <c r="V997" s="83"/>
      <c r="W997" s="405"/>
      <c r="AC997" s="83"/>
      <c r="AD997" s="405"/>
      <c r="AJ997" s="83"/>
      <c r="AK997" s="405"/>
      <c r="AQ997" s="83"/>
      <c r="AX997" s="83"/>
      <c r="BE997" s="83"/>
      <c r="BF997" s="405"/>
      <c r="BL997" s="83"/>
      <c r="BM997" s="405"/>
      <c r="BS997" s="83"/>
      <c r="BT997" s="405"/>
      <c r="BZ997" s="83"/>
      <c r="CA997" s="405"/>
      <c r="CG997" s="83"/>
    </row>
    <row r="998">
      <c r="B998" s="405"/>
      <c r="H998" s="83"/>
      <c r="I998" s="405"/>
      <c r="O998" s="83"/>
      <c r="P998" s="405"/>
      <c r="V998" s="83"/>
      <c r="W998" s="405"/>
      <c r="AC998" s="83"/>
      <c r="AD998" s="405"/>
      <c r="AJ998" s="83"/>
      <c r="AK998" s="405"/>
      <c r="AQ998" s="83"/>
      <c r="AX998" s="83"/>
      <c r="BE998" s="83"/>
      <c r="BF998" s="405"/>
      <c r="BL998" s="83"/>
      <c r="BM998" s="405"/>
      <c r="BS998" s="83"/>
      <c r="BT998" s="405"/>
      <c r="BZ998" s="83"/>
      <c r="CA998" s="405"/>
      <c r="CG998" s="83"/>
    </row>
    <row r="999">
      <c r="B999" s="405"/>
      <c r="H999" s="83"/>
      <c r="I999" s="405"/>
      <c r="O999" s="83"/>
      <c r="P999" s="405"/>
      <c r="V999" s="83"/>
      <c r="W999" s="405"/>
      <c r="AC999" s="83"/>
      <c r="AD999" s="405"/>
      <c r="AJ999" s="83"/>
      <c r="AK999" s="405"/>
      <c r="AQ999" s="83"/>
      <c r="AX999" s="83"/>
      <c r="BE999" s="83"/>
      <c r="BF999" s="405"/>
      <c r="BL999" s="83"/>
      <c r="BM999" s="405"/>
      <c r="BS999" s="83"/>
      <c r="BT999" s="405"/>
      <c r="BZ999" s="83"/>
      <c r="CA999" s="405"/>
      <c r="CG999" s="83"/>
    </row>
    <row r="1000">
      <c r="B1000" s="405"/>
      <c r="H1000" s="83"/>
      <c r="I1000" s="405"/>
      <c r="O1000" s="83"/>
      <c r="P1000" s="405"/>
      <c r="V1000" s="83"/>
      <c r="W1000" s="405"/>
      <c r="AC1000" s="83"/>
      <c r="AD1000" s="405"/>
      <c r="AJ1000" s="83"/>
      <c r="AK1000" s="405"/>
      <c r="AQ1000" s="83"/>
      <c r="AX1000" s="83"/>
      <c r="BE1000" s="83"/>
      <c r="BF1000" s="405"/>
      <c r="BL1000" s="83"/>
      <c r="BM1000" s="405"/>
      <c r="BS1000" s="83"/>
      <c r="BT1000" s="405"/>
      <c r="BZ1000" s="83"/>
      <c r="CA1000" s="405"/>
      <c r="CG1000" s="83"/>
    </row>
    <row r="1001">
      <c r="B1001" s="405"/>
      <c r="H1001" s="83"/>
      <c r="I1001" s="405"/>
      <c r="O1001" s="83"/>
      <c r="P1001" s="405"/>
      <c r="V1001" s="83"/>
      <c r="W1001" s="405"/>
      <c r="AC1001" s="83"/>
      <c r="AD1001" s="405"/>
      <c r="AJ1001" s="83"/>
      <c r="AK1001" s="405"/>
      <c r="AQ1001" s="83"/>
      <c r="AX1001" s="83"/>
      <c r="BE1001" s="83"/>
      <c r="BF1001" s="405"/>
      <c r="BL1001" s="83"/>
      <c r="BM1001" s="405"/>
      <c r="BS1001" s="83"/>
      <c r="BT1001" s="405"/>
      <c r="BZ1001" s="83"/>
      <c r="CA1001" s="405"/>
      <c r="CG1001" s="83"/>
    </row>
    <row r="1002">
      <c r="B1002" s="405"/>
      <c r="H1002" s="83"/>
      <c r="I1002" s="405"/>
      <c r="O1002" s="83"/>
      <c r="P1002" s="405"/>
      <c r="V1002" s="83"/>
      <c r="W1002" s="405"/>
      <c r="AC1002" s="83"/>
      <c r="AD1002" s="405"/>
      <c r="AJ1002" s="83"/>
      <c r="AK1002" s="405"/>
      <c r="AQ1002" s="83"/>
      <c r="AX1002" s="83"/>
      <c r="BE1002" s="83"/>
      <c r="BF1002" s="405"/>
      <c r="BL1002" s="83"/>
      <c r="BM1002" s="405"/>
      <c r="BS1002" s="83"/>
      <c r="BT1002" s="405"/>
      <c r="BZ1002" s="83"/>
      <c r="CA1002" s="405"/>
      <c r="CG1002" s="83"/>
    </row>
    <row r="1003">
      <c r="B1003" s="405"/>
      <c r="H1003" s="83"/>
      <c r="I1003" s="405"/>
      <c r="O1003" s="83"/>
      <c r="P1003" s="405"/>
      <c r="V1003" s="83"/>
      <c r="W1003" s="405"/>
      <c r="AC1003" s="83"/>
      <c r="AD1003" s="405"/>
      <c r="AJ1003" s="83"/>
      <c r="AK1003" s="405"/>
      <c r="AQ1003" s="83"/>
      <c r="AX1003" s="83"/>
      <c r="BE1003" s="83"/>
      <c r="BF1003" s="405"/>
      <c r="BL1003" s="83"/>
      <c r="BM1003" s="405"/>
      <c r="BS1003" s="83"/>
      <c r="BT1003" s="405"/>
      <c r="BZ1003" s="83"/>
      <c r="CA1003" s="405"/>
      <c r="CG1003" s="83"/>
    </row>
    <row r="1004">
      <c r="B1004" s="405"/>
      <c r="H1004" s="83"/>
      <c r="I1004" s="405"/>
      <c r="O1004" s="83"/>
      <c r="P1004" s="405"/>
      <c r="V1004" s="83"/>
      <c r="W1004" s="405"/>
      <c r="AC1004" s="83"/>
      <c r="AD1004" s="405"/>
      <c r="AJ1004" s="83"/>
      <c r="AK1004" s="405"/>
      <c r="AQ1004" s="83"/>
      <c r="AX1004" s="83"/>
      <c r="BE1004" s="83"/>
      <c r="BF1004" s="405"/>
      <c r="BL1004" s="83"/>
      <c r="BM1004" s="405"/>
      <c r="BS1004" s="83"/>
      <c r="BT1004" s="405"/>
      <c r="BZ1004" s="83"/>
      <c r="CA1004" s="405"/>
      <c r="CG1004" s="83"/>
    </row>
    <row r="1005">
      <c r="B1005" s="405"/>
      <c r="H1005" s="83"/>
      <c r="I1005" s="405"/>
      <c r="O1005" s="83"/>
      <c r="P1005" s="405"/>
      <c r="V1005" s="83"/>
      <c r="W1005" s="405"/>
      <c r="AC1005" s="83"/>
      <c r="AD1005" s="405"/>
      <c r="AJ1005" s="83"/>
      <c r="AK1005" s="405"/>
      <c r="AQ1005" s="83"/>
      <c r="AX1005" s="83"/>
      <c r="BE1005" s="83"/>
      <c r="BF1005" s="405"/>
      <c r="BL1005" s="83"/>
      <c r="BM1005" s="405"/>
      <c r="BS1005" s="83"/>
      <c r="BT1005" s="405"/>
      <c r="BZ1005" s="83"/>
      <c r="CA1005" s="405"/>
      <c r="CG1005" s="83"/>
    </row>
    <row r="1006">
      <c r="B1006" s="488"/>
      <c r="C1006" s="23"/>
      <c r="D1006" s="23"/>
      <c r="E1006" s="23"/>
      <c r="F1006" s="23"/>
      <c r="G1006" s="23"/>
      <c r="H1006" s="104"/>
      <c r="I1006" s="488"/>
      <c r="J1006" s="23"/>
      <c r="K1006" s="23"/>
      <c r="L1006" s="23"/>
      <c r="M1006" s="23"/>
      <c r="N1006" s="23"/>
      <c r="O1006" s="104"/>
      <c r="P1006" s="488"/>
      <c r="Q1006" s="23"/>
      <c r="R1006" s="23"/>
      <c r="S1006" s="23"/>
      <c r="T1006" s="23"/>
      <c r="U1006" s="23"/>
      <c r="V1006" s="104"/>
      <c r="W1006" s="488"/>
      <c r="X1006" s="23"/>
      <c r="Y1006" s="23"/>
      <c r="Z1006" s="23"/>
      <c r="AA1006" s="23"/>
      <c r="AB1006" s="23"/>
      <c r="AC1006" s="104"/>
      <c r="AD1006" s="488"/>
      <c r="AE1006" s="23"/>
      <c r="AF1006" s="23"/>
      <c r="AG1006" s="23"/>
      <c r="AH1006" s="23"/>
      <c r="AI1006" s="23"/>
      <c r="AJ1006" s="104"/>
      <c r="AK1006" s="488"/>
      <c r="AL1006" s="23"/>
      <c r="AM1006" s="23"/>
      <c r="AN1006" s="23"/>
      <c r="AO1006" s="23"/>
      <c r="AP1006" s="23"/>
      <c r="AQ1006" s="83"/>
      <c r="AR1006" s="23"/>
      <c r="AS1006" s="23"/>
      <c r="AT1006" s="23"/>
      <c r="AU1006" s="23"/>
      <c r="AV1006" s="23"/>
      <c r="AW1006" s="23"/>
      <c r="AX1006" s="83"/>
      <c r="AY1006" s="23"/>
      <c r="AZ1006" s="23"/>
      <c r="BA1006" s="23"/>
      <c r="BB1006" s="23"/>
      <c r="BC1006" s="23"/>
      <c r="BD1006" s="23"/>
      <c r="BE1006" s="104"/>
      <c r="BF1006" s="488"/>
      <c r="BG1006" s="23"/>
      <c r="BH1006" s="23"/>
      <c r="BI1006" s="23"/>
      <c r="BJ1006" s="23"/>
      <c r="BK1006" s="23"/>
      <c r="BL1006" s="104"/>
      <c r="BM1006" s="488"/>
      <c r="BN1006" s="23"/>
      <c r="BO1006" s="23"/>
      <c r="BP1006" s="23"/>
      <c r="BQ1006" s="23"/>
      <c r="BR1006" s="23"/>
      <c r="BS1006" s="104"/>
      <c r="BT1006" s="488"/>
      <c r="BU1006" s="23"/>
      <c r="BV1006" s="23"/>
      <c r="BW1006" s="23"/>
      <c r="BX1006" s="23"/>
      <c r="BY1006" s="23"/>
      <c r="BZ1006" s="104"/>
      <c r="CA1006" s="488"/>
      <c r="CB1006" s="23"/>
      <c r="CC1006" s="23"/>
      <c r="CD1006" s="23"/>
      <c r="CE1006" s="23"/>
      <c r="CF1006" s="23"/>
      <c r="CG1006" s="104"/>
    </row>
  </sheetData>
  <mergeCells count="74">
    <mergeCell ref="BF58:BS58"/>
    <mergeCell ref="AZ2:CD2"/>
    <mergeCell ref="V2:AY2"/>
    <mergeCell ref="AR42:AX42"/>
    <mergeCell ref="BT42:BZ42"/>
    <mergeCell ref="BW31:CH31"/>
    <mergeCell ref="AD52:AJ52"/>
    <mergeCell ref="W61:AQ61"/>
    <mergeCell ref="BM61:BV61"/>
    <mergeCell ref="AY48:BS48"/>
    <mergeCell ref="AY76:BE76"/>
    <mergeCell ref="W78:AY78"/>
    <mergeCell ref="BF76:BS76"/>
    <mergeCell ref="AY56:BS56"/>
    <mergeCell ref="AK53:AX53"/>
    <mergeCell ref="W56:AJ56"/>
    <mergeCell ref="W60:AJ60"/>
    <mergeCell ref="AY77:BE77"/>
    <mergeCell ref="BF77:BM77"/>
    <mergeCell ref="AZ78:CD78"/>
    <mergeCell ref="AR59:BE59"/>
    <mergeCell ref="BF59:BV59"/>
    <mergeCell ref="BD57:BV57"/>
    <mergeCell ref="BW57:CG57"/>
    <mergeCell ref="AZ57:BC57"/>
    <mergeCell ref="AK57:AY57"/>
    <mergeCell ref="AK56:AX56"/>
    <mergeCell ref="W57:AJ57"/>
    <mergeCell ref="AX58:BE58"/>
    <mergeCell ref="AD58:AW58"/>
    <mergeCell ref="BD61:BL61"/>
    <mergeCell ref="AR61:BC61"/>
    <mergeCell ref="I61:V61"/>
    <mergeCell ref="AK60:AY60"/>
    <mergeCell ref="I60:V60"/>
    <mergeCell ref="I58:AC58"/>
    <mergeCell ref="I59:AC59"/>
    <mergeCell ref="BF53:BS53"/>
    <mergeCell ref="AY53:BE53"/>
    <mergeCell ref="I57:V57"/>
    <mergeCell ref="B57:H57"/>
    <mergeCell ref="B61:H61"/>
    <mergeCell ref="B58:H58"/>
    <mergeCell ref="B60:H60"/>
    <mergeCell ref="BD60:BV60"/>
    <mergeCell ref="AZ60:BC60"/>
    <mergeCell ref="AK69:CG69"/>
    <mergeCell ref="AK68:CG68"/>
    <mergeCell ref="BT58:CG58"/>
    <mergeCell ref="BW59:CG59"/>
    <mergeCell ref="BW61:CG61"/>
    <mergeCell ref="BW60:CG60"/>
    <mergeCell ref="W48:AJ48"/>
    <mergeCell ref="AK48:AX48"/>
    <mergeCell ref="K48:U48"/>
    <mergeCell ref="BM42:BS42"/>
    <mergeCell ref="BF42:BL42"/>
    <mergeCell ref="I38:O38"/>
    <mergeCell ref="P37:V37"/>
    <mergeCell ref="AY42:BE42"/>
    <mergeCell ref="BF52:BM52"/>
    <mergeCell ref="AY52:BE52"/>
    <mergeCell ref="B52:H52"/>
    <mergeCell ref="P52:V52"/>
    <mergeCell ref="BT53:BU53"/>
    <mergeCell ref="AK52:AX52"/>
    <mergeCell ref="AK83:AQ83"/>
    <mergeCell ref="AL88:AX88"/>
    <mergeCell ref="AK82:AQ82"/>
    <mergeCell ref="AN81:AX81"/>
    <mergeCell ref="AY79:BS79"/>
    <mergeCell ref="BT84:CG84"/>
    <mergeCell ref="B59:H59"/>
    <mergeCell ref="AD59:AQ59"/>
  </mergeCells>
  <conditionalFormatting sqref="AK53:AX53">
    <cfRule type="colorScale" priority="1">
      <colorScale>
        <cfvo type="min"/>
        <cfvo type="max"/>
        <color rgb="FF57BB8A"/>
        <color rgb="FFFFFFFF"/>
      </colorScale>
    </cfRule>
  </conditionalFormatting>
  <conditionalFormatting sqref="A2">
    <cfRule type="notContainsBlanks" dxfId="1" priority="2">
      <formula>LEN(TRIM(A2))&gt;0</formula>
    </cfRule>
  </conditionalFormatting>
  <drawing r:id="rId1"/>
</worksheet>
</file>